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unasedu-my.sharepoint.com/personal/lucas_becerra_unas_edu_pe/Documents/01 Fe y Alegria Consultoria/C2. MATEMATICA Y COMUNICACIÓN/"/>
    </mc:Choice>
  </mc:AlternateContent>
  <xr:revisionPtr revIDLastSave="0" documentId="13_ncr:20001_{35CB9E45-858E-4222-A583-B066A907873D}" xr6:coauthVersionLast="47" xr6:coauthVersionMax="47" xr10:uidLastSave="{00000000-0000-0000-0000-000000000000}"/>
  <bookViews>
    <workbookView xWindow="-110" yWindow="-110" windowWidth="19420" windowHeight="11020" activeTab="4" xr2:uid="{00000000-000D-0000-FFFF-FFFF00000000}"/>
  </bookViews>
  <sheets>
    <sheet name="DATA" sheetId="1" r:id="rId1"/>
    <sheet name="1° primaria" sheetId="2" r:id="rId2"/>
    <sheet name="Colegios" sheetId="3" r:id="rId3"/>
    <sheet name="PADD-R" sheetId="4" r:id="rId4"/>
    <sheet name="Procesados" sheetId="5" r:id="rId5"/>
    <sheet name="CLASFICACIÓN" sheetId="6" r:id="rId6"/>
    <sheet name="GLOBAL" sheetId="7" r:id="rId7"/>
    <sheet name="LOS 3 AÑOS" sheetId="8" r:id="rId8"/>
    <sheet name="2022,24" sheetId="9" r:id="rId9"/>
    <sheet name="2023,24" sheetId="10" r:id="rId10"/>
    <sheet name="SOLO 2024" sheetId="11" r:id="rId11"/>
    <sheet name="General" sheetId="12" r:id="rId12"/>
    <sheet name="resumen x colegio" sheetId="13" r:id="rId13"/>
    <sheet name="xRed" sheetId="14" r:id="rId14"/>
    <sheet name="XGrado" sheetId="15" r:id="rId15"/>
    <sheet name="red-formula" sheetId="16" state="hidden" r:id="rId16"/>
    <sheet name="filtro" sheetId="17" r:id="rId17"/>
    <sheet name="nombres" sheetId="18" r:id="rId18"/>
    <sheet name="Datos2-En proceso-2022" sheetId="19" state="hidden" r:id="rId19"/>
    <sheet name="2022-2023" sheetId="20" state="hidden" r:id="rId20"/>
    <sheet name="muestra" sheetId="21" state="hidden" r:id="rId21"/>
    <sheet name="digitalData" sheetId="22" state="hidden" r:id="rId22"/>
    <sheet name="claves" sheetId="23" r:id="rId23"/>
    <sheet name="Red 44 Cuzco  Mate Com" sheetId="24" r:id="rId24"/>
  </sheets>
  <externalReferences>
    <externalReference r:id="rId25"/>
  </externalReferences>
  <definedNames>
    <definedName name="_xlnm._FilterDatabase" localSheetId="1" hidden="1">'1° primaria'!$A$1:$I$2333</definedName>
    <definedName name="_xlnm._FilterDatabase" localSheetId="19" hidden="1">'2022-2023'!$A$1:$BA$915</definedName>
    <definedName name="_xlnm._FilterDatabase" localSheetId="0" hidden="1">DATA!$A$1:$N$2419</definedName>
  </definedNames>
  <calcPr calcId="191029"/>
  <pivotCaches>
    <pivotCache cacheId="18" r:id="rId26"/>
    <pivotCache cacheId="23" r:id="rId27"/>
    <pivotCache cacheId="32" r:id="rId28"/>
    <pivotCache cacheId="42" r:id="rId29"/>
    <pivotCache cacheId="51" r:id="rId30"/>
    <pivotCache cacheId="61" r:id="rId31"/>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423" i="24" l="1"/>
  <c r="E423" i="24"/>
  <c r="BD422" i="24"/>
  <c r="E422" i="24"/>
  <c r="BD421" i="24"/>
  <c r="E421" i="24"/>
  <c r="BD420" i="24"/>
  <c r="E420" i="24"/>
  <c r="BD419" i="24"/>
  <c r="E419" i="24"/>
  <c r="BD418" i="24"/>
  <c r="E418" i="24"/>
  <c r="BD417" i="24"/>
  <c r="E417" i="24"/>
  <c r="BD416" i="24"/>
  <c r="E416" i="24"/>
  <c r="BD415" i="24"/>
  <c r="E415" i="24"/>
  <c r="BD414" i="24"/>
  <c r="E414" i="24"/>
  <c r="BD413" i="24"/>
  <c r="E413" i="24"/>
  <c r="BD412" i="24"/>
  <c r="E412" i="24"/>
  <c r="BD411" i="24"/>
  <c r="E411" i="24"/>
  <c r="BD410" i="24"/>
  <c r="E410" i="24"/>
  <c r="BD409" i="24"/>
  <c r="E409" i="24"/>
  <c r="BD408" i="24"/>
  <c r="E408" i="24"/>
  <c r="BD407" i="24"/>
  <c r="E407" i="24"/>
  <c r="BD406" i="24"/>
  <c r="E406" i="24"/>
  <c r="BD405" i="24"/>
  <c r="E405" i="24"/>
  <c r="BD404" i="24"/>
  <c r="E404" i="24"/>
  <c r="BD403" i="24"/>
  <c r="E403" i="24"/>
  <c r="BD402" i="24"/>
  <c r="E402" i="24"/>
  <c r="BD401" i="24"/>
  <c r="E401" i="24"/>
  <c r="BD400" i="24"/>
  <c r="E400" i="24"/>
  <c r="BD399" i="24"/>
  <c r="E399" i="24"/>
  <c r="BD398" i="24"/>
  <c r="E398" i="24"/>
  <c r="BD397" i="24"/>
  <c r="E397" i="24"/>
  <c r="BD396" i="24"/>
  <c r="E396" i="24"/>
  <c r="BD395" i="24"/>
  <c r="E395" i="24"/>
  <c r="BD394" i="24"/>
  <c r="E394" i="24"/>
  <c r="BD393" i="24"/>
  <c r="E393" i="24"/>
  <c r="BD392" i="24"/>
  <c r="E392" i="24"/>
  <c r="BD391" i="24"/>
  <c r="E391" i="24"/>
  <c r="BD390" i="24"/>
  <c r="E390" i="24"/>
  <c r="BD389" i="24"/>
  <c r="E389" i="24"/>
  <c r="BD388" i="24"/>
  <c r="E388" i="24"/>
  <c r="BD387" i="24"/>
  <c r="E387" i="24"/>
  <c r="BD386" i="24"/>
  <c r="E386" i="24"/>
  <c r="BD385" i="24"/>
  <c r="E385" i="24"/>
  <c r="BD384" i="24"/>
  <c r="E384" i="24"/>
  <c r="BD383" i="24"/>
  <c r="E383" i="24"/>
  <c r="BD382" i="24"/>
  <c r="E382" i="24"/>
  <c r="BD381" i="24"/>
  <c r="E381" i="24"/>
  <c r="BD380" i="24"/>
  <c r="E380" i="24"/>
  <c r="BD379" i="24"/>
  <c r="E379" i="24"/>
  <c r="BD378" i="24"/>
  <c r="E378" i="24"/>
  <c r="BD377" i="24"/>
  <c r="E377" i="24"/>
  <c r="BD376" i="24"/>
  <c r="E376" i="24"/>
  <c r="BD375" i="24"/>
  <c r="E375" i="24"/>
  <c r="BD374" i="24"/>
  <c r="E374" i="24"/>
  <c r="BD373" i="24"/>
  <c r="E373" i="24"/>
  <c r="BD372" i="24"/>
  <c r="E372" i="24"/>
  <c r="BD371" i="24"/>
  <c r="E371" i="24"/>
  <c r="BD370" i="24"/>
  <c r="E370" i="24"/>
  <c r="BD369" i="24"/>
  <c r="E369" i="24"/>
  <c r="BD368" i="24"/>
  <c r="E368" i="24"/>
  <c r="BD367" i="24"/>
  <c r="E367" i="24"/>
  <c r="BD366" i="24"/>
  <c r="E366" i="24"/>
  <c r="BD365" i="24"/>
  <c r="E365" i="24"/>
  <c r="BD364" i="24"/>
  <c r="E364" i="24"/>
  <c r="BD363" i="24"/>
  <c r="E363" i="24"/>
  <c r="BD362" i="24"/>
  <c r="E362" i="24"/>
  <c r="BD361" i="24"/>
  <c r="E361" i="24"/>
  <c r="BD360" i="24"/>
  <c r="E360" i="24"/>
  <c r="BD359" i="24"/>
  <c r="E359" i="24"/>
  <c r="BD358" i="24"/>
  <c r="E358" i="24"/>
  <c r="BD357" i="24"/>
  <c r="E357" i="24"/>
  <c r="BD356" i="24"/>
  <c r="E356" i="24"/>
  <c r="BD355" i="24"/>
  <c r="E355" i="24"/>
  <c r="BD354" i="24"/>
  <c r="E354" i="24"/>
  <c r="BD353" i="24"/>
  <c r="E353" i="24"/>
  <c r="BD352" i="24"/>
  <c r="E352" i="24"/>
  <c r="BD351" i="24"/>
  <c r="E351" i="24"/>
  <c r="BD350" i="24"/>
  <c r="E350" i="24"/>
  <c r="BD349" i="24"/>
  <c r="E349" i="24"/>
  <c r="BD348" i="24"/>
  <c r="E348" i="24"/>
  <c r="BD347" i="24"/>
  <c r="E347" i="24"/>
  <c r="BD346" i="24"/>
  <c r="E346" i="24"/>
  <c r="BD345" i="24"/>
  <c r="E345" i="24"/>
  <c r="BD344" i="24"/>
  <c r="E344" i="24"/>
  <c r="BD343" i="24"/>
  <c r="E343" i="24"/>
  <c r="BD342" i="24"/>
  <c r="E342" i="24"/>
  <c r="BD341" i="24"/>
  <c r="E341" i="24"/>
  <c r="BD340" i="24"/>
  <c r="E340" i="24"/>
  <c r="BD339" i="24"/>
  <c r="E339" i="24"/>
  <c r="BD338" i="24"/>
  <c r="E338" i="24"/>
  <c r="BD337" i="24"/>
  <c r="E337" i="24"/>
  <c r="BD336" i="24"/>
  <c r="E336" i="24"/>
  <c r="BD335" i="24"/>
  <c r="E335" i="24"/>
  <c r="BD334" i="24"/>
  <c r="E334" i="24"/>
  <c r="BD333" i="24"/>
  <c r="E333" i="24"/>
  <c r="BD332" i="24"/>
  <c r="E332" i="24"/>
  <c r="BD331" i="24"/>
  <c r="E331" i="24"/>
  <c r="BD330" i="24"/>
  <c r="E330" i="24"/>
  <c r="BD329" i="24"/>
  <c r="E329" i="24"/>
  <c r="BD328" i="24"/>
  <c r="E328" i="24"/>
  <c r="BD327" i="24"/>
  <c r="E327" i="24"/>
  <c r="BD326" i="24"/>
  <c r="E326" i="24"/>
  <c r="BD325" i="24"/>
  <c r="E325" i="24"/>
  <c r="BD324" i="24"/>
  <c r="E324" i="24"/>
  <c r="BD323" i="24"/>
  <c r="E323" i="24"/>
  <c r="BD322" i="24"/>
  <c r="E322" i="24"/>
  <c r="BD321" i="24"/>
  <c r="E321" i="24"/>
  <c r="BD320" i="24"/>
  <c r="E320" i="24"/>
  <c r="BD319" i="24"/>
  <c r="E319" i="24"/>
  <c r="BD318" i="24"/>
  <c r="E318" i="24"/>
  <c r="BD317" i="24"/>
  <c r="E317" i="24"/>
  <c r="BD316" i="24"/>
  <c r="E316" i="24"/>
  <c r="BD315" i="24"/>
  <c r="E315" i="24"/>
  <c r="BD314" i="24"/>
  <c r="E314" i="24"/>
  <c r="BD313" i="24"/>
  <c r="E313" i="24"/>
  <c r="BD312" i="24"/>
  <c r="E312" i="24"/>
  <c r="BD311" i="24"/>
  <c r="E311" i="24"/>
  <c r="BD310" i="24"/>
  <c r="E310" i="24"/>
  <c r="BD309" i="24"/>
  <c r="E309" i="24"/>
  <c r="BD308" i="24"/>
  <c r="E308" i="24"/>
  <c r="BD307" i="24"/>
  <c r="E307" i="24"/>
  <c r="BD306" i="24"/>
  <c r="E306" i="24"/>
  <c r="BD305" i="24"/>
  <c r="E305" i="24"/>
  <c r="BD304" i="24"/>
  <c r="E304" i="24"/>
  <c r="BD303" i="24"/>
  <c r="E303" i="24"/>
  <c r="BD302" i="24"/>
  <c r="E302" i="24"/>
  <c r="BD301" i="24"/>
  <c r="E301" i="24"/>
  <c r="BD300" i="24"/>
  <c r="E300" i="24"/>
  <c r="BD299" i="24"/>
  <c r="E299" i="24"/>
  <c r="BD298" i="24"/>
  <c r="E298" i="24"/>
  <c r="BD297" i="24"/>
  <c r="E297" i="24"/>
  <c r="BD296" i="24"/>
  <c r="E296" i="24"/>
  <c r="BD295" i="24"/>
  <c r="E295" i="24"/>
  <c r="BD294" i="24"/>
  <c r="E294" i="24"/>
  <c r="BD293" i="24"/>
  <c r="E293" i="24"/>
  <c r="BD292" i="24"/>
  <c r="E292" i="24"/>
  <c r="BD291" i="24"/>
  <c r="E291" i="24"/>
  <c r="BD290" i="24"/>
  <c r="E290" i="24"/>
  <c r="BD289" i="24"/>
  <c r="E289" i="24"/>
  <c r="BD288" i="24"/>
  <c r="E288" i="24"/>
  <c r="BD287" i="24"/>
  <c r="E287" i="24"/>
  <c r="BD286" i="24"/>
  <c r="E286" i="24"/>
  <c r="BD285" i="24"/>
  <c r="E285" i="24"/>
  <c r="BD284" i="24"/>
  <c r="E284" i="24"/>
  <c r="BD283" i="24"/>
  <c r="E283" i="24"/>
  <c r="BD282" i="24"/>
  <c r="E282" i="24"/>
  <c r="BD281" i="24"/>
  <c r="E281" i="24"/>
  <c r="BD280" i="24"/>
  <c r="E280" i="24"/>
  <c r="BD279" i="24"/>
  <c r="E279" i="24"/>
  <c r="BD278" i="24"/>
  <c r="E278" i="24"/>
  <c r="BD277" i="24"/>
  <c r="E277" i="24"/>
  <c r="BD276" i="24"/>
  <c r="E276" i="24"/>
  <c r="BD275" i="24"/>
  <c r="E275" i="24"/>
  <c r="BD274" i="24"/>
  <c r="E274" i="24"/>
  <c r="BD273" i="24"/>
  <c r="E273" i="24"/>
  <c r="BD272" i="24"/>
  <c r="E272" i="24"/>
  <c r="BD271" i="24"/>
  <c r="E271" i="24"/>
  <c r="BD270" i="24"/>
  <c r="E270" i="24"/>
  <c r="BD269" i="24"/>
  <c r="E269" i="24"/>
  <c r="BD268" i="24"/>
  <c r="E268" i="24"/>
  <c r="BD267" i="24"/>
  <c r="E267" i="24"/>
  <c r="BD266" i="24"/>
  <c r="E266" i="24"/>
  <c r="BD265" i="24"/>
  <c r="E265" i="24"/>
  <c r="BD264" i="24"/>
  <c r="E264" i="24"/>
  <c r="BD263" i="24"/>
  <c r="E263" i="24"/>
  <c r="BD262" i="24"/>
  <c r="E262" i="24"/>
  <c r="BD261" i="24"/>
  <c r="E261" i="24"/>
  <c r="BD260" i="24"/>
  <c r="E260" i="24"/>
  <c r="BD259" i="24"/>
  <c r="E259" i="24"/>
  <c r="BD258" i="24"/>
  <c r="E258" i="24"/>
  <c r="BD257" i="24"/>
  <c r="E257" i="24"/>
  <c r="BD256" i="24"/>
  <c r="E256" i="24"/>
  <c r="BD255" i="24"/>
  <c r="E255" i="24"/>
  <c r="BD254" i="24"/>
  <c r="E254" i="24"/>
  <c r="BD253" i="24"/>
  <c r="E253" i="24"/>
  <c r="BD252" i="24"/>
  <c r="E252" i="24"/>
  <c r="BD251" i="24"/>
  <c r="E251" i="24"/>
  <c r="BD250" i="24"/>
  <c r="E250" i="24"/>
  <c r="BD249" i="24"/>
  <c r="E249" i="24"/>
  <c r="BD248" i="24"/>
  <c r="E248" i="24"/>
  <c r="BD247" i="24"/>
  <c r="E247" i="24"/>
  <c r="BD246" i="24"/>
  <c r="E246" i="24"/>
  <c r="BD245" i="24"/>
  <c r="E245" i="24"/>
  <c r="BD244" i="24"/>
  <c r="E244" i="24"/>
  <c r="BD243" i="24"/>
  <c r="E243" i="24"/>
  <c r="BD242" i="24"/>
  <c r="E242" i="24"/>
  <c r="BD241" i="24"/>
  <c r="E241" i="24"/>
  <c r="BD240" i="24"/>
  <c r="E240" i="24"/>
  <c r="BD239" i="24"/>
  <c r="E239" i="24"/>
  <c r="BD238" i="24"/>
  <c r="E238" i="24"/>
  <c r="BD237" i="24"/>
  <c r="E237" i="24"/>
  <c r="BD236" i="24"/>
  <c r="E236" i="24"/>
  <c r="BD235" i="24"/>
  <c r="E235" i="24"/>
  <c r="BD234" i="24"/>
  <c r="E234" i="24"/>
  <c r="BD233" i="24"/>
  <c r="E233" i="24"/>
  <c r="BD232" i="24"/>
  <c r="E232" i="24"/>
  <c r="BD231" i="24"/>
  <c r="E231" i="24"/>
  <c r="BD230" i="24"/>
  <c r="E230" i="24"/>
  <c r="BD229" i="24"/>
  <c r="E229" i="24"/>
  <c r="BD228" i="24"/>
  <c r="E228" i="24"/>
  <c r="BD227" i="24"/>
  <c r="E227" i="24"/>
  <c r="BD226" i="24"/>
  <c r="E226" i="24"/>
  <c r="BD225" i="24"/>
  <c r="E225" i="24"/>
  <c r="BD224" i="24"/>
  <c r="E224" i="24"/>
  <c r="BD223" i="24"/>
  <c r="E223" i="24"/>
  <c r="BD222" i="24"/>
  <c r="E222" i="24"/>
  <c r="BD221" i="24"/>
  <c r="E221" i="24"/>
  <c r="BD220" i="24"/>
  <c r="E220" i="24"/>
  <c r="BD219" i="24"/>
  <c r="E219" i="24"/>
  <c r="BD218" i="24"/>
  <c r="E218" i="24"/>
  <c r="BD217" i="24"/>
  <c r="E217" i="24"/>
  <c r="BD216" i="24"/>
  <c r="E216" i="24"/>
  <c r="BD215" i="24"/>
  <c r="E215" i="24"/>
  <c r="BD214" i="24"/>
  <c r="E214" i="24"/>
  <c r="BD213" i="24"/>
  <c r="E213" i="24"/>
  <c r="BD212" i="24"/>
  <c r="E212" i="24"/>
  <c r="BD211" i="24"/>
  <c r="E211" i="24"/>
  <c r="BD210" i="24"/>
  <c r="E210" i="24"/>
  <c r="BD209" i="24"/>
  <c r="E209" i="24"/>
  <c r="BD208" i="24"/>
  <c r="E208" i="24"/>
  <c r="BD207" i="24"/>
  <c r="E207" i="24"/>
  <c r="BD206" i="24"/>
  <c r="E206" i="24"/>
  <c r="BD205" i="24"/>
  <c r="E205" i="24"/>
  <c r="BD204" i="24"/>
  <c r="E204" i="24"/>
  <c r="BD203" i="24"/>
  <c r="E203" i="24"/>
  <c r="BD202" i="24"/>
  <c r="E202" i="24"/>
  <c r="BD201" i="24"/>
  <c r="E201" i="24"/>
  <c r="BD200" i="24"/>
  <c r="E200" i="24"/>
  <c r="BD199" i="24"/>
  <c r="E199" i="24"/>
  <c r="BD198" i="24"/>
  <c r="E198" i="24"/>
  <c r="BD197" i="24"/>
  <c r="E197" i="24"/>
  <c r="BD196" i="24"/>
  <c r="E196" i="24"/>
  <c r="BD195" i="24"/>
  <c r="E195" i="24"/>
  <c r="BD194" i="24"/>
  <c r="E194" i="24"/>
  <c r="BD193" i="24"/>
  <c r="E193" i="24"/>
  <c r="BD192" i="24"/>
  <c r="E192" i="24"/>
  <c r="BD191" i="24"/>
  <c r="E191" i="24"/>
  <c r="BD190" i="24"/>
  <c r="E190" i="24"/>
  <c r="BD189" i="24"/>
  <c r="E189" i="24"/>
  <c r="BD188" i="24"/>
  <c r="E188" i="24"/>
  <c r="BD187" i="24"/>
  <c r="E187" i="24"/>
  <c r="BD186" i="24"/>
  <c r="E186" i="24"/>
  <c r="BD185" i="24"/>
  <c r="E185" i="24"/>
  <c r="BD184" i="24"/>
  <c r="E184" i="24"/>
  <c r="BD183" i="24"/>
  <c r="E183" i="24"/>
  <c r="BD182" i="24"/>
  <c r="E182" i="24"/>
  <c r="BD181" i="24"/>
  <c r="E181" i="24"/>
  <c r="BD180" i="24"/>
  <c r="E180" i="24"/>
  <c r="BD179" i="24"/>
  <c r="E179" i="24"/>
  <c r="BD178" i="24"/>
  <c r="E178" i="24"/>
  <c r="BD177" i="24"/>
  <c r="E177" i="24"/>
  <c r="BD176" i="24"/>
  <c r="E176" i="24"/>
  <c r="BD175" i="24"/>
  <c r="E175" i="24"/>
  <c r="BD174" i="24"/>
  <c r="E174" i="24"/>
  <c r="BD173" i="24"/>
  <c r="E173" i="24"/>
  <c r="BD172" i="24"/>
  <c r="E172" i="24"/>
  <c r="BD171" i="24"/>
  <c r="E171" i="24"/>
  <c r="BD170" i="24"/>
  <c r="E170" i="24"/>
  <c r="BD169" i="24"/>
  <c r="E169" i="24"/>
  <c r="BD168" i="24"/>
  <c r="E168" i="24"/>
  <c r="BD167" i="24"/>
  <c r="E167" i="24"/>
  <c r="BD166" i="24"/>
  <c r="E166" i="24"/>
  <c r="BD165" i="24"/>
  <c r="E165" i="24"/>
  <c r="BD164" i="24"/>
  <c r="E164" i="24"/>
  <c r="BD163" i="24"/>
  <c r="E163" i="24"/>
  <c r="BD162" i="24"/>
  <c r="E162" i="24"/>
  <c r="BD161" i="24"/>
  <c r="E161" i="24"/>
  <c r="BD160" i="24"/>
  <c r="E160" i="24"/>
  <c r="BD159" i="24"/>
  <c r="E159" i="24"/>
  <c r="BD158" i="24"/>
  <c r="E158" i="24"/>
  <c r="BD157" i="24"/>
  <c r="E157" i="24"/>
  <c r="BD156" i="24"/>
  <c r="E156" i="24"/>
  <c r="BD155" i="24"/>
  <c r="E155" i="24"/>
  <c r="BD154" i="24"/>
  <c r="E154" i="24"/>
  <c r="BD153" i="24"/>
  <c r="E153" i="24"/>
  <c r="BD152" i="24"/>
  <c r="E152" i="24"/>
  <c r="BD151" i="24"/>
  <c r="E151" i="24"/>
  <c r="BD150" i="24"/>
  <c r="E150" i="24"/>
  <c r="BD149" i="24"/>
  <c r="E149" i="24"/>
  <c r="BD148" i="24"/>
  <c r="E148" i="24"/>
  <c r="BD147" i="24"/>
  <c r="E147" i="24"/>
  <c r="BD146" i="24"/>
  <c r="E146" i="24"/>
  <c r="BD145" i="24"/>
  <c r="E145" i="24"/>
  <c r="BD144" i="24"/>
  <c r="E144" i="24"/>
  <c r="BD143" i="24"/>
  <c r="E143" i="24"/>
  <c r="BD142" i="24"/>
  <c r="E142" i="24"/>
  <c r="BD141" i="24"/>
  <c r="E141" i="24"/>
  <c r="BD140" i="24"/>
  <c r="E140" i="24"/>
  <c r="BD139" i="24"/>
  <c r="E139" i="24"/>
  <c r="BD138" i="24"/>
  <c r="E138" i="24"/>
  <c r="BD137" i="24"/>
  <c r="E137" i="24"/>
  <c r="BD136" i="24"/>
  <c r="E136" i="24"/>
  <c r="BD135" i="24"/>
  <c r="E135" i="24"/>
  <c r="BD134" i="24"/>
  <c r="E134" i="24"/>
  <c r="BD133" i="24"/>
  <c r="E133" i="24"/>
  <c r="BD132" i="24"/>
  <c r="BD131" i="24"/>
  <c r="BD130" i="24"/>
  <c r="BD129" i="24"/>
  <c r="BD128" i="24"/>
  <c r="BD127" i="24"/>
  <c r="BD126" i="24"/>
  <c r="BD125" i="24"/>
  <c r="BD124" i="24"/>
  <c r="BD123" i="24"/>
  <c r="BD122" i="24"/>
  <c r="BD121" i="24"/>
  <c r="BD120" i="24"/>
  <c r="BD119" i="24"/>
  <c r="BD118" i="24"/>
  <c r="BD117" i="24"/>
  <c r="BD116" i="24"/>
  <c r="BD115" i="24"/>
  <c r="BD114" i="24"/>
  <c r="BD113" i="24"/>
  <c r="BD112" i="24"/>
  <c r="BD111" i="24"/>
  <c r="BD110" i="24"/>
  <c r="BD109" i="24"/>
  <c r="BD108" i="24"/>
  <c r="BD107" i="24"/>
  <c r="BD106" i="24"/>
  <c r="BD105" i="24"/>
  <c r="BD104" i="24"/>
  <c r="BD103" i="24"/>
  <c r="BD102" i="24"/>
  <c r="BD101" i="24"/>
  <c r="BD100" i="24"/>
  <c r="BD99" i="24"/>
  <c r="BD98" i="24"/>
  <c r="BD97" i="24"/>
  <c r="BD96" i="24"/>
  <c r="BD95" i="24"/>
  <c r="BD94" i="24"/>
  <c r="BD93" i="24"/>
  <c r="BD92" i="24"/>
  <c r="BD91" i="24"/>
  <c r="BD90" i="24"/>
  <c r="BD89" i="24"/>
  <c r="BD88" i="24"/>
  <c r="BD87" i="24"/>
  <c r="BD86" i="24"/>
  <c r="BD85" i="24"/>
  <c r="BD84" i="24"/>
  <c r="BD83" i="24"/>
  <c r="BD82" i="24"/>
  <c r="BD81" i="24"/>
  <c r="BD80" i="24"/>
  <c r="BD79" i="24"/>
  <c r="BD78" i="24"/>
  <c r="BD77" i="24"/>
  <c r="BD76" i="24"/>
  <c r="BD75" i="24"/>
  <c r="BD74" i="24"/>
  <c r="BD73" i="24"/>
  <c r="BD72" i="24"/>
  <c r="BD71" i="24"/>
  <c r="BD70" i="24"/>
  <c r="BD69" i="24"/>
  <c r="BD68" i="24"/>
  <c r="BD67" i="24"/>
  <c r="E67" i="24"/>
  <c r="BD66" i="24"/>
  <c r="E66" i="24"/>
  <c r="BD65" i="24"/>
  <c r="E65" i="24"/>
  <c r="BD64" i="24"/>
  <c r="E64" i="24"/>
  <c r="BD63" i="24"/>
  <c r="E63" i="24"/>
  <c r="BD62" i="24"/>
  <c r="E62" i="24"/>
  <c r="BD61" i="24"/>
  <c r="E61" i="24"/>
  <c r="BD60" i="24"/>
  <c r="E60" i="24"/>
  <c r="BD59" i="24"/>
  <c r="E59" i="24"/>
  <c r="BD58" i="24"/>
  <c r="E58" i="24"/>
  <c r="BD57" i="24"/>
  <c r="E57" i="24"/>
  <c r="BD56" i="24"/>
  <c r="E56" i="24"/>
  <c r="BD55" i="24"/>
  <c r="E55" i="24"/>
  <c r="BD54" i="24"/>
  <c r="E54" i="24"/>
  <c r="BD53" i="24"/>
  <c r="E53" i="24"/>
  <c r="BD52" i="24"/>
  <c r="E52" i="24"/>
  <c r="BD51" i="24"/>
  <c r="E51" i="24"/>
  <c r="BD50" i="24"/>
  <c r="E50" i="24"/>
  <c r="BD49" i="24"/>
  <c r="E49" i="24"/>
  <c r="BD48" i="24"/>
  <c r="E48" i="24"/>
  <c r="BD47" i="24"/>
  <c r="E47" i="24"/>
  <c r="BD46" i="24"/>
  <c r="E46" i="24"/>
  <c r="BD45" i="24"/>
  <c r="E45" i="24"/>
  <c r="BD44" i="24"/>
  <c r="E44" i="24"/>
  <c r="BD43" i="24"/>
  <c r="E43" i="24"/>
  <c r="BD42" i="24"/>
  <c r="E42" i="24"/>
  <c r="BD41" i="24"/>
  <c r="E41" i="24"/>
  <c r="BD40" i="24"/>
  <c r="E40" i="24"/>
  <c r="BD39" i="24"/>
  <c r="E39" i="24"/>
  <c r="BD38" i="24"/>
  <c r="E38" i="24"/>
  <c r="BD37" i="24"/>
  <c r="E37" i="24"/>
  <c r="BD36" i="24"/>
  <c r="E36" i="24"/>
  <c r="BD35" i="24"/>
  <c r="E35" i="24"/>
  <c r="BD34" i="24"/>
  <c r="E34" i="24"/>
  <c r="BD33" i="24"/>
  <c r="E33" i="24"/>
  <c r="BD32" i="24"/>
  <c r="E32" i="24"/>
  <c r="BD31" i="24"/>
  <c r="E31" i="24"/>
  <c r="BD30" i="24"/>
  <c r="E30" i="24"/>
  <c r="BD29" i="24"/>
  <c r="E29" i="24"/>
  <c r="BD28" i="24"/>
  <c r="E28" i="24"/>
  <c r="BD27" i="24"/>
  <c r="E27" i="24"/>
  <c r="BD26" i="24"/>
  <c r="E26" i="24"/>
  <c r="BD25" i="24"/>
  <c r="E25" i="24"/>
  <c r="BD24" i="24"/>
  <c r="E24" i="24"/>
  <c r="BD23" i="24"/>
  <c r="E23" i="24"/>
  <c r="BD22" i="24"/>
  <c r="E22" i="24"/>
  <c r="BD21" i="24"/>
  <c r="E21" i="24"/>
  <c r="BD20" i="24"/>
  <c r="E20" i="24"/>
  <c r="BD19" i="24"/>
  <c r="E19" i="24"/>
  <c r="BD18" i="24"/>
  <c r="E18" i="24"/>
  <c r="BD17" i="24"/>
  <c r="E17" i="24"/>
  <c r="BD16" i="24"/>
  <c r="E16" i="24"/>
  <c r="BD15" i="24"/>
  <c r="E15" i="24"/>
  <c r="BD14" i="24"/>
  <c r="E14" i="24"/>
  <c r="BD13" i="24"/>
  <c r="E13" i="24"/>
  <c r="BD12" i="24"/>
  <c r="E12" i="24"/>
  <c r="BD11" i="24"/>
  <c r="E11" i="24"/>
  <c r="BD10" i="24"/>
  <c r="E10" i="24"/>
  <c r="BD9" i="24"/>
  <c r="E9" i="24"/>
  <c r="BD8" i="24"/>
  <c r="E8" i="24"/>
  <c r="BD7" i="24"/>
  <c r="E7" i="24"/>
  <c r="BD6" i="24"/>
  <c r="BD1" i="24" s="1"/>
  <c r="E6" i="24"/>
  <c r="BD5" i="24"/>
  <c r="E5" i="24"/>
  <c r="BD4" i="24"/>
  <c r="E4" i="24"/>
  <c r="BD3" i="24"/>
  <c r="E3" i="24"/>
  <c r="AG1" i="24"/>
  <c r="L610" i="21"/>
  <c r="AU14" i="18"/>
  <c r="AT14" i="18"/>
  <c r="AU13" i="18"/>
  <c r="AT13" i="18"/>
  <c r="AS13" i="18"/>
  <c r="AS14" i="18" s="1"/>
  <c r="N9" i="18"/>
  <c r="N8" i="18"/>
  <c r="N7" i="18"/>
  <c r="N6" i="18"/>
  <c r="N5" i="18"/>
  <c r="N4" i="18"/>
  <c r="B36" i="17"/>
  <c r="F39" i="17" s="1"/>
  <c r="F31" i="17"/>
  <c r="C31" i="17"/>
  <c r="F30" i="17"/>
  <c r="C30" i="17"/>
  <c r="F29" i="17"/>
  <c r="F27" i="17"/>
  <c r="C27" i="17"/>
  <c r="B25" i="17"/>
  <c r="C28" i="17" s="1"/>
  <c r="H22" i="17"/>
  <c r="D22" i="17"/>
  <c r="O21" i="17"/>
  <c r="G21" i="17"/>
  <c r="O20" i="17"/>
  <c r="G20" i="17"/>
  <c r="O19" i="17"/>
  <c r="G19" i="17"/>
  <c r="O18" i="17"/>
  <c r="K18" i="17"/>
  <c r="G18" i="17"/>
  <c r="C18" i="17"/>
  <c r="O17" i="17"/>
  <c r="K17" i="17"/>
  <c r="G17" i="17"/>
  <c r="C17" i="17"/>
  <c r="O16" i="17"/>
  <c r="K16" i="17"/>
  <c r="G16" i="17"/>
  <c r="G22" i="17" s="1"/>
  <c r="C16" i="17"/>
  <c r="C22" i="17" s="1"/>
  <c r="M12" i="17"/>
  <c r="O12" i="17" s="1"/>
  <c r="K12" i="17"/>
  <c r="G12" i="17"/>
  <c r="E12" i="17"/>
  <c r="C12" i="17"/>
  <c r="M8" i="17"/>
  <c r="J8" i="17"/>
  <c r="G8" i="17"/>
  <c r="J4" i="17"/>
  <c r="M4" i="17" s="1"/>
  <c r="G4" i="17"/>
  <c r="D231" i="16"/>
  <c r="F230" i="16"/>
  <c r="E230" i="16"/>
  <c r="D230" i="16"/>
  <c r="F229" i="16"/>
  <c r="E229" i="16"/>
  <c r="D229" i="16"/>
  <c r="F228" i="16"/>
  <c r="E228" i="16"/>
  <c r="D228" i="16"/>
  <c r="F227" i="16"/>
  <c r="F231" i="16" s="1"/>
  <c r="E227" i="16"/>
  <c r="E231" i="16" s="1"/>
  <c r="D227" i="16"/>
  <c r="C225" i="16"/>
  <c r="N225" i="16" s="1"/>
  <c r="E207" i="16"/>
  <c r="D207" i="16"/>
  <c r="F206" i="16"/>
  <c r="E206" i="16"/>
  <c r="D206" i="16"/>
  <c r="F205" i="16"/>
  <c r="E205" i="16"/>
  <c r="D205" i="16"/>
  <c r="F204" i="16"/>
  <c r="E204" i="16"/>
  <c r="D204" i="16"/>
  <c r="F203" i="16"/>
  <c r="F207" i="16" s="1"/>
  <c r="E203" i="16"/>
  <c r="D203" i="16"/>
  <c r="N201" i="16"/>
  <c r="C201" i="16"/>
  <c r="F183" i="16"/>
  <c r="E183" i="16"/>
  <c r="F182" i="16"/>
  <c r="E182" i="16"/>
  <c r="D182" i="16"/>
  <c r="F181" i="16"/>
  <c r="E181" i="16"/>
  <c r="D181" i="16"/>
  <c r="F180" i="16"/>
  <c r="E180" i="16"/>
  <c r="D180" i="16"/>
  <c r="F179" i="16"/>
  <c r="E179" i="16"/>
  <c r="D179" i="16"/>
  <c r="D183" i="16" s="1"/>
  <c r="C177" i="16"/>
  <c r="N177" i="16" s="1"/>
  <c r="F142" i="16"/>
  <c r="D142" i="16"/>
  <c r="F141" i="16"/>
  <c r="E141" i="16"/>
  <c r="D141" i="16"/>
  <c r="F140" i="16"/>
  <c r="E140" i="16"/>
  <c r="D140" i="16"/>
  <c r="F139" i="16"/>
  <c r="E139" i="16"/>
  <c r="D139" i="16"/>
  <c r="F138" i="16"/>
  <c r="E138" i="16"/>
  <c r="E142" i="16" s="1"/>
  <c r="D138" i="16"/>
  <c r="C136" i="16"/>
  <c r="N136" i="16" s="1"/>
  <c r="E118" i="16"/>
  <c r="D118" i="16"/>
  <c r="F117" i="16"/>
  <c r="E117" i="16"/>
  <c r="D117" i="16"/>
  <c r="F116" i="16"/>
  <c r="E116" i="16"/>
  <c r="D116" i="16"/>
  <c r="F115" i="16"/>
  <c r="E115" i="16"/>
  <c r="D115" i="16"/>
  <c r="F114" i="16"/>
  <c r="F118" i="16" s="1"/>
  <c r="E114" i="16"/>
  <c r="D114" i="16"/>
  <c r="N112" i="16"/>
  <c r="C112" i="16"/>
  <c r="F94" i="16"/>
  <c r="F93" i="16"/>
  <c r="E93" i="16"/>
  <c r="D93" i="16"/>
  <c r="F92" i="16"/>
  <c r="E92" i="16"/>
  <c r="D92" i="16"/>
  <c r="F91" i="16"/>
  <c r="E91" i="16"/>
  <c r="D91" i="16"/>
  <c r="F90" i="16"/>
  <c r="E90" i="16"/>
  <c r="E94" i="16" s="1"/>
  <c r="D90" i="16"/>
  <c r="D94" i="16" s="1"/>
  <c r="C88" i="16"/>
  <c r="N88" i="16" s="1"/>
  <c r="D60" i="16"/>
  <c r="F59" i="16"/>
  <c r="E59" i="16"/>
  <c r="D59" i="16"/>
  <c r="F58" i="16"/>
  <c r="E58" i="16"/>
  <c r="D58" i="16"/>
  <c r="F57" i="16"/>
  <c r="E57" i="16"/>
  <c r="D57" i="16"/>
  <c r="F56" i="16"/>
  <c r="F60" i="16" s="1"/>
  <c r="E56" i="16"/>
  <c r="E60" i="16" s="1"/>
  <c r="D56" i="16"/>
  <c r="N54" i="16"/>
  <c r="C54" i="16"/>
  <c r="E38" i="16"/>
  <c r="F37" i="16"/>
  <c r="E37" i="16"/>
  <c r="D37" i="16"/>
  <c r="F36" i="16"/>
  <c r="E36" i="16"/>
  <c r="D36" i="16"/>
  <c r="F35" i="16"/>
  <c r="E35" i="16"/>
  <c r="D35" i="16"/>
  <c r="F34" i="16"/>
  <c r="F38" i="16" s="1"/>
  <c r="E34" i="16"/>
  <c r="D34" i="16"/>
  <c r="D38" i="16" s="1"/>
  <c r="N32" i="16"/>
  <c r="C32" i="16"/>
  <c r="E17" i="16"/>
  <c r="F16" i="16"/>
  <c r="F19" i="16" s="1"/>
  <c r="E16" i="16"/>
  <c r="D16" i="16"/>
  <c r="F15" i="16"/>
  <c r="E15" i="16"/>
  <c r="D15" i="16"/>
  <c r="F14" i="16"/>
  <c r="E14" i="16"/>
  <c r="D14" i="16"/>
  <c r="F13" i="16"/>
  <c r="F17" i="16" s="1"/>
  <c r="E13" i="16"/>
  <c r="D13" i="16"/>
  <c r="D17" i="16" s="1"/>
  <c r="N11" i="16"/>
  <c r="C11" i="16"/>
  <c r="F6" i="16"/>
  <c r="F5" i="16"/>
  <c r="F4" i="16"/>
  <c r="E179" i="15"/>
  <c r="D179" i="15"/>
  <c r="F178" i="15"/>
  <c r="E178" i="15"/>
  <c r="D178" i="15"/>
  <c r="F177" i="15"/>
  <c r="E177" i="15"/>
  <c r="D177" i="15"/>
  <c r="F176" i="15"/>
  <c r="E176" i="15"/>
  <c r="D176" i="15"/>
  <c r="F171" i="15"/>
  <c r="F170" i="15"/>
  <c r="F169" i="15"/>
  <c r="N168" i="15"/>
  <c r="E146" i="15"/>
  <c r="F145" i="15"/>
  <c r="E145" i="15"/>
  <c r="D145" i="15"/>
  <c r="F144" i="15"/>
  <c r="E144" i="15"/>
  <c r="D144" i="15"/>
  <c r="F143" i="15"/>
  <c r="F146" i="15" s="1"/>
  <c r="E143" i="15"/>
  <c r="D143" i="15"/>
  <c r="D146" i="15" s="1"/>
  <c r="F138" i="15"/>
  <c r="F137" i="15"/>
  <c r="F136" i="15"/>
  <c r="N135" i="15"/>
  <c r="F114" i="15"/>
  <c r="E114" i="15"/>
  <c r="D114" i="15"/>
  <c r="F113" i="15"/>
  <c r="E113" i="15"/>
  <c r="D113" i="15"/>
  <c r="F112" i="15"/>
  <c r="F115" i="15" s="1"/>
  <c r="E112" i="15"/>
  <c r="E115" i="15" s="1"/>
  <c r="D112" i="15"/>
  <c r="D115" i="15" s="1"/>
  <c r="F107" i="15"/>
  <c r="F106" i="15"/>
  <c r="F105" i="15"/>
  <c r="N104" i="15"/>
  <c r="E83" i="15"/>
  <c r="F82" i="15"/>
  <c r="E82" i="15"/>
  <c r="D82" i="15"/>
  <c r="F81" i="15"/>
  <c r="E81" i="15"/>
  <c r="D81" i="15"/>
  <c r="F80" i="15"/>
  <c r="E80" i="15"/>
  <c r="D80" i="15"/>
  <c r="D83" i="15" s="1"/>
  <c r="F75" i="15"/>
  <c r="F74" i="15"/>
  <c r="F73" i="15"/>
  <c r="N72" i="15"/>
  <c r="F51" i="15"/>
  <c r="E51" i="15"/>
  <c r="D51" i="15"/>
  <c r="F50" i="15"/>
  <c r="E50" i="15"/>
  <c r="D50" i="15"/>
  <c r="F49" i="15"/>
  <c r="F52" i="15" s="1"/>
  <c r="E49" i="15"/>
  <c r="E52" i="15" s="1"/>
  <c r="D49" i="15"/>
  <c r="D52" i="15" s="1"/>
  <c r="F44" i="15"/>
  <c r="F43" i="15"/>
  <c r="F42" i="15"/>
  <c r="N41" i="15"/>
  <c r="F8" i="15"/>
  <c r="F7" i="15"/>
  <c r="F6" i="15"/>
  <c r="F164" i="14"/>
  <c r="D164" i="14"/>
  <c r="F163" i="14"/>
  <c r="E163" i="14"/>
  <c r="D163" i="14"/>
  <c r="F162" i="14"/>
  <c r="E162" i="14"/>
  <c r="D162" i="14"/>
  <c r="F161" i="14"/>
  <c r="E161" i="14"/>
  <c r="E164" i="14" s="1"/>
  <c r="D161" i="14"/>
  <c r="F156" i="14"/>
  <c r="F155" i="14"/>
  <c r="F154" i="14"/>
  <c r="N153" i="14"/>
  <c r="F137" i="14"/>
  <c r="D137" i="14"/>
  <c r="F136" i="14"/>
  <c r="E136" i="14"/>
  <c r="D136" i="14"/>
  <c r="F135" i="14"/>
  <c r="E135" i="14"/>
  <c r="D135" i="14"/>
  <c r="F134" i="14"/>
  <c r="E134" i="14"/>
  <c r="E137" i="14" s="1"/>
  <c r="D134" i="14"/>
  <c r="F129" i="14"/>
  <c r="F128" i="14"/>
  <c r="F127" i="14"/>
  <c r="N126" i="14"/>
  <c r="F107" i="14"/>
  <c r="D107" i="14"/>
  <c r="F106" i="14"/>
  <c r="E106" i="14"/>
  <c r="D106" i="14"/>
  <c r="F105" i="14"/>
  <c r="E105" i="14"/>
  <c r="D105" i="14"/>
  <c r="F104" i="14"/>
  <c r="E104" i="14"/>
  <c r="E107" i="14" s="1"/>
  <c r="D104" i="14"/>
  <c r="F99" i="14"/>
  <c r="F98" i="14"/>
  <c r="F97" i="14"/>
  <c r="N96" i="14"/>
  <c r="F79" i="14"/>
  <c r="D79" i="14"/>
  <c r="F78" i="14"/>
  <c r="E78" i="14"/>
  <c r="D78" i="14"/>
  <c r="F77" i="14"/>
  <c r="E77" i="14"/>
  <c r="D77" i="14"/>
  <c r="F76" i="14"/>
  <c r="E76" i="14"/>
  <c r="E79" i="14" s="1"/>
  <c r="D76" i="14"/>
  <c r="F71" i="14"/>
  <c r="F70" i="14"/>
  <c r="F69" i="14"/>
  <c r="N68" i="14"/>
  <c r="F46" i="14"/>
  <c r="D46" i="14"/>
  <c r="F45" i="14"/>
  <c r="E45" i="14"/>
  <c r="D45" i="14"/>
  <c r="F44" i="14"/>
  <c r="E44" i="14"/>
  <c r="D44" i="14"/>
  <c r="F43" i="14"/>
  <c r="E43" i="14"/>
  <c r="E46" i="14" s="1"/>
  <c r="D43" i="14"/>
  <c r="F38" i="14"/>
  <c r="F37" i="14"/>
  <c r="F36" i="14"/>
  <c r="N35" i="14"/>
  <c r="F16" i="14"/>
  <c r="D16" i="14"/>
  <c r="F15" i="14"/>
  <c r="E15" i="14"/>
  <c r="D15" i="14"/>
  <c r="F14" i="14"/>
  <c r="E14" i="14"/>
  <c r="D14" i="14"/>
  <c r="F13" i="14"/>
  <c r="E13" i="14"/>
  <c r="E16" i="14" s="1"/>
  <c r="D13" i="14"/>
  <c r="F8" i="14"/>
  <c r="F7" i="14"/>
  <c r="F6" i="14"/>
  <c r="N5" i="14"/>
  <c r="D16" i="12"/>
  <c r="F15" i="12"/>
  <c r="F16" i="12" s="1"/>
  <c r="E15" i="12"/>
  <c r="D15" i="12"/>
  <c r="F14" i="12"/>
  <c r="E14" i="12"/>
  <c r="D14" i="12"/>
  <c r="F13" i="12"/>
  <c r="E13" i="12"/>
  <c r="E16" i="12" s="1"/>
  <c r="D13" i="12"/>
  <c r="F8" i="12"/>
  <c r="F7" i="12"/>
  <c r="F6" i="12"/>
  <c r="N5" i="12"/>
  <c r="M80" i="11"/>
  <c r="L80" i="11"/>
  <c r="K80" i="11"/>
  <c r="J80" i="11"/>
  <c r="I80" i="11"/>
  <c r="M79" i="11"/>
  <c r="L79" i="11"/>
  <c r="K79" i="11"/>
  <c r="J79" i="11"/>
  <c r="M78" i="11"/>
  <c r="L78" i="11"/>
  <c r="K78" i="11"/>
  <c r="J78" i="11"/>
  <c r="I78" i="11"/>
  <c r="M77" i="11"/>
  <c r="L77" i="11"/>
  <c r="K77" i="11"/>
  <c r="J77" i="11"/>
  <c r="M76" i="11"/>
  <c r="L76" i="11"/>
  <c r="K76" i="11"/>
  <c r="J76" i="11"/>
  <c r="M75" i="11"/>
  <c r="L75" i="11"/>
  <c r="K75" i="11"/>
  <c r="J75" i="11"/>
  <c r="I75" i="11"/>
  <c r="M74" i="11"/>
  <c r="L74" i="11"/>
  <c r="K74" i="11"/>
  <c r="J74" i="11"/>
  <c r="I74" i="11"/>
  <c r="M73" i="11"/>
  <c r="L73" i="11"/>
  <c r="K73" i="11"/>
  <c r="J73" i="11"/>
  <c r="M72" i="11"/>
  <c r="L72" i="11"/>
  <c r="K72" i="11"/>
  <c r="J72" i="11"/>
  <c r="M71" i="11"/>
  <c r="L71" i="11"/>
  <c r="K71" i="11"/>
  <c r="J71" i="11"/>
  <c r="M70" i="11"/>
  <c r="L70" i="11"/>
  <c r="K70" i="11"/>
  <c r="J70" i="11"/>
  <c r="I70" i="11"/>
  <c r="M69" i="11"/>
  <c r="L69" i="11"/>
  <c r="K69" i="11"/>
  <c r="J69" i="11"/>
  <c r="I69" i="11"/>
  <c r="M68" i="11"/>
  <c r="L68" i="11"/>
  <c r="K68" i="11"/>
  <c r="J68" i="11"/>
  <c r="M67" i="11"/>
  <c r="L67" i="11"/>
  <c r="K67" i="11"/>
  <c r="J67" i="11"/>
  <c r="I67" i="11"/>
  <c r="M66" i="11"/>
  <c r="L66" i="11"/>
  <c r="K66" i="11"/>
  <c r="J66" i="11"/>
  <c r="M65" i="11"/>
  <c r="L65" i="11"/>
  <c r="K65" i="11"/>
  <c r="J65" i="11"/>
  <c r="M64" i="11"/>
  <c r="L64" i="11"/>
  <c r="K64" i="11"/>
  <c r="J64" i="11"/>
  <c r="I64" i="11"/>
  <c r="M63" i="11"/>
  <c r="L63" i="11"/>
  <c r="K63" i="11"/>
  <c r="J63" i="11"/>
  <c r="M62" i="11"/>
  <c r="L62" i="11"/>
  <c r="K62" i="11"/>
  <c r="J62" i="11"/>
  <c r="I62" i="11"/>
  <c r="M61" i="11"/>
  <c r="L61" i="11"/>
  <c r="K61" i="11"/>
  <c r="J61" i="11"/>
  <c r="M60" i="11"/>
  <c r="L60" i="11"/>
  <c r="K60" i="11"/>
  <c r="J60" i="11"/>
  <c r="M59" i="11"/>
  <c r="L59" i="11"/>
  <c r="K59" i="11"/>
  <c r="J59" i="11"/>
  <c r="I59" i="11"/>
  <c r="M58" i="11"/>
  <c r="L58" i="11"/>
  <c r="K58" i="11"/>
  <c r="J58" i="11"/>
  <c r="M57" i="11"/>
  <c r="L57" i="11"/>
  <c r="K57" i="11"/>
  <c r="J57" i="11"/>
  <c r="M56" i="11"/>
  <c r="L56" i="11"/>
  <c r="K56" i="11"/>
  <c r="J56" i="11"/>
  <c r="I56" i="11"/>
  <c r="M55" i="11"/>
  <c r="L55" i="11"/>
  <c r="K55" i="11"/>
  <c r="J55" i="11"/>
  <c r="I55" i="11"/>
  <c r="M54" i="11"/>
  <c r="L54" i="11"/>
  <c r="K54" i="11"/>
  <c r="J54" i="11"/>
  <c r="I54" i="11"/>
  <c r="M53" i="11"/>
  <c r="L53" i="11"/>
  <c r="K53" i="11"/>
  <c r="J53" i="11"/>
  <c r="I53" i="11"/>
  <c r="M52" i="11"/>
  <c r="L52" i="11"/>
  <c r="K52" i="11"/>
  <c r="J52" i="11"/>
  <c r="M51" i="11"/>
  <c r="L51" i="11"/>
  <c r="K51" i="11"/>
  <c r="J51" i="11"/>
  <c r="I51" i="11"/>
  <c r="M50" i="11"/>
  <c r="L50" i="11"/>
  <c r="K50" i="11"/>
  <c r="J50" i="11"/>
  <c r="I50" i="11"/>
  <c r="M49" i="11"/>
  <c r="L49" i="11"/>
  <c r="K49" i="11"/>
  <c r="J49" i="11"/>
  <c r="I49" i="11"/>
  <c r="M48" i="11"/>
  <c r="L48" i="11"/>
  <c r="K48" i="11"/>
  <c r="J48" i="11"/>
  <c r="I48" i="11"/>
  <c r="M47" i="11"/>
  <c r="L47" i="11"/>
  <c r="K47" i="11"/>
  <c r="J47" i="11"/>
  <c r="M46" i="11"/>
  <c r="L46" i="11"/>
  <c r="K46" i="11"/>
  <c r="J46" i="11"/>
  <c r="I46" i="11"/>
  <c r="M45" i="11"/>
  <c r="L45" i="11"/>
  <c r="K45" i="11"/>
  <c r="J45" i="11"/>
  <c r="M44" i="11"/>
  <c r="L44" i="11"/>
  <c r="K44" i="11"/>
  <c r="J44" i="11"/>
  <c r="I44" i="11"/>
  <c r="M43" i="11"/>
  <c r="L43" i="11"/>
  <c r="K43" i="11"/>
  <c r="J43" i="11"/>
  <c r="M42" i="11"/>
  <c r="L42" i="11"/>
  <c r="K42" i="11"/>
  <c r="J42" i="11"/>
  <c r="I42" i="11"/>
  <c r="M41" i="11"/>
  <c r="L41" i="11"/>
  <c r="K41" i="11"/>
  <c r="J41" i="11"/>
  <c r="M40" i="11"/>
  <c r="L40" i="11"/>
  <c r="K40" i="11"/>
  <c r="J40" i="11"/>
  <c r="I40" i="11"/>
  <c r="M39" i="11"/>
  <c r="L39" i="11"/>
  <c r="K39" i="11"/>
  <c r="J39" i="11"/>
  <c r="I39" i="11"/>
  <c r="M38" i="11"/>
  <c r="L38" i="11"/>
  <c r="K38" i="11"/>
  <c r="J38" i="11"/>
  <c r="I38" i="11"/>
  <c r="M37" i="11"/>
  <c r="L37" i="11"/>
  <c r="K37" i="11"/>
  <c r="J37" i="11"/>
  <c r="I37" i="11"/>
  <c r="M36" i="11"/>
  <c r="L36" i="11"/>
  <c r="K36" i="11"/>
  <c r="J36" i="11"/>
  <c r="I36" i="11"/>
  <c r="M35" i="11"/>
  <c r="L35" i="11"/>
  <c r="K35" i="11"/>
  <c r="J35" i="11"/>
  <c r="I35" i="11"/>
  <c r="M34" i="11"/>
  <c r="L34" i="11"/>
  <c r="K34" i="11"/>
  <c r="J34" i="11"/>
  <c r="I34" i="11"/>
  <c r="M33" i="11"/>
  <c r="L33" i="11"/>
  <c r="K33" i="11"/>
  <c r="J33" i="11"/>
  <c r="I33" i="11"/>
  <c r="M32" i="11"/>
  <c r="L32" i="11"/>
  <c r="K32" i="11"/>
  <c r="J32" i="11"/>
  <c r="I32" i="11"/>
  <c r="M31" i="11"/>
  <c r="L31" i="11"/>
  <c r="K31" i="11"/>
  <c r="J31" i="11"/>
  <c r="I31" i="11"/>
  <c r="M30" i="11"/>
  <c r="L30" i="11"/>
  <c r="K30" i="11"/>
  <c r="J30" i="11"/>
  <c r="I30" i="11"/>
  <c r="M29" i="11"/>
  <c r="L29" i="11"/>
  <c r="K29" i="11"/>
  <c r="J29" i="11"/>
  <c r="I29" i="11"/>
  <c r="M28" i="11"/>
  <c r="L28" i="11"/>
  <c r="K28" i="11"/>
  <c r="J28" i="11"/>
  <c r="I28" i="11"/>
  <c r="M27" i="11"/>
  <c r="L27" i="11"/>
  <c r="K27" i="11"/>
  <c r="J27" i="11"/>
  <c r="I27" i="11"/>
  <c r="M26" i="11"/>
  <c r="L26" i="11"/>
  <c r="K26" i="11"/>
  <c r="J26" i="11"/>
  <c r="I26" i="11"/>
  <c r="M25" i="11"/>
  <c r="L25" i="11"/>
  <c r="K25" i="11"/>
  <c r="J25" i="11"/>
  <c r="I25" i="11"/>
  <c r="M24" i="11"/>
  <c r="L24" i="11"/>
  <c r="K24" i="11"/>
  <c r="J24" i="11"/>
  <c r="I24" i="11"/>
  <c r="M23" i="11"/>
  <c r="L23" i="11"/>
  <c r="K23" i="11"/>
  <c r="J23" i="11"/>
  <c r="I23" i="11"/>
  <c r="M22" i="11"/>
  <c r="L22" i="11"/>
  <c r="K22" i="11"/>
  <c r="J22" i="11"/>
  <c r="I22" i="11"/>
  <c r="M21" i="11"/>
  <c r="L21" i="11"/>
  <c r="K21" i="11"/>
  <c r="J21" i="11"/>
  <c r="I21" i="11"/>
  <c r="M20" i="11"/>
  <c r="L20" i="11"/>
  <c r="K20" i="11"/>
  <c r="J20" i="11"/>
  <c r="I20" i="11"/>
  <c r="M19" i="11"/>
  <c r="L19" i="11"/>
  <c r="K19" i="11"/>
  <c r="J19" i="11"/>
  <c r="I19" i="11"/>
  <c r="M18" i="11"/>
  <c r="L18" i="11"/>
  <c r="K18" i="11"/>
  <c r="J18" i="11"/>
  <c r="I18" i="11"/>
  <c r="M17" i="11"/>
  <c r="L17" i="11"/>
  <c r="K17" i="11"/>
  <c r="J17" i="11"/>
  <c r="I17" i="11"/>
  <c r="M16" i="11"/>
  <c r="L16" i="11"/>
  <c r="K16" i="11"/>
  <c r="J16" i="11"/>
  <c r="I16" i="11"/>
  <c r="M15" i="11"/>
  <c r="L15" i="11"/>
  <c r="K15" i="11"/>
  <c r="J15" i="11"/>
  <c r="I15" i="11"/>
  <c r="M14" i="11"/>
  <c r="L14" i="11"/>
  <c r="K14" i="11"/>
  <c r="J14" i="11"/>
  <c r="I14" i="11"/>
  <c r="M13" i="11"/>
  <c r="L13" i="11"/>
  <c r="K13" i="11"/>
  <c r="J13" i="11"/>
  <c r="I13" i="11"/>
  <c r="M12" i="11"/>
  <c r="L12" i="11"/>
  <c r="K12" i="11"/>
  <c r="J12" i="11"/>
  <c r="I12" i="11"/>
  <c r="M11" i="11"/>
  <c r="L11" i="11"/>
  <c r="K11" i="11"/>
  <c r="J11" i="11"/>
  <c r="I11" i="11"/>
  <c r="M10" i="11"/>
  <c r="L10" i="11"/>
  <c r="K10" i="11"/>
  <c r="J10" i="11"/>
  <c r="I10" i="11"/>
  <c r="M9" i="11"/>
  <c r="L9" i="11"/>
  <c r="K9" i="11"/>
  <c r="J9" i="11"/>
  <c r="I9" i="11"/>
  <c r="M8" i="11"/>
  <c r="L8" i="11"/>
  <c r="K8" i="11"/>
  <c r="J8" i="11"/>
  <c r="I8" i="11"/>
  <c r="M7" i="11"/>
  <c r="L7" i="11"/>
  <c r="K7" i="11"/>
  <c r="J7" i="11"/>
  <c r="I7" i="11"/>
  <c r="M6" i="11"/>
  <c r="L6" i="11"/>
  <c r="K6" i="11"/>
  <c r="J6" i="11"/>
  <c r="I6" i="11"/>
  <c r="M5" i="11"/>
  <c r="L5" i="11"/>
  <c r="K5" i="11"/>
  <c r="J5" i="11"/>
  <c r="I5" i="11"/>
  <c r="M4" i="11"/>
  <c r="L4" i="11"/>
  <c r="K4" i="11"/>
  <c r="J4" i="11"/>
  <c r="I4" i="11"/>
  <c r="K2" i="11"/>
  <c r="N72" i="10"/>
  <c r="N71" i="10"/>
  <c r="N70" i="10"/>
  <c r="N69" i="10"/>
  <c r="N68" i="10"/>
  <c r="N67" i="10"/>
  <c r="N66" i="10"/>
  <c r="N65" i="10"/>
  <c r="N64" i="10"/>
  <c r="N63" i="10"/>
  <c r="N62" i="10"/>
  <c r="N61" i="10"/>
  <c r="N60" i="10"/>
  <c r="N59" i="10"/>
  <c r="N58" i="10"/>
  <c r="N57" i="10"/>
  <c r="N56" i="10"/>
  <c r="N55" i="10"/>
  <c r="N54" i="10"/>
  <c r="N53" i="10"/>
  <c r="U52" i="10"/>
  <c r="T52" i="10"/>
  <c r="S52" i="10"/>
  <c r="R52" i="10"/>
  <c r="Q52" i="10"/>
  <c r="P52" i="10"/>
  <c r="O52" i="10"/>
  <c r="N52" i="10"/>
  <c r="U51" i="10"/>
  <c r="T51" i="10"/>
  <c r="S51" i="10"/>
  <c r="R51" i="10"/>
  <c r="Q51" i="10"/>
  <c r="P51" i="10"/>
  <c r="O51" i="10"/>
  <c r="N51" i="10"/>
  <c r="U50" i="10"/>
  <c r="T50" i="10"/>
  <c r="S50" i="10"/>
  <c r="R50" i="10"/>
  <c r="Q50" i="10"/>
  <c r="P50" i="10"/>
  <c r="O50" i="10"/>
  <c r="N50" i="10"/>
  <c r="U49" i="10"/>
  <c r="T49" i="10"/>
  <c r="S49" i="10"/>
  <c r="R49" i="10"/>
  <c r="Q49" i="10"/>
  <c r="P49" i="10"/>
  <c r="O49" i="10"/>
  <c r="N49" i="10"/>
  <c r="U48" i="10"/>
  <c r="T48" i="10"/>
  <c r="S48" i="10"/>
  <c r="R48" i="10"/>
  <c r="Q48" i="10"/>
  <c r="P48" i="10"/>
  <c r="O48" i="10"/>
  <c r="N48" i="10"/>
  <c r="U47" i="10"/>
  <c r="T47" i="10"/>
  <c r="S47" i="10"/>
  <c r="R47" i="10"/>
  <c r="Q47" i="10"/>
  <c r="P47" i="10"/>
  <c r="O47" i="10"/>
  <c r="N47" i="10"/>
  <c r="U46" i="10"/>
  <c r="T46" i="10"/>
  <c r="S46" i="10"/>
  <c r="R46" i="10"/>
  <c r="Q46" i="10"/>
  <c r="P46" i="10"/>
  <c r="O46" i="10"/>
  <c r="N46" i="10"/>
  <c r="U45" i="10"/>
  <c r="T45" i="10"/>
  <c r="S45" i="10"/>
  <c r="R45" i="10"/>
  <c r="Q45" i="10"/>
  <c r="P45" i="10"/>
  <c r="O45" i="10"/>
  <c r="N45" i="10"/>
  <c r="U44" i="10"/>
  <c r="T44" i="10"/>
  <c r="S44" i="10"/>
  <c r="R44" i="10"/>
  <c r="Q44" i="10"/>
  <c r="P44" i="10"/>
  <c r="O44" i="10"/>
  <c r="N44" i="10"/>
  <c r="U43" i="10"/>
  <c r="T43" i="10"/>
  <c r="S43" i="10"/>
  <c r="R43" i="10"/>
  <c r="Q43" i="10"/>
  <c r="P43" i="10"/>
  <c r="O43" i="10"/>
  <c r="N43" i="10"/>
  <c r="U42" i="10"/>
  <c r="T42" i="10"/>
  <c r="S42" i="10"/>
  <c r="R42" i="10"/>
  <c r="Q42" i="10"/>
  <c r="P42" i="10"/>
  <c r="O42" i="10"/>
  <c r="N42" i="10"/>
  <c r="U41" i="10"/>
  <c r="T41" i="10"/>
  <c r="S41" i="10"/>
  <c r="R41" i="10"/>
  <c r="Q41" i="10"/>
  <c r="P41" i="10"/>
  <c r="O41" i="10"/>
  <c r="N41" i="10"/>
  <c r="U40" i="10"/>
  <c r="T40" i="10"/>
  <c r="S40" i="10"/>
  <c r="R40" i="10"/>
  <c r="Q40" i="10"/>
  <c r="P40" i="10"/>
  <c r="O40" i="10"/>
  <c r="N40" i="10"/>
  <c r="U39" i="10"/>
  <c r="T39" i="10"/>
  <c r="S39" i="10"/>
  <c r="R39" i="10"/>
  <c r="Q39" i="10"/>
  <c r="P39" i="10"/>
  <c r="O39" i="10"/>
  <c r="N39" i="10"/>
  <c r="U38" i="10"/>
  <c r="T38" i="10"/>
  <c r="S38" i="10"/>
  <c r="R38" i="10"/>
  <c r="Q38" i="10"/>
  <c r="P38" i="10"/>
  <c r="O38" i="10"/>
  <c r="N38" i="10"/>
  <c r="U37" i="10"/>
  <c r="T37" i="10"/>
  <c r="S37" i="10"/>
  <c r="R37" i="10"/>
  <c r="Q37" i="10"/>
  <c r="P37" i="10"/>
  <c r="O37" i="10"/>
  <c r="N37" i="10"/>
  <c r="U36" i="10"/>
  <c r="T36" i="10"/>
  <c r="S36" i="10"/>
  <c r="R36" i="10"/>
  <c r="Q36" i="10"/>
  <c r="P36" i="10"/>
  <c r="O36" i="10"/>
  <c r="N36" i="10"/>
  <c r="U35" i="10"/>
  <c r="T35" i="10"/>
  <c r="S35" i="10"/>
  <c r="R35" i="10"/>
  <c r="Q35" i="10"/>
  <c r="P35" i="10"/>
  <c r="O35" i="10"/>
  <c r="N35" i="10"/>
  <c r="U34" i="10"/>
  <c r="T34" i="10"/>
  <c r="S34" i="10"/>
  <c r="R34" i="10"/>
  <c r="Q34" i="10"/>
  <c r="P34" i="10"/>
  <c r="O34" i="10"/>
  <c r="N34" i="10"/>
  <c r="U33" i="10"/>
  <c r="T33" i="10"/>
  <c r="S33" i="10"/>
  <c r="R33" i="10"/>
  <c r="Q33" i="10"/>
  <c r="P33" i="10"/>
  <c r="O33" i="10"/>
  <c r="N33" i="10"/>
  <c r="U32" i="10"/>
  <c r="T32" i="10"/>
  <c r="S32" i="10"/>
  <c r="R32" i="10"/>
  <c r="Q32" i="10"/>
  <c r="P32" i="10"/>
  <c r="O32" i="10"/>
  <c r="N32" i="10"/>
  <c r="U31" i="10"/>
  <c r="T31" i="10"/>
  <c r="S31" i="10"/>
  <c r="R31" i="10"/>
  <c r="Q31" i="10"/>
  <c r="P31" i="10"/>
  <c r="O31" i="10"/>
  <c r="N31" i="10"/>
  <c r="U30" i="10"/>
  <c r="T30" i="10"/>
  <c r="S30" i="10"/>
  <c r="R30" i="10"/>
  <c r="Q30" i="10"/>
  <c r="P30" i="10"/>
  <c r="O30" i="10"/>
  <c r="N30" i="10"/>
  <c r="U29" i="10"/>
  <c r="T29" i="10"/>
  <c r="S29" i="10"/>
  <c r="R29" i="10"/>
  <c r="Q29" i="10"/>
  <c r="P29" i="10"/>
  <c r="O29" i="10"/>
  <c r="N29" i="10"/>
  <c r="U28" i="10"/>
  <c r="T28" i="10"/>
  <c r="S28" i="10"/>
  <c r="R28" i="10"/>
  <c r="Q28" i="10"/>
  <c r="P28" i="10"/>
  <c r="O28" i="10"/>
  <c r="N28" i="10"/>
  <c r="U27" i="10"/>
  <c r="T27" i="10"/>
  <c r="S27" i="10"/>
  <c r="R27" i="10"/>
  <c r="Q27" i="10"/>
  <c r="P27" i="10"/>
  <c r="O27" i="10"/>
  <c r="N27" i="10"/>
  <c r="U26" i="10"/>
  <c r="T26" i="10"/>
  <c r="S26" i="10"/>
  <c r="R26" i="10"/>
  <c r="Q26" i="10"/>
  <c r="P26" i="10"/>
  <c r="O26" i="10"/>
  <c r="N26" i="10"/>
  <c r="U25" i="10"/>
  <c r="T25" i="10"/>
  <c r="S25" i="10"/>
  <c r="R25" i="10"/>
  <c r="Q25" i="10"/>
  <c r="P25" i="10"/>
  <c r="O25" i="10"/>
  <c r="N25" i="10"/>
  <c r="U24" i="10"/>
  <c r="T24" i="10"/>
  <c r="S24" i="10"/>
  <c r="R24" i="10"/>
  <c r="Q24" i="10"/>
  <c r="P24" i="10"/>
  <c r="O24" i="10"/>
  <c r="N24" i="10"/>
  <c r="U23" i="10"/>
  <c r="T23" i="10"/>
  <c r="S23" i="10"/>
  <c r="R23" i="10"/>
  <c r="Q23" i="10"/>
  <c r="P23" i="10"/>
  <c r="O23" i="10"/>
  <c r="N23" i="10"/>
  <c r="U22" i="10"/>
  <c r="T22" i="10"/>
  <c r="S22" i="10"/>
  <c r="R22" i="10"/>
  <c r="Q22" i="10"/>
  <c r="P22" i="10"/>
  <c r="O22" i="10"/>
  <c r="N22" i="10"/>
  <c r="U21" i="10"/>
  <c r="T21" i="10"/>
  <c r="S21" i="10"/>
  <c r="R21" i="10"/>
  <c r="Q21" i="10"/>
  <c r="P21" i="10"/>
  <c r="O21" i="10"/>
  <c r="N21" i="10"/>
  <c r="U20" i="10"/>
  <c r="T20" i="10"/>
  <c r="S20" i="10"/>
  <c r="R20" i="10"/>
  <c r="Q20" i="10"/>
  <c r="P20" i="10"/>
  <c r="O20" i="10"/>
  <c r="N20" i="10"/>
  <c r="U19" i="10"/>
  <c r="T19" i="10"/>
  <c r="S19" i="10"/>
  <c r="R19" i="10"/>
  <c r="Q19" i="10"/>
  <c r="P19" i="10"/>
  <c r="O19" i="10"/>
  <c r="N19" i="10"/>
  <c r="U18" i="10"/>
  <c r="T18" i="10"/>
  <c r="S18" i="10"/>
  <c r="R18" i="10"/>
  <c r="Q18" i="10"/>
  <c r="P18" i="10"/>
  <c r="O18" i="10"/>
  <c r="N18" i="10"/>
  <c r="U17" i="10"/>
  <c r="T17" i="10"/>
  <c r="S17" i="10"/>
  <c r="R17" i="10"/>
  <c r="Q17" i="10"/>
  <c r="P17" i="10"/>
  <c r="O17" i="10"/>
  <c r="N17" i="10"/>
  <c r="U16" i="10"/>
  <c r="T16" i="10"/>
  <c r="S16" i="10"/>
  <c r="R16" i="10"/>
  <c r="Q16" i="10"/>
  <c r="P16" i="10"/>
  <c r="O16" i="10"/>
  <c r="N16" i="10"/>
  <c r="U15" i="10"/>
  <c r="T15" i="10"/>
  <c r="S15" i="10"/>
  <c r="R15" i="10"/>
  <c r="Q15" i="10"/>
  <c r="P15" i="10"/>
  <c r="O15" i="10"/>
  <c r="N15" i="10"/>
  <c r="U14" i="10"/>
  <c r="T14" i="10"/>
  <c r="S14" i="10"/>
  <c r="R14" i="10"/>
  <c r="Q14" i="10"/>
  <c r="P14" i="10"/>
  <c r="O14" i="10"/>
  <c r="N14" i="10"/>
  <c r="U13" i="10"/>
  <c r="T13" i="10"/>
  <c r="S13" i="10"/>
  <c r="R13" i="10"/>
  <c r="Q13" i="10"/>
  <c r="P13" i="10"/>
  <c r="O13" i="10"/>
  <c r="N13" i="10"/>
  <c r="U12" i="10"/>
  <c r="T12" i="10"/>
  <c r="S12" i="10"/>
  <c r="R12" i="10"/>
  <c r="Q12" i="10"/>
  <c r="P12" i="10"/>
  <c r="O12" i="10"/>
  <c r="N12" i="10"/>
  <c r="U11" i="10"/>
  <c r="T11" i="10"/>
  <c r="S11" i="10"/>
  <c r="R11" i="10"/>
  <c r="Q11" i="10"/>
  <c r="P11" i="10"/>
  <c r="O11" i="10"/>
  <c r="N11" i="10"/>
  <c r="U10" i="10"/>
  <c r="T10" i="10"/>
  <c r="S10" i="10"/>
  <c r="R10" i="10"/>
  <c r="Q10" i="10"/>
  <c r="P10" i="10"/>
  <c r="O10" i="10"/>
  <c r="N10" i="10"/>
  <c r="U9" i="10"/>
  <c r="T9" i="10"/>
  <c r="S9" i="10"/>
  <c r="R9" i="10"/>
  <c r="Q9" i="10"/>
  <c r="P9" i="10"/>
  <c r="O9" i="10"/>
  <c r="N9" i="10"/>
  <c r="U8" i="10"/>
  <c r="T8" i="10"/>
  <c r="S8" i="10"/>
  <c r="R8" i="10"/>
  <c r="Q8" i="10"/>
  <c r="P8" i="10"/>
  <c r="O8" i="10"/>
  <c r="N8" i="10"/>
  <c r="U7" i="10"/>
  <c r="T7" i="10"/>
  <c r="S7" i="10"/>
  <c r="R7" i="10"/>
  <c r="Q7" i="10"/>
  <c r="P7" i="10"/>
  <c r="O7" i="10"/>
  <c r="N7" i="10"/>
  <c r="U6" i="10"/>
  <c r="T6" i="10"/>
  <c r="S6" i="10"/>
  <c r="R6" i="10"/>
  <c r="Q6" i="10"/>
  <c r="P6" i="10"/>
  <c r="O6" i="10"/>
  <c r="N6" i="10"/>
  <c r="U5" i="10"/>
  <c r="T5" i="10"/>
  <c r="S5" i="10"/>
  <c r="R5" i="10"/>
  <c r="Q5" i="10"/>
  <c r="P5" i="10"/>
  <c r="O5" i="10"/>
  <c r="N5" i="10"/>
  <c r="U4" i="10"/>
  <c r="T4" i="10"/>
  <c r="S4" i="10"/>
  <c r="R4" i="10"/>
  <c r="Q4" i="10"/>
  <c r="P4" i="10"/>
  <c r="O4" i="10"/>
  <c r="N4" i="10"/>
  <c r="S2" i="10"/>
  <c r="P2" i="10"/>
  <c r="N72" i="9"/>
  <c r="N71" i="9"/>
  <c r="N70" i="9"/>
  <c r="N69" i="9"/>
  <c r="N68" i="9"/>
  <c r="N67" i="9"/>
  <c r="N66" i="9"/>
  <c r="N65" i="9"/>
  <c r="N64" i="9"/>
  <c r="N63" i="9"/>
  <c r="N62" i="9"/>
  <c r="N61" i="9"/>
  <c r="N60" i="9"/>
  <c r="N59" i="9"/>
  <c r="N58" i="9"/>
  <c r="N57" i="9"/>
  <c r="N56" i="9"/>
  <c r="N55" i="9"/>
  <c r="N54" i="9"/>
  <c r="N53" i="9"/>
  <c r="N52" i="9"/>
  <c r="N51" i="9"/>
  <c r="N50" i="9"/>
  <c r="U49" i="9"/>
  <c r="T49" i="9"/>
  <c r="S49" i="9"/>
  <c r="R49" i="9"/>
  <c r="Q49" i="9"/>
  <c r="P49" i="9"/>
  <c r="O49" i="9"/>
  <c r="N49" i="9"/>
  <c r="U48" i="9"/>
  <c r="T48" i="9"/>
  <c r="S48" i="9"/>
  <c r="R48" i="9"/>
  <c r="Q48" i="9"/>
  <c r="P48" i="9"/>
  <c r="O48" i="9"/>
  <c r="U47" i="9"/>
  <c r="T47" i="9"/>
  <c r="S47" i="9"/>
  <c r="R47" i="9"/>
  <c r="Q47" i="9"/>
  <c r="P47" i="9"/>
  <c r="O47" i="9"/>
  <c r="U46" i="9"/>
  <c r="T46" i="9"/>
  <c r="S46" i="9"/>
  <c r="R46" i="9"/>
  <c r="Q46" i="9"/>
  <c r="P46" i="9"/>
  <c r="O46" i="9"/>
  <c r="U45" i="9"/>
  <c r="T45" i="9"/>
  <c r="S45" i="9"/>
  <c r="R45" i="9"/>
  <c r="Q45" i="9"/>
  <c r="P45" i="9"/>
  <c r="O45" i="9"/>
  <c r="N45" i="9"/>
  <c r="U44" i="9"/>
  <c r="T44" i="9"/>
  <c r="S44" i="9"/>
  <c r="R44" i="9"/>
  <c r="Q44" i="9"/>
  <c r="P44" i="9"/>
  <c r="O44" i="9"/>
  <c r="N44" i="9"/>
  <c r="U43" i="9"/>
  <c r="T43" i="9"/>
  <c r="S43" i="9"/>
  <c r="R43" i="9"/>
  <c r="Q43" i="9"/>
  <c r="P43" i="9"/>
  <c r="O43" i="9"/>
  <c r="U42" i="9"/>
  <c r="T42" i="9"/>
  <c r="S42" i="9"/>
  <c r="R42" i="9"/>
  <c r="Q42" i="9"/>
  <c r="P42" i="9"/>
  <c r="O42" i="9"/>
  <c r="U41" i="9"/>
  <c r="T41" i="9"/>
  <c r="S41" i="9"/>
  <c r="R41" i="9"/>
  <c r="Q41" i="9"/>
  <c r="P41" i="9"/>
  <c r="O41" i="9"/>
  <c r="N41" i="9"/>
  <c r="U40" i="9"/>
  <c r="T40" i="9"/>
  <c r="S40" i="9"/>
  <c r="R40" i="9"/>
  <c r="Q40" i="9"/>
  <c r="P40" i="9"/>
  <c r="O40" i="9"/>
  <c r="U39" i="9"/>
  <c r="T39" i="9"/>
  <c r="S39" i="9"/>
  <c r="R39" i="9"/>
  <c r="Q39" i="9"/>
  <c r="P39" i="9"/>
  <c r="O39" i="9"/>
  <c r="N39" i="9"/>
  <c r="U38" i="9"/>
  <c r="T38" i="9"/>
  <c r="S38" i="9"/>
  <c r="R38" i="9"/>
  <c r="Q38" i="9"/>
  <c r="P38" i="9"/>
  <c r="O38" i="9"/>
  <c r="N38" i="9"/>
  <c r="U37" i="9"/>
  <c r="T37" i="9"/>
  <c r="S37" i="9"/>
  <c r="R37" i="9"/>
  <c r="Q37" i="9"/>
  <c r="P37" i="9"/>
  <c r="O37" i="9"/>
  <c r="U36" i="9"/>
  <c r="T36" i="9"/>
  <c r="S36" i="9"/>
  <c r="R36" i="9"/>
  <c r="Q36" i="9"/>
  <c r="P36" i="9"/>
  <c r="O36" i="9"/>
  <c r="U35" i="9"/>
  <c r="T35" i="9"/>
  <c r="S35" i="9"/>
  <c r="R35" i="9"/>
  <c r="Q35" i="9"/>
  <c r="P35" i="9"/>
  <c r="O35" i="9"/>
  <c r="N35" i="9"/>
  <c r="U34" i="9"/>
  <c r="T34" i="9"/>
  <c r="S34" i="9"/>
  <c r="R34" i="9"/>
  <c r="Q34" i="9"/>
  <c r="P34" i="9"/>
  <c r="O34" i="9"/>
  <c r="U33" i="9"/>
  <c r="T33" i="9"/>
  <c r="S33" i="9"/>
  <c r="R33" i="9"/>
  <c r="Q33" i="9"/>
  <c r="P33" i="9"/>
  <c r="O33" i="9"/>
  <c r="N33" i="9"/>
  <c r="U32" i="9"/>
  <c r="T32" i="9"/>
  <c r="S32" i="9"/>
  <c r="R32" i="9"/>
  <c r="Q32" i="9"/>
  <c r="P32" i="9"/>
  <c r="O32" i="9"/>
  <c r="N32" i="9"/>
  <c r="U31" i="9"/>
  <c r="T31" i="9"/>
  <c r="S31" i="9"/>
  <c r="R31" i="9"/>
  <c r="Q31" i="9"/>
  <c r="P31" i="9"/>
  <c r="O31" i="9"/>
  <c r="N31" i="9"/>
  <c r="U30" i="9"/>
  <c r="T30" i="9"/>
  <c r="S30" i="9"/>
  <c r="R30" i="9"/>
  <c r="Q30" i="9"/>
  <c r="P30" i="9"/>
  <c r="O30" i="9"/>
  <c r="U29" i="9"/>
  <c r="T29" i="9"/>
  <c r="S29" i="9"/>
  <c r="R29" i="9"/>
  <c r="Q29" i="9"/>
  <c r="P29" i="9"/>
  <c r="O29" i="9"/>
  <c r="U28" i="9"/>
  <c r="T28" i="9"/>
  <c r="S28" i="9"/>
  <c r="R28" i="9"/>
  <c r="Q28" i="9"/>
  <c r="P28" i="9"/>
  <c r="O28" i="9"/>
  <c r="N28" i="9"/>
  <c r="U27" i="9"/>
  <c r="T27" i="9"/>
  <c r="S27" i="9"/>
  <c r="R27" i="9"/>
  <c r="Q27" i="9"/>
  <c r="P27" i="9"/>
  <c r="O27" i="9"/>
  <c r="N27" i="9"/>
  <c r="U26" i="9"/>
  <c r="T26" i="9"/>
  <c r="S26" i="9"/>
  <c r="R26" i="9"/>
  <c r="Q26" i="9"/>
  <c r="P26" i="9"/>
  <c r="O26" i="9"/>
  <c r="N26" i="9"/>
  <c r="U25" i="9"/>
  <c r="T25" i="9"/>
  <c r="S25" i="9"/>
  <c r="R25" i="9"/>
  <c r="Q25" i="9"/>
  <c r="P25" i="9"/>
  <c r="O25" i="9"/>
  <c r="N25" i="9"/>
  <c r="U24" i="9"/>
  <c r="T24" i="9"/>
  <c r="S24" i="9"/>
  <c r="R24" i="9"/>
  <c r="Q24" i="9"/>
  <c r="P24" i="9"/>
  <c r="O24" i="9"/>
  <c r="N24" i="9"/>
  <c r="U23" i="9"/>
  <c r="T23" i="9"/>
  <c r="S23" i="9"/>
  <c r="R23" i="9"/>
  <c r="Q23" i="9"/>
  <c r="P23" i="9"/>
  <c r="O23" i="9"/>
  <c r="N23" i="9"/>
  <c r="U22" i="9"/>
  <c r="T22" i="9"/>
  <c r="S22" i="9"/>
  <c r="R22" i="9"/>
  <c r="Q22" i="9"/>
  <c r="P22" i="9"/>
  <c r="O22" i="9"/>
  <c r="N22" i="9"/>
  <c r="U21" i="9"/>
  <c r="T21" i="9"/>
  <c r="S21" i="9"/>
  <c r="R21" i="9"/>
  <c r="Q21" i="9"/>
  <c r="P21" i="9"/>
  <c r="O21" i="9"/>
  <c r="N21" i="9"/>
  <c r="U20" i="9"/>
  <c r="T20" i="9"/>
  <c r="S20" i="9"/>
  <c r="R20" i="9"/>
  <c r="Q20" i="9"/>
  <c r="P20" i="9"/>
  <c r="O20" i="9"/>
  <c r="U19" i="9"/>
  <c r="T19" i="9"/>
  <c r="S19" i="9"/>
  <c r="R19" i="9"/>
  <c r="Q19" i="9"/>
  <c r="P19" i="9"/>
  <c r="O19" i="9"/>
  <c r="U18" i="9"/>
  <c r="T18" i="9"/>
  <c r="S18" i="9"/>
  <c r="R18" i="9"/>
  <c r="Q18" i="9"/>
  <c r="P18" i="9"/>
  <c r="O18" i="9"/>
  <c r="N18" i="9"/>
  <c r="U17" i="9"/>
  <c r="T17" i="9"/>
  <c r="S17" i="9"/>
  <c r="R17" i="9"/>
  <c r="Q17" i="9"/>
  <c r="P17" i="9"/>
  <c r="O17" i="9"/>
  <c r="N17" i="9"/>
  <c r="U16" i="9"/>
  <c r="T16" i="9"/>
  <c r="S16" i="9"/>
  <c r="R16" i="9"/>
  <c r="Q16" i="9"/>
  <c r="P16" i="9"/>
  <c r="O16" i="9"/>
  <c r="U15" i="9"/>
  <c r="T15" i="9"/>
  <c r="S15" i="9"/>
  <c r="R15" i="9"/>
  <c r="Q15" i="9"/>
  <c r="P15" i="9"/>
  <c r="O15" i="9"/>
  <c r="N15" i="9"/>
  <c r="U14" i="9"/>
  <c r="T14" i="9"/>
  <c r="S14" i="9"/>
  <c r="R14" i="9"/>
  <c r="Q14" i="9"/>
  <c r="P14" i="9"/>
  <c r="O14" i="9"/>
  <c r="U13" i="9"/>
  <c r="T13" i="9"/>
  <c r="S13" i="9"/>
  <c r="R13" i="9"/>
  <c r="Q13" i="9"/>
  <c r="P13" i="9"/>
  <c r="O13" i="9"/>
  <c r="N13" i="9"/>
  <c r="U12" i="9"/>
  <c r="T12" i="9"/>
  <c r="S12" i="9"/>
  <c r="R12" i="9"/>
  <c r="Q12" i="9"/>
  <c r="P12" i="9"/>
  <c r="O12" i="9"/>
  <c r="N12" i="9"/>
  <c r="U11" i="9"/>
  <c r="T11" i="9"/>
  <c r="S11" i="9"/>
  <c r="R11" i="9"/>
  <c r="Q11" i="9"/>
  <c r="P11" i="9"/>
  <c r="O11" i="9"/>
  <c r="N11" i="9"/>
  <c r="U10" i="9"/>
  <c r="T10" i="9"/>
  <c r="S10" i="9"/>
  <c r="R10" i="9"/>
  <c r="Q10" i="9"/>
  <c r="P10" i="9"/>
  <c r="O10" i="9"/>
  <c r="U9" i="9"/>
  <c r="T9" i="9"/>
  <c r="S9" i="9"/>
  <c r="R9" i="9"/>
  <c r="Q9" i="9"/>
  <c r="P9" i="9"/>
  <c r="O9" i="9"/>
  <c r="N9" i="9"/>
  <c r="U8" i="9"/>
  <c r="T8" i="9"/>
  <c r="S8" i="9"/>
  <c r="R8" i="9"/>
  <c r="Q8" i="9"/>
  <c r="P8" i="9"/>
  <c r="O8" i="9"/>
  <c r="U7" i="9"/>
  <c r="T7" i="9"/>
  <c r="S7" i="9"/>
  <c r="R7" i="9"/>
  <c r="Q7" i="9"/>
  <c r="P7" i="9"/>
  <c r="O7" i="9"/>
  <c r="U6" i="9"/>
  <c r="T6" i="9"/>
  <c r="S6" i="9"/>
  <c r="R6" i="9"/>
  <c r="Q6" i="9"/>
  <c r="P6" i="9"/>
  <c r="O6" i="9"/>
  <c r="N6" i="9"/>
  <c r="U5" i="9"/>
  <c r="T5" i="9"/>
  <c r="S5" i="9"/>
  <c r="R5" i="9"/>
  <c r="Q5" i="9"/>
  <c r="P5" i="9"/>
  <c r="O5" i="9"/>
  <c r="U4" i="9"/>
  <c r="T4" i="9"/>
  <c r="S4" i="9"/>
  <c r="R4" i="9"/>
  <c r="Q4" i="9"/>
  <c r="P4" i="9"/>
  <c r="O4" i="9"/>
  <c r="N4" i="9"/>
  <c r="S2" i="9"/>
  <c r="P2" i="9"/>
  <c r="Y72" i="8"/>
  <c r="X72" i="8"/>
  <c r="W72" i="8"/>
  <c r="V72" i="8"/>
  <c r="U72" i="8"/>
  <c r="T72" i="8"/>
  <c r="S72" i="8"/>
  <c r="R72" i="8"/>
  <c r="Q72" i="8"/>
  <c r="P72" i="8"/>
  <c r="O72" i="8"/>
  <c r="Y71" i="8"/>
  <c r="X71" i="8"/>
  <c r="W71" i="8"/>
  <c r="V71" i="8"/>
  <c r="U71" i="8"/>
  <c r="T71" i="8"/>
  <c r="S71" i="8"/>
  <c r="R71" i="8"/>
  <c r="Q71" i="8"/>
  <c r="P71" i="8"/>
  <c r="Y70" i="8"/>
  <c r="X70" i="8"/>
  <c r="W70" i="8"/>
  <c r="V70" i="8"/>
  <c r="U70" i="8"/>
  <c r="T70" i="8"/>
  <c r="S70" i="8"/>
  <c r="R70" i="8"/>
  <c r="Q70" i="8"/>
  <c r="P70" i="8"/>
  <c r="O70" i="8"/>
  <c r="Y69" i="8"/>
  <c r="X69" i="8"/>
  <c r="W69" i="8"/>
  <c r="V69" i="8"/>
  <c r="U69" i="8"/>
  <c r="T69" i="8"/>
  <c r="S69" i="8"/>
  <c r="R69" i="8"/>
  <c r="Q69" i="8"/>
  <c r="P69" i="8"/>
  <c r="Y68" i="8"/>
  <c r="X68" i="8"/>
  <c r="W68" i="8"/>
  <c r="V68" i="8"/>
  <c r="U68" i="8"/>
  <c r="T68" i="8"/>
  <c r="S68" i="8"/>
  <c r="R68" i="8"/>
  <c r="Q68" i="8"/>
  <c r="P68" i="8"/>
  <c r="O68" i="8"/>
  <c r="Y67" i="8"/>
  <c r="X67" i="8"/>
  <c r="W67" i="8"/>
  <c r="V67" i="8"/>
  <c r="U67" i="8"/>
  <c r="T67" i="8"/>
  <c r="S67" i="8"/>
  <c r="R67" i="8"/>
  <c r="Q67" i="8"/>
  <c r="P67" i="8"/>
  <c r="Y66" i="8"/>
  <c r="X66" i="8"/>
  <c r="W66" i="8"/>
  <c r="V66" i="8"/>
  <c r="U66" i="8"/>
  <c r="T66" i="8"/>
  <c r="S66" i="8"/>
  <c r="R66" i="8"/>
  <c r="Q66" i="8"/>
  <c r="P66" i="8"/>
  <c r="Y65" i="8"/>
  <c r="X65" i="8"/>
  <c r="W65" i="8"/>
  <c r="V65" i="8"/>
  <c r="U65" i="8"/>
  <c r="T65" i="8"/>
  <c r="S65" i="8"/>
  <c r="R65" i="8"/>
  <c r="Q65" i="8"/>
  <c r="P65" i="8"/>
  <c r="Y64" i="8"/>
  <c r="X64" i="8"/>
  <c r="W64" i="8"/>
  <c r="V64" i="8"/>
  <c r="U64" i="8"/>
  <c r="T64" i="8"/>
  <c r="S64" i="8"/>
  <c r="R64" i="8"/>
  <c r="Q64" i="8"/>
  <c r="P64" i="8"/>
  <c r="O64" i="8"/>
  <c r="Y63" i="8"/>
  <c r="X63" i="8"/>
  <c r="W63" i="8"/>
  <c r="V63" i="8"/>
  <c r="U63" i="8"/>
  <c r="T63" i="8"/>
  <c r="S63" i="8"/>
  <c r="R63" i="8"/>
  <c r="Q63" i="8"/>
  <c r="P63" i="8"/>
  <c r="O63" i="8"/>
  <c r="Y62" i="8"/>
  <c r="X62" i="8"/>
  <c r="W62" i="8"/>
  <c r="V62" i="8"/>
  <c r="U62" i="8"/>
  <c r="T62" i="8"/>
  <c r="S62" i="8"/>
  <c r="R62" i="8"/>
  <c r="Q62" i="8"/>
  <c r="P62" i="8"/>
  <c r="Y61" i="8"/>
  <c r="X61" i="8"/>
  <c r="W61" i="8"/>
  <c r="V61" i="8"/>
  <c r="U61" i="8"/>
  <c r="T61" i="8"/>
  <c r="S61" i="8"/>
  <c r="R61" i="8"/>
  <c r="Q61" i="8"/>
  <c r="P61" i="8"/>
  <c r="Y60" i="8"/>
  <c r="X60" i="8"/>
  <c r="W60" i="8"/>
  <c r="V60" i="8"/>
  <c r="U60" i="8"/>
  <c r="T60" i="8"/>
  <c r="S60" i="8"/>
  <c r="R60" i="8"/>
  <c r="Q60" i="8"/>
  <c r="P60" i="8"/>
  <c r="O60" i="8"/>
  <c r="Y59" i="8"/>
  <c r="X59" i="8"/>
  <c r="W59" i="8"/>
  <c r="V59" i="8"/>
  <c r="U59" i="8"/>
  <c r="T59" i="8"/>
  <c r="S59" i="8"/>
  <c r="R59" i="8"/>
  <c r="Q59" i="8"/>
  <c r="P59" i="8"/>
  <c r="Y58" i="8"/>
  <c r="X58" i="8"/>
  <c r="W58" i="8"/>
  <c r="V58" i="8"/>
  <c r="U58" i="8"/>
  <c r="T58" i="8"/>
  <c r="S58" i="8"/>
  <c r="R58" i="8"/>
  <c r="Q58" i="8"/>
  <c r="P58" i="8"/>
  <c r="O58" i="8"/>
  <c r="Y57" i="8"/>
  <c r="X57" i="8"/>
  <c r="W57" i="8"/>
  <c r="V57" i="8"/>
  <c r="U57" i="8"/>
  <c r="T57" i="8"/>
  <c r="S57" i="8"/>
  <c r="R57" i="8"/>
  <c r="Q57" i="8"/>
  <c r="P57" i="8"/>
  <c r="Y56" i="8"/>
  <c r="X56" i="8"/>
  <c r="W56" i="8"/>
  <c r="V56" i="8"/>
  <c r="U56" i="8"/>
  <c r="T56" i="8"/>
  <c r="S56" i="8"/>
  <c r="R56" i="8"/>
  <c r="Q56" i="8"/>
  <c r="P56" i="8"/>
  <c r="O56" i="8"/>
  <c r="Y55" i="8"/>
  <c r="X55" i="8"/>
  <c r="W55" i="8"/>
  <c r="V55" i="8"/>
  <c r="U55" i="8"/>
  <c r="T55" i="8"/>
  <c r="S55" i="8"/>
  <c r="R55" i="8"/>
  <c r="Q55" i="8"/>
  <c r="P55" i="8"/>
  <c r="O55" i="8"/>
  <c r="Y54" i="8"/>
  <c r="X54" i="8"/>
  <c r="W54" i="8"/>
  <c r="V54" i="8"/>
  <c r="U54" i="8"/>
  <c r="T54" i="8"/>
  <c r="S54" i="8"/>
  <c r="R54" i="8"/>
  <c r="Q54" i="8"/>
  <c r="P54" i="8"/>
  <c r="O54" i="8"/>
  <c r="Y53" i="8"/>
  <c r="X53" i="8"/>
  <c r="W53" i="8"/>
  <c r="V53" i="8"/>
  <c r="U53" i="8"/>
  <c r="T53" i="8"/>
  <c r="S53" i="8"/>
  <c r="R53" i="8"/>
  <c r="Q53" i="8"/>
  <c r="P53" i="8"/>
  <c r="O53" i="8"/>
  <c r="Y52" i="8"/>
  <c r="X52" i="8"/>
  <c r="W52" i="8"/>
  <c r="V52" i="8"/>
  <c r="U52" i="8"/>
  <c r="T52" i="8"/>
  <c r="S52" i="8"/>
  <c r="R52" i="8"/>
  <c r="Q52" i="8"/>
  <c r="P52" i="8"/>
  <c r="O52" i="8"/>
  <c r="Y51" i="8"/>
  <c r="X51" i="8"/>
  <c r="W51" i="8"/>
  <c r="V51" i="8"/>
  <c r="U51" i="8"/>
  <c r="T51" i="8"/>
  <c r="S51" i="8"/>
  <c r="R51" i="8"/>
  <c r="Q51" i="8"/>
  <c r="P51" i="8"/>
  <c r="O51" i="8"/>
  <c r="Y50" i="8"/>
  <c r="X50" i="8"/>
  <c r="W50" i="8"/>
  <c r="V50" i="8"/>
  <c r="U50" i="8"/>
  <c r="T50" i="8"/>
  <c r="S50" i="8"/>
  <c r="R50" i="8"/>
  <c r="Q50" i="8"/>
  <c r="P50" i="8"/>
  <c r="O50" i="8"/>
  <c r="Y49" i="8"/>
  <c r="X49" i="8"/>
  <c r="W49" i="8"/>
  <c r="V49" i="8"/>
  <c r="U49" i="8"/>
  <c r="T49" i="8"/>
  <c r="S49" i="8"/>
  <c r="R49" i="8"/>
  <c r="Q49" i="8"/>
  <c r="P49" i="8"/>
  <c r="O49" i="8"/>
  <c r="Y48" i="8"/>
  <c r="X48" i="8"/>
  <c r="W48" i="8"/>
  <c r="V48" i="8"/>
  <c r="U48" i="8"/>
  <c r="T48" i="8"/>
  <c r="S48" i="8"/>
  <c r="R48" i="8"/>
  <c r="Q48" i="8"/>
  <c r="P48" i="8"/>
  <c r="O48" i="8"/>
  <c r="Y47" i="8"/>
  <c r="X47" i="8"/>
  <c r="W47" i="8"/>
  <c r="V47" i="8"/>
  <c r="U47" i="8"/>
  <c r="T47" i="8"/>
  <c r="S47" i="8"/>
  <c r="R47" i="8"/>
  <c r="Q47" i="8"/>
  <c r="P47" i="8"/>
  <c r="O47" i="8"/>
  <c r="Y46" i="8"/>
  <c r="X46" i="8"/>
  <c r="W46" i="8"/>
  <c r="V46" i="8"/>
  <c r="U46" i="8"/>
  <c r="T46" i="8"/>
  <c r="S46" i="8"/>
  <c r="R46" i="8"/>
  <c r="Q46" i="8"/>
  <c r="P46" i="8"/>
  <c r="O46" i="8"/>
  <c r="Y45" i="8"/>
  <c r="X45" i="8"/>
  <c r="W45" i="8"/>
  <c r="V45" i="8"/>
  <c r="U45" i="8"/>
  <c r="T45" i="8"/>
  <c r="S45" i="8"/>
  <c r="R45" i="8"/>
  <c r="Q45" i="8"/>
  <c r="P45" i="8"/>
  <c r="O45" i="8"/>
  <c r="Y44" i="8"/>
  <c r="X44" i="8"/>
  <c r="W44" i="8"/>
  <c r="V44" i="8"/>
  <c r="U44" i="8"/>
  <c r="T44" i="8"/>
  <c r="S44" i="8"/>
  <c r="R44" i="8"/>
  <c r="Q44" i="8"/>
  <c r="P44" i="8"/>
  <c r="O44" i="8"/>
  <c r="Y43" i="8"/>
  <c r="X43" i="8"/>
  <c r="W43" i="8"/>
  <c r="V43" i="8"/>
  <c r="U43" i="8"/>
  <c r="T43" i="8"/>
  <c r="S43" i="8"/>
  <c r="R43" i="8"/>
  <c r="Q43" i="8"/>
  <c r="P43" i="8"/>
  <c r="O43" i="8"/>
  <c r="Y42" i="8"/>
  <c r="X42" i="8"/>
  <c r="W42" i="8"/>
  <c r="V42" i="8"/>
  <c r="U42" i="8"/>
  <c r="T42" i="8"/>
  <c r="S42" i="8"/>
  <c r="R42" i="8"/>
  <c r="Q42" i="8"/>
  <c r="P42" i="8"/>
  <c r="O42" i="8"/>
  <c r="Y41" i="8"/>
  <c r="X41" i="8"/>
  <c r="W41" i="8"/>
  <c r="V41" i="8"/>
  <c r="U41" i="8"/>
  <c r="T41" i="8"/>
  <c r="S41" i="8"/>
  <c r="R41" i="8"/>
  <c r="Q41" i="8"/>
  <c r="P41" i="8"/>
  <c r="O41" i="8"/>
  <c r="Y40" i="8"/>
  <c r="X40" i="8"/>
  <c r="W40" i="8"/>
  <c r="V40" i="8"/>
  <c r="U40" i="8"/>
  <c r="T40" i="8"/>
  <c r="S40" i="8"/>
  <c r="R40" i="8"/>
  <c r="Q40" i="8"/>
  <c r="P40" i="8"/>
  <c r="O40" i="8"/>
  <c r="Y39" i="8"/>
  <c r="X39" i="8"/>
  <c r="W39" i="8"/>
  <c r="V39" i="8"/>
  <c r="U39" i="8"/>
  <c r="T39" i="8"/>
  <c r="S39" i="8"/>
  <c r="R39" i="8"/>
  <c r="Q39" i="8"/>
  <c r="P39" i="8"/>
  <c r="O39" i="8"/>
  <c r="Y38" i="8"/>
  <c r="X38" i="8"/>
  <c r="W38" i="8"/>
  <c r="V38" i="8"/>
  <c r="U38" i="8"/>
  <c r="T38" i="8"/>
  <c r="S38" i="8"/>
  <c r="R38" i="8"/>
  <c r="Q38" i="8"/>
  <c r="P38" i="8"/>
  <c r="O38" i="8"/>
  <c r="Y37" i="8"/>
  <c r="X37" i="8"/>
  <c r="W37" i="8"/>
  <c r="V37" i="8"/>
  <c r="U37" i="8"/>
  <c r="T37" i="8"/>
  <c r="S37" i="8"/>
  <c r="R37" i="8"/>
  <c r="Q37" i="8"/>
  <c r="P37" i="8"/>
  <c r="O37" i="8"/>
  <c r="Y36" i="8"/>
  <c r="X36" i="8"/>
  <c r="W36" i="8"/>
  <c r="V36" i="8"/>
  <c r="U36" i="8"/>
  <c r="T36" i="8"/>
  <c r="S36" i="8"/>
  <c r="R36" i="8"/>
  <c r="Q36" i="8"/>
  <c r="P36" i="8"/>
  <c r="O36" i="8"/>
  <c r="Y35" i="8"/>
  <c r="X35" i="8"/>
  <c r="W35" i="8"/>
  <c r="V35" i="8"/>
  <c r="U35" i="8"/>
  <c r="T35" i="8"/>
  <c r="S35" i="8"/>
  <c r="R35" i="8"/>
  <c r="Q35" i="8"/>
  <c r="P35" i="8"/>
  <c r="O35" i="8"/>
  <c r="Y34" i="8"/>
  <c r="X34" i="8"/>
  <c r="W34" i="8"/>
  <c r="V34" i="8"/>
  <c r="U34" i="8"/>
  <c r="T34" i="8"/>
  <c r="S34" i="8"/>
  <c r="R34" i="8"/>
  <c r="Q34" i="8"/>
  <c r="P34" i="8"/>
  <c r="O34" i="8"/>
  <c r="Y33" i="8"/>
  <c r="X33" i="8"/>
  <c r="W33" i="8"/>
  <c r="V33" i="8"/>
  <c r="U33" i="8"/>
  <c r="T33" i="8"/>
  <c r="S33" i="8"/>
  <c r="R33" i="8"/>
  <c r="Q33" i="8"/>
  <c r="P33" i="8"/>
  <c r="O33" i="8"/>
  <c r="Y32" i="8"/>
  <c r="X32" i="8"/>
  <c r="W32" i="8"/>
  <c r="V32" i="8"/>
  <c r="U32" i="8"/>
  <c r="T32" i="8"/>
  <c r="S32" i="8"/>
  <c r="R32" i="8"/>
  <c r="Q32" i="8"/>
  <c r="P32" i="8"/>
  <c r="O32" i="8"/>
  <c r="Y31" i="8"/>
  <c r="X31" i="8"/>
  <c r="W31" i="8"/>
  <c r="V31" i="8"/>
  <c r="U31" i="8"/>
  <c r="T31" i="8"/>
  <c r="S31" i="8"/>
  <c r="R31" i="8"/>
  <c r="Q31" i="8"/>
  <c r="P31" i="8"/>
  <c r="O31" i="8"/>
  <c r="Y30" i="8"/>
  <c r="X30" i="8"/>
  <c r="W30" i="8"/>
  <c r="V30" i="8"/>
  <c r="U30" i="8"/>
  <c r="T30" i="8"/>
  <c r="S30" i="8"/>
  <c r="R30" i="8"/>
  <c r="Q30" i="8"/>
  <c r="P30" i="8"/>
  <c r="O30" i="8"/>
  <c r="Y29" i="8"/>
  <c r="X29" i="8"/>
  <c r="W29" i="8"/>
  <c r="V29" i="8"/>
  <c r="U29" i="8"/>
  <c r="T29" i="8"/>
  <c r="S29" i="8"/>
  <c r="R29" i="8"/>
  <c r="Q29" i="8"/>
  <c r="P29" i="8"/>
  <c r="O29" i="8"/>
  <c r="Y28" i="8"/>
  <c r="X28" i="8"/>
  <c r="W28" i="8"/>
  <c r="V28" i="8"/>
  <c r="U28" i="8"/>
  <c r="T28" i="8"/>
  <c r="S28" i="8"/>
  <c r="R28" i="8"/>
  <c r="Q28" i="8"/>
  <c r="P28" i="8"/>
  <c r="O28" i="8"/>
  <c r="Y27" i="8"/>
  <c r="X27" i="8"/>
  <c r="W27" i="8"/>
  <c r="V27" i="8"/>
  <c r="U27" i="8"/>
  <c r="T27" i="8"/>
  <c r="S27" i="8"/>
  <c r="R27" i="8"/>
  <c r="Q27" i="8"/>
  <c r="P27" i="8"/>
  <c r="O27" i="8"/>
  <c r="Y26" i="8"/>
  <c r="X26" i="8"/>
  <c r="W26" i="8"/>
  <c r="V26" i="8"/>
  <c r="U26" i="8"/>
  <c r="T26" i="8"/>
  <c r="S26" i="8"/>
  <c r="R26" i="8"/>
  <c r="Q26" i="8"/>
  <c r="P26" i="8"/>
  <c r="Y25" i="8"/>
  <c r="X25" i="8"/>
  <c r="W25" i="8"/>
  <c r="V25" i="8"/>
  <c r="U25" i="8"/>
  <c r="T25" i="8"/>
  <c r="S25" i="8"/>
  <c r="R25" i="8"/>
  <c r="Q25" i="8"/>
  <c r="P25" i="8"/>
  <c r="O25" i="8"/>
  <c r="Y24" i="8"/>
  <c r="X24" i="8"/>
  <c r="W24" i="8"/>
  <c r="V24" i="8"/>
  <c r="U24" i="8"/>
  <c r="T24" i="8"/>
  <c r="S24" i="8"/>
  <c r="R24" i="8"/>
  <c r="Q24" i="8"/>
  <c r="P24" i="8"/>
  <c r="O24" i="8"/>
  <c r="Y23" i="8"/>
  <c r="X23" i="8"/>
  <c r="W23" i="8"/>
  <c r="V23" i="8"/>
  <c r="U23" i="8"/>
  <c r="T23" i="8"/>
  <c r="S23" i="8"/>
  <c r="R23" i="8"/>
  <c r="Q23" i="8"/>
  <c r="P23" i="8"/>
  <c r="Y22" i="8"/>
  <c r="X22" i="8"/>
  <c r="W22" i="8"/>
  <c r="V22" i="8"/>
  <c r="U22" i="8"/>
  <c r="T22" i="8"/>
  <c r="S22" i="8"/>
  <c r="R22" i="8"/>
  <c r="Q22" i="8"/>
  <c r="P22" i="8"/>
  <c r="Y21" i="8"/>
  <c r="X21" i="8"/>
  <c r="W21" i="8"/>
  <c r="V21" i="8"/>
  <c r="U21" i="8"/>
  <c r="T21" i="8"/>
  <c r="S21" i="8"/>
  <c r="R21" i="8"/>
  <c r="Q21" i="8"/>
  <c r="P21" i="8"/>
  <c r="O21" i="8"/>
  <c r="Y20" i="8"/>
  <c r="X20" i="8"/>
  <c r="W20" i="8"/>
  <c r="V20" i="8"/>
  <c r="U20" i="8"/>
  <c r="T20" i="8"/>
  <c r="S20" i="8"/>
  <c r="R20" i="8"/>
  <c r="Q20" i="8"/>
  <c r="P20" i="8"/>
  <c r="O20" i="8"/>
  <c r="Y19" i="8"/>
  <c r="X19" i="8"/>
  <c r="W19" i="8"/>
  <c r="V19" i="8"/>
  <c r="U19" i="8"/>
  <c r="T19" i="8"/>
  <c r="S19" i="8"/>
  <c r="R19" i="8"/>
  <c r="Q19" i="8"/>
  <c r="P19" i="8"/>
  <c r="Y18" i="8"/>
  <c r="X18" i="8"/>
  <c r="W18" i="8"/>
  <c r="V18" i="8"/>
  <c r="U18" i="8"/>
  <c r="T18" i="8"/>
  <c r="S18" i="8"/>
  <c r="R18" i="8"/>
  <c r="Q18" i="8"/>
  <c r="P18" i="8"/>
  <c r="O18" i="8"/>
  <c r="Y17" i="8"/>
  <c r="X17" i="8"/>
  <c r="W17" i="8"/>
  <c r="V17" i="8"/>
  <c r="U17" i="8"/>
  <c r="T17" i="8"/>
  <c r="S17" i="8"/>
  <c r="R17" i="8"/>
  <c r="Q17" i="8"/>
  <c r="P17" i="8"/>
  <c r="O17" i="8"/>
  <c r="Y16" i="8"/>
  <c r="X16" i="8"/>
  <c r="W16" i="8"/>
  <c r="V16" i="8"/>
  <c r="U16" i="8"/>
  <c r="T16" i="8"/>
  <c r="S16" i="8"/>
  <c r="R16" i="8"/>
  <c r="Q16" i="8"/>
  <c r="P16" i="8"/>
  <c r="Y15" i="8"/>
  <c r="X15" i="8"/>
  <c r="W15" i="8"/>
  <c r="V15" i="8"/>
  <c r="U15" i="8"/>
  <c r="T15" i="8"/>
  <c r="S15" i="8"/>
  <c r="R15" i="8"/>
  <c r="Q15" i="8"/>
  <c r="P15" i="8"/>
  <c r="Y14" i="8"/>
  <c r="X14" i="8"/>
  <c r="W14" i="8"/>
  <c r="V14" i="8"/>
  <c r="U14" i="8"/>
  <c r="T14" i="8"/>
  <c r="S14" i="8"/>
  <c r="R14" i="8"/>
  <c r="Q14" i="8"/>
  <c r="P14" i="8"/>
  <c r="Y13" i="8"/>
  <c r="X13" i="8"/>
  <c r="W13" i="8"/>
  <c r="V13" i="8"/>
  <c r="U13" i="8"/>
  <c r="T13" i="8"/>
  <c r="S13" i="8"/>
  <c r="R13" i="8"/>
  <c r="Q13" i="8"/>
  <c r="P13" i="8"/>
  <c r="Y12" i="8"/>
  <c r="X12" i="8"/>
  <c r="W12" i="8"/>
  <c r="V12" i="8"/>
  <c r="U12" i="8"/>
  <c r="T12" i="8"/>
  <c r="S12" i="8"/>
  <c r="R12" i="8"/>
  <c r="Q12" i="8"/>
  <c r="P12" i="8"/>
  <c r="O12" i="8"/>
  <c r="Y11" i="8"/>
  <c r="X11" i="8"/>
  <c r="W11" i="8"/>
  <c r="V11" i="8"/>
  <c r="U11" i="8"/>
  <c r="T11" i="8"/>
  <c r="S11" i="8"/>
  <c r="R11" i="8"/>
  <c r="Q11" i="8"/>
  <c r="P11" i="8"/>
  <c r="Y10" i="8"/>
  <c r="X10" i="8"/>
  <c r="W10" i="8"/>
  <c r="V10" i="8"/>
  <c r="U10" i="8"/>
  <c r="T10" i="8"/>
  <c r="S10" i="8"/>
  <c r="R10" i="8"/>
  <c r="Q10" i="8"/>
  <c r="P10" i="8"/>
  <c r="Y9" i="8"/>
  <c r="X9" i="8"/>
  <c r="W9" i="8"/>
  <c r="V9" i="8"/>
  <c r="U9" i="8"/>
  <c r="T9" i="8"/>
  <c r="S9" i="8"/>
  <c r="R9" i="8"/>
  <c r="Q9" i="8"/>
  <c r="P9" i="8"/>
  <c r="Y8" i="8"/>
  <c r="X8" i="8"/>
  <c r="W8" i="8"/>
  <c r="V8" i="8"/>
  <c r="U8" i="8"/>
  <c r="T8" i="8"/>
  <c r="S8" i="8"/>
  <c r="R8" i="8"/>
  <c r="Q8" i="8"/>
  <c r="P8" i="8"/>
  <c r="O8" i="8"/>
  <c r="Y7" i="8"/>
  <c r="X7" i="8"/>
  <c r="W7" i="8"/>
  <c r="V7" i="8"/>
  <c r="U7" i="8"/>
  <c r="T7" i="8"/>
  <c r="S7" i="8"/>
  <c r="R7" i="8"/>
  <c r="Q7" i="8"/>
  <c r="P7" i="8"/>
  <c r="Y6" i="8"/>
  <c r="X6" i="8"/>
  <c r="W6" i="8"/>
  <c r="V6" i="8"/>
  <c r="U6" i="8"/>
  <c r="T6" i="8"/>
  <c r="S6" i="8"/>
  <c r="R6" i="8"/>
  <c r="Q6" i="8"/>
  <c r="P6" i="8"/>
  <c r="Y5" i="8"/>
  <c r="X5" i="8"/>
  <c r="W5" i="8"/>
  <c r="V5" i="8"/>
  <c r="U5" i="8"/>
  <c r="T5" i="8"/>
  <c r="S5" i="8"/>
  <c r="R5" i="8"/>
  <c r="Q5" i="8"/>
  <c r="P5" i="8"/>
  <c r="Y4" i="8"/>
  <c r="X4" i="8"/>
  <c r="W4" i="8"/>
  <c r="V4" i="8"/>
  <c r="U4" i="8"/>
  <c r="T4" i="8"/>
  <c r="S4" i="8"/>
  <c r="R4" i="8"/>
  <c r="Q4" i="8"/>
  <c r="P4" i="8"/>
  <c r="O4" i="8"/>
  <c r="W2" i="8"/>
  <c r="T2" i="8"/>
  <c r="Q2" i="8"/>
  <c r="K44" i="7"/>
  <c r="J44" i="7"/>
  <c r="I44" i="7"/>
  <c r="K43" i="7"/>
  <c r="J43" i="7"/>
  <c r="I43" i="7"/>
  <c r="K42" i="7"/>
  <c r="J42" i="7"/>
  <c r="I42" i="7"/>
  <c r="K41" i="7"/>
  <c r="J41" i="7"/>
  <c r="I41" i="7"/>
  <c r="K40" i="7"/>
  <c r="J40" i="7"/>
  <c r="I40" i="7"/>
  <c r="I38" i="7"/>
  <c r="F38" i="7"/>
  <c r="C38" i="7"/>
  <c r="K27" i="7"/>
  <c r="J27" i="7"/>
  <c r="I27" i="7"/>
  <c r="K26" i="7"/>
  <c r="J26" i="7"/>
  <c r="I26" i="7"/>
  <c r="K25" i="7"/>
  <c r="J25" i="7"/>
  <c r="I25" i="7"/>
  <c r="K24" i="7"/>
  <c r="J24" i="7"/>
  <c r="I24" i="7"/>
  <c r="K23" i="7"/>
  <c r="J23" i="7"/>
  <c r="I23" i="7"/>
  <c r="K21" i="7"/>
  <c r="J21" i="7"/>
  <c r="I21" i="7"/>
  <c r="E21" i="7"/>
  <c r="D21" i="7"/>
  <c r="C21" i="7"/>
  <c r="K20" i="7"/>
  <c r="J20" i="7"/>
  <c r="I20" i="7"/>
  <c r="E20" i="7"/>
  <c r="D20" i="7"/>
  <c r="C20" i="7"/>
  <c r="K19" i="7"/>
  <c r="J19" i="7"/>
  <c r="I19" i="7"/>
  <c r="E19" i="7"/>
  <c r="D19" i="7"/>
  <c r="C19" i="7"/>
  <c r="K18" i="7"/>
  <c r="J18" i="7"/>
  <c r="I18" i="7"/>
  <c r="E18" i="7"/>
  <c r="D18" i="7"/>
  <c r="C18" i="7"/>
  <c r="K17" i="7"/>
  <c r="J17" i="7"/>
  <c r="I17" i="7"/>
  <c r="E17" i="7"/>
  <c r="D17" i="7"/>
  <c r="C17" i="7"/>
  <c r="I15" i="7"/>
  <c r="F15" i="7"/>
  <c r="C15" i="7"/>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F189" i="6"/>
  <c r="G188" i="6"/>
  <c r="F188" i="6"/>
  <c r="G187" i="6"/>
  <c r="F187" i="6"/>
  <c r="G186" i="6"/>
  <c r="F186" i="6"/>
  <c r="G185" i="6"/>
  <c r="F185" i="6"/>
  <c r="G184" i="6"/>
  <c r="F184" i="6"/>
  <c r="G183" i="6"/>
  <c r="F183" i="6"/>
  <c r="G182" i="6"/>
  <c r="F182" i="6"/>
  <c r="G181" i="6"/>
  <c r="F181" i="6"/>
  <c r="G180" i="6"/>
  <c r="F180" i="6"/>
  <c r="G179" i="6"/>
  <c r="F179" i="6"/>
  <c r="G178" i="6"/>
  <c r="F178" i="6"/>
  <c r="G177" i="6"/>
  <c r="F177" i="6"/>
  <c r="G176" i="6"/>
  <c r="F176" i="6"/>
  <c r="G175" i="6"/>
  <c r="F175" i="6"/>
  <c r="G174" i="6"/>
  <c r="F174" i="6"/>
  <c r="G173" i="6"/>
  <c r="F173" i="6"/>
  <c r="G172" i="6"/>
  <c r="F172" i="6"/>
  <c r="G171" i="6"/>
  <c r="F171" i="6"/>
  <c r="G170" i="6"/>
  <c r="F170" i="6"/>
  <c r="G169" i="6"/>
  <c r="F169" i="6"/>
  <c r="G168" i="6"/>
  <c r="F168" i="6"/>
  <c r="G167" i="6"/>
  <c r="F167" i="6"/>
  <c r="G166" i="6"/>
  <c r="F166" i="6"/>
  <c r="G165" i="6"/>
  <c r="F165" i="6"/>
  <c r="G164" i="6"/>
  <c r="F164" i="6"/>
  <c r="G163" i="6"/>
  <c r="F163" i="6"/>
  <c r="G162" i="6"/>
  <c r="F162" i="6"/>
  <c r="G161" i="6"/>
  <c r="F161" i="6"/>
  <c r="G160" i="6"/>
  <c r="F160" i="6"/>
  <c r="G159" i="6"/>
  <c r="F159" i="6"/>
  <c r="G158" i="6"/>
  <c r="F158" i="6"/>
  <c r="G157" i="6"/>
  <c r="F157" i="6"/>
  <c r="G156" i="6"/>
  <c r="F156" i="6"/>
  <c r="G155" i="6"/>
  <c r="F155" i="6"/>
  <c r="G154" i="6"/>
  <c r="F154" i="6"/>
  <c r="G153" i="6"/>
  <c r="F153" i="6"/>
  <c r="G152" i="6"/>
  <c r="F152" i="6"/>
  <c r="G151" i="6"/>
  <c r="F151" i="6"/>
  <c r="G150" i="6"/>
  <c r="F150" i="6"/>
  <c r="G149" i="6"/>
  <c r="F149" i="6"/>
  <c r="G148" i="6"/>
  <c r="F148" i="6"/>
  <c r="G147" i="6"/>
  <c r="F147" i="6"/>
  <c r="G146" i="6"/>
  <c r="F146" i="6"/>
  <c r="G145" i="6"/>
  <c r="F145" i="6"/>
  <c r="G144" i="6"/>
  <c r="F144" i="6"/>
  <c r="G143" i="6"/>
  <c r="F143" i="6"/>
  <c r="G142" i="6"/>
  <c r="F142" i="6"/>
  <c r="G141" i="6"/>
  <c r="F141" i="6"/>
  <c r="G140" i="6"/>
  <c r="F140" i="6"/>
  <c r="G139" i="6"/>
  <c r="F139" i="6"/>
  <c r="G138" i="6"/>
  <c r="F138" i="6"/>
  <c r="G137" i="6"/>
  <c r="F137" i="6"/>
  <c r="G136" i="6"/>
  <c r="F136" i="6"/>
  <c r="G135" i="6"/>
  <c r="F135" i="6"/>
  <c r="G134" i="6"/>
  <c r="F134" i="6"/>
  <c r="G133" i="6"/>
  <c r="F133" i="6"/>
  <c r="G132" i="6"/>
  <c r="F132" i="6"/>
  <c r="G131" i="6"/>
  <c r="F131" i="6"/>
  <c r="G130" i="6"/>
  <c r="F130" i="6"/>
  <c r="G129" i="6"/>
  <c r="F129" i="6"/>
  <c r="G128" i="6"/>
  <c r="F128" i="6"/>
  <c r="G127" i="6"/>
  <c r="F127" i="6"/>
  <c r="G126" i="6"/>
  <c r="F126" i="6"/>
  <c r="G125" i="6"/>
  <c r="F125" i="6"/>
  <c r="G124" i="6"/>
  <c r="F124" i="6"/>
  <c r="G123" i="6"/>
  <c r="F123" i="6"/>
  <c r="G122" i="6"/>
  <c r="F122" i="6"/>
  <c r="G121" i="6"/>
  <c r="F121" i="6"/>
  <c r="G120" i="6"/>
  <c r="F120" i="6"/>
  <c r="G119" i="6"/>
  <c r="F119" i="6"/>
  <c r="G118" i="6"/>
  <c r="F118" i="6"/>
  <c r="G117" i="6"/>
  <c r="F117" i="6"/>
  <c r="G116" i="6"/>
  <c r="F116" i="6"/>
  <c r="G115" i="6"/>
  <c r="F115" i="6"/>
  <c r="G114" i="6"/>
  <c r="F114" i="6"/>
  <c r="G113" i="6"/>
  <c r="F113" i="6"/>
  <c r="G112" i="6"/>
  <c r="F112" i="6"/>
  <c r="G111" i="6"/>
  <c r="F111" i="6"/>
  <c r="G110" i="6"/>
  <c r="F110" i="6"/>
  <c r="G109" i="6"/>
  <c r="F109" i="6"/>
  <c r="G108" i="6"/>
  <c r="F108" i="6"/>
  <c r="G107" i="6"/>
  <c r="F107" i="6"/>
  <c r="G106" i="6"/>
  <c r="F106" i="6"/>
  <c r="G105" i="6"/>
  <c r="F105" i="6"/>
  <c r="G104" i="6"/>
  <c r="F104" i="6"/>
  <c r="G103" i="6"/>
  <c r="F103" i="6"/>
  <c r="G102" i="6"/>
  <c r="F102" i="6"/>
  <c r="G101" i="6"/>
  <c r="F101" i="6"/>
  <c r="G100" i="6"/>
  <c r="F100" i="6"/>
  <c r="G99" i="6"/>
  <c r="F99" i="6"/>
  <c r="G98" i="6"/>
  <c r="F98" i="6"/>
  <c r="G97" i="6"/>
  <c r="F97" i="6"/>
  <c r="G96" i="6"/>
  <c r="F96" i="6"/>
  <c r="G95" i="6"/>
  <c r="F95" i="6"/>
  <c r="G94" i="6"/>
  <c r="F94" i="6"/>
  <c r="G93" i="6"/>
  <c r="F93" i="6"/>
  <c r="G92" i="6"/>
  <c r="F92" i="6"/>
  <c r="G91" i="6"/>
  <c r="F91" i="6"/>
  <c r="G90" i="6"/>
  <c r="F90" i="6"/>
  <c r="G89" i="6"/>
  <c r="F89" i="6"/>
  <c r="G88" i="6"/>
  <c r="F88" i="6"/>
  <c r="G87" i="6"/>
  <c r="F87" i="6"/>
  <c r="G86" i="6"/>
  <c r="F86" i="6"/>
  <c r="G85" i="6"/>
  <c r="F85" i="6"/>
  <c r="G84" i="6"/>
  <c r="F84" i="6"/>
  <c r="G83" i="6"/>
  <c r="F83" i="6"/>
  <c r="G82" i="6"/>
  <c r="F82" i="6"/>
  <c r="G81" i="6"/>
  <c r="F81" i="6"/>
  <c r="G80" i="6"/>
  <c r="F80" i="6"/>
  <c r="G79" i="6"/>
  <c r="F79" i="6"/>
  <c r="G78" i="6"/>
  <c r="F78" i="6"/>
  <c r="G77" i="6"/>
  <c r="F77" i="6"/>
  <c r="G76" i="6"/>
  <c r="F76" i="6"/>
  <c r="G75" i="6"/>
  <c r="F75" i="6"/>
  <c r="G74" i="6"/>
  <c r="F74" i="6"/>
  <c r="G73" i="6"/>
  <c r="F73" i="6"/>
  <c r="G72" i="6"/>
  <c r="F72" i="6"/>
  <c r="G71" i="6"/>
  <c r="F71" i="6"/>
  <c r="G70" i="6"/>
  <c r="F70" i="6"/>
  <c r="G69" i="6"/>
  <c r="F69" i="6"/>
  <c r="G68" i="6"/>
  <c r="F68" i="6"/>
  <c r="G67" i="6"/>
  <c r="F67" i="6"/>
  <c r="G66" i="6"/>
  <c r="F66" i="6"/>
  <c r="G65" i="6"/>
  <c r="F65" i="6"/>
  <c r="G64" i="6"/>
  <c r="F64" i="6"/>
  <c r="G63" i="6"/>
  <c r="F63" i="6"/>
  <c r="G62" i="6"/>
  <c r="F62" i="6"/>
  <c r="G61" i="6"/>
  <c r="F61" i="6"/>
  <c r="G60" i="6"/>
  <c r="F60" i="6"/>
  <c r="G59" i="6"/>
  <c r="F59" i="6"/>
  <c r="G58" i="6"/>
  <c r="F58" i="6"/>
  <c r="G57" i="6"/>
  <c r="F57" i="6"/>
  <c r="G56" i="6"/>
  <c r="F56" i="6"/>
  <c r="G55" i="6"/>
  <c r="F55" i="6"/>
  <c r="G54" i="6"/>
  <c r="F54" i="6"/>
  <c r="G53" i="6"/>
  <c r="F53" i="6"/>
  <c r="G52" i="6"/>
  <c r="F52" i="6"/>
  <c r="G51" i="6"/>
  <c r="F51" i="6"/>
  <c r="G50" i="6"/>
  <c r="F50" i="6"/>
  <c r="G49" i="6"/>
  <c r="F49" i="6"/>
  <c r="G48" i="6"/>
  <c r="F48" i="6"/>
  <c r="G47" i="6"/>
  <c r="F47" i="6"/>
  <c r="G46" i="6"/>
  <c r="F46" i="6"/>
  <c r="G45" i="6"/>
  <c r="F45" i="6"/>
  <c r="G44" i="6"/>
  <c r="F44" i="6"/>
  <c r="G43" i="6"/>
  <c r="F43" i="6"/>
  <c r="G42" i="6"/>
  <c r="F42" i="6"/>
  <c r="G41" i="6"/>
  <c r="F41" i="6"/>
  <c r="G40" i="6"/>
  <c r="F40" i="6"/>
  <c r="G39" i="6"/>
  <c r="F39" i="6"/>
  <c r="G38" i="6"/>
  <c r="F38" i="6"/>
  <c r="G37" i="6"/>
  <c r="F37" i="6"/>
  <c r="G36" i="6"/>
  <c r="F36" i="6"/>
  <c r="G35" i="6"/>
  <c r="F35" i="6"/>
  <c r="G34" i="6"/>
  <c r="F34" i="6"/>
  <c r="G33" i="6"/>
  <c r="F33" i="6"/>
  <c r="G32" i="6"/>
  <c r="F32" i="6"/>
  <c r="G31" i="6"/>
  <c r="F31" i="6"/>
  <c r="G30" i="6"/>
  <c r="F30" i="6"/>
  <c r="G29" i="6"/>
  <c r="F29" i="6"/>
  <c r="G28" i="6"/>
  <c r="F28" i="6"/>
  <c r="G27" i="6"/>
  <c r="F27" i="6"/>
  <c r="G26" i="6"/>
  <c r="F26" i="6"/>
  <c r="G25" i="6"/>
  <c r="F25" i="6"/>
  <c r="G24" i="6"/>
  <c r="F24" i="6"/>
  <c r="G23" i="6"/>
  <c r="F23" i="6"/>
  <c r="G22" i="6"/>
  <c r="F22" i="6"/>
  <c r="G21" i="6"/>
  <c r="F21" i="6"/>
  <c r="G20" i="6"/>
  <c r="F20" i="6"/>
  <c r="G19" i="6"/>
  <c r="F19" i="6"/>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L66" i="5"/>
  <c r="D61" i="5"/>
  <c r="D60" i="5"/>
  <c r="D59" i="5"/>
  <c r="D58" i="5"/>
  <c r="D57" i="5"/>
  <c r="D56" i="5"/>
  <c r="D55" i="5"/>
  <c r="L44" i="5"/>
  <c r="D39" i="5"/>
  <c r="D38" i="5"/>
  <c r="D37" i="5"/>
  <c r="D36" i="5"/>
  <c r="D35" i="5"/>
  <c r="D34" i="5"/>
  <c r="L22" i="5"/>
  <c r="L4" i="5"/>
  <c r="J122" i="4"/>
  <c r="I122" i="4"/>
  <c r="H122" i="4"/>
  <c r="G122" i="4"/>
  <c r="F122" i="4"/>
  <c r="E122" i="4"/>
  <c r="D122" i="4"/>
  <c r="C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B317" i="3"/>
  <c r="A317" i="3"/>
  <c r="B316" i="3"/>
  <c r="A316" i="3"/>
  <c r="B315" i="3"/>
  <c r="A315" i="3"/>
  <c r="B314" i="3"/>
  <c r="A314" i="3"/>
  <c r="B313" i="3"/>
  <c r="A313" i="3"/>
  <c r="B312" i="3"/>
  <c r="A312" i="3"/>
  <c r="B311" i="3"/>
  <c r="A311" i="3"/>
  <c r="B310" i="3"/>
  <c r="A310" i="3"/>
  <c r="B309" i="3"/>
  <c r="A309" i="3"/>
  <c r="B308" i="3"/>
  <c r="A308" i="3"/>
  <c r="B307" i="3"/>
  <c r="A307" i="3"/>
  <c r="B306" i="3"/>
  <c r="A306" i="3"/>
  <c r="B305" i="3"/>
  <c r="A305" i="3"/>
  <c r="B304" i="3"/>
  <c r="A304" i="3"/>
  <c r="B303" i="3"/>
  <c r="A303" i="3"/>
  <c r="B302" i="3"/>
  <c r="A302" i="3"/>
  <c r="B301" i="3"/>
  <c r="A301" i="3"/>
  <c r="B300" i="3"/>
  <c r="A300" i="3"/>
  <c r="B299" i="3"/>
  <c r="A299" i="3"/>
  <c r="B298" i="3"/>
  <c r="A298" i="3"/>
  <c r="B297" i="3"/>
  <c r="A297" i="3"/>
  <c r="B296" i="3"/>
  <c r="A296" i="3"/>
  <c r="B295" i="3"/>
  <c r="A295" i="3"/>
  <c r="B294" i="3"/>
  <c r="A294" i="3"/>
  <c r="B293" i="3"/>
  <c r="A293" i="3"/>
  <c r="B292" i="3"/>
  <c r="A292" i="3"/>
  <c r="B291" i="3"/>
  <c r="A291" i="3"/>
  <c r="B290" i="3"/>
  <c r="A290" i="3"/>
  <c r="B289" i="3"/>
  <c r="A289" i="3"/>
  <c r="B288" i="3"/>
  <c r="A288" i="3"/>
  <c r="B287" i="3"/>
  <c r="A287" i="3"/>
  <c r="B286" i="3"/>
  <c r="A286" i="3"/>
  <c r="B285" i="3"/>
  <c r="A285" i="3"/>
  <c r="B284" i="3"/>
  <c r="A284" i="3"/>
  <c r="B283" i="3"/>
  <c r="A283" i="3"/>
  <c r="B282" i="3"/>
  <c r="A282" i="3"/>
  <c r="B281" i="3"/>
  <c r="A281" i="3"/>
  <c r="B280" i="3"/>
  <c r="A280" i="3"/>
  <c r="B279" i="3"/>
  <c r="A279" i="3"/>
  <c r="B278" i="3"/>
  <c r="A278" i="3"/>
  <c r="B277" i="3"/>
  <c r="A277" i="3"/>
  <c r="B276" i="3"/>
  <c r="A276" i="3"/>
  <c r="B275" i="3"/>
  <c r="A275" i="3"/>
  <c r="B274" i="3"/>
  <c r="A274" i="3"/>
  <c r="B273" i="3"/>
  <c r="A273" i="3"/>
  <c r="B272" i="3"/>
  <c r="A272" i="3"/>
  <c r="B271" i="3"/>
  <c r="A271" i="3"/>
  <c r="B270" i="3"/>
  <c r="A270" i="3"/>
  <c r="B269" i="3"/>
  <c r="A269" i="3"/>
  <c r="B268" i="3"/>
  <c r="A268" i="3"/>
  <c r="B267" i="3"/>
  <c r="A267" i="3"/>
  <c r="B266" i="3"/>
  <c r="A266" i="3"/>
  <c r="B265" i="3"/>
  <c r="A265" i="3"/>
  <c r="B264" i="3"/>
  <c r="A264" i="3"/>
  <c r="B263" i="3"/>
  <c r="A263" i="3"/>
  <c r="B262" i="3"/>
  <c r="A262" i="3"/>
  <c r="B261" i="3"/>
  <c r="A261" i="3"/>
  <c r="B260" i="3"/>
  <c r="A260" i="3"/>
  <c r="B259" i="3"/>
  <c r="A259" i="3"/>
  <c r="B258" i="3"/>
  <c r="A258" i="3"/>
  <c r="B257" i="3"/>
  <c r="A257" i="3"/>
  <c r="B256" i="3"/>
  <c r="A256" i="3"/>
  <c r="B255" i="3"/>
  <c r="A255" i="3"/>
  <c r="B254" i="3"/>
  <c r="A254" i="3"/>
  <c r="B253" i="3"/>
  <c r="A253" i="3"/>
  <c r="B252" i="3"/>
  <c r="A252" i="3"/>
  <c r="B251" i="3"/>
  <c r="A251" i="3"/>
  <c r="B250" i="3"/>
  <c r="A250" i="3"/>
  <c r="B249" i="3"/>
  <c r="A249" i="3"/>
  <c r="B248" i="3"/>
  <c r="A248" i="3"/>
  <c r="B247" i="3"/>
  <c r="A247" i="3"/>
  <c r="B246" i="3"/>
  <c r="A246" i="3"/>
  <c r="B245" i="3"/>
  <c r="A245" i="3"/>
  <c r="B244" i="3"/>
  <c r="A244" i="3"/>
  <c r="B243" i="3"/>
  <c r="A243" i="3"/>
  <c r="B242" i="3"/>
  <c r="A242" i="3"/>
  <c r="B241" i="3"/>
  <c r="A241" i="3"/>
  <c r="B240" i="3"/>
  <c r="A240" i="3"/>
  <c r="B239" i="3"/>
  <c r="A239" i="3"/>
  <c r="B238" i="3"/>
  <c r="A238" i="3"/>
  <c r="B237" i="3"/>
  <c r="A237" i="3"/>
  <c r="B236" i="3"/>
  <c r="A236" i="3"/>
  <c r="B235" i="3"/>
  <c r="A235" i="3"/>
  <c r="B234" i="3"/>
  <c r="A234" i="3"/>
  <c r="B233" i="3"/>
  <c r="A233" i="3"/>
  <c r="B232" i="3"/>
  <c r="A232" i="3"/>
  <c r="B231" i="3"/>
  <c r="A231" i="3"/>
  <c r="B230" i="3"/>
  <c r="A230" i="3"/>
  <c r="B229" i="3"/>
  <c r="A229" i="3"/>
  <c r="B228" i="3"/>
  <c r="A228" i="3"/>
  <c r="B227" i="3"/>
  <c r="A227" i="3"/>
  <c r="B226" i="3"/>
  <c r="A226" i="3"/>
  <c r="B225" i="3"/>
  <c r="A225" i="3"/>
  <c r="B224" i="3"/>
  <c r="A224" i="3"/>
  <c r="B223" i="3"/>
  <c r="A223" i="3"/>
  <c r="B222" i="3"/>
  <c r="A222" i="3"/>
  <c r="B221" i="3"/>
  <c r="A221" i="3"/>
  <c r="B220" i="3"/>
  <c r="A220" i="3"/>
  <c r="B219" i="3"/>
  <c r="A219" i="3"/>
  <c r="B218" i="3"/>
  <c r="A218" i="3"/>
  <c r="B217" i="3"/>
  <c r="A217" i="3"/>
  <c r="B216" i="3"/>
  <c r="A216" i="3"/>
  <c r="B215" i="3"/>
  <c r="A215" i="3"/>
  <c r="B214" i="3"/>
  <c r="A214" i="3"/>
  <c r="B213" i="3"/>
  <c r="A213" i="3"/>
  <c r="B212" i="3"/>
  <c r="A212" i="3"/>
  <c r="B211" i="3"/>
  <c r="A211" i="3"/>
  <c r="B210" i="3"/>
  <c r="A210" i="3"/>
  <c r="B209" i="3"/>
  <c r="A209" i="3"/>
  <c r="B208" i="3"/>
  <c r="A208" i="3"/>
  <c r="B207" i="3"/>
  <c r="A207" i="3"/>
  <c r="B206" i="3"/>
  <c r="A206" i="3"/>
  <c r="B205" i="3"/>
  <c r="A205" i="3"/>
  <c r="B204" i="3"/>
  <c r="A204" i="3"/>
  <c r="B203" i="3"/>
  <c r="A203" i="3"/>
  <c r="B202" i="3"/>
  <c r="A202" i="3"/>
  <c r="B201" i="3"/>
  <c r="A201" i="3"/>
  <c r="B200" i="3"/>
  <c r="A200" i="3"/>
  <c r="B199" i="3"/>
  <c r="A199" i="3"/>
  <c r="B198" i="3"/>
  <c r="A198" i="3"/>
  <c r="B197" i="3"/>
  <c r="A197" i="3"/>
  <c r="B196" i="3"/>
  <c r="A196" i="3"/>
  <c r="B195" i="3"/>
  <c r="A195" i="3"/>
  <c r="B194" i="3"/>
  <c r="A194" i="3"/>
  <c r="B193" i="3"/>
  <c r="A193" i="3"/>
  <c r="B192" i="3"/>
  <c r="A192" i="3"/>
  <c r="B191" i="3"/>
  <c r="A191" i="3"/>
  <c r="B190" i="3"/>
  <c r="A190" i="3"/>
  <c r="B189" i="3"/>
  <c r="A189" i="3"/>
  <c r="B188" i="3"/>
  <c r="A188" i="3"/>
  <c r="B187" i="3"/>
  <c r="A187" i="3"/>
  <c r="B186" i="3"/>
  <c r="A186" i="3"/>
  <c r="B185" i="3"/>
  <c r="A185" i="3"/>
  <c r="B184" i="3"/>
  <c r="A184" i="3"/>
  <c r="B183" i="3"/>
  <c r="A183" i="3"/>
  <c r="B182" i="3"/>
  <c r="A182" i="3"/>
  <c r="B181" i="3"/>
  <c r="A181" i="3"/>
  <c r="B180" i="3"/>
  <c r="A180" i="3"/>
  <c r="B179" i="3"/>
  <c r="A179" i="3"/>
  <c r="B178" i="3"/>
  <c r="A178" i="3"/>
  <c r="B177" i="3"/>
  <c r="A177" i="3"/>
  <c r="B176" i="3"/>
  <c r="A176" i="3"/>
  <c r="B175" i="3"/>
  <c r="A175" i="3"/>
  <c r="B174" i="3"/>
  <c r="A174" i="3"/>
  <c r="B173" i="3"/>
  <c r="A173" i="3"/>
  <c r="B172" i="3"/>
  <c r="A172" i="3"/>
  <c r="B171" i="3"/>
  <c r="A171" i="3"/>
  <c r="B170" i="3"/>
  <c r="A170" i="3"/>
  <c r="B169" i="3"/>
  <c r="A169" i="3"/>
  <c r="B168" i="3"/>
  <c r="A168" i="3"/>
  <c r="B167" i="3"/>
  <c r="A167" i="3"/>
  <c r="B166" i="3"/>
  <c r="A166" i="3"/>
  <c r="B165" i="3"/>
  <c r="A165" i="3"/>
  <c r="B164" i="3"/>
  <c r="A164" i="3"/>
  <c r="B163" i="3"/>
  <c r="A163" i="3"/>
  <c r="B162" i="3"/>
  <c r="A162" i="3"/>
  <c r="B161" i="3"/>
  <c r="A161" i="3"/>
  <c r="B160" i="3"/>
  <c r="A160" i="3"/>
  <c r="B159" i="3"/>
  <c r="A159" i="3"/>
  <c r="B158" i="3"/>
  <c r="A158" i="3"/>
  <c r="B157" i="3"/>
  <c r="A157" i="3"/>
  <c r="B156" i="3"/>
  <c r="A156" i="3"/>
  <c r="B155" i="3"/>
  <c r="A155" i="3"/>
  <c r="B154" i="3"/>
  <c r="A154" i="3"/>
  <c r="B153" i="3"/>
  <c r="A153" i="3"/>
  <c r="B152" i="3"/>
  <c r="A152" i="3"/>
  <c r="B151" i="3"/>
  <c r="A151" i="3"/>
  <c r="B150" i="3"/>
  <c r="A150" i="3"/>
  <c r="B149" i="3"/>
  <c r="A149" i="3"/>
  <c r="B148" i="3"/>
  <c r="A148" i="3"/>
  <c r="B147" i="3"/>
  <c r="A147" i="3"/>
  <c r="B146" i="3"/>
  <c r="A146" i="3"/>
  <c r="B145" i="3"/>
  <c r="A145" i="3"/>
  <c r="B144" i="3"/>
  <c r="A144" i="3"/>
  <c r="B143" i="3"/>
  <c r="A143" i="3"/>
  <c r="B142" i="3"/>
  <c r="A142" i="3"/>
  <c r="B141" i="3"/>
  <c r="A141" i="3"/>
  <c r="B140" i="3"/>
  <c r="A140" i="3"/>
  <c r="B139" i="3"/>
  <c r="A139" i="3"/>
  <c r="B138" i="3"/>
  <c r="A138" i="3"/>
  <c r="B137" i="3"/>
  <c r="A137" i="3"/>
  <c r="B136" i="3"/>
  <c r="A136" i="3"/>
  <c r="B135" i="3"/>
  <c r="A135" i="3"/>
  <c r="B134" i="3"/>
  <c r="A134" i="3"/>
  <c r="B133" i="3"/>
  <c r="A133" i="3"/>
  <c r="B132" i="3"/>
  <c r="A132" i="3"/>
  <c r="B131" i="3"/>
  <c r="A131" i="3"/>
  <c r="B130" i="3"/>
  <c r="A130" i="3"/>
  <c r="B129" i="3"/>
  <c r="A129" i="3"/>
  <c r="B128" i="3"/>
  <c r="A128" i="3"/>
  <c r="B127" i="3"/>
  <c r="A127" i="3"/>
  <c r="B126" i="3"/>
  <c r="A126" i="3"/>
  <c r="B125" i="3"/>
  <c r="A125" i="3"/>
  <c r="B124" i="3"/>
  <c r="A124" i="3"/>
  <c r="B123" i="3"/>
  <c r="A123" i="3"/>
  <c r="B122" i="3"/>
  <c r="A122" i="3"/>
  <c r="B121" i="3"/>
  <c r="A121" i="3"/>
  <c r="B120" i="3"/>
  <c r="A120" i="3"/>
  <c r="B119" i="3"/>
  <c r="A119" i="3"/>
  <c r="B118" i="3"/>
  <c r="A118" i="3"/>
  <c r="B117" i="3"/>
  <c r="A117" i="3"/>
  <c r="B116" i="3"/>
  <c r="A116" i="3"/>
  <c r="B115" i="3"/>
  <c r="A115" i="3"/>
  <c r="B114" i="3"/>
  <c r="A114" i="3"/>
  <c r="B113" i="3"/>
  <c r="A113" i="3"/>
  <c r="B112" i="3"/>
  <c r="A112" i="3"/>
  <c r="B111" i="3"/>
  <c r="A111" i="3"/>
  <c r="B110" i="3"/>
  <c r="A110" i="3"/>
  <c r="B109" i="3"/>
  <c r="A109" i="3"/>
  <c r="B108" i="3"/>
  <c r="A108" i="3"/>
  <c r="B107" i="3"/>
  <c r="A107" i="3"/>
  <c r="B106" i="3"/>
  <c r="A106" i="3"/>
  <c r="B105" i="3"/>
  <c r="A105" i="3"/>
  <c r="B104" i="3"/>
  <c r="A104" i="3"/>
  <c r="B103" i="3"/>
  <c r="A103" i="3"/>
  <c r="B102" i="3"/>
  <c r="A102" i="3"/>
  <c r="B101" i="3"/>
  <c r="A101" i="3"/>
  <c r="B100" i="3"/>
  <c r="A100" i="3"/>
  <c r="B99" i="3"/>
  <c r="A99" i="3"/>
  <c r="B98" i="3"/>
  <c r="A98" i="3"/>
  <c r="B97" i="3"/>
  <c r="A97" i="3"/>
  <c r="B96" i="3"/>
  <c r="A96" i="3"/>
  <c r="B95" i="3"/>
  <c r="A95" i="3"/>
  <c r="B94" i="3"/>
  <c r="A94" i="3"/>
  <c r="B93" i="3"/>
  <c r="A93" i="3"/>
  <c r="B92" i="3"/>
  <c r="A92" i="3"/>
  <c r="B91" i="3"/>
  <c r="A91" i="3"/>
  <c r="B90" i="3"/>
  <c r="A90" i="3"/>
  <c r="B89" i="3"/>
  <c r="A89" i="3"/>
  <c r="B88" i="3"/>
  <c r="A88" i="3"/>
  <c r="B87" i="3"/>
  <c r="A87" i="3"/>
  <c r="B86" i="3"/>
  <c r="A86" i="3"/>
  <c r="B85" i="3"/>
  <c r="A85" i="3"/>
  <c r="B84" i="3"/>
  <c r="A84" i="3"/>
  <c r="B83" i="3"/>
  <c r="A83" i="3"/>
  <c r="B82" i="3"/>
  <c r="A82" i="3"/>
  <c r="B81" i="3"/>
  <c r="A81" i="3"/>
  <c r="B80" i="3"/>
  <c r="A80" i="3"/>
  <c r="B79" i="3"/>
  <c r="A79" i="3"/>
  <c r="B78" i="3"/>
  <c r="A78" i="3"/>
  <c r="B77" i="3"/>
  <c r="A77" i="3"/>
  <c r="B76" i="3"/>
  <c r="A76" i="3"/>
  <c r="B75" i="3"/>
  <c r="A75" i="3"/>
  <c r="B74" i="3"/>
  <c r="A74" i="3"/>
  <c r="B73" i="3"/>
  <c r="A73" i="3"/>
  <c r="B72" i="3"/>
  <c r="A72" i="3"/>
  <c r="B71" i="3"/>
  <c r="A71" i="3"/>
  <c r="B70" i="3"/>
  <c r="A70" i="3"/>
  <c r="B69" i="3"/>
  <c r="A69" i="3"/>
  <c r="B68" i="3"/>
  <c r="A68" i="3"/>
  <c r="B67" i="3"/>
  <c r="A67" i="3"/>
  <c r="B66" i="3"/>
  <c r="A66" i="3"/>
  <c r="B65" i="3"/>
  <c r="A65" i="3"/>
  <c r="B64" i="3"/>
  <c r="A64" i="3"/>
  <c r="B63" i="3"/>
  <c r="A63" i="3"/>
  <c r="B62" i="3"/>
  <c r="A62" i="3"/>
  <c r="B61" i="3"/>
  <c r="A61" i="3"/>
  <c r="B60" i="3"/>
  <c r="A60" i="3"/>
  <c r="B59" i="3"/>
  <c r="A59" i="3"/>
  <c r="B58" i="3"/>
  <c r="A58" i="3"/>
  <c r="B57" i="3"/>
  <c r="A57" i="3"/>
  <c r="B56" i="3"/>
  <c r="A56" i="3"/>
  <c r="B55" i="3"/>
  <c r="A55" i="3"/>
  <c r="B54" i="3"/>
  <c r="A54" i="3"/>
  <c r="B53" i="3"/>
  <c r="A53" i="3"/>
  <c r="B52" i="3"/>
  <c r="A52" i="3"/>
  <c r="B51" i="3"/>
  <c r="A51" i="3"/>
  <c r="B50" i="3"/>
  <c r="A50" i="3"/>
  <c r="B49" i="3"/>
  <c r="A49" i="3"/>
  <c r="B48" i="3"/>
  <c r="A48" i="3"/>
  <c r="B47" i="3"/>
  <c r="A47" i="3"/>
  <c r="B46" i="3"/>
  <c r="A46" i="3"/>
  <c r="B45" i="3"/>
  <c r="A45" i="3"/>
  <c r="B44" i="3"/>
  <c r="A44" i="3"/>
  <c r="B43" i="3"/>
  <c r="A43" i="3"/>
  <c r="B42" i="3"/>
  <c r="A42" i="3"/>
  <c r="B41" i="3"/>
  <c r="A41" i="3"/>
  <c r="B40" i="3"/>
  <c r="A40" i="3"/>
  <c r="B39" i="3"/>
  <c r="A39" i="3"/>
  <c r="B38" i="3"/>
  <c r="A38" i="3"/>
  <c r="B37" i="3"/>
  <c r="A37" i="3"/>
  <c r="B36" i="3"/>
  <c r="A36" i="3"/>
  <c r="B35" i="3"/>
  <c r="A35" i="3"/>
  <c r="B34" i="3"/>
  <c r="A34" i="3"/>
  <c r="B33" i="3"/>
  <c r="A33" i="3"/>
  <c r="B32" i="3"/>
  <c r="A32" i="3"/>
  <c r="B31" i="3"/>
  <c r="A31" i="3"/>
  <c r="B30" i="3"/>
  <c r="A30" i="3"/>
  <c r="B29" i="3"/>
  <c r="A29" i="3"/>
  <c r="B28" i="3"/>
  <c r="A28" i="3"/>
  <c r="B27" i="3"/>
  <c r="A27" i="3"/>
  <c r="B26" i="3"/>
  <c r="A26" i="3"/>
  <c r="B25" i="3"/>
  <c r="A25" i="3"/>
  <c r="B24" i="3"/>
  <c r="A24" i="3"/>
  <c r="B23" i="3"/>
  <c r="A23" i="3"/>
  <c r="B22" i="3"/>
  <c r="A22" i="3"/>
  <c r="B21" i="3"/>
  <c r="A21" i="3"/>
  <c r="B20" i="3"/>
  <c r="A20" i="3"/>
  <c r="B19" i="3"/>
  <c r="A19" i="3"/>
  <c r="B18" i="3"/>
  <c r="A18" i="3"/>
  <c r="B17" i="3"/>
  <c r="A17" i="3"/>
  <c r="B16" i="3"/>
  <c r="A16" i="3"/>
  <c r="B15" i="3"/>
  <c r="A15" i="3"/>
  <c r="B14" i="3"/>
  <c r="A14" i="3"/>
  <c r="B13" i="3"/>
  <c r="A13" i="3"/>
  <c r="B12" i="3"/>
  <c r="A12" i="3"/>
  <c r="B11" i="3"/>
  <c r="A11" i="3"/>
  <c r="B10" i="3"/>
  <c r="A10" i="3"/>
  <c r="B9" i="3"/>
  <c r="A9" i="3"/>
  <c r="B8" i="3"/>
  <c r="A8" i="3"/>
  <c r="B7" i="3"/>
  <c r="A7" i="3"/>
  <c r="B6" i="3"/>
  <c r="A6" i="3"/>
  <c r="B5" i="3"/>
  <c r="A5" i="3"/>
  <c r="B4" i="3"/>
  <c r="A4" i="3"/>
  <c r="B3" i="3"/>
  <c r="A3" i="3"/>
  <c r="B2" i="3"/>
  <c r="A2" i="3"/>
  <c r="D1" i="3"/>
  <c r="C1" i="3"/>
  <c r="B1" i="3"/>
  <c r="A1" i="3"/>
  <c r="AI2" i="2"/>
  <c r="J2419" i="1"/>
  <c r="E2419" i="1"/>
  <c r="M2419" i="1" s="1"/>
  <c r="J2418" i="1"/>
  <c r="E2418" i="1"/>
  <c r="M2418" i="1" s="1"/>
  <c r="J2417" i="1"/>
  <c r="E2417" i="1"/>
  <c r="M2417" i="1" s="1"/>
  <c r="J2416" i="1"/>
  <c r="E2416" i="1"/>
  <c r="M2416" i="1" s="1"/>
  <c r="J2415" i="1"/>
  <c r="E2415" i="1"/>
  <c r="M2415" i="1" s="1"/>
  <c r="J2414" i="1"/>
  <c r="E2414" i="1"/>
  <c r="M2414" i="1" s="1"/>
  <c r="J2413" i="1"/>
  <c r="E2413" i="1"/>
  <c r="M2413" i="1" s="1"/>
  <c r="J2412" i="1"/>
  <c r="E2412" i="1"/>
  <c r="M2412" i="1" s="1"/>
  <c r="J2411" i="1"/>
  <c r="E2411" i="1"/>
  <c r="M2411" i="1" s="1"/>
  <c r="J2410" i="1"/>
  <c r="E2410" i="1"/>
  <c r="M2410" i="1" s="1"/>
  <c r="J2409" i="1"/>
  <c r="E2409" i="1"/>
  <c r="M2409" i="1" s="1"/>
  <c r="J2408" i="1"/>
  <c r="E2408" i="1"/>
  <c r="M2408" i="1" s="1"/>
  <c r="J2407" i="1"/>
  <c r="E2407" i="1"/>
  <c r="M2407" i="1" s="1"/>
  <c r="J2406" i="1"/>
  <c r="E2406" i="1"/>
  <c r="M2406" i="1" s="1"/>
  <c r="J2405" i="1"/>
  <c r="E2405" i="1"/>
  <c r="M2405" i="1" s="1"/>
  <c r="J2404" i="1"/>
  <c r="E2404" i="1"/>
  <c r="M2404" i="1" s="1"/>
  <c r="J2403" i="1"/>
  <c r="E2403" i="1"/>
  <c r="M2403" i="1" s="1"/>
  <c r="J2402" i="1"/>
  <c r="E2402" i="1"/>
  <c r="M2402" i="1" s="1"/>
  <c r="J2401" i="1"/>
  <c r="E2401" i="1"/>
  <c r="M2401" i="1" s="1"/>
  <c r="J2400" i="1"/>
  <c r="E2400" i="1"/>
  <c r="M2400" i="1" s="1"/>
  <c r="J2399" i="1"/>
  <c r="E2399" i="1"/>
  <c r="M2399" i="1" s="1"/>
  <c r="J2398" i="1"/>
  <c r="E2398" i="1"/>
  <c r="M2398" i="1" s="1"/>
  <c r="J2397" i="1"/>
  <c r="E2397" i="1"/>
  <c r="M2397" i="1" s="1"/>
  <c r="J2396" i="1"/>
  <c r="E2396" i="1"/>
  <c r="M2396" i="1" s="1"/>
  <c r="J2395" i="1"/>
  <c r="E2395" i="1"/>
  <c r="M2395" i="1" s="1"/>
  <c r="J2394" i="1"/>
  <c r="E2394" i="1"/>
  <c r="M2394" i="1" s="1"/>
  <c r="J2393" i="1"/>
  <c r="E2393" i="1"/>
  <c r="M2393" i="1" s="1"/>
  <c r="J2392" i="1"/>
  <c r="E2392" i="1"/>
  <c r="M2392" i="1" s="1"/>
  <c r="J2391" i="1"/>
  <c r="E2391" i="1"/>
  <c r="M2391" i="1" s="1"/>
  <c r="J2390" i="1"/>
  <c r="E2390" i="1"/>
  <c r="M2390" i="1" s="1"/>
  <c r="J2389" i="1"/>
  <c r="E2389" i="1"/>
  <c r="M2389" i="1" s="1"/>
  <c r="J2388" i="1"/>
  <c r="E2388" i="1"/>
  <c r="M2388" i="1" s="1"/>
  <c r="J2387" i="1"/>
  <c r="E2387" i="1"/>
  <c r="M2387" i="1" s="1"/>
  <c r="J2386" i="1"/>
  <c r="E2386" i="1"/>
  <c r="M2386" i="1" s="1"/>
  <c r="J2385" i="1"/>
  <c r="E2385" i="1"/>
  <c r="M2385" i="1" s="1"/>
  <c r="J2384" i="1"/>
  <c r="E2384" i="1"/>
  <c r="M2384" i="1" s="1"/>
  <c r="J2383" i="1"/>
  <c r="E2383" i="1"/>
  <c r="M2383" i="1" s="1"/>
  <c r="J2382" i="1"/>
  <c r="E2382" i="1"/>
  <c r="M2382" i="1" s="1"/>
  <c r="J2381" i="1"/>
  <c r="E2381" i="1"/>
  <c r="M2381" i="1" s="1"/>
  <c r="J2380" i="1"/>
  <c r="E2380" i="1"/>
  <c r="M2380" i="1" s="1"/>
  <c r="J2379" i="1"/>
  <c r="E2379" i="1"/>
  <c r="M2379" i="1" s="1"/>
  <c r="J2378" i="1"/>
  <c r="E2378" i="1"/>
  <c r="M2378" i="1" s="1"/>
  <c r="J2377" i="1"/>
  <c r="E2377" i="1"/>
  <c r="M2377" i="1" s="1"/>
  <c r="J2376" i="1"/>
  <c r="E2376" i="1"/>
  <c r="M2376" i="1" s="1"/>
  <c r="J2375" i="1"/>
  <c r="E2375" i="1"/>
  <c r="M2375" i="1" s="1"/>
  <c r="J2374" i="1"/>
  <c r="E2374" i="1"/>
  <c r="M2374" i="1" s="1"/>
  <c r="J2373" i="1"/>
  <c r="E2373" i="1"/>
  <c r="M2373" i="1" s="1"/>
  <c r="J2372" i="1"/>
  <c r="E2372" i="1"/>
  <c r="M2372" i="1" s="1"/>
  <c r="J2371" i="1"/>
  <c r="E2371" i="1"/>
  <c r="M2371" i="1" s="1"/>
  <c r="J2370" i="1"/>
  <c r="E2370" i="1"/>
  <c r="M2370" i="1" s="1"/>
  <c r="J2369" i="1"/>
  <c r="E2369" i="1"/>
  <c r="M2369" i="1" s="1"/>
  <c r="J2368" i="1"/>
  <c r="E2368" i="1"/>
  <c r="M2368" i="1" s="1"/>
  <c r="J2367" i="1"/>
  <c r="E2367" i="1"/>
  <c r="M2367" i="1" s="1"/>
  <c r="J2366" i="1"/>
  <c r="E2366" i="1"/>
  <c r="M2366" i="1" s="1"/>
  <c r="J2365" i="1"/>
  <c r="E2365" i="1"/>
  <c r="M2365" i="1" s="1"/>
  <c r="J2364" i="1"/>
  <c r="E2364" i="1"/>
  <c r="M2364" i="1" s="1"/>
  <c r="J2363" i="1"/>
  <c r="E2363" i="1"/>
  <c r="M2363" i="1" s="1"/>
  <c r="J2362" i="1"/>
  <c r="E2362" i="1"/>
  <c r="M2362" i="1" s="1"/>
  <c r="J2361" i="1"/>
  <c r="E2361" i="1"/>
  <c r="M2361" i="1" s="1"/>
  <c r="M2360" i="1"/>
  <c r="J2360" i="1"/>
  <c r="E2360" i="1"/>
  <c r="J2359" i="1"/>
  <c r="E2359" i="1"/>
  <c r="M2359" i="1" s="1"/>
  <c r="J2358" i="1"/>
  <c r="E2358" i="1"/>
  <c r="M2358" i="1" s="1"/>
  <c r="J2357" i="1"/>
  <c r="E2357" i="1"/>
  <c r="M2357" i="1" s="1"/>
  <c r="J2356" i="1"/>
  <c r="E2356" i="1"/>
  <c r="M2356" i="1" s="1"/>
  <c r="J2355" i="1"/>
  <c r="E2355" i="1"/>
  <c r="M2355" i="1" s="1"/>
  <c r="J2354" i="1"/>
  <c r="E2354" i="1"/>
  <c r="M2354" i="1" s="1"/>
  <c r="J2353" i="1"/>
  <c r="E2353" i="1"/>
  <c r="M2353" i="1" s="1"/>
  <c r="J2352" i="1"/>
  <c r="E2352" i="1"/>
  <c r="M2352" i="1" s="1"/>
  <c r="J2351" i="1"/>
  <c r="E2351" i="1"/>
  <c r="M2351" i="1" s="1"/>
  <c r="J2350" i="1"/>
  <c r="E2350" i="1"/>
  <c r="M2350" i="1" s="1"/>
  <c r="J2349" i="1"/>
  <c r="E2349" i="1"/>
  <c r="M2349" i="1" s="1"/>
  <c r="J2348" i="1"/>
  <c r="E2348" i="1"/>
  <c r="M2348" i="1" s="1"/>
  <c r="J2347" i="1"/>
  <c r="E2347" i="1"/>
  <c r="M2347" i="1" s="1"/>
  <c r="J2346" i="1"/>
  <c r="E2346" i="1"/>
  <c r="M2346" i="1" s="1"/>
  <c r="J2345" i="1"/>
  <c r="E2345" i="1"/>
  <c r="M2345" i="1" s="1"/>
  <c r="J2344" i="1"/>
  <c r="E2344" i="1"/>
  <c r="M2344" i="1" s="1"/>
  <c r="J2343" i="1"/>
  <c r="E2343" i="1"/>
  <c r="M2343" i="1" s="1"/>
  <c r="J2342" i="1"/>
  <c r="E2342" i="1"/>
  <c r="M2342" i="1" s="1"/>
  <c r="J2341" i="1"/>
  <c r="E2341" i="1"/>
  <c r="M2341" i="1" s="1"/>
  <c r="J2340" i="1"/>
  <c r="E2340" i="1"/>
  <c r="M2340" i="1" s="1"/>
  <c r="J2339" i="1"/>
  <c r="E2339" i="1"/>
  <c r="M2339" i="1" s="1"/>
  <c r="J2338" i="1"/>
  <c r="E2338" i="1"/>
  <c r="M2338" i="1" s="1"/>
  <c r="J2337" i="1"/>
  <c r="E2337" i="1"/>
  <c r="M2337" i="1" s="1"/>
  <c r="J2336" i="1"/>
  <c r="E2336" i="1"/>
  <c r="M2336" i="1" s="1"/>
  <c r="J2335" i="1"/>
  <c r="E2335" i="1"/>
  <c r="M2335" i="1" s="1"/>
  <c r="J2334" i="1"/>
  <c r="E2334" i="1"/>
  <c r="M2334" i="1" s="1"/>
  <c r="J2333" i="1"/>
  <c r="E2333" i="1"/>
  <c r="M2333" i="1" s="1"/>
  <c r="J2332" i="1"/>
  <c r="E2332" i="1"/>
  <c r="M2332" i="1" s="1"/>
  <c r="J2331" i="1"/>
  <c r="E2331" i="1"/>
  <c r="M2331" i="1" s="1"/>
  <c r="J2330" i="1"/>
  <c r="E2330" i="1"/>
  <c r="M2330" i="1" s="1"/>
  <c r="J2329" i="1"/>
  <c r="E2329" i="1"/>
  <c r="M2329" i="1" s="1"/>
  <c r="J2328" i="1"/>
  <c r="E2328" i="1"/>
  <c r="M2328" i="1" s="1"/>
  <c r="J2327" i="1"/>
  <c r="E2327" i="1"/>
  <c r="M2327" i="1" s="1"/>
  <c r="J2326" i="1"/>
  <c r="E2326" i="1"/>
  <c r="M2326" i="1" s="1"/>
  <c r="J2325" i="1"/>
  <c r="E2325" i="1"/>
  <c r="M2325" i="1" s="1"/>
  <c r="J2324" i="1"/>
  <c r="E2324" i="1"/>
  <c r="M2324" i="1" s="1"/>
  <c r="J2323" i="1"/>
  <c r="E2323" i="1"/>
  <c r="M2323" i="1" s="1"/>
  <c r="J2322" i="1"/>
  <c r="E2322" i="1"/>
  <c r="M2322" i="1" s="1"/>
  <c r="J2321" i="1"/>
  <c r="E2321" i="1"/>
  <c r="M2321" i="1" s="1"/>
  <c r="J2320" i="1"/>
  <c r="E2320" i="1"/>
  <c r="M2320" i="1" s="1"/>
  <c r="J2319" i="1"/>
  <c r="E2319" i="1"/>
  <c r="M2319" i="1" s="1"/>
  <c r="J2318" i="1"/>
  <c r="E2318" i="1"/>
  <c r="M2318" i="1" s="1"/>
  <c r="J2317" i="1"/>
  <c r="E2317" i="1"/>
  <c r="M2317" i="1" s="1"/>
  <c r="J2316" i="1"/>
  <c r="E2316" i="1"/>
  <c r="M2316" i="1" s="1"/>
  <c r="J2315" i="1"/>
  <c r="E2315" i="1"/>
  <c r="M2315" i="1" s="1"/>
  <c r="J2314" i="1"/>
  <c r="E2314" i="1"/>
  <c r="M2314" i="1" s="1"/>
  <c r="J2313" i="1"/>
  <c r="E2313" i="1"/>
  <c r="M2313" i="1" s="1"/>
  <c r="J2312" i="1"/>
  <c r="E2312" i="1"/>
  <c r="M2312" i="1" s="1"/>
  <c r="J2311" i="1"/>
  <c r="E2311" i="1"/>
  <c r="M2311" i="1" s="1"/>
  <c r="J2310" i="1"/>
  <c r="E2310" i="1"/>
  <c r="M2310" i="1" s="1"/>
  <c r="J2309" i="1"/>
  <c r="E2309" i="1"/>
  <c r="M2309" i="1" s="1"/>
  <c r="J2308" i="1"/>
  <c r="E2308" i="1"/>
  <c r="M2308" i="1" s="1"/>
  <c r="J2307" i="1"/>
  <c r="E2307" i="1"/>
  <c r="M2307" i="1" s="1"/>
  <c r="J2306" i="1"/>
  <c r="E2306" i="1"/>
  <c r="M2306" i="1" s="1"/>
  <c r="J2305" i="1"/>
  <c r="E2305" i="1"/>
  <c r="M2305" i="1" s="1"/>
  <c r="J2304" i="1"/>
  <c r="E2304" i="1"/>
  <c r="M2304" i="1" s="1"/>
  <c r="J2303" i="1"/>
  <c r="E2303" i="1"/>
  <c r="M2303" i="1" s="1"/>
  <c r="J2302" i="1"/>
  <c r="E2302" i="1"/>
  <c r="M2302" i="1" s="1"/>
  <c r="J2301" i="1"/>
  <c r="E2301" i="1"/>
  <c r="M2301" i="1" s="1"/>
  <c r="J2300" i="1"/>
  <c r="E2300" i="1"/>
  <c r="M2300" i="1" s="1"/>
  <c r="J2299" i="1"/>
  <c r="E2299" i="1"/>
  <c r="M2299" i="1" s="1"/>
  <c r="J2298" i="1"/>
  <c r="E2298" i="1"/>
  <c r="M2298" i="1" s="1"/>
  <c r="J2297" i="1"/>
  <c r="E2297" i="1"/>
  <c r="M2297" i="1" s="1"/>
  <c r="J2296" i="1"/>
  <c r="E2296" i="1"/>
  <c r="M2296" i="1" s="1"/>
  <c r="J2295" i="1"/>
  <c r="E2295" i="1"/>
  <c r="M2295" i="1" s="1"/>
  <c r="J2294" i="1"/>
  <c r="E2294" i="1"/>
  <c r="M2294" i="1" s="1"/>
  <c r="J2293" i="1"/>
  <c r="E2293" i="1"/>
  <c r="M2293" i="1" s="1"/>
  <c r="J2292" i="1"/>
  <c r="E2292" i="1"/>
  <c r="M2292" i="1" s="1"/>
  <c r="J2291" i="1"/>
  <c r="E2291" i="1"/>
  <c r="M2291" i="1" s="1"/>
  <c r="J2290" i="1"/>
  <c r="E2290" i="1"/>
  <c r="M2290" i="1" s="1"/>
  <c r="J2289" i="1"/>
  <c r="E2289" i="1"/>
  <c r="M2289" i="1" s="1"/>
  <c r="J2288" i="1"/>
  <c r="E2288" i="1"/>
  <c r="M2288" i="1" s="1"/>
  <c r="J2287" i="1"/>
  <c r="E2287" i="1"/>
  <c r="M2287" i="1" s="1"/>
  <c r="J2286" i="1"/>
  <c r="E2286" i="1"/>
  <c r="M2286" i="1" s="1"/>
  <c r="J2285" i="1"/>
  <c r="E2285" i="1"/>
  <c r="M2285" i="1" s="1"/>
  <c r="J2284" i="1"/>
  <c r="E2284" i="1"/>
  <c r="M2284" i="1" s="1"/>
  <c r="J2283" i="1"/>
  <c r="E2283" i="1"/>
  <c r="M2283" i="1" s="1"/>
  <c r="J2282" i="1"/>
  <c r="E2282" i="1"/>
  <c r="M2282" i="1" s="1"/>
  <c r="J2281" i="1"/>
  <c r="E2281" i="1"/>
  <c r="M2281" i="1" s="1"/>
  <c r="J2280" i="1"/>
  <c r="E2280" i="1"/>
  <c r="M2280" i="1" s="1"/>
  <c r="J2279" i="1"/>
  <c r="E2279" i="1"/>
  <c r="M2279" i="1" s="1"/>
  <c r="J2278" i="1"/>
  <c r="E2278" i="1"/>
  <c r="M2278" i="1" s="1"/>
  <c r="J2277" i="1"/>
  <c r="E2277" i="1"/>
  <c r="M2277" i="1" s="1"/>
  <c r="J2276" i="1"/>
  <c r="E2276" i="1"/>
  <c r="M2276" i="1" s="1"/>
  <c r="J2275" i="1"/>
  <c r="E2275" i="1"/>
  <c r="M2275" i="1" s="1"/>
  <c r="J2274" i="1"/>
  <c r="E2274" i="1"/>
  <c r="M2274" i="1" s="1"/>
  <c r="J2273" i="1"/>
  <c r="E2273" i="1"/>
  <c r="M2273" i="1" s="1"/>
  <c r="J2272" i="1"/>
  <c r="E2272" i="1"/>
  <c r="M2272" i="1" s="1"/>
  <c r="J2271" i="1"/>
  <c r="E2271" i="1"/>
  <c r="M2271" i="1" s="1"/>
  <c r="J2270" i="1"/>
  <c r="E2270" i="1"/>
  <c r="M2270" i="1" s="1"/>
  <c r="J2269" i="1"/>
  <c r="E2269" i="1"/>
  <c r="M2269" i="1" s="1"/>
  <c r="J2268" i="1"/>
  <c r="E2268" i="1"/>
  <c r="M2268" i="1" s="1"/>
  <c r="J2267" i="1"/>
  <c r="E2267" i="1"/>
  <c r="M2267" i="1" s="1"/>
  <c r="J2266" i="1"/>
  <c r="E2266" i="1"/>
  <c r="M2266" i="1" s="1"/>
  <c r="J2265" i="1"/>
  <c r="E2265" i="1"/>
  <c r="M2265" i="1" s="1"/>
  <c r="J2264" i="1"/>
  <c r="E2264" i="1"/>
  <c r="M2264" i="1" s="1"/>
  <c r="J2263" i="1"/>
  <c r="E2263" i="1"/>
  <c r="M2263" i="1" s="1"/>
  <c r="J2262" i="1"/>
  <c r="E2262" i="1"/>
  <c r="M2262" i="1" s="1"/>
  <c r="J2261" i="1"/>
  <c r="E2261" i="1"/>
  <c r="M2261" i="1" s="1"/>
  <c r="J2260" i="1"/>
  <c r="E2260" i="1"/>
  <c r="M2260" i="1" s="1"/>
  <c r="J2259" i="1"/>
  <c r="E2259" i="1"/>
  <c r="M2259" i="1" s="1"/>
  <c r="J2258" i="1"/>
  <c r="E2258" i="1"/>
  <c r="M2258" i="1" s="1"/>
  <c r="J2257" i="1"/>
  <c r="E2257" i="1"/>
  <c r="M2257" i="1" s="1"/>
  <c r="J2256" i="1"/>
  <c r="E2256" i="1"/>
  <c r="M2256" i="1" s="1"/>
  <c r="J2255" i="1"/>
  <c r="E2255" i="1"/>
  <c r="M2255" i="1" s="1"/>
  <c r="J2254" i="1"/>
  <c r="E2254" i="1"/>
  <c r="M2254" i="1" s="1"/>
  <c r="J2253" i="1"/>
  <c r="E2253" i="1"/>
  <c r="M2253" i="1" s="1"/>
  <c r="J2252" i="1"/>
  <c r="E2252" i="1"/>
  <c r="M2252" i="1" s="1"/>
  <c r="J2251" i="1"/>
  <c r="E2251" i="1"/>
  <c r="M2251" i="1" s="1"/>
  <c r="J2250" i="1"/>
  <c r="E2250" i="1"/>
  <c r="M2250" i="1" s="1"/>
  <c r="J2249" i="1"/>
  <c r="E2249" i="1"/>
  <c r="M2249" i="1" s="1"/>
  <c r="J2248" i="1"/>
  <c r="E2248" i="1"/>
  <c r="M2248" i="1" s="1"/>
  <c r="J2247" i="1"/>
  <c r="E2247" i="1"/>
  <c r="M2247" i="1" s="1"/>
  <c r="J2246" i="1"/>
  <c r="E2246" i="1"/>
  <c r="M2246" i="1" s="1"/>
  <c r="J2245" i="1"/>
  <c r="E2245" i="1"/>
  <c r="M2245" i="1" s="1"/>
  <c r="J2244" i="1"/>
  <c r="E2244" i="1"/>
  <c r="M2244" i="1" s="1"/>
  <c r="J2243" i="1"/>
  <c r="E2243" i="1"/>
  <c r="M2243" i="1" s="1"/>
  <c r="J2242" i="1"/>
  <c r="E2242" i="1"/>
  <c r="M2242" i="1" s="1"/>
  <c r="J2241" i="1"/>
  <c r="E2241" i="1"/>
  <c r="M2241" i="1" s="1"/>
  <c r="J2240" i="1"/>
  <c r="E2240" i="1"/>
  <c r="M2240" i="1" s="1"/>
  <c r="J2239" i="1"/>
  <c r="E2239" i="1"/>
  <c r="M2239" i="1" s="1"/>
  <c r="J2238" i="1"/>
  <c r="E2238" i="1"/>
  <c r="M2238" i="1" s="1"/>
  <c r="J2237" i="1"/>
  <c r="E2237" i="1"/>
  <c r="M2237" i="1" s="1"/>
  <c r="J2236" i="1"/>
  <c r="E2236" i="1"/>
  <c r="M2236" i="1" s="1"/>
  <c r="J2235" i="1"/>
  <c r="E2235" i="1"/>
  <c r="M2235" i="1" s="1"/>
  <c r="J2234" i="1"/>
  <c r="E2234" i="1"/>
  <c r="M2234" i="1" s="1"/>
  <c r="J2233" i="1"/>
  <c r="E2233" i="1"/>
  <c r="M2233" i="1" s="1"/>
  <c r="J2232" i="1"/>
  <c r="E2232" i="1"/>
  <c r="M2232" i="1" s="1"/>
  <c r="J2231" i="1"/>
  <c r="E2231" i="1"/>
  <c r="M2231" i="1" s="1"/>
  <c r="J2230" i="1"/>
  <c r="E2230" i="1"/>
  <c r="M2230" i="1" s="1"/>
  <c r="J2229" i="1"/>
  <c r="E2229" i="1"/>
  <c r="M2229" i="1" s="1"/>
  <c r="J2228" i="1"/>
  <c r="E2228" i="1"/>
  <c r="M2228" i="1" s="1"/>
  <c r="J2227" i="1"/>
  <c r="E2227" i="1"/>
  <c r="M2227" i="1" s="1"/>
  <c r="J2226" i="1"/>
  <c r="E2226" i="1"/>
  <c r="M2226" i="1" s="1"/>
  <c r="J2225" i="1"/>
  <c r="E2225" i="1"/>
  <c r="M2225" i="1" s="1"/>
  <c r="J2224" i="1"/>
  <c r="E2224" i="1"/>
  <c r="M2224" i="1" s="1"/>
  <c r="J2223" i="1"/>
  <c r="E2223" i="1"/>
  <c r="M2223" i="1" s="1"/>
  <c r="J2222" i="1"/>
  <c r="E2222" i="1"/>
  <c r="M2222" i="1" s="1"/>
  <c r="J2221" i="1"/>
  <c r="E2221" i="1"/>
  <c r="M2221" i="1" s="1"/>
  <c r="J2220" i="1"/>
  <c r="E2220" i="1"/>
  <c r="M2220" i="1" s="1"/>
  <c r="J2219" i="1"/>
  <c r="E2219" i="1"/>
  <c r="M2219" i="1" s="1"/>
  <c r="J2218" i="1"/>
  <c r="E2218" i="1"/>
  <c r="M2218" i="1" s="1"/>
  <c r="J2217" i="1"/>
  <c r="E2217" i="1"/>
  <c r="M2217" i="1" s="1"/>
  <c r="J2216" i="1"/>
  <c r="E2216" i="1"/>
  <c r="M2216" i="1" s="1"/>
  <c r="J2215" i="1"/>
  <c r="E2215" i="1"/>
  <c r="M2215" i="1" s="1"/>
  <c r="J2214" i="1"/>
  <c r="E2214" i="1"/>
  <c r="M2214" i="1" s="1"/>
  <c r="J2213" i="1"/>
  <c r="E2213" i="1"/>
  <c r="M2213" i="1" s="1"/>
  <c r="J2212" i="1"/>
  <c r="E2212" i="1"/>
  <c r="M2212" i="1" s="1"/>
  <c r="J2211" i="1"/>
  <c r="E2211" i="1"/>
  <c r="M2211" i="1" s="1"/>
  <c r="J2210" i="1"/>
  <c r="E2210" i="1"/>
  <c r="M2210" i="1" s="1"/>
  <c r="J2209" i="1"/>
  <c r="E2209" i="1"/>
  <c r="M2209" i="1" s="1"/>
  <c r="J2208" i="1"/>
  <c r="E2208" i="1"/>
  <c r="M2208" i="1" s="1"/>
  <c r="J2207" i="1"/>
  <c r="E2207" i="1"/>
  <c r="M2207" i="1" s="1"/>
  <c r="J2206" i="1"/>
  <c r="E2206" i="1"/>
  <c r="M2206" i="1" s="1"/>
  <c r="J2205" i="1"/>
  <c r="E2205" i="1"/>
  <c r="M2205" i="1" s="1"/>
  <c r="J2204" i="1"/>
  <c r="E2204" i="1"/>
  <c r="M2204" i="1" s="1"/>
  <c r="J2203" i="1"/>
  <c r="E2203" i="1"/>
  <c r="M2203" i="1" s="1"/>
  <c r="J2202" i="1"/>
  <c r="E2202" i="1"/>
  <c r="M2202" i="1" s="1"/>
  <c r="J2201" i="1"/>
  <c r="E2201" i="1"/>
  <c r="M2201" i="1" s="1"/>
  <c r="J2200" i="1"/>
  <c r="E2200" i="1"/>
  <c r="M2200" i="1" s="1"/>
  <c r="J2199" i="1"/>
  <c r="E2199" i="1"/>
  <c r="M2199" i="1" s="1"/>
  <c r="J2198" i="1"/>
  <c r="E2198" i="1"/>
  <c r="M2198" i="1" s="1"/>
  <c r="J2197" i="1"/>
  <c r="E2197" i="1"/>
  <c r="M2197" i="1" s="1"/>
  <c r="J2196" i="1"/>
  <c r="E2196" i="1"/>
  <c r="M2196" i="1" s="1"/>
  <c r="J2195" i="1"/>
  <c r="E2195" i="1"/>
  <c r="M2195" i="1" s="1"/>
  <c r="J2194" i="1"/>
  <c r="E2194" i="1"/>
  <c r="M2194" i="1" s="1"/>
  <c r="J2193" i="1"/>
  <c r="E2193" i="1"/>
  <c r="M2193" i="1" s="1"/>
  <c r="J2192" i="1"/>
  <c r="E2192" i="1"/>
  <c r="M2192" i="1" s="1"/>
  <c r="J2191" i="1"/>
  <c r="E2191" i="1"/>
  <c r="M2191" i="1" s="1"/>
  <c r="J2190" i="1"/>
  <c r="E2190" i="1"/>
  <c r="M2190" i="1" s="1"/>
  <c r="J2189" i="1"/>
  <c r="E2189" i="1"/>
  <c r="M2189" i="1" s="1"/>
  <c r="J2188" i="1"/>
  <c r="E2188" i="1"/>
  <c r="M2188" i="1" s="1"/>
  <c r="J2187" i="1"/>
  <c r="E2187" i="1"/>
  <c r="M2187" i="1" s="1"/>
  <c r="J2186" i="1"/>
  <c r="E2186" i="1"/>
  <c r="M2186" i="1" s="1"/>
  <c r="J2185" i="1"/>
  <c r="E2185" i="1"/>
  <c r="M2185" i="1" s="1"/>
  <c r="J2184" i="1"/>
  <c r="E2184" i="1"/>
  <c r="M2184" i="1" s="1"/>
  <c r="J2183" i="1"/>
  <c r="E2183" i="1"/>
  <c r="M2183" i="1" s="1"/>
  <c r="J2182" i="1"/>
  <c r="E2182" i="1"/>
  <c r="M2182" i="1" s="1"/>
  <c r="J2181" i="1"/>
  <c r="E2181" i="1"/>
  <c r="M2181" i="1" s="1"/>
  <c r="J2180" i="1"/>
  <c r="E2180" i="1"/>
  <c r="M2180" i="1" s="1"/>
  <c r="J2179" i="1"/>
  <c r="E2179" i="1"/>
  <c r="M2179" i="1" s="1"/>
  <c r="J2178" i="1"/>
  <c r="E2178" i="1"/>
  <c r="M2178" i="1" s="1"/>
  <c r="J2177" i="1"/>
  <c r="E2177" i="1"/>
  <c r="M2177" i="1" s="1"/>
  <c r="J2176" i="1"/>
  <c r="E2176" i="1"/>
  <c r="M2176" i="1" s="1"/>
  <c r="J2175" i="1"/>
  <c r="E2175" i="1"/>
  <c r="M2175" i="1" s="1"/>
  <c r="J2174" i="1"/>
  <c r="E2174" i="1"/>
  <c r="M2174" i="1" s="1"/>
  <c r="J2173" i="1"/>
  <c r="E2173" i="1"/>
  <c r="M2173" i="1" s="1"/>
  <c r="J2172" i="1"/>
  <c r="E2172" i="1"/>
  <c r="M2172" i="1" s="1"/>
  <c r="J2171" i="1"/>
  <c r="E2171" i="1"/>
  <c r="M2171" i="1" s="1"/>
  <c r="J2170" i="1"/>
  <c r="E2170" i="1"/>
  <c r="M2170" i="1" s="1"/>
  <c r="J2169" i="1"/>
  <c r="E2169" i="1"/>
  <c r="M2169" i="1" s="1"/>
  <c r="J2168" i="1"/>
  <c r="E2168" i="1"/>
  <c r="M2168" i="1" s="1"/>
  <c r="J2167" i="1"/>
  <c r="E2167" i="1"/>
  <c r="M2167" i="1" s="1"/>
  <c r="J2166" i="1"/>
  <c r="E2166" i="1"/>
  <c r="M2166" i="1" s="1"/>
  <c r="J2165" i="1"/>
  <c r="E2165" i="1"/>
  <c r="M2165" i="1" s="1"/>
  <c r="J2164" i="1"/>
  <c r="E2164" i="1"/>
  <c r="M2164" i="1" s="1"/>
  <c r="J2163" i="1"/>
  <c r="E2163" i="1"/>
  <c r="M2163" i="1" s="1"/>
  <c r="J2162" i="1"/>
  <c r="E2162" i="1"/>
  <c r="M2162" i="1" s="1"/>
  <c r="J2161" i="1"/>
  <c r="E2161" i="1"/>
  <c r="M2161" i="1" s="1"/>
  <c r="J2160" i="1"/>
  <c r="E2160" i="1"/>
  <c r="M2160" i="1" s="1"/>
  <c r="J2159" i="1"/>
  <c r="E2159" i="1"/>
  <c r="M2159" i="1" s="1"/>
  <c r="J2158" i="1"/>
  <c r="E2158" i="1"/>
  <c r="M2158" i="1" s="1"/>
  <c r="J2157" i="1"/>
  <c r="E2157" i="1"/>
  <c r="M2157" i="1" s="1"/>
  <c r="J2156" i="1"/>
  <c r="E2156" i="1"/>
  <c r="M2156" i="1" s="1"/>
  <c r="J2155" i="1"/>
  <c r="E2155" i="1"/>
  <c r="M2155" i="1" s="1"/>
  <c r="J2154" i="1"/>
  <c r="E2154" i="1"/>
  <c r="M2154" i="1" s="1"/>
  <c r="J2153" i="1"/>
  <c r="E2153" i="1"/>
  <c r="M2153" i="1" s="1"/>
  <c r="J2152" i="1"/>
  <c r="E2152" i="1"/>
  <c r="M2152" i="1" s="1"/>
  <c r="J2151" i="1"/>
  <c r="E2151" i="1"/>
  <c r="M2151" i="1" s="1"/>
  <c r="J2150" i="1"/>
  <c r="E2150" i="1"/>
  <c r="M2150" i="1" s="1"/>
  <c r="J2149" i="1"/>
  <c r="E2149" i="1"/>
  <c r="M2149" i="1" s="1"/>
  <c r="J2148" i="1"/>
  <c r="E2148" i="1"/>
  <c r="M2148" i="1" s="1"/>
  <c r="J2147" i="1"/>
  <c r="E2147" i="1"/>
  <c r="M2147" i="1" s="1"/>
  <c r="J2146" i="1"/>
  <c r="E2146" i="1"/>
  <c r="M2146" i="1" s="1"/>
  <c r="J2145" i="1"/>
  <c r="E2145" i="1"/>
  <c r="M2145" i="1" s="1"/>
  <c r="J2144" i="1"/>
  <c r="E2144" i="1"/>
  <c r="M2144" i="1" s="1"/>
  <c r="J2143" i="1"/>
  <c r="E2143" i="1"/>
  <c r="M2143" i="1" s="1"/>
  <c r="J2142" i="1"/>
  <c r="E2142" i="1"/>
  <c r="M2142" i="1" s="1"/>
  <c r="J2141" i="1"/>
  <c r="E2141" i="1"/>
  <c r="M2141" i="1" s="1"/>
  <c r="J2140" i="1"/>
  <c r="E2140" i="1"/>
  <c r="M2140" i="1" s="1"/>
  <c r="J2139" i="1"/>
  <c r="E2139" i="1"/>
  <c r="M2139" i="1" s="1"/>
  <c r="J2138" i="1"/>
  <c r="E2138" i="1"/>
  <c r="M2138" i="1" s="1"/>
  <c r="J2137" i="1"/>
  <c r="E2137" i="1"/>
  <c r="M2137" i="1" s="1"/>
  <c r="J2136" i="1"/>
  <c r="E2136" i="1"/>
  <c r="M2136" i="1" s="1"/>
  <c r="J2135" i="1"/>
  <c r="E2135" i="1"/>
  <c r="M2135" i="1" s="1"/>
  <c r="J2134" i="1"/>
  <c r="E2134" i="1"/>
  <c r="M2134" i="1" s="1"/>
  <c r="J2133" i="1"/>
  <c r="E2133" i="1"/>
  <c r="M2133" i="1" s="1"/>
  <c r="J2132" i="1"/>
  <c r="E2132" i="1"/>
  <c r="M2132" i="1" s="1"/>
  <c r="J2131" i="1"/>
  <c r="E2131" i="1"/>
  <c r="M2131" i="1" s="1"/>
  <c r="J2130" i="1"/>
  <c r="E2130" i="1"/>
  <c r="M2130" i="1" s="1"/>
  <c r="J2129" i="1"/>
  <c r="E2129" i="1"/>
  <c r="M2129" i="1" s="1"/>
  <c r="J2128" i="1"/>
  <c r="E2128" i="1"/>
  <c r="M2128" i="1" s="1"/>
  <c r="J2127" i="1"/>
  <c r="E2127" i="1"/>
  <c r="M2127" i="1" s="1"/>
  <c r="J2126" i="1"/>
  <c r="E2126" i="1"/>
  <c r="M2126" i="1" s="1"/>
  <c r="J2125" i="1"/>
  <c r="E2125" i="1"/>
  <c r="M2125" i="1" s="1"/>
  <c r="J2124" i="1"/>
  <c r="E2124" i="1"/>
  <c r="M2124" i="1" s="1"/>
  <c r="J2123" i="1"/>
  <c r="E2123" i="1"/>
  <c r="M2123" i="1" s="1"/>
  <c r="J2122" i="1"/>
  <c r="E2122" i="1"/>
  <c r="M2122" i="1" s="1"/>
  <c r="J2121" i="1"/>
  <c r="E2121" i="1"/>
  <c r="M2121" i="1" s="1"/>
  <c r="J2120" i="1"/>
  <c r="E2120" i="1"/>
  <c r="M2120" i="1" s="1"/>
  <c r="J2119" i="1"/>
  <c r="E2119" i="1"/>
  <c r="M2119" i="1" s="1"/>
  <c r="J2118" i="1"/>
  <c r="E2118" i="1"/>
  <c r="M2118" i="1" s="1"/>
  <c r="J2117" i="1"/>
  <c r="E2117" i="1"/>
  <c r="M2117" i="1" s="1"/>
  <c r="J2116" i="1"/>
  <c r="E2116" i="1"/>
  <c r="M2116" i="1" s="1"/>
  <c r="J2115" i="1"/>
  <c r="E2115" i="1"/>
  <c r="M2115" i="1" s="1"/>
  <c r="J2114" i="1"/>
  <c r="E2114" i="1"/>
  <c r="M2114" i="1" s="1"/>
  <c r="J2113" i="1"/>
  <c r="E2113" i="1"/>
  <c r="M2113" i="1" s="1"/>
  <c r="J2112" i="1"/>
  <c r="E2112" i="1"/>
  <c r="M2112" i="1" s="1"/>
  <c r="J2111" i="1"/>
  <c r="E2111" i="1"/>
  <c r="M2111" i="1" s="1"/>
  <c r="M2110" i="1"/>
  <c r="J2110" i="1"/>
  <c r="E2110" i="1"/>
  <c r="J2109" i="1"/>
  <c r="E2109" i="1"/>
  <c r="M2109" i="1" s="1"/>
  <c r="J2108" i="1"/>
  <c r="E2108" i="1"/>
  <c r="M2108" i="1" s="1"/>
  <c r="J2107" i="1"/>
  <c r="E2107" i="1"/>
  <c r="M2107" i="1" s="1"/>
  <c r="J2106" i="1"/>
  <c r="E2106" i="1"/>
  <c r="M2106" i="1" s="1"/>
  <c r="J2105" i="1"/>
  <c r="E2105" i="1"/>
  <c r="M2105" i="1" s="1"/>
  <c r="J2104" i="1"/>
  <c r="E2104" i="1"/>
  <c r="M2104" i="1" s="1"/>
  <c r="J2103" i="1"/>
  <c r="E2103" i="1"/>
  <c r="M2103" i="1" s="1"/>
  <c r="J2102" i="1"/>
  <c r="E2102" i="1"/>
  <c r="M2102" i="1" s="1"/>
  <c r="J2101" i="1"/>
  <c r="E2101" i="1"/>
  <c r="M2101" i="1" s="1"/>
  <c r="J2100" i="1"/>
  <c r="E2100" i="1"/>
  <c r="M2100" i="1" s="1"/>
  <c r="J2099" i="1"/>
  <c r="E2099" i="1"/>
  <c r="M2099" i="1" s="1"/>
  <c r="J2098" i="1"/>
  <c r="E2098" i="1"/>
  <c r="M2098" i="1" s="1"/>
  <c r="J2097" i="1"/>
  <c r="E2097" i="1"/>
  <c r="M2097" i="1" s="1"/>
  <c r="J2096" i="1"/>
  <c r="E2096" i="1"/>
  <c r="M2096" i="1" s="1"/>
  <c r="J2095" i="1"/>
  <c r="E2095" i="1"/>
  <c r="M2095" i="1" s="1"/>
  <c r="J2094" i="1"/>
  <c r="E2094" i="1"/>
  <c r="M2094" i="1" s="1"/>
  <c r="J2093" i="1"/>
  <c r="E2093" i="1"/>
  <c r="M2093" i="1" s="1"/>
  <c r="J2092" i="1"/>
  <c r="E2092" i="1"/>
  <c r="M2092" i="1" s="1"/>
  <c r="J2091" i="1"/>
  <c r="E2091" i="1"/>
  <c r="M2091" i="1" s="1"/>
  <c r="J2090" i="1"/>
  <c r="E2090" i="1"/>
  <c r="M2090" i="1" s="1"/>
  <c r="J2089" i="1"/>
  <c r="E2089" i="1"/>
  <c r="M2089" i="1" s="1"/>
  <c r="J2088" i="1"/>
  <c r="E2088" i="1"/>
  <c r="M2088" i="1" s="1"/>
  <c r="M2087" i="1"/>
  <c r="J2087" i="1"/>
  <c r="E2087" i="1"/>
  <c r="J2086" i="1"/>
  <c r="E2086" i="1"/>
  <c r="M2086" i="1" s="1"/>
  <c r="J2085" i="1"/>
  <c r="E2085" i="1"/>
  <c r="M2085" i="1" s="1"/>
  <c r="J2084" i="1"/>
  <c r="E2084" i="1"/>
  <c r="M2084" i="1" s="1"/>
  <c r="J2083" i="1"/>
  <c r="E2083" i="1"/>
  <c r="M2083" i="1" s="1"/>
  <c r="J2082" i="1"/>
  <c r="E2082" i="1"/>
  <c r="M2082" i="1" s="1"/>
  <c r="J2081" i="1"/>
  <c r="E2081" i="1"/>
  <c r="M2081" i="1" s="1"/>
  <c r="J2080" i="1"/>
  <c r="E2080" i="1"/>
  <c r="M2080" i="1" s="1"/>
  <c r="J2079" i="1"/>
  <c r="E2079" i="1"/>
  <c r="M2079" i="1" s="1"/>
  <c r="J2078" i="1"/>
  <c r="E2078" i="1"/>
  <c r="M2078" i="1" s="1"/>
  <c r="J2077" i="1"/>
  <c r="E2077" i="1"/>
  <c r="M2077" i="1" s="1"/>
  <c r="J2076" i="1"/>
  <c r="E2076" i="1"/>
  <c r="M2076" i="1" s="1"/>
  <c r="J2075" i="1"/>
  <c r="E2075" i="1"/>
  <c r="M2075" i="1" s="1"/>
  <c r="J2074" i="1"/>
  <c r="E2074" i="1"/>
  <c r="M2074" i="1" s="1"/>
  <c r="J2073" i="1"/>
  <c r="E2073" i="1"/>
  <c r="M2073" i="1" s="1"/>
  <c r="J2072" i="1"/>
  <c r="E2072" i="1"/>
  <c r="M2072" i="1" s="1"/>
  <c r="J2071" i="1"/>
  <c r="E2071" i="1"/>
  <c r="M2071" i="1" s="1"/>
  <c r="J2070" i="1"/>
  <c r="E2070" i="1"/>
  <c r="M2070" i="1" s="1"/>
  <c r="J2069" i="1"/>
  <c r="E2069" i="1"/>
  <c r="M2069" i="1" s="1"/>
  <c r="J2068" i="1"/>
  <c r="E2068" i="1"/>
  <c r="M2068" i="1" s="1"/>
  <c r="J2067" i="1"/>
  <c r="E2067" i="1"/>
  <c r="M2067" i="1" s="1"/>
  <c r="J2066" i="1"/>
  <c r="E2066" i="1"/>
  <c r="M2066" i="1" s="1"/>
  <c r="J2065" i="1"/>
  <c r="E2065" i="1"/>
  <c r="M2065" i="1" s="1"/>
  <c r="J2064" i="1"/>
  <c r="E2064" i="1"/>
  <c r="M2064" i="1" s="1"/>
  <c r="J2063" i="1"/>
  <c r="E2063" i="1"/>
  <c r="M2063" i="1" s="1"/>
  <c r="J2062" i="1"/>
  <c r="E2062" i="1"/>
  <c r="M2062" i="1" s="1"/>
  <c r="J2061" i="1"/>
  <c r="E2061" i="1"/>
  <c r="M2061" i="1" s="1"/>
  <c r="J2060" i="1"/>
  <c r="E2060" i="1"/>
  <c r="M2060" i="1" s="1"/>
  <c r="J2059" i="1"/>
  <c r="E2059" i="1"/>
  <c r="M2059" i="1" s="1"/>
  <c r="J2058" i="1"/>
  <c r="E2058" i="1"/>
  <c r="M2058" i="1" s="1"/>
  <c r="J2057" i="1"/>
  <c r="E2057" i="1"/>
  <c r="M2057" i="1" s="1"/>
  <c r="J2056" i="1"/>
  <c r="E2056" i="1"/>
  <c r="M2056" i="1" s="1"/>
  <c r="J2055" i="1"/>
  <c r="E2055" i="1"/>
  <c r="M2055" i="1" s="1"/>
  <c r="J2054" i="1"/>
  <c r="E2054" i="1"/>
  <c r="M2054" i="1" s="1"/>
  <c r="J2053" i="1"/>
  <c r="E2053" i="1"/>
  <c r="M2053" i="1" s="1"/>
  <c r="J2052" i="1"/>
  <c r="E2052" i="1"/>
  <c r="M2052" i="1" s="1"/>
  <c r="J2051" i="1"/>
  <c r="E2051" i="1"/>
  <c r="M2051" i="1" s="1"/>
  <c r="J2050" i="1"/>
  <c r="E2050" i="1"/>
  <c r="M2050" i="1" s="1"/>
  <c r="J2049" i="1"/>
  <c r="E2049" i="1"/>
  <c r="M2049" i="1" s="1"/>
  <c r="J2048" i="1"/>
  <c r="E2048" i="1"/>
  <c r="M2048" i="1" s="1"/>
  <c r="J2047" i="1"/>
  <c r="E2047" i="1"/>
  <c r="M2047" i="1" s="1"/>
  <c r="J2046" i="1"/>
  <c r="E2046" i="1"/>
  <c r="M2046" i="1" s="1"/>
  <c r="J2045" i="1"/>
  <c r="E2045" i="1"/>
  <c r="M2045" i="1" s="1"/>
  <c r="J2044" i="1"/>
  <c r="E2044" i="1"/>
  <c r="M2044" i="1" s="1"/>
  <c r="J2043" i="1"/>
  <c r="E2043" i="1"/>
  <c r="M2043" i="1" s="1"/>
  <c r="J2042" i="1"/>
  <c r="E2042" i="1"/>
  <c r="M2042" i="1" s="1"/>
  <c r="J2041" i="1"/>
  <c r="E2041" i="1"/>
  <c r="M2041" i="1" s="1"/>
  <c r="J2040" i="1"/>
  <c r="E2040" i="1"/>
  <c r="M2040" i="1" s="1"/>
  <c r="J2039" i="1"/>
  <c r="E2039" i="1"/>
  <c r="M2039" i="1" s="1"/>
  <c r="J2038" i="1"/>
  <c r="E2038" i="1"/>
  <c r="M2038" i="1" s="1"/>
  <c r="J2037" i="1"/>
  <c r="E2037" i="1"/>
  <c r="M2037" i="1" s="1"/>
  <c r="J2036" i="1"/>
  <c r="E2036" i="1"/>
  <c r="M2036" i="1" s="1"/>
  <c r="M2035" i="1"/>
  <c r="J2035" i="1"/>
  <c r="E2035" i="1"/>
  <c r="J2034" i="1"/>
  <c r="E2034" i="1"/>
  <c r="M2034" i="1" s="1"/>
  <c r="J2033" i="1"/>
  <c r="E2033" i="1"/>
  <c r="M2033" i="1" s="1"/>
  <c r="J2032" i="1"/>
  <c r="E2032" i="1"/>
  <c r="M2032" i="1" s="1"/>
  <c r="J2031" i="1"/>
  <c r="E2031" i="1"/>
  <c r="M2031" i="1" s="1"/>
  <c r="J2030" i="1"/>
  <c r="E2030" i="1"/>
  <c r="M2030" i="1" s="1"/>
  <c r="J2029" i="1"/>
  <c r="E2029" i="1"/>
  <c r="M2029" i="1" s="1"/>
  <c r="J2028" i="1"/>
  <c r="E2028" i="1"/>
  <c r="M2028" i="1" s="1"/>
  <c r="J2027" i="1"/>
  <c r="E2027" i="1"/>
  <c r="M2027" i="1" s="1"/>
  <c r="J2026" i="1"/>
  <c r="E2026" i="1"/>
  <c r="M2026" i="1" s="1"/>
  <c r="J2025" i="1"/>
  <c r="E2025" i="1"/>
  <c r="M2025" i="1" s="1"/>
  <c r="J2024" i="1"/>
  <c r="E2024" i="1"/>
  <c r="M2024" i="1" s="1"/>
  <c r="J2023" i="1"/>
  <c r="E2023" i="1"/>
  <c r="M2023" i="1" s="1"/>
  <c r="J2022" i="1"/>
  <c r="E2022" i="1"/>
  <c r="M2022" i="1" s="1"/>
  <c r="J2021" i="1"/>
  <c r="E2021" i="1"/>
  <c r="M2021" i="1" s="1"/>
  <c r="J2020" i="1"/>
  <c r="E2020" i="1"/>
  <c r="M2020" i="1" s="1"/>
  <c r="J2019" i="1"/>
  <c r="E2019" i="1"/>
  <c r="M2019" i="1" s="1"/>
  <c r="J2018" i="1"/>
  <c r="E2018" i="1"/>
  <c r="M2018" i="1" s="1"/>
  <c r="J2017" i="1"/>
  <c r="E2017" i="1"/>
  <c r="M2017" i="1" s="1"/>
  <c r="J2016" i="1"/>
  <c r="E2016" i="1"/>
  <c r="M2016" i="1" s="1"/>
  <c r="J2015" i="1"/>
  <c r="E2015" i="1"/>
  <c r="M2015" i="1" s="1"/>
  <c r="J2014" i="1"/>
  <c r="E2014" i="1"/>
  <c r="M2014" i="1" s="1"/>
  <c r="J2013" i="1"/>
  <c r="E2013" i="1"/>
  <c r="M2013" i="1" s="1"/>
  <c r="J2012" i="1"/>
  <c r="E2012" i="1"/>
  <c r="M2012" i="1" s="1"/>
  <c r="J2011" i="1"/>
  <c r="E2011" i="1"/>
  <c r="M2011" i="1" s="1"/>
  <c r="J2010" i="1"/>
  <c r="E2010" i="1"/>
  <c r="M2010" i="1" s="1"/>
  <c r="J2009" i="1"/>
  <c r="E2009" i="1"/>
  <c r="M2009" i="1" s="1"/>
  <c r="J2008" i="1"/>
  <c r="E2008" i="1"/>
  <c r="M2008" i="1" s="1"/>
  <c r="J2007" i="1"/>
  <c r="E2007" i="1"/>
  <c r="M2007" i="1" s="1"/>
  <c r="J2006" i="1"/>
  <c r="E2006" i="1"/>
  <c r="M2006" i="1" s="1"/>
  <c r="J2005" i="1"/>
  <c r="E2005" i="1"/>
  <c r="M2005" i="1" s="1"/>
  <c r="J2004" i="1"/>
  <c r="E2004" i="1"/>
  <c r="M2004" i="1" s="1"/>
  <c r="J2003" i="1"/>
  <c r="E2003" i="1"/>
  <c r="M2003" i="1" s="1"/>
  <c r="J2002" i="1"/>
  <c r="E2002" i="1"/>
  <c r="M2002" i="1" s="1"/>
  <c r="J2001" i="1"/>
  <c r="E2001" i="1"/>
  <c r="M2001" i="1" s="1"/>
  <c r="J2000" i="1"/>
  <c r="E2000" i="1"/>
  <c r="M2000" i="1" s="1"/>
  <c r="J1999" i="1"/>
  <c r="E1999" i="1"/>
  <c r="M1999" i="1" s="1"/>
  <c r="J1998" i="1"/>
  <c r="E1998" i="1"/>
  <c r="M1998" i="1" s="1"/>
  <c r="J1997" i="1"/>
  <c r="E1997" i="1"/>
  <c r="M1997" i="1" s="1"/>
  <c r="J1996" i="1"/>
  <c r="E1996" i="1"/>
  <c r="M1996" i="1" s="1"/>
  <c r="J1995" i="1"/>
  <c r="E1995" i="1"/>
  <c r="M1995" i="1" s="1"/>
  <c r="J1994" i="1"/>
  <c r="E1994" i="1"/>
  <c r="M1994" i="1" s="1"/>
  <c r="J1993" i="1"/>
  <c r="E1993" i="1"/>
  <c r="M1993" i="1" s="1"/>
  <c r="J1992" i="1"/>
  <c r="E1992" i="1"/>
  <c r="M1992" i="1" s="1"/>
  <c r="J1991" i="1"/>
  <c r="E1991" i="1"/>
  <c r="M1991" i="1" s="1"/>
  <c r="J1990" i="1"/>
  <c r="E1990" i="1"/>
  <c r="M1990" i="1" s="1"/>
  <c r="J1989" i="1"/>
  <c r="E1989" i="1"/>
  <c r="M1989" i="1" s="1"/>
  <c r="J1988" i="1"/>
  <c r="E1988" i="1"/>
  <c r="M1988" i="1" s="1"/>
  <c r="J1987" i="1"/>
  <c r="E1987" i="1"/>
  <c r="M1987" i="1" s="1"/>
  <c r="J1986" i="1"/>
  <c r="E1986" i="1"/>
  <c r="M1986" i="1" s="1"/>
  <c r="J1985" i="1"/>
  <c r="E1985" i="1"/>
  <c r="M1985" i="1" s="1"/>
  <c r="J1984" i="1"/>
  <c r="E1984" i="1"/>
  <c r="M1984" i="1" s="1"/>
  <c r="J1983" i="1"/>
  <c r="E1983" i="1"/>
  <c r="M1983" i="1" s="1"/>
  <c r="J1982" i="1"/>
  <c r="E1982" i="1"/>
  <c r="M1982" i="1" s="1"/>
  <c r="J1981" i="1"/>
  <c r="E1981" i="1"/>
  <c r="M1981" i="1" s="1"/>
  <c r="J1980" i="1"/>
  <c r="E1980" i="1"/>
  <c r="M1980" i="1" s="1"/>
  <c r="J1979" i="1"/>
  <c r="E1979" i="1"/>
  <c r="M1979" i="1" s="1"/>
  <c r="J1978" i="1"/>
  <c r="E1978" i="1"/>
  <c r="M1978" i="1" s="1"/>
  <c r="J1977" i="1"/>
  <c r="E1977" i="1"/>
  <c r="M1977" i="1" s="1"/>
  <c r="J1976" i="1"/>
  <c r="E1976" i="1"/>
  <c r="M1976" i="1" s="1"/>
  <c r="J1975" i="1"/>
  <c r="E1975" i="1"/>
  <c r="M1975" i="1" s="1"/>
  <c r="J1974" i="1"/>
  <c r="E1974" i="1"/>
  <c r="M1974" i="1" s="1"/>
  <c r="J1973" i="1"/>
  <c r="E1973" i="1"/>
  <c r="M1973" i="1" s="1"/>
  <c r="J1972" i="1"/>
  <c r="E1972" i="1"/>
  <c r="M1972" i="1" s="1"/>
  <c r="J1971" i="1"/>
  <c r="E1971" i="1"/>
  <c r="M1971" i="1" s="1"/>
  <c r="J1970" i="1"/>
  <c r="E1970" i="1"/>
  <c r="M1970" i="1" s="1"/>
  <c r="J1969" i="1"/>
  <c r="E1969" i="1"/>
  <c r="M1969" i="1" s="1"/>
  <c r="J1968" i="1"/>
  <c r="E1968" i="1"/>
  <c r="M1968" i="1" s="1"/>
  <c r="M1967" i="1"/>
  <c r="J1967" i="1"/>
  <c r="E1967" i="1"/>
  <c r="J1966" i="1"/>
  <c r="E1966" i="1"/>
  <c r="M1966" i="1" s="1"/>
  <c r="J1965" i="1"/>
  <c r="E1965" i="1"/>
  <c r="M1965" i="1" s="1"/>
  <c r="J1964" i="1"/>
  <c r="E1964" i="1"/>
  <c r="M1964" i="1" s="1"/>
  <c r="J1963" i="1"/>
  <c r="E1963" i="1"/>
  <c r="M1963" i="1" s="1"/>
  <c r="J1962" i="1"/>
  <c r="E1962" i="1"/>
  <c r="M1962" i="1" s="1"/>
  <c r="J1961" i="1"/>
  <c r="E1961" i="1"/>
  <c r="M1961" i="1" s="1"/>
  <c r="J1960" i="1"/>
  <c r="E1960" i="1"/>
  <c r="M1960" i="1" s="1"/>
  <c r="J1959" i="1"/>
  <c r="E1959" i="1"/>
  <c r="M1959" i="1" s="1"/>
  <c r="J1958" i="1"/>
  <c r="E1958" i="1"/>
  <c r="M1958" i="1" s="1"/>
  <c r="J1957" i="1"/>
  <c r="E1957" i="1"/>
  <c r="M1957" i="1" s="1"/>
  <c r="J1956" i="1"/>
  <c r="E1956" i="1"/>
  <c r="M1956" i="1" s="1"/>
  <c r="J1955" i="1"/>
  <c r="E1955" i="1"/>
  <c r="M1955" i="1" s="1"/>
  <c r="J1954" i="1"/>
  <c r="E1954" i="1"/>
  <c r="M1954" i="1" s="1"/>
  <c r="J1953" i="1"/>
  <c r="E1953" i="1"/>
  <c r="M1953" i="1" s="1"/>
  <c r="J1952" i="1"/>
  <c r="E1952" i="1"/>
  <c r="M1952" i="1" s="1"/>
  <c r="J1951" i="1"/>
  <c r="E1951" i="1"/>
  <c r="M1951" i="1" s="1"/>
  <c r="J1950" i="1"/>
  <c r="E1950" i="1"/>
  <c r="M1950" i="1" s="1"/>
  <c r="J1949" i="1"/>
  <c r="E1949" i="1"/>
  <c r="M1949" i="1" s="1"/>
  <c r="J1948" i="1"/>
  <c r="E1948" i="1"/>
  <c r="M1948" i="1" s="1"/>
  <c r="J1947" i="1"/>
  <c r="E1947" i="1"/>
  <c r="M1947" i="1" s="1"/>
  <c r="J1946" i="1"/>
  <c r="E1946" i="1"/>
  <c r="M1946" i="1" s="1"/>
  <c r="J1945" i="1"/>
  <c r="E1945" i="1"/>
  <c r="M1945" i="1" s="1"/>
  <c r="J1944" i="1"/>
  <c r="E1944" i="1"/>
  <c r="M1944" i="1" s="1"/>
  <c r="J1943" i="1"/>
  <c r="E1943" i="1"/>
  <c r="M1943" i="1" s="1"/>
  <c r="J1942" i="1"/>
  <c r="E1942" i="1"/>
  <c r="M1942" i="1" s="1"/>
  <c r="J1941" i="1"/>
  <c r="E1941" i="1"/>
  <c r="M1941" i="1" s="1"/>
  <c r="J1940" i="1"/>
  <c r="E1940" i="1"/>
  <c r="M1940" i="1" s="1"/>
  <c r="J1939" i="1"/>
  <c r="E1939" i="1"/>
  <c r="M1939" i="1" s="1"/>
  <c r="J1938" i="1"/>
  <c r="E1938" i="1"/>
  <c r="M1938" i="1" s="1"/>
  <c r="J1937" i="1"/>
  <c r="E1937" i="1"/>
  <c r="M1937" i="1" s="1"/>
  <c r="J1936" i="1"/>
  <c r="E1936" i="1"/>
  <c r="M1936" i="1" s="1"/>
  <c r="J1935" i="1"/>
  <c r="E1935" i="1"/>
  <c r="M1935" i="1" s="1"/>
  <c r="J1934" i="1"/>
  <c r="E1934" i="1"/>
  <c r="M1934" i="1" s="1"/>
  <c r="J1933" i="1"/>
  <c r="E1933" i="1"/>
  <c r="M1933" i="1" s="1"/>
  <c r="J1932" i="1"/>
  <c r="E1932" i="1"/>
  <c r="M1932" i="1" s="1"/>
  <c r="J1931" i="1"/>
  <c r="E1931" i="1"/>
  <c r="M1931" i="1" s="1"/>
  <c r="J1930" i="1"/>
  <c r="E1930" i="1"/>
  <c r="M1930" i="1" s="1"/>
  <c r="J1929" i="1"/>
  <c r="E1929" i="1"/>
  <c r="M1929" i="1" s="1"/>
  <c r="J1928" i="1"/>
  <c r="E1928" i="1"/>
  <c r="M1928" i="1" s="1"/>
  <c r="J1927" i="1"/>
  <c r="E1927" i="1"/>
  <c r="M1927" i="1" s="1"/>
  <c r="J1926" i="1"/>
  <c r="E1926" i="1"/>
  <c r="M1926" i="1" s="1"/>
  <c r="J1925" i="1"/>
  <c r="E1925" i="1"/>
  <c r="M1925" i="1" s="1"/>
  <c r="J1924" i="1"/>
  <c r="E1924" i="1"/>
  <c r="M1924" i="1" s="1"/>
  <c r="J1923" i="1"/>
  <c r="E1923" i="1"/>
  <c r="M1923" i="1" s="1"/>
  <c r="J1922" i="1"/>
  <c r="E1922" i="1"/>
  <c r="M1922" i="1" s="1"/>
  <c r="J1921" i="1"/>
  <c r="E1921" i="1"/>
  <c r="M1921" i="1" s="1"/>
  <c r="J1920" i="1"/>
  <c r="E1920" i="1"/>
  <c r="M1920" i="1" s="1"/>
  <c r="J1919" i="1"/>
  <c r="E1919" i="1"/>
  <c r="M1919" i="1" s="1"/>
  <c r="J1918" i="1"/>
  <c r="E1918" i="1"/>
  <c r="M1918" i="1" s="1"/>
  <c r="J1917" i="1"/>
  <c r="E1917" i="1"/>
  <c r="M1917" i="1" s="1"/>
  <c r="J1916" i="1"/>
  <c r="E1916" i="1"/>
  <c r="M1916" i="1" s="1"/>
  <c r="J1915" i="1"/>
  <c r="E1915" i="1"/>
  <c r="M1915" i="1" s="1"/>
  <c r="J1914" i="1"/>
  <c r="E1914" i="1"/>
  <c r="M1914" i="1" s="1"/>
  <c r="J1913" i="1"/>
  <c r="E1913" i="1"/>
  <c r="M1913" i="1" s="1"/>
  <c r="J1912" i="1"/>
  <c r="E1912" i="1"/>
  <c r="M1912" i="1" s="1"/>
  <c r="J1911" i="1"/>
  <c r="E1911" i="1"/>
  <c r="M1911" i="1" s="1"/>
  <c r="J1910" i="1"/>
  <c r="E1910" i="1"/>
  <c r="M1910" i="1" s="1"/>
  <c r="J1909" i="1"/>
  <c r="E1909" i="1"/>
  <c r="M1909" i="1" s="1"/>
  <c r="J1908" i="1"/>
  <c r="E1908" i="1"/>
  <c r="M1908" i="1" s="1"/>
  <c r="J1907" i="1"/>
  <c r="E1907" i="1"/>
  <c r="M1907" i="1" s="1"/>
  <c r="J1906" i="1"/>
  <c r="E1906" i="1"/>
  <c r="M1906" i="1" s="1"/>
  <c r="J1905" i="1"/>
  <c r="E1905" i="1"/>
  <c r="M1905" i="1" s="1"/>
  <c r="J1904" i="1"/>
  <c r="E1904" i="1"/>
  <c r="M1904" i="1" s="1"/>
  <c r="J1903" i="1"/>
  <c r="E1903" i="1"/>
  <c r="M1903" i="1" s="1"/>
  <c r="J1902" i="1"/>
  <c r="E1902" i="1"/>
  <c r="M1902" i="1" s="1"/>
  <c r="J1901" i="1"/>
  <c r="E1901" i="1"/>
  <c r="M1901" i="1" s="1"/>
  <c r="J1900" i="1"/>
  <c r="E1900" i="1"/>
  <c r="M1900" i="1" s="1"/>
  <c r="J1899" i="1"/>
  <c r="E1899" i="1"/>
  <c r="M1899" i="1" s="1"/>
  <c r="J1898" i="1"/>
  <c r="E1898" i="1"/>
  <c r="M1898" i="1" s="1"/>
  <c r="J1897" i="1"/>
  <c r="E1897" i="1"/>
  <c r="M1897" i="1" s="1"/>
  <c r="J1896" i="1"/>
  <c r="E1896" i="1"/>
  <c r="M1896" i="1" s="1"/>
  <c r="J1895" i="1"/>
  <c r="E1895" i="1"/>
  <c r="M1895" i="1" s="1"/>
  <c r="J1894" i="1"/>
  <c r="E1894" i="1"/>
  <c r="M1894" i="1" s="1"/>
  <c r="J1893" i="1"/>
  <c r="E1893" i="1"/>
  <c r="M1893" i="1" s="1"/>
  <c r="J1892" i="1"/>
  <c r="E1892" i="1"/>
  <c r="M1892" i="1" s="1"/>
  <c r="J1891" i="1"/>
  <c r="E1891" i="1"/>
  <c r="M1891" i="1" s="1"/>
  <c r="J1890" i="1"/>
  <c r="E1890" i="1"/>
  <c r="M1890" i="1" s="1"/>
  <c r="J1889" i="1"/>
  <c r="E1889" i="1"/>
  <c r="M1889" i="1" s="1"/>
  <c r="J1888" i="1"/>
  <c r="E1888" i="1"/>
  <c r="M1888" i="1" s="1"/>
  <c r="J1887" i="1"/>
  <c r="E1887" i="1"/>
  <c r="M1887" i="1" s="1"/>
  <c r="J1886" i="1"/>
  <c r="E1886" i="1"/>
  <c r="M1886" i="1" s="1"/>
  <c r="J1885" i="1"/>
  <c r="E1885" i="1"/>
  <c r="M1885" i="1" s="1"/>
  <c r="J1884" i="1"/>
  <c r="E1884" i="1"/>
  <c r="M1884" i="1" s="1"/>
  <c r="J1883" i="1"/>
  <c r="E1883" i="1"/>
  <c r="M1883" i="1" s="1"/>
  <c r="J1882" i="1"/>
  <c r="E1882" i="1"/>
  <c r="M1882" i="1" s="1"/>
  <c r="J1881" i="1"/>
  <c r="E1881" i="1"/>
  <c r="M1881" i="1" s="1"/>
  <c r="J1880" i="1"/>
  <c r="E1880" i="1"/>
  <c r="M1880" i="1" s="1"/>
  <c r="J1879" i="1"/>
  <c r="E1879" i="1"/>
  <c r="M1879" i="1" s="1"/>
  <c r="J1878" i="1"/>
  <c r="E1878" i="1"/>
  <c r="M1878" i="1" s="1"/>
  <c r="J1877" i="1"/>
  <c r="E1877" i="1"/>
  <c r="M1877" i="1" s="1"/>
  <c r="J1876" i="1"/>
  <c r="E1876" i="1"/>
  <c r="M1876" i="1" s="1"/>
  <c r="J1875" i="1"/>
  <c r="E1875" i="1"/>
  <c r="M1875" i="1" s="1"/>
  <c r="J1874" i="1"/>
  <c r="E1874" i="1"/>
  <c r="M1874" i="1" s="1"/>
  <c r="J1873" i="1"/>
  <c r="E1873" i="1"/>
  <c r="M1873" i="1" s="1"/>
  <c r="J1872" i="1"/>
  <c r="E1872" i="1"/>
  <c r="M1872" i="1" s="1"/>
  <c r="J1871" i="1"/>
  <c r="E1871" i="1"/>
  <c r="M1871" i="1" s="1"/>
  <c r="J1870" i="1"/>
  <c r="E1870" i="1"/>
  <c r="M1870" i="1" s="1"/>
  <c r="J1869" i="1"/>
  <c r="E1869" i="1"/>
  <c r="M1869" i="1" s="1"/>
  <c r="J1868" i="1"/>
  <c r="E1868" i="1"/>
  <c r="M1868" i="1" s="1"/>
  <c r="J1867" i="1"/>
  <c r="E1867" i="1"/>
  <c r="M1867" i="1" s="1"/>
  <c r="J1866" i="1"/>
  <c r="E1866" i="1"/>
  <c r="M1866" i="1" s="1"/>
  <c r="J1865" i="1"/>
  <c r="E1865" i="1"/>
  <c r="M1865" i="1" s="1"/>
  <c r="J1864" i="1"/>
  <c r="E1864" i="1"/>
  <c r="M1864" i="1" s="1"/>
  <c r="J1863" i="1"/>
  <c r="E1863" i="1"/>
  <c r="M1863" i="1" s="1"/>
  <c r="J1862" i="1"/>
  <c r="E1862" i="1"/>
  <c r="M1862" i="1" s="1"/>
  <c r="J1861" i="1"/>
  <c r="E1861" i="1"/>
  <c r="M1861" i="1" s="1"/>
  <c r="J1860" i="1"/>
  <c r="E1860" i="1"/>
  <c r="M1860" i="1" s="1"/>
  <c r="J1859" i="1"/>
  <c r="E1859" i="1"/>
  <c r="M1859" i="1" s="1"/>
  <c r="J1858" i="1"/>
  <c r="E1858" i="1"/>
  <c r="M1858" i="1" s="1"/>
  <c r="J1857" i="1"/>
  <c r="E1857" i="1"/>
  <c r="M1857" i="1" s="1"/>
  <c r="J1856" i="1"/>
  <c r="E1856" i="1"/>
  <c r="M1856" i="1" s="1"/>
  <c r="J1855" i="1"/>
  <c r="E1855" i="1"/>
  <c r="M1855" i="1" s="1"/>
  <c r="J1854" i="1"/>
  <c r="E1854" i="1"/>
  <c r="M1854" i="1" s="1"/>
  <c r="J1853" i="1"/>
  <c r="E1853" i="1"/>
  <c r="M1853" i="1" s="1"/>
  <c r="J1852" i="1"/>
  <c r="E1852" i="1"/>
  <c r="M1852" i="1" s="1"/>
  <c r="J1851" i="1"/>
  <c r="E1851" i="1"/>
  <c r="M1851" i="1" s="1"/>
  <c r="J1850" i="1"/>
  <c r="E1850" i="1"/>
  <c r="M1850" i="1" s="1"/>
  <c r="J1849" i="1"/>
  <c r="E1849" i="1"/>
  <c r="M1849" i="1" s="1"/>
  <c r="J1848" i="1"/>
  <c r="E1848" i="1"/>
  <c r="M1848" i="1" s="1"/>
  <c r="J1847" i="1"/>
  <c r="E1847" i="1"/>
  <c r="M1847" i="1" s="1"/>
  <c r="J1846" i="1"/>
  <c r="E1846" i="1"/>
  <c r="M1846" i="1" s="1"/>
  <c r="J1845" i="1"/>
  <c r="E1845" i="1"/>
  <c r="M1845" i="1" s="1"/>
  <c r="J1844" i="1"/>
  <c r="E1844" i="1"/>
  <c r="M1844" i="1" s="1"/>
  <c r="J1843" i="1"/>
  <c r="E1843" i="1"/>
  <c r="M1843" i="1" s="1"/>
  <c r="J1842" i="1"/>
  <c r="E1842" i="1"/>
  <c r="M1842" i="1" s="1"/>
  <c r="J1841" i="1"/>
  <c r="E1841" i="1"/>
  <c r="M1841" i="1" s="1"/>
  <c r="J1840" i="1"/>
  <c r="E1840" i="1"/>
  <c r="M1840" i="1" s="1"/>
  <c r="J1839" i="1"/>
  <c r="E1839" i="1"/>
  <c r="M1839" i="1" s="1"/>
  <c r="J1838" i="1"/>
  <c r="E1838" i="1"/>
  <c r="M1838" i="1" s="1"/>
  <c r="J1837" i="1"/>
  <c r="E1837" i="1"/>
  <c r="M1837" i="1" s="1"/>
  <c r="J1836" i="1"/>
  <c r="E1836" i="1"/>
  <c r="M1836" i="1" s="1"/>
  <c r="J1835" i="1"/>
  <c r="E1835" i="1"/>
  <c r="M1835" i="1" s="1"/>
  <c r="J1834" i="1"/>
  <c r="E1834" i="1"/>
  <c r="M1834" i="1" s="1"/>
  <c r="J1833" i="1"/>
  <c r="E1833" i="1"/>
  <c r="M1833" i="1" s="1"/>
  <c r="J1832" i="1"/>
  <c r="E1832" i="1"/>
  <c r="M1832" i="1" s="1"/>
  <c r="J1831" i="1"/>
  <c r="E1831" i="1"/>
  <c r="M1831" i="1" s="1"/>
  <c r="J1830" i="1"/>
  <c r="E1830" i="1"/>
  <c r="M1830" i="1" s="1"/>
  <c r="J1829" i="1"/>
  <c r="E1829" i="1"/>
  <c r="M1829" i="1" s="1"/>
  <c r="J1828" i="1"/>
  <c r="E1828" i="1"/>
  <c r="M1828" i="1" s="1"/>
  <c r="J1827" i="1"/>
  <c r="E1827" i="1"/>
  <c r="M1827" i="1" s="1"/>
  <c r="J1826" i="1"/>
  <c r="E1826" i="1"/>
  <c r="M1826" i="1" s="1"/>
  <c r="J1825" i="1"/>
  <c r="E1825" i="1"/>
  <c r="M1825" i="1" s="1"/>
  <c r="J1824" i="1"/>
  <c r="E1824" i="1"/>
  <c r="M1824" i="1" s="1"/>
  <c r="J1823" i="1"/>
  <c r="E1823" i="1"/>
  <c r="M1823" i="1" s="1"/>
  <c r="J1822" i="1"/>
  <c r="E1822" i="1"/>
  <c r="M1822" i="1" s="1"/>
  <c r="J1821" i="1"/>
  <c r="E1821" i="1"/>
  <c r="M1821" i="1" s="1"/>
  <c r="J1820" i="1"/>
  <c r="E1820" i="1"/>
  <c r="M1820" i="1" s="1"/>
  <c r="J1819" i="1"/>
  <c r="E1819" i="1"/>
  <c r="M1819" i="1" s="1"/>
  <c r="J1818" i="1"/>
  <c r="E1818" i="1"/>
  <c r="M1818" i="1" s="1"/>
  <c r="J1817" i="1"/>
  <c r="E1817" i="1"/>
  <c r="M1817" i="1" s="1"/>
  <c r="J1816" i="1"/>
  <c r="E1816" i="1"/>
  <c r="M1816" i="1" s="1"/>
  <c r="J1815" i="1"/>
  <c r="E1815" i="1"/>
  <c r="M1815" i="1" s="1"/>
  <c r="J1814" i="1"/>
  <c r="E1814" i="1"/>
  <c r="M1814" i="1" s="1"/>
  <c r="J1813" i="1"/>
  <c r="E1813" i="1"/>
  <c r="M1813" i="1" s="1"/>
  <c r="J1812" i="1"/>
  <c r="E1812" i="1"/>
  <c r="M1812" i="1" s="1"/>
  <c r="J1811" i="1"/>
  <c r="E1811" i="1"/>
  <c r="M1811" i="1" s="1"/>
  <c r="J1810" i="1"/>
  <c r="E1810" i="1"/>
  <c r="M1810" i="1" s="1"/>
  <c r="J1809" i="1"/>
  <c r="E1809" i="1"/>
  <c r="M1809" i="1" s="1"/>
  <c r="J1808" i="1"/>
  <c r="E1808" i="1"/>
  <c r="M1808" i="1" s="1"/>
  <c r="J1807" i="1"/>
  <c r="E1807" i="1"/>
  <c r="M1807" i="1" s="1"/>
  <c r="J1806" i="1"/>
  <c r="E1806" i="1"/>
  <c r="M1806" i="1" s="1"/>
  <c r="J1805" i="1"/>
  <c r="E1805" i="1"/>
  <c r="M1805" i="1" s="1"/>
  <c r="J1804" i="1"/>
  <c r="E1804" i="1"/>
  <c r="M1804" i="1" s="1"/>
  <c r="J1803" i="1"/>
  <c r="E1803" i="1"/>
  <c r="M1803" i="1" s="1"/>
  <c r="J1802" i="1"/>
  <c r="E1802" i="1"/>
  <c r="M1802" i="1" s="1"/>
  <c r="J1801" i="1"/>
  <c r="E1801" i="1"/>
  <c r="M1801" i="1" s="1"/>
  <c r="J1800" i="1"/>
  <c r="E1800" i="1"/>
  <c r="M1800" i="1" s="1"/>
  <c r="J1799" i="1"/>
  <c r="E1799" i="1"/>
  <c r="M1799" i="1" s="1"/>
  <c r="J1798" i="1"/>
  <c r="E1798" i="1"/>
  <c r="M1798" i="1" s="1"/>
  <c r="J1797" i="1"/>
  <c r="E1797" i="1"/>
  <c r="M1797" i="1" s="1"/>
  <c r="J1796" i="1"/>
  <c r="E1796" i="1"/>
  <c r="M1796" i="1" s="1"/>
  <c r="J1795" i="1"/>
  <c r="E1795" i="1"/>
  <c r="M1795" i="1" s="1"/>
  <c r="J1794" i="1"/>
  <c r="E1794" i="1"/>
  <c r="M1794" i="1" s="1"/>
  <c r="J1793" i="1"/>
  <c r="E1793" i="1"/>
  <c r="M1793" i="1" s="1"/>
  <c r="J1792" i="1"/>
  <c r="E1792" i="1"/>
  <c r="M1792" i="1" s="1"/>
  <c r="J1791" i="1"/>
  <c r="E1791" i="1"/>
  <c r="M1791" i="1" s="1"/>
  <c r="J1790" i="1"/>
  <c r="E1790" i="1"/>
  <c r="M1790" i="1" s="1"/>
  <c r="J1789" i="1"/>
  <c r="E1789" i="1"/>
  <c r="M1789" i="1" s="1"/>
  <c r="J1788" i="1"/>
  <c r="E1788" i="1"/>
  <c r="M1788" i="1" s="1"/>
  <c r="J1787" i="1"/>
  <c r="E1787" i="1"/>
  <c r="M1787" i="1" s="1"/>
  <c r="J1786" i="1"/>
  <c r="E1786" i="1"/>
  <c r="M1786" i="1" s="1"/>
  <c r="J1785" i="1"/>
  <c r="E1785" i="1"/>
  <c r="M1785" i="1" s="1"/>
  <c r="J1784" i="1"/>
  <c r="E1784" i="1"/>
  <c r="M1784" i="1" s="1"/>
  <c r="J1783" i="1"/>
  <c r="E1783" i="1"/>
  <c r="M1783" i="1" s="1"/>
  <c r="J1782" i="1"/>
  <c r="E1782" i="1"/>
  <c r="M1782" i="1" s="1"/>
  <c r="J1781" i="1"/>
  <c r="E1781" i="1"/>
  <c r="M1781" i="1" s="1"/>
  <c r="J1780" i="1"/>
  <c r="E1780" i="1"/>
  <c r="M1780" i="1" s="1"/>
  <c r="J1779" i="1"/>
  <c r="E1779" i="1"/>
  <c r="M1779" i="1" s="1"/>
  <c r="J1778" i="1"/>
  <c r="E1778" i="1"/>
  <c r="M1778" i="1" s="1"/>
  <c r="J1777" i="1"/>
  <c r="E1777" i="1"/>
  <c r="M1777" i="1" s="1"/>
  <c r="J1776" i="1"/>
  <c r="E1776" i="1"/>
  <c r="M1776" i="1" s="1"/>
  <c r="J1775" i="1"/>
  <c r="E1775" i="1"/>
  <c r="M1775" i="1" s="1"/>
  <c r="J1774" i="1"/>
  <c r="E1774" i="1"/>
  <c r="M1774" i="1" s="1"/>
  <c r="J1773" i="1"/>
  <c r="E1773" i="1"/>
  <c r="M1773" i="1" s="1"/>
  <c r="J1772" i="1"/>
  <c r="E1772" i="1"/>
  <c r="M1772" i="1" s="1"/>
  <c r="J1771" i="1"/>
  <c r="E1771" i="1"/>
  <c r="M1771" i="1" s="1"/>
  <c r="J1770" i="1"/>
  <c r="E1770" i="1"/>
  <c r="M1770" i="1" s="1"/>
  <c r="J1769" i="1"/>
  <c r="E1769" i="1"/>
  <c r="M1769" i="1" s="1"/>
  <c r="J1768" i="1"/>
  <c r="E1768" i="1"/>
  <c r="M1768" i="1" s="1"/>
  <c r="J1767" i="1"/>
  <c r="E1767" i="1"/>
  <c r="M1767" i="1" s="1"/>
  <c r="J1766" i="1"/>
  <c r="E1766" i="1"/>
  <c r="M1766" i="1" s="1"/>
  <c r="J1765" i="1"/>
  <c r="E1765" i="1"/>
  <c r="M1765" i="1" s="1"/>
  <c r="J1764" i="1"/>
  <c r="E1764" i="1"/>
  <c r="M1764" i="1" s="1"/>
  <c r="J1763" i="1"/>
  <c r="E1763" i="1"/>
  <c r="M1763" i="1" s="1"/>
  <c r="J1762" i="1"/>
  <c r="E1762" i="1"/>
  <c r="M1762" i="1" s="1"/>
  <c r="J1761" i="1"/>
  <c r="E1761" i="1"/>
  <c r="M1761" i="1" s="1"/>
  <c r="J1760" i="1"/>
  <c r="E1760" i="1"/>
  <c r="M1760" i="1" s="1"/>
  <c r="J1759" i="1"/>
  <c r="E1759" i="1"/>
  <c r="M1759" i="1" s="1"/>
  <c r="J1758" i="1"/>
  <c r="E1758" i="1"/>
  <c r="M1758" i="1" s="1"/>
  <c r="J1757" i="1"/>
  <c r="E1757" i="1"/>
  <c r="M1757" i="1" s="1"/>
  <c r="J1756" i="1"/>
  <c r="E1756" i="1"/>
  <c r="M1756" i="1" s="1"/>
  <c r="J1755" i="1"/>
  <c r="E1755" i="1"/>
  <c r="M1755" i="1" s="1"/>
  <c r="J1754" i="1"/>
  <c r="E1754" i="1"/>
  <c r="M1754" i="1" s="1"/>
  <c r="J1753" i="1"/>
  <c r="E1753" i="1"/>
  <c r="M1753" i="1" s="1"/>
  <c r="J1752" i="1"/>
  <c r="E1752" i="1"/>
  <c r="M1752" i="1" s="1"/>
  <c r="J1751" i="1"/>
  <c r="E1751" i="1"/>
  <c r="M1751" i="1" s="1"/>
  <c r="J1750" i="1"/>
  <c r="E1750" i="1"/>
  <c r="M1750" i="1" s="1"/>
  <c r="J1749" i="1"/>
  <c r="E1749" i="1"/>
  <c r="M1749" i="1" s="1"/>
  <c r="J1748" i="1"/>
  <c r="E1748" i="1"/>
  <c r="M1748" i="1" s="1"/>
  <c r="J1747" i="1"/>
  <c r="E1747" i="1"/>
  <c r="M1747" i="1" s="1"/>
  <c r="J1746" i="1"/>
  <c r="E1746" i="1"/>
  <c r="M1746" i="1" s="1"/>
  <c r="J1745" i="1"/>
  <c r="E1745" i="1"/>
  <c r="M1745" i="1" s="1"/>
  <c r="J1744" i="1"/>
  <c r="E1744" i="1"/>
  <c r="M1744" i="1" s="1"/>
  <c r="J1743" i="1"/>
  <c r="E1743" i="1"/>
  <c r="M1743" i="1" s="1"/>
  <c r="J1742" i="1"/>
  <c r="E1742" i="1"/>
  <c r="M1742" i="1" s="1"/>
  <c r="J1741" i="1"/>
  <c r="E1741" i="1"/>
  <c r="M1741" i="1" s="1"/>
  <c r="J1740" i="1"/>
  <c r="E1740" i="1"/>
  <c r="M1740" i="1" s="1"/>
  <c r="J1739" i="1"/>
  <c r="E1739" i="1"/>
  <c r="M1739" i="1" s="1"/>
  <c r="J1738" i="1"/>
  <c r="E1738" i="1"/>
  <c r="M1738" i="1" s="1"/>
  <c r="J1737" i="1"/>
  <c r="E1737" i="1"/>
  <c r="M1737" i="1" s="1"/>
  <c r="J1736" i="1"/>
  <c r="E1736" i="1"/>
  <c r="M1736" i="1" s="1"/>
  <c r="J1735" i="1"/>
  <c r="E1735" i="1"/>
  <c r="M1735" i="1" s="1"/>
  <c r="J1734" i="1"/>
  <c r="E1734" i="1"/>
  <c r="M1734" i="1" s="1"/>
  <c r="J1733" i="1"/>
  <c r="E1733" i="1"/>
  <c r="M1733" i="1" s="1"/>
  <c r="J1732" i="1"/>
  <c r="E1732" i="1"/>
  <c r="M1732" i="1" s="1"/>
  <c r="J1731" i="1"/>
  <c r="E1731" i="1"/>
  <c r="M1731" i="1" s="1"/>
  <c r="J1730" i="1"/>
  <c r="E1730" i="1"/>
  <c r="M1730" i="1" s="1"/>
  <c r="J1729" i="1"/>
  <c r="E1729" i="1"/>
  <c r="M1729" i="1" s="1"/>
  <c r="J1728" i="1"/>
  <c r="E1728" i="1"/>
  <c r="M1728" i="1" s="1"/>
  <c r="J1727" i="1"/>
  <c r="E1727" i="1"/>
  <c r="M1727" i="1" s="1"/>
  <c r="J1726" i="1"/>
  <c r="E1726" i="1"/>
  <c r="M1726" i="1" s="1"/>
  <c r="J1725" i="1"/>
  <c r="E1725" i="1"/>
  <c r="M1725" i="1" s="1"/>
  <c r="J1724" i="1"/>
  <c r="E1724" i="1"/>
  <c r="M1724" i="1" s="1"/>
  <c r="J1723" i="1"/>
  <c r="E1723" i="1"/>
  <c r="M1723" i="1" s="1"/>
  <c r="J1722" i="1"/>
  <c r="E1722" i="1"/>
  <c r="M1722" i="1" s="1"/>
  <c r="J1721" i="1"/>
  <c r="E1721" i="1"/>
  <c r="M1721" i="1" s="1"/>
  <c r="J1720" i="1"/>
  <c r="E1720" i="1"/>
  <c r="M1720" i="1" s="1"/>
  <c r="J1719" i="1"/>
  <c r="E1719" i="1"/>
  <c r="M1719" i="1" s="1"/>
  <c r="J1718" i="1"/>
  <c r="E1718" i="1"/>
  <c r="M1718" i="1" s="1"/>
  <c r="J1717" i="1"/>
  <c r="E1717" i="1"/>
  <c r="M1717" i="1" s="1"/>
  <c r="J1716" i="1"/>
  <c r="E1716" i="1"/>
  <c r="M1716" i="1" s="1"/>
  <c r="J1715" i="1"/>
  <c r="E1715" i="1"/>
  <c r="M1715" i="1" s="1"/>
  <c r="J1714" i="1"/>
  <c r="E1714" i="1"/>
  <c r="M1714" i="1" s="1"/>
  <c r="J1713" i="1"/>
  <c r="E1713" i="1"/>
  <c r="M1713" i="1" s="1"/>
  <c r="J1712" i="1"/>
  <c r="E1712" i="1"/>
  <c r="M1712" i="1" s="1"/>
  <c r="J1711" i="1"/>
  <c r="E1711" i="1"/>
  <c r="M1711" i="1" s="1"/>
  <c r="J1710" i="1"/>
  <c r="E1710" i="1"/>
  <c r="M1710" i="1" s="1"/>
  <c r="J1709" i="1"/>
  <c r="E1709" i="1"/>
  <c r="M1709" i="1" s="1"/>
  <c r="J1708" i="1"/>
  <c r="E1708" i="1"/>
  <c r="M1708" i="1" s="1"/>
  <c r="J1707" i="1"/>
  <c r="E1707" i="1"/>
  <c r="M1707" i="1" s="1"/>
  <c r="J1706" i="1"/>
  <c r="E1706" i="1"/>
  <c r="M1706" i="1" s="1"/>
  <c r="J1705" i="1"/>
  <c r="E1705" i="1"/>
  <c r="M1705" i="1" s="1"/>
  <c r="J1704" i="1"/>
  <c r="E1704" i="1"/>
  <c r="M1704" i="1" s="1"/>
  <c r="J1703" i="1"/>
  <c r="E1703" i="1"/>
  <c r="M1703" i="1" s="1"/>
  <c r="J1702" i="1"/>
  <c r="E1702" i="1"/>
  <c r="M1702" i="1" s="1"/>
  <c r="J1701" i="1"/>
  <c r="E1701" i="1"/>
  <c r="M1701" i="1" s="1"/>
  <c r="J1700" i="1"/>
  <c r="E1700" i="1"/>
  <c r="M1700" i="1" s="1"/>
  <c r="J1699" i="1"/>
  <c r="E1699" i="1"/>
  <c r="M1699" i="1" s="1"/>
  <c r="J1698" i="1"/>
  <c r="E1698" i="1"/>
  <c r="M1698" i="1" s="1"/>
  <c r="J1697" i="1"/>
  <c r="E1697" i="1"/>
  <c r="M1697" i="1" s="1"/>
  <c r="J1696" i="1"/>
  <c r="E1696" i="1"/>
  <c r="M1696" i="1" s="1"/>
  <c r="J1695" i="1"/>
  <c r="E1695" i="1"/>
  <c r="M1695" i="1" s="1"/>
  <c r="J1694" i="1"/>
  <c r="E1694" i="1"/>
  <c r="M1694" i="1" s="1"/>
  <c r="J1693" i="1"/>
  <c r="E1693" i="1"/>
  <c r="M1693" i="1" s="1"/>
  <c r="J1692" i="1"/>
  <c r="E1692" i="1"/>
  <c r="M1692" i="1" s="1"/>
  <c r="J1691" i="1"/>
  <c r="E1691" i="1"/>
  <c r="M1691" i="1" s="1"/>
  <c r="J1690" i="1"/>
  <c r="E1690" i="1"/>
  <c r="M1690" i="1" s="1"/>
  <c r="J1689" i="1"/>
  <c r="E1689" i="1"/>
  <c r="M1689" i="1" s="1"/>
  <c r="J1688" i="1"/>
  <c r="E1688" i="1"/>
  <c r="M1688" i="1" s="1"/>
  <c r="J1687" i="1"/>
  <c r="E1687" i="1"/>
  <c r="M1687" i="1" s="1"/>
  <c r="J1686" i="1"/>
  <c r="E1686" i="1"/>
  <c r="M1686" i="1" s="1"/>
  <c r="J1685" i="1"/>
  <c r="E1685" i="1"/>
  <c r="M1685" i="1" s="1"/>
  <c r="J1684" i="1"/>
  <c r="E1684" i="1"/>
  <c r="M1684" i="1" s="1"/>
  <c r="J1683" i="1"/>
  <c r="E1683" i="1"/>
  <c r="M1683" i="1" s="1"/>
  <c r="J1682" i="1"/>
  <c r="E1682" i="1"/>
  <c r="M1682" i="1" s="1"/>
  <c r="J1681" i="1"/>
  <c r="E1681" i="1"/>
  <c r="M1681" i="1" s="1"/>
  <c r="J1680" i="1"/>
  <c r="E1680" i="1"/>
  <c r="M1680" i="1" s="1"/>
  <c r="J1679" i="1"/>
  <c r="E1679" i="1"/>
  <c r="M1679" i="1" s="1"/>
  <c r="J1678" i="1"/>
  <c r="E1678" i="1"/>
  <c r="M1678" i="1" s="1"/>
  <c r="J1677" i="1"/>
  <c r="E1677" i="1"/>
  <c r="M1677" i="1" s="1"/>
  <c r="J1676" i="1"/>
  <c r="E1676" i="1"/>
  <c r="M1676" i="1" s="1"/>
  <c r="J1675" i="1"/>
  <c r="E1675" i="1"/>
  <c r="M1675" i="1" s="1"/>
  <c r="J1674" i="1"/>
  <c r="E1674" i="1"/>
  <c r="M1674" i="1" s="1"/>
  <c r="J1673" i="1"/>
  <c r="E1673" i="1"/>
  <c r="M1673" i="1" s="1"/>
  <c r="J1672" i="1"/>
  <c r="E1672" i="1"/>
  <c r="M1672" i="1" s="1"/>
  <c r="J1671" i="1"/>
  <c r="E1671" i="1"/>
  <c r="M1671" i="1" s="1"/>
  <c r="J1670" i="1"/>
  <c r="E1670" i="1"/>
  <c r="M1670" i="1" s="1"/>
  <c r="J1669" i="1"/>
  <c r="E1669" i="1"/>
  <c r="M1669" i="1" s="1"/>
  <c r="J1668" i="1"/>
  <c r="E1668" i="1"/>
  <c r="M1668" i="1" s="1"/>
  <c r="J1667" i="1"/>
  <c r="E1667" i="1"/>
  <c r="M1667" i="1" s="1"/>
  <c r="J1666" i="1"/>
  <c r="E1666" i="1"/>
  <c r="M1666" i="1" s="1"/>
  <c r="J1665" i="1"/>
  <c r="E1665" i="1"/>
  <c r="M1665" i="1" s="1"/>
  <c r="J1664" i="1"/>
  <c r="E1664" i="1"/>
  <c r="M1664" i="1" s="1"/>
  <c r="J1663" i="1"/>
  <c r="E1663" i="1"/>
  <c r="M1663" i="1" s="1"/>
  <c r="J1662" i="1"/>
  <c r="E1662" i="1"/>
  <c r="M1662" i="1" s="1"/>
  <c r="J1661" i="1"/>
  <c r="E1661" i="1"/>
  <c r="M1661" i="1" s="1"/>
  <c r="J1660" i="1"/>
  <c r="E1660" i="1"/>
  <c r="M1660" i="1" s="1"/>
  <c r="J1659" i="1"/>
  <c r="E1659" i="1"/>
  <c r="M1659" i="1" s="1"/>
  <c r="J1658" i="1"/>
  <c r="E1658" i="1"/>
  <c r="M1658" i="1" s="1"/>
  <c r="J1657" i="1"/>
  <c r="E1657" i="1"/>
  <c r="M1657" i="1" s="1"/>
  <c r="J1656" i="1"/>
  <c r="E1656" i="1"/>
  <c r="M1656" i="1" s="1"/>
  <c r="J1655" i="1"/>
  <c r="E1655" i="1"/>
  <c r="M1655" i="1" s="1"/>
  <c r="J1654" i="1"/>
  <c r="E1654" i="1"/>
  <c r="M1654" i="1" s="1"/>
  <c r="J1653" i="1"/>
  <c r="E1653" i="1"/>
  <c r="M1653" i="1" s="1"/>
  <c r="J1652" i="1"/>
  <c r="E1652" i="1"/>
  <c r="M1652" i="1" s="1"/>
  <c r="J1651" i="1"/>
  <c r="E1651" i="1"/>
  <c r="M1651" i="1" s="1"/>
  <c r="J1650" i="1"/>
  <c r="E1650" i="1"/>
  <c r="M1650" i="1" s="1"/>
  <c r="J1649" i="1"/>
  <c r="E1649" i="1"/>
  <c r="M1649" i="1" s="1"/>
  <c r="J1648" i="1"/>
  <c r="E1648" i="1"/>
  <c r="M1648" i="1" s="1"/>
  <c r="J1647" i="1"/>
  <c r="E1647" i="1"/>
  <c r="M1647" i="1" s="1"/>
  <c r="J1646" i="1"/>
  <c r="E1646" i="1"/>
  <c r="M1646" i="1" s="1"/>
  <c r="J1645" i="1"/>
  <c r="E1645" i="1"/>
  <c r="M1645" i="1" s="1"/>
  <c r="J1644" i="1"/>
  <c r="E1644" i="1"/>
  <c r="M1644" i="1" s="1"/>
  <c r="J1643" i="1"/>
  <c r="E1643" i="1"/>
  <c r="M1643" i="1" s="1"/>
  <c r="J1642" i="1"/>
  <c r="E1642" i="1"/>
  <c r="M1642" i="1" s="1"/>
  <c r="J1641" i="1"/>
  <c r="E1641" i="1"/>
  <c r="M1641" i="1" s="1"/>
  <c r="J1640" i="1"/>
  <c r="E1640" i="1"/>
  <c r="M1640" i="1" s="1"/>
  <c r="J1639" i="1"/>
  <c r="E1639" i="1"/>
  <c r="M1639" i="1" s="1"/>
  <c r="J1638" i="1"/>
  <c r="E1638" i="1"/>
  <c r="M1638" i="1" s="1"/>
  <c r="J1637" i="1"/>
  <c r="E1637" i="1"/>
  <c r="M1637" i="1" s="1"/>
  <c r="J1636" i="1"/>
  <c r="E1636" i="1"/>
  <c r="M1636" i="1" s="1"/>
  <c r="J1635" i="1"/>
  <c r="E1635" i="1"/>
  <c r="M1635" i="1" s="1"/>
  <c r="J1634" i="1"/>
  <c r="E1634" i="1"/>
  <c r="M1634" i="1" s="1"/>
  <c r="J1633" i="1"/>
  <c r="E1633" i="1"/>
  <c r="M1633" i="1" s="1"/>
  <c r="J1632" i="1"/>
  <c r="E1632" i="1"/>
  <c r="M1632" i="1" s="1"/>
  <c r="J1631" i="1"/>
  <c r="E1631" i="1"/>
  <c r="M1631" i="1" s="1"/>
  <c r="J1630" i="1"/>
  <c r="E1630" i="1"/>
  <c r="M1630" i="1" s="1"/>
  <c r="J1629" i="1"/>
  <c r="E1629" i="1"/>
  <c r="M1629" i="1" s="1"/>
  <c r="J1628" i="1"/>
  <c r="E1628" i="1"/>
  <c r="M1628" i="1" s="1"/>
  <c r="J1627" i="1"/>
  <c r="E1627" i="1"/>
  <c r="M1627" i="1" s="1"/>
  <c r="J1626" i="1"/>
  <c r="E1626" i="1"/>
  <c r="M1626" i="1" s="1"/>
  <c r="J1625" i="1"/>
  <c r="E1625" i="1"/>
  <c r="M1625" i="1" s="1"/>
  <c r="J1624" i="1"/>
  <c r="E1624" i="1"/>
  <c r="M1624" i="1" s="1"/>
  <c r="J1623" i="1"/>
  <c r="E1623" i="1"/>
  <c r="M1623" i="1" s="1"/>
  <c r="J1622" i="1"/>
  <c r="E1622" i="1"/>
  <c r="M1622" i="1" s="1"/>
  <c r="J1621" i="1"/>
  <c r="E1621" i="1"/>
  <c r="M1621" i="1" s="1"/>
  <c r="J1620" i="1"/>
  <c r="E1620" i="1"/>
  <c r="M1620" i="1" s="1"/>
  <c r="J1619" i="1"/>
  <c r="E1619" i="1"/>
  <c r="M1619" i="1" s="1"/>
  <c r="J1618" i="1"/>
  <c r="E1618" i="1"/>
  <c r="M1618" i="1" s="1"/>
  <c r="J1617" i="1"/>
  <c r="E1617" i="1"/>
  <c r="M1617" i="1" s="1"/>
  <c r="J1616" i="1"/>
  <c r="E1616" i="1"/>
  <c r="M1616" i="1" s="1"/>
  <c r="J1615" i="1"/>
  <c r="E1615" i="1"/>
  <c r="M1615" i="1" s="1"/>
  <c r="J1614" i="1"/>
  <c r="E1614" i="1"/>
  <c r="M1614" i="1" s="1"/>
  <c r="J1613" i="1"/>
  <c r="E1613" i="1"/>
  <c r="M1613" i="1" s="1"/>
  <c r="J1612" i="1"/>
  <c r="E1612" i="1"/>
  <c r="M1612" i="1" s="1"/>
  <c r="J1611" i="1"/>
  <c r="E1611" i="1"/>
  <c r="M1611" i="1" s="1"/>
  <c r="J1610" i="1"/>
  <c r="E1610" i="1"/>
  <c r="M1610" i="1" s="1"/>
  <c r="J1609" i="1"/>
  <c r="E1609" i="1"/>
  <c r="M1609" i="1" s="1"/>
  <c r="J1608" i="1"/>
  <c r="E1608" i="1"/>
  <c r="M1608" i="1" s="1"/>
  <c r="J1607" i="1"/>
  <c r="E1607" i="1"/>
  <c r="M1607" i="1" s="1"/>
  <c r="J1606" i="1"/>
  <c r="E1606" i="1"/>
  <c r="M1606" i="1" s="1"/>
  <c r="J1605" i="1"/>
  <c r="E1605" i="1"/>
  <c r="M1605" i="1" s="1"/>
  <c r="J1604" i="1"/>
  <c r="E1604" i="1"/>
  <c r="M1604" i="1" s="1"/>
  <c r="J1603" i="1"/>
  <c r="E1603" i="1"/>
  <c r="M1603" i="1" s="1"/>
  <c r="J1602" i="1"/>
  <c r="E1602" i="1"/>
  <c r="M1602" i="1" s="1"/>
  <c r="J1601" i="1"/>
  <c r="E1601" i="1"/>
  <c r="M1601" i="1" s="1"/>
  <c r="J1600" i="1"/>
  <c r="E1600" i="1"/>
  <c r="M1600" i="1" s="1"/>
  <c r="J1599" i="1"/>
  <c r="E1599" i="1"/>
  <c r="M1599" i="1" s="1"/>
  <c r="J1598" i="1"/>
  <c r="E1598" i="1"/>
  <c r="M1598" i="1" s="1"/>
  <c r="J1597" i="1"/>
  <c r="E1597" i="1"/>
  <c r="M1597" i="1" s="1"/>
  <c r="J1596" i="1"/>
  <c r="E1596" i="1"/>
  <c r="M1596" i="1" s="1"/>
  <c r="J1595" i="1"/>
  <c r="E1595" i="1"/>
  <c r="M1595" i="1" s="1"/>
  <c r="J1594" i="1"/>
  <c r="E1594" i="1"/>
  <c r="M1594" i="1" s="1"/>
  <c r="J1593" i="1"/>
  <c r="E1593" i="1"/>
  <c r="M1593" i="1" s="1"/>
  <c r="J1592" i="1"/>
  <c r="E1592" i="1"/>
  <c r="M1592" i="1" s="1"/>
  <c r="J1591" i="1"/>
  <c r="E1591" i="1"/>
  <c r="M1591" i="1" s="1"/>
  <c r="J1590" i="1"/>
  <c r="E1590" i="1"/>
  <c r="M1590" i="1" s="1"/>
  <c r="J1589" i="1"/>
  <c r="E1589" i="1"/>
  <c r="M1589" i="1" s="1"/>
  <c r="J1588" i="1"/>
  <c r="E1588" i="1"/>
  <c r="M1588" i="1" s="1"/>
  <c r="J1587" i="1"/>
  <c r="E1587" i="1"/>
  <c r="M1587" i="1" s="1"/>
  <c r="J1586" i="1"/>
  <c r="E1586" i="1"/>
  <c r="M1586" i="1" s="1"/>
  <c r="J1585" i="1"/>
  <c r="E1585" i="1"/>
  <c r="M1585" i="1" s="1"/>
  <c r="J1584" i="1"/>
  <c r="E1584" i="1"/>
  <c r="M1584" i="1" s="1"/>
  <c r="J1583" i="1"/>
  <c r="E1583" i="1"/>
  <c r="M1583" i="1" s="1"/>
  <c r="J1582" i="1"/>
  <c r="E1582" i="1"/>
  <c r="M1582" i="1" s="1"/>
  <c r="J1581" i="1"/>
  <c r="E1581" i="1"/>
  <c r="M1581" i="1" s="1"/>
  <c r="J1580" i="1"/>
  <c r="E1580" i="1"/>
  <c r="M1580" i="1" s="1"/>
  <c r="J1579" i="1"/>
  <c r="E1579" i="1"/>
  <c r="M1579" i="1" s="1"/>
  <c r="J1578" i="1"/>
  <c r="E1578" i="1"/>
  <c r="M1578" i="1" s="1"/>
  <c r="J1577" i="1"/>
  <c r="E1577" i="1"/>
  <c r="M1577" i="1" s="1"/>
  <c r="J1576" i="1"/>
  <c r="E1576" i="1"/>
  <c r="M1576" i="1" s="1"/>
  <c r="J1575" i="1"/>
  <c r="E1575" i="1"/>
  <c r="M1575" i="1" s="1"/>
  <c r="J1574" i="1"/>
  <c r="E1574" i="1"/>
  <c r="M1574" i="1" s="1"/>
  <c r="J1573" i="1"/>
  <c r="E1573" i="1"/>
  <c r="M1573" i="1" s="1"/>
  <c r="J1572" i="1"/>
  <c r="E1572" i="1"/>
  <c r="M1572" i="1" s="1"/>
  <c r="J1571" i="1"/>
  <c r="E1571" i="1"/>
  <c r="M1571" i="1" s="1"/>
  <c r="J1570" i="1"/>
  <c r="E1570" i="1"/>
  <c r="M1570" i="1" s="1"/>
  <c r="J1569" i="1"/>
  <c r="E1569" i="1"/>
  <c r="M1569" i="1" s="1"/>
  <c r="J1568" i="1"/>
  <c r="E1568" i="1"/>
  <c r="M1568" i="1" s="1"/>
  <c r="J1567" i="1"/>
  <c r="E1567" i="1"/>
  <c r="M1567" i="1" s="1"/>
  <c r="J1566" i="1"/>
  <c r="E1566" i="1"/>
  <c r="M1566" i="1" s="1"/>
  <c r="J1565" i="1"/>
  <c r="E1565" i="1"/>
  <c r="M1565" i="1" s="1"/>
  <c r="J1564" i="1"/>
  <c r="E1564" i="1"/>
  <c r="M1564" i="1" s="1"/>
  <c r="J1563" i="1"/>
  <c r="E1563" i="1"/>
  <c r="M1563" i="1" s="1"/>
  <c r="J1562" i="1"/>
  <c r="E1562" i="1"/>
  <c r="M1562" i="1" s="1"/>
  <c r="J1561" i="1"/>
  <c r="E1561" i="1"/>
  <c r="M1561" i="1" s="1"/>
  <c r="J1560" i="1"/>
  <c r="E1560" i="1"/>
  <c r="M1560" i="1" s="1"/>
  <c r="J1559" i="1"/>
  <c r="E1559" i="1"/>
  <c r="M1559" i="1" s="1"/>
  <c r="J1558" i="1"/>
  <c r="E1558" i="1"/>
  <c r="M1558" i="1" s="1"/>
  <c r="J1557" i="1"/>
  <c r="E1557" i="1"/>
  <c r="M1557" i="1" s="1"/>
  <c r="J1556" i="1"/>
  <c r="E1556" i="1"/>
  <c r="M1556" i="1" s="1"/>
  <c r="J1555" i="1"/>
  <c r="E1555" i="1"/>
  <c r="M1555" i="1" s="1"/>
  <c r="J1554" i="1"/>
  <c r="E1554" i="1"/>
  <c r="M1554" i="1" s="1"/>
  <c r="J1553" i="1"/>
  <c r="E1553" i="1"/>
  <c r="M1553" i="1" s="1"/>
  <c r="J1552" i="1"/>
  <c r="E1552" i="1"/>
  <c r="M1552" i="1" s="1"/>
  <c r="J1551" i="1"/>
  <c r="E1551" i="1"/>
  <c r="M1551" i="1" s="1"/>
  <c r="J1550" i="1"/>
  <c r="E1550" i="1"/>
  <c r="M1550" i="1" s="1"/>
  <c r="J1549" i="1"/>
  <c r="E1549" i="1"/>
  <c r="M1549" i="1" s="1"/>
  <c r="J1548" i="1"/>
  <c r="E1548" i="1"/>
  <c r="M1548" i="1" s="1"/>
  <c r="J1547" i="1"/>
  <c r="E1547" i="1"/>
  <c r="M1547" i="1" s="1"/>
  <c r="J1546" i="1"/>
  <c r="E1546" i="1"/>
  <c r="M1546" i="1" s="1"/>
  <c r="J1545" i="1"/>
  <c r="E1545" i="1"/>
  <c r="M1545" i="1" s="1"/>
  <c r="J1544" i="1"/>
  <c r="E1544" i="1"/>
  <c r="M1544" i="1" s="1"/>
  <c r="J1543" i="1"/>
  <c r="E1543" i="1"/>
  <c r="M1543" i="1" s="1"/>
  <c r="J1542" i="1"/>
  <c r="E1542" i="1"/>
  <c r="M1542" i="1" s="1"/>
  <c r="J1541" i="1"/>
  <c r="E1541" i="1"/>
  <c r="M1541" i="1" s="1"/>
  <c r="J1540" i="1"/>
  <c r="E1540" i="1"/>
  <c r="M1540" i="1" s="1"/>
  <c r="J1539" i="1"/>
  <c r="E1539" i="1"/>
  <c r="M1539" i="1" s="1"/>
  <c r="J1538" i="1"/>
  <c r="E1538" i="1"/>
  <c r="M1538" i="1" s="1"/>
  <c r="J1537" i="1"/>
  <c r="E1537" i="1"/>
  <c r="M1537" i="1" s="1"/>
  <c r="J1536" i="1"/>
  <c r="E1536" i="1"/>
  <c r="M1536" i="1" s="1"/>
  <c r="J1535" i="1"/>
  <c r="E1535" i="1"/>
  <c r="M1535" i="1" s="1"/>
  <c r="J1534" i="1"/>
  <c r="E1534" i="1"/>
  <c r="M1534" i="1" s="1"/>
  <c r="J1533" i="1"/>
  <c r="E1533" i="1"/>
  <c r="M1533" i="1" s="1"/>
  <c r="J1532" i="1"/>
  <c r="E1532" i="1"/>
  <c r="M1532" i="1" s="1"/>
  <c r="J1531" i="1"/>
  <c r="E1531" i="1"/>
  <c r="M1531" i="1" s="1"/>
  <c r="J1530" i="1"/>
  <c r="E1530" i="1"/>
  <c r="M1530" i="1" s="1"/>
  <c r="J1529" i="1"/>
  <c r="E1529" i="1"/>
  <c r="M1529" i="1" s="1"/>
  <c r="J1528" i="1"/>
  <c r="E1528" i="1"/>
  <c r="M1528" i="1" s="1"/>
  <c r="J1527" i="1"/>
  <c r="E1527" i="1"/>
  <c r="M1527" i="1" s="1"/>
  <c r="J1526" i="1"/>
  <c r="E1526" i="1"/>
  <c r="M1526" i="1" s="1"/>
  <c r="J1525" i="1"/>
  <c r="E1525" i="1"/>
  <c r="M1525" i="1" s="1"/>
  <c r="J1524" i="1"/>
  <c r="E1524" i="1"/>
  <c r="M1524" i="1" s="1"/>
  <c r="J1523" i="1"/>
  <c r="E1523" i="1"/>
  <c r="M1523" i="1" s="1"/>
  <c r="J1522" i="1"/>
  <c r="E1522" i="1"/>
  <c r="M1522" i="1" s="1"/>
  <c r="J1521" i="1"/>
  <c r="E1521" i="1"/>
  <c r="M1521" i="1" s="1"/>
  <c r="J1520" i="1"/>
  <c r="E1520" i="1"/>
  <c r="M1520" i="1" s="1"/>
  <c r="J1519" i="1"/>
  <c r="E1519" i="1"/>
  <c r="M1519" i="1" s="1"/>
  <c r="J1518" i="1"/>
  <c r="E1518" i="1"/>
  <c r="M1518" i="1" s="1"/>
  <c r="J1517" i="1"/>
  <c r="E1517" i="1"/>
  <c r="M1517" i="1" s="1"/>
  <c r="J1516" i="1"/>
  <c r="E1516" i="1"/>
  <c r="M1516" i="1" s="1"/>
  <c r="M1515" i="1"/>
  <c r="J1515" i="1"/>
  <c r="E1515" i="1"/>
  <c r="J1514" i="1"/>
  <c r="E1514" i="1"/>
  <c r="M1514" i="1" s="1"/>
  <c r="J1513" i="1"/>
  <c r="E1513" i="1"/>
  <c r="M1513" i="1" s="1"/>
  <c r="J1512" i="1"/>
  <c r="E1512" i="1"/>
  <c r="M1512" i="1" s="1"/>
  <c r="J1511" i="1"/>
  <c r="E1511" i="1"/>
  <c r="M1511" i="1" s="1"/>
  <c r="J1510" i="1"/>
  <c r="E1510" i="1"/>
  <c r="M1510" i="1" s="1"/>
  <c r="J1509" i="1"/>
  <c r="E1509" i="1"/>
  <c r="M1509" i="1" s="1"/>
  <c r="J1508" i="1"/>
  <c r="E1508" i="1"/>
  <c r="M1508" i="1" s="1"/>
  <c r="J1507" i="1"/>
  <c r="E1507" i="1"/>
  <c r="M1507" i="1" s="1"/>
  <c r="J1506" i="1"/>
  <c r="E1506" i="1"/>
  <c r="M1506" i="1" s="1"/>
  <c r="J1505" i="1"/>
  <c r="E1505" i="1"/>
  <c r="M1505" i="1" s="1"/>
  <c r="J1504" i="1"/>
  <c r="E1504" i="1"/>
  <c r="M1504" i="1" s="1"/>
  <c r="J1503" i="1"/>
  <c r="E1503" i="1"/>
  <c r="M1503" i="1" s="1"/>
  <c r="J1502" i="1"/>
  <c r="E1502" i="1"/>
  <c r="M1502" i="1" s="1"/>
  <c r="J1501" i="1"/>
  <c r="E1501" i="1"/>
  <c r="M1501" i="1" s="1"/>
  <c r="J1500" i="1"/>
  <c r="E1500" i="1"/>
  <c r="M1500" i="1" s="1"/>
  <c r="J1499" i="1"/>
  <c r="E1499" i="1"/>
  <c r="M1499" i="1" s="1"/>
  <c r="J1498" i="1"/>
  <c r="E1498" i="1"/>
  <c r="M1498" i="1" s="1"/>
  <c r="J1497" i="1"/>
  <c r="E1497" i="1"/>
  <c r="M1497" i="1" s="1"/>
  <c r="J1496" i="1"/>
  <c r="E1496" i="1"/>
  <c r="M1496" i="1" s="1"/>
  <c r="J1495" i="1"/>
  <c r="E1495" i="1"/>
  <c r="M1495" i="1" s="1"/>
  <c r="J1494" i="1"/>
  <c r="E1494" i="1"/>
  <c r="M1494" i="1" s="1"/>
  <c r="J1493" i="1"/>
  <c r="E1493" i="1"/>
  <c r="M1493" i="1" s="1"/>
  <c r="J1492" i="1"/>
  <c r="E1492" i="1"/>
  <c r="M1492" i="1" s="1"/>
  <c r="J1491" i="1"/>
  <c r="E1491" i="1"/>
  <c r="M1491" i="1" s="1"/>
  <c r="J1490" i="1"/>
  <c r="E1490" i="1"/>
  <c r="M1490" i="1" s="1"/>
  <c r="J1489" i="1"/>
  <c r="E1489" i="1"/>
  <c r="M1489" i="1" s="1"/>
  <c r="J1488" i="1"/>
  <c r="E1488" i="1"/>
  <c r="M1488" i="1" s="1"/>
  <c r="J1487" i="1"/>
  <c r="E1487" i="1"/>
  <c r="M1487" i="1" s="1"/>
  <c r="J1486" i="1"/>
  <c r="E1486" i="1"/>
  <c r="M1486" i="1" s="1"/>
  <c r="J1485" i="1"/>
  <c r="E1485" i="1"/>
  <c r="M1485" i="1" s="1"/>
  <c r="J1484" i="1"/>
  <c r="E1484" i="1"/>
  <c r="M1484" i="1" s="1"/>
  <c r="J1483" i="1"/>
  <c r="E1483" i="1"/>
  <c r="M1483" i="1" s="1"/>
  <c r="J1482" i="1"/>
  <c r="E1482" i="1"/>
  <c r="M1482" i="1" s="1"/>
  <c r="J1481" i="1"/>
  <c r="E1481" i="1"/>
  <c r="M1481" i="1" s="1"/>
  <c r="J1480" i="1"/>
  <c r="E1480" i="1"/>
  <c r="M1480" i="1" s="1"/>
  <c r="J1479" i="1"/>
  <c r="E1479" i="1"/>
  <c r="M1479" i="1" s="1"/>
  <c r="J1478" i="1"/>
  <c r="E1478" i="1"/>
  <c r="M1478" i="1" s="1"/>
  <c r="J1477" i="1"/>
  <c r="E1477" i="1"/>
  <c r="M1477" i="1" s="1"/>
  <c r="J1476" i="1"/>
  <c r="E1476" i="1"/>
  <c r="M1476" i="1" s="1"/>
  <c r="J1475" i="1"/>
  <c r="E1475" i="1"/>
  <c r="M1475" i="1" s="1"/>
  <c r="J1474" i="1"/>
  <c r="E1474" i="1"/>
  <c r="M1474" i="1" s="1"/>
  <c r="J1473" i="1"/>
  <c r="E1473" i="1"/>
  <c r="M1473" i="1" s="1"/>
  <c r="J1472" i="1"/>
  <c r="E1472" i="1"/>
  <c r="M1472" i="1" s="1"/>
  <c r="J1471" i="1"/>
  <c r="E1471" i="1"/>
  <c r="M1471" i="1" s="1"/>
  <c r="J1470" i="1"/>
  <c r="E1470" i="1"/>
  <c r="M1470" i="1" s="1"/>
  <c r="J1469" i="1"/>
  <c r="E1469" i="1"/>
  <c r="M1469" i="1" s="1"/>
  <c r="J1468" i="1"/>
  <c r="E1468" i="1"/>
  <c r="M1468" i="1" s="1"/>
  <c r="J1467" i="1"/>
  <c r="E1467" i="1"/>
  <c r="M1467" i="1" s="1"/>
  <c r="J1466" i="1"/>
  <c r="E1466" i="1"/>
  <c r="M1466" i="1" s="1"/>
  <c r="J1465" i="1"/>
  <c r="E1465" i="1"/>
  <c r="M1465" i="1" s="1"/>
  <c r="J1464" i="1"/>
  <c r="E1464" i="1"/>
  <c r="M1464" i="1" s="1"/>
  <c r="J1463" i="1"/>
  <c r="E1463" i="1"/>
  <c r="M1463" i="1" s="1"/>
  <c r="J1462" i="1"/>
  <c r="E1462" i="1"/>
  <c r="M1462" i="1" s="1"/>
  <c r="J1461" i="1"/>
  <c r="E1461" i="1"/>
  <c r="M1461" i="1" s="1"/>
  <c r="J1460" i="1"/>
  <c r="E1460" i="1"/>
  <c r="M1460" i="1" s="1"/>
  <c r="J1459" i="1"/>
  <c r="E1459" i="1"/>
  <c r="M1459" i="1" s="1"/>
  <c r="J1458" i="1"/>
  <c r="E1458" i="1"/>
  <c r="M1458" i="1" s="1"/>
  <c r="J1457" i="1"/>
  <c r="E1457" i="1"/>
  <c r="M1457" i="1" s="1"/>
  <c r="J1456" i="1"/>
  <c r="E1456" i="1"/>
  <c r="M1456" i="1" s="1"/>
  <c r="J1455" i="1"/>
  <c r="E1455" i="1"/>
  <c r="M1455" i="1" s="1"/>
  <c r="J1454" i="1"/>
  <c r="E1454" i="1"/>
  <c r="M1454" i="1" s="1"/>
  <c r="J1453" i="1"/>
  <c r="E1453" i="1"/>
  <c r="M1453" i="1" s="1"/>
  <c r="J1452" i="1"/>
  <c r="E1452" i="1"/>
  <c r="M1452" i="1" s="1"/>
  <c r="J1451" i="1"/>
  <c r="E1451" i="1"/>
  <c r="M1451" i="1" s="1"/>
  <c r="J1450" i="1"/>
  <c r="E1450" i="1"/>
  <c r="M1450" i="1" s="1"/>
  <c r="J1449" i="1"/>
  <c r="E1449" i="1"/>
  <c r="M1449" i="1" s="1"/>
  <c r="J1448" i="1"/>
  <c r="E1448" i="1"/>
  <c r="M1448" i="1" s="1"/>
  <c r="J1447" i="1"/>
  <c r="E1447" i="1"/>
  <c r="M1447" i="1" s="1"/>
  <c r="J1446" i="1"/>
  <c r="E1446" i="1"/>
  <c r="M1446" i="1" s="1"/>
  <c r="J1445" i="1"/>
  <c r="E1445" i="1"/>
  <c r="M1445" i="1" s="1"/>
  <c r="J1444" i="1"/>
  <c r="E1444" i="1"/>
  <c r="M1444" i="1" s="1"/>
  <c r="J1443" i="1"/>
  <c r="E1443" i="1"/>
  <c r="M1443" i="1" s="1"/>
  <c r="J1442" i="1"/>
  <c r="E1442" i="1"/>
  <c r="M1442" i="1" s="1"/>
  <c r="J1441" i="1"/>
  <c r="E1441" i="1"/>
  <c r="M1441" i="1" s="1"/>
  <c r="J1440" i="1"/>
  <c r="E1440" i="1"/>
  <c r="M1440" i="1" s="1"/>
  <c r="J1439" i="1"/>
  <c r="E1439" i="1"/>
  <c r="M1439" i="1" s="1"/>
  <c r="J1438" i="1"/>
  <c r="E1438" i="1"/>
  <c r="M1438" i="1" s="1"/>
  <c r="J1437" i="1"/>
  <c r="E1437" i="1"/>
  <c r="M1437" i="1" s="1"/>
  <c r="J1436" i="1"/>
  <c r="E1436" i="1"/>
  <c r="M1436" i="1" s="1"/>
  <c r="J1435" i="1"/>
  <c r="E1435" i="1"/>
  <c r="M1435" i="1" s="1"/>
  <c r="J1434" i="1"/>
  <c r="E1434" i="1"/>
  <c r="M1434" i="1" s="1"/>
  <c r="J1433" i="1"/>
  <c r="E1433" i="1"/>
  <c r="M1433" i="1" s="1"/>
  <c r="J1432" i="1"/>
  <c r="E1432" i="1"/>
  <c r="M1432" i="1" s="1"/>
  <c r="J1431" i="1"/>
  <c r="E1431" i="1"/>
  <c r="M1431" i="1" s="1"/>
  <c r="J1430" i="1"/>
  <c r="E1430" i="1"/>
  <c r="M1430" i="1" s="1"/>
  <c r="J1429" i="1"/>
  <c r="E1429" i="1"/>
  <c r="M1429" i="1" s="1"/>
  <c r="J1428" i="1"/>
  <c r="E1428" i="1"/>
  <c r="M1428" i="1" s="1"/>
  <c r="J1427" i="1"/>
  <c r="E1427" i="1"/>
  <c r="M1427" i="1" s="1"/>
  <c r="J1426" i="1"/>
  <c r="E1426" i="1"/>
  <c r="M1426" i="1" s="1"/>
  <c r="J1425" i="1"/>
  <c r="E1425" i="1"/>
  <c r="M1425" i="1" s="1"/>
  <c r="J1424" i="1"/>
  <c r="E1424" i="1"/>
  <c r="M1424" i="1" s="1"/>
  <c r="J1423" i="1"/>
  <c r="E1423" i="1"/>
  <c r="M1423" i="1" s="1"/>
  <c r="J1422" i="1"/>
  <c r="E1422" i="1"/>
  <c r="M1422" i="1" s="1"/>
  <c r="J1421" i="1"/>
  <c r="E1421" i="1"/>
  <c r="M1421" i="1" s="1"/>
  <c r="J1420" i="1"/>
  <c r="E1420" i="1"/>
  <c r="M1420" i="1" s="1"/>
  <c r="J1419" i="1"/>
  <c r="E1419" i="1"/>
  <c r="M1419" i="1" s="1"/>
  <c r="J1418" i="1"/>
  <c r="E1418" i="1"/>
  <c r="M1418" i="1" s="1"/>
  <c r="J1417" i="1"/>
  <c r="E1417" i="1"/>
  <c r="M1417" i="1" s="1"/>
  <c r="J1416" i="1"/>
  <c r="E1416" i="1"/>
  <c r="M1416" i="1" s="1"/>
  <c r="J1415" i="1"/>
  <c r="E1415" i="1"/>
  <c r="M1415" i="1" s="1"/>
  <c r="J1414" i="1"/>
  <c r="E1414" i="1"/>
  <c r="M1414" i="1" s="1"/>
  <c r="J1413" i="1"/>
  <c r="E1413" i="1"/>
  <c r="M1413" i="1" s="1"/>
  <c r="J1412" i="1"/>
  <c r="E1412" i="1"/>
  <c r="M1412" i="1" s="1"/>
  <c r="J1411" i="1"/>
  <c r="E1411" i="1"/>
  <c r="M1411" i="1" s="1"/>
  <c r="J1410" i="1"/>
  <c r="E1410" i="1"/>
  <c r="M1410" i="1" s="1"/>
  <c r="J1409" i="1"/>
  <c r="E1409" i="1"/>
  <c r="M1409" i="1" s="1"/>
  <c r="J1408" i="1"/>
  <c r="E1408" i="1"/>
  <c r="M1408" i="1" s="1"/>
  <c r="J1407" i="1"/>
  <c r="E1407" i="1"/>
  <c r="M1407" i="1" s="1"/>
  <c r="J1406" i="1"/>
  <c r="E1406" i="1"/>
  <c r="M1406" i="1" s="1"/>
  <c r="J1405" i="1"/>
  <c r="E1405" i="1"/>
  <c r="M1405" i="1" s="1"/>
  <c r="J1404" i="1"/>
  <c r="E1404" i="1"/>
  <c r="M1404" i="1" s="1"/>
  <c r="J1403" i="1"/>
  <c r="E1403" i="1"/>
  <c r="M1403" i="1" s="1"/>
  <c r="J1402" i="1"/>
  <c r="E1402" i="1"/>
  <c r="M1402" i="1" s="1"/>
  <c r="J1401" i="1"/>
  <c r="E1401" i="1"/>
  <c r="M1401" i="1" s="1"/>
  <c r="J1400" i="1"/>
  <c r="E1400" i="1"/>
  <c r="M1400" i="1" s="1"/>
  <c r="J1399" i="1"/>
  <c r="E1399" i="1"/>
  <c r="M1399" i="1" s="1"/>
  <c r="J1398" i="1"/>
  <c r="E1398" i="1"/>
  <c r="M1398" i="1" s="1"/>
  <c r="J1397" i="1"/>
  <c r="E1397" i="1"/>
  <c r="M1397" i="1" s="1"/>
  <c r="J1396" i="1"/>
  <c r="E1396" i="1"/>
  <c r="M1396" i="1" s="1"/>
  <c r="J1395" i="1"/>
  <c r="E1395" i="1"/>
  <c r="M1395" i="1" s="1"/>
  <c r="J1394" i="1"/>
  <c r="E1394" i="1"/>
  <c r="M1394" i="1" s="1"/>
  <c r="J1393" i="1"/>
  <c r="E1393" i="1"/>
  <c r="M1393" i="1" s="1"/>
  <c r="J1392" i="1"/>
  <c r="E1392" i="1"/>
  <c r="M1392" i="1" s="1"/>
  <c r="J1391" i="1"/>
  <c r="E1391" i="1"/>
  <c r="M1391" i="1" s="1"/>
  <c r="J1390" i="1"/>
  <c r="E1390" i="1"/>
  <c r="M1390" i="1" s="1"/>
  <c r="J1389" i="1"/>
  <c r="E1389" i="1"/>
  <c r="M1389" i="1" s="1"/>
  <c r="J1388" i="1"/>
  <c r="E1388" i="1"/>
  <c r="M1388" i="1" s="1"/>
  <c r="J1387" i="1"/>
  <c r="E1387" i="1"/>
  <c r="M1387" i="1" s="1"/>
  <c r="J1386" i="1"/>
  <c r="E1386" i="1"/>
  <c r="M1386" i="1" s="1"/>
  <c r="J1385" i="1"/>
  <c r="E1385" i="1"/>
  <c r="M1385" i="1" s="1"/>
  <c r="M1384" i="1"/>
  <c r="J1384" i="1"/>
  <c r="E1384" i="1"/>
  <c r="J1383" i="1"/>
  <c r="E1383" i="1"/>
  <c r="M1383" i="1" s="1"/>
  <c r="J1382" i="1"/>
  <c r="E1382" i="1"/>
  <c r="M1382" i="1" s="1"/>
  <c r="J1381" i="1"/>
  <c r="E1381" i="1"/>
  <c r="M1381" i="1" s="1"/>
  <c r="J1380" i="1"/>
  <c r="E1380" i="1"/>
  <c r="M1380" i="1" s="1"/>
  <c r="J1379" i="1"/>
  <c r="E1379" i="1"/>
  <c r="M1379" i="1" s="1"/>
  <c r="J1378" i="1"/>
  <c r="E1378" i="1"/>
  <c r="M1378" i="1" s="1"/>
  <c r="J1377" i="1"/>
  <c r="E1377" i="1"/>
  <c r="M1377" i="1" s="1"/>
  <c r="J1376" i="1"/>
  <c r="E1376" i="1"/>
  <c r="M1376" i="1" s="1"/>
  <c r="J1375" i="1"/>
  <c r="E1375" i="1"/>
  <c r="M1375" i="1" s="1"/>
  <c r="J1374" i="1"/>
  <c r="E1374" i="1"/>
  <c r="M1374" i="1" s="1"/>
  <c r="J1373" i="1"/>
  <c r="E1373" i="1"/>
  <c r="M1373" i="1" s="1"/>
  <c r="J1372" i="1"/>
  <c r="E1372" i="1"/>
  <c r="M1372" i="1" s="1"/>
  <c r="J1371" i="1"/>
  <c r="E1371" i="1"/>
  <c r="M1371" i="1" s="1"/>
  <c r="J1370" i="1"/>
  <c r="E1370" i="1"/>
  <c r="M1370" i="1" s="1"/>
  <c r="J1369" i="1"/>
  <c r="E1369" i="1"/>
  <c r="M1369" i="1" s="1"/>
  <c r="J1368" i="1"/>
  <c r="E1368" i="1"/>
  <c r="M1368" i="1" s="1"/>
  <c r="J1367" i="1"/>
  <c r="E1367" i="1"/>
  <c r="M1367" i="1" s="1"/>
  <c r="J1366" i="1"/>
  <c r="E1366" i="1"/>
  <c r="M1366" i="1" s="1"/>
  <c r="J1365" i="1"/>
  <c r="E1365" i="1"/>
  <c r="M1365" i="1" s="1"/>
  <c r="J1364" i="1"/>
  <c r="E1364" i="1"/>
  <c r="M1364" i="1" s="1"/>
  <c r="J1363" i="1"/>
  <c r="E1363" i="1"/>
  <c r="M1363" i="1" s="1"/>
  <c r="J1362" i="1"/>
  <c r="E1362" i="1"/>
  <c r="M1362" i="1" s="1"/>
  <c r="J1361" i="1"/>
  <c r="E1361" i="1"/>
  <c r="M1361" i="1" s="1"/>
  <c r="J1360" i="1"/>
  <c r="E1360" i="1"/>
  <c r="M1360" i="1" s="1"/>
  <c r="J1359" i="1"/>
  <c r="E1359" i="1"/>
  <c r="M1359" i="1" s="1"/>
  <c r="J1358" i="1"/>
  <c r="E1358" i="1"/>
  <c r="M1358" i="1" s="1"/>
  <c r="J1357" i="1"/>
  <c r="E1357" i="1"/>
  <c r="M1357" i="1" s="1"/>
  <c r="J1356" i="1"/>
  <c r="E1356" i="1"/>
  <c r="M1356" i="1" s="1"/>
  <c r="J1355" i="1"/>
  <c r="E1355" i="1"/>
  <c r="M1355" i="1" s="1"/>
  <c r="J1354" i="1"/>
  <c r="E1354" i="1"/>
  <c r="M1354" i="1" s="1"/>
  <c r="J1353" i="1"/>
  <c r="E1353" i="1"/>
  <c r="M1353" i="1" s="1"/>
  <c r="J1352" i="1"/>
  <c r="E1352" i="1"/>
  <c r="M1352" i="1" s="1"/>
  <c r="J1351" i="1"/>
  <c r="E1351" i="1"/>
  <c r="M1351" i="1" s="1"/>
  <c r="J1350" i="1"/>
  <c r="E1350" i="1"/>
  <c r="M1350" i="1" s="1"/>
  <c r="J1349" i="1"/>
  <c r="E1349" i="1"/>
  <c r="M1349" i="1" s="1"/>
  <c r="M1348" i="1"/>
  <c r="J1348" i="1"/>
  <c r="E1348" i="1"/>
  <c r="J1347" i="1"/>
  <c r="E1347" i="1"/>
  <c r="M1347" i="1" s="1"/>
  <c r="J1346" i="1"/>
  <c r="E1346" i="1"/>
  <c r="M1346" i="1" s="1"/>
  <c r="J1345" i="1"/>
  <c r="E1345" i="1"/>
  <c r="M1345" i="1" s="1"/>
  <c r="J1344" i="1"/>
  <c r="E1344" i="1"/>
  <c r="M1344" i="1" s="1"/>
  <c r="J1343" i="1"/>
  <c r="E1343" i="1"/>
  <c r="M1343" i="1" s="1"/>
  <c r="J1342" i="1"/>
  <c r="E1342" i="1"/>
  <c r="M1342" i="1" s="1"/>
  <c r="J1341" i="1"/>
  <c r="E1341" i="1"/>
  <c r="M1341" i="1" s="1"/>
  <c r="J1340" i="1"/>
  <c r="E1340" i="1"/>
  <c r="M1340" i="1" s="1"/>
  <c r="J1339" i="1"/>
  <c r="E1339" i="1"/>
  <c r="M1339" i="1" s="1"/>
  <c r="J1338" i="1"/>
  <c r="E1338" i="1"/>
  <c r="M1338" i="1" s="1"/>
  <c r="J1337" i="1"/>
  <c r="E1337" i="1"/>
  <c r="M1337" i="1" s="1"/>
  <c r="J1336" i="1"/>
  <c r="E1336" i="1"/>
  <c r="M1336" i="1" s="1"/>
  <c r="J1335" i="1"/>
  <c r="E1335" i="1"/>
  <c r="M1335" i="1" s="1"/>
  <c r="J1334" i="1"/>
  <c r="E1334" i="1"/>
  <c r="M1334" i="1" s="1"/>
  <c r="J1333" i="1"/>
  <c r="E1333" i="1"/>
  <c r="M1333" i="1" s="1"/>
  <c r="J1332" i="1"/>
  <c r="E1332" i="1"/>
  <c r="M1332" i="1" s="1"/>
  <c r="J1331" i="1"/>
  <c r="E1331" i="1"/>
  <c r="M1331" i="1" s="1"/>
  <c r="J1330" i="1"/>
  <c r="E1330" i="1"/>
  <c r="M1330" i="1" s="1"/>
  <c r="J1329" i="1"/>
  <c r="E1329" i="1"/>
  <c r="M1329" i="1" s="1"/>
  <c r="J1328" i="1"/>
  <c r="E1328" i="1"/>
  <c r="M1328" i="1" s="1"/>
  <c r="J1327" i="1"/>
  <c r="E1327" i="1"/>
  <c r="M1327" i="1" s="1"/>
  <c r="J1326" i="1"/>
  <c r="E1326" i="1"/>
  <c r="M1326" i="1" s="1"/>
  <c r="J1325" i="1"/>
  <c r="E1325" i="1"/>
  <c r="M1325" i="1" s="1"/>
  <c r="J1324" i="1"/>
  <c r="E1324" i="1"/>
  <c r="M1324" i="1" s="1"/>
  <c r="J1323" i="1"/>
  <c r="E1323" i="1"/>
  <c r="M1323" i="1" s="1"/>
  <c r="J1322" i="1"/>
  <c r="E1322" i="1"/>
  <c r="M1322" i="1" s="1"/>
  <c r="J1321" i="1"/>
  <c r="E1321" i="1"/>
  <c r="M1321" i="1" s="1"/>
  <c r="J1320" i="1"/>
  <c r="E1320" i="1"/>
  <c r="M1320" i="1" s="1"/>
  <c r="J1319" i="1"/>
  <c r="E1319" i="1"/>
  <c r="M1319" i="1" s="1"/>
  <c r="J1318" i="1"/>
  <c r="E1318" i="1"/>
  <c r="M1318" i="1" s="1"/>
  <c r="J1317" i="1"/>
  <c r="E1317" i="1"/>
  <c r="M1317" i="1" s="1"/>
  <c r="J1316" i="1"/>
  <c r="E1316" i="1"/>
  <c r="M1316" i="1" s="1"/>
  <c r="J1315" i="1"/>
  <c r="E1315" i="1"/>
  <c r="M1315" i="1" s="1"/>
  <c r="J1314" i="1"/>
  <c r="E1314" i="1"/>
  <c r="M1314" i="1" s="1"/>
  <c r="J1313" i="1"/>
  <c r="E1313" i="1"/>
  <c r="M1313" i="1" s="1"/>
  <c r="J1312" i="1"/>
  <c r="E1312" i="1"/>
  <c r="M1312" i="1" s="1"/>
  <c r="J1311" i="1"/>
  <c r="E1311" i="1"/>
  <c r="M1311" i="1" s="1"/>
  <c r="J1310" i="1"/>
  <c r="E1310" i="1"/>
  <c r="M1310" i="1" s="1"/>
  <c r="J1309" i="1"/>
  <c r="E1309" i="1"/>
  <c r="M1309" i="1" s="1"/>
  <c r="J1308" i="1"/>
  <c r="E1308" i="1"/>
  <c r="M1308" i="1" s="1"/>
  <c r="J1307" i="1"/>
  <c r="E1307" i="1"/>
  <c r="M1307" i="1" s="1"/>
  <c r="J1306" i="1"/>
  <c r="E1306" i="1"/>
  <c r="M1306" i="1" s="1"/>
  <c r="M1305" i="1"/>
  <c r="J1305" i="1"/>
  <c r="E1305" i="1"/>
  <c r="J1304" i="1"/>
  <c r="E1304" i="1"/>
  <c r="M1304" i="1" s="1"/>
  <c r="J1303" i="1"/>
  <c r="E1303" i="1"/>
  <c r="M1303" i="1" s="1"/>
  <c r="J1302" i="1"/>
  <c r="E1302" i="1"/>
  <c r="M1302" i="1" s="1"/>
  <c r="J1301" i="1"/>
  <c r="E1301" i="1"/>
  <c r="M1301" i="1" s="1"/>
  <c r="J1300" i="1"/>
  <c r="E1300" i="1"/>
  <c r="M1300" i="1" s="1"/>
  <c r="J1299" i="1"/>
  <c r="E1299" i="1"/>
  <c r="M1299" i="1" s="1"/>
  <c r="J1298" i="1"/>
  <c r="E1298" i="1"/>
  <c r="M1298" i="1" s="1"/>
  <c r="J1297" i="1"/>
  <c r="E1297" i="1"/>
  <c r="M1297" i="1" s="1"/>
  <c r="J1296" i="1"/>
  <c r="E1296" i="1"/>
  <c r="M1296" i="1" s="1"/>
  <c r="J1295" i="1"/>
  <c r="E1295" i="1"/>
  <c r="M1295" i="1" s="1"/>
  <c r="J1294" i="1"/>
  <c r="E1294" i="1"/>
  <c r="M1294" i="1" s="1"/>
  <c r="J1293" i="1"/>
  <c r="E1293" i="1"/>
  <c r="M1293" i="1" s="1"/>
  <c r="J1292" i="1"/>
  <c r="E1292" i="1"/>
  <c r="M1292" i="1" s="1"/>
  <c r="J1291" i="1"/>
  <c r="E1291" i="1"/>
  <c r="M1291" i="1" s="1"/>
  <c r="J1290" i="1"/>
  <c r="E1290" i="1"/>
  <c r="M1290" i="1" s="1"/>
  <c r="J1289" i="1"/>
  <c r="E1289" i="1"/>
  <c r="M1289" i="1" s="1"/>
  <c r="J1288" i="1"/>
  <c r="E1288" i="1"/>
  <c r="M1288" i="1" s="1"/>
  <c r="J1287" i="1"/>
  <c r="E1287" i="1"/>
  <c r="M1287" i="1" s="1"/>
  <c r="J1286" i="1"/>
  <c r="E1286" i="1"/>
  <c r="M1286" i="1" s="1"/>
  <c r="J1285" i="1"/>
  <c r="E1285" i="1"/>
  <c r="M1285" i="1" s="1"/>
  <c r="J1284" i="1"/>
  <c r="E1284" i="1"/>
  <c r="M1284" i="1" s="1"/>
  <c r="J1283" i="1"/>
  <c r="E1283" i="1"/>
  <c r="M1283" i="1" s="1"/>
  <c r="J1282" i="1"/>
  <c r="E1282" i="1"/>
  <c r="M1282" i="1" s="1"/>
  <c r="J1281" i="1"/>
  <c r="E1281" i="1"/>
  <c r="M1281" i="1" s="1"/>
  <c r="J1280" i="1"/>
  <c r="E1280" i="1"/>
  <c r="M1280" i="1" s="1"/>
  <c r="J1279" i="1"/>
  <c r="E1279" i="1"/>
  <c r="M1279" i="1" s="1"/>
  <c r="J1278" i="1"/>
  <c r="E1278" i="1"/>
  <c r="M1278" i="1" s="1"/>
  <c r="J1277" i="1"/>
  <c r="E1277" i="1"/>
  <c r="M1277" i="1" s="1"/>
  <c r="J1276" i="1"/>
  <c r="E1276" i="1"/>
  <c r="M1276" i="1" s="1"/>
  <c r="J1275" i="1"/>
  <c r="E1275" i="1"/>
  <c r="M1275" i="1" s="1"/>
  <c r="J1274" i="1"/>
  <c r="E1274" i="1"/>
  <c r="M1274" i="1" s="1"/>
  <c r="J1273" i="1"/>
  <c r="E1273" i="1"/>
  <c r="M1273" i="1" s="1"/>
  <c r="J1272" i="1"/>
  <c r="E1272" i="1"/>
  <c r="M1272" i="1" s="1"/>
  <c r="J1271" i="1"/>
  <c r="E1271" i="1"/>
  <c r="M1271" i="1" s="1"/>
  <c r="J1270" i="1"/>
  <c r="E1270" i="1"/>
  <c r="M1270" i="1" s="1"/>
  <c r="J1269" i="1"/>
  <c r="E1269" i="1"/>
  <c r="M1269" i="1" s="1"/>
  <c r="J1268" i="1"/>
  <c r="E1268" i="1"/>
  <c r="M1268" i="1" s="1"/>
  <c r="J1267" i="1"/>
  <c r="E1267" i="1"/>
  <c r="M1267" i="1" s="1"/>
  <c r="J1266" i="1"/>
  <c r="E1266" i="1"/>
  <c r="M1266" i="1" s="1"/>
  <c r="J1265" i="1"/>
  <c r="E1265" i="1"/>
  <c r="M1265" i="1" s="1"/>
  <c r="J1264" i="1"/>
  <c r="E1264" i="1"/>
  <c r="M1264" i="1" s="1"/>
  <c r="J1263" i="1"/>
  <c r="E1263" i="1"/>
  <c r="M1263" i="1" s="1"/>
  <c r="J1262" i="1"/>
  <c r="E1262" i="1"/>
  <c r="M1262" i="1" s="1"/>
  <c r="J1261" i="1"/>
  <c r="E1261" i="1"/>
  <c r="M1261" i="1" s="1"/>
  <c r="J1260" i="1"/>
  <c r="E1260" i="1"/>
  <c r="M1260" i="1" s="1"/>
  <c r="J1259" i="1"/>
  <c r="E1259" i="1"/>
  <c r="M1259" i="1" s="1"/>
  <c r="J1258" i="1"/>
  <c r="E1258" i="1"/>
  <c r="M1258" i="1" s="1"/>
  <c r="J1257" i="1"/>
  <c r="E1257" i="1"/>
  <c r="M1257" i="1" s="1"/>
  <c r="J1256" i="1"/>
  <c r="E1256" i="1"/>
  <c r="M1256" i="1" s="1"/>
  <c r="J1255" i="1"/>
  <c r="E1255" i="1"/>
  <c r="M1255" i="1" s="1"/>
  <c r="J1254" i="1"/>
  <c r="E1254" i="1"/>
  <c r="M1254" i="1" s="1"/>
  <c r="J1253" i="1"/>
  <c r="E1253" i="1"/>
  <c r="M1253" i="1" s="1"/>
  <c r="J1252" i="1"/>
  <c r="E1252" i="1"/>
  <c r="M1252" i="1" s="1"/>
  <c r="J1251" i="1"/>
  <c r="E1251" i="1"/>
  <c r="M1251" i="1" s="1"/>
  <c r="J1250" i="1"/>
  <c r="E1250" i="1"/>
  <c r="M1250" i="1" s="1"/>
  <c r="J1249" i="1"/>
  <c r="E1249" i="1"/>
  <c r="M1249" i="1" s="1"/>
  <c r="J1248" i="1"/>
  <c r="E1248" i="1"/>
  <c r="M1248" i="1" s="1"/>
  <c r="J1247" i="1"/>
  <c r="E1247" i="1"/>
  <c r="M1247" i="1" s="1"/>
  <c r="J1246" i="1"/>
  <c r="E1246" i="1"/>
  <c r="M1246" i="1" s="1"/>
  <c r="J1245" i="1"/>
  <c r="E1245" i="1"/>
  <c r="M1245" i="1" s="1"/>
  <c r="J1244" i="1"/>
  <c r="E1244" i="1"/>
  <c r="M1244" i="1" s="1"/>
  <c r="J1243" i="1"/>
  <c r="E1243" i="1"/>
  <c r="M1243" i="1" s="1"/>
  <c r="J1242" i="1"/>
  <c r="E1242" i="1"/>
  <c r="M1242" i="1" s="1"/>
  <c r="J1241" i="1"/>
  <c r="E1241" i="1"/>
  <c r="M1241" i="1" s="1"/>
  <c r="J1240" i="1"/>
  <c r="E1240" i="1"/>
  <c r="M1240" i="1" s="1"/>
  <c r="J1239" i="1"/>
  <c r="E1239" i="1"/>
  <c r="M1239" i="1" s="1"/>
  <c r="J1238" i="1"/>
  <c r="E1238" i="1"/>
  <c r="M1238" i="1" s="1"/>
  <c r="J1237" i="1"/>
  <c r="E1237" i="1"/>
  <c r="M1237" i="1" s="1"/>
  <c r="J1236" i="1"/>
  <c r="E1236" i="1"/>
  <c r="M1236" i="1" s="1"/>
  <c r="J1235" i="1"/>
  <c r="E1235" i="1"/>
  <c r="M1235" i="1" s="1"/>
  <c r="J1234" i="1"/>
  <c r="E1234" i="1"/>
  <c r="M1234" i="1" s="1"/>
  <c r="J1233" i="1"/>
  <c r="E1233" i="1"/>
  <c r="M1233" i="1" s="1"/>
  <c r="J1232" i="1"/>
  <c r="E1232" i="1"/>
  <c r="M1232" i="1" s="1"/>
  <c r="J1231" i="1"/>
  <c r="E1231" i="1"/>
  <c r="M1231" i="1" s="1"/>
  <c r="J1230" i="1"/>
  <c r="E1230" i="1"/>
  <c r="M1230" i="1" s="1"/>
  <c r="J1229" i="1"/>
  <c r="E1229" i="1"/>
  <c r="M1229" i="1" s="1"/>
  <c r="J1228" i="1"/>
  <c r="E1228" i="1"/>
  <c r="M1228" i="1" s="1"/>
  <c r="J1227" i="1"/>
  <c r="E1227" i="1"/>
  <c r="M1227" i="1" s="1"/>
  <c r="J1226" i="1"/>
  <c r="E1226" i="1"/>
  <c r="M1226" i="1" s="1"/>
  <c r="J1225" i="1"/>
  <c r="E1225" i="1"/>
  <c r="M1225" i="1" s="1"/>
  <c r="J1224" i="1"/>
  <c r="E1224" i="1"/>
  <c r="M1224" i="1" s="1"/>
  <c r="J1223" i="1"/>
  <c r="E1223" i="1"/>
  <c r="M1223" i="1" s="1"/>
  <c r="J1222" i="1"/>
  <c r="E1222" i="1"/>
  <c r="M1222" i="1" s="1"/>
  <c r="J1221" i="1"/>
  <c r="E1221" i="1"/>
  <c r="M1221" i="1" s="1"/>
  <c r="J1220" i="1"/>
  <c r="E1220" i="1"/>
  <c r="M1220" i="1" s="1"/>
  <c r="J1219" i="1"/>
  <c r="E1219" i="1"/>
  <c r="M1219" i="1" s="1"/>
  <c r="J1218" i="1"/>
  <c r="E1218" i="1"/>
  <c r="M1218" i="1" s="1"/>
  <c r="J1217" i="1"/>
  <c r="E1217" i="1"/>
  <c r="M1217" i="1" s="1"/>
  <c r="J1216" i="1"/>
  <c r="E1216" i="1"/>
  <c r="M1216" i="1" s="1"/>
  <c r="J1215" i="1"/>
  <c r="E1215" i="1"/>
  <c r="M1215" i="1" s="1"/>
  <c r="J1214" i="1"/>
  <c r="E1214" i="1"/>
  <c r="M1214" i="1" s="1"/>
  <c r="J1213" i="1"/>
  <c r="E1213" i="1"/>
  <c r="M1213" i="1" s="1"/>
  <c r="J1212" i="1"/>
  <c r="E1212" i="1"/>
  <c r="M1212" i="1" s="1"/>
  <c r="J1211" i="1"/>
  <c r="E1211" i="1"/>
  <c r="M1211" i="1" s="1"/>
  <c r="J1210" i="1"/>
  <c r="E1210" i="1"/>
  <c r="M1210" i="1" s="1"/>
  <c r="J1209" i="1"/>
  <c r="E1209" i="1"/>
  <c r="M1209" i="1" s="1"/>
  <c r="J1208" i="1"/>
  <c r="E1208" i="1"/>
  <c r="M1208" i="1" s="1"/>
  <c r="J1207" i="1"/>
  <c r="E1207" i="1"/>
  <c r="M1207" i="1" s="1"/>
  <c r="J1206" i="1"/>
  <c r="E1206" i="1"/>
  <c r="M1206" i="1" s="1"/>
  <c r="J1205" i="1"/>
  <c r="E1205" i="1"/>
  <c r="M1205" i="1" s="1"/>
  <c r="J1204" i="1"/>
  <c r="E1204" i="1"/>
  <c r="M1204" i="1" s="1"/>
  <c r="J1203" i="1"/>
  <c r="E1203" i="1"/>
  <c r="M1203" i="1" s="1"/>
  <c r="J1202" i="1"/>
  <c r="E1202" i="1"/>
  <c r="M1202" i="1" s="1"/>
  <c r="J1201" i="1"/>
  <c r="E1201" i="1"/>
  <c r="M1201" i="1" s="1"/>
  <c r="J1200" i="1"/>
  <c r="E1200" i="1"/>
  <c r="M1200" i="1" s="1"/>
  <c r="J1199" i="1"/>
  <c r="E1199" i="1"/>
  <c r="M1199" i="1" s="1"/>
  <c r="J1198" i="1"/>
  <c r="E1198" i="1"/>
  <c r="M1198" i="1" s="1"/>
  <c r="J1197" i="1"/>
  <c r="E1197" i="1"/>
  <c r="M1197" i="1" s="1"/>
  <c r="J1196" i="1"/>
  <c r="E1196" i="1"/>
  <c r="M1196" i="1" s="1"/>
  <c r="J1195" i="1"/>
  <c r="E1195" i="1"/>
  <c r="M1195" i="1" s="1"/>
  <c r="J1194" i="1"/>
  <c r="E1194" i="1"/>
  <c r="M1194" i="1" s="1"/>
  <c r="J1193" i="1"/>
  <c r="E1193" i="1"/>
  <c r="M1193" i="1" s="1"/>
  <c r="J1192" i="1"/>
  <c r="E1192" i="1"/>
  <c r="M1192" i="1" s="1"/>
  <c r="J1191" i="1"/>
  <c r="E1191" i="1"/>
  <c r="M1191" i="1" s="1"/>
  <c r="J1190" i="1"/>
  <c r="E1190" i="1"/>
  <c r="M1190" i="1" s="1"/>
  <c r="J1189" i="1"/>
  <c r="E1189" i="1"/>
  <c r="M1189" i="1" s="1"/>
  <c r="J1188" i="1"/>
  <c r="E1188" i="1"/>
  <c r="M1188" i="1" s="1"/>
  <c r="J1187" i="1"/>
  <c r="E1187" i="1"/>
  <c r="M1187" i="1" s="1"/>
  <c r="J1186" i="1"/>
  <c r="E1186" i="1"/>
  <c r="M1186" i="1" s="1"/>
  <c r="J1185" i="1"/>
  <c r="E1185" i="1"/>
  <c r="M1185" i="1" s="1"/>
  <c r="J1184" i="1"/>
  <c r="E1184" i="1"/>
  <c r="M1184" i="1" s="1"/>
  <c r="J1183" i="1"/>
  <c r="E1183" i="1"/>
  <c r="M1183" i="1" s="1"/>
  <c r="J1182" i="1"/>
  <c r="E1182" i="1"/>
  <c r="M1182" i="1" s="1"/>
  <c r="J1181" i="1"/>
  <c r="E1181" i="1"/>
  <c r="M1181" i="1" s="1"/>
  <c r="J1180" i="1"/>
  <c r="E1180" i="1"/>
  <c r="M1180" i="1" s="1"/>
  <c r="J1179" i="1"/>
  <c r="E1179" i="1"/>
  <c r="M1179" i="1" s="1"/>
  <c r="J1178" i="1"/>
  <c r="E1178" i="1"/>
  <c r="M1178" i="1" s="1"/>
  <c r="J1177" i="1"/>
  <c r="E1177" i="1"/>
  <c r="M1177" i="1" s="1"/>
  <c r="J1176" i="1"/>
  <c r="E1176" i="1"/>
  <c r="M1176" i="1" s="1"/>
  <c r="J1175" i="1"/>
  <c r="E1175" i="1"/>
  <c r="M1175" i="1" s="1"/>
  <c r="J1174" i="1"/>
  <c r="E1174" i="1"/>
  <c r="M1174" i="1" s="1"/>
  <c r="J1173" i="1"/>
  <c r="E1173" i="1"/>
  <c r="M1173" i="1" s="1"/>
  <c r="J1172" i="1"/>
  <c r="E1172" i="1"/>
  <c r="M1172" i="1" s="1"/>
  <c r="J1171" i="1"/>
  <c r="E1171" i="1"/>
  <c r="M1171" i="1" s="1"/>
  <c r="J1170" i="1"/>
  <c r="E1170" i="1"/>
  <c r="M1170" i="1" s="1"/>
  <c r="J1169" i="1"/>
  <c r="E1169" i="1"/>
  <c r="M1169" i="1" s="1"/>
  <c r="J1168" i="1"/>
  <c r="E1168" i="1"/>
  <c r="M1168" i="1" s="1"/>
  <c r="J1167" i="1"/>
  <c r="E1167" i="1"/>
  <c r="M1167" i="1" s="1"/>
  <c r="J1166" i="1"/>
  <c r="E1166" i="1"/>
  <c r="M1166" i="1" s="1"/>
  <c r="J1165" i="1"/>
  <c r="E1165" i="1"/>
  <c r="M1165" i="1" s="1"/>
  <c r="J1164" i="1"/>
  <c r="E1164" i="1"/>
  <c r="M1164" i="1" s="1"/>
  <c r="J1163" i="1"/>
  <c r="E1163" i="1"/>
  <c r="M1163" i="1" s="1"/>
  <c r="J1162" i="1"/>
  <c r="E1162" i="1"/>
  <c r="M1162" i="1" s="1"/>
  <c r="J1161" i="1"/>
  <c r="E1161" i="1"/>
  <c r="M1161" i="1" s="1"/>
  <c r="J1160" i="1"/>
  <c r="E1160" i="1"/>
  <c r="M1160" i="1" s="1"/>
  <c r="J1159" i="1"/>
  <c r="E1159" i="1"/>
  <c r="M1159" i="1" s="1"/>
  <c r="J1158" i="1"/>
  <c r="E1158" i="1"/>
  <c r="M1158" i="1" s="1"/>
  <c r="J1157" i="1"/>
  <c r="E1157" i="1"/>
  <c r="M1157" i="1" s="1"/>
  <c r="J1156" i="1"/>
  <c r="E1156" i="1"/>
  <c r="M1156" i="1" s="1"/>
  <c r="J1155" i="1"/>
  <c r="E1155" i="1"/>
  <c r="M1155" i="1" s="1"/>
  <c r="J1154" i="1"/>
  <c r="E1154" i="1"/>
  <c r="M1154" i="1" s="1"/>
  <c r="J1153" i="1"/>
  <c r="E1153" i="1"/>
  <c r="M1153" i="1" s="1"/>
  <c r="J1152" i="1"/>
  <c r="E1152" i="1"/>
  <c r="M1152" i="1" s="1"/>
  <c r="J1151" i="1"/>
  <c r="E1151" i="1"/>
  <c r="M1151" i="1" s="1"/>
  <c r="J1150" i="1"/>
  <c r="E1150" i="1"/>
  <c r="M1150" i="1" s="1"/>
  <c r="J1149" i="1"/>
  <c r="E1149" i="1"/>
  <c r="M1149" i="1" s="1"/>
  <c r="J1148" i="1"/>
  <c r="E1148" i="1"/>
  <c r="M1148" i="1" s="1"/>
  <c r="J1147" i="1"/>
  <c r="E1147" i="1"/>
  <c r="M1147" i="1" s="1"/>
  <c r="J1146" i="1"/>
  <c r="E1146" i="1"/>
  <c r="M1146" i="1" s="1"/>
  <c r="J1145" i="1"/>
  <c r="E1145" i="1"/>
  <c r="M1145" i="1" s="1"/>
  <c r="J1144" i="1"/>
  <c r="E1144" i="1"/>
  <c r="M1144" i="1" s="1"/>
  <c r="J1143" i="1"/>
  <c r="E1143" i="1"/>
  <c r="M1143" i="1" s="1"/>
  <c r="J1142" i="1"/>
  <c r="E1142" i="1"/>
  <c r="M1142" i="1" s="1"/>
  <c r="J1141" i="1"/>
  <c r="E1141" i="1"/>
  <c r="M1141" i="1" s="1"/>
  <c r="M1140" i="1"/>
  <c r="J1140" i="1"/>
  <c r="E1140" i="1"/>
  <c r="J1139" i="1"/>
  <c r="E1139" i="1"/>
  <c r="M1139" i="1" s="1"/>
  <c r="J1138" i="1"/>
  <c r="E1138" i="1"/>
  <c r="M1138" i="1" s="1"/>
  <c r="J1137" i="1"/>
  <c r="E1137" i="1"/>
  <c r="M1137" i="1" s="1"/>
  <c r="J1136" i="1"/>
  <c r="E1136" i="1"/>
  <c r="M1136" i="1" s="1"/>
  <c r="J1135" i="1"/>
  <c r="E1135" i="1"/>
  <c r="M1135" i="1" s="1"/>
  <c r="J1134" i="1"/>
  <c r="E1134" i="1"/>
  <c r="M1134" i="1" s="1"/>
  <c r="J1133" i="1"/>
  <c r="E1133" i="1"/>
  <c r="M1133" i="1" s="1"/>
  <c r="J1132" i="1"/>
  <c r="E1132" i="1"/>
  <c r="M1132" i="1" s="1"/>
  <c r="J1131" i="1"/>
  <c r="E1131" i="1"/>
  <c r="M1131" i="1" s="1"/>
  <c r="J1130" i="1"/>
  <c r="E1130" i="1"/>
  <c r="M1130" i="1" s="1"/>
  <c r="J1129" i="1"/>
  <c r="E1129" i="1"/>
  <c r="M1129" i="1" s="1"/>
  <c r="J1128" i="1"/>
  <c r="E1128" i="1"/>
  <c r="M1128" i="1" s="1"/>
  <c r="J1127" i="1"/>
  <c r="E1127" i="1"/>
  <c r="M1127" i="1" s="1"/>
  <c r="J1126" i="1"/>
  <c r="E1126" i="1"/>
  <c r="M1126" i="1" s="1"/>
  <c r="J1125" i="1"/>
  <c r="E1125" i="1"/>
  <c r="M1125" i="1" s="1"/>
  <c r="J1124" i="1"/>
  <c r="E1124" i="1"/>
  <c r="M1124" i="1" s="1"/>
  <c r="J1123" i="1"/>
  <c r="E1123" i="1"/>
  <c r="M1123" i="1" s="1"/>
  <c r="J1122" i="1"/>
  <c r="E1122" i="1"/>
  <c r="M1122" i="1" s="1"/>
  <c r="J1121" i="1"/>
  <c r="E1121" i="1"/>
  <c r="M1121" i="1" s="1"/>
  <c r="J1120" i="1"/>
  <c r="E1120" i="1"/>
  <c r="M1120" i="1" s="1"/>
  <c r="J1119" i="1"/>
  <c r="E1119" i="1"/>
  <c r="M1119" i="1" s="1"/>
  <c r="J1118" i="1"/>
  <c r="E1118" i="1"/>
  <c r="M1118" i="1" s="1"/>
  <c r="J1117" i="1"/>
  <c r="E1117" i="1"/>
  <c r="M1117" i="1" s="1"/>
  <c r="J1116" i="1"/>
  <c r="E1116" i="1"/>
  <c r="M1116" i="1" s="1"/>
  <c r="J1115" i="1"/>
  <c r="E1115" i="1"/>
  <c r="M1115" i="1" s="1"/>
  <c r="J1114" i="1"/>
  <c r="E1114" i="1"/>
  <c r="M1114" i="1" s="1"/>
  <c r="J1113" i="1"/>
  <c r="E1113" i="1"/>
  <c r="M1113" i="1" s="1"/>
  <c r="J1112" i="1"/>
  <c r="E1112" i="1"/>
  <c r="M1112" i="1" s="1"/>
  <c r="J1111" i="1"/>
  <c r="E1111" i="1"/>
  <c r="M1111" i="1" s="1"/>
  <c r="J1110" i="1"/>
  <c r="E1110" i="1"/>
  <c r="M1110" i="1" s="1"/>
  <c r="J1109" i="1"/>
  <c r="E1109" i="1"/>
  <c r="M1109" i="1" s="1"/>
  <c r="J1108" i="1"/>
  <c r="E1108" i="1"/>
  <c r="M1108" i="1" s="1"/>
  <c r="J1107" i="1"/>
  <c r="E1107" i="1"/>
  <c r="M1107" i="1" s="1"/>
  <c r="J1106" i="1"/>
  <c r="E1106" i="1"/>
  <c r="M1106" i="1" s="1"/>
  <c r="J1105" i="1"/>
  <c r="E1105" i="1"/>
  <c r="M1105" i="1" s="1"/>
  <c r="J1104" i="1"/>
  <c r="E1104" i="1"/>
  <c r="M1104" i="1" s="1"/>
  <c r="J1103" i="1"/>
  <c r="E1103" i="1"/>
  <c r="M1103" i="1" s="1"/>
  <c r="J1102" i="1"/>
  <c r="E1102" i="1"/>
  <c r="M1102" i="1" s="1"/>
  <c r="J1101" i="1"/>
  <c r="E1101" i="1"/>
  <c r="M1101" i="1" s="1"/>
  <c r="J1100" i="1"/>
  <c r="E1100" i="1"/>
  <c r="M1100" i="1" s="1"/>
  <c r="J1099" i="1"/>
  <c r="E1099" i="1"/>
  <c r="M1099" i="1" s="1"/>
  <c r="J1098" i="1"/>
  <c r="E1098" i="1"/>
  <c r="M1098" i="1" s="1"/>
  <c r="J1097" i="1"/>
  <c r="E1097" i="1"/>
  <c r="M1097" i="1" s="1"/>
  <c r="J1096" i="1"/>
  <c r="E1096" i="1"/>
  <c r="M1096" i="1" s="1"/>
  <c r="J1095" i="1"/>
  <c r="E1095" i="1"/>
  <c r="M1095" i="1" s="1"/>
  <c r="J1094" i="1"/>
  <c r="E1094" i="1"/>
  <c r="M1094" i="1" s="1"/>
  <c r="M1093" i="1"/>
  <c r="J1093" i="1"/>
  <c r="E1093" i="1"/>
  <c r="J1092" i="1"/>
  <c r="E1092" i="1"/>
  <c r="M1092" i="1" s="1"/>
  <c r="J1091" i="1"/>
  <c r="E1091" i="1"/>
  <c r="M1091" i="1" s="1"/>
  <c r="J1090" i="1"/>
  <c r="E1090" i="1"/>
  <c r="M1090" i="1" s="1"/>
  <c r="J1089" i="1"/>
  <c r="E1089" i="1"/>
  <c r="M1089" i="1" s="1"/>
  <c r="J1088" i="1"/>
  <c r="E1088" i="1"/>
  <c r="M1088" i="1" s="1"/>
  <c r="J1087" i="1"/>
  <c r="E1087" i="1"/>
  <c r="M1087" i="1" s="1"/>
  <c r="J1086" i="1"/>
  <c r="E1086" i="1"/>
  <c r="M1086" i="1" s="1"/>
  <c r="J1085" i="1"/>
  <c r="E1085" i="1"/>
  <c r="M1085" i="1" s="1"/>
  <c r="J1084" i="1"/>
  <c r="E1084" i="1"/>
  <c r="M1084" i="1" s="1"/>
  <c r="J1083" i="1"/>
  <c r="E1083" i="1"/>
  <c r="M1083" i="1" s="1"/>
  <c r="J1082" i="1"/>
  <c r="E1082" i="1"/>
  <c r="M1082" i="1" s="1"/>
  <c r="J1081" i="1"/>
  <c r="E1081" i="1"/>
  <c r="M1081" i="1" s="1"/>
  <c r="J1080" i="1"/>
  <c r="E1080" i="1"/>
  <c r="M1080" i="1" s="1"/>
  <c r="J1079" i="1"/>
  <c r="E1079" i="1"/>
  <c r="M1079" i="1" s="1"/>
  <c r="J1078" i="1"/>
  <c r="E1078" i="1"/>
  <c r="M1078" i="1" s="1"/>
  <c r="J1077" i="1"/>
  <c r="E1077" i="1"/>
  <c r="M1077" i="1" s="1"/>
  <c r="J1076" i="1"/>
  <c r="E1076" i="1"/>
  <c r="M1076" i="1" s="1"/>
  <c r="J1075" i="1"/>
  <c r="E1075" i="1"/>
  <c r="M1075" i="1" s="1"/>
  <c r="J1074" i="1"/>
  <c r="E1074" i="1"/>
  <c r="M1074" i="1" s="1"/>
  <c r="J1073" i="1"/>
  <c r="E1073" i="1"/>
  <c r="M1073" i="1" s="1"/>
  <c r="J1072" i="1"/>
  <c r="E1072" i="1"/>
  <c r="M1072" i="1" s="1"/>
  <c r="J1071" i="1"/>
  <c r="E1071" i="1"/>
  <c r="M1071" i="1" s="1"/>
  <c r="J1070" i="1"/>
  <c r="E1070" i="1"/>
  <c r="M1070" i="1" s="1"/>
  <c r="J1069" i="1"/>
  <c r="E1069" i="1"/>
  <c r="M1069" i="1" s="1"/>
  <c r="J1068" i="1"/>
  <c r="E1068" i="1"/>
  <c r="M1068" i="1" s="1"/>
  <c r="J1067" i="1"/>
  <c r="E1067" i="1"/>
  <c r="M1067" i="1" s="1"/>
  <c r="J1066" i="1"/>
  <c r="E1066" i="1"/>
  <c r="M1066" i="1" s="1"/>
  <c r="J1065" i="1"/>
  <c r="E1065" i="1"/>
  <c r="M1065" i="1" s="1"/>
  <c r="J1064" i="1"/>
  <c r="E1064" i="1"/>
  <c r="M1064" i="1" s="1"/>
  <c r="J1063" i="1"/>
  <c r="E1063" i="1"/>
  <c r="M1063" i="1" s="1"/>
  <c r="J1062" i="1"/>
  <c r="E1062" i="1"/>
  <c r="M1062" i="1" s="1"/>
  <c r="J1061" i="1"/>
  <c r="E1061" i="1"/>
  <c r="M1061" i="1" s="1"/>
  <c r="J1060" i="1"/>
  <c r="E1060" i="1"/>
  <c r="M1060" i="1" s="1"/>
  <c r="J1059" i="1"/>
  <c r="E1059" i="1"/>
  <c r="M1059" i="1" s="1"/>
  <c r="J1058" i="1"/>
  <c r="E1058" i="1"/>
  <c r="M1058" i="1" s="1"/>
  <c r="J1057" i="1"/>
  <c r="E1057" i="1"/>
  <c r="M1057" i="1" s="1"/>
  <c r="J1056" i="1"/>
  <c r="E1056" i="1"/>
  <c r="M1056" i="1" s="1"/>
  <c r="J1055" i="1"/>
  <c r="E1055" i="1"/>
  <c r="M1055" i="1" s="1"/>
  <c r="J1054" i="1"/>
  <c r="E1054" i="1"/>
  <c r="M1054" i="1" s="1"/>
  <c r="J1053" i="1"/>
  <c r="E1053" i="1"/>
  <c r="M1053" i="1" s="1"/>
  <c r="J1052" i="1"/>
  <c r="E1052" i="1"/>
  <c r="M1052" i="1" s="1"/>
  <c r="J1051" i="1"/>
  <c r="E1051" i="1"/>
  <c r="M1051" i="1" s="1"/>
  <c r="J1050" i="1"/>
  <c r="E1050" i="1"/>
  <c r="M1050" i="1" s="1"/>
  <c r="J1049" i="1"/>
  <c r="E1049" i="1"/>
  <c r="M1049" i="1" s="1"/>
  <c r="J1048" i="1"/>
  <c r="E1048" i="1"/>
  <c r="M1048" i="1" s="1"/>
  <c r="J1047" i="1"/>
  <c r="E1047" i="1"/>
  <c r="M1047" i="1" s="1"/>
  <c r="J1046" i="1"/>
  <c r="E1046" i="1"/>
  <c r="M1046" i="1" s="1"/>
  <c r="J1045" i="1"/>
  <c r="E1045" i="1"/>
  <c r="M1045" i="1" s="1"/>
  <c r="J1044" i="1"/>
  <c r="E1044" i="1"/>
  <c r="M1044" i="1" s="1"/>
  <c r="J1043" i="1"/>
  <c r="E1043" i="1"/>
  <c r="M1043" i="1" s="1"/>
  <c r="J1042" i="1"/>
  <c r="E1042" i="1"/>
  <c r="M1042" i="1" s="1"/>
  <c r="J1041" i="1"/>
  <c r="E1041" i="1"/>
  <c r="M1041" i="1" s="1"/>
  <c r="J1040" i="1"/>
  <c r="E1040" i="1"/>
  <c r="M1040" i="1" s="1"/>
  <c r="J1039" i="1"/>
  <c r="E1039" i="1"/>
  <c r="M1039" i="1" s="1"/>
  <c r="J1038" i="1"/>
  <c r="E1038" i="1"/>
  <c r="M1038" i="1" s="1"/>
  <c r="J1037" i="1"/>
  <c r="E1037" i="1"/>
  <c r="M1037" i="1" s="1"/>
  <c r="J1036" i="1"/>
  <c r="E1036" i="1"/>
  <c r="M1036" i="1" s="1"/>
  <c r="J1035" i="1"/>
  <c r="E1035" i="1"/>
  <c r="M1035" i="1" s="1"/>
  <c r="J1034" i="1"/>
  <c r="E1034" i="1"/>
  <c r="M1034" i="1" s="1"/>
  <c r="J1033" i="1"/>
  <c r="E1033" i="1"/>
  <c r="M1033" i="1" s="1"/>
  <c r="J1032" i="1"/>
  <c r="E1032" i="1"/>
  <c r="M1032" i="1" s="1"/>
  <c r="J1031" i="1"/>
  <c r="E1031" i="1"/>
  <c r="M1031" i="1" s="1"/>
  <c r="J1030" i="1"/>
  <c r="E1030" i="1"/>
  <c r="M1030" i="1" s="1"/>
  <c r="J1029" i="1"/>
  <c r="E1029" i="1"/>
  <c r="M1029" i="1" s="1"/>
  <c r="J1028" i="1"/>
  <c r="E1028" i="1"/>
  <c r="M1028" i="1" s="1"/>
  <c r="J1027" i="1"/>
  <c r="E1027" i="1"/>
  <c r="M1027" i="1" s="1"/>
  <c r="J1026" i="1"/>
  <c r="E1026" i="1"/>
  <c r="M1026" i="1" s="1"/>
  <c r="J1025" i="1"/>
  <c r="E1025" i="1"/>
  <c r="M1025" i="1" s="1"/>
  <c r="J1024" i="1"/>
  <c r="E1024" i="1"/>
  <c r="M1024" i="1" s="1"/>
  <c r="J1023" i="1"/>
  <c r="E1023" i="1"/>
  <c r="M1023" i="1" s="1"/>
  <c r="J1022" i="1"/>
  <c r="E1022" i="1"/>
  <c r="M1022" i="1" s="1"/>
  <c r="J1021" i="1"/>
  <c r="E1021" i="1"/>
  <c r="M1021" i="1" s="1"/>
  <c r="J1020" i="1"/>
  <c r="E1020" i="1"/>
  <c r="M1020" i="1" s="1"/>
  <c r="J1019" i="1"/>
  <c r="E1019" i="1"/>
  <c r="M1019" i="1" s="1"/>
  <c r="J1018" i="1"/>
  <c r="E1018" i="1"/>
  <c r="M1018" i="1" s="1"/>
  <c r="J1017" i="1"/>
  <c r="E1017" i="1"/>
  <c r="M1017" i="1" s="1"/>
  <c r="J1016" i="1"/>
  <c r="E1016" i="1"/>
  <c r="M1016" i="1" s="1"/>
  <c r="J1015" i="1"/>
  <c r="E1015" i="1"/>
  <c r="M1015" i="1" s="1"/>
  <c r="J1014" i="1"/>
  <c r="E1014" i="1"/>
  <c r="M1014" i="1" s="1"/>
  <c r="J1013" i="1"/>
  <c r="E1013" i="1"/>
  <c r="M1013" i="1" s="1"/>
  <c r="J1012" i="1"/>
  <c r="E1012" i="1"/>
  <c r="M1012" i="1" s="1"/>
  <c r="J1011" i="1"/>
  <c r="E1011" i="1"/>
  <c r="M1011" i="1" s="1"/>
  <c r="J1010" i="1"/>
  <c r="E1010" i="1"/>
  <c r="M1010" i="1" s="1"/>
  <c r="J1009" i="1"/>
  <c r="E1009" i="1"/>
  <c r="M1009" i="1" s="1"/>
  <c r="J1008" i="1"/>
  <c r="E1008" i="1"/>
  <c r="M1008" i="1" s="1"/>
  <c r="J1007" i="1"/>
  <c r="E1007" i="1"/>
  <c r="M1007" i="1" s="1"/>
  <c r="J1006" i="1"/>
  <c r="E1006" i="1"/>
  <c r="M1006" i="1" s="1"/>
  <c r="J1005" i="1"/>
  <c r="E1005" i="1"/>
  <c r="M1005" i="1" s="1"/>
  <c r="J1004" i="1"/>
  <c r="E1004" i="1"/>
  <c r="M1004" i="1" s="1"/>
  <c r="J1003" i="1"/>
  <c r="E1003" i="1"/>
  <c r="M1003" i="1" s="1"/>
  <c r="J1002" i="1"/>
  <c r="E1002" i="1"/>
  <c r="M1002" i="1" s="1"/>
  <c r="J1001" i="1"/>
  <c r="E1001" i="1"/>
  <c r="M1001" i="1" s="1"/>
  <c r="J1000" i="1"/>
  <c r="E1000" i="1"/>
  <c r="M1000" i="1" s="1"/>
  <c r="J999" i="1"/>
  <c r="E999" i="1"/>
  <c r="M999" i="1" s="1"/>
  <c r="J998" i="1"/>
  <c r="E998" i="1"/>
  <c r="M998" i="1" s="1"/>
  <c r="J997" i="1"/>
  <c r="E997" i="1"/>
  <c r="M997" i="1" s="1"/>
  <c r="J996" i="1"/>
  <c r="E996" i="1"/>
  <c r="M996" i="1" s="1"/>
  <c r="J995" i="1"/>
  <c r="E995" i="1"/>
  <c r="M995" i="1" s="1"/>
  <c r="J994" i="1"/>
  <c r="E994" i="1"/>
  <c r="M994" i="1" s="1"/>
  <c r="J993" i="1"/>
  <c r="E993" i="1"/>
  <c r="M993" i="1" s="1"/>
  <c r="J992" i="1"/>
  <c r="E992" i="1"/>
  <c r="M992" i="1" s="1"/>
  <c r="J991" i="1"/>
  <c r="E991" i="1"/>
  <c r="M991" i="1" s="1"/>
  <c r="J990" i="1"/>
  <c r="E990" i="1"/>
  <c r="M990" i="1" s="1"/>
  <c r="J989" i="1"/>
  <c r="E989" i="1"/>
  <c r="M989" i="1" s="1"/>
  <c r="J988" i="1"/>
  <c r="E988" i="1"/>
  <c r="M988" i="1" s="1"/>
  <c r="J987" i="1"/>
  <c r="E987" i="1"/>
  <c r="M987" i="1" s="1"/>
  <c r="J986" i="1"/>
  <c r="E986" i="1"/>
  <c r="M986" i="1" s="1"/>
  <c r="J985" i="1"/>
  <c r="E985" i="1"/>
  <c r="M985" i="1" s="1"/>
  <c r="J984" i="1"/>
  <c r="E984" i="1"/>
  <c r="M984" i="1" s="1"/>
  <c r="J983" i="1"/>
  <c r="E983" i="1"/>
  <c r="M983" i="1" s="1"/>
  <c r="J982" i="1"/>
  <c r="E982" i="1"/>
  <c r="M982" i="1" s="1"/>
  <c r="J981" i="1"/>
  <c r="E981" i="1"/>
  <c r="M981" i="1" s="1"/>
  <c r="J980" i="1"/>
  <c r="E980" i="1"/>
  <c r="M980" i="1" s="1"/>
  <c r="J979" i="1"/>
  <c r="E979" i="1"/>
  <c r="M979" i="1" s="1"/>
  <c r="J978" i="1"/>
  <c r="E978" i="1"/>
  <c r="M978" i="1" s="1"/>
  <c r="J977" i="1"/>
  <c r="E977" i="1"/>
  <c r="M977" i="1" s="1"/>
  <c r="J976" i="1"/>
  <c r="E976" i="1"/>
  <c r="M976" i="1" s="1"/>
  <c r="J975" i="1"/>
  <c r="E975" i="1"/>
  <c r="M975" i="1" s="1"/>
  <c r="J974" i="1"/>
  <c r="E974" i="1"/>
  <c r="M974" i="1" s="1"/>
  <c r="J973" i="1"/>
  <c r="E973" i="1"/>
  <c r="M973" i="1" s="1"/>
  <c r="J972" i="1"/>
  <c r="E972" i="1"/>
  <c r="M972" i="1" s="1"/>
  <c r="J971" i="1"/>
  <c r="E971" i="1"/>
  <c r="M971" i="1" s="1"/>
  <c r="J970" i="1"/>
  <c r="E970" i="1"/>
  <c r="M970" i="1" s="1"/>
  <c r="J969" i="1"/>
  <c r="E969" i="1"/>
  <c r="M969" i="1" s="1"/>
  <c r="J968" i="1"/>
  <c r="E968" i="1"/>
  <c r="M968" i="1" s="1"/>
  <c r="J967" i="1"/>
  <c r="E967" i="1"/>
  <c r="M967" i="1" s="1"/>
  <c r="J966" i="1"/>
  <c r="E966" i="1"/>
  <c r="M966" i="1" s="1"/>
  <c r="J965" i="1"/>
  <c r="E965" i="1"/>
  <c r="M965" i="1" s="1"/>
  <c r="J964" i="1"/>
  <c r="E964" i="1"/>
  <c r="M964" i="1" s="1"/>
  <c r="J963" i="1"/>
  <c r="E963" i="1"/>
  <c r="M963" i="1" s="1"/>
  <c r="J962" i="1"/>
  <c r="E962" i="1"/>
  <c r="M962" i="1" s="1"/>
  <c r="J961" i="1"/>
  <c r="E961" i="1"/>
  <c r="M961" i="1" s="1"/>
  <c r="J960" i="1"/>
  <c r="E960" i="1"/>
  <c r="M960" i="1" s="1"/>
  <c r="J959" i="1"/>
  <c r="E959" i="1"/>
  <c r="M959" i="1" s="1"/>
  <c r="J958" i="1"/>
  <c r="E958" i="1"/>
  <c r="M958" i="1" s="1"/>
  <c r="J957" i="1"/>
  <c r="E957" i="1"/>
  <c r="M957" i="1" s="1"/>
  <c r="J956" i="1"/>
  <c r="E956" i="1"/>
  <c r="M956" i="1" s="1"/>
  <c r="J955" i="1"/>
  <c r="E955" i="1"/>
  <c r="M955" i="1" s="1"/>
  <c r="J954" i="1"/>
  <c r="E954" i="1"/>
  <c r="M954" i="1" s="1"/>
  <c r="J953" i="1"/>
  <c r="E953" i="1"/>
  <c r="M953" i="1" s="1"/>
  <c r="J952" i="1"/>
  <c r="E952" i="1"/>
  <c r="M952" i="1" s="1"/>
  <c r="J951" i="1"/>
  <c r="E951" i="1"/>
  <c r="M951" i="1" s="1"/>
  <c r="J950" i="1"/>
  <c r="E950" i="1"/>
  <c r="M950" i="1" s="1"/>
  <c r="J949" i="1"/>
  <c r="E949" i="1"/>
  <c r="M949" i="1" s="1"/>
  <c r="J948" i="1"/>
  <c r="E948" i="1"/>
  <c r="M948" i="1" s="1"/>
  <c r="J947" i="1"/>
  <c r="E947" i="1"/>
  <c r="M947" i="1" s="1"/>
  <c r="J946" i="1"/>
  <c r="E946" i="1"/>
  <c r="M946" i="1" s="1"/>
  <c r="J945" i="1"/>
  <c r="E945" i="1"/>
  <c r="M945" i="1" s="1"/>
  <c r="J944" i="1"/>
  <c r="E944" i="1"/>
  <c r="M944" i="1" s="1"/>
  <c r="J943" i="1"/>
  <c r="E943" i="1"/>
  <c r="M943" i="1" s="1"/>
  <c r="J942" i="1"/>
  <c r="E942" i="1"/>
  <c r="M942" i="1" s="1"/>
  <c r="J941" i="1"/>
  <c r="E941" i="1"/>
  <c r="M941" i="1" s="1"/>
  <c r="J940" i="1"/>
  <c r="E940" i="1"/>
  <c r="M940" i="1" s="1"/>
  <c r="J939" i="1"/>
  <c r="E939" i="1"/>
  <c r="M939" i="1" s="1"/>
  <c r="J938" i="1"/>
  <c r="E938" i="1"/>
  <c r="M938" i="1" s="1"/>
  <c r="J937" i="1"/>
  <c r="E937" i="1"/>
  <c r="M937" i="1" s="1"/>
  <c r="J936" i="1"/>
  <c r="E936" i="1"/>
  <c r="M936" i="1" s="1"/>
  <c r="J935" i="1"/>
  <c r="E935" i="1"/>
  <c r="M935" i="1" s="1"/>
  <c r="J934" i="1"/>
  <c r="E934" i="1"/>
  <c r="M934" i="1" s="1"/>
  <c r="J933" i="1"/>
  <c r="E933" i="1"/>
  <c r="M933" i="1" s="1"/>
  <c r="J932" i="1"/>
  <c r="E932" i="1"/>
  <c r="M932" i="1" s="1"/>
  <c r="J931" i="1"/>
  <c r="E931" i="1"/>
  <c r="M931" i="1" s="1"/>
  <c r="J930" i="1"/>
  <c r="E930" i="1"/>
  <c r="M930" i="1" s="1"/>
  <c r="J929" i="1"/>
  <c r="E929" i="1"/>
  <c r="M929" i="1" s="1"/>
  <c r="J928" i="1"/>
  <c r="E928" i="1"/>
  <c r="M928" i="1" s="1"/>
  <c r="J927" i="1"/>
  <c r="E927" i="1"/>
  <c r="M927" i="1" s="1"/>
  <c r="J926" i="1"/>
  <c r="E926" i="1"/>
  <c r="M926" i="1" s="1"/>
  <c r="J925" i="1"/>
  <c r="E925" i="1"/>
  <c r="M925" i="1" s="1"/>
  <c r="J924" i="1"/>
  <c r="E924" i="1"/>
  <c r="M924" i="1" s="1"/>
  <c r="J923" i="1"/>
  <c r="E923" i="1"/>
  <c r="M923" i="1" s="1"/>
  <c r="J922" i="1"/>
  <c r="E922" i="1"/>
  <c r="M922" i="1" s="1"/>
  <c r="J921" i="1"/>
  <c r="E921" i="1"/>
  <c r="M921" i="1" s="1"/>
  <c r="J920" i="1"/>
  <c r="E920" i="1"/>
  <c r="M920" i="1" s="1"/>
  <c r="J919" i="1"/>
  <c r="E919" i="1"/>
  <c r="M919" i="1" s="1"/>
  <c r="J918" i="1"/>
  <c r="E918" i="1"/>
  <c r="M918" i="1" s="1"/>
  <c r="J917" i="1"/>
  <c r="E917" i="1"/>
  <c r="M917" i="1" s="1"/>
  <c r="J916" i="1"/>
  <c r="E916" i="1"/>
  <c r="M916" i="1" s="1"/>
  <c r="J915" i="1"/>
  <c r="E915" i="1"/>
  <c r="M915" i="1" s="1"/>
  <c r="J914" i="1"/>
  <c r="E914" i="1"/>
  <c r="M914" i="1" s="1"/>
  <c r="J913" i="1"/>
  <c r="E913" i="1"/>
  <c r="M913" i="1" s="1"/>
  <c r="J912" i="1"/>
  <c r="E912" i="1"/>
  <c r="M912" i="1" s="1"/>
  <c r="J911" i="1"/>
  <c r="E911" i="1"/>
  <c r="M911" i="1" s="1"/>
  <c r="J910" i="1"/>
  <c r="E910" i="1"/>
  <c r="M910" i="1" s="1"/>
  <c r="J909" i="1"/>
  <c r="E909" i="1"/>
  <c r="M909" i="1" s="1"/>
  <c r="J908" i="1"/>
  <c r="E908" i="1"/>
  <c r="M908" i="1" s="1"/>
  <c r="J907" i="1"/>
  <c r="E907" i="1"/>
  <c r="M907" i="1" s="1"/>
  <c r="J906" i="1"/>
  <c r="E906" i="1"/>
  <c r="M906" i="1" s="1"/>
  <c r="J905" i="1"/>
  <c r="E905" i="1"/>
  <c r="M905" i="1" s="1"/>
  <c r="J904" i="1"/>
  <c r="E904" i="1"/>
  <c r="M904" i="1" s="1"/>
  <c r="J903" i="1"/>
  <c r="E903" i="1"/>
  <c r="M903" i="1" s="1"/>
  <c r="J902" i="1"/>
  <c r="E902" i="1"/>
  <c r="M902" i="1" s="1"/>
  <c r="J901" i="1"/>
  <c r="E901" i="1"/>
  <c r="M901" i="1" s="1"/>
  <c r="J900" i="1"/>
  <c r="E900" i="1"/>
  <c r="M900" i="1" s="1"/>
  <c r="J899" i="1"/>
  <c r="E899" i="1"/>
  <c r="M899" i="1" s="1"/>
  <c r="J898" i="1"/>
  <c r="E898" i="1"/>
  <c r="M898" i="1" s="1"/>
  <c r="J897" i="1"/>
  <c r="E897" i="1"/>
  <c r="M897" i="1" s="1"/>
  <c r="J896" i="1"/>
  <c r="E896" i="1"/>
  <c r="M896" i="1" s="1"/>
  <c r="J895" i="1"/>
  <c r="E895" i="1"/>
  <c r="M895" i="1" s="1"/>
  <c r="J894" i="1"/>
  <c r="E894" i="1"/>
  <c r="M894" i="1" s="1"/>
  <c r="J893" i="1"/>
  <c r="E893" i="1"/>
  <c r="M893" i="1" s="1"/>
  <c r="J892" i="1"/>
  <c r="E892" i="1"/>
  <c r="M892" i="1" s="1"/>
  <c r="J891" i="1"/>
  <c r="E891" i="1"/>
  <c r="M891" i="1" s="1"/>
  <c r="J890" i="1"/>
  <c r="E890" i="1"/>
  <c r="M890" i="1" s="1"/>
  <c r="J889" i="1"/>
  <c r="E889" i="1"/>
  <c r="M889" i="1" s="1"/>
  <c r="J888" i="1"/>
  <c r="E888" i="1"/>
  <c r="M888" i="1" s="1"/>
  <c r="J887" i="1"/>
  <c r="E887" i="1"/>
  <c r="M887" i="1" s="1"/>
  <c r="J886" i="1"/>
  <c r="E886" i="1"/>
  <c r="M886" i="1" s="1"/>
  <c r="J885" i="1"/>
  <c r="E885" i="1"/>
  <c r="M885" i="1" s="1"/>
  <c r="J884" i="1"/>
  <c r="E884" i="1"/>
  <c r="M884" i="1" s="1"/>
  <c r="J883" i="1"/>
  <c r="E883" i="1"/>
  <c r="M883" i="1" s="1"/>
  <c r="J882" i="1"/>
  <c r="E882" i="1"/>
  <c r="M882" i="1" s="1"/>
  <c r="J881" i="1"/>
  <c r="E881" i="1"/>
  <c r="M881" i="1" s="1"/>
  <c r="J880" i="1"/>
  <c r="E880" i="1"/>
  <c r="M880" i="1" s="1"/>
  <c r="J879" i="1"/>
  <c r="E879" i="1"/>
  <c r="M879" i="1" s="1"/>
  <c r="J878" i="1"/>
  <c r="E878" i="1"/>
  <c r="M878" i="1" s="1"/>
  <c r="J877" i="1"/>
  <c r="E877" i="1"/>
  <c r="M877" i="1" s="1"/>
  <c r="J876" i="1"/>
  <c r="E876" i="1"/>
  <c r="M876" i="1" s="1"/>
  <c r="J875" i="1"/>
  <c r="E875" i="1"/>
  <c r="M875" i="1" s="1"/>
  <c r="J874" i="1"/>
  <c r="E874" i="1"/>
  <c r="M874" i="1" s="1"/>
  <c r="J873" i="1"/>
  <c r="E873" i="1"/>
  <c r="M873" i="1" s="1"/>
  <c r="J872" i="1"/>
  <c r="E872" i="1"/>
  <c r="M872" i="1" s="1"/>
  <c r="J871" i="1"/>
  <c r="E871" i="1"/>
  <c r="M871" i="1" s="1"/>
  <c r="J870" i="1"/>
  <c r="E870" i="1"/>
  <c r="M870" i="1" s="1"/>
  <c r="J869" i="1"/>
  <c r="E869" i="1"/>
  <c r="M869" i="1" s="1"/>
  <c r="J868" i="1"/>
  <c r="E868" i="1"/>
  <c r="M868" i="1" s="1"/>
  <c r="J867" i="1"/>
  <c r="E867" i="1"/>
  <c r="M867" i="1" s="1"/>
  <c r="J866" i="1"/>
  <c r="E866" i="1"/>
  <c r="M866" i="1" s="1"/>
  <c r="J865" i="1"/>
  <c r="E865" i="1"/>
  <c r="M865" i="1" s="1"/>
  <c r="J864" i="1"/>
  <c r="E864" i="1"/>
  <c r="M864" i="1" s="1"/>
  <c r="J863" i="1"/>
  <c r="E863" i="1"/>
  <c r="M863" i="1" s="1"/>
  <c r="J862" i="1"/>
  <c r="E862" i="1"/>
  <c r="M862" i="1" s="1"/>
  <c r="J861" i="1"/>
  <c r="E861" i="1"/>
  <c r="M861" i="1" s="1"/>
  <c r="J860" i="1"/>
  <c r="E860" i="1"/>
  <c r="M860" i="1" s="1"/>
  <c r="J859" i="1"/>
  <c r="E859" i="1"/>
  <c r="M859" i="1" s="1"/>
  <c r="J858" i="1"/>
  <c r="E858" i="1"/>
  <c r="M858" i="1" s="1"/>
  <c r="J857" i="1"/>
  <c r="E857" i="1"/>
  <c r="M857" i="1" s="1"/>
  <c r="J856" i="1"/>
  <c r="E856" i="1"/>
  <c r="M856" i="1" s="1"/>
  <c r="J855" i="1"/>
  <c r="E855" i="1"/>
  <c r="M855" i="1" s="1"/>
  <c r="J854" i="1"/>
  <c r="E854" i="1"/>
  <c r="M854" i="1" s="1"/>
  <c r="J853" i="1"/>
  <c r="E853" i="1"/>
  <c r="M853" i="1" s="1"/>
  <c r="J852" i="1"/>
  <c r="E852" i="1"/>
  <c r="M852" i="1" s="1"/>
  <c r="J851" i="1"/>
  <c r="E851" i="1"/>
  <c r="M851" i="1" s="1"/>
  <c r="J850" i="1"/>
  <c r="E850" i="1"/>
  <c r="M850" i="1" s="1"/>
  <c r="J849" i="1"/>
  <c r="E849" i="1"/>
  <c r="M849" i="1" s="1"/>
  <c r="J848" i="1"/>
  <c r="E848" i="1"/>
  <c r="M848" i="1" s="1"/>
  <c r="J847" i="1"/>
  <c r="E847" i="1"/>
  <c r="M847" i="1" s="1"/>
  <c r="J846" i="1"/>
  <c r="E846" i="1"/>
  <c r="M846" i="1" s="1"/>
  <c r="J845" i="1"/>
  <c r="E845" i="1"/>
  <c r="M845" i="1" s="1"/>
  <c r="J844" i="1"/>
  <c r="E844" i="1"/>
  <c r="M844" i="1" s="1"/>
  <c r="J843" i="1"/>
  <c r="E843" i="1"/>
  <c r="M843" i="1" s="1"/>
  <c r="J842" i="1"/>
  <c r="E842" i="1"/>
  <c r="M842" i="1" s="1"/>
  <c r="J841" i="1"/>
  <c r="E841" i="1"/>
  <c r="M841" i="1" s="1"/>
  <c r="J840" i="1"/>
  <c r="E840" i="1"/>
  <c r="M840" i="1" s="1"/>
  <c r="J839" i="1"/>
  <c r="E839" i="1"/>
  <c r="M839" i="1" s="1"/>
  <c r="J838" i="1"/>
  <c r="E838" i="1"/>
  <c r="M838" i="1" s="1"/>
  <c r="J837" i="1"/>
  <c r="E837" i="1"/>
  <c r="M837" i="1" s="1"/>
  <c r="J836" i="1"/>
  <c r="E836" i="1"/>
  <c r="M836" i="1" s="1"/>
  <c r="J835" i="1"/>
  <c r="E835" i="1"/>
  <c r="M835" i="1" s="1"/>
  <c r="J834" i="1"/>
  <c r="E834" i="1"/>
  <c r="M834" i="1" s="1"/>
  <c r="J833" i="1"/>
  <c r="E833" i="1"/>
  <c r="M833" i="1" s="1"/>
  <c r="J832" i="1"/>
  <c r="E832" i="1"/>
  <c r="M832" i="1" s="1"/>
  <c r="J831" i="1"/>
  <c r="E831" i="1"/>
  <c r="M831" i="1" s="1"/>
  <c r="J830" i="1"/>
  <c r="E830" i="1"/>
  <c r="M830" i="1" s="1"/>
  <c r="J829" i="1"/>
  <c r="E829" i="1"/>
  <c r="M829" i="1" s="1"/>
  <c r="J828" i="1"/>
  <c r="E828" i="1"/>
  <c r="M828" i="1" s="1"/>
  <c r="J827" i="1"/>
  <c r="E827" i="1"/>
  <c r="M827" i="1" s="1"/>
  <c r="J826" i="1"/>
  <c r="E826" i="1"/>
  <c r="M826" i="1" s="1"/>
  <c r="J825" i="1"/>
  <c r="E825" i="1"/>
  <c r="M825" i="1" s="1"/>
  <c r="J824" i="1"/>
  <c r="E824" i="1"/>
  <c r="M824" i="1" s="1"/>
  <c r="J823" i="1"/>
  <c r="E823" i="1"/>
  <c r="M823" i="1" s="1"/>
  <c r="J822" i="1"/>
  <c r="E822" i="1"/>
  <c r="M822" i="1" s="1"/>
  <c r="J821" i="1"/>
  <c r="E821" i="1"/>
  <c r="M821" i="1" s="1"/>
  <c r="J820" i="1"/>
  <c r="E820" i="1"/>
  <c r="M820" i="1" s="1"/>
  <c r="J819" i="1"/>
  <c r="E819" i="1"/>
  <c r="M819" i="1" s="1"/>
  <c r="J818" i="1"/>
  <c r="E818" i="1"/>
  <c r="M818" i="1" s="1"/>
  <c r="J817" i="1"/>
  <c r="E817" i="1"/>
  <c r="M817" i="1" s="1"/>
  <c r="J816" i="1"/>
  <c r="E816" i="1"/>
  <c r="M816" i="1" s="1"/>
  <c r="J815" i="1"/>
  <c r="E815" i="1"/>
  <c r="M815" i="1" s="1"/>
  <c r="J814" i="1"/>
  <c r="E814" i="1"/>
  <c r="M814" i="1" s="1"/>
  <c r="J813" i="1"/>
  <c r="E813" i="1"/>
  <c r="M813" i="1" s="1"/>
  <c r="J812" i="1"/>
  <c r="E812" i="1"/>
  <c r="M812" i="1" s="1"/>
  <c r="J811" i="1"/>
  <c r="E811" i="1"/>
  <c r="M811" i="1" s="1"/>
  <c r="J810" i="1"/>
  <c r="E810" i="1"/>
  <c r="M810" i="1" s="1"/>
  <c r="J809" i="1"/>
  <c r="E809" i="1"/>
  <c r="M809" i="1" s="1"/>
  <c r="J808" i="1"/>
  <c r="E808" i="1"/>
  <c r="M808" i="1" s="1"/>
  <c r="J807" i="1"/>
  <c r="E807" i="1"/>
  <c r="M807" i="1" s="1"/>
  <c r="J806" i="1"/>
  <c r="E806" i="1"/>
  <c r="M806" i="1" s="1"/>
  <c r="J805" i="1"/>
  <c r="E805" i="1"/>
  <c r="M805" i="1" s="1"/>
  <c r="J804" i="1"/>
  <c r="E804" i="1"/>
  <c r="M804" i="1" s="1"/>
  <c r="J803" i="1"/>
  <c r="E803" i="1"/>
  <c r="M803" i="1" s="1"/>
  <c r="J802" i="1"/>
  <c r="E802" i="1"/>
  <c r="M802" i="1" s="1"/>
  <c r="J801" i="1"/>
  <c r="E801" i="1"/>
  <c r="M801" i="1" s="1"/>
  <c r="J800" i="1"/>
  <c r="E800" i="1"/>
  <c r="M800" i="1" s="1"/>
  <c r="J799" i="1"/>
  <c r="E799" i="1"/>
  <c r="M799" i="1" s="1"/>
  <c r="J798" i="1"/>
  <c r="E798" i="1"/>
  <c r="M798" i="1" s="1"/>
  <c r="J797" i="1"/>
  <c r="E797" i="1"/>
  <c r="M797" i="1" s="1"/>
  <c r="J796" i="1"/>
  <c r="E796" i="1"/>
  <c r="M796" i="1" s="1"/>
  <c r="J795" i="1"/>
  <c r="E795" i="1"/>
  <c r="M795" i="1" s="1"/>
  <c r="J794" i="1"/>
  <c r="E794" i="1"/>
  <c r="M794" i="1" s="1"/>
  <c r="J793" i="1"/>
  <c r="E793" i="1"/>
  <c r="M793" i="1" s="1"/>
  <c r="J792" i="1"/>
  <c r="E792" i="1"/>
  <c r="M792" i="1" s="1"/>
  <c r="J791" i="1"/>
  <c r="E791" i="1"/>
  <c r="M791" i="1" s="1"/>
  <c r="J790" i="1"/>
  <c r="E790" i="1"/>
  <c r="M790" i="1" s="1"/>
  <c r="J789" i="1"/>
  <c r="E789" i="1"/>
  <c r="M789" i="1" s="1"/>
  <c r="J788" i="1"/>
  <c r="E788" i="1"/>
  <c r="M788" i="1" s="1"/>
  <c r="J787" i="1"/>
  <c r="E787" i="1"/>
  <c r="M787" i="1" s="1"/>
  <c r="J786" i="1"/>
  <c r="E786" i="1"/>
  <c r="M786" i="1" s="1"/>
  <c r="J785" i="1"/>
  <c r="E785" i="1"/>
  <c r="M785" i="1" s="1"/>
  <c r="J784" i="1"/>
  <c r="E784" i="1"/>
  <c r="M784" i="1" s="1"/>
  <c r="J783" i="1"/>
  <c r="E783" i="1"/>
  <c r="M783" i="1" s="1"/>
  <c r="J782" i="1"/>
  <c r="E782" i="1"/>
  <c r="M782" i="1" s="1"/>
  <c r="J781" i="1"/>
  <c r="E781" i="1"/>
  <c r="M781" i="1" s="1"/>
  <c r="J780" i="1"/>
  <c r="E780" i="1"/>
  <c r="M780" i="1" s="1"/>
  <c r="J779" i="1"/>
  <c r="E779" i="1"/>
  <c r="M779" i="1" s="1"/>
  <c r="J778" i="1"/>
  <c r="E778" i="1"/>
  <c r="M778" i="1" s="1"/>
  <c r="J777" i="1"/>
  <c r="E777" i="1"/>
  <c r="M777" i="1" s="1"/>
  <c r="J776" i="1"/>
  <c r="E776" i="1"/>
  <c r="M776" i="1" s="1"/>
  <c r="J775" i="1"/>
  <c r="E775" i="1"/>
  <c r="M775" i="1" s="1"/>
  <c r="J774" i="1"/>
  <c r="E774" i="1"/>
  <c r="M774" i="1" s="1"/>
  <c r="J773" i="1"/>
  <c r="E773" i="1"/>
  <c r="M773" i="1" s="1"/>
  <c r="J772" i="1"/>
  <c r="E772" i="1"/>
  <c r="M772" i="1" s="1"/>
  <c r="J771" i="1"/>
  <c r="E771" i="1"/>
  <c r="M771" i="1" s="1"/>
  <c r="J770" i="1"/>
  <c r="E770" i="1"/>
  <c r="M770" i="1" s="1"/>
  <c r="J769" i="1"/>
  <c r="E769" i="1"/>
  <c r="M769" i="1" s="1"/>
  <c r="J768" i="1"/>
  <c r="E768" i="1"/>
  <c r="M768" i="1" s="1"/>
  <c r="J767" i="1"/>
  <c r="E767" i="1"/>
  <c r="M767" i="1" s="1"/>
  <c r="J766" i="1"/>
  <c r="E766" i="1"/>
  <c r="M766" i="1" s="1"/>
  <c r="J765" i="1"/>
  <c r="E765" i="1"/>
  <c r="M765" i="1" s="1"/>
  <c r="J764" i="1"/>
  <c r="E764" i="1"/>
  <c r="M764" i="1" s="1"/>
  <c r="J763" i="1"/>
  <c r="E763" i="1"/>
  <c r="M763" i="1" s="1"/>
  <c r="J762" i="1"/>
  <c r="E762" i="1"/>
  <c r="M762" i="1" s="1"/>
  <c r="J761" i="1"/>
  <c r="E761" i="1"/>
  <c r="M761" i="1" s="1"/>
  <c r="J760" i="1"/>
  <c r="E760" i="1"/>
  <c r="M760" i="1" s="1"/>
  <c r="J759" i="1"/>
  <c r="E759" i="1"/>
  <c r="M759" i="1" s="1"/>
  <c r="J758" i="1"/>
  <c r="E758" i="1"/>
  <c r="M758" i="1" s="1"/>
  <c r="J757" i="1"/>
  <c r="E757" i="1"/>
  <c r="M757" i="1" s="1"/>
  <c r="J756" i="1"/>
  <c r="E756" i="1"/>
  <c r="M756" i="1" s="1"/>
  <c r="J755" i="1"/>
  <c r="E755" i="1"/>
  <c r="M755" i="1" s="1"/>
  <c r="J754" i="1"/>
  <c r="E754" i="1"/>
  <c r="M754" i="1" s="1"/>
  <c r="J753" i="1"/>
  <c r="E753" i="1"/>
  <c r="M753" i="1" s="1"/>
  <c r="J752" i="1"/>
  <c r="E752" i="1"/>
  <c r="M752" i="1" s="1"/>
  <c r="J751" i="1"/>
  <c r="E751" i="1"/>
  <c r="M751" i="1" s="1"/>
  <c r="J750" i="1"/>
  <c r="E750" i="1"/>
  <c r="M750" i="1" s="1"/>
  <c r="J749" i="1"/>
  <c r="E749" i="1"/>
  <c r="M749" i="1" s="1"/>
  <c r="J748" i="1"/>
  <c r="E748" i="1"/>
  <c r="M748" i="1" s="1"/>
  <c r="J747" i="1"/>
  <c r="E747" i="1"/>
  <c r="M747" i="1" s="1"/>
  <c r="J746" i="1"/>
  <c r="E746" i="1"/>
  <c r="M746" i="1" s="1"/>
  <c r="J745" i="1"/>
  <c r="E745" i="1"/>
  <c r="M745" i="1" s="1"/>
  <c r="J744" i="1"/>
  <c r="E744" i="1"/>
  <c r="M744" i="1" s="1"/>
  <c r="J743" i="1"/>
  <c r="E743" i="1"/>
  <c r="M743" i="1" s="1"/>
  <c r="J742" i="1"/>
  <c r="E742" i="1"/>
  <c r="M742" i="1" s="1"/>
  <c r="J741" i="1"/>
  <c r="E741" i="1"/>
  <c r="M741" i="1" s="1"/>
  <c r="J740" i="1"/>
  <c r="E740" i="1"/>
  <c r="M740" i="1" s="1"/>
  <c r="J739" i="1"/>
  <c r="E739" i="1"/>
  <c r="M739" i="1" s="1"/>
  <c r="J738" i="1"/>
  <c r="E738" i="1"/>
  <c r="M738" i="1" s="1"/>
  <c r="J737" i="1"/>
  <c r="E737" i="1"/>
  <c r="M737" i="1" s="1"/>
  <c r="J736" i="1"/>
  <c r="E736" i="1"/>
  <c r="M736" i="1" s="1"/>
  <c r="J735" i="1"/>
  <c r="E735" i="1"/>
  <c r="M735" i="1" s="1"/>
  <c r="J734" i="1"/>
  <c r="E734" i="1"/>
  <c r="M734" i="1" s="1"/>
  <c r="J733" i="1"/>
  <c r="E733" i="1"/>
  <c r="M733" i="1" s="1"/>
  <c r="J732" i="1"/>
  <c r="E732" i="1"/>
  <c r="M732" i="1" s="1"/>
  <c r="J731" i="1"/>
  <c r="E731" i="1"/>
  <c r="M731" i="1" s="1"/>
  <c r="J730" i="1"/>
  <c r="E730" i="1"/>
  <c r="M730" i="1" s="1"/>
  <c r="J729" i="1"/>
  <c r="E729" i="1"/>
  <c r="M729" i="1" s="1"/>
  <c r="J728" i="1"/>
  <c r="E728" i="1"/>
  <c r="M728" i="1" s="1"/>
  <c r="J727" i="1"/>
  <c r="E727" i="1"/>
  <c r="M727" i="1" s="1"/>
  <c r="J726" i="1"/>
  <c r="E726" i="1"/>
  <c r="M726" i="1" s="1"/>
  <c r="J725" i="1"/>
  <c r="E725" i="1"/>
  <c r="M725" i="1" s="1"/>
  <c r="J724" i="1"/>
  <c r="E724" i="1"/>
  <c r="M724" i="1" s="1"/>
  <c r="J723" i="1"/>
  <c r="E723" i="1"/>
  <c r="M723" i="1" s="1"/>
  <c r="J722" i="1"/>
  <c r="E722" i="1"/>
  <c r="M722" i="1" s="1"/>
  <c r="J721" i="1"/>
  <c r="E721" i="1"/>
  <c r="M721" i="1" s="1"/>
  <c r="J720" i="1"/>
  <c r="E720" i="1"/>
  <c r="M720" i="1" s="1"/>
  <c r="J719" i="1"/>
  <c r="E719" i="1"/>
  <c r="M719" i="1" s="1"/>
  <c r="J718" i="1"/>
  <c r="E718" i="1"/>
  <c r="M718" i="1" s="1"/>
  <c r="J717" i="1"/>
  <c r="E717" i="1"/>
  <c r="M717" i="1" s="1"/>
  <c r="J716" i="1"/>
  <c r="E716" i="1"/>
  <c r="M716" i="1" s="1"/>
  <c r="J715" i="1"/>
  <c r="E715" i="1"/>
  <c r="M715" i="1" s="1"/>
  <c r="J714" i="1"/>
  <c r="E714" i="1"/>
  <c r="M714" i="1" s="1"/>
  <c r="J713" i="1"/>
  <c r="E713" i="1"/>
  <c r="M713" i="1" s="1"/>
  <c r="J712" i="1"/>
  <c r="E712" i="1"/>
  <c r="M712" i="1" s="1"/>
  <c r="J711" i="1"/>
  <c r="E711" i="1"/>
  <c r="M711" i="1" s="1"/>
  <c r="J710" i="1"/>
  <c r="E710" i="1"/>
  <c r="M710" i="1" s="1"/>
  <c r="J709" i="1"/>
  <c r="E709" i="1"/>
  <c r="M709" i="1" s="1"/>
  <c r="J708" i="1"/>
  <c r="E708" i="1"/>
  <c r="M708" i="1" s="1"/>
  <c r="J707" i="1"/>
  <c r="E707" i="1"/>
  <c r="M707" i="1" s="1"/>
  <c r="J706" i="1"/>
  <c r="E706" i="1"/>
  <c r="M706" i="1" s="1"/>
  <c r="J705" i="1"/>
  <c r="E705" i="1"/>
  <c r="M705" i="1" s="1"/>
  <c r="J704" i="1"/>
  <c r="E704" i="1"/>
  <c r="M704" i="1" s="1"/>
  <c r="J703" i="1"/>
  <c r="E703" i="1"/>
  <c r="M703" i="1" s="1"/>
  <c r="J702" i="1"/>
  <c r="E702" i="1"/>
  <c r="M702" i="1" s="1"/>
  <c r="J701" i="1"/>
  <c r="E701" i="1"/>
  <c r="M701" i="1" s="1"/>
  <c r="J700" i="1"/>
  <c r="E700" i="1"/>
  <c r="M700" i="1" s="1"/>
  <c r="J699" i="1"/>
  <c r="E699" i="1"/>
  <c r="M699" i="1" s="1"/>
  <c r="J698" i="1"/>
  <c r="E698" i="1"/>
  <c r="M698" i="1" s="1"/>
  <c r="J697" i="1"/>
  <c r="E697" i="1"/>
  <c r="M697" i="1" s="1"/>
  <c r="J696" i="1"/>
  <c r="E696" i="1"/>
  <c r="M696" i="1" s="1"/>
  <c r="J695" i="1"/>
  <c r="E695" i="1"/>
  <c r="M695" i="1" s="1"/>
  <c r="J694" i="1"/>
  <c r="E694" i="1"/>
  <c r="M694" i="1" s="1"/>
  <c r="J693" i="1"/>
  <c r="E693" i="1"/>
  <c r="M693" i="1" s="1"/>
  <c r="J692" i="1"/>
  <c r="E692" i="1"/>
  <c r="M692" i="1" s="1"/>
  <c r="J691" i="1"/>
  <c r="E691" i="1"/>
  <c r="M691" i="1" s="1"/>
  <c r="J690" i="1"/>
  <c r="E690" i="1"/>
  <c r="M690" i="1" s="1"/>
  <c r="J689" i="1"/>
  <c r="E689" i="1"/>
  <c r="M689" i="1" s="1"/>
  <c r="J688" i="1"/>
  <c r="E688" i="1"/>
  <c r="M688" i="1" s="1"/>
  <c r="J687" i="1"/>
  <c r="E687" i="1"/>
  <c r="M687" i="1" s="1"/>
  <c r="J686" i="1"/>
  <c r="E686" i="1"/>
  <c r="M686" i="1" s="1"/>
  <c r="J685" i="1"/>
  <c r="E685" i="1"/>
  <c r="M685" i="1" s="1"/>
  <c r="J684" i="1"/>
  <c r="E684" i="1"/>
  <c r="M684" i="1" s="1"/>
  <c r="J683" i="1"/>
  <c r="E683" i="1"/>
  <c r="M683" i="1" s="1"/>
  <c r="J682" i="1"/>
  <c r="E682" i="1"/>
  <c r="M682" i="1" s="1"/>
  <c r="J681" i="1"/>
  <c r="E681" i="1"/>
  <c r="M681" i="1" s="1"/>
  <c r="J680" i="1"/>
  <c r="E680" i="1"/>
  <c r="M680" i="1" s="1"/>
  <c r="J679" i="1"/>
  <c r="E679" i="1"/>
  <c r="M679" i="1" s="1"/>
  <c r="J678" i="1"/>
  <c r="E678" i="1"/>
  <c r="M678" i="1" s="1"/>
  <c r="J677" i="1"/>
  <c r="E677" i="1"/>
  <c r="M677" i="1" s="1"/>
  <c r="J676" i="1"/>
  <c r="E676" i="1"/>
  <c r="M676" i="1" s="1"/>
  <c r="J675" i="1"/>
  <c r="E675" i="1"/>
  <c r="M675" i="1" s="1"/>
  <c r="J674" i="1"/>
  <c r="E674" i="1"/>
  <c r="M674" i="1" s="1"/>
  <c r="J673" i="1"/>
  <c r="E673" i="1"/>
  <c r="M673" i="1" s="1"/>
  <c r="J672" i="1"/>
  <c r="E672" i="1"/>
  <c r="M672" i="1" s="1"/>
  <c r="J671" i="1"/>
  <c r="E671" i="1"/>
  <c r="M671" i="1" s="1"/>
  <c r="J670" i="1"/>
  <c r="E670" i="1"/>
  <c r="M670" i="1" s="1"/>
  <c r="J669" i="1"/>
  <c r="E669" i="1"/>
  <c r="M669" i="1" s="1"/>
  <c r="J668" i="1"/>
  <c r="E668" i="1"/>
  <c r="M668" i="1" s="1"/>
  <c r="J667" i="1"/>
  <c r="E667" i="1"/>
  <c r="M667" i="1" s="1"/>
  <c r="J666" i="1"/>
  <c r="E666" i="1"/>
  <c r="M666" i="1" s="1"/>
  <c r="J665" i="1"/>
  <c r="E665" i="1"/>
  <c r="M665" i="1" s="1"/>
  <c r="J664" i="1"/>
  <c r="E664" i="1"/>
  <c r="M664" i="1" s="1"/>
  <c r="J663" i="1"/>
  <c r="E663" i="1"/>
  <c r="M663" i="1" s="1"/>
  <c r="J662" i="1"/>
  <c r="E662" i="1"/>
  <c r="M662" i="1" s="1"/>
  <c r="J661" i="1"/>
  <c r="E661" i="1"/>
  <c r="M661" i="1" s="1"/>
  <c r="J660" i="1"/>
  <c r="E660" i="1"/>
  <c r="M660" i="1" s="1"/>
  <c r="J659" i="1"/>
  <c r="E659" i="1"/>
  <c r="M659" i="1" s="1"/>
  <c r="J658" i="1"/>
  <c r="E658" i="1"/>
  <c r="M658" i="1" s="1"/>
  <c r="J657" i="1"/>
  <c r="E657" i="1"/>
  <c r="M657" i="1" s="1"/>
  <c r="J656" i="1"/>
  <c r="E656" i="1"/>
  <c r="M656" i="1" s="1"/>
  <c r="J655" i="1"/>
  <c r="E655" i="1"/>
  <c r="M655" i="1" s="1"/>
  <c r="J654" i="1"/>
  <c r="E654" i="1"/>
  <c r="M654" i="1" s="1"/>
  <c r="J653" i="1"/>
  <c r="E653" i="1"/>
  <c r="M653" i="1" s="1"/>
  <c r="J652" i="1"/>
  <c r="E652" i="1"/>
  <c r="M652" i="1" s="1"/>
  <c r="J651" i="1"/>
  <c r="E651" i="1"/>
  <c r="M651" i="1" s="1"/>
  <c r="J650" i="1"/>
  <c r="E650" i="1"/>
  <c r="M650" i="1" s="1"/>
  <c r="J649" i="1"/>
  <c r="E649" i="1"/>
  <c r="M649" i="1" s="1"/>
  <c r="J648" i="1"/>
  <c r="E648" i="1"/>
  <c r="M648" i="1" s="1"/>
  <c r="J647" i="1"/>
  <c r="E647" i="1"/>
  <c r="M647" i="1" s="1"/>
  <c r="J646" i="1"/>
  <c r="E646" i="1"/>
  <c r="M646" i="1" s="1"/>
  <c r="J645" i="1"/>
  <c r="E645" i="1"/>
  <c r="M645" i="1" s="1"/>
  <c r="J644" i="1"/>
  <c r="E644" i="1"/>
  <c r="M644" i="1" s="1"/>
  <c r="J643" i="1"/>
  <c r="E643" i="1"/>
  <c r="M643" i="1" s="1"/>
  <c r="J642" i="1"/>
  <c r="E642" i="1"/>
  <c r="M642" i="1" s="1"/>
  <c r="J641" i="1"/>
  <c r="E641" i="1"/>
  <c r="M641" i="1" s="1"/>
  <c r="J640" i="1"/>
  <c r="E640" i="1"/>
  <c r="M640" i="1" s="1"/>
  <c r="J639" i="1"/>
  <c r="E639" i="1"/>
  <c r="M639" i="1" s="1"/>
  <c r="J638" i="1"/>
  <c r="E638" i="1"/>
  <c r="M638" i="1" s="1"/>
  <c r="J637" i="1"/>
  <c r="E637" i="1"/>
  <c r="M637" i="1" s="1"/>
  <c r="J636" i="1"/>
  <c r="E636" i="1"/>
  <c r="M636" i="1" s="1"/>
  <c r="J635" i="1"/>
  <c r="E635" i="1"/>
  <c r="M635" i="1" s="1"/>
  <c r="J634" i="1"/>
  <c r="E634" i="1"/>
  <c r="M634" i="1" s="1"/>
  <c r="J633" i="1"/>
  <c r="E633" i="1"/>
  <c r="M633" i="1" s="1"/>
  <c r="J632" i="1"/>
  <c r="E632" i="1"/>
  <c r="M632" i="1" s="1"/>
  <c r="J631" i="1"/>
  <c r="E631" i="1"/>
  <c r="M631" i="1" s="1"/>
  <c r="J630" i="1"/>
  <c r="E630" i="1"/>
  <c r="M630" i="1" s="1"/>
  <c r="J629" i="1"/>
  <c r="E629" i="1"/>
  <c r="M629" i="1" s="1"/>
  <c r="J628" i="1"/>
  <c r="E628" i="1"/>
  <c r="M628" i="1" s="1"/>
  <c r="J627" i="1"/>
  <c r="E627" i="1"/>
  <c r="M627" i="1" s="1"/>
  <c r="J626" i="1"/>
  <c r="E626" i="1"/>
  <c r="M626" i="1" s="1"/>
  <c r="J625" i="1"/>
  <c r="E625" i="1"/>
  <c r="M625" i="1" s="1"/>
  <c r="J624" i="1"/>
  <c r="E624" i="1"/>
  <c r="M624" i="1" s="1"/>
  <c r="J623" i="1"/>
  <c r="E623" i="1"/>
  <c r="M623" i="1" s="1"/>
  <c r="J622" i="1"/>
  <c r="E622" i="1"/>
  <c r="M622" i="1" s="1"/>
  <c r="J621" i="1"/>
  <c r="E621" i="1"/>
  <c r="M621" i="1" s="1"/>
  <c r="J620" i="1"/>
  <c r="E620" i="1"/>
  <c r="M620" i="1" s="1"/>
  <c r="J619" i="1"/>
  <c r="E619" i="1"/>
  <c r="M619" i="1" s="1"/>
  <c r="J618" i="1"/>
  <c r="E618" i="1"/>
  <c r="M618" i="1" s="1"/>
  <c r="J617" i="1"/>
  <c r="E617" i="1"/>
  <c r="M617" i="1" s="1"/>
  <c r="J616" i="1"/>
  <c r="E616" i="1"/>
  <c r="M616" i="1" s="1"/>
  <c r="J615" i="1"/>
  <c r="E615" i="1"/>
  <c r="M615" i="1" s="1"/>
  <c r="J614" i="1"/>
  <c r="E614" i="1"/>
  <c r="M614" i="1" s="1"/>
  <c r="J613" i="1"/>
  <c r="E613" i="1"/>
  <c r="M613" i="1" s="1"/>
  <c r="J612" i="1"/>
  <c r="E612" i="1"/>
  <c r="M612" i="1" s="1"/>
  <c r="J611" i="1"/>
  <c r="E611" i="1"/>
  <c r="M611" i="1" s="1"/>
  <c r="J610" i="1"/>
  <c r="E610" i="1"/>
  <c r="M610" i="1" s="1"/>
  <c r="J609" i="1"/>
  <c r="E609" i="1"/>
  <c r="M609" i="1" s="1"/>
  <c r="J608" i="1"/>
  <c r="E608" i="1"/>
  <c r="M608" i="1" s="1"/>
  <c r="J607" i="1"/>
  <c r="E607" i="1"/>
  <c r="M607" i="1" s="1"/>
  <c r="J606" i="1"/>
  <c r="E606" i="1"/>
  <c r="M606" i="1" s="1"/>
  <c r="J605" i="1"/>
  <c r="E605" i="1"/>
  <c r="M605" i="1" s="1"/>
  <c r="J604" i="1"/>
  <c r="E604" i="1"/>
  <c r="M604" i="1" s="1"/>
  <c r="J603" i="1"/>
  <c r="E603" i="1"/>
  <c r="M603" i="1" s="1"/>
  <c r="J602" i="1"/>
  <c r="E602" i="1"/>
  <c r="M602" i="1" s="1"/>
  <c r="J601" i="1"/>
  <c r="E601" i="1"/>
  <c r="M601" i="1" s="1"/>
  <c r="J600" i="1"/>
  <c r="E600" i="1"/>
  <c r="M600" i="1" s="1"/>
  <c r="J599" i="1"/>
  <c r="E599" i="1"/>
  <c r="M599" i="1" s="1"/>
  <c r="J598" i="1"/>
  <c r="E598" i="1"/>
  <c r="M598" i="1" s="1"/>
  <c r="J597" i="1"/>
  <c r="E597" i="1"/>
  <c r="M597" i="1" s="1"/>
  <c r="J596" i="1"/>
  <c r="E596" i="1"/>
  <c r="M596" i="1" s="1"/>
  <c r="J595" i="1"/>
  <c r="E595" i="1"/>
  <c r="M595" i="1" s="1"/>
  <c r="J594" i="1"/>
  <c r="E594" i="1"/>
  <c r="M594" i="1" s="1"/>
  <c r="J593" i="1"/>
  <c r="E593" i="1"/>
  <c r="M593" i="1" s="1"/>
  <c r="J592" i="1"/>
  <c r="E592" i="1"/>
  <c r="M592" i="1" s="1"/>
  <c r="J591" i="1"/>
  <c r="E591" i="1"/>
  <c r="M591" i="1" s="1"/>
  <c r="J590" i="1"/>
  <c r="E590" i="1"/>
  <c r="M590" i="1" s="1"/>
  <c r="J589" i="1"/>
  <c r="E589" i="1"/>
  <c r="M589" i="1" s="1"/>
  <c r="J588" i="1"/>
  <c r="E588" i="1"/>
  <c r="M588" i="1" s="1"/>
  <c r="J587" i="1"/>
  <c r="E587" i="1"/>
  <c r="M587" i="1" s="1"/>
  <c r="J586" i="1"/>
  <c r="E586" i="1"/>
  <c r="M586" i="1" s="1"/>
  <c r="J585" i="1"/>
  <c r="E585" i="1"/>
  <c r="M585" i="1" s="1"/>
  <c r="J584" i="1"/>
  <c r="E584" i="1"/>
  <c r="M584" i="1" s="1"/>
  <c r="J583" i="1"/>
  <c r="E583" i="1"/>
  <c r="M583" i="1" s="1"/>
  <c r="J582" i="1"/>
  <c r="E582" i="1"/>
  <c r="M582" i="1" s="1"/>
  <c r="J581" i="1"/>
  <c r="E581" i="1"/>
  <c r="M581" i="1" s="1"/>
  <c r="J580" i="1"/>
  <c r="E580" i="1"/>
  <c r="M580" i="1" s="1"/>
  <c r="J579" i="1"/>
  <c r="E579" i="1"/>
  <c r="M579" i="1" s="1"/>
  <c r="J578" i="1"/>
  <c r="E578" i="1"/>
  <c r="M578" i="1" s="1"/>
  <c r="J577" i="1"/>
  <c r="E577" i="1"/>
  <c r="M577" i="1" s="1"/>
  <c r="J576" i="1"/>
  <c r="E576" i="1"/>
  <c r="M576" i="1" s="1"/>
  <c r="J575" i="1"/>
  <c r="E575" i="1"/>
  <c r="M575" i="1" s="1"/>
  <c r="J574" i="1"/>
  <c r="E574" i="1"/>
  <c r="M574" i="1" s="1"/>
  <c r="J573" i="1"/>
  <c r="E573" i="1"/>
  <c r="M573" i="1" s="1"/>
  <c r="J572" i="1"/>
  <c r="E572" i="1"/>
  <c r="M572" i="1" s="1"/>
  <c r="J571" i="1"/>
  <c r="E571" i="1"/>
  <c r="M571" i="1" s="1"/>
  <c r="J570" i="1"/>
  <c r="E570" i="1"/>
  <c r="M570" i="1" s="1"/>
  <c r="J569" i="1"/>
  <c r="E569" i="1"/>
  <c r="M569" i="1" s="1"/>
  <c r="J568" i="1"/>
  <c r="E568" i="1"/>
  <c r="M568" i="1" s="1"/>
  <c r="J567" i="1"/>
  <c r="E567" i="1"/>
  <c r="M567" i="1" s="1"/>
  <c r="J566" i="1"/>
  <c r="E566" i="1"/>
  <c r="M566" i="1" s="1"/>
  <c r="J565" i="1"/>
  <c r="E565" i="1"/>
  <c r="M565" i="1" s="1"/>
  <c r="J564" i="1"/>
  <c r="E564" i="1"/>
  <c r="M564" i="1" s="1"/>
  <c r="J563" i="1"/>
  <c r="E563" i="1"/>
  <c r="M563" i="1" s="1"/>
  <c r="J562" i="1"/>
  <c r="E562" i="1"/>
  <c r="M562" i="1" s="1"/>
  <c r="J561" i="1"/>
  <c r="E561" i="1"/>
  <c r="M561" i="1" s="1"/>
  <c r="J560" i="1"/>
  <c r="E560" i="1"/>
  <c r="M560" i="1" s="1"/>
  <c r="J559" i="1"/>
  <c r="E559" i="1"/>
  <c r="M559" i="1" s="1"/>
  <c r="J558" i="1"/>
  <c r="E558" i="1"/>
  <c r="M558" i="1" s="1"/>
  <c r="J557" i="1"/>
  <c r="E557" i="1"/>
  <c r="M557" i="1" s="1"/>
  <c r="J556" i="1"/>
  <c r="E556" i="1"/>
  <c r="M556" i="1" s="1"/>
  <c r="J555" i="1"/>
  <c r="E555" i="1"/>
  <c r="M555" i="1" s="1"/>
  <c r="J554" i="1"/>
  <c r="E554" i="1"/>
  <c r="M554" i="1" s="1"/>
  <c r="J553" i="1"/>
  <c r="E553" i="1"/>
  <c r="M553" i="1" s="1"/>
  <c r="J552" i="1"/>
  <c r="E552" i="1"/>
  <c r="M552" i="1" s="1"/>
  <c r="J551" i="1"/>
  <c r="E551" i="1"/>
  <c r="M551" i="1" s="1"/>
  <c r="J550" i="1"/>
  <c r="E550" i="1"/>
  <c r="M550" i="1" s="1"/>
  <c r="J549" i="1"/>
  <c r="E549" i="1"/>
  <c r="M549" i="1" s="1"/>
  <c r="J548" i="1"/>
  <c r="E548" i="1"/>
  <c r="M548" i="1" s="1"/>
  <c r="J547" i="1"/>
  <c r="E547" i="1"/>
  <c r="M547" i="1" s="1"/>
  <c r="J546" i="1"/>
  <c r="E546" i="1"/>
  <c r="M546" i="1" s="1"/>
  <c r="J545" i="1"/>
  <c r="E545" i="1"/>
  <c r="M545" i="1" s="1"/>
  <c r="J544" i="1"/>
  <c r="E544" i="1"/>
  <c r="M544" i="1" s="1"/>
  <c r="J543" i="1"/>
  <c r="E543" i="1"/>
  <c r="M543" i="1" s="1"/>
  <c r="J542" i="1"/>
  <c r="E542" i="1"/>
  <c r="M542" i="1" s="1"/>
  <c r="J541" i="1"/>
  <c r="E541" i="1"/>
  <c r="M541" i="1" s="1"/>
  <c r="J540" i="1"/>
  <c r="E540" i="1"/>
  <c r="M540" i="1" s="1"/>
  <c r="J539" i="1"/>
  <c r="E539" i="1"/>
  <c r="M539" i="1" s="1"/>
  <c r="J538" i="1"/>
  <c r="E538" i="1"/>
  <c r="M538" i="1" s="1"/>
  <c r="J537" i="1"/>
  <c r="E537" i="1"/>
  <c r="M537" i="1" s="1"/>
  <c r="J536" i="1"/>
  <c r="E536" i="1"/>
  <c r="M536" i="1" s="1"/>
  <c r="J535" i="1"/>
  <c r="E535" i="1"/>
  <c r="M535" i="1" s="1"/>
  <c r="J534" i="1"/>
  <c r="E534" i="1"/>
  <c r="M534" i="1" s="1"/>
  <c r="J533" i="1"/>
  <c r="E533" i="1"/>
  <c r="M533" i="1" s="1"/>
  <c r="J532" i="1"/>
  <c r="E532" i="1"/>
  <c r="M532" i="1" s="1"/>
  <c r="J531" i="1"/>
  <c r="E531" i="1"/>
  <c r="M531" i="1" s="1"/>
  <c r="J530" i="1"/>
  <c r="E530" i="1"/>
  <c r="M530" i="1" s="1"/>
  <c r="J529" i="1"/>
  <c r="E529" i="1"/>
  <c r="M529" i="1" s="1"/>
  <c r="J528" i="1"/>
  <c r="E528" i="1"/>
  <c r="M528" i="1" s="1"/>
  <c r="M527" i="1"/>
  <c r="J527" i="1"/>
  <c r="E527" i="1"/>
  <c r="J526" i="1"/>
  <c r="E526" i="1"/>
  <c r="M526" i="1" s="1"/>
  <c r="J525" i="1"/>
  <c r="E525" i="1"/>
  <c r="M525" i="1" s="1"/>
  <c r="J524" i="1"/>
  <c r="E524" i="1"/>
  <c r="M524" i="1" s="1"/>
  <c r="J523" i="1"/>
  <c r="E523" i="1"/>
  <c r="M523" i="1" s="1"/>
  <c r="J522" i="1"/>
  <c r="E522" i="1"/>
  <c r="M522" i="1" s="1"/>
  <c r="J521" i="1"/>
  <c r="E521" i="1"/>
  <c r="M521" i="1" s="1"/>
  <c r="J520" i="1"/>
  <c r="E520" i="1"/>
  <c r="M520" i="1" s="1"/>
  <c r="J519" i="1"/>
  <c r="E519" i="1"/>
  <c r="M519" i="1" s="1"/>
  <c r="J518" i="1"/>
  <c r="E518" i="1"/>
  <c r="M518" i="1" s="1"/>
  <c r="J517" i="1"/>
  <c r="E517" i="1"/>
  <c r="M517" i="1" s="1"/>
  <c r="J516" i="1"/>
  <c r="E516" i="1"/>
  <c r="M516" i="1" s="1"/>
  <c r="J515" i="1"/>
  <c r="E515" i="1"/>
  <c r="M515" i="1" s="1"/>
  <c r="J514" i="1"/>
  <c r="E514" i="1"/>
  <c r="M514" i="1" s="1"/>
  <c r="J513" i="1"/>
  <c r="E513" i="1"/>
  <c r="M513" i="1" s="1"/>
  <c r="J512" i="1"/>
  <c r="E512" i="1"/>
  <c r="M512" i="1" s="1"/>
  <c r="J511" i="1"/>
  <c r="E511" i="1"/>
  <c r="M511" i="1" s="1"/>
  <c r="J510" i="1"/>
  <c r="E510" i="1"/>
  <c r="M510" i="1" s="1"/>
  <c r="J509" i="1"/>
  <c r="E509" i="1"/>
  <c r="M509" i="1" s="1"/>
  <c r="J508" i="1"/>
  <c r="E508" i="1"/>
  <c r="M508" i="1" s="1"/>
  <c r="J507" i="1"/>
  <c r="E507" i="1"/>
  <c r="M507" i="1" s="1"/>
  <c r="J506" i="1"/>
  <c r="E506" i="1"/>
  <c r="M506" i="1" s="1"/>
  <c r="J505" i="1"/>
  <c r="E505" i="1"/>
  <c r="M505" i="1" s="1"/>
  <c r="J504" i="1"/>
  <c r="E504" i="1"/>
  <c r="M504" i="1" s="1"/>
  <c r="J503" i="1"/>
  <c r="E503" i="1"/>
  <c r="M503" i="1" s="1"/>
  <c r="J502" i="1"/>
  <c r="E502" i="1"/>
  <c r="M502" i="1" s="1"/>
  <c r="J501" i="1"/>
  <c r="E501" i="1"/>
  <c r="M501" i="1" s="1"/>
  <c r="J500" i="1"/>
  <c r="E500" i="1"/>
  <c r="M500" i="1" s="1"/>
  <c r="J499" i="1"/>
  <c r="E499" i="1"/>
  <c r="M499" i="1" s="1"/>
  <c r="J498" i="1"/>
  <c r="E498" i="1"/>
  <c r="M498" i="1" s="1"/>
  <c r="J497" i="1"/>
  <c r="E497" i="1"/>
  <c r="M497" i="1" s="1"/>
  <c r="J496" i="1"/>
  <c r="E496" i="1"/>
  <c r="M496" i="1" s="1"/>
  <c r="J495" i="1"/>
  <c r="E495" i="1"/>
  <c r="M495" i="1" s="1"/>
  <c r="J494" i="1"/>
  <c r="E494" i="1"/>
  <c r="M494" i="1" s="1"/>
  <c r="J493" i="1"/>
  <c r="E493" i="1"/>
  <c r="M493" i="1" s="1"/>
  <c r="J492" i="1"/>
  <c r="E492" i="1"/>
  <c r="M492" i="1" s="1"/>
  <c r="J491" i="1"/>
  <c r="E491" i="1"/>
  <c r="M491" i="1" s="1"/>
  <c r="J490" i="1"/>
  <c r="E490" i="1"/>
  <c r="M490" i="1" s="1"/>
  <c r="J489" i="1"/>
  <c r="E489" i="1"/>
  <c r="M489" i="1" s="1"/>
  <c r="J488" i="1"/>
  <c r="E488" i="1"/>
  <c r="M488" i="1" s="1"/>
  <c r="J487" i="1"/>
  <c r="E487" i="1"/>
  <c r="M487" i="1" s="1"/>
  <c r="J486" i="1"/>
  <c r="E486" i="1"/>
  <c r="M486" i="1" s="1"/>
  <c r="J485" i="1"/>
  <c r="E485" i="1"/>
  <c r="M485" i="1" s="1"/>
  <c r="J484" i="1"/>
  <c r="E484" i="1"/>
  <c r="M484" i="1" s="1"/>
  <c r="J483" i="1"/>
  <c r="E483" i="1"/>
  <c r="M483" i="1" s="1"/>
  <c r="J482" i="1"/>
  <c r="E482" i="1"/>
  <c r="M482" i="1" s="1"/>
  <c r="J481" i="1"/>
  <c r="E481" i="1"/>
  <c r="M481" i="1" s="1"/>
  <c r="J480" i="1"/>
  <c r="E480" i="1"/>
  <c r="M480" i="1" s="1"/>
  <c r="J479" i="1"/>
  <c r="E479" i="1"/>
  <c r="M479" i="1" s="1"/>
  <c r="J478" i="1"/>
  <c r="E478" i="1"/>
  <c r="M478" i="1" s="1"/>
  <c r="J477" i="1"/>
  <c r="E477" i="1"/>
  <c r="M477" i="1" s="1"/>
  <c r="J476" i="1"/>
  <c r="E476" i="1"/>
  <c r="M476" i="1" s="1"/>
  <c r="J475" i="1"/>
  <c r="E475" i="1"/>
  <c r="M475" i="1" s="1"/>
  <c r="J474" i="1"/>
  <c r="E474" i="1"/>
  <c r="M474" i="1" s="1"/>
  <c r="J473" i="1"/>
  <c r="E473" i="1"/>
  <c r="M473" i="1" s="1"/>
  <c r="J472" i="1"/>
  <c r="E472" i="1"/>
  <c r="M472" i="1" s="1"/>
  <c r="J471" i="1"/>
  <c r="E471" i="1"/>
  <c r="M471" i="1" s="1"/>
  <c r="J470" i="1"/>
  <c r="E470" i="1"/>
  <c r="M470" i="1" s="1"/>
  <c r="J469" i="1"/>
  <c r="E469" i="1"/>
  <c r="M469" i="1" s="1"/>
  <c r="J468" i="1"/>
  <c r="E468" i="1"/>
  <c r="M468" i="1" s="1"/>
  <c r="J467" i="1"/>
  <c r="E467" i="1"/>
  <c r="M467" i="1" s="1"/>
  <c r="J466" i="1"/>
  <c r="E466" i="1"/>
  <c r="M466" i="1" s="1"/>
  <c r="J465" i="1"/>
  <c r="E465" i="1"/>
  <c r="M465" i="1" s="1"/>
  <c r="J464" i="1"/>
  <c r="E464" i="1"/>
  <c r="M464" i="1" s="1"/>
  <c r="J463" i="1"/>
  <c r="E463" i="1"/>
  <c r="M463" i="1" s="1"/>
  <c r="J462" i="1"/>
  <c r="E462" i="1"/>
  <c r="M462" i="1" s="1"/>
  <c r="J461" i="1"/>
  <c r="E461" i="1"/>
  <c r="M461" i="1" s="1"/>
  <c r="J460" i="1"/>
  <c r="E460" i="1"/>
  <c r="M460" i="1" s="1"/>
  <c r="J459" i="1"/>
  <c r="E459" i="1"/>
  <c r="M459" i="1" s="1"/>
  <c r="J458" i="1"/>
  <c r="E458" i="1"/>
  <c r="M458" i="1" s="1"/>
  <c r="J457" i="1"/>
  <c r="E457" i="1"/>
  <c r="M457" i="1" s="1"/>
  <c r="J456" i="1"/>
  <c r="E456" i="1"/>
  <c r="M456" i="1" s="1"/>
  <c r="J455" i="1"/>
  <c r="E455" i="1"/>
  <c r="M455" i="1" s="1"/>
  <c r="J454" i="1"/>
  <c r="E454" i="1"/>
  <c r="M454" i="1" s="1"/>
  <c r="J453" i="1"/>
  <c r="E453" i="1"/>
  <c r="M453" i="1" s="1"/>
  <c r="J452" i="1"/>
  <c r="E452" i="1"/>
  <c r="M452" i="1" s="1"/>
  <c r="J451" i="1"/>
  <c r="E451" i="1"/>
  <c r="M451" i="1" s="1"/>
  <c r="J450" i="1"/>
  <c r="E450" i="1"/>
  <c r="M450" i="1" s="1"/>
  <c r="J449" i="1"/>
  <c r="E449" i="1"/>
  <c r="M449" i="1" s="1"/>
  <c r="J448" i="1"/>
  <c r="E448" i="1"/>
  <c r="M448" i="1" s="1"/>
  <c r="J447" i="1"/>
  <c r="E447" i="1"/>
  <c r="M447" i="1" s="1"/>
  <c r="J446" i="1"/>
  <c r="E446" i="1"/>
  <c r="M446" i="1" s="1"/>
  <c r="J445" i="1"/>
  <c r="E445" i="1"/>
  <c r="M445" i="1" s="1"/>
  <c r="J444" i="1"/>
  <c r="E444" i="1"/>
  <c r="M444" i="1" s="1"/>
  <c r="J443" i="1"/>
  <c r="E443" i="1"/>
  <c r="M443" i="1" s="1"/>
  <c r="J442" i="1"/>
  <c r="E442" i="1"/>
  <c r="M442" i="1" s="1"/>
  <c r="J441" i="1"/>
  <c r="E441" i="1"/>
  <c r="M441" i="1" s="1"/>
  <c r="J440" i="1"/>
  <c r="E440" i="1"/>
  <c r="M440" i="1" s="1"/>
  <c r="J439" i="1"/>
  <c r="E439" i="1"/>
  <c r="M439" i="1" s="1"/>
  <c r="J438" i="1"/>
  <c r="E438" i="1"/>
  <c r="M438" i="1" s="1"/>
  <c r="J437" i="1"/>
  <c r="E437" i="1"/>
  <c r="M437" i="1" s="1"/>
  <c r="J436" i="1"/>
  <c r="E436" i="1"/>
  <c r="M436" i="1" s="1"/>
  <c r="J435" i="1"/>
  <c r="E435" i="1"/>
  <c r="M435" i="1" s="1"/>
  <c r="J434" i="1"/>
  <c r="E434" i="1"/>
  <c r="M434" i="1" s="1"/>
  <c r="J433" i="1"/>
  <c r="E433" i="1"/>
  <c r="M433" i="1" s="1"/>
  <c r="J432" i="1"/>
  <c r="E432" i="1"/>
  <c r="M432" i="1" s="1"/>
  <c r="J431" i="1"/>
  <c r="E431" i="1"/>
  <c r="M431" i="1" s="1"/>
  <c r="J430" i="1"/>
  <c r="E430" i="1"/>
  <c r="M430" i="1" s="1"/>
  <c r="J429" i="1"/>
  <c r="E429" i="1"/>
  <c r="M429" i="1" s="1"/>
  <c r="J428" i="1"/>
  <c r="E428" i="1"/>
  <c r="M428" i="1" s="1"/>
  <c r="J427" i="1"/>
  <c r="E427" i="1"/>
  <c r="M427" i="1" s="1"/>
  <c r="J426" i="1"/>
  <c r="E426" i="1"/>
  <c r="M426" i="1" s="1"/>
  <c r="J425" i="1"/>
  <c r="E425" i="1"/>
  <c r="M425" i="1" s="1"/>
  <c r="J424" i="1"/>
  <c r="E424" i="1"/>
  <c r="M424" i="1" s="1"/>
  <c r="J423" i="1"/>
  <c r="E423" i="1"/>
  <c r="M423" i="1" s="1"/>
  <c r="J422" i="1"/>
  <c r="E422" i="1"/>
  <c r="M422" i="1" s="1"/>
  <c r="J421" i="1"/>
  <c r="E421" i="1"/>
  <c r="M421" i="1" s="1"/>
  <c r="J420" i="1"/>
  <c r="E420" i="1"/>
  <c r="M420" i="1" s="1"/>
  <c r="J419" i="1"/>
  <c r="E419" i="1"/>
  <c r="M419" i="1" s="1"/>
  <c r="J418" i="1"/>
  <c r="E418" i="1"/>
  <c r="M418" i="1" s="1"/>
  <c r="J417" i="1"/>
  <c r="E417" i="1"/>
  <c r="M417" i="1" s="1"/>
  <c r="J416" i="1"/>
  <c r="E416" i="1"/>
  <c r="M416" i="1" s="1"/>
  <c r="J415" i="1"/>
  <c r="E415" i="1"/>
  <c r="M415" i="1" s="1"/>
  <c r="J414" i="1"/>
  <c r="E414" i="1"/>
  <c r="M414" i="1" s="1"/>
  <c r="J413" i="1"/>
  <c r="E413" i="1"/>
  <c r="M413" i="1" s="1"/>
  <c r="J412" i="1"/>
  <c r="E412" i="1"/>
  <c r="M412" i="1" s="1"/>
  <c r="J411" i="1"/>
  <c r="E411" i="1"/>
  <c r="M411" i="1" s="1"/>
  <c r="J410" i="1"/>
  <c r="E410" i="1"/>
  <c r="M410" i="1" s="1"/>
  <c r="J409" i="1"/>
  <c r="E409" i="1"/>
  <c r="M409" i="1" s="1"/>
  <c r="J408" i="1"/>
  <c r="E408" i="1"/>
  <c r="M408" i="1" s="1"/>
  <c r="J407" i="1"/>
  <c r="E407" i="1"/>
  <c r="M407" i="1" s="1"/>
  <c r="J406" i="1"/>
  <c r="E406" i="1"/>
  <c r="M406" i="1" s="1"/>
  <c r="J405" i="1"/>
  <c r="E405" i="1"/>
  <c r="M405" i="1" s="1"/>
  <c r="J404" i="1"/>
  <c r="E404" i="1"/>
  <c r="M404" i="1" s="1"/>
  <c r="J403" i="1"/>
  <c r="E403" i="1"/>
  <c r="M403" i="1" s="1"/>
  <c r="J402" i="1"/>
  <c r="E402" i="1"/>
  <c r="M402" i="1" s="1"/>
  <c r="J401" i="1"/>
  <c r="E401" i="1"/>
  <c r="M401" i="1" s="1"/>
  <c r="J400" i="1"/>
  <c r="E400" i="1"/>
  <c r="M400" i="1" s="1"/>
  <c r="J399" i="1"/>
  <c r="E399" i="1"/>
  <c r="M399" i="1" s="1"/>
  <c r="J398" i="1"/>
  <c r="E398" i="1"/>
  <c r="M398" i="1" s="1"/>
  <c r="J397" i="1"/>
  <c r="E397" i="1"/>
  <c r="M397" i="1" s="1"/>
  <c r="J396" i="1"/>
  <c r="E396" i="1"/>
  <c r="M396" i="1" s="1"/>
  <c r="J395" i="1"/>
  <c r="E395" i="1"/>
  <c r="M395" i="1" s="1"/>
  <c r="J394" i="1"/>
  <c r="E394" i="1"/>
  <c r="M394" i="1" s="1"/>
  <c r="J393" i="1"/>
  <c r="E393" i="1"/>
  <c r="M393" i="1" s="1"/>
  <c r="J392" i="1"/>
  <c r="E392" i="1"/>
  <c r="M392" i="1" s="1"/>
  <c r="J391" i="1"/>
  <c r="E391" i="1"/>
  <c r="M391" i="1" s="1"/>
  <c r="J390" i="1"/>
  <c r="E390" i="1"/>
  <c r="M390" i="1" s="1"/>
  <c r="J389" i="1"/>
  <c r="E389" i="1"/>
  <c r="M389" i="1" s="1"/>
  <c r="J388" i="1"/>
  <c r="E388" i="1"/>
  <c r="M388" i="1" s="1"/>
  <c r="J387" i="1"/>
  <c r="E387" i="1"/>
  <c r="M387" i="1" s="1"/>
  <c r="J386" i="1"/>
  <c r="E386" i="1"/>
  <c r="M386" i="1" s="1"/>
  <c r="J385" i="1"/>
  <c r="E385" i="1"/>
  <c r="M385" i="1" s="1"/>
  <c r="J384" i="1"/>
  <c r="E384" i="1"/>
  <c r="M384" i="1" s="1"/>
  <c r="J383" i="1"/>
  <c r="E383" i="1"/>
  <c r="M383" i="1" s="1"/>
  <c r="J382" i="1"/>
  <c r="E382" i="1"/>
  <c r="M382" i="1" s="1"/>
  <c r="J381" i="1"/>
  <c r="E381" i="1"/>
  <c r="M381" i="1" s="1"/>
  <c r="J380" i="1"/>
  <c r="E380" i="1"/>
  <c r="M380" i="1" s="1"/>
  <c r="J379" i="1"/>
  <c r="E379" i="1"/>
  <c r="M379" i="1" s="1"/>
  <c r="J378" i="1"/>
  <c r="E378" i="1"/>
  <c r="M378" i="1" s="1"/>
  <c r="J377" i="1"/>
  <c r="E377" i="1"/>
  <c r="M377" i="1" s="1"/>
  <c r="J376" i="1"/>
  <c r="E376" i="1"/>
  <c r="M376" i="1" s="1"/>
  <c r="J375" i="1"/>
  <c r="E375" i="1"/>
  <c r="M375" i="1" s="1"/>
  <c r="J374" i="1"/>
  <c r="E374" i="1"/>
  <c r="M374" i="1" s="1"/>
  <c r="J373" i="1"/>
  <c r="E373" i="1"/>
  <c r="M373" i="1" s="1"/>
  <c r="J372" i="1"/>
  <c r="E372" i="1"/>
  <c r="M372" i="1" s="1"/>
  <c r="J371" i="1"/>
  <c r="E371" i="1"/>
  <c r="M371" i="1" s="1"/>
  <c r="J370" i="1"/>
  <c r="E370" i="1"/>
  <c r="M370" i="1" s="1"/>
  <c r="J369" i="1"/>
  <c r="E369" i="1"/>
  <c r="M369" i="1" s="1"/>
  <c r="J368" i="1"/>
  <c r="E368" i="1"/>
  <c r="M368" i="1" s="1"/>
  <c r="J367" i="1"/>
  <c r="E367" i="1"/>
  <c r="M367" i="1" s="1"/>
  <c r="J366" i="1"/>
  <c r="E366" i="1"/>
  <c r="M366" i="1" s="1"/>
  <c r="J365" i="1"/>
  <c r="E365" i="1"/>
  <c r="M365" i="1" s="1"/>
  <c r="J364" i="1"/>
  <c r="E364" i="1"/>
  <c r="M364" i="1" s="1"/>
  <c r="J363" i="1"/>
  <c r="E363" i="1"/>
  <c r="M363" i="1" s="1"/>
  <c r="J362" i="1"/>
  <c r="E362" i="1"/>
  <c r="M362" i="1" s="1"/>
  <c r="J361" i="1"/>
  <c r="E361" i="1"/>
  <c r="M361" i="1" s="1"/>
  <c r="J360" i="1"/>
  <c r="E360" i="1"/>
  <c r="M360" i="1" s="1"/>
  <c r="J359" i="1"/>
  <c r="E359" i="1"/>
  <c r="M359" i="1" s="1"/>
  <c r="J358" i="1"/>
  <c r="E358" i="1"/>
  <c r="M358" i="1" s="1"/>
  <c r="J357" i="1"/>
  <c r="E357" i="1"/>
  <c r="M357" i="1" s="1"/>
  <c r="J356" i="1"/>
  <c r="E356" i="1"/>
  <c r="M356" i="1" s="1"/>
  <c r="J355" i="1"/>
  <c r="E355" i="1"/>
  <c r="M355" i="1" s="1"/>
  <c r="J354" i="1"/>
  <c r="E354" i="1"/>
  <c r="M354" i="1" s="1"/>
  <c r="J353" i="1"/>
  <c r="E353" i="1"/>
  <c r="M353" i="1" s="1"/>
  <c r="J352" i="1"/>
  <c r="E352" i="1"/>
  <c r="M352" i="1" s="1"/>
  <c r="J351" i="1"/>
  <c r="E351" i="1"/>
  <c r="M351" i="1" s="1"/>
  <c r="J350" i="1"/>
  <c r="E350" i="1"/>
  <c r="M350" i="1" s="1"/>
  <c r="J349" i="1"/>
  <c r="E349" i="1"/>
  <c r="M349" i="1" s="1"/>
  <c r="J348" i="1"/>
  <c r="E348" i="1"/>
  <c r="M348" i="1" s="1"/>
  <c r="J347" i="1"/>
  <c r="E347" i="1"/>
  <c r="M347" i="1" s="1"/>
  <c r="J346" i="1"/>
  <c r="E346" i="1"/>
  <c r="M346" i="1" s="1"/>
  <c r="J345" i="1"/>
  <c r="E345" i="1"/>
  <c r="M345" i="1" s="1"/>
  <c r="J344" i="1"/>
  <c r="E344" i="1"/>
  <c r="M344" i="1" s="1"/>
  <c r="J343" i="1"/>
  <c r="E343" i="1"/>
  <c r="M343" i="1" s="1"/>
  <c r="J342" i="1"/>
  <c r="E342" i="1"/>
  <c r="M342" i="1" s="1"/>
  <c r="J341" i="1"/>
  <c r="E341" i="1"/>
  <c r="M341" i="1" s="1"/>
  <c r="J340" i="1"/>
  <c r="E340" i="1"/>
  <c r="M340" i="1" s="1"/>
  <c r="J339" i="1"/>
  <c r="E339" i="1"/>
  <c r="M339" i="1" s="1"/>
  <c r="J338" i="1"/>
  <c r="E338" i="1"/>
  <c r="M338" i="1" s="1"/>
  <c r="J337" i="1"/>
  <c r="E337" i="1"/>
  <c r="M337" i="1" s="1"/>
  <c r="J336" i="1"/>
  <c r="E336" i="1"/>
  <c r="M336" i="1" s="1"/>
  <c r="J335" i="1"/>
  <c r="E335" i="1"/>
  <c r="M335" i="1" s="1"/>
  <c r="J334" i="1"/>
  <c r="E334" i="1"/>
  <c r="M334" i="1" s="1"/>
  <c r="J333" i="1"/>
  <c r="E333" i="1"/>
  <c r="M333" i="1" s="1"/>
  <c r="J332" i="1"/>
  <c r="E332" i="1"/>
  <c r="M332" i="1" s="1"/>
  <c r="J331" i="1"/>
  <c r="E331" i="1"/>
  <c r="M331" i="1" s="1"/>
  <c r="J330" i="1"/>
  <c r="E330" i="1"/>
  <c r="M330" i="1" s="1"/>
  <c r="J329" i="1"/>
  <c r="E329" i="1"/>
  <c r="M329" i="1" s="1"/>
  <c r="J328" i="1"/>
  <c r="E328" i="1"/>
  <c r="M328" i="1" s="1"/>
  <c r="J327" i="1"/>
  <c r="E327" i="1"/>
  <c r="M327" i="1" s="1"/>
  <c r="J326" i="1"/>
  <c r="E326" i="1"/>
  <c r="M326" i="1" s="1"/>
  <c r="J325" i="1"/>
  <c r="E325" i="1"/>
  <c r="M325" i="1" s="1"/>
  <c r="J324" i="1"/>
  <c r="E324" i="1"/>
  <c r="M324" i="1" s="1"/>
  <c r="J323" i="1"/>
  <c r="E323" i="1"/>
  <c r="M323" i="1" s="1"/>
  <c r="J322" i="1"/>
  <c r="E322" i="1"/>
  <c r="M322" i="1" s="1"/>
  <c r="J321" i="1"/>
  <c r="E321" i="1"/>
  <c r="M321" i="1" s="1"/>
  <c r="J320" i="1"/>
  <c r="E320" i="1"/>
  <c r="M320" i="1" s="1"/>
  <c r="J319" i="1"/>
  <c r="E319" i="1"/>
  <c r="M319" i="1" s="1"/>
  <c r="J318" i="1"/>
  <c r="E318" i="1"/>
  <c r="M318" i="1" s="1"/>
  <c r="J317" i="1"/>
  <c r="E317" i="1"/>
  <c r="M317" i="1" s="1"/>
  <c r="J316" i="1"/>
  <c r="E316" i="1"/>
  <c r="M316" i="1" s="1"/>
  <c r="J315" i="1"/>
  <c r="E315" i="1"/>
  <c r="M315" i="1" s="1"/>
  <c r="J314" i="1"/>
  <c r="E314" i="1"/>
  <c r="M314" i="1" s="1"/>
  <c r="J313" i="1"/>
  <c r="E313" i="1"/>
  <c r="M313" i="1" s="1"/>
  <c r="J312" i="1"/>
  <c r="E312" i="1"/>
  <c r="M312" i="1" s="1"/>
  <c r="J311" i="1"/>
  <c r="E311" i="1"/>
  <c r="M311" i="1" s="1"/>
  <c r="J310" i="1"/>
  <c r="E310" i="1"/>
  <c r="M310" i="1" s="1"/>
  <c r="J309" i="1"/>
  <c r="E309" i="1"/>
  <c r="M309" i="1" s="1"/>
  <c r="J308" i="1"/>
  <c r="E308" i="1"/>
  <c r="M308" i="1" s="1"/>
  <c r="J307" i="1"/>
  <c r="E307" i="1"/>
  <c r="M307" i="1" s="1"/>
  <c r="J306" i="1"/>
  <c r="E306" i="1"/>
  <c r="M306" i="1" s="1"/>
  <c r="J305" i="1"/>
  <c r="E305" i="1"/>
  <c r="M305" i="1" s="1"/>
  <c r="J304" i="1"/>
  <c r="E304" i="1"/>
  <c r="M304" i="1" s="1"/>
  <c r="J303" i="1"/>
  <c r="E303" i="1"/>
  <c r="M303" i="1" s="1"/>
  <c r="J302" i="1"/>
  <c r="E302" i="1"/>
  <c r="M302" i="1" s="1"/>
  <c r="J301" i="1"/>
  <c r="E301" i="1"/>
  <c r="M301" i="1" s="1"/>
  <c r="J300" i="1"/>
  <c r="E300" i="1"/>
  <c r="M300" i="1" s="1"/>
  <c r="J299" i="1"/>
  <c r="E299" i="1"/>
  <c r="M299" i="1" s="1"/>
  <c r="J298" i="1"/>
  <c r="E298" i="1"/>
  <c r="M298" i="1" s="1"/>
  <c r="J297" i="1"/>
  <c r="E297" i="1"/>
  <c r="M297" i="1" s="1"/>
  <c r="J296" i="1"/>
  <c r="E296" i="1"/>
  <c r="M296" i="1" s="1"/>
  <c r="J295" i="1"/>
  <c r="E295" i="1"/>
  <c r="M295" i="1" s="1"/>
  <c r="J294" i="1"/>
  <c r="E294" i="1"/>
  <c r="M294" i="1" s="1"/>
  <c r="J293" i="1"/>
  <c r="E293" i="1"/>
  <c r="M293" i="1" s="1"/>
  <c r="J292" i="1"/>
  <c r="E292" i="1"/>
  <c r="M292" i="1" s="1"/>
  <c r="J291" i="1"/>
  <c r="E291" i="1"/>
  <c r="M291" i="1" s="1"/>
  <c r="J290" i="1"/>
  <c r="E290" i="1"/>
  <c r="M290" i="1" s="1"/>
  <c r="J289" i="1"/>
  <c r="E289" i="1"/>
  <c r="M289" i="1" s="1"/>
  <c r="J288" i="1"/>
  <c r="E288" i="1"/>
  <c r="M288" i="1" s="1"/>
  <c r="J287" i="1"/>
  <c r="E287" i="1"/>
  <c r="M287" i="1" s="1"/>
  <c r="J286" i="1"/>
  <c r="E286" i="1"/>
  <c r="M286" i="1" s="1"/>
  <c r="J285" i="1"/>
  <c r="E285" i="1"/>
  <c r="M285" i="1" s="1"/>
  <c r="J284" i="1"/>
  <c r="E284" i="1"/>
  <c r="M284" i="1" s="1"/>
  <c r="J283" i="1"/>
  <c r="E283" i="1"/>
  <c r="M283" i="1" s="1"/>
  <c r="J282" i="1"/>
  <c r="E282" i="1"/>
  <c r="M282" i="1" s="1"/>
  <c r="J281" i="1"/>
  <c r="E281" i="1"/>
  <c r="M281" i="1" s="1"/>
  <c r="J280" i="1"/>
  <c r="E280" i="1"/>
  <c r="M280" i="1" s="1"/>
  <c r="J279" i="1"/>
  <c r="E279" i="1"/>
  <c r="M279" i="1" s="1"/>
  <c r="J278" i="1"/>
  <c r="E278" i="1"/>
  <c r="M278" i="1" s="1"/>
  <c r="J277" i="1"/>
  <c r="E277" i="1"/>
  <c r="M277" i="1" s="1"/>
  <c r="J276" i="1"/>
  <c r="E276" i="1"/>
  <c r="M276" i="1" s="1"/>
  <c r="J275" i="1"/>
  <c r="E275" i="1"/>
  <c r="M275" i="1" s="1"/>
  <c r="J274" i="1"/>
  <c r="E274" i="1"/>
  <c r="M274" i="1" s="1"/>
  <c r="J273" i="1"/>
  <c r="E273" i="1"/>
  <c r="M273" i="1" s="1"/>
  <c r="J272" i="1"/>
  <c r="E272" i="1"/>
  <c r="M272" i="1" s="1"/>
  <c r="J271" i="1"/>
  <c r="E271" i="1"/>
  <c r="M271" i="1" s="1"/>
  <c r="J270" i="1"/>
  <c r="E270" i="1"/>
  <c r="M270" i="1" s="1"/>
  <c r="J269" i="1"/>
  <c r="E269" i="1"/>
  <c r="M269" i="1" s="1"/>
  <c r="J268" i="1"/>
  <c r="E268" i="1"/>
  <c r="M268" i="1" s="1"/>
  <c r="J267" i="1"/>
  <c r="E267" i="1"/>
  <c r="M267" i="1" s="1"/>
  <c r="J266" i="1"/>
  <c r="E266" i="1"/>
  <c r="M266" i="1" s="1"/>
  <c r="J265" i="1"/>
  <c r="E265" i="1"/>
  <c r="M265" i="1" s="1"/>
  <c r="J264" i="1"/>
  <c r="E264" i="1"/>
  <c r="M264" i="1" s="1"/>
  <c r="J263" i="1"/>
  <c r="E263" i="1"/>
  <c r="M263" i="1" s="1"/>
  <c r="J262" i="1"/>
  <c r="E262" i="1"/>
  <c r="M262" i="1" s="1"/>
  <c r="J261" i="1"/>
  <c r="E261" i="1"/>
  <c r="M261" i="1" s="1"/>
  <c r="J260" i="1"/>
  <c r="E260" i="1"/>
  <c r="M260" i="1" s="1"/>
  <c r="J259" i="1"/>
  <c r="E259" i="1"/>
  <c r="M259" i="1" s="1"/>
  <c r="J258" i="1"/>
  <c r="E258" i="1"/>
  <c r="M258" i="1" s="1"/>
  <c r="J257" i="1"/>
  <c r="E257" i="1"/>
  <c r="M257" i="1" s="1"/>
  <c r="J256" i="1"/>
  <c r="E256" i="1"/>
  <c r="M256" i="1" s="1"/>
  <c r="J255" i="1"/>
  <c r="E255" i="1"/>
  <c r="M255" i="1" s="1"/>
  <c r="J254" i="1"/>
  <c r="E254" i="1"/>
  <c r="M254" i="1" s="1"/>
  <c r="J253" i="1"/>
  <c r="E253" i="1"/>
  <c r="M253" i="1" s="1"/>
  <c r="J252" i="1"/>
  <c r="E252" i="1"/>
  <c r="M252" i="1" s="1"/>
  <c r="J251" i="1"/>
  <c r="E251" i="1"/>
  <c r="M251" i="1" s="1"/>
  <c r="J250" i="1"/>
  <c r="E250" i="1"/>
  <c r="M250" i="1" s="1"/>
  <c r="J249" i="1"/>
  <c r="E249" i="1"/>
  <c r="M249" i="1" s="1"/>
  <c r="J248" i="1"/>
  <c r="E248" i="1"/>
  <c r="M248" i="1" s="1"/>
  <c r="J247" i="1"/>
  <c r="E247" i="1"/>
  <c r="M247" i="1" s="1"/>
  <c r="J246" i="1"/>
  <c r="E246" i="1"/>
  <c r="M246" i="1" s="1"/>
  <c r="J245" i="1"/>
  <c r="E245" i="1"/>
  <c r="M245" i="1" s="1"/>
  <c r="J244" i="1"/>
  <c r="E244" i="1"/>
  <c r="M244" i="1" s="1"/>
  <c r="J243" i="1"/>
  <c r="E243" i="1"/>
  <c r="M243" i="1" s="1"/>
  <c r="J242" i="1"/>
  <c r="E242" i="1"/>
  <c r="M242" i="1" s="1"/>
  <c r="J241" i="1"/>
  <c r="E241" i="1"/>
  <c r="M241" i="1" s="1"/>
  <c r="J240" i="1"/>
  <c r="E240" i="1"/>
  <c r="M240" i="1" s="1"/>
  <c r="J239" i="1"/>
  <c r="E239" i="1"/>
  <c r="M239" i="1" s="1"/>
  <c r="J238" i="1"/>
  <c r="E238" i="1"/>
  <c r="M238" i="1" s="1"/>
  <c r="J237" i="1"/>
  <c r="E237" i="1"/>
  <c r="M237" i="1" s="1"/>
  <c r="J236" i="1"/>
  <c r="E236" i="1"/>
  <c r="M236" i="1" s="1"/>
  <c r="J235" i="1"/>
  <c r="E235" i="1"/>
  <c r="M235" i="1" s="1"/>
  <c r="J234" i="1"/>
  <c r="E234" i="1"/>
  <c r="M234" i="1" s="1"/>
  <c r="J233" i="1"/>
  <c r="E233" i="1"/>
  <c r="M233" i="1" s="1"/>
  <c r="J232" i="1"/>
  <c r="E232" i="1"/>
  <c r="M232" i="1" s="1"/>
  <c r="J231" i="1"/>
  <c r="E231" i="1"/>
  <c r="M231" i="1" s="1"/>
  <c r="J230" i="1"/>
  <c r="E230" i="1"/>
  <c r="M230" i="1" s="1"/>
  <c r="J229" i="1"/>
  <c r="E229" i="1"/>
  <c r="M229" i="1" s="1"/>
  <c r="J228" i="1"/>
  <c r="E228" i="1"/>
  <c r="M228" i="1" s="1"/>
  <c r="J227" i="1"/>
  <c r="E227" i="1"/>
  <c r="M227" i="1" s="1"/>
  <c r="J226" i="1"/>
  <c r="E226" i="1"/>
  <c r="M226" i="1" s="1"/>
  <c r="J225" i="1"/>
  <c r="E225" i="1"/>
  <c r="M225" i="1" s="1"/>
  <c r="J224" i="1"/>
  <c r="E224" i="1"/>
  <c r="M224" i="1" s="1"/>
  <c r="J223" i="1"/>
  <c r="E223" i="1"/>
  <c r="M223" i="1" s="1"/>
  <c r="J222" i="1"/>
  <c r="E222" i="1"/>
  <c r="M222" i="1" s="1"/>
  <c r="J221" i="1"/>
  <c r="E221" i="1"/>
  <c r="M221" i="1" s="1"/>
  <c r="J220" i="1"/>
  <c r="E220" i="1"/>
  <c r="M220" i="1" s="1"/>
  <c r="J219" i="1"/>
  <c r="E219" i="1"/>
  <c r="M219" i="1" s="1"/>
  <c r="J218" i="1"/>
  <c r="E218" i="1"/>
  <c r="M218" i="1" s="1"/>
  <c r="J217" i="1"/>
  <c r="E217" i="1"/>
  <c r="M217" i="1" s="1"/>
  <c r="J216" i="1"/>
  <c r="E216" i="1"/>
  <c r="M216" i="1" s="1"/>
  <c r="J215" i="1"/>
  <c r="E215" i="1"/>
  <c r="M215" i="1" s="1"/>
  <c r="J214" i="1"/>
  <c r="E214" i="1"/>
  <c r="M214" i="1" s="1"/>
  <c r="J213" i="1"/>
  <c r="E213" i="1"/>
  <c r="M213" i="1" s="1"/>
  <c r="J212" i="1"/>
  <c r="E212" i="1"/>
  <c r="M212" i="1" s="1"/>
  <c r="J211" i="1"/>
  <c r="E211" i="1"/>
  <c r="M211" i="1" s="1"/>
  <c r="J210" i="1"/>
  <c r="E210" i="1"/>
  <c r="M210" i="1" s="1"/>
  <c r="J209" i="1"/>
  <c r="E209" i="1"/>
  <c r="M209" i="1" s="1"/>
  <c r="J208" i="1"/>
  <c r="E208" i="1"/>
  <c r="M208" i="1" s="1"/>
  <c r="J207" i="1"/>
  <c r="E207" i="1"/>
  <c r="M207" i="1" s="1"/>
  <c r="J206" i="1"/>
  <c r="E206" i="1"/>
  <c r="M206" i="1" s="1"/>
  <c r="J205" i="1"/>
  <c r="E205" i="1"/>
  <c r="M205" i="1" s="1"/>
  <c r="J204" i="1"/>
  <c r="E204" i="1"/>
  <c r="M204" i="1" s="1"/>
  <c r="J203" i="1"/>
  <c r="E203" i="1"/>
  <c r="M203" i="1" s="1"/>
  <c r="J202" i="1"/>
  <c r="E202" i="1"/>
  <c r="M202" i="1" s="1"/>
  <c r="J201" i="1"/>
  <c r="E201" i="1"/>
  <c r="M201" i="1" s="1"/>
  <c r="J200" i="1"/>
  <c r="E200" i="1"/>
  <c r="M200" i="1" s="1"/>
  <c r="J199" i="1"/>
  <c r="E199" i="1"/>
  <c r="M199" i="1" s="1"/>
  <c r="J198" i="1"/>
  <c r="E198" i="1"/>
  <c r="M198" i="1" s="1"/>
  <c r="J197" i="1"/>
  <c r="E197" i="1"/>
  <c r="M197" i="1" s="1"/>
  <c r="J196" i="1"/>
  <c r="E196" i="1"/>
  <c r="M196" i="1" s="1"/>
  <c r="J195" i="1"/>
  <c r="E195" i="1"/>
  <c r="M195" i="1" s="1"/>
  <c r="J194" i="1"/>
  <c r="E194" i="1"/>
  <c r="M194" i="1" s="1"/>
  <c r="J193" i="1"/>
  <c r="E193" i="1"/>
  <c r="M193" i="1" s="1"/>
  <c r="J192" i="1"/>
  <c r="E192" i="1"/>
  <c r="M192" i="1" s="1"/>
  <c r="J191" i="1"/>
  <c r="E191" i="1"/>
  <c r="M191" i="1" s="1"/>
  <c r="J190" i="1"/>
  <c r="E190" i="1"/>
  <c r="M190" i="1" s="1"/>
  <c r="J189" i="1"/>
  <c r="E189" i="1"/>
  <c r="M189" i="1" s="1"/>
  <c r="J188" i="1"/>
  <c r="E188" i="1"/>
  <c r="M188" i="1" s="1"/>
  <c r="J187" i="1"/>
  <c r="E187" i="1"/>
  <c r="M187" i="1" s="1"/>
  <c r="J186" i="1"/>
  <c r="E186" i="1"/>
  <c r="M186" i="1" s="1"/>
  <c r="J185" i="1"/>
  <c r="E185" i="1"/>
  <c r="M185" i="1" s="1"/>
  <c r="J184" i="1"/>
  <c r="E184" i="1"/>
  <c r="M184" i="1" s="1"/>
  <c r="J183" i="1"/>
  <c r="E183" i="1"/>
  <c r="M183" i="1" s="1"/>
  <c r="J182" i="1"/>
  <c r="E182" i="1"/>
  <c r="M182" i="1" s="1"/>
  <c r="J181" i="1"/>
  <c r="E181" i="1"/>
  <c r="M181" i="1" s="1"/>
  <c r="J180" i="1"/>
  <c r="E180" i="1"/>
  <c r="M180" i="1" s="1"/>
  <c r="J179" i="1"/>
  <c r="E179" i="1"/>
  <c r="M179" i="1" s="1"/>
  <c r="J178" i="1"/>
  <c r="E178" i="1"/>
  <c r="M178" i="1" s="1"/>
  <c r="J177" i="1"/>
  <c r="E177" i="1"/>
  <c r="M177" i="1" s="1"/>
  <c r="J176" i="1"/>
  <c r="E176" i="1"/>
  <c r="M176" i="1" s="1"/>
  <c r="J175" i="1"/>
  <c r="E175" i="1"/>
  <c r="M175" i="1" s="1"/>
  <c r="J174" i="1"/>
  <c r="E174" i="1"/>
  <c r="M174" i="1" s="1"/>
  <c r="J173" i="1"/>
  <c r="E173" i="1"/>
  <c r="M173" i="1" s="1"/>
  <c r="J172" i="1"/>
  <c r="E172" i="1"/>
  <c r="M172" i="1" s="1"/>
  <c r="J171" i="1"/>
  <c r="E171" i="1"/>
  <c r="M171" i="1" s="1"/>
  <c r="J170" i="1"/>
  <c r="E170" i="1"/>
  <c r="M170" i="1" s="1"/>
  <c r="J169" i="1"/>
  <c r="E169" i="1"/>
  <c r="M169" i="1" s="1"/>
  <c r="J168" i="1"/>
  <c r="E168" i="1"/>
  <c r="M168" i="1" s="1"/>
  <c r="J167" i="1"/>
  <c r="E167" i="1"/>
  <c r="M167" i="1" s="1"/>
  <c r="J166" i="1"/>
  <c r="E166" i="1"/>
  <c r="M166" i="1" s="1"/>
  <c r="J165" i="1"/>
  <c r="E165" i="1"/>
  <c r="M165" i="1" s="1"/>
  <c r="J164" i="1"/>
  <c r="E164" i="1"/>
  <c r="M164" i="1" s="1"/>
  <c r="J163" i="1"/>
  <c r="E163" i="1"/>
  <c r="M163" i="1" s="1"/>
  <c r="J162" i="1"/>
  <c r="E162" i="1"/>
  <c r="M162" i="1" s="1"/>
  <c r="J161" i="1"/>
  <c r="E161" i="1"/>
  <c r="M161" i="1" s="1"/>
  <c r="J160" i="1"/>
  <c r="E160" i="1"/>
  <c r="M160" i="1" s="1"/>
  <c r="J159" i="1"/>
  <c r="E159" i="1"/>
  <c r="M159" i="1" s="1"/>
  <c r="J158" i="1"/>
  <c r="E158" i="1"/>
  <c r="M158" i="1" s="1"/>
  <c r="J157" i="1"/>
  <c r="E157" i="1"/>
  <c r="M157" i="1" s="1"/>
  <c r="J156" i="1"/>
  <c r="E156" i="1"/>
  <c r="M156" i="1" s="1"/>
  <c r="J155" i="1"/>
  <c r="E155" i="1"/>
  <c r="M155" i="1" s="1"/>
  <c r="J154" i="1"/>
  <c r="E154" i="1"/>
  <c r="M154" i="1" s="1"/>
  <c r="J153" i="1"/>
  <c r="E153" i="1"/>
  <c r="M153" i="1" s="1"/>
  <c r="J152" i="1"/>
  <c r="E152" i="1"/>
  <c r="M152" i="1" s="1"/>
  <c r="J151" i="1"/>
  <c r="E151" i="1"/>
  <c r="M151" i="1" s="1"/>
  <c r="J150" i="1"/>
  <c r="E150" i="1"/>
  <c r="M150" i="1" s="1"/>
  <c r="J149" i="1"/>
  <c r="E149" i="1"/>
  <c r="M149" i="1" s="1"/>
  <c r="J148" i="1"/>
  <c r="E148" i="1"/>
  <c r="M148" i="1" s="1"/>
  <c r="J147" i="1"/>
  <c r="E147" i="1"/>
  <c r="M147" i="1" s="1"/>
  <c r="J146" i="1"/>
  <c r="E146" i="1"/>
  <c r="M146" i="1" s="1"/>
  <c r="M145" i="1"/>
  <c r="J145" i="1"/>
  <c r="E145" i="1"/>
  <c r="J144" i="1"/>
  <c r="E144" i="1"/>
  <c r="M144" i="1" s="1"/>
  <c r="J143" i="1"/>
  <c r="E143" i="1"/>
  <c r="M143" i="1" s="1"/>
  <c r="J142" i="1"/>
  <c r="E142" i="1"/>
  <c r="M142" i="1" s="1"/>
  <c r="J141" i="1"/>
  <c r="E141" i="1"/>
  <c r="M141" i="1" s="1"/>
  <c r="J140" i="1"/>
  <c r="E140" i="1"/>
  <c r="M140" i="1" s="1"/>
  <c r="J139" i="1"/>
  <c r="E139" i="1"/>
  <c r="M139" i="1" s="1"/>
  <c r="J138" i="1"/>
  <c r="E138" i="1"/>
  <c r="M138" i="1" s="1"/>
  <c r="J137" i="1"/>
  <c r="E137" i="1"/>
  <c r="M137" i="1" s="1"/>
  <c r="J136" i="1"/>
  <c r="E136" i="1"/>
  <c r="M136" i="1" s="1"/>
  <c r="J135" i="1"/>
  <c r="E135" i="1"/>
  <c r="M135" i="1" s="1"/>
  <c r="J134" i="1"/>
  <c r="E134" i="1"/>
  <c r="M134" i="1" s="1"/>
  <c r="J133" i="1"/>
  <c r="E133" i="1"/>
  <c r="M133" i="1" s="1"/>
  <c r="J132" i="1"/>
  <c r="E132" i="1"/>
  <c r="M132" i="1" s="1"/>
  <c r="J131" i="1"/>
  <c r="E131" i="1"/>
  <c r="M131" i="1" s="1"/>
  <c r="J130" i="1"/>
  <c r="E130" i="1"/>
  <c r="M130" i="1" s="1"/>
  <c r="J129" i="1"/>
  <c r="E129" i="1"/>
  <c r="M129" i="1" s="1"/>
  <c r="J128" i="1"/>
  <c r="E128" i="1"/>
  <c r="M128" i="1" s="1"/>
  <c r="J127" i="1"/>
  <c r="E127" i="1"/>
  <c r="M127" i="1" s="1"/>
  <c r="J126" i="1"/>
  <c r="E126" i="1"/>
  <c r="M126" i="1" s="1"/>
  <c r="J125" i="1"/>
  <c r="E125" i="1"/>
  <c r="M125" i="1" s="1"/>
  <c r="J124" i="1"/>
  <c r="E124" i="1"/>
  <c r="M124" i="1" s="1"/>
  <c r="J123" i="1"/>
  <c r="E123" i="1"/>
  <c r="M123" i="1" s="1"/>
  <c r="J122" i="1"/>
  <c r="E122" i="1"/>
  <c r="M122" i="1" s="1"/>
  <c r="J121" i="1"/>
  <c r="E121" i="1"/>
  <c r="M121" i="1" s="1"/>
  <c r="J120" i="1"/>
  <c r="E120" i="1"/>
  <c r="M120" i="1" s="1"/>
  <c r="J119" i="1"/>
  <c r="E119" i="1"/>
  <c r="M119" i="1" s="1"/>
  <c r="J118" i="1"/>
  <c r="E118" i="1"/>
  <c r="M118" i="1" s="1"/>
  <c r="J117" i="1"/>
  <c r="E117" i="1"/>
  <c r="M117" i="1" s="1"/>
  <c r="J116" i="1"/>
  <c r="E116" i="1"/>
  <c r="M116" i="1" s="1"/>
  <c r="J115" i="1"/>
  <c r="E115" i="1"/>
  <c r="M115" i="1" s="1"/>
  <c r="J114" i="1"/>
  <c r="E114" i="1"/>
  <c r="M114" i="1" s="1"/>
  <c r="J113" i="1"/>
  <c r="E113" i="1"/>
  <c r="M113" i="1" s="1"/>
  <c r="J112" i="1"/>
  <c r="E112" i="1"/>
  <c r="M112" i="1" s="1"/>
  <c r="J111" i="1"/>
  <c r="E111" i="1"/>
  <c r="M111" i="1" s="1"/>
  <c r="J110" i="1"/>
  <c r="E110" i="1"/>
  <c r="M110" i="1" s="1"/>
  <c r="J109" i="1"/>
  <c r="E109" i="1"/>
  <c r="M109" i="1" s="1"/>
  <c r="J108" i="1"/>
  <c r="E108" i="1"/>
  <c r="M108" i="1" s="1"/>
  <c r="J107" i="1"/>
  <c r="E107" i="1"/>
  <c r="M107" i="1" s="1"/>
  <c r="J106" i="1"/>
  <c r="E106" i="1"/>
  <c r="M106" i="1" s="1"/>
  <c r="J105" i="1"/>
  <c r="E105" i="1"/>
  <c r="M105" i="1" s="1"/>
  <c r="J104" i="1"/>
  <c r="E104" i="1"/>
  <c r="M104" i="1" s="1"/>
  <c r="J103" i="1"/>
  <c r="E103" i="1"/>
  <c r="M103" i="1" s="1"/>
  <c r="J102" i="1"/>
  <c r="E102" i="1"/>
  <c r="M102" i="1" s="1"/>
  <c r="J101" i="1"/>
  <c r="E101" i="1"/>
  <c r="M101" i="1" s="1"/>
  <c r="J100" i="1"/>
  <c r="E100" i="1"/>
  <c r="M100" i="1" s="1"/>
  <c r="J99" i="1"/>
  <c r="E99" i="1"/>
  <c r="M99" i="1" s="1"/>
  <c r="J98" i="1"/>
  <c r="E98" i="1"/>
  <c r="M98" i="1" s="1"/>
  <c r="J97" i="1"/>
  <c r="E97" i="1"/>
  <c r="M97" i="1" s="1"/>
  <c r="J96" i="1"/>
  <c r="E96" i="1"/>
  <c r="M96" i="1" s="1"/>
  <c r="J95" i="1"/>
  <c r="E95" i="1"/>
  <c r="M95" i="1" s="1"/>
  <c r="J94" i="1"/>
  <c r="E94" i="1"/>
  <c r="M94" i="1" s="1"/>
  <c r="J93" i="1"/>
  <c r="E93" i="1"/>
  <c r="M93" i="1" s="1"/>
  <c r="J92" i="1"/>
  <c r="E92" i="1"/>
  <c r="M92" i="1" s="1"/>
  <c r="J91" i="1"/>
  <c r="E91" i="1"/>
  <c r="M91" i="1" s="1"/>
  <c r="J90" i="1"/>
  <c r="E90" i="1"/>
  <c r="M90" i="1" s="1"/>
  <c r="J89" i="1"/>
  <c r="E89" i="1"/>
  <c r="M89" i="1" s="1"/>
  <c r="J88" i="1"/>
  <c r="E88" i="1"/>
  <c r="M88" i="1" s="1"/>
  <c r="J87" i="1"/>
  <c r="E87" i="1"/>
  <c r="M87" i="1" s="1"/>
  <c r="J86" i="1"/>
  <c r="E86" i="1"/>
  <c r="M86" i="1" s="1"/>
  <c r="J85" i="1"/>
  <c r="E85" i="1"/>
  <c r="M85" i="1" s="1"/>
  <c r="J84" i="1"/>
  <c r="E84" i="1"/>
  <c r="M84" i="1" s="1"/>
  <c r="J83" i="1"/>
  <c r="E83" i="1"/>
  <c r="M83" i="1" s="1"/>
  <c r="J82" i="1"/>
  <c r="E82" i="1"/>
  <c r="M82" i="1" s="1"/>
  <c r="J81" i="1"/>
  <c r="E81" i="1"/>
  <c r="M81" i="1" s="1"/>
  <c r="J80" i="1"/>
  <c r="E80" i="1"/>
  <c r="M80" i="1" s="1"/>
  <c r="J79" i="1"/>
  <c r="E79" i="1"/>
  <c r="M79" i="1" s="1"/>
  <c r="J78" i="1"/>
  <c r="E78" i="1"/>
  <c r="M78" i="1" s="1"/>
  <c r="J77" i="1"/>
  <c r="E77" i="1"/>
  <c r="M77" i="1" s="1"/>
  <c r="J76" i="1"/>
  <c r="E76" i="1"/>
  <c r="M76" i="1" s="1"/>
  <c r="J75" i="1"/>
  <c r="E75" i="1"/>
  <c r="M75" i="1" s="1"/>
  <c r="J74" i="1"/>
  <c r="E74" i="1"/>
  <c r="M74" i="1" s="1"/>
  <c r="J73" i="1"/>
  <c r="E73" i="1"/>
  <c r="M73" i="1" s="1"/>
  <c r="J72" i="1"/>
  <c r="E72" i="1"/>
  <c r="M72" i="1" s="1"/>
  <c r="J71" i="1"/>
  <c r="E71" i="1"/>
  <c r="M71" i="1" s="1"/>
  <c r="J70" i="1"/>
  <c r="E70" i="1"/>
  <c r="M70" i="1" s="1"/>
  <c r="J69" i="1"/>
  <c r="E69" i="1"/>
  <c r="M69" i="1" s="1"/>
  <c r="J68" i="1"/>
  <c r="E68" i="1"/>
  <c r="M68" i="1" s="1"/>
  <c r="J67" i="1"/>
  <c r="E67" i="1"/>
  <c r="M67" i="1" s="1"/>
  <c r="J66" i="1"/>
  <c r="E66" i="1"/>
  <c r="M66" i="1" s="1"/>
  <c r="J65" i="1"/>
  <c r="E65" i="1"/>
  <c r="M65" i="1" s="1"/>
  <c r="J64" i="1"/>
  <c r="E64" i="1"/>
  <c r="M64" i="1" s="1"/>
  <c r="J63" i="1"/>
  <c r="E63" i="1"/>
  <c r="M63" i="1" s="1"/>
  <c r="J62" i="1"/>
  <c r="E62" i="1"/>
  <c r="M62" i="1" s="1"/>
  <c r="J61" i="1"/>
  <c r="E61" i="1"/>
  <c r="M61" i="1" s="1"/>
  <c r="J60" i="1"/>
  <c r="E60" i="1"/>
  <c r="M60" i="1" s="1"/>
  <c r="J59" i="1"/>
  <c r="E59" i="1"/>
  <c r="M59" i="1" s="1"/>
  <c r="J58" i="1"/>
  <c r="E58" i="1"/>
  <c r="M58" i="1" s="1"/>
  <c r="J57" i="1"/>
  <c r="E57" i="1"/>
  <c r="M57" i="1" s="1"/>
  <c r="J56" i="1"/>
  <c r="E56" i="1"/>
  <c r="M56" i="1" s="1"/>
  <c r="J55" i="1"/>
  <c r="E55" i="1"/>
  <c r="M55" i="1" s="1"/>
  <c r="J54" i="1"/>
  <c r="E54" i="1"/>
  <c r="M54" i="1" s="1"/>
  <c r="J53" i="1"/>
  <c r="E53" i="1"/>
  <c r="M53" i="1" s="1"/>
  <c r="J52" i="1"/>
  <c r="E52" i="1"/>
  <c r="M52" i="1" s="1"/>
  <c r="J51" i="1"/>
  <c r="E51" i="1"/>
  <c r="M51" i="1" s="1"/>
  <c r="J50" i="1"/>
  <c r="E50" i="1"/>
  <c r="M50" i="1" s="1"/>
  <c r="J49" i="1"/>
  <c r="E49" i="1"/>
  <c r="M49" i="1" s="1"/>
  <c r="J48" i="1"/>
  <c r="E48" i="1"/>
  <c r="M48" i="1" s="1"/>
  <c r="J47" i="1"/>
  <c r="E47" i="1"/>
  <c r="M47" i="1" s="1"/>
  <c r="J46" i="1"/>
  <c r="E46" i="1"/>
  <c r="M46" i="1" s="1"/>
  <c r="J45" i="1"/>
  <c r="E45" i="1"/>
  <c r="M45" i="1" s="1"/>
  <c r="J44" i="1"/>
  <c r="E44" i="1"/>
  <c r="M44" i="1" s="1"/>
  <c r="J43" i="1"/>
  <c r="E43" i="1"/>
  <c r="M43" i="1" s="1"/>
  <c r="J42" i="1"/>
  <c r="E42" i="1"/>
  <c r="M42" i="1" s="1"/>
  <c r="J41" i="1"/>
  <c r="E41" i="1"/>
  <c r="M41" i="1" s="1"/>
  <c r="J40" i="1"/>
  <c r="E40" i="1"/>
  <c r="M40" i="1" s="1"/>
  <c r="J39" i="1"/>
  <c r="E39" i="1"/>
  <c r="M39" i="1" s="1"/>
  <c r="J38" i="1"/>
  <c r="E38" i="1"/>
  <c r="M38" i="1" s="1"/>
  <c r="J37" i="1"/>
  <c r="E37" i="1"/>
  <c r="M37" i="1" s="1"/>
  <c r="J36" i="1"/>
  <c r="E36" i="1"/>
  <c r="M36" i="1" s="1"/>
  <c r="J35" i="1"/>
  <c r="E35" i="1"/>
  <c r="M35" i="1" s="1"/>
  <c r="J34" i="1"/>
  <c r="E34" i="1"/>
  <c r="M34" i="1" s="1"/>
  <c r="J33" i="1"/>
  <c r="E33" i="1"/>
  <c r="M33" i="1" s="1"/>
  <c r="J32" i="1"/>
  <c r="E32" i="1"/>
  <c r="M32" i="1" s="1"/>
  <c r="J31" i="1"/>
  <c r="E31" i="1"/>
  <c r="M31" i="1" s="1"/>
  <c r="J30" i="1"/>
  <c r="E30" i="1"/>
  <c r="M30" i="1" s="1"/>
  <c r="J29" i="1"/>
  <c r="E29" i="1"/>
  <c r="M29" i="1" s="1"/>
  <c r="J28" i="1"/>
  <c r="E28" i="1"/>
  <c r="M28" i="1" s="1"/>
  <c r="J27" i="1"/>
  <c r="E27" i="1"/>
  <c r="M27" i="1" s="1"/>
  <c r="J26" i="1"/>
  <c r="E26" i="1"/>
  <c r="M26" i="1" s="1"/>
  <c r="J25" i="1"/>
  <c r="E25" i="1"/>
  <c r="M25" i="1" s="1"/>
  <c r="J24" i="1"/>
  <c r="E24" i="1"/>
  <c r="M24" i="1" s="1"/>
  <c r="J23" i="1"/>
  <c r="E23" i="1"/>
  <c r="M23" i="1" s="1"/>
  <c r="J22" i="1"/>
  <c r="E22" i="1"/>
  <c r="M22" i="1" s="1"/>
  <c r="J21" i="1"/>
  <c r="E21" i="1"/>
  <c r="M21" i="1" s="1"/>
  <c r="J20" i="1"/>
  <c r="E20" i="1"/>
  <c r="M20" i="1" s="1"/>
  <c r="J19" i="1"/>
  <c r="E19" i="1"/>
  <c r="M19" i="1" s="1"/>
  <c r="J18" i="1"/>
  <c r="E18" i="1"/>
  <c r="M18" i="1" s="1"/>
  <c r="J17" i="1"/>
  <c r="E17" i="1"/>
  <c r="M17" i="1" s="1"/>
  <c r="J16" i="1"/>
  <c r="E16" i="1"/>
  <c r="M16" i="1" s="1"/>
  <c r="J15" i="1"/>
  <c r="E15" i="1"/>
  <c r="M15" i="1" s="1"/>
  <c r="J14" i="1"/>
  <c r="E14" i="1"/>
  <c r="M14" i="1" s="1"/>
  <c r="J13" i="1"/>
  <c r="E13" i="1"/>
  <c r="M13" i="1" s="1"/>
  <c r="J12" i="1"/>
  <c r="E12" i="1"/>
  <c r="M12" i="1" s="1"/>
  <c r="J11" i="1"/>
  <c r="E11" i="1"/>
  <c r="M11" i="1" s="1"/>
  <c r="J10" i="1"/>
  <c r="E10" i="1"/>
  <c r="M10" i="1" s="1"/>
  <c r="J9" i="1"/>
  <c r="E9" i="1"/>
  <c r="M9" i="1" s="1"/>
  <c r="J8" i="1"/>
  <c r="E8" i="1"/>
  <c r="M8" i="1" s="1"/>
  <c r="J7" i="1"/>
  <c r="E7" i="1"/>
  <c r="M7" i="1" s="1"/>
  <c r="J6" i="1"/>
  <c r="E6" i="1"/>
  <c r="M6" i="1" s="1"/>
  <c r="J5" i="1"/>
  <c r="E5" i="1"/>
  <c r="M5" i="1" s="1"/>
  <c r="J4" i="1"/>
  <c r="E4" i="1"/>
  <c r="M4" i="1" s="1"/>
  <c r="J3" i="1"/>
  <c r="E3" i="1"/>
  <c r="M3" i="1" s="1"/>
  <c r="AJ2" i="1"/>
  <c r="J2" i="1"/>
  <c r="E2" i="1"/>
  <c r="M2" i="1" s="1"/>
  <c r="D13" i="5"/>
  <c r="D12" i="5"/>
  <c r="F179" i="15" l="1"/>
  <c r="F83" i="15"/>
  <c r="F28" i="17"/>
  <c r="C40" i="17"/>
  <c r="C29" i="17"/>
  <c r="F40" i="17"/>
  <c r="C41" i="17"/>
  <c r="F41" i="17"/>
  <c r="C42" i="17"/>
  <c r="F42" i="17"/>
  <c r="C43" i="17"/>
  <c r="C32" i="17"/>
  <c r="F43" i="17"/>
  <c r="F32" i="17"/>
  <c r="C33" i="17"/>
  <c r="F33" i="17"/>
  <c r="C38" i="17"/>
  <c r="F38" i="17"/>
  <c r="C39" i="17"/>
</calcChain>
</file>

<file path=xl/sharedStrings.xml><?xml version="1.0" encoding="utf-8"?>
<sst xmlns="http://schemas.openxmlformats.org/spreadsheetml/2006/main" count="121823" uniqueCount="2042">
  <si>
    <t>Estudiante</t>
  </si>
  <si>
    <t>Región</t>
  </si>
  <si>
    <t>Nivel</t>
  </si>
  <si>
    <t>Grado</t>
  </si>
  <si>
    <t>Institución Educativa</t>
  </si>
  <si>
    <t>Ambito</t>
  </si>
  <si>
    <t>Sexo</t>
  </si>
  <si>
    <t>R Producción de textos</t>
  </si>
  <si>
    <t>Año</t>
  </si>
  <si>
    <t>ANALISIS</t>
  </si>
  <si>
    <t>PADD-R</t>
  </si>
  <si>
    <t>ID IE</t>
  </si>
  <si>
    <t>ID2</t>
  </si>
  <si>
    <t>#</t>
  </si>
  <si>
    <t>48. Piura</t>
  </si>
  <si>
    <t>Primaria</t>
  </si>
  <si>
    <t>4 Primaria</t>
  </si>
  <si>
    <t>Rural</t>
  </si>
  <si>
    <t>Masculino</t>
  </si>
  <si>
    <t>Inicio</t>
  </si>
  <si>
    <t>2024</t>
  </si>
  <si>
    <t>14924 DANIEL ALCIDES CARRION</t>
  </si>
  <si>
    <t>=(SUMA(H3:S3)/BDEXTRAER(claves!$A$2:$I$8,claves!$I$2,{claves!$B$2;D3}))*50</t>
  </si>
  <si>
    <t>Proceso</t>
  </si>
  <si>
    <t>Femenino</t>
  </si>
  <si>
    <t>Satisfactorio</t>
  </si>
  <si>
    <t>20104</t>
  </si>
  <si>
    <t>14975</t>
  </si>
  <si>
    <t>15304</t>
  </si>
  <si>
    <t>SAGRADO CORAZON DE JESUS</t>
  </si>
  <si>
    <t>14144 SANTA ROSA</t>
  </si>
  <si>
    <t>14894</t>
  </si>
  <si>
    <t>15383</t>
  </si>
  <si>
    <t>14141</t>
  </si>
  <si>
    <t>15478</t>
  </si>
  <si>
    <t>14045</t>
  </si>
  <si>
    <t>14145 SANTA JULIA BILLIART</t>
  </si>
  <si>
    <t>6 Primaria</t>
  </si>
  <si>
    <t>20123</t>
  </si>
  <si>
    <t>15219</t>
  </si>
  <si>
    <t>15220</t>
  </si>
  <si>
    <t>Secundaria</t>
  </si>
  <si>
    <t>2 Secundaria</t>
  </si>
  <si>
    <t>4 Secundaria</t>
  </si>
  <si>
    <t>72. Ucayali</t>
  </si>
  <si>
    <t>2 Primaria</t>
  </si>
  <si>
    <t>64048 Nuevo Barranca</t>
  </si>
  <si>
    <t>64115 Nuevo Bagazán</t>
  </si>
  <si>
    <t>64508-B Santa Isabel</t>
  </si>
  <si>
    <t>64873-B Santa Elisa</t>
  </si>
  <si>
    <t>64545-B Puerto Consuelo</t>
  </si>
  <si>
    <t>64949 Isla Primavera</t>
  </si>
  <si>
    <t>64871-B Santa Martha</t>
  </si>
  <si>
    <t>64028 Mazaray</t>
  </si>
  <si>
    <t>79. Huancavelica</t>
  </si>
  <si>
    <t>Nuestra Sra Candelaria</t>
  </si>
  <si>
    <t>36789</t>
  </si>
  <si>
    <t>36207</t>
  </si>
  <si>
    <t>CORAS</t>
  </si>
  <si>
    <t>36173</t>
  </si>
  <si>
    <t>47. Loreto</t>
  </si>
  <si>
    <t>60136 MORALILLO</t>
  </si>
  <si>
    <t>60146 MORALILLO</t>
  </si>
  <si>
    <t>6010102 VILLA BUEN PASTOR</t>
  </si>
  <si>
    <t>601448 NUEVO MILAGRO</t>
  </si>
  <si>
    <t>EL MILAGRO</t>
  </si>
  <si>
    <t>601614 NUEVA ESPERANZA</t>
  </si>
  <si>
    <t>2 primaria</t>
  </si>
  <si>
    <t>6010178 BELEN DE JUDA</t>
  </si>
  <si>
    <t>601514 EL DORADO</t>
  </si>
  <si>
    <t>601331 TRECE DE FEBRERO</t>
  </si>
  <si>
    <t>601391 PAUJIL II ZONA</t>
  </si>
  <si>
    <t>601570 ANGEL CARDENAS I</t>
  </si>
  <si>
    <t>601678 ANGEL CARDENAS II</t>
  </si>
  <si>
    <t>6010230 NUEVO HORIZONTE</t>
  </si>
  <si>
    <t>60181 SAN PEDRO DE PINTUYACU</t>
  </si>
  <si>
    <t>6010231 EX PETROLEROS I</t>
  </si>
  <si>
    <t>601511 10 DE OCTUBRE I</t>
  </si>
  <si>
    <t>601580 10 DE OCTUBRE II</t>
  </si>
  <si>
    <t>601444 TRIUNFO</t>
  </si>
  <si>
    <t>601571 HUAMBE</t>
  </si>
  <si>
    <t>601563 LA HABANA</t>
  </si>
  <si>
    <t>60133 CAHUIDE</t>
  </si>
  <si>
    <t>54. Ancash</t>
  </si>
  <si>
    <t>Huarachuran</t>
  </si>
  <si>
    <t>Pichiu</t>
  </si>
  <si>
    <t>Carap</t>
  </si>
  <si>
    <t>Capan</t>
  </si>
  <si>
    <t>Huascar</t>
  </si>
  <si>
    <t>44. Cusco</t>
  </si>
  <si>
    <t>Papa Francisco I</t>
  </si>
  <si>
    <t>601331</t>
  </si>
  <si>
    <t>60133</t>
  </si>
  <si>
    <t>6010230</t>
  </si>
  <si>
    <t>601448</t>
  </si>
  <si>
    <t>Captuy</t>
  </si>
  <si>
    <t>Huarac Huran</t>
  </si>
  <si>
    <t>Huáscar</t>
  </si>
  <si>
    <t>Huran Huran</t>
  </si>
  <si>
    <t>MIRAFLORES 64346</t>
  </si>
  <si>
    <t>BAGAZAN 64115</t>
  </si>
  <si>
    <t>MAZARAY 64028</t>
  </si>
  <si>
    <t>3 DE MAYO 65199</t>
  </si>
  <si>
    <t>VILLA ESTHER 64829</t>
  </si>
  <si>
    <t>64048 Barranca</t>
  </si>
  <si>
    <t>36161</t>
  </si>
  <si>
    <t>36166</t>
  </si>
  <si>
    <t>JORGE CHAVEZ</t>
  </si>
  <si>
    <t>JOSE CARLOS MARIATEGUI</t>
  </si>
  <si>
    <t>RAMON CASTILLA MARQUEZADO</t>
  </si>
  <si>
    <t>Jorge Chavez</t>
  </si>
  <si>
    <t>José Carlos Mariategui</t>
  </si>
  <si>
    <t>Ramón Castilla M.</t>
  </si>
  <si>
    <t>2023</t>
  </si>
  <si>
    <t>Nuestra Señora de la Candelaria</t>
  </si>
  <si>
    <t>64155 Bagazan</t>
  </si>
  <si>
    <t>64346 Miraflores</t>
  </si>
  <si>
    <t>64641 Nueva Alianza</t>
  </si>
  <si>
    <t>64872-B Santa Martha</t>
  </si>
  <si>
    <t>64996 Libertad</t>
  </si>
  <si>
    <t>86809 Huarac-huarán</t>
  </si>
  <si>
    <t>88247 - Capan</t>
  </si>
  <si>
    <t>86548 - Pichiu</t>
  </si>
  <si>
    <t>15383 Totoral Bajo</t>
  </si>
  <si>
    <t>15219 Tinajones</t>
  </si>
  <si>
    <t>SCJ PUEBLO LIBRE</t>
  </si>
  <si>
    <t>14144 SantaRosa-Palominos</t>
  </si>
  <si>
    <t>14145 SJB</t>
  </si>
  <si>
    <t>15478 Cerro de Leones</t>
  </si>
  <si>
    <t>20104 CP-8</t>
  </si>
  <si>
    <t>14924 DAC</t>
  </si>
  <si>
    <t>14045 Miraflores Bajo</t>
  </si>
  <si>
    <t>15220 Miraflores Alto</t>
  </si>
  <si>
    <t>20123 Cruce de Vega</t>
  </si>
  <si>
    <t>14141 Pueblo Nuevo</t>
  </si>
  <si>
    <t>15304 Guaraguaos.B</t>
  </si>
  <si>
    <t>14975 El Carbon</t>
  </si>
  <si>
    <t>601148</t>
  </si>
  <si>
    <t>601614</t>
  </si>
  <si>
    <t>El Milagro</t>
  </si>
  <si>
    <t>601514</t>
  </si>
  <si>
    <t>1 Primaria</t>
  </si>
  <si>
    <t>SAGRADO CORAZON DE JESÚS</t>
  </si>
  <si>
    <t>64048</t>
  </si>
  <si>
    <t>64115</t>
  </si>
  <si>
    <t>64508-B</t>
  </si>
  <si>
    <t>64873-B</t>
  </si>
  <si>
    <t>64545-B</t>
  </si>
  <si>
    <t>64949</t>
  </si>
  <si>
    <t>64871-B</t>
  </si>
  <si>
    <t>64028</t>
  </si>
  <si>
    <t>NUESTRA SEÑORA DE LA CANDELARIA</t>
  </si>
  <si>
    <t>36789 NUESTRA SEÑORA DEL CARMEN</t>
  </si>
  <si>
    <t>36173 SANTIAGO ANTUNEZ DE MAYOLO</t>
  </si>
  <si>
    <t>60136</t>
  </si>
  <si>
    <t>6010102</t>
  </si>
  <si>
    <t>6010178</t>
  </si>
  <si>
    <t>601391</t>
  </si>
  <si>
    <t>601570</t>
  </si>
  <si>
    <t>601678</t>
  </si>
  <si>
    <t>6010230 BARBARA D'ACHILLE</t>
  </si>
  <si>
    <t>60181</t>
  </si>
  <si>
    <t>6010231</t>
  </si>
  <si>
    <t>601511</t>
  </si>
  <si>
    <t>601580</t>
  </si>
  <si>
    <t>601444</t>
  </si>
  <si>
    <t>601571</t>
  </si>
  <si>
    <t>601563</t>
  </si>
  <si>
    <t>86809</t>
  </si>
  <si>
    <t>86548 JOSE MARIA VELAZ</t>
  </si>
  <si>
    <t>88327</t>
  </si>
  <si>
    <t>88247 SAN ENRIQUE</t>
  </si>
  <si>
    <t>86769 ABRAHAM VALDELOMAR</t>
  </si>
  <si>
    <t>501432 PAPA FRANCISCO I</t>
  </si>
  <si>
    <t>88225 CAPTUY</t>
  </si>
  <si>
    <t>64346</t>
  </si>
  <si>
    <t>65199</t>
  </si>
  <si>
    <t>64829</t>
  </si>
  <si>
    <t>36161 SAN VICENTE DE PAUL</t>
  </si>
  <si>
    <t>64641</t>
  </si>
  <si>
    <t>64996</t>
  </si>
  <si>
    <t>RER</t>
  </si>
  <si>
    <t>IIEE</t>
  </si>
  <si>
    <t>LÍNEA BASE 2022</t>
  </si>
  <si>
    <t>LÍNEA BASE 2023</t>
  </si>
  <si>
    <t>PADD 2023</t>
  </si>
  <si>
    <t>PADD 2024</t>
  </si>
  <si>
    <t>PADD</t>
  </si>
  <si>
    <t>ID IIEE</t>
  </si>
  <si>
    <t>CUSCO - 44</t>
  </si>
  <si>
    <t>501344 Ccasapata</t>
  </si>
  <si>
    <t>501455 Cristo Rey Ttikariy- Pacchanta Baja</t>
  </si>
  <si>
    <t>50492 "Corazón de Jesús" Ocongate</t>
  </si>
  <si>
    <t>50550 Pampacancha</t>
  </si>
  <si>
    <t>50552 Tupac Amaru II - Huacatinco</t>
  </si>
  <si>
    <t>50558 Parccocalla</t>
  </si>
  <si>
    <t>50719 Virgen del Carmen de Tinke</t>
  </si>
  <si>
    <t>50854 Patapallpa Alta</t>
  </si>
  <si>
    <t>50715 Llachi</t>
  </si>
  <si>
    <t>50765 Sallicancha</t>
  </si>
  <si>
    <t>50796 Yanacancha</t>
  </si>
  <si>
    <t xml:space="preserve">50495 Ccapana </t>
  </si>
  <si>
    <t>50536 Ccoñamuro</t>
  </si>
  <si>
    <t>50547 Accocunca</t>
  </si>
  <si>
    <t xml:space="preserve">50553 Marampaqui </t>
  </si>
  <si>
    <t>50912 Cuyuni</t>
  </si>
  <si>
    <t>50977 Andamayo</t>
  </si>
  <si>
    <t xml:space="preserve">501432 PAPA FRANCISCO I - Kumuncancha </t>
  </si>
  <si>
    <t>ALMIRANTE MIGUEL GRAU SEMINARIO</t>
  </si>
  <si>
    <t>IQUITOS - 47</t>
  </si>
  <si>
    <t>601330</t>
  </si>
  <si>
    <t>405</t>
  </si>
  <si>
    <t>536 MI CASITA DEL SABER</t>
  </si>
  <si>
    <t>604</t>
  </si>
  <si>
    <t>678</t>
  </si>
  <si>
    <t>811</t>
  </si>
  <si>
    <t>PIURA - 48</t>
  </si>
  <si>
    <t>IE 15374 Sagrado Corazón de Jesús - Pueblo libre</t>
  </si>
  <si>
    <t>IE 14145 Santa Julia Billiart</t>
  </si>
  <si>
    <t>IE 14144 Santa Rosa</t>
  </si>
  <si>
    <t>I.E.N° 14894 - TOTORAL ALTO</t>
  </si>
  <si>
    <t>14975  - EL CARBÓN</t>
  </si>
  <si>
    <t>15478 CERRO DE LEONES</t>
  </si>
  <si>
    <t>15383 TOTORAL BAJO</t>
  </si>
  <si>
    <t>20104 CP-8 "Esperanza de Mi Cautivo"</t>
  </si>
  <si>
    <t>15304 Guaraguaos B</t>
  </si>
  <si>
    <t>14141 PUEBLO NUEVO</t>
  </si>
  <si>
    <t>14924 - DANIEL ALCIDES CARRIÓN</t>
  </si>
  <si>
    <t>I.E. 910 LOS ZAPATAS</t>
  </si>
  <si>
    <t>I.E. N° 058 - PUEBLO LIBRE</t>
  </si>
  <si>
    <t>I.E. N° 1419 - CRUCE DE VEGA</t>
  </si>
  <si>
    <t>I.E. N° 1559 - MANCO CÁPAC</t>
  </si>
  <si>
    <t>I.E. N° 489 - JOSÉ MARÍA VELAZ - GUARAGUAOS BAJO</t>
  </si>
  <si>
    <t>I.E. N° 732 VIRGEN DE MONSERRAT - PALOMINOS</t>
  </si>
  <si>
    <t>I.E. N°1341 - CP-8</t>
  </si>
  <si>
    <t>I.E.N° 469 - TEJEDORES BAJO</t>
  </si>
  <si>
    <t>I.E.N° 909 - BELLO HORIZONTE</t>
  </si>
  <si>
    <t>I.E.N°1558 - MONTEVERDE ALTO</t>
  </si>
  <si>
    <t>ANCASH - 54</t>
  </si>
  <si>
    <t>692 - Cajay</t>
  </si>
  <si>
    <t>86548 "José María Velaz" Pichiu</t>
  </si>
  <si>
    <t>86769 "Abraham Valdelomar" Huáscar</t>
  </si>
  <si>
    <t>87009-01 Huanchuy</t>
  </si>
  <si>
    <t>88247 San Enrique de Capan</t>
  </si>
  <si>
    <t>88327 Carap</t>
  </si>
  <si>
    <t>86809 Huarac- huarán</t>
  </si>
  <si>
    <t>UCAYALI - 72</t>
  </si>
  <si>
    <t>64048 Nueva Barranca</t>
  </si>
  <si>
    <t>64508-B Santa Isabel de Bahuanisho</t>
  </si>
  <si>
    <t>64829 Villa Esther</t>
  </si>
  <si>
    <t>65199 3 de Mayo</t>
  </si>
  <si>
    <t>525-B Santa Elisa</t>
  </si>
  <si>
    <t>555-B Santa Martha</t>
  </si>
  <si>
    <t>564 Nueva Barranca</t>
  </si>
  <si>
    <t>566 Isla Primavera</t>
  </si>
  <si>
    <t>333-B Santa Isabel de Bahuanisho</t>
  </si>
  <si>
    <t>294 Mazaray</t>
  </si>
  <si>
    <t>64115 Nuevo Bagazan</t>
  </si>
  <si>
    <t>HUANCAVELICA - 79</t>
  </si>
  <si>
    <t>846 Huanccallaco</t>
  </si>
  <si>
    <t>Santiago Antunez de Mayolo</t>
  </si>
  <si>
    <t>Sayri Tupac</t>
  </si>
  <si>
    <t>130</t>
  </si>
  <si>
    <t>156</t>
  </si>
  <si>
    <t>843</t>
  </si>
  <si>
    <t>36167</t>
  </si>
  <si>
    <t>36831</t>
  </si>
  <si>
    <t>Coras</t>
  </si>
  <si>
    <t>Marcas</t>
  </si>
  <si>
    <t>592</t>
  </si>
  <si>
    <t>36163</t>
  </si>
  <si>
    <t>36153</t>
  </si>
  <si>
    <t>TOTAL</t>
  </si>
  <si>
    <t>TOTALES - LÍNEA BASE POR CURSO</t>
  </si>
  <si>
    <t>Explicación</t>
  </si>
  <si>
    <t>Suma total</t>
  </si>
  <si>
    <t>Total 44. Cusco</t>
  </si>
  <si>
    <t>Total 47. Loreto</t>
  </si>
  <si>
    <t>15374</t>
  </si>
  <si>
    <t>Total 48. Piura</t>
  </si>
  <si>
    <t>Total 54. Ancash</t>
  </si>
  <si>
    <t>Total 72. Ucayali</t>
  </si>
  <si>
    <t>Total 79. Huancavelica</t>
  </si>
  <si>
    <t>AS</t>
  </si>
  <si>
    <t>A</t>
  </si>
  <si>
    <t>B</t>
  </si>
  <si>
    <t>CLASIFICACION</t>
  </si>
  <si>
    <t>ID</t>
  </si>
  <si>
    <t>36166 HEROES 29 DE AGOSTO</t>
  </si>
  <si>
    <t>64155</t>
  </si>
  <si>
    <t>RESULTADO GENERAL 5 RER</t>
  </si>
  <si>
    <t>RESULTADO GENERAL RER CUSCO</t>
  </si>
  <si>
    <t>IE</t>
  </si>
  <si>
    <t>GRADO</t>
  </si>
  <si>
    <t>Producción de textos</t>
  </si>
  <si>
    <t>FILTRO</t>
  </si>
  <si>
    <t>Nivel educativo</t>
  </si>
  <si>
    <t>*</t>
  </si>
  <si>
    <t>Red</t>
  </si>
  <si>
    <t>NIVEL DE LOGRO GENERAL COMPARADO</t>
  </si>
  <si>
    <t>Nivel de logro</t>
  </si>
  <si>
    <t>Total Primaria</t>
  </si>
  <si>
    <t>Total Secundaria</t>
  </si>
  <si>
    <t xml:space="preserve">En el año 2024, los niveles de logro en Producción de textos de los estudiantes de 1° de Primaria de las redes Rurales Fe y Alegría muestran que un 11% se encuentra en el nivel "Proceso".
Para el 2024 se observa una movilización positiva de estudiantes desde el nivel "Inicio" hacia "Proceso", con una reducción del 6% en "Inicio" comparado con la linea base (2022) y una reducción del 6% en "Proceso" comparado con la linea base, lo que indica que menos estudiantes están avanzando en sus aprendizajes.
</t>
  </si>
  <si>
    <t>RER Fe y Alegría 44 - Cusco</t>
  </si>
  <si>
    <t>Nivel básico</t>
  </si>
  <si>
    <t>En proceso</t>
  </si>
  <si>
    <t>Logro esperado</t>
  </si>
  <si>
    <t>Logro destacado</t>
  </si>
  <si>
    <t>PROFESIONAL EMPODERADO</t>
  </si>
  <si>
    <t>Aprendices: Los docentes mejoran continuamente sus prácticas, aprendiendo de y con otros, y exploran prácticas probadas y prometedoras que aprovechan la tecnología digital para mejorar el aprendizaje de sus estudiantes.</t>
  </si>
  <si>
    <t>Líderes: Los docentes apoyan y empoderan a sus estudiantes para mejorar los procesos de enseñanza y aprendizaje.</t>
  </si>
  <si>
    <t>Ciudadanos digitales: Los docentes inspiran a sus estudiantes a contribuir positivamente y a participar responsablemente en el mundo digital.</t>
  </si>
  <si>
    <t>CATALIZADOR DEL APRENDIZAJE</t>
  </si>
  <si>
    <t>Colaboradores: Los docentes dedican tiempo a colaborar con colegas y estudiantes para mejorar sus prácticas, descubrir y compartir recursos e ideas y resolver problemas.</t>
  </si>
  <si>
    <t xml:space="preserve">Diseñadores: Los docentes diseñan actividades, y entornos de aprendizaje auténticos, que reconocen y consideran la diversidad de sus estudiantes.
</t>
  </si>
  <si>
    <t>Facilitadores: Los docentes facilitan el aprendizaje empleando la tecnología digital para apoyar el logro académico de sus estudiantes mediante la puesta en práctica de sus competencias digitales.</t>
  </si>
  <si>
    <t xml:space="preserve">Analistas: Los docentes comprenden y utilizan datos para mejorar la enseñanza, y apoyar a sus estudiantes en el logro de sus objetivos de aprendizaje.
</t>
  </si>
  <si>
    <t>Año  |</t>
  </si>
  <si>
    <t>TODOS LOS ENCUESTADOS</t>
  </si>
  <si>
    <t>MUESTRA</t>
  </si>
  <si>
    <t>BASE DE DATOS</t>
  </si>
  <si>
    <t>AVANCE</t>
  </si>
  <si>
    <t>COMPONENTE *</t>
  </si>
  <si>
    <t>MATEMÁTICA Y COMUNICACIÓN</t>
  </si>
  <si>
    <t>Sujeto encuestado *</t>
  </si>
  <si>
    <t>ESTUDIANTES</t>
  </si>
  <si>
    <t>BD</t>
  </si>
  <si>
    <t>%</t>
  </si>
  <si>
    <t>DOCENTES</t>
  </si>
  <si>
    <t>Comparar Entre Niveles</t>
  </si>
  <si>
    <t>Comparar entre Red</t>
  </si>
  <si>
    <t>NIVEL</t>
  </si>
  <si>
    <t>Muestra</t>
  </si>
  <si>
    <t>RED</t>
  </si>
  <si>
    <t>INICIAL - JARDÍN</t>
  </si>
  <si>
    <t>RER FA 44</t>
  </si>
  <si>
    <t>PRIMARIA</t>
  </si>
  <si>
    <t>RER FA 47</t>
  </si>
  <si>
    <t>SECUNDARIA</t>
  </si>
  <si>
    <t>RER FA 48</t>
  </si>
  <si>
    <t>RER FA 54</t>
  </si>
  <si>
    <t>RER FA 72</t>
  </si>
  <si>
    <t>RER FA 79</t>
  </si>
  <si>
    <t>Total</t>
  </si>
  <si>
    <t>Grado / Sección</t>
  </si>
  <si>
    <t>H</t>
  </si>
  <si>
    <t>M</t>
  </si>
  <si>
    <t>1°</t>
  </si>
  <si>
    <t>2°</t>
  </si>
  <si>
    <t>3°</t>
  </si>
  <si>
    <t>4°</t>
  </si>
  <si>
    <t>5°</t>
  </si>
  <si>
    <t>6°</t>
  </si>
  <si>
    <t>COLEGIOS / RED</t>
  </si>
  <si>
    <t>COLEGIO</t>
  </si>
  <si>
    <t>Opciones</t>
  </si>
  <si>
    <t>Valor</t>
  </si>
  <si>
    <t>COMPONENTES</t>
  </si>
  <si>
    <t>SUJETO</t>
  </si>
  <si>
    <t>Equiteta</t>
  </si>
  <si>
    <t>Lugar</t>
  </si>
  <si>
    <t># Región</t>
  </si>
  <si>
    <t>RED Lugar</t>
  </si>
  <si>
    <t># Lugar</t>
  </si>
  <si>
    <t>GRADO Y SECCIÓN</t>
  </si>
  <si>
    <t>SECCIÓN</t>
  </si>
  <si>
    <t>SI</t>
  </si>
  <si>
    <t>Más de una vez a la semana</t>
  </si>
  <si>
    <t>0</t>
  </si>
  <si>
    <t>Escala de nota</t>
  </si>
  <si>
    <t>44</t>
  </si>
  <si>
    <t>Cusco</t>
  </si>
  <si>
    <t>1° Grado - H</t>
  </si>
  <si>
    <t>50495</t>
  </si>
  <si>
    <t>Una vez por semana</t>
  </si>
  <si>
    <t>1</t>
  </si>
  <si>
    <t>1-10</t>
  </si>
  <si>
    <t>2° Primaria</t>
  </si>
  <si>
    <t>0 a 20</t>
  </si>
  <si>
    <t>21 a 42</t>
  </si>
  <si>
    <t>43 a 50</t>
  </si>
  <si>
    <t>GENERO</t>
  </si>
  <si>
    <t>47</t>
  </si>
  <si>
    <t>RER Fe y Alegría 47 - Iquitos</t>
  </si>
  <si>
    <t>Iquitos</t>
  </si>
  <si>
    <t>47. Iquitos</t>
  </si>
  <si>
    <t>1° Grado - M</t>
  </si>
  <si>
    <t>50547</t>
  </si>
  <si>
    <t>Una vez a la quincena</t>
  </si>
  <si>
    <t>2</t>
  </si>
  <si>
    <t>11-13</t>
  </si>
  <si>
    <t>4° Primaria</t>
  </si>
  <si>
    <t>DIGITAL</t>
  </si>
  <si>
    <t>48</t>
  </si>
  <si>
    <t>RER Fe y Alegría 48 - Malingas</t>
  </si>
  <si>
    <t>Malingas</t>
  </si>
  <si>
    <t>48. Malingas</t>
  </si>
  <si>
    <t>2° Grado - H</t>
  </si>
  <si>
    <t>50550</t>
  </si>
  <si>
    <t>NO</t>
  </si>
  <si>
    <t>Una vez al mes</t>
  </si>
  <si>
    <t>3</t>
  </si>
  <si>
    <t>14-17</t>
  </si>
  <si>
    <t>6° Primaria</t>
  </si>
  <si>
    <t>54</t>
  </si>
  <si>
    <t>RER Fe y Alegría 54 - Moro</t>
  </si>
  <si>
    <t>Moro</t>
  </si>
  <si>
    <t>54. Moro</t>
  </si>
  <si>
    <t>2° Grado - M</t>
  </si>
  <si>
    <t>50553</t>
  </si>
  <si>
    <t>36153 SAYRI TUPAC</t>
  </si>
  <si>
    <t>No uso el aula de innovación</t>
  </si>
  <si>
    <t>4</t>
  </si>
  <si>
    <t>18-20</t>
  </si>
  <si>
    <t>2° Secundaria</t>
  </si>
  <si>
    <t>72</t>
  </si>
  <si>
    <t>RER Fe y Alegría 72 - Pucallpa</t>
  </si>
  <si>
    <t>Pucallpa</t>
  </si>
  <si>
    <t>72. Pucallpa</t>
  </si>
  <si>
    <t>4° Grado - H</t>
  </si>
  <si>
    <t>50558</t>
  </si>
  <si>
    <t>87009-01</t>
  </si>
  <si>
    <t>36163 JAVIER HERAUD PEREZ</t>
  </si>
  <si>
    <t>-</t>
  </si>
  <si>
    <t>4° Secundaria</t>
  </si>
  <si>
    <t>79</t>
  </si>
  <si>
    <t>RER Fe y Alegría 79 - Acobamba</t>
  </si>
  <si>
    <t>Acobamba</t>
  </si>
  <si>
    <t>79. Acobamba</t>
  </si>
  <si>
    <t>4° Grado - M</t>
  </si>
  <si>
    <t>50765</t>
  </si>
  <si>
    <t>*.</t>
  </si>
  <si>
    <t>6° Grado - H</t>
  </si>
  <si>
    <t>50796</t>
  </si>
  <si>
    <t>6° Grado - M</t>
  </si>
  <si>
    <t>50854</t>
  </si>
  <si>
    <t>5° Grado - H</t>
  </si>
  <si>
    <t>50977</t>
  </si>
  <si>
    <t>0-10</t>
  </si>
  <si>
    <t>5° Grado - M</t>
  </si>
  <si>
    <t>501344</t>
  </si>
  <si>
    <t>501432</t>
  </si>
  <si>
    <t>501455 CRISTO REY TTIKARIY</t>
  </si>
  <si>
    <t>50492 CORAZON DE JESUS</t>
  </si>
  <si>
    <t>50552 TUPAC AMARU II</t>
  </si>
  <si>
    <t>566</t>
  </si>
  <si>
    <t>50719 VIRGEN DEL CARMEN</t>
  </si>
  <si>
    <t xml:space="preserve">333-B </t>
  </si>
  <si>
    <t xml:space="preserve">555-B </t>
  </si>
  <si>
    <t>Escala de calificación</t>
  </si>
  <si>
    <t>Descripción</t>
  </si>
  <si>
    <t>50536</t>
  </si>
  <si>
    <t>18 - 20</t>
  </si>
  <si>
    <t>Cuando el docente evidencia un dominio sobresaliente en las competencias digitales, demostrando manejo avanzado y aplicado en diversas situaciones educativas.</t>
  </si>
  <si>
    <t>50715</t>
  </si>
  <si>
    <t>14 - 17</t>
  </si>
  <si>
    <t>Cuando el docente evidencia el logro de las competencias digitales previstas, aplicándolas correctamente en la práctica docente.</t>
  </si>
  <si>
    <t>50912</t>
  </si>
  <si>
    <t>En proceso de desarrollo</t>
  </si>
  <si>
    <t>11 - 13</t>
  </si>
  <si>
    <t>Cuando el docente está en proceso de alcanzar las competencias digitales esperadas, mostrando avances parciales y áreas que requieren fortalecimiento.</t>
  </si>
  <si>
    <t>Nivel inicial</t>
  </si>
  <si>
    <t>10 o menos</t>
  </si>
  <si>
    <t>Cuando el docente evidencia un nivel básico o inicial en las competencias digitales, requiriendo mayor apoyo y acompañamiento para su desarrollo.</t>
  </si>
  <si>
    <t>Marca temporal</t>
  </si>
  <si>
    <t>Nombre de la IIEE</t>
  </si>
  <si>
    <t>Nombres y apellidos</t>
  </si>
  <si>
    <t>Edad</t>
  </si>
  <si>
    <t>¿Cuentas con internet en casa?</t>
  </si>
  <si>
    <t>¿Con qué tipo de dispositivo te conectas a Internet desde casa?</t>
  </si>
  <si>
    <t>Tu Institución Educativa cuenta con Aulas de Innovación</t>
  </si>
  <si>
    <t>¿Cada cuánto tiempo ingresas al aula de Innovación?</t>
  </si>
  <si>
    <t>¿Cada cuánto tiempo haces uso de dispositivos (Chromebook) en aula?</t>
  </si>
  <si>
    <t>¿Estudias computación e informática como opción técnica?</t>
  </si>
  <si>
    <t>Temáticas aprendidas en computación e informática</t>
  </si>
  <si>
    <t>COMPETENCIAS DIGITALES</t>
  </si>
  <si>
    <t>Utiliza la tecnología para sus objetivos de aprendizaje</t>
  </si>
  <si>
    <t>1. Busco en Internet textos e imágenes para usarlos en mis trabajos</t>
  </si>
  <si>
    <t>2.   Guardo mis trabajos luego de crearlos en mi computadora, tablet o celular, organizándolos en carpetas.</t>
  </si>
  <si>
    <t>Comunica con creatividad</t>
  </si>
  <si>
    <t>3. Utilizo PowerPoint, Google Slides, Canva, Genially, Prezi y otros para crear
presentaciones creativas para exposiciones.</t>
  </si>
  <si>
    <t>4. Grabo audios y videos con la computadora, tablet o celular para hacer tareas.</t>
  </si>
  <si>
    <t>Trabaja colaborativamente</t>
  </si>
  <si>
    <t>5. Creo documentos colaborativos para hacer tareas junto con mi compañeros de clase, estando conectados a la vez.</t>
  </si>
  <si>
    <t>6. Puedo enviar correos electrónicos a otras personas adjuntando archivos de mi computadora, tablet o celular.</t>
  </si>
  <si>
    <t>Construye conocimiento</t>
  </si>
  <si>
    <t>7. Puedo reconocer cuándo la información que busco en Internet es confiable.</t>
  </si>
  <si>
    <t>8. Creo mapas mentales y mapas conceptuales utilizando herramientas digitales como PowerPoint, Google Slides o cualquier otra herramienta en mi computadora, tablet o celular.</t>
  </si>
  <si>
    <t>PENSAMIENTO COMPUTACIONAL</t>
  </si>
  <si>
    <t>Analiza problemas aplicando principios computacionales</t>
  </si>
  <si>
    <t>9. Cuando veo un problema grande puedo dividirlo en partes para solucionarlo por pequeños problemas.</t>
  </si>
  <si>
    <t>10. Puedo darme cuenta aquellas partes que se repiten en un problema.</t>
  </si>
  <si>
    <t>Implementa soluciones algorítmicas</t>
  </si>
  <si>
    <t>11. Aplico algoritmos para solucionar problemas paso a paso.</t>
  </si>
  <si>
    <t>12. Creo mis propios programas con lenguajes de programación como Scratch.</t>
  </si>
  <si>
    <t>Representa datos</t>
  </si>
  <si>
    <t>13. Puedo organizar datos en hojas de cálculo.</t>
  </si>
  <si>
    <t>14. Sé crear gráficos estadísticos en computadora para ver resultados de encuestas.</t>
  </si>
  <si>
    <t>Construye modelos y artefactos tecnológicos</t>
  </si>
  <si>
    <t>15. Sé cómo funciona un robot y sé cómo programarlo para que realice acciones.</t>
  </si>
  <si>
    <t>16. Se usar placas como Makey Makey o Microbit para programar artefactos</t>
  </si>
  <si>
    <t>CIUDADANÍA DIGITAL</t>
  </si>
  <si>
    <t xml:space="preserve">Cuida su identidad digital </t>
  </si>
  <si>
    <t>17. Reconozco que no debo dar información personal ni detalles de mi vida en los chat de los videojuegos en línea que participo.</t>
  </si>
  <si>
    <t>18. Puedo reconocer espacios seguros y confiables en Internet.</t>
  </si>
  <si>
    <t>Mantiene un comportamiento adecuado en espacios en línea</t>
  </si>
  <si>
    <t>19. Suelo ser respetuoso cuando me comunico por correo y chats con otras personas.</t>
  </si>
  <si>
    <t>20. Cuando alguien hace comentarios irrespetuosos en un chat soy capaz de corregirlo y avisar al profesor(a).</t>
  </si>
  <si>
    <t>Respeta la propiedad intelectual</t>
  </si>
  <si>
    <t>21. Cuando busco información para mis tareas cito adecuadamente la fuente de donde extraigo la información.</t>
  </si>
  <si>
    <t>22.  Puedo reconocer imágenes que puedo usar y las que tienen derecho de autor.</t>
  </si>
  <si>
    <t>Cuida sus datos personales</t>
  </si>
  <si>
    <t>23. Recuerdo cuál es mi contraseña de correo para acceder a mi clase y la mantengo segura.</t>
  </si>
  <si>
    <t>24. Soy consciente que no debo compartir en línea mi dirección, mis apellidos, el nombre de mis padres, con quienes vivo ni mis contraseñas.</t>
  </si>
  <si>
    <t>6to Primaria</t>
  </si>
  <si>
    <t>6</t>
  </si>
  <si>
    <t>Eva Choque Puma Quispe</t>
  </si>
  <si>
    <t>Sí</t>
  </si>
  <si>
    <t>Laptop</t>
  </si>
  <si>
    <t>Nick Snayder Mamani Pereyra</t>
  </si>
  <si>
    <t>Quispe Yucra Ana Ruth</t>
  </si>
  <si>
    <t>Condori Chillihuani Rossi</t>
  </si>
  <si>
    <t>WHINEY ITSIA CEBAS SANDI</t>
  </si>
  <si>
    <t xml:space="preserve">Flora Quispe Melo </t>
  </si>
  <si>
    <t>Laptop, Tablet, Smartphone</t>
  </si>
  <si>
    <t>Ruth Analia Quenaya Quispe</t>
  </si>
  <si>
    <t>PC, Tablet, Smartphone</t>
  </si>
  <si>
    <t>LEYSI PEREYRA CHARLES</t>
  </si>
  <si>
    <t>PC</t>
  </si>
  <si>
    <t>Willber Ccoriccasa Laura</t>
  </si>
  <si>
    <t>No</t>
  </si>
  <si>
    <t>Sin dispositivo para Internet</t>
  </si>
  <si>
    <t>Frank Melo Inquillay</t>
  </si>
  <si>
    <t>Yucra Quispe Elma Sonali</t>
  </si>
  <si>
    <t>Condori Mamani Kevin Josue</t>
  </si>
  <si>
    <t>Sebastian Alessandro Alarcón Espinoza</t>
  </si>
  <si>
    <t>Paico Montero Jhuset Allit</t>
  </si>
  <si>
    <t>Miguel Gabino Rosas</t>
  </si>
  <si>
    <t>Sin dispositivo para conectarse a Internet</t>
  </si>
  <si>
    <t>HUAMAN RODRIGUEZ, Aron Alin</t>
  </si>
  <si>
    <t>MILLA HUAMAN, Cesar Jherson</t>
  </si>
  <si>
    <t>BARAHONA PALMADERA Yesenia Iris</t>
  </si>
  <si>
    <t>CHACHAS MILLA, Hernan Gustavo</t>
  </si>
  <si>
    <t>CUTAMANCA GRANADOS, Lizeth Yeni</t>
  </si>
  <si>
    <t>MILLA GUERRERO, Jerson Teves</t>
  </si>
  <si>
    <t>MILLA HERRERA, Jerson Jhon</t>
  </si>
  <si>
    <t>MILLA PACHECO Ramiro Ordoño</t>
  </si>
  <si>
    <t>MILLA ROSAS, Meliquia Nolberta</t>
  </si>
  <si>
    <t>Juber Fababa Murayari</t>
  </si>
  <si>
    <t>Ender Manuel Fasanando Pacaya</t>
  </si>
  <si>
    <t>Jhey Pitter Saboya Monteluis</t>
  </si>
  <si>
    <t>Ruben Dario Davila</t>
  </si>
  <si>
    <t xml:space="preserve">Rouss Akemy Chung Arirama </t>
  </si>
  <si>
    <t xml:space="preserve">Jheyson Raul QUISPE ANCALLE </t>
  </si>
  <si>
    <t>HUERTA SANDONAZ, Sonia Elizabeth</t>
  </si>
  <si>
    <t>MILLA FRUCTUOSO, Erick Yeisoni</t>
  </si>
  <si>
    <t>MILLA HUALLPAHUAQUE, Richard Hector</t>
  </si>
  <si>
    <t>MILLA ROSAS, Ceraclina Lizeth</t>
  </si>
  <si>
    <t>Yeritza Puma Laura</t>
  </si>
  <si>
    <t>Smartphone</t>
  </si>
  <si>
    <t>Samira</t>
  </si>
  <si>
    <t>Flor de Maria Huaraya Cruz</t>
  </si>
  <si>
    <t>Wilson Tony</t>
  </si>
  <si>
    <t>Huanca Huaman Joselin Anais</t>
  </si>
  <si>
    <t>Paccsi Merma Veronica</t>
  </si>
  <si>
    <t>NAOMI LINSAY ARMAS PACAYA</t>
  </si>
  <si>
    <t>Sara Zeta Heladito Jeampool</t>
  </si>
  <si>
    <t>Rufino Elizalde Dayron Gabriel</t>
  </si>
  <si>
    <t>Márquez Juarez Camila Nicol</t>
  </si>
  <si>
    <t>Yovera García Karen Adriana</t>
  </si>
  <si>
    <t>Giovanni Franco Rosales Melgarejo</t>
  </si>
  <si>
    <t>Rodrigo Cruz Sayhua</t>
  </si>
  <si>
    <t>Tablet</t>
  </si>
  <si>
    <t>Jhon Anderson Quispe Quispe</t>
  </si>
  <si>
    <t>LIZANDRO ALFREDO TANGOA FABABA</t>
  </si>
  <si>
    <t>Tiempo</t>
  </si>
  <si>
    <t>¿Con qué tipo de dispositivo te conectas a Internet desde casa?_</t>
  </si>
  <si>
    <t xml:space="preserve">Utiliza la tecnología para sus objetivos de aprendizaje
</t>
  </si>
  <si>
    <t xml:space="preserve">Trabaja colaborativamente
</t>
  </si>
  <si>
    <t xml:space="preserve">Construye conocimiento
</t>
  </si>
  <si>
    <t xml:space="preserve">Implementa soluciones algorítmicas
</t>
  </si>
  <si>
    <t xml:space="preserve">Construye modelos y artefactos tecnológicos
</t>
  </si>
  <si>
    <t xml:space="preserve">Cuida su identidad digital 
</t>
  </si>
  <si>
    <t xml:space="preserve">Mantiene un comportamiento adecuado en espacios en línea
</t>
  </si>
  <si>
    <t xml:space="preserve">Respeta la propiedad intelectual
</t>
  </si>
  <si>
    <t xml:space="preserve">Cuida sus datos personales
</t>
  </si>
  <si>
    <t>Resultados Ex post</t>
  </si>
  <si>
    <t>REYNER BRAD AGUILAR QUISPE</t>
  </si>
  <si>
    <t>No uso los dispositivos en aula</t>
  </si>
  <si>
    <t>Marizabel Yandy Linares Qquenta</t>
  </si>
  <si>
    <t>Robiño Quispe Cruz</t>
  </si>
  <si>
    <t>CARLOS DANIEL HUAMAN LIPE</t>
  </si>
  <si>
    <t>Andrew Shamir Pinto Cruz</t>
  </si>
  <si>
    <t>Lucila Yupanqui Quispe</t>
  </si>
  <si>
    <t>Linea base</t>
  </si>
  <si>
    <t>Milagros Huaman Apaza</t>
  </si>
  <si>
    <t>Chaucca Ovalle Ricardo Felipe</t>
  </si>
  <si>
    <t>IKER ANDREY ARMAS LACHUMA</t>
  </si>
  <si>
    <t>WELLIJER ANTONIO NAVARRO MICASA</t>
  </si>
  <si>
    <t>ROY KEVIN MANIHUARI GARCIA</t>
  </si>
  <si>
    <t>ALEX SAID FABABA ASPAJO</t>
  </si>
  <si>
    <t>JOSE DANIEL MANANITA GARCIA</t>
  </si>
  <si>
    <t>MOISES MANUYAMA MASHACURI</t>
  </si>
  <si>
    <t>JUAN PEPE RIOS MUÑOZ</t>
  </si>
  <si>
    <t>4to Secundaria</t>
  </si>
  <si>
    <t>ADRIANA V. PEÑA MUÑOZ</t>
  </si>
  <si>
    <t>Claudio huayta chavez</t>
  </si>
  <si>
    <t>Herramientas de Diseño Web</t>
  </si>
  <si>
    <t xml:space="preserve">Ricky </t>
  </si>
  <si>
    <t>Pulache Nima Yuri Berena</t>
  </si>
  <si>
    <t xml:space="preserve"> David César Chachas Milla</t>
  </si>
  <si>
    <t xml:space="preserve"> Daniel Luis Andrés Garbozo Cribillero</t>
  </si>
  <si>
    <t>Andy Damian</t>
  </si>
  <si>
    <t>Sin aula de innovación</t>
  </si>
  <si>
    <t>Delia rosa Meza Corpuma</t>
  </si>
  <si>
    <t>Laptop, Smartphone</t>
  </si>
  <si>
    <t>Más de un dispositivo</t>
  </si>
  <si>
    <t>Inacio Nilmer Ccasani Huisa</t>
  </si>
  <si>
    <t>Roni Wilfredo Condori Meza</t>
  </si>
  <si>
    <t>Tablet, Smartphone</t>
  </si>
  <si>
    <t>Anyela Gricel Zolarzana Quispe</t>
  </si>
  <si>
    <t>PC, Laptop, Smartphone</t>
  </si>
  <si>
    <t>Nicole Estefani Diaz Champi</t>
  </si>
  <si>
    <t>Nelma Meza Quispe</t>
  </si>
  <si>
    <t>Ruth Cintya Quispe Roca</t>
  </si>
  <si>
    <t xml:space="preserve">Frida Mamani Melo </t>
  </si>
  <si>
    <t>Luz Garda Quijhua Mayo</t>
  </si>
  <si>
    <t>Pamela Flores Meza</t>
  </si>
  <si>
    <t>Robert Ball Mendoza Mamani</t>
  </si>
  <si>
    <t>Snaider Cruz Merma</t>
  </si>
  <si>
    <t>Alan Rai Puma Quiñones</t>
  </si>
  <si>
    <t>PC, Smartphone</t>
  </si>
  <si>
    <t>Iker Taewa Mamamani Mandura</t>
  </si>
  <si>
    <t>Nayda Yoliza Cruz Huillca</t>
  </si>
  <si>
    <t>JAROL GARCIA SAJAMI</t>
  </si>
  <si>
    <t>PC, Laptop, Tablet, Smartphone</t>
  </si>
  <si>
    <t>ANDREA LILIANA SANDOVAL SHAPIAMA</t>
  </si>
  <si>
    <t>Herramientas de Ofimática de Microsoft, Herramientas de Ofimática de Google</t>
  </si>
  <si>
    <t>ALEXANDER GARCIA SAJAMI</t>
  </si>
  <si>
    <t>No estudia computación e Informática</t>
  </si>
  <si>
    <t>Aguilar Jara Fatima Yasmin</t>
  </si>
  <si>
    <t>Garcia Rufino Juan Josue</t>
  </si>
  <si>
    <t>Ramirez Gomez Keymy</t>
  </si>
  <si>
    <t xml:space="preserve">Juarez Yarleque Luis Mario </t>
  </si>
  <si>
    <t>Valdiviezo Pacherres Anderson Neymar</t>
  </si>
  <si>
    <t xml:space="preserve">Bereche Arrunategui Fabio Alessandro </t>
  </si>
  <si>
    <t>Crisanto Cordova Xiomara Kassandra</t>
  </si>
  <si>
    <t xml:space="preserve">Rivas Carnero Luis Alejandro </t>
  </si>
  <si>
    <t>MARC ANTHONY  MENDOZA CHAVEZ</t>
  </si>
  <si>
    <t xml:space="preserve">PAUL QUISPE CAPCHA </t>
  </si>
  <si>
    <t>PC, Laptop</t>
  </si>
  <si>
    <t>ANEL ANDREA  AGUILAR MONGE</t>
  </si>
  <si>
    <t>Una  vez al mes</t>
  </si>
  <si>
    <t>TOMAS FERNANDEZ TORRES</t>
  </si>
  <si>
    <t>Herramientas de Ofimática de Google, Herramientas de Diseño Gráfico</t>
  </si>
  <si>
    <t>María Fernanda PALOMINO OROZ</t>
  </si>
  <si>
    <t>Ensamblaje de computoras</t>
  </si>
  <si>
    <t>YESSICA HUAMAN PPACSI</t>
  </si>
  <si>
    <t>Alison Almendra Hachacca Pichuta</t>
  </si>
  <si>
    <t>Yimmy Robert Ulloa Paucart</t>
  </si>
  <si>
    <t>GONZALO AMACIFUEN RUIZ</t>
  </si>
  <si>
    <t>LIZ YUMBATO SANDY</t>
  </si>
  <si>
    <t>MARIA KAREN TAPUY SUCUMBIO</t>
  </si>
  <si>
    <t>ANGELO MARINO CAMPOS PINEDO</t>
  </si>
  <si>
    <t>JEAN NAIBER ALVAREZ YURIMACHI</t>
  </si>
  <si>
    <t>Sin aula de Innovación</t>
  </si>
  <si>
    <t>Juarez Alama Jose Ismael</t>
  </si>
  <si>
    <t>Zeta Carrasco José Alejandro</t>
  </si>
  <si>
    <t>Sandra Luisa Gonzales Angeles</t>
  </si>
  <si>
    <t xml:space="preserve">CLIVER PEREZ ESCOBAR </t>
  </si>
  <si>
    <t>Herramientas de Ofimática de Microsoft</t>
  </si>
  <si>
    <t>ALEX YORDAN QUISPE YANA</t>
  </si>
  <si>
    <t>Clever Yucra Chillihuani</t>
  </si>
  <si>
    <t>JHON JAVIER TURPO TURPO</t>
  </si>
  <si>
    <t>Giuseppe Adriano Coma Condori</t>
  </si>
  <si>
    <t>ANA MILUSKA RAMOS LAYME</t>
  </si>
  <si>
    <t>Jhon Dilbert Mendoza Condori</t>
  </si>
  <si>
    <t>JUAN CARLOS MERMA HUILLCA</t>
  </si>
  <si>
    <t>MADELY DILANIA CCOLQUE YANA</t>
  </si>
  <si>
    <t>En blanco</t>
  </si>
  <si>
    <t>Jhoel Demilson Ochoa Mandura</t>
  </si>
  <si>
    <t>JOAN PHOCCO YUCRA</t>
  </si>
  <si>
    <t>JUAN FERNANDO CONDORI ILLA</t>
  </si>
  <si>
    <t>Israel Sanches Andrade</t>
  </si>
  <si>
    <t>Analy Brigit Condori Ttito</t>
  </si>
  <si>
    <t>MARILUZ SINDIA CONDORI MAMANI</t>
  </si>
  <si>
    <t>Evelin Grisel Quispe Puma</t>
  </si>
  <si>
    <t>JIMENA CHALLCO FUENTES</t>
  </si>
  <si>
    <t>Angela Ariane Mamani Condori</t>
  </si>
  <si>
    <t>Frank Ulises Huillca Aguilar</t>
  </si>
  <si>
    <t>James</t>
  </si>
  <si>
    <t>JULIO CESAR CONDORI CHOQUE</t>
  </si>
  <si>
    <t>Parwa Alyson Paravecino Ulloa</t>
  </si>
  <si>
    <t>Rudy Paucar Quispe</t>
  </si>
  <si>
    <t>ALFREDO MERMA CRUZ</t>
  </si>
  <si>
    <t>RIUTH MELANI CHILLIHUANI CONDORI</t>
  </si>
  <si>
    <t>Alexandra Yamile Antonela Berricos Condori</t>
  </si>
  <si>
    <t>Brayan Edi Garcia Palomino</t>
  </si>
  <si>
    <t>Fredy Lukaña Palomino</t>
  </si>
  <si>
    <t>DIGNA AYDEE MERMA QUISPE</t>
  </si>
  <si>
    <t>Italo Aparicio Cano</t>
  </si>
  <si>
    <t>CRISTIAN REYNALDO LAYME QUISPE</t>
  </si>
  <si>
    <t>Diana Iris Huillca Aguilar</t>
  </si>
  <si>
    <t>DINA JARA CONDORI</t>
  </si>
  <si>
    <t>Alcidez Fueton Chatón</t>
  </si>
  <si>
    <t>ARNOL MERMA LAYME</t>
  </si>
  <si>
    <t>CRISTIAN RONALDO LAYME CHILLIHUANI</t>
  </si>
  <si>
    <t>GLORIA LAYME CHOQUE</t>
  </si>
  <si>
    <t>RODRIGO LAYME CHILLIHUANI</t>
  </si>
  <si>
    <t>GIAN PAUL NAYHUA QUISPE</t>
  </si>
  <si>
    <t>JOEL HUISA HUALLPA</t>
  </si>
  <si>
    <t>FLOR ADELY CUTIRE QUISPE</t>
  </si>
  <si>
    <t>ZULMA MARITCA CCOLQUE MACHACA</t>
  </si>
  <si>
    <t>Malú Karen Quispe</t>
  </si>
  <si>
    <t>Luznay Sonaly Mamani Machacca</t>
  </si>
  <si>
    <t xml:space="preserve">LUZGARDA CUCHUYRUMI QUISPE </t>
  </si>
  <si>
    <t>Roy Alvaro Turpo Qquentasi</t>
  </si>
  <si>
    <t>ROY WILLIAM CCOLQUE HUANCA</t>
  </si>
  <si>
    <t>ANALI MAYO HUILLCA</t>
  </si>
  <si>
    <t>JHON UBER PERCCA QUISPE</t>
  </si>
  <si>
    <t>GIAN APAZA CURASI</t>
  </si>
  <si>
    <t>WILLIAM ANDRES CONDORI QUISPE</t>
  </si>
  <si>
    <t>Harry Anderson  Mendoza Zarate</t>
  </si>
  <si>
    <t>JOSE ADERLY CRUZ MURILLO</t>
  </si>
  <si>
    <t>Erika Tania Huaman Apaza</t>
  </si>
  <si>
    <t>EDGAR CHOQUE HUAYTA</t>
  </si>
  <si>
    <t>YUN ZEON ARQUE GONZALO</t>
  </si>
  <si>
    <t>MIRIAM APAZA HUANCA</t>
  </si>
  <si>
    <t>YOVANA HANCCO CASA</t>
  </si>
  <si>
    <t>JOSE GABRIEL YUCRA HUAMAN</t>
  </si>
  <si>
    <t>ALEX MERMA GONZALO</t>
  </si>
  <si>
    <t xml:space="preserve">AYDEE MELANIA </t>
  </si>
  <si>
    <t>KELIN HUIILCA CLEMENTE</t>
  </si>
  <si>
    <t>EFRAIN HIUAMAN CHILLIHUANI</t>
  </si>
  <si>
    <t>FIDEL FRANK HUALLPA CONTRERAS</t>
  </si>
  <si>
    <t>Josue</t>
  </si>
  <si>
    <t>Marco Antonio Lima Cuchuyrumi</t>
  </si>
  <si>
    <t>Mari Carmen Magdalen Quispe</t>
  </si>
  <si>
    <t>Flor Esmeralda Quispe Huaman</t>
  </si>
  <si>
    <t>Yasenia Fernandez Condori</t>
  </si>
  <si>
    <t>Ruth Mayda Fernandes Rimachi</t>
  </si>
  <si>
    <t>Yasenia Inquillay Mamani</t>
  </si>
  <si>
    <t>Josue Quispe Chillihuani</t>
  </si>
  <si>
    <t>Dania Chillihuani Jancco</t>
  </si>
  <si>
    <t>Reyna Ester Vhillihuani Merma</t>
  </si>
  <si>
    <t>Manuel Cruz Quispe</t>
  </si>
  <si>
    <t>Anderson Chillihuani Turpo</t>
  </si>
  <si>
    <t>Yeritza Ribera Vargas</t>
  </si>
  <si>
    <t>Soraida Huanca Huaman</t>
  </si>
  <si>
    <t>Luz Clarita Chillihuani Huanca</t>
  </si>
  <si>
    <t>Xander Vinchenzo Mayo Quispe</t>
  </si>
  <si>
    <t>Jean Franca Ataulluco Ulloa</t>
  </si>
  <si>
    <t>Jose Maximiliano Chavez Para Vecino</t>
  </si>
  <si>
    <t>Jack Salvador</t>
  </si>
  <si>
    <t>Sonia Yupa Quispe</t>
  </si>
  <si>
    <t>Ccapa Condori Rudi</t>
  </si>
  <si>
    <t>Chillihuani Jhon Clever</t>
  </si>
  <si>
    <t>Rios Achahui Jakeline Fiorela</t>
  </si>
  <si>
    <t>Huanca Huanca Wendy Sharmely</t>
  </si>
  <si>
    <t>Macchaca Hilla Emerson</t>
  </si>
  <si>
    <t>Vilc Vega Yeyson</t>
  </si>
  <si>
    <t>JORGE BARDALES MORI</t>
  </si>
  <si>
    <t>JORGE CARLOS BALDEZ BARDALES</t>
  </si>
  <si>
    <t>ANSEL EUGENIO FRIAS JIMENEZ</t>
  </si>
  <si>
    <t>SEGUNDO LUIS AMACIFUEN RUIZ</t>
  </si>
  <si>
    <t>CARLOS AARON MORALES CHOTA</t>
  </si>
  <si>
    <t>HENRRI JACKSON PACAYA MACUYAMA</t>
  </si>
  <si>
    <t>CLARIVETH MARIA OLIVEIRA MOZOMBITE</t>
  </si>
  <si>
    <t>SARITA VALERIA YAICATE RODRIGUEZ</t>
  </si>
  <si>
    <t>MAGNO VILLACORTA BUTUNA</t>
  </si>
  <si>
    <t>KELLY CRISTINA MACAHUACHI PAREDES</t>
  </si>
  <si>
    <t>SAMUEL ARMANDO</t>
  </si>
  <si>
    <t>DEYVIS MOZOMBITE LUÑO</t>
  </si>
  <si>
    <t>SAUL PEÑA SINARAHUA</t>
  </si>
  <si>
    <t>GENESIS ESTER TAMANI VALLES</t>
  </si>
  <si>
    <t>ROUS NICOL SANDOVAL RODRIGUEZ</t>
  </si>
  <si>
    <t>JOSE GABRIEL LOZANO</t>
  </si>
  <si>
    <t>ROSITA GABRIELA CARIAJANO PIZANGO</t>
  </si>
  <si>
    <t>KIARA MELISSA SABOY CASTILLO</t>
  </si>
  <si>
    <t>KEISY MELANEA RIOS ARISTA</t>
  </si>
  <si>
    <t>KRISTOFER LEVIS FIGUEREDO ATACHE</t>
  </si>
  <si>
    <t>JUAN ANDRES MOZOMBITE VALDERRAMA</t>
  </si>
  <si>
    <t>CESIA O. SANTANA VELA</t>
  </si>
  <si>
    <t>FERNANDO FABRIZIO SILAPU GUEVARA</t>
  </si>
  <si>
    <t>NADIA</t>
  </si>
  <si>
    <t>JESUS PEREZ BENDEZU</t>
  </si>
  <si>
    <t>ORLANDO MURAYARI PACAYA</t>
  </si>
  <si>
    <t>JAVIER CARIAJANO SABOYA</t>
  </si>
  <si>
    <t>WICLER MASHACURI NOA</t>
  </si>
  <si>
    <t>BRAYAM EDWAR FASABI IRUYARI</t>
  </si>
  <si>
    <t>SANTIAGO ESEQUIEL TAMANI</t>
  </si>
  <si>
    <t>NICOL MARIA TAPULLI MA SANDI</t>
  </si>
  <si>
    <t>GINA ROLET VELA LOPEZ</t>
  </si>
  <si>
    <t>RUTH JUDITH,ARIMUYA PACAYA</t>
  </si>
  <si>
    <t>LUIS ALBERTO,GARCIA MURAYARI.</t>
  </si>
  <si>
    <t>MARIA LIZ TAPULLIMA AGUINDA</t>
  </si>
  <si>
    <t>MOISES CARIAJANO SABOYA</t>
  </si>
  <si>
    <t>JOE YAHUARCANI LINARES</t>
  </si>
  <si>
    <t>FRAN CAHUAZA MITRA</t>
  </si>
  <si>
    <t>OWEN ADRIANO MANIHUARI ROMAYNA</t>
  </si>
  <si>
    <t>Herramientas de Ofimática de Microsoft, Herramientas de Ofimática de Google, Lenguajes de programación, Herramientas de Diseño Gráfico</t>
  </si>
  <si>
    <t>JOY LITO MANUYAMA LOPEZ</t>
  </si>
  <si>
    <t>DAMARIS MOZOMBITE VILLACORTA</t>
  </si>
  <si>
    <t>GRIMALDO HUIÑAPI OLIVEIRA</t>
  </si>
  <si>
    <t>ALFONSO TAPAYURI HUAICAMA</t>
  </si>
  <si>
    <t>DARWIN PLAZA ARIRAMA</t>
  </si>
  <si>
    <t>MIQUEAS ARANDA</t>
  </si>
  <si>
    <t>NEVER VILLACORTA</t>
  </si>
  <si>
    <t>FRANK REATEGUI TUANAMA</t>
  </si>
  <si>
    <t>ESMERALDA ZUMBA PEZO</t>
  </si>
  <si>
    <t>SAULO ANDRES TAMANI DAHUA</t>
  </si>
  <si>
    <t>ANDERSON CAMILO SABOYA DIAZ</t>
  </si>
  <si>
    <t>DALIA TARICUARIMA AMIAS</t>
  </si>
  <si>
    <t>ABIGAIL ARIANA SANGAMA SH.</t>
  </si>
  <si>
    <t>TANIA ELIZABETH SANCHEZ PAYA</t>
  </si>
  <si>
    <t>Herramientas de Ofimática de Google</t>
  </si>
  <si>
    <t>JEIKO RUIZ FATAMA</t>
  </si>
  <si>
    <t>RANSES ELEAZAR PAREDES OLIVEIRA</t>
  </si>
  <si>
    <t>EDWIN GARCIA SAJAMI</t>
  </si>
  <si>
    <t>Herramientas de Ofimática de Microsoft, Lenguajes de programación</t>
  </si>
  <si>
    <t>JHACKELINE ESTHER BARDALES CANAYO</t>
  </si>
  <si>
    <t>Herramientas de Ofimática de Microsoft, Lenguajes de programación, Herramientas de Diseño Web, Herramientas de Diseño Gráfico</t>
  </si>
  <si>
    <t>PERLITA ANALI ALVARADO GARCIA</t>
  </si>
  <si>
    <t>Herramientas de Diseño Gráfico</t>
  </si>
  <si>
    <t>HENRRY GABRIEL NARO GUTIERREZ</t>
  </si>
  <si>
    <t>ARTIDORO ARIMUYA TARICUARIMA</t>
  </si>
  <si>
    <t>CARLOS ZAVALETA MEGO</t>
  </si>
  <si>
    <t>ALBINLLER AMARINGO BARDALES</t>
  </si>
  <si>
    <t>PETER QUEEN CÁRDENAS CHÁVEZ</t>
  </si>
  <si>
    <t>CLEDER HERRERA MANIHUARI</t>
  </si>
  <si>
    <t>JULIA NIEVES ORTIZ PEÑA</t>
  </si>
  <si>
    <t>ISAAC VALLES MURAYARI</t>
  </si>
  <si>
    <t>LORELIA ALVARADO SAAVEDRA</t>
  </si>
  <si>
    <t>SEGUNDO GUSTAVO ARIRAMA MURAYARI</t>
  </si>
  <si>
    <t>ANDRES MARLON LOZANO MELENDEZ</t>
  </si>
  <si>
    <t>MILAGROS MALDONADO LEON</t>
  </si>
  <si>
    <t>DEXI JERRI NOVOA SAJAMI</t>
  </si>
  <si>
    <t>JUAN CARLOS PEREA CAHUAZA</t>
  </si>
  <si>
    <t>JHULIANA VICTORIA,GONZALES MAMALLACTA.</t>
  </si>
  <si>
    <t>EMELY MARISOL, GRAICHT MANUYAMA.</t>
  </si>
  <si>
    <t>Otra</t>
  </si>
  <si>
    <t>JERAL, LOZANO MONTELVIS.</t>
  </si>
  <si>
    <t>MOISES, RAMIREZ ARIMUYA.</t>
  </si>
  <si>
    <t>INDIRA, TAPUY CARIAJANO.</t>
  </si>
  <si>
    <t>DANILO DAVID, VARGAS VASQUEZ.</t>
  </si>
  <si>
    <t>DOMINIC MARCELO, AMARANGO VASQUEZ.</t>
  </si>
  <si>
    <t>MAYK ANTHONY,GALINDO MORALES.</t>
  </si>
  <si>
    <t>LIDIO, TUESTA REATEGUI</t>
  </si>
  <si>
    <t>GLEER GAIR, SILVA VARGAS.</t>
  </si>
  <si>
    <t>JAMIL, TAPULLIMA LINARES.</t>
  </si>
  <si>
    <t>WILSON ABRAHA AREVALO CORNEJO</t>
  </si>
  <si>
    <t>Zeta Juarez Esther Nicol</t>
  </si>
  <si>
    <t>Espinoza Pulache Jose Antonio</t>
  </si>
  <si>
    <t>Castro Carmen Kevin  Leonel</t>
  </si>
  <si>
    <t xml:space="preserve">ORIZ MAZA ANDER YAIR </t>
  </si>
  <si>
    <t>Morales Zeta Dayron Yanpierre</t>
  </si>
  <si>
    <t>Gomez Zeta Elias Enoc</t>
  </si>
  <si>
    <t>Quintana Nima Bianca Anali</t>
  </si>
  <si>
    <t>Requena LOpez Susana Nathaniel</t>
  </si>
  <si>
    <t>Juarez Rivas Keyla Angelita</t>
  </si>
  <si>
    <t>Garcia Pulache Brayan Aldair</t>
  </si>
  <si>
    <t>Yamunaque Jara Yasumi Lizeth</t>
  </si>
  <si>
    <t>Rufino Juarez Luis Elias</t>
  </si>
  <si>
    <t>Nima Zeta Rosalinda del Pilar</t>
  </si>
  <si>
    <t>Zeta Rufino Keysi Darlen</t>
  </si>
  <si>
    <t>Flores Domingues Evelin Noemi</t>
  </si>
  <si>
    <t>Perez Juarez Alejandra Marina</t>
  </si>
  <si>
    <t>Salvador Justin Jerar</t>
  </si>
  <si>
    <t>Zeta Seminario Jhon Junior</t>
  </si>
  <si>
    <t>Carmen Flores Dayron Javier</t>
  </si>
  <si>
    <t>Vilela Carmen Geyson Stany</t>
  </si>
  <si>
    <t>Abramonte Salvador Angie Daniela.</t>
  </si>
  <si>
    <t>Valdiviezo Arevalo Yaritza Anabel</t>
  </si>
  <si>
    <t>Consuelo</t>
  </si>
  <si>
    <t>Juarez Yarleque Milton Esmih</t>
  </si>
  <si>
    <t>Lopez Bayona Nagelli Dayana</t>
  </si>
  <si>
    <t>Patiño Juarez Jairo Francisco</t>
  </si>
  <si>
    <t>Placido Santiago Angel Daniel</t>
  </si>
  <si>
    <t>Adrianzen Juarez Nathaly Lisbeth</t>
  </si>
  <si>
    <t>Dominguez Juarez Karito Yameli</t>
  </si>
  <si>
    <t>Valdiviezo Juarez Oscar Alberto</t>
  </si>
  <si>
    <t>Juarez Melendrez Azumi Naomi</t>
  </si>
  <si>
    <t>Juarez Pintado Ana Milagros</t>
  </si>
  <si>
    <t>Juarez Lopez Alonsito Aldair</t>
  </si>
  <si>
    <t>García Maza Yaritza Lizeth.</t>
  </si>
  <si>
    <t>Lopez Yovera Luis Angel</t>
  </si>
  <si>
    <t>Zeta García Jhon Manuel.</t>
  </si>
  <si>
    <t>Juarez Juarez Yerson Israel</t>
  </si>
  <si>
    <t>Arevalo Oviedo Kiara Rubi</t>
  </si>
  <si>
    <t>Sernaque Juarez Mariana Briguitte</t>
  </si>
  <si>
    <t>Suarez Nima Rosita Isabel</t>
  </si>
  <si>
    <t>Juarez Zeta Nahum Abel</t>
  </si>
  <si>
    <t>Sandoval Pacherres María Fernanda</t>
  </si>
  <si>
    <t xml:space="preserve">Arevalo Humbo Amdy Jose </t>
  </si>
  <si>
    <t>Suarez Pulache Darwin Alexander</t>
  </si>
  <si>
    <t>Villegas Flores Ingrid Maricielo</t>
  </si>
  <si>
    <t>Ramirez Peña Fran Junior</t>
  </si>
  <si>
    <t>Carmen Pacherres Treysi Brillith</t>
  </si>
  <si>
    <t>Humbo Cordova Jhon Jairo</t>
  </si>
  <si>
    <t>Pasapera Calle Leyton David.</t>
  </si>
  <si>
    <t xml:space="preserve">Montero Flores Naomy </t>
  </si>
  <si>
    <t>Nima Arrunátegui Dayron David</t>
  </si>
  <si>
    <t>Vilela Chiroque Priscila</t>
  </si>
  <si>
    <t>Arrunátegui Lupuche Yomarita de Jesús</t>
  </si>
  <si>
    <t>Nima Aguilar Grecia Lizbeth</t>
  </si>
  <si>
    <t>Palacios Carmen Jossep Samir</t>
  </si>
  <si>
    <t>Rufino Maza Melany Xiomara</t>
  </si>
  <si>
    <t>Patiño Juarez Gresly</t>
  </si>
  <si>
    <t>Arrunátegui Pulache Marilú Pilar</t>
  </si>
  <si>
    <t>Pulache Juarez Mario Smith</t>
  </si>
  <si>
    <t>Timana Juarez Valeria Nicol</t>
  </si>
  <si>
    <t>Tangoa Changanaque Ronal Josue</t>
  </si>
  <si>
    <t>Suarez Márquez Elmer Fabricio</t>
  </si>
  <si>
    <t>Zeta Navarro Jimena Yasuri</t>
  </si>
  <si>
    <t>Chiroque Adanaque Ruth Damaris</t>
  </si>
  <si>
    <t>García Maza Carlos Davinson</t>
  </si>
  <si>
    <t>Arevalo Cordova Sugely Nicole</t>
  </si>
  <si>
    <t>Dioses Nima Jinson Leonel</t>
  </si>
  <si>
    <t>Nima Zapata Jhossymar Alexandro</t>
  </si>
  <si>
    <t>Mulatillo Pintado Tatiana Verenays</t>
  </si>
  <si>
    <t>Nima Rosas Luiggy Jesús</t>
  </si>
  <si>
    <t>Juarez Saavedra Dennis Jean Frank</t>
  </si>
  <si>
    <t>Arrunátegui Jiménez Gian Luca Josué</t>
  </si>
  <si>
    <t>Domínguez Pacherres Crhistel Antonella.</t>
  </si>
  <si>
    <t>Calle Quispe Thalia Marisol</t>
  </si>
  <si>
    <t>Castillo Abramonte Elizabeth</t>
  </si>
  <si>
    <t>Correa Juarez Ana Lucia</t>
  </si>
  <si>
    <t xml:space="preserve">Correa Pacherres  Jesus Jhosimar </t>
  </si>
  <si>
    <t xml:space="preserve"> Juarez Jimenez Valeria Lizeth</t>
  </si>
  <si>
    <t>Crisanto Juarez Leidy Alessandra</t>
  </si>
  <si>
    <t>Juarez Juarez Naomi Lisbeth</t>
  </si>
  <si>
    <t xml:space="preserve">Flores Domingues David Alonso </t>
  </si>
  <si>
    <t>Dominguez  ISUIZA Karen Milena</t>
  </si>
  <si>
    <t>Villegas Rivera Wilder</t>
  </si>
  <si>
    <t xml:space="preserve">Rufino Calle Allison Jaziel </t>
  </si>
  <si>
    <t>Zeta Astudillo German Andrely</t>
  </si>
  <si>
    <t xml:space="preserve">Rufino Huertas Sinrhik Raquel </t>
  </si>
  <si>
    <t>Palma Maza Marcos Antonio</t>
  </si>
  <si>
    <t>Carmen Cordova Alexis Samir</t>
  </si>
  <si>
    <t xml:space="preserve">Peña Pacherres Leomardo Aldair </t>
  </si>
  <si>
    <t>Juarez Arevalo Brando Janpool</t>
  </si>
  <si>
    <t>Abramonte Bereche Diego Alonso</t>
  </si>
  <si>
    <t>Silupu Rengifo Dayron Jhouseph</t>
  </si>
  <si>
    <t xml:space="preserve">Zeta Vilela  Dayron  Martin </t>
  </si>
  <si>
    <t xml:space="preserve"> Gonza Acaro Yelitza Mileydi</t>
  </si>
  <si>
    <t>Pacherres Rosales Renzo Jeampier</t>
  </si>
  <si>
    <t>Piñin Panta Isaias</t>
  </si>
  <si>
    <t>Olaya Calderon Nelson Martin</t>
  </si>
  <si>
    <t>Panta Piñin Rosy Katherine</t>
  </si>
  <si>
    <t>Castillo Giron Tania Yamilet</t>
  </si>
  <si>
    <t>Cruz Zapata Mileidy Gisell</t>
  </si>
  <si>
    <t>Chica Hernández Jerson Israel</t>
  </si>
  <si>
    <t xml:space="preserve">Hernández Lazo Luis Antonio </t>
  </si>
  <si>
    <t>Juarez Seminario Fernanda Nicole</t>
  </si>
  <si>
    <t xml:space="preserve">Juarez Pulache Lesly Fernanda </t>
  </si>
  <si>
    <t>García Seminario Nelson David</t>
  </si>
  <si>
    <t>Juarez Nima Shirley Analy</t>
  </si>
  <si>
    <t>Calle Zapata Carlitos Leodan</t>
  </si>
  <si>
    <t>Pacherres García Franklin Javier</t>
  </si>
  <si>
    <t>xxx</t>
  </si>
  <si>
    <t>Sheyla Mayli Milla Murga</t>
  </si>
  <si>
    <t>Amelia Maria Casio Alegre</t>
  </si>
  <si>
    <t>Leonel Milito Fructuoso Ciriaco</t>
  </si>
  <si>
    <t>Libna Mareza Milla Huamán</t>
  </si>
  <si>
    <t>Kenlly Yocimar Polo Chachas</t>
  </si>
  <si>
    <t>Alex Andi Carhuayano Palmadera</t>
  </si>
  <si>
    <t>Erika Lizeth Ciriaco Sandonaz</t>
  </si>
  <si>
    <t xml:space="preserve"> Einer Yojan Duran Sandonas</t>
  </si>
  <si>
    <t>Kaori Yasuri Huertas Aguilar</t>
  </si>
  <si>
    <t>Jose Armando Mata Valdez</t>
  </si>
  <si>
    <t>Alexander Lopez Herrera</t>
  </si>
  <si>
    <t>Carina Celia Milla Arias</t>
  </si>
  <si>
    <t>Jan Junior Arias Laberiano</t>
  </si>
  <si>
    <t>Roylan Alfredo Marino Romualdo</t>
  </si>
  <si>
    <t>Maribel Gabino Alegre</t>
  </si>
  <si>
    <t>Nilver Cristian Rivas Palmadera</t>
  </si>
  <si>
    <t xml:space="preserve">Josue Ángel Arias Alegre </t>
  </si>
  <si>
    <t>HUAMAN RODRIGUEZ, Cati Yaquelina</t>
  </si>
  <si>
    <t>MENDEZ PALMADERA, Moises Joel</t>
  </si>
  <si>
    <t>ALEGRE SANDONAS, Eva Sarai</t>
  </si>
  <si>
    <t>GUERRERO PUMACINO, Denys Samuel</t>
  </si>
  <si>
    <t>MILLA MARINO, Rimer Froilan</t>
  </si>
  <si>
    <t>MILLA ROSAS, Yanina Yobana</t>
  </si>
  <si>
    <t>Melani Castro Fasanando</t>
  </si>
  <si>
    <t>María Ernestina Chavez Macedo</t>
  </si>
  <si>
    <t>Hugo David Suarez Zarate</t>
  </si>
  <si>
    <t>Franklin Arevalo</t>
  </si>
  <si>
    <t>Juana Nicolaza Valverde Vasquez</t>
  </si>
  <si>
    <t>Alina Marina Tapullima Flores</t>
  </si>
  <si>
    <t>Iker Ronaldo Vallejos Alva</t>
  </si>
  <si>
    <t>Heyner Isaí Flores Gonzales</t>
  </si>
  <si>
    <t>Italo Vargas Marquez</t>
  </si>
  <si>
    <t>Ruth Jarlin Gómez Cauper</t>
  </si>
  <si>
    <t>Antonio Idoel Sánchez Rengifo</t>
  </si>
  <si>
    <t>Deyvis Felix León Flores</t>
  </si>
  <si>
    <t>Ruth Candy Lopez Díaz</t>
  </si>
  <si>
    <t>Grey Briana Tapullima Canayo</t>
  </si>
  <si>
    <t xml:space="preserve">Margaret Sharleth Lino Paima </t>
  </si>
  <si>
    <t>Elvis Josué Ferreyra López</t>
  </si>
  <si>
    <t>Jhon Jack Benavides Pinchi</t>
  </si>
  <si>
    <t>Brighit Mayra Hermoza Santacruz</t>
  </si>
  <si>
    <t>Fiorella Alexander Da-Silva Cabidivo</t>
  </si>
  <si>
    <t>Iker Alexander Gomes Rengifo</t>
  </si>
  <si>
    <t>Yaser André Rodriguez Paima</t>
  </si>
  <si>
    <t>Aime Mirely De Souza Gutierrez</t>
  </si>
  <si>
    <t>Tiara Iverita Soria Sulca</t>
  </si>
  <si>
    <t>Dener Jafet Fababa Murayari</t>
  </si>
  <si>
    <t xml:space="preserve">Lleyli Isabel Lomas Huanuiri </t>
  </si>
  <si>
    <t>Grely Berlith Garcia Tenazoa</t>
  </si>
  <si>
    <t>Marco Antonio de la Mata Mozombite</t>
  </si>
  <si>
    <t>Christian Pashanasi Lopez</t>
  </si>
  <si>
    <t>Azumi MelaniaPaima Isuiza</t>
  </si>
  <si>
    <t>Carlos Noe Ecchaiz Pijuchi</t>
  </si>
  <si>
    <t>Candy Melissa Santa Cruz</t>
  </si>
  <si>
    <t>Julio Cesar  Davila Mori</t>
  </si>
  <si>
    <t>Ariana Adelina Gomez tapullima</t>
  </si>
  <si>
    <t>Kemedi Brixner Quemer Rengifo</t>
  </si>
  <si>
    <t>Jenson Paredes Salas</t>
  </si>
  <si>
    <t>Jack Miller Rodriguez Serruche</t>
  </si>
  <si>
    <t>SHINAY RUIZ CCENCHO</t>
  </si>
  <si>
    <t>JUANA  JHILARIMACIEL AUCAPIÑA YANCCE</t>
  </si>
  <si>
    <t>GLISSET SALAZAR IRRAZABAL</t>
  </si>
  <si>
    <t xml:space="preserve">JOSHY MALLMA PEREZ </t>
  </si>
  <si>
    <t xml:space="preserve">KAREN FLOR QUISPE ESCOBAR </t>
  </si>
  <si>
    <t>NIK JESUS QUISPE  PACCORI</t>
  </si>
  <si>
    <t>SHAMIR A. ARICOCHEA . M</t>
  </si>
  <si>
    <t>ALEJANDRO VALLEJOS .F</t>
  </si>
  <si>
    <t>XIOMARA MUÑOZ C.</t>
  </si>
  <si>
    <t>FALCO CAPCHA CELARAYAN</t>
  </si>
  <si>
    <t xml:space="preserve">XIOMARA DANITZA CAPCHA JEREMIAS </t>
  </si>
  <si>
    <t>PAMELA MAURY SORAS</t>
  </si>
  <si>
    <t>LUZ MIRIAN MEZA TIESE</t>
  </si>
  <si>
    <t>PILAR ROMAN ACUÑA</t>
  </si>
  <si>
    <t>JHONATAN  LLAUCA SOTO</t>
  </si>
  <si>
    <t>ODON HUAMANI JAVIER</t>
  </si>
  <si>
    <t xml:space="preserve">YELSI LLAUCA CHACON </t>
  </si>
  <si>
    <t>Jorge L. CASIHUE SALVATIERRA</t>
  </si>
  <si>
    <t>Yorima LANDEO MANUELO</t>
  </si>
  <si>
    <t>Medaly MANUELO MAYHUA</t>
  </si>
  <si>
    <t>Celia QUISPE TANTAHULLCA</t>
  </si>
  <si>
    <t>Marisol PEREZ TITO</t>
  </si>
  <si>
    <t>Yuliño MUÑOZ TAIPE</t>
  </si>
  <si>
    <t>Luis Angel CCENCHO MANUELO</t>
  </si>
  <si>
    <t>Luzmelinda PINO TITO</t>
  </si>
  <si>
    <t>Neder CCATAMAYO HUAMAN</t>
  </si>
  <si>
    <t xml:space="preserve"> Kamylh HUAMAN ASORZA </t>
  </si>
  <si>
    <t xml:space="preserve">Rosalin HUAYHUA CARDENAS </t>
  </si>
  <si>
    <t>Chriss Almendra SAENZ AZORSA</t>
  </si>
  <si>
    <t>Karol Selene URRIBARRI HERMOSA</t>
  </si>
  <si>
    <t>Hans Angelo AGUILAR REYES</t>
  </si>
  <si>
    <t>Yamilee CANCHARI PERALTA</t>
  </si>
  <si>
    <t>Jhonatan DAVILA AGUILAR</t>
  </si>
  <si>
    <t>Wilmer Jesús MARQUEZ HURTADO</t>
  </si>
  <si>
    <t>Jhon Enderson  MATAMOROS AGUIRRE</t>
  </si>
  <si>
    <t>Jhon MATAMOROS PIZARRO</t>
  </si>
  <si>
    <t>Andres MEDINA QUISPE</t>
  </si>
  <si>
    <t>Evans Gabriel ORTEGA ESTRADA</t>
  </si>
  <si>
    <t>Fred Stiven QUISPE AGUILAR</t>
  </si>
  <si>
    <t>Julio Cesar  VITOR AGUILAR</t>
  </si>
  <si>
    <t xml:space="preserve">ROSITA DEYSI CCANTO OBREGON </t>
  </si>
  <si>
    <t xml:space="preserve">ROSSY MAGDALY  ANTEZANA  CERAS </t>
  </si>
  <si>
    <t xml:space="preserve">CINTHYA  CUETO  LANDEO </t>
  </si>
  <si>
    <t>ROBERT ALEPO RAMOS</t>
  </si>
  <si>
    <t xml:space="preserve">JHOSEP  PALONTE OBREGON </t>
  </si>
  <si>
    <t xml:space="preserve">LUIS GABRIEL DAVILA HUARANCCA </t>
  </si>
  <si>
    <t xml:space="preserve">LIZ MEDALY ENRRIQUEZ ANTEZANA </t>
  </si>
  <si>
    <t>ELIZABETH  ESPEZA BREÑA</t>
  </si>
  <si>
    <t>LEO ALONSO  PEREZ PILLPA</t>
  </si>
  <si>
    <t>ANGELA DIXA RODRIGUEZ ESTRADA</t>
  </si>
  <si>
    <t>JUAN DAVID QUISPE TAYPE</t>
  </si>
  <si>
    <t>ANAYELY POMATAY AYALA</t>
  </si>
  <si>
    <t xml:space="preserve">MARC NILO  CHILINGANO GAVILAN </t>
  </si>
  <si>
    <t>PABLO SALAZAR ARECHE</t>
  </si>
  <si>
    <t>JUAN QUISPE  PILLPA</t>
  </si>
  <si>
    <t xml:space="preserve">LINDA LUZ PINO ESCOBAR </t>
  </si>
  <si>
    <t xml:space="preserve">MAX ANTHONY SANCHEZ ZAMBRANO </t>
  </si>
  <si>
    <t xml:space="preserve">CARLOS RAUL REYMUNDO NAVARRO </t>
  </si>
  <si>
    <t>ARACELI PILLPA AGUIRRE</t>
  </si>
  <si>
    <t xml:space="preserve">LINDA LUZ VARGAS ESPEZA </t>
  </si>
  <si>
    <t>CELSO ANTAY LLIMPE</t>
  </si>
  <si>
    <t xml:space="preserve">YONEL MALLCCO QUISPE </t>
  </si>
  <si>
    <t>JHUNIOR HUAYANAY ARECHE</t>
  </si>
  <si>
    <t>WENER HUAYHUA TRINIDAD</t>
  </si>
  <si>
    <t>EDUARDO MALLAVE LAURA</t>
  </si>
  <si>
    <t xml:space="preserve">ANLELY PATALA OBREGON </t>
  </si>
  <si>
    <t xml:space="preserve">YISELA ESTRADA GONZALES </t>
  </si>
  <si>
    <t xml:space="preserve">KATHERIN DAYANA PAUCAR PALACIOS </t>
  </si>
  <si>
    <t>Luis Alberto CHAVEZ LANDEO</t>
  </si>
  <si>
    <t>Angela PAUCAR LANDEO</t>
  </si>
  <si>
    <t>Shantal Yubitza GAVILAN CASTILLO</t>
  </si>
  <si>
    <t>Dareck MILENKO</t>
  </si>
  <si>
    <t>Franco CASTILLO RAMIREZ</t>
  </si>
  <si>
    <t>Yusmel QUISPE ROJAS</t>
  </si>
  <si>
    <t>Fredy Angel AUCCAPIÑA ESCOBAR</t>
  </si>
  <si>
    <t>Sonyou MALLQUI PALOMINO</t>
  </si>
  <si>
    <t>Analiz Rosa EGOAVIL QUISPE</t>
  </si>
  <si>
    <t>Yesser BARRIENTOS CCORI</t>
  </si>
  <si>
    <t>Merly Ameli TITO RAMOS</t>
  </si>
  <si>
    <t>Yasmeli QUISPE QUISPE</t>
  </si>
  <si>
    <t>Mary CORNEJO PALACIOS</t>
  </si>
  <si>
    <t>Elizabeth RAMOS MANRIQUE</t>
  </si>
  <si>
    <t>Nelson RUIZ PACCORI</t>
  </si>
  <si>
    <t>Jesús J. CARDENAS CCANCCE</t>
  </si>
  <si>
    <t>Ariana CUYA RAMOS</t>
  </si>
  <si>
    <t>Marisol J. GOMEZ CONDE</t>
  </si>
  <si>
    <t>Emily M. NUÑEZ GASPAR</t>
  </si>
  <si>
    <t>Salina HUATHUA CASTAÑEDA</t>
  </si>
  <si>
    <t>Andrea DE LA CRUZ BAUTISTA</t>
  </si>
  <si>
    <t>Lincol ANTAY JUARAR</t>
  </si>
  <si>
    <t>Frank  MENESES UCHUYPOMA</t>
  </si>
  <si>
    <t>Angel  G. BAUTISTA ROJAS</t>
  </si>
  <si>
    <t>kerlim Yosy GAVILAN DE LA CRUZ</t>
  </si>
  <si>
    <t>Angel Manuel HUAMAN VITOR</t>
  </si>
  <si>
    <t>Nilda HUAMAN VITOR</t>
  </si>
  <si>
    <t>Gabriel  MALLMA MENDOZA</t>
  </si>
  <si>
    <t>Andrea Jimena ORE AGUILAR</t>
  </si>
  <si>
    <t>Yessimin Alexandra ORTEGA ESTRADA</t>
  </si>
  <si>
    <t>Americo URRIBARRI CORDOVA</t>
  </si>
  <si>
    <t>Rosa Isabel VASQUEZ NUÑEZ</t>
  </si>
  <si>
    <t>Anghelina Britney VITOR AGUILAR</t>
  </si>
  <si>
    <t>Aba Linares Mamani</t>
  </si>
  <si>
    <t>CUTAMANCA MILLA, Yellsi Yaneli</t>
  </si>
  <si>
    <t>HUALLPAHUAQUE JARA, Noel Nando</t>
  </si>
  <si>
    <t>Díaz Vilchez Jefferson Fabricio</t>
  </si>
  <si>
    <t>SULMER QUISPE CASILLA</t>
  </si>
  <si>
    <t>Nataliel Sayaka Jancco Quisppe</t>
  </si>
  <si>
    <t>Frank Samata Tapara</t>
  </si>
  <si>
    <t>DONOBAN MELO MAMANI</t>
  </si>
  <si>
    <t>FRANKLIN HUAMAN MAMANI</t>
  </si>
  <si>
    <t>JHON ANDERSON</t>
  </si>
  <si>
    <t>NAYDA YULISA CRUZ HUILLCA</t>
  </si>
  <si>
    <t>Ivan Joel Pozo Huaman</t>
  </si>
  <si>
    <t>Dilan Estrada Tapara</t>
  </si>
  <si>
    <t>CRISTIAN SHARI VILLACRA HANCCO</t>
  </si>
  <si>
    <t>Wilmer Dominik Huallpa Ulloa</t>
  </si>
  <si>
    <t>FLOR DELIA LLANOS CRISPIN</t>
  </si>
  <si>
    <t>ROSA FLOR CHILLIHUANI YUCRA</t>
  </si>
  <si>
    <t>ELIZABETH MANDURA JURURO</t>
  </si>
  <si>
    <t>Ruth Clariza Yapura Sullcopuma</t>
  </si>
  <si>
    <t>ESTHER SARAY SILVA CJUNO</t>
  </si>
  <si>
    <t>Nila Vanezal Layme Mamani</t>
  </si>
  <si>
    <t>Flor Yutidh Sara Mendoza</t>
  </si>
  <si>
    <t xml:space="preserve">Josue Benjamin Mayhua Mariscal </t>
  </si>
  <si>
    <t>Jhoel Mamani Cruz</t>
  </si>
  <si>
    <t>RUTH YAMILY PAUCAR H.</t>
  </si>
  <si>
    <t>RUTH LIZBETH HUALLPA MAMANI</t>
  </si>
  <si>
    <t>Lizbeth Mamani Condori</t>
  </si>
  <si>
    <t>FRANCO CHARA MAMANAI</t>
  </si>
  <si>
    <t>Royer Alexis Huisa Fuentes</t>
  </si>
  <si>
    <t>Mary Isabel Quispe Saigua</t>
  </si>
  <si>
    <t>Cielo Zahori Valenzuela Turpo</t>
  </si>
  <si>
    <t>Lisbeth Cintia Condori Huisa</t>
  </si>
  <si>
    <t>MEDALI QUISPE CONDORI</t>
  </si>
  <si>
    <t>Luz Amelia Luz Condori</t>
  </si>
  <si>
    <t>Black Bardol Mamani Quispe</t>
  </si>
  <si>
    <t>Ñol Neymar Quispe Yupa</t>
  </si>
  <si>
    <t>Ruth Naysha Mamani Ccapa</t>
  </si>
  <si>
    <t>CAROLINA QUISPE JARA</t>
  </si>
  <si>
    <t>Adelayda Acruta Achahui</t>
  </si>
  <si>
    <t>Ibeth Sara R. Qquesuallpa. M</t>
  </si>
  <si>
    <t>Kathya Meza Ccacya</t>
  </si>
  <si>
    <t>WILLIAM MACHACA QUISPE</t>
  </si>
  <si>
    <t>Jhon Adan Rocca Quispe</t>
  </si>
  <si>
    <t>Erick Alexis Cruz Merma</t>
  </si>
  <si>
    <t>Edgar Raul Aparicio</t>
  </si>
  <si>
    <t>JOSE GABRIEL MAYOC CHOQQUE</t>
  </si>
  <si>
    <t>Sharon Sther Quispe Qqeshuallpa</t>
  </si>
  <si>
    <t>Luzgarda Flor Meza Quispe</t>
  </si>
  <si>
    <t>Natsumi Sharon Ulloa Herrera</t>
  </si>
  <si>
    <t>Ernesto Mamani Layme</t>
  </si>
  <si>
    <t>Juan Clever Quispe Quispe</t>
  </si>
  <si>
    <t>Jhon erick Huisa Mamani</t>
  </si>
  <si>
    <t>Dani Yamil Quispe Achahui</t>
  </si>
  <si>
    <t>BLADI ELISBAN CCORIMANYA CRISPIN</t>
  </si>
  <si>
    <t xml:space="preserve">Yeni Miriam </t>
  </si>
  <si>
    <t>Ronal Ccori Ccasa</t>
  </si>
  <si>
    <t>Breyni Saca Quispe</t>
  </si>
  <si>
    <t>Arturo Quispe Rocca</t>
  </si>
  <si>
    <t>Flor Belinda Flores Candia</t>
  </si>
  <si>
    <t>Yaritza</t>
  </si>
  <si>
    <t>Elias Cristofer Castillo Huanca</t>
  </si>
  <si>
    <t>Dania Layme Yapura</t>
  </si>
  <si>
    <t>Sarita Corihuaman Huallpa</t>
  </si>
  <si>
    <t>Reyna Britney Quispe Quispe</t>
  </si>
  <si>
    <t>Geovanni Dilman Quispe Ulloa</t>
  </si>
  <si>
    <t>Elisaban Quijua Llanos</t>
  </si>
  <si>
    <t>Jhon Kelvin Ccaccasto Fuentes</t>
  </si>
  <si>
    <t>Adan Smit</t>
  </si>
  <si>
    <t>Adilson Armando Quesusllpa Sarmiento</t>
  </si>
  <si>
    <t>Madad Iair Quispe Palomino</t>
  </si>
  <si>
    <t xml:space="preserve">Pedro Aamirkham Ttito </t>
  </si>
  <si>
    <t>Alexander Quispe Sara</t>
  </si>
  <si>
    <t>Jesus Angelo Cahuana Mamani</t>
  </si>
  <si>
    <t>Donodan Melo Mamani</t>
  </si>
  <si>
    <t>Yessica Huaman Pracsi</t>
  </si>
  <si>
    <t>Franklin Huaman Mamani</t>
  </si>
  <si>
    <t>Vidal Huillca Quispe</t>
  </si>
  <si>
    <t>Jhon Alex Ramos Turpo</t>
  </si>
  <si>
    <t>Luis rodrigo Ulloa Contreras</t>
  </si>
  <si>
    <t>Elver Mamani Cruz</t>
  </si>
  <si>
    <t>Katerine Quispe Mamani</t>
  </si>
  <si>
    <t>Clorinda Ulloa Haraya</t>
  </si>
  <si>
    <t>Graciela Mamani Mamani</t>
  </si>
  <si>
    <t>Marjely Ulloa Huaraya</t>
  </si>
  <si>
    <t>Choque Condori Jhon Anderson</t>
  </si>
  <si>
    <t>Yucra Quispe Israel</t>
  </si>
  <si>
    <t>Quispe Jalixto Jhon Edison</t>
  </si>
  <si>
    <t>Quispe Quispe Adolfo</t>
  </si>
  <si>
    <t>Flores Luna Cristian Maycol</t>
  </si>
  <si>
    <t>LUCIANA VALDERRAMA VILCA</t>
  </si>
  <si>
    <t>ANALY TUESTA PEZO</t>
  </si>
  <si>
    <t>CRISTOFER GENEROSO RUIZ HUAYTA</t>
  </si>
  <si>
    <t>VIANCA RODRIGUEZ CHAVEZ</t>
  </si>
  <si>
    <t>ADIXON LUVER ACHO ATACHI</t>
  </si>
  <si>
    <t>ANITH RADAMEL VASQUEZ R.</t>
  </si>
  <si>
    <t>YOSHI CESAR TEJADA GONZALES</t>
  </si>
  <si>
    <t>WERLINSON PIZANGO ALACHI</t>
  </si>
  <si>
    <t>CHRISTIAN ISRRAEL KIARI NODRE</t>
  </si>
  <si>
    <t>NICOL VALENTINA DOÑEZ CHUJUTALLI</t>
  </si>
  <si>
    <t>PATRICK</t>
  </si>
  <si>
    <t>JEAN PIERO LACHUMA CHUJUTALLI</t>
  </si>
  <si>
    <t>ROY MACUYAMA GEMAN</t>
  </si>
  <si>
    <t>ERICK JOEL CONDORI PANDURO</t>
  </si>
  <si>
    <t>ANGEL ISAAC SAAVEDRA MARIÑO</t>
  </si>
  <si>
    <t>RUTH ESTHER SINARAHUA PINCHI</t>
  </si>
  <si>
    <t>MARIANA BRILLITH TAPULLIMA PINEDO</t>
  </si>
  <si>
    <t>MERLI VARGAS JIMENEZ</t>
  </si>
  <si>
    <t>MERARDO BAZAN PEREZ</t>
  </si>
  <si>
    <t>ROYSER JAIR GONZALES SANGAMA</t>
  </si>
  <si>
    <t>JILARY GIMENEZ ALVA</t>
  </si>
  <si>
    <t>KEYLY BALERIA TORRES PANDURO</t>
  </si>
  <si>
    <t>ADRIANO GABRIEL PASTRANA DEL AGUILA</t>
  </si>
  <si>
    <t>CAMILA NICOLE CHANCHARI PANDURO</t>
  </si>
  <si>
    <t>DILVER MIGUEL CANAQUIRI BARDALES</t>
  </si>
  <si>
    <t>REVEL NARO HUAYTAN</t>
  </si>
  <si>
    <t>MARIA STACY UCEDA LIBIAPOMA</t>
  </si>
  <si>
    <t>RAY ADRIANO CHANCHARI ACIPALI</t>
  </si>
  <si>
    <t>KAREN CORREA SINARAHUA</t>
  </si>
  <si>
    <t>SERGIO ALEXANDER MELENDEZ RUBIO</t>
  </si>
  <si>
    <t>ANDY DANIEL AHUANARI LAVI</t>
  </si>
  <si>
    <t>DANIEL FERNANDO CACERES GARCIA</t>
  </si>
  <si>
    <t>FRIX SHIRLEY CAHUACHI TAPULLIMA</t>
  </si>
  <si>
    <t>AIXA LARISSA CORAL ANDRADE</t>
  </si>
  <si>
    <t xml:space="preserve">JERAL DIAZ CHAVEZ </t>
  </si>
  <si>
    <t>KOLI MIREYA FATAMA MURAYARI</t>
  </si>
  <si>
    <t>ANEL ROGER LINARES PEÑA</t>
  </si>
  <si>
    <t>NAYN KEYZUCK LOPEZ ARMAS</t>
  </si>
  <si>
    <t>GEYLI LUÑO MOZOMBITE</t>
  </si>
  <si>
    <t>MAX FERNANDO NAVARRO SILVANO</t>
  </si>
  <si>
    <t>JADE RICOPA CAHUAZA</t>
  </si>
  <si>
    <t>RHJU ALI RUIZ CHAUCAS</t>
  </si>
  <si>
    <t>JEYSITH MILAGROS TAMANI GUEDES</t>
  </si>
  <si>
    <t>CRISTOFER MURAYARI YUMBATO</t>
  </si>
  <si>
    <t>FRECIA THALIA,GARCIA MURAYARI</t>
  </si>
  <si>
    <t>KIOXAN,NAVARRO RODRIGUEZ</t>
  </si>
  <si>
    <t>SOFIA SAORI, PEZO ETENE</t>
  </si>
  <si>
    <t>SHIRLEY ELVIRA,TAPUY CARIAJANO</t>
  </si>
  <si>
    <t>ANGEL, VENANCINO ARIRAMA.</t>
  </si>
  <si>
    <t xml:space="preserve">ANA CRISTINA AMASIFUEN AMASIFUEN </t>
  </si>
  <si>
    <t>JONATHAN JAVIER GARCÍA BASTIDAS</t>
  </si>
  <si>
    <t>EVELIN BRILLI SALAS SILVANO</t>
  </si>
  <si>
    <t>Carlos Leonel Zamora Hualinga</t>
  </si>
  <si>
    <t>RENINGER RAFAEL CHACHARI LOPEZ</t>
  </si>
  <si>
    <t>ALEX ANTONIO ETENE CANCINO</t>
  </si>
  <si>
    <t>SAUL HUAYAMBA RODRIGUEZ</t>
  </si>
  <si>
    <t>JESUS MASHACURI</t>
  </si>
  <si>
    <t>CLAUDIA RIVERA TUISIMA</t>
  </si>
  <si>
    <t>JEYSI GAMONAL PAREDES</t>
  </si>
  <si>
    <t>VIVIANA LOZANO INUMA</t>
  </si>
  <si>
    <t>BRAILLE PELILEO JIPA</t>
  </si>
  <si>
    <t>DANNY GUERRA HUAICAMA</t>
  </si>
  <si>
    <t>REY MANUEL CORONADO ORTIZ</t>
  </si>
  <si>
    <t>OLIVER HAMILTON PANDURO SILVA</t>
  </si>
  <si>
    <t>MARICIELO REATEGUI SILVA</t>
  </si>
  <si>
    <t>ADRIANA GONZALES MOZOMBITE</t>
  </si>
  <si>
    <t>JOSUE MARIN SANGAMA</t>
  </si>
  <si>
    <t>ALISCE M. ISUIZA CASARA</t>
  </si>
  <si>
    <t>BRICETH REYNA JIMENEZ</t>
  </si>
  <si>
    <t>JAMESM TORRES HUAICAMA</t>
  </si>
  <si>
    <t>JAREN VARGAS AMARINGO</t>
  </si>
  <si>
    <t>Herramientas de Ofimática de Google, Ensamblaje de computoras</t>
  </si>
  <si>
    <t>SIXTON GONZALES AHUANARI</t>
  </si>
  <si>
    <t>KARLA PAULINA RIOS ORTIZ</t>
  </si>
  <si>
    <t>ADELA ESTHER AREVALO CORNEJO</t>
  </si>
  <si>
    <t>ANDERSON NICOLAS ISUIZA FLORES</t>
  </si>
  <si>
    <t>DANNY ALCIBIADES VARGAS AMARINGO</t>
  </si>
  <si>
    <t>ABSALON DE JESUS CACHIQUE VASQUEZ</t>
  </si>
  <si>
    <t>PRYA CHARLIN BACA CONDORI</t>
  </si>
  <si>
    <t>PILAR CHOTA TALEXIO</t>
  </si>
  <si>
    <t>ALEXIS LAULATE LUÑO</t>
  </si>
  <si>
    <t>Herramientas de Ofimática de Microsoft, Herramientas de Ofimática de Google, Herramientas de Diseño Web, Herramientas de Diseño Gráfico</t>
  </si>
  <si>
    <t>PERCY AREVALO SEGURA</t>
  </si>
  <si>
    <t>GEIVER AREVALO VELA</t>
  </si>
  <si>
    <t>WILLY PIERO DAVILA CAHUACHI</t>
  </si>
  <si>
    <t>CONNY YBETH PACAYA VASQUEZ</t>
  </si>
  <si>
    <t>SEGUNDO JAIME ASPIROS RODRIGUEZ</t>
  </si>
  <si>
    <t>XX</t>
  </si>
  <si>
    <t>JORGE AIVER PANDURO MACUSI</t>
  </si>
  <si>
    <t>LEYDI CARMEN SINARAHUA CNEPO</t>
  </si>
  <si>
    <t>IVONE MARGARITA TEJADA PEÑA</t>
  </si>
  <si>
    <t>CARMEN AMIS LOZANO ROMAINA</t>
  </si>
  <si>
    <t>CRISTIANO RONALDO PEREZ TAPULLIMA</t>
  </si>
  <si>
    <t>ADRIANA CELESTE SILVANO PEREZ</t>
  </si>
  <si>
    <t xml:space="preserve">JULIO TEJADA PEÑA </t>
  </si>
  <si>
    <t>LINDER GARCIA DIAZ</t>
  </si>
  <si>
    <t>STHYAN KALERY AMASIFUEN ZAVALETA</t>
  </si>
  <si>
    <t>JHORDAN SEBASTIÁN DÁVILA PÉREZ</t>
  </si>
  <si>
    <t>HÉCTOR ELÍ HEREDIA MURAYARI</t>
  </si>
  <si>
    <t>GRECIA MARICELA PORTOCARRERO PEÑA</t>
  </si>
  <si>
    <t>ELMER ARMAS CACHIQUE</t>
  </si>
  <si>
    <t>KEVIN LUÑO MOZOMBITE</t>
  </si>
  <si>
    <t>CESAR SAMUEL SIQUIHUA PEREZ</t>
  </si>
  <si>
    <t>ERWIN ALBERTO, FLORES ARMAS.</t>
  </si>
  <si>
    <t>CRISTIAN MOZOMBITE PIPA.</t>
  </si>
  <si>
    <t>CRISTHIAN ALEX, NAVARRO COQUINCHE.</t>
  </si>
  <si>
    <t>FIORI MADIEL,NUÑEZ FASABI.</t>
  </si>
  <si>
    <t>FRANCO ALVEIRO, PEZO ETENE.</t>
  </si>
  <si>
    <t>JOSEPH M, QUISPE L</t>
  </si>
  <si>
    <t>Otro</t>
  </si>
  <si>
    <t>HICLER, TAPAYURI TAMINCHI.</t>
  </si>
  <si>
    <t>GUZBITA EUNICIA, HUSE CARIAJANO.</t>
  </si>
  <si>
    <t>GERALDY,MANUYAMA HUAYUNGA.</t>
  </si>
  <si>
    <t>CHUISTON, MORCERA DEL AGUILA.</t>
  </si>
  <si>
    <t>TEDY RANDY, ROSALESGUERRA.</t>
  </si>
  <si>
    <t>JUAN MANUEL,TUESTA AHUANARI.</t>
  </si>
  <si>
    <t>MAEBA ANGELICA AJON YUYARIMA</t>
  </si>
  <si>
    <t>JHOSELY ISABEL CASARA PIZANGO</t>
  </si>
  <si>
    <t>ARGELY MICHELY CHANCHARI PANDURO</t>
  </si>
  <si>
    <t>DENIS DAVID FLORES PIZANGO</t>
  </si>
  <si>
    <t>LISBETH YOLANDA PADILLA GUERRA</t>
  </si>
  <si>
    <t>JUAN CARLOS SINARAHUA MOZOMBITE</t>
  </si>
  <si>
    <t>DANFER LISANDRO VARGAS DAHUA</t>
  </si>
  <si>
    <t>Maria cristina vargas shavier</t>
  </si>
  <si>
    <t>Gomez Giron Linda</t>
  </si>
  <si>
    <t>Juarez Navarro Oliver</t>
  </si>
  <si>
    <t>Vilcherres Alama Fabricio</t>
  </si>
  <si>
    <t>Tejada Abad Fabiana</t>
  </si>
  <si>
    <t>Roman Arrunategui Yadira Marisol</t>
  </si>
  <si>
    <t>Carmen Nima Segundo Andy</t>
  </si>
  <si>
    <t>Nima Navarro Jhonthan Edu</t>
  </si>
  <si>
    <t>Nima Salvador Jhan Carlos</t>
  </si>
  <si>
    <t>Nima Marquez Omar Joel</t>
  </si>
  <si>
    <t>Zapata Hernandez Melany Antonella</t>
  </si>
  <si>
    <t>Juarez Nima John Eder</t>
  </si>
  <si>
    <t>Ruiz Peña Stefano Alexandro</t>
  </si>
  <si>
    <t>Bereche Aguilar Sheyla Xiomara</t>
  </si>
  <si>
    <t>Dominmguez  Cuz Willian Alonso</t>
  </si>
  <si>
    <t>Elias Carmen Ricardo Javier</t>
  </si>
  <si>
    <t xml:space="preserve">Flores Cordova Jeam Franco Ovelar </t>
  </si>
  <si>
    <t>Huanambal Rojas Max Erick</t>
  </si>
  <si>
    <t>Calle Juárez Juan Melquiades.</t>
  </si>
  <si>
    <t>Calle Carnero Abraham</t>
  </si>
  <si>
    <t>Nuñez Carmen Marco David</t>
  </si>
  <si>
    <t>Valdiviezo Rufino Másico Alonso</t>
  </si>
  <si>
    <t>Zapata Raymundo Karina Yasmin</t>
  </si>
  <si>
    <t>Maza Vilcherrez Jorge Manuel</t>
  </si>
  <si>
    <t>Peña Ortiz Dariana Pamela</t>
  </si>
  <si>
    <t>Vilcherrez Cristhian Joel</t>
  </si>
  <si>
    <t>Carmen García Melissa Nicol</t>
  </si>
  <si>
    <t>Nima Pacherres Dana Noemi</t>
  </si>
  <si>
    <t>Hernández Bereche Grey's Fernanda</t>
  </si>
  <si>
    <t>Hernández Alama Rosita Yanella</t>
  </si>
  <si>
    <t>Córdova Gonza Uberly</t>
  </si>
  <si>
    <t>Zeta García Juan de Dios</t>
  </si>
  <si>
    <t>Flores Vilches Yordin Paul</t>
  </si>
  <si>
    <t>Chuquihuanca Saavedra Mayra</t>
  </si>
  <si>
    <t>Juarez Alama Jexson Aldair</t>
  </si>
  <si>
    <t>Seminario Juarez Brando Samir</t>
  </si>
  <si>
    <t xml:space="preserve">Juarez Navarro Tony Antonio </t>
  </si>
  <si>
    <t>Hernández Juarez Eliana Sarai</t>
  </si>
  <si>
    <t xml:space="preserve">Elizalde Guallanay Humberto Jesús </t>
  </si>
  <si>
    <t>Navarro Juarez Jeanpier Alexis</t>
  </si>
  <si>
    <t>Jhesica Brizeth Milla Paredez</t>
  </si>
  <si>
    <t>Amelia Maripaz,RAMOS GUERRERO</t>
  </si>
  <si>
    <t>Sergio Benito, MILLA RAMOS</t>
  </si>
  <si>
    <t>Jhordy Fernando Milla Llanto</t>
  </si>
  <si>
    <t>Sergio Omar, LLANTO FRUCTUOSO</t>
  </si>
  <si>
    <t>Piero Aldair Espinoza Mata</t>
  </si>
  <si>
    <t>Yhadira Gonzales Bailon</t>
  </si>
  <si>
    <t>Michaell Alejandro Lostaunau Polo</t>
  </si>
  <si>
    <t xml:space="preserve">HANSHELO ENRIQUE ANTAY </t>
  </si>
  <si>
    <t xml:space="preserve">MELODY  ZELARAYAN BLAS </t>
  </si>
  <si>
    <t xml:space="preserve">CARMELA NAVARRO QUISPE </t>
  </si>
  <si>
    <t xml:space="preserve">RODRIGO CAPCHA FLORES </t>
  </si>
  <si>
    <t>JHEDER QUISPE CAPCHA</t>
  </si>
  <si>
    <t>Adelina MANUELO MARALANO</t>
  </si>
  <si>
    <t xml:space="preserve">CARLA BEATRIZ CCENCHO INFANTE </t>
  </si>
  <si>
    <t xml:space="preserve">LUIS CARLOS ARECHE </t>
  </si>
  <si>
    <t>LIZAIDA DAVILA HUAYHUARIMA</t>
  </si>
  <si>
    <t>RICHARD DAVILA  LAURA</t>
  </si>
  <si>
    <t>CINTYA TORRE ESPEZA</t>
  </si>
  <si>
    <t>SONYU MUÑOZ MUÑOZ</t>
  </si>
  <si>
    <t>YENI PATALA HUAYHUARIMA</t>
  </si>
  <si>
    <t>Herramientas de Ofimática de Microsoft, Herramientas de Ofimática de Google, Herramientas de Diseño Web</t>
  </si>
  <si>
    <t xml:space="preserve">LILIANA ESPEZA CCAÑAHUA </t>
  </si>
  <si>
    <t xml:space="preserve">PERCY ELVIS INGA PATALA </t>
  </si>
  <si>
    <t>Diana ANTAY GUEVARA</t>
  </si>
  <si>
    <t>Max Anthony PEREZ MOLINA</t>
  </si>
  <si>
    <t>Lenguajes de programación</t>
  </si>
  <si>
    <t>Virna Maryori YANCE AUCAPIÑA</t>
  </si>
  <si>
    <t>Maycol SALVATIERRA MARALLANO</t>
  </si>
  <si>
    <t>Luis Angel LLIMPE CALDERON</t>
  </si>
  <si>
    <t>Cinthia  Lucero TORRES LANDEO</t>
  </si>
  <si>
    <t>David CORNEJO PEREZ</t>
  </si>
  <si>
    <t>Mark BrandoQUISPE ESCOBAR</t>
  </si>
  <si>
    <t>Brayan AUQUI TITO</t>
  </si>
  <si>
    <t>Rony TITO TELLO</t>
  </si>
  <si>
    <t>DAVID QUISPE CHAMPI</t>
  </si>
  <si>
    <t>VIDAL HUILLCA QUISPE</t>
  </si>
  <si>
    <t xml:space="preserve">Reynaldo Qquesuallpa </t>
  </si>
  <si>
    <t>Yordy Zarate Cuevas</t>
  </si>
  <si>
    <t>Adriano Quispe Condori</t>
  </si>
  <si>
    <t>Maribel Mendoza Ayme</t>
  </si>
  <si>
    <t>Nestor Uriel Quispe Quispe</t>
  </si>
  <si>
    <t>Efrain Lopez Quispe</t>
  </si>
  <si>
    <t>Erick Merma Halanoca</t>
  </si>
  <si>
    <t>Ruth Karina Quispe Huaman</t>
  </si>
  <si>
    <t>Ruth Yeritza Merma Huaman</t>
  </si>
  <si>
    <t>Flor Sadith Mendoza Chacon</t>
  </si>
  <si>
    <t>Ana Lucía Mamani Ulloa</t>
  </si>
  <si>
    <t>Edwin Mamani Chacon</t>
  </si>
  <si>
    <t>Tatiana Alexandra Auccacusi Sanchez</t>
  </si>
  <si>
    <t>Yosimar Oscar Quispe Ulloa</t>
  </si>
  <si>
    <t>Chillihuani Chillihuani Lisbeth Analy</t>
  </si>
  <si>
    <t>Nina Yana Delia</t>
  </si>
  <si>
    <t>NIEL ADRIEL FACHIN SAMANCIMA</t>
  </si>
  <si>
    <t>WILER</t>
  </si>
  <si>
    <t>ADRIÁN ALEXIS DÁVILA PÉREZ</t>
  </si>
  <si>
    <t>ROBERTO CARLOS FALCÓN CAHUAZA</t>
  </si>
  <si>
    <t>LEIDY HIDALGO NASHNATE</t>
  </si>
  <si>
    <t>JACKSON PEZO MURAYARI</t>
  </si>
  <si>
    <t>ULISES SANDOVAL ROMAYNA</t>
  </si>
  <si>
    <t>DARWIN ANDY TAMANI TORRES</t>
  </si>
  <si>
    <t>MOISES CASTERNOQUE ALVA</t>
  </si>
  <si>
    <t>DARWIN JOSE GARCIA SAJAMI</t>
  </si>
  <si>
    <t>ANELHI SOLANGE MACEDO RICOPA</t>
  </si>
  <si>
    <t>JOHAN BRUS MANANITA ALEGRIA</t>
  </si>
  <si>
    <t>FLOR CELESTE OJANAMA CUELLAR</t>
  </si>
  <si>
    <t>EDUARD PEZO SOTELO</t>
  </si>
  <si>
    <t>JUAN ANTONIO PEZO SOTELO</t>
  </si>
  <si>
    <t>JULIETA ROMINA SEGURA BOCANEGRA</t>
  </si>
  <si>
    <t>MARIANA ISABEL SOTO CUÑAÑAY</t>
  </si>
  <si>
    <t xml:space="preserve">ASHSLEY RIANA VASQUEZ RAMIREZ </t>
  </si>
  <si>
    <t>MELANIA DEL ROCIO ASCURRA SHUÑA</t>
  </si>
  <si>
    <t>ROBERTO CARLOS CERROY SANDOVAL</t>
  </si>
  <si>
    <t>MATIAS ADRIANO ISUIZA CASARA</t>
  </si>
  <si>
    <t>CRISTIANA VIVIANA PUA MARIÑO</t>
  </si>
  <si>
    <t>LARISA LUANA RENGIFO CHANCHARI</t>
  </si>
  <si>
    <t>MARIE FRANCE SUAREZ PINEDO</t>
  </si>
  <si>
    <t>JUAN ARTEMIO RIOS CUNAYAPA</t>
  </si>
  <si>
    <t>DIANA EUNICE CACHIQUE ZABALETA</t>
  </si>
  <si>
    <t>BRANDEN VALDERRAMA VILCA</t>
  </si>
  <si>
    <t>ANSELMA PANDURO YAICATE</t>
  </si>
  <si>
    <t>FERNANDO VALDERRAMA VILCA</t>
  </si>
  <si>
    <t>PILAR MURAYARI COLLANTES</t>
  </si>
  <si>
    <t>LUZ MILAGROS RÍOS VÁSQUEZ</t>
  </si>
  <si>
    <t>JOSUÉ SAÚL VARGAS PEZO</t>
  </si>
  <si>
    <t>IBELY BERITA ALVARADO LANZA</t>
  </si>
  <si>
    <t>CILER SIMON ANDRADE DUPA</t>
  </si>
  <si>
    <t>ESTEFANY FLORCITA ARIMUYA TARICUARIMA</t>
  </si>
  <si>
    <t xml:space="preserve">JHOHARIZ COMETIVO TUESTA </t>
  </si>
  <si>
    <t>RAYLI ZULEYKA GONZALES MACEDO</t>
  </si>
  <si>
    <t>PABLO DAVID GUEVARA RAMIREZ</t>
  </si>
  <si>
    <t xml:space="preserve">RUTH MARIA LOPEZ LOPEZ </t>
  </si>
  <si>
    <t xml:space="preserve">RODRIGO JESUS MANANITA ALEGRIA </t>
  </si>
  <si>
    <t xml:space="preserve">GILBERTO JIM PIER PEREA LAVIS </t>
  </si>
  <si>
    <t>ANISON LUCERO PANAIFO MANIHUARI</t>
  </si>
  <si>
    <t xml:space="preserve">BRANDY TEJADA SOLSOL </t>
  </si>
  <si>
    <t>SANDRELY AMASIFUEN FLORES</t>
  </si>
  <si>
    <t>GERARDO ADAN ARIMUYA SAAVEDRA</t>
  </si>
  <si>
    <t>NELVIN ATACHI VASQUEZ</t>
  </si>
  <si>
    <t>MILITON CHAVEZ MALAFAYA</t>
  </si>
  <si>
    <t>TAHINA YESSLIN GARCIA FACHIN</t>
  </si>
  <si>
    <t>LUZ JADIRIA PINEDO PEREZ</t>
  </si>
  <si>
    <t>ELI DANIEL RENGIFO CHANCHARI</t>
  </si>
  <si>
    <t>MEYLI VARGAS JIMENES</t>
  </si>
  <si>
    <t>Juarez Alama Jose Daniel</t>
  </si>
  <si>
    <t xml:space="preserve">Calle Ramos Nayeli del Pilar </t>
  </si>
  <si>
    <t>Yeritza Yojara HUALLPAHUAQUE JARA</t>
  </si>
  <si>
    <t>Rodoaldo Henri PAJUELO MURGA</t>
  </si>
  <si>
    <t>Carlos Fernando,CHACHAS RAMOS</t>
  </si>
  <si>
    <t>Angel ARANGO PEREZ</t>
  </si>
  <si>
    <t>Sury SULCA SULCA</t>
  </si>
  <si>
    <t>COMPONENTE</t>
  </si>
  <si>
    <t>ENCUESTADO</t>
  </si>
  <si>
    <t>ID. Grado</t>
  </si>
  <si>
    <t>Sección</t>
  </si>
  <si>
    <t>Data</t>
  </si>
  <si>
    <t/>
  </si>
  <si>
    <t>811 (NUEVA ESPERANZA)</t>
  </si>
  <si>
    <t>536 (13 DE FEBRERO)</t>
  </si>
  <si>
    <t>405 (CAHUIDE)</t>
  </si>
  <si>
    <t>Nombre de la IIEE:</t>
  </si>
  <si>
    <t>Ablohas unldılama</t>
  </si>
  <si>
    <t>Nombres y apellidos:</t>
  </si>
  <si>
    <t>Mila</t>
  </si>
  <si>
    <t>Sexo:</t>
  </si>
  <si>
    <t>Edad:</t>
  </si>
  <si>
    <t>¿Con qué tipo de dispositivo te conectas a internet desde casa?</t>
  </si>
  <si>
    <t>Smartphone(celular)</t>
  </si>
  <si>
    <t>¿Tu Institución Educativa cuenta con Aulas de Innovación?</t>
  </si>
  <si>
    <t>Temáticas aprendidas en computación e informática:</t>
  </si>
  <si>
    <t>1. Elijo buscadores de distinto tipo para encontrar y seleccionar información relevante. Además puedo guardar mis páginas favoritas.</t>
  </si>
  <si>
    <t>2. Guardo mis archivos como documentos, fotos, videos entre otros en la nube (como por ejemplo Google Drive), organizándolos correctamente en carpetas o en otros portafolios digitales.</t>
  </si>
  <si>
    <t>con facilidad</t>
  </si>
  <si>
    <t>3. Creo productos como presentaciones, videos, podcast, infografías, páginas web entre otros, para comunicar mis ideas a los demás.</t>
  </si>
  <si>
    <t>No sé cómo hacerlo</t>
  </si>
  <si>
    <t>4. Grabo audios y videos con la computadora, tablet o celular y puedo editarlos para entregar tareas.</t>
  </si>
  <si>
    <t>5. Creo y trabajo en documentos, archivos y carpetas colaborativos estableciendo niveles de acceso como editor, lector y comentador.</t>
  </si>
  <si>
    <t>Necesito ayuda</t>
  </si>
  <si>
    <t>6. Puedo enviar correos electrónicos a otras personas adjuntando archivos de mi computadora, tablet o celular y de la nube.</t>
  </si>
  <si>
    <t>7. Puedo valorar cuando la información que busco en Internet tiene credibilidad y relevancia.</t>
  </si>
  <si>
    <t>8. Creo organizadores visuales (como mapas mentales o conceptuales) utilizando herramientas como PowerPoint, Presentaciones de Google o cualquier otra desde mi computadora, tablet o celular o también de Internet para presentar las conclusiones y aprendizajes de los temas que investigo.</t>
  </si>
  <si>
    <t>9. Cuando enfrento un problema complejo lo puedo descomponer para solucionarlo.</t>
  </si>
  <si>
    <t>10. Puedo identificar lo más importante de un problema, ignorando los detalles poco relevantes.</t>
  </si>
  <si>
    <t>11. Utilizo instrucciones condicionales y repetitivas al implementar algoritmos.</t>
  </si>
  <si>
    <t>12. Puedo crear soluciones tecnológicas utilizando lenguajes de programación.</t>
  </si>
  <si>
    <t>13. Tengo conocimientos y manejo de base de datos.</t>
  </si>
  <si>
    <t>14. Puedo obtener estadísticas con los datos de una hoja de cálculo para analizar la información.</t>
  </si>
  <si>
    <t>15. Sé cómo funciona un robot y cómo programarlo para que realice acciones para resolver problemas del entorno.</t>
  </si>
  <si>
    <t>16. Conozco el manejo de placas como Arduino, para programar sensores y otros usos.</t>
  </si>
  <si>
    <t>17. Cuando publico videos o post en redes sociales cuido de no exponer datos ni información que perjudique a otros o a mí mismo.</t>
  </si>
  <si>
    <t>18. Soy consciente que todo lo que hago en redes, comentarios, mensajes, fotos, mis datos, dejan una huella digital.</t>
  </si>
  <si>
    <t>19. Suelo ser respetuoso cuando me comunico por correo, foros o chat con otros.</t>
  </si>
  <si>
    <t>20. Suelo respetar a otros al publicar información en redes sociales.</t>
  </si>
  <si>
    <t>21. Cuando realizo trabajos de investigación, respeto los derechos de autor, sin copiar y pegar información, citando correctamente a los autores con formatos como APA.</t>
  </si>
  <si>
    <t>22. Conozco el uso de banco de imágenes y otros recursos gratuitos para usarlos en mis trabajos.</t>
  </si>
  <si>
    <t>23. Conozco formas de establecer y medir contraseñas seguras en Internet.</t>
  </si>
  <si>
    <t>24. Soy cuidadoso con los datos personales como nombre, dirección, correo o teléfono cuando me registro en redes sociales y otros espacios.</t>
  </si>
  <si>
    <t>Comentario del proceso de extracción</t>
  </si>
  <si>
    <t>Sevundaria</t>
  </si>
  <si>
    <t>ID. Cuadernillo</t>
  </si>
  <si>
    <t>Curso</t>
  </si>
  <si>
    <t>Cuadernillo</t>
  </si>
  <si>
    <t># Criterios</t>
  </si>
  <si>
    <t>Max Nota</t>
  </si>
  <si>
    <t>PC1/1 Primaria</t>
  </si>
  <si>
    <t>Produccción de textos</t>
  </si>
  <si>
    <t>0-20</t>
  </si>
  <si>
    <t>MC1/2 Primaria</t>
  </si>
  <si>
    <t>Matemática</t>
  </si>
  <si>
    <t>21-42</t>
  </si>
  <si>
    <t>MC1/4 Primaria</t>
  </si>
  <si>
    <t>Logrado</t>
  </si>
  <si>
    <t>43-50</t>
  </si>
  <si>
    <t>MC1/6 Primaria</t>
  </si>
  <si>
    <t>MC1/2 Secundaria</t>
  </si>
  <si>
    <t>MC1/4 Secundaria</t>
  </si>
  <si>
    <t>BASE DE DATOS 2024 - RED 44 - CUZCO - COMUNINICACIÓN Y MATEMÁTICA</t>
  </si>
  <si>
    <t>RESPUESTAS</t>
  </si>
  <si>
    <t>Estud</t>
  </si>
  <si>
    <t>PUNTUACIÓN</t>
  </si>
  <si>
    <t>id</t>
  </si>
  <si>
    <t>Area</t>
  </si>
  <si>
    <t>Clave</t>
  </si>
  <si>
    <t>Prueba Aplicada</t>
  </si>
  <si>
    <t>APELL. PATERNO</t>
  </si>
  <si>
    <t>APELL. MATERNO</t>
  </si>
  <si>
    <t>NOMBRES</t>
  </si>
  <si>
    <t>P1</t>
  </si>
  <si>
    <t>P2</t>
  </si>
  <si>
    <t>P3</t>
  </si>
  <si>
    <t>P4</t>
  </si>
  <si>
    <t>P5</t>
  </si>
  <si>
    <t>P6</t>
  </si>
  <si>
    <t>P7</t>
  </si>
  <si>
    <t>P8</t>
  </si>
  <si>
    <t>P9</t>
  </si>
  <si>
    <t>P10</t>
  </si>
  <si>
    <t>P11</t>
  </si>
  <si>
    <t>P12</t>
  </si>
  <si>
    <t>P13</t>
  </si>
  <si>
    <t>P14</t>
  </si>
  <si>
    <t>P15</t>
  </si>
  <si>
    <t>P16</t>
  </si>
  <si>
    <t>P17</t>
  </si>
  <si>
    <t>P18</t>
  </si>
  <si>
    <t>P19</t>
  </si>
  <si>
    <t>P20</t>
  </si>
  <si>
    <t>P</t>
  </si>
  <si>
    <t>50492- CORAZON DE JESUS OCONGATE</t>
  </si>
  <si>
    <t>MATEMÁTICA CASTELLANO</t>
  </si>
  <si>
    <t xml:space="preserve">CCANAHUIRE </t>
  </si>
  <si>
    <t xml:space="preserve">GONZALES </t>
  </si>
  <si>
    <t>BRYAM ABNNEE</t>
  </si>
  <si>
    <t>MASCULINO</t>
  </si>
  <si>
    <t>b</t>
  </si>
  <si>
    <t>a</t>
  </si>
  <si>
    <t>c</t>
  </si>
  <si>
    <t xml:space="preserve">CONDORI </t>
  </si>
  <si>
    <t xml:space="preserve">QUIJHUA </t>
  </si>
  <si>
    <t>RUTH CINTIA</t>
  </si>
  <si>
    <t>FEMENINO</t>
  </si>
  <si>
    <t xml:space="preserve">MAMANI  </t>
  </si>
  <si>
    <t>MAMANI</t>
  </si>
  <si>
    <t>EDITH SHERLYN</t>
  </si>
  <si>
    <t xml:space="preserve">MENDOZA </t>
  </si>
  <si>
    <t xml:space="preserve">QUISPE </t>
  </si>
  <si>
    <t>AINTOR ABDIEL</t>
  </si>
  <si>
    <t xml:space="preserve">QQUENTASI </t>
  </si>
  <si>
    <t xml:space="preserve">PUMA </t>
  </si>
  <si>
    <t>RUSTH MIRELLA</t>
  </si>
  <si>
    <t xml:space="preserve">QUEA </t>
  </si>
  <si>
    <t xml:space="preserve">MAMANI </t>
  </si>
  <si>
    <t>IDAN ANDIEOT</t>
  </si>
  <si>
    <t xml:space="preserve">ULLOA </t>
  </si>
  <si>
    <t>CLARIBEL ADELINDA</t>
  </si>
  <si>
    <t xml:space="preserve">APAZA </t>
  </si>
  <si>
    <t>QUISPE,</t>
  </si>
  <si>
    <t>Vidal</t>
  </si>
  <si>
    <t xml:space="preserve">CCAPA , </t>
  </si>
  <si>
    <t>QUISPE</t>
  </si>
  <si>
    <t>Ivana Alejandra</t>
  </si>
  <si>
    <t xml:space="preserve">FLOREZ , </t>
  </si>
  <si>
    <t>PACHECO</t>
  </si>
  <si>
    <t>Jose Antonio</t>
  </si>
  <si>
    <t>d</t>
  </si>
  <si>
    <t xml:space="preserve">MAMANI , </t>
  </si>
  <si>
    <t>PHOCCOHUANCA</t>
  </si>
  <si>
    <t>Sheyla Milagros</t>
  </si>
  <si>
    <t xml:space="preserve">MONTALVO, </t>
  </si>
  <si>
    <t xml:space="preserve"> ROCCA</t>
  </si>
  <si>
    <t>Jhoshua Eyal</t>
  </si>
  <si>
    <t>QUISPE ,.</t>
  </si>
  <si>
    <t>LUNA</t>
  </si>
  <si>
    <t xml:space="preserve"> Luz Ariana</t>
  </si>
  <si>
    <t>RODRIGUEZ ,</t>
  </si>
  <si>
    <t>Jhosse Kaori</t>
  </si>
  <si>
    <t xml:space="preserve">URRUTIA , </t>
  </si>
  <si>
    <t>Edith Eum Hye</t>
  </si>
  <si>
    <t>APAZA</t>
  </si>
  <si>
    <t>Adriana milagros</t>
  </si>
  <si>
    <t xml:space="preserve">CRUZ </t>
  </si>
  <si>
    <t xml:space="preserve">LOAIZA </t>
  </si>
  <si>
    <t>Willian Fernando</t>
  </si>
  <si>
    <t>HUILLCA</t>
  </si>
  <si>
    <t xml:space="preserve">MACHACCA </t>
  </si>
  <si>
    <t>Iris Keyla</t>
  </si>
  <si>
    <t xml:space="preserve">QQUESUALLPA </t>
  </si>
  <si>
    <t>MACHACCA</t>
  </si>
  <si>
    <t>Jared Beltran</t>
  </si>
  <si>
    <t>RAFAILE</t>
  </si>
  <si>
    <t>Naidi Azumi</t>
  </si>
  <si>
    <t>ROMANI</t>
  </si>
  <si>
    <t xml:space="preserve">TURPO </t>
  </si>
  <si>
    <t>Jesus Adrian</t>
  </si>
  <si>
    <t>TURPO</t>
  </si>
  <si>
    <t xml:space="preserve"> CCAHUANA</t>
  </si>
  <si>
    <t xml:space="preserve"> Mhayli Luana</t>
  </si>
  <si>
    <t>AROCHE</t>
  </si>
  <si>
    <t>PUMA</t>
  </si>
  <si>
    <t>Yordy Stiven</t>
  </si>
  <si>
    <t>DAMIAN</t>
  </si>
  <si>
    <t>PARAVECINO</t>
  </si>
  <si>
    <t>Angeles Daged</t>
  </si>
  <si>
    <t>HUISA</t>
  </si>
  <si>
    <t>PEREZ</t>
  </si>
  <si>
    <t>Vania Romina</t>
  </si>
  <si>
    <t>ZARATE</t>
  </si>
  <si>
    <t>Oswaldo</t>
  </si>
  <si>
    <t>QQUESUALLPA</t>
  </si>
  <si>
    <t>ROCCA</t>
  </si>
  <si>
    <t>Vania Zamira</t>
  </si>
  <si>
    <t>Carlos Manuel</t>
  </si>
  <si>
    <t>CRUZ</t>
  </si>
  <si>
    <t>Karen Diana</t>
  </si>
  <si>
    <t>ZAMATA</t>
  </si>
  <si>
    <t xml:space="preserve">Andrea </t>
  </si>
  <si>
    <t>CHAMPI</t>
  </si>
  <si>
    <t>CHOQUE</t>
  </si>
  <si>
    <t>Xavi snaider</t>
  </si>
  <si>
    <t>CONDORI</t>
  </si>
  <si>
    <t>Yunder Quintin</t>
  </si>
  <si>
    <t>HUANCA</t>
  </si>
  <si>
    <t>Karinorca</t>
  </si>
  <si>
    <t>NINA</t>
  </si>
  <si>
    <t>MOSCOSO</t>
  </si>
  <si>
    <t>Alejandra Martha</t>
  </si>
  <si>
    <t>UMIÑA</t>
  </si>
  <si>
    <t>FLORES</t>
  </si>
  <si>
    <t>Daniel Alexander</t>
  </si>
  <si>
    <t xml:space="preserve">TUESTA </t>
  </si>
  <si>
    <t>LLACTA</t>
  </si>
  <si>
    <t>Cielo Celeste Emily</t>
  </si>
  <si>
    <t>Roy Alex</t>
  </si>
  <si>
    <t>GOMEZ</t>
  </si>
  <si>
    <t>QUENTA</t>
  </si>
  <si>
    <t>Ruth</t>
  </si>
  <si>
    <t>HUAMAN</t>
  </si>
  <si>
    <t>CCAPA</t>
  </si>
  <si>
    <t>Yerson Alan</t>
  </si>
  <si>
    <t>Jonathan Neymar</t>
  </si>
  <si>
    <t>Jack Rocky</t>
  </si>
  <si>
    <t>TTITO</t>
  </si>
  <si>
    <t>PAUCAR</t>
  </si>
  <si>
    <t>Luz Angely</t>
  </si>
  <si>
    <t>YUCRA</t>
  </si>
  <si>
    <t>Melissa</t>
  </si>
  <si>
    <t>CHILLIHUANI</t>
  </si>
  <si>
    <t>CHOQQUE</t>
  </si>
  <si>
    <t>Lady Diana</t>
  </si>
  <si>
    <t>HALANOCCA</t>
  </si>
  <si>
    <t>Nayely</t>
  </si>
  <si>
    <t>SULLCAPUMA</t>
  </si>
  <si>
    <t>Wilfredo</t>
  </si>
  <si>
    <t xml:space="preserve">CUEVAS </t>
  </si>
  <si>
    <t>Lourdes</t>
  </si>
  <si>
    <t>LUMA</t>
  </si>
  <si>
    <t xml:space="preserve">Brayan </t>
  </si>
  <si>
    <t>MANDURA</t>
  </si>
  <si>
    <t>AVILES</t>
  </si>
  <si>
    <t>Ángel Noe</t>
  </si>
  <si>
    <t>Imer Herberth</t>
  </si>
  <si>
    <t>ROMERO</t>
  </si>
  <si>
    <t>MELO</t>
  </si>
  <si>
    <t>Jose Gabriel</t>
  </si>
  <si>
    <t>CJANAHUIRE</t>
  </si>
  <si>
    <t>MAYO</t>
  </si>
  <si>
    <t>SENDY NORI</t>
  </si>
  <si>
    <t>GUZMAN</t>
  </si>
  <si>
    <t>KEVIN</t>
  </si>
  <si>
    <t>MACHACC</t>
  </si>
  <si>
    <t>ANA</t>
  </si>
  <si>
    <t>MENDOZA</t>
  </si>
  <si>
    <t xml:space="preserve"> JEFFERSON</t>
  </si>
  <si>
    <t>PINO</t>
  </si>
  <si>
    <t>YOHMI LUHANA</t>
  </si>
  <si>
    <t>QUIJHUA</t>
  </si>
  <si>
    <t>RUTH CAMILA</t>
  </si>
  <si>
    <t>JHEYSON FLORENS</t>
  </si>
  <si>
    <t>CALCINA</t>
  </si>
  <si>
    <t>ACHAHUI</t>
  </si>
  <si>
    <t>FLOR MEDOLY</t>
  </si>
  <si>
    <t>CURO</t>
  </si>
  <si>
    <t>XIARA</t>
  </si>
  <si>
    <t>FLOREZ</t>
  </si>
  <si>
    <t>RUSBEL</t>
  </si>
  <si>
    <t>PALOMINO</t>
  </si>
  <si>
    <t>VILAVILA</t>
  </si>
  <si>
    <t>SHENLOON VENGER</t>
  </si>
  <si>
    <t>SAYURI ANYELA</t>
  </si>
  <si>
    <t>MAX KELVIN</t>
  </si>
  <si>
    <t>RODRIGUEZ</t>
  </si>
  <si>
    <t>SULLY DANAE HEYDI</t>
  </si>
  <si>
    <t>Comprensión Lectora</t>
  </si>
  <si>
    <t>MC/2 Primaria</t>
  </si>
  <si>
    <t>COMPRENSIÓN LECTORA CASTELLANO</t>
  </si>
  <si>
    <t>MC/4 Primaria</t>
  </si>
  <si>
    <t>MC/6 Primaria</t>
  </si>
  <si>
    <t>50495 CCAPANA</t>
  </si>
  <si>
    <t>MATEMÁTICA QUECHUA</t>
  </si>
  <si>
    <t>NEIMAR</t>
  </si>
  <si>
    <t>ch</t>
  </si>
  <si>
    <t>chh</t>
  </si>
  <si>
    <t>COMPRENSIÓN LECTORA QUECHUA</t>
  </si>
  <si>
    <t>ROYER JAMES</t>
  </si>
  <si>
    <t>SILVA</t>
  </si>
  <si>
    <t>REYNALDO</t>
  </si>
  <si>
    <t>FERNANDEZ</t>
  </si>
  <si>
    <t>FLOR KATHERIN</t>
  </si>
  <si>
    <t>HUALLPA</t>
  </si>
  <si>
    <t>YEISON FRANCO</t>
  </si>
  <si>
    <t>MIRIAN</t>
  </si>
  <si>
    <t>ROSALINDA</t>
  </si>
  <si>
    <t>JANCCO</t>
  </si>
  <si>
    <t>NOEMI</t>
  </si>
  <si>
    <t>RUTH NAYDA</t>
  </si>
  <si>
    <t>LLANOS</t>
  </si>
  <si>
    <t>NEYMAR ALEX</t>
  </si>
  <si>
    <t>CCOLQQUE</t>
  </si>
  <si>
    <t>LUZ YENNY</t>
  </si>
  <si>
    <t>IRMA SOLEDAD</t>
  </si>
  <si>
    <t>ERNESTO</t>
  </si>
  <si>
    <t>CUCHUYRUMI</t>
  </si>
  <si>
    <t>NAY RUTH</t>
  </si>
  <si>
    <t>CUTIRI</t>
  </si>
  <si>
    <t>FREDERICK CLINTON</t>
  </si>
  <si>
    <t>JHON EFRAIN</t>
  </si>
  <si>
    <t>50550 PAMPACANCHA</t>
  </si>
  <si>
    <t>CRISTIAN WILBER</t>
  </si>
  <si>
    <t>PACHACUTE</t>
  </si>
  <si>
    <t>CUCHICARI</t>
  </si>
  <si>
    <t>TREISY YAYIRA</t>
  </si>
  <si>
    <t>RAMOS</t>
  </si>
  <si>
    <t>LAYME</t>
  </si>
  <si>
    <t>ALDO OLIVER</t>
  </si>
  <si>
    <t>NEYMAR</t>
  </si>
  <si>
    <t>PPACSI</t>
  </si>
  <si>
    <t>FREDELEY CARLDS</t>
  </si>
  <si>
    <t>YUPA</t>
  </si>
  <si>
    <t>JHON YEDISON</t>
  </si>
  <si>
    <t>50552 "TÚPAC AMARU II" - HUACATINCO</t>
  </si>
  <si>
    <t xml:space="preserve">CONDORI   </t>
  </si>
  <si>
    <t>Fraymar Yader</t>
  </si>
  <si>
    <t xml:space="preserve">FUENTES </t>
  </si>
  <si>
    <t xml:space="preserve">CONDORI  </t>
  </si>
  <si>
    <t>Leidy Diana</t>
  </si>
  <si>
    <t xml:space="preserve">HUISA  </t>
  </si>
  <si>
    <t xml:space="preserve">Jhaziel </t>
  </si>
  <si>
    <t xml:space="preserve">QUISOE </t>
  </si>
  <si>
    <t>Abdón Rogelio</t>
  </si>
  <si>
    <t xml:space="preserve"> CJANAHUIRI </t>
  </si>
  <si>
    <t>FUENTES</t>
  </si>
  <si>
    <t>Jifre Edmerson</t>
  </si>
  <si>
    <t xml:space="preserve"> CONDORI </t>
  </si>
  <si>
    <t xml:space="preserve">Zuleidy Linabel </t>
  </si>
  <si>
    <t xml:space="preserve"> FUENTES </t>
  </si>
  <si>
    <t>YAPURA</t>
  </si>
  <si>
    <t xml:space="preserve">Eliazar </t>
  </si>
  <si>
    <t xml:space="preserve"> GONZALES </t>
  </si>
  <si>
    <t>CCALLO</t>
  </si>
  <si>
    <t>Sulleimy Marilyn</t>
  </si>
  <si>
    <t xml:space="preserve">YAPURA </t>
  </si>
  <si>
    <t>Riede Orlando</t>
  </si>
  <si>
    <t>Javier Fernando</t>
  </si>
  <si>
    <t xml:space="preserve">MERMA </t>
  </si>
  <si>
    <t>Romario</t>
  </si>
  <si>
    <t xml:space="preserve">YUCRA </t>
  </si>
  <si>
    <t>CCOYORI</t>
  </si>
  <si>
    <t>Adan Yimer</t>
  </si>
  <si>
    <t>CCANAHUIRE</t>
  </si>
  <si>
    <t xml:space="preserve">Sadrac Raul </t>
  </si>
  <si>
    <t xml:space="preserve">CHILLIHUANI </t>
  </si>
  <si>
    <t xml:space="preserve">Liz Analy </t>
  </si>
  <si>
    <t>Eliana</t>
  </si>
  <si>
    <t xml:space="preserve">Olga Bresaida  </t>
  </si>
  <si>
    <t xml:space="preserve">TTITO </t>
  </si>
  <si>
    <t xml:space="preserve">Yosifer </t>
  </si>
  <si>
    <t>50553 MARAMPAQUI</t>
  </si>
  <si>
    <t>FERNANDINO</t>
  </si>
  <si>
    <t>CARI</t>
  </si>
  <si>
    <t>VILLAGRA</t>
  </si>
  <si>
    <t>ALEXANDRA</t>
  </si>
  <si>
    <t>KAROLINA</t>
  </si>
  <si>
    <t>50558 PARCCOCALLA</t>
  </si>
  <si>
    <t>Erick</t>
  </si>
  <si>
    <t>CRISPIN</t>
  </si>
  <si>
    <t xml:space="preserve">Andre Bensemaha Eyal </t>
  </si>
  <si>
    <t>Maysel Nayely</t>
  </si>
  <si>
    <t xml:space="preserve">CHALLCO </t>
  </si>
  <si>
    <t>Karen Vanessa</t>
  </si>
  <si>
    <t xml:space="preserve">Niumar </t>
  </si>
  <si>
    <t>VALDIVIA</t>
  </si>
  <si>
    <t>Anderson Dreick</t>
  </si>
  <si>
    <t xml:space="preserve"> Wilberth</t>
  </si>
  <si>
    <t xml:space="preserve"> YUCRA </t>
  </si>
  <si>
    <t>Aldair Jefferson</t>
  </si>
  <si>
    <t>50715 - Llachi</t>
  </si>
  <si>
    <t>COLQUEHUANCA</t>
  </si>
  <si>
    <t>LIAN CARLOS</t>
  </si>
  <si>
    <t>URIEL FABIAN</t>
  </si>
  <si>
    <t>AGUILAR</t>
  </si>
  <si>
    <t>LIZARASO</t>
  </si>
  <si>
    <t>MARITZA</t>
  </si>
  <si>
    <t>50719- VIRGEN DEL CARMEN TINKE</t>
  </si>
  <si>
    <t>JOSUE</t>
  </si>
  <si>
    <t>ILLA</t>
  </si>
  <si>
    <t>EDISON NEYMAR</t>
  </si>
  <si>
    <t>MARIA ELIZABETH</t>
  </si>
  <si>
    <t>PRINS ZNAIDER</t>
  </si>
  <si>
    <t>JEREMY ANGEL</t>
  </si>
  <si>
    <t>VIÑA</t>
  </si>
  <si>
    <t>MERMA</t>
  </si>
  <si>
    <t>NOEWILL ARNOLD</t>
  </si>
  <si>
    <t>YANA</t>
  </si>
  <si>
    <t>DEIVID</t>
  </si>
  <si>
    <t xml:space="preserve">YUPANQUI </t>
  </si>
  <si>
    <t xml:space="preserve">HUANCA </t>
  </si>
  <si>
    <t>RUTH DINA</t>
  </si>
  <si>
    <t>CALLER</t>
  </si>
  <si>
    <t>ESTRADA</t>
  </si>
  <si>
    <t>Lian Sebastian</t>
  </si>
  <si>
    <t>CCAHUANA</t>
  </si>
  <si>
    <t>GARCIA</t>
  </si>
  <si>
    <t>Stefany</t>
  </si>
  <si>
    <t>Axel Roy</t>
  </si>
  <si>
    <t>Neymar Alain</t>
  </si>
  <si>
    <t>SONCCO</t>
  </si>
  <si>
    <t>Eva Adela</t>
  </si>
  <si>
    <t>VEGA</t>
  </si>
  <si>
    <t>Josepf Diego</t>
  </si>
  <si>
    <t>YNFANSON</t>
  </si>
  <si>
    <t>PAUCCAR</t>
  </si>
  <si>
    <t>Lucy Cielo</t>
  </si>
  <si>
    <t>YUPANQUI</t>
  </si>
  <si>
    <t>Welly Alexis</t>
  </si>
  <si>
    <t>ISAI</t>
  </si>
  <si>
    <t>SHOMY LIZETH</t>
  </si>
  <si>
    <t>NORALY SKARLET</t>
  </si>
  <si>
    <t>GONZALO</t>
  </si>
  <si>
    <t>JEREMIAS</t>
  </si>
  <si>
    <t>SHEYLA VALESCA</t>
  </si>
  <si>
    <t>JUCHASARA</t>
  </si>
  <si>
    <t>RUDY JHOSMEL</t>
  </si>
  <si>
    <t>ANGIE CARILY</t>
  </si>
  <si>
    <t>MAX PAUL</t>
  </si>
  <si>
    <t>AJLEE LIZ</t>
  </si>
  <si>
    <t>TUCO</t>
  </si>
  <si>
    <t>JUAN MIJAEL</t>
  </si>
  <si>
    <t>JOHAN LIAM</t>
  </si>
  <si>
    <t>NILDA FLOR</t>
  </si>
  <si>
    <t>ANELIS NICOL</t>
  </si>
  <si>
    <t>ABEL</t>
  </si>
  <si>
    <t>HALISTO</t>
  </si>
  <si>
    <t>LIZ KATHERINE</t>
  </si>
  <si>
    <t>MELISSA</t>
  </si>
  <si>
    <t>ANGIE MILLETH</t>
  </si>
  <si>
    <t>DAISHA MIASHI</t>
  </si>
  <si>
    <t>CHOQUEHUAYTA</t>
  </si>
  <si>
    <t>JUAN RODRIGO</t>
  </si>
  <si>
    <t>FRANK NEYMAR</t>
  </si>
  <si>
    <t>CRIS MARICIELA</t>
  </si>
  <si>
    <t>BENJAMIN</t>
  </si>
  <si>
    <t>IVAN JHOEL</t>
  </si>
  <si>
    <t>ROSA FLOR</t>
  </si>
  <si>
    <t>PACSI</t>
  </si>
  <si>
    <t>CCOA</t>
  </si>
  <si>
    <t>ISRAEL JACOB</t>
  </si>
  <si>
    <t>LARICO</t>
  </si>
  <si>
    <t>SHAYURI</t>
  </si>
  <si>
    <t>ALINE ARIANNA</t>
  </si>
  <si>
    <t>CALSINA</t>
  </si>
  <si>
    <t>GRAYES</t>
  </si>
  <si>
    <t>CHOQUEPATA</t>
  </si>
  <si>
    <t>JOSE JEANPAUL</t>
  </si>
  <si>
    <t>ALDAIR RONALDHINO</t>
  </si>
  <si>
    <t>GRIES NATALI</t>
  </si>
  <si>
    <t>TAPARA</t>
  </si>
  <si>
    <t>YUSUE DAYIRO</t>
  </si>
  <si>
    <t>50765 - SALLICANCHA</t>
  </si>
  <si>
    <t>LUZ NAYDA</t>
  </si>
  <si>
    <t>CCOLQUE</t>
  </si>
  <si>
    <t xml:space="preserve">LUNA </t>
  </si>
  <si>
    <t>JHASMIN SHAKIRA</t>
  </si>
  <si>
    <t>ANDY JAIRO</t>
  </si>
  <si>
    <t>BEDOYA</t>
  </si>
  <si>
    <t>RUTH MILAGROS</t>
  </si>
  <si>
    <t xml:space="preserve">JARA </t>
  </si>
  <si>
    <t>JOSE ARMANDO</t>
  </si>
  <si>
    <t>50696 YANACANCHA</t>
  </si>
  <si>
    <t>CAYO</t>
  </si>
  <si>
    <t>KELY MAYUMI</t>
  </si>
  <si>
    <t>DANIEL</t>
  </si>
  <si>
    <t>CCARITA</t>
  </si>
  <si>
    <t>GILBER</t>
  </si>
  <si>
    <t>JHON ABEL</t>
  </si>
  <si>
    <t>YOSIMAR</t>
  </si>
  <si>
    <t>EVA</t>
  </si>
  <si>
    <t>SACA</t>
  </si>
  <si>
    <t>JHONATAN</t>
  </si>
  <si>
    <t xml:space="preserve">YANA </t>
  </si>
  <si>
    <t>RUTH MELINDA</t>
  </si>
  <si>
    <t>50854 de PATAPALLAPA ALTA</t>
  </si>
  <si>
    <t>Neymar</t>
  </si>
  <si>
    <t>MEZA</t>
  </si>
  <si>
    <t>Yuly Rosalinda</t>
  </si>
  <si>
    <t>Raymundo Yampol</t>
  </si>
  <si>
    <t>CHUQUIHUAYTA</t>
  </si>
  <si>
    <t>THIAGO ALEX</t>
  </si>
  <si>
    <t>CONDORAPA</t>
  </si>
  <si>
    <t>YON ALEX</t>
  </si>
  <si>
    <t>YURI SHELDON</t>
  </si>
  <si>
    <t>LUIS ANGEL</t>
  </si>
  <si>
    <t>LOCUMBER</t>
  </si>
  <si>
    <t>CONTRERAS</t>
  </si>
  <si>
    <t>MELINDA BRITANY</t>
  </si>
  <si>
    <t>SAMANES</t>
  </si>
  <si>
    <t>ABDON</t>
  </si>
  <si>
    <t>501344- CCASAPATA</t>
  </si>
  <si>
    <t xml:space="preserve">la niña llegó tarde a la evalución. La profesora señaló que la niña tiene una condición y que sabe leer, ni responder exámenes.  </t>
  </si>
  <si>
    <t>ZVIETCOVICH</t>
  </si>
  <si>
    <t>STEFANO</t>
  </si>
  <si>
    <t>PILLPE</t>
  </si>
  <si>
    <t>VARGAS</t>
  </si>
  <si>
    <t>LUCIANA MELISA</t>
  </si>
  <si>
    <t xml:space="preserve">GARCÍA </t>
  </si>
  <si>
    <t>GIAN MICHAEL</t>
  </si>
  <si>
    <t>501432 - Kumuncancha</t>
  </si>
  <si>
    <t xml:space="preserve"> LAYME</t>
  </si>
  <si>
    <t>Roni</t>
  </si>
  <si>
    <t xml:space="preserve"> CONDORI</t>
  </si>
  <si>
    <t>Shirley Yessill</t>
  </si>
  <si>
    <t xml:space="preserve">HUISA </t>
  </si>
  <si>
    <t xml:space="preserve"> HUILLCA</t>
  </si>
  <si>
    <t>Mary Flor</t>
  </si>
  <si>
    <t>JHON SNEIJDER</t>
  </si>
  <si>
    <t>FANNY LIZBETH</t>
  </si>
  <si>
    <t>JUAN ALCIDES</t>
  </si>
  <si>
    <t>HUBER JEFFERSON</t>
  </si>
  <si>
    <t xml:space="preserve">PPACSI </t>
  </si>
  <si>
    <t xml:space="preserve"> HUANCA</t>
  </si>
  <si>
    <t xml:space="preserve"> MARICRIS JASMIN</t>
  </si>
  <si>
    <t xml:space="preserve">VEGA </t>
  </si>
  <si>
    <t>YORDI CRISTIAN</t>
  </si>
  <si>
    <t>501455 - CRISTO REY TIKARIY</t>
  </si>
  <si>
    <t>YURI RONIEL</t>
  </si>
  <si>
    <t>HAROLOD ISAAC</t>
  </si>
  <si>
    <t xml:space="preserve">CRISPIN </t>
  </si>
  <si>
    <t>RUHT DILMA</t>
  </si>
  <si>
    <t xml:space="preserve">LAYME </t>
  </si>
  <si>
    <t>NAYMAY BRAYAN</t>
  </si>
  <si>
    <t>CRISTIAN RONALDIÑO</t>
  </si>
  <si>
    <t>CINTHIA LISBEHT</t>
  </si>
  <si>
    <t xml:space="preserve">HUAMAN </t>
  </si>
  <si>
    <t xml:space="preserve">GONZALO </t>
  </si>
  <si>
    <t>ANDERSON</t>
  </si>
  <si>
    <t>HANCCO</t>
  </si>
  <si>
    <t>YENI NATALY</t>
  </si>
  <si>
    <t xml:space="preserve">MAYO </t>
  </si>
  <si>
    <t>FLOR NELIDA</t>
  </si>
  <si>
    <t>PADD 2023 Y 2024</t>
  </si>
  <si>
    <t>SOLO 2023</t>
  </si>
  <si>
    <t>NO PARTICIPÓ</t>
  </si>
  <si>
    <t>SOLO 2024</t>
  </si>
  <si>
    <t>#NUM!</t>
  </si>
  <si>
    <t>536</t>
  </si>
  <si>
    <t>910</t>
  </si>
  <si>
    <t>058</t>
  </si>
  <si>
    <t>1419</t>
  </si>
  <si>
    <t>1559</t>
  </si>
  <si>
    <t>489</t>
  </si>
  <si>
    <t>732</t>
  </si>
  <si>
    <t>1341</t>
  </si>
  <si>
    <t>469</t>
  </si>
  <si>
    <t>909 - BELLO HORIZONTE</t>
  </si>
  <si>
    <t>1558 - MONTEVERDE ALTO</t>
  </si>
  <si>
    <t>555-B</t>
  </si>
  <si>
    <t>333-B</t>
  </si>
  <si>
    <t>SANTIAGO ANTUNEZ DE MAYOLO</t>
  </si>
  <si>
    <t>SAYRI TUPAC</t>
  </si>
  <si>
    <t>#DIV/0!</t>
  </si>
  <si>
    <t>#VALUE!</t>
  </si>
  <si>
    <t>COUNTA of R Producción de textos</t>
  </si>
  <si>
    <t>Total general</t>
  </si>
  <si>
    <t>COUNTA of Sexo</t>
  </si>
  <si>
    <t>COUNTA of Año</t>
  </si>
  <si>
    <t>(Todas)</t>
  </si>
  <si>
    <t>LOS 3 AÑOS</t>
  </si>
  <si>
    <t>SOLO 2022 Y 2024</t>
  </si>
  <si>
    <t>2023 Y 2024</t>
  </si>
  <si>
    <t>(Varios elementos)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</si>
</sst>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m/d/yyyy\ h:mm:ss"/>
  </numFmts>
  <fonts count="49" x14ac:knownFonts="1">
    <font>
      <sz val="10"/>
      <color rgb="FF000000"/>
      <name val="Arial"/>
      <scheme val="minor"/>
    </font>
    <font>
      <b/>
      <sz val="10"/>
      <color theme="1"/>
      <name val="Arial"/>
    </font>
    <font>
      <b/>
      <sz val="10"/>
      <color theme="1"/>
      <name val="Arial Narrow"/>
    </font>
    <font>
      <sz val="11"/>
      <color theme="1"/>
      <name val="Arial"/>
    </font>
    <font>
      <sz val="10"/>
      <color theme="1"/>
      <name val="Arial"/>
    </font>
    <font>
      <sz val="10"/>
      <color theme="1"/>
      <name val="Arial"/>
    </font>
    <font>
      <sz val="10"/>
      <color theme="1"/>
      <name val="Arial"/>
      <scheme val="minor"/>
    </font>
    <font>
      <b/>
      <sz val="10"/>
      <color theme="1"/>
      <name val="Arial"/>
      <scheme val="minor"/>
    </font>
    <font>
      <b/>
      <sz val="10"/>
      <color rgb="FF0000FF"/>
      <name val="Arial"/>
    </font>
    <font>
      <sz val="10"/>
      <color rgb="FF0000FF"/>
      <name val="Arial"/>
    </font>
    <font>
      <b/>
      <sz val="10"/>
      <color rgb="FFFF0000"/>
      <name val="Arial"/>
    </font>
    <font>
      <sz val="10"/>
      <color rgb="FFFF0000"/>
      <name val="Arial"/>
    </font>
    <font>
      <b/>
      <sz val="10"/>
      <color rgb="FFFFFFFF"/>
      <name val="Arial"/>
    </font>
    <font>
      <sz val="10"/>
      <color rgb="FFFFFFFF"/>
      <name val="Arial"/>
    </font>
    <font>
      <sz val="10"/>
      <name val="Arial"/>
    </font>
    <font>
      <sz val="17"/>
      <color rgb="FF000000"/>
      <name val="Aptos"/>
    </font>
    <font>
      <i/>
      <sz val="10"/>
      <color theme="1"/>
      <name val="Arial"/>
      <scheme val="minor"/>
    </font>
    <font>
      <b/>
      <sz val="10"/>
      <color rgb="FFFFFFFF"/>
      <name val="Arial"/>
      <scheme val="minor"/>
    </font>
    <font>
      <u/>
      <sz val="10"/>
      <color theme="1"/>
      <name val="Arial"/>
      <scheme val="minor"/>
    </font>
    <font>
      <sz val="10"/>
      <color rgb="FFFFFFFF"/>
      <name val="Arial"/>
      <scheme val="minor"/>
    </font>
    <font>
      <sz val="10"/>
      <color rgb="FF000000"/>
      <name val="Arial"/>
    </font>
    <font>
      <b/>
      <sz val="25"/>
      <color theme="1"/>
      <name val="Arial"/>
    </font>
    <font>
      <b/>
      <sz val="12"/>
      <color theme="1"/>
      <name val="Arial"/>
    </font>
    <font>
      <sz val="25"/>
      <color theme="1"/>
      <name val="Arial"/>
      <scheme val="minor"/>
    </font>
    <font>
      <sz val="20"/>
      <color theme="1"/>
      <name val="Arial"/>
    </font>
    <font>
      <sz val="20"/>
      <color theme="1"/>
      <name val="Arial"/>
      <scheme val="minor"/>
    </font>
    <font>
      <sz val="12"/>
      <color theme="1"/>
      <name val="Arial"/>
      <scheme val="minor"/>
    </font>
    <font>
      <b/>
      <sz val="14"/>
      <color theme="1"/>
      <name val="Arial"/>
    </font>
    <font>
      <sz val="16"/>
      <color theme="1"/>
      <name val="Arial"/>
      <scheme val="minor"/>
    </font>
    <font>
      <sz val="10"/>
      <color theme="1"/>
      <name val="Arial"/>
      <scheme val="minor"/>
    </font>
    <font>
      <b/>
      <sz val="10"/>
      <color theme="1"/>
      <name val="Arial"/>
    </font>
    <font>
      <sz val="12"/>
      <color theme="1"/>
      <name val="Arial"/>
    </font>
    <font>
      <sz val="14"/>
      <color theme="1"/>
      <name val="Arial"/>
      <scheme val="minor"/>
    </font>
    <font>
      <b/>
      <sz val="12"/>
      <color theme="1"/>
      <name val="Arial"/>
      <scheme val="minor"/>
    </font>
    <font>
      <b/>
      <sz val="10"/>
      <color theme="1"/>
      <name val="Arial"/>
      <scheme val="minor"/>
    </font>
    <font>
      <b/>
      <sz val="9"/>
      <color theme="1"/>
      <name val="Arial"/>
    </font>
    <font>
      <sz val="10"/>
      <color theme="1"/>
      <name val="Aptos Narrow"/>
    </font>
    <font>
      <b/>
      <sz val="9"/>
      <color theme="1"/>
      <name val="Aptos Narrow"/>
    </font>
    <font>
      <sz val="11"/>
      <color theme="1"/>
      <name val="Aptos Narrow"/>
    </font>
    <font>
      <b/>
      <sz val="11"/>
      <color theme="1"/>
      <name val="Aptos Narrow"/>
    </font>
    <font>
      <sz val="12"/>
      <color theme="1"/>
      <name val="Corbel"/>
    </font>
    <font>
      <sz val="11"/>
      <color theme="1"/>
      <name val="Corbel"/>
    </font>
    <font>
      <b/>
      <sz val="11"/>
      <color theme="1"/>
      <name val="Arial"/>
    </font>
    <font>
      <b/>
      <sz val="11"/>
      <color rgb="FF00B050"/>
      <name val="Arial"/>
    </font>
    <font>
      <b/>
      <sz val="11"/>
      <color theme="1"/>
      <name val="Corbel"/>
    </font>
    <font>
      <sz val="11"/>
      <color rgb="FF00B050"/>
      <name val="Arial"/>
    </font>
    <font>
      <sz val="9"/>
      <color rgb="FF00B050"/>
      <name val="Arial"/>
    </font>
    <font>
      <sz val="10"/>
      <color theme="1"/>
      <name val="Corbel"/>
    </font>
    <font>
      <sz val="10"/>
      <color rgb="FF000000"/>
      <name val="Arial"/>
      <family val="2"/>
      <scheme val="minor"/>
    </font>
  </fonts>
  <fills count="31">
    <fill>
      <patternFill patternType="none"/>
    </fill>
    <fill>
      <patternFill patternType="gray125"/>
    </fill>
    <fill>
      <patternFill patternType="solid">
        <fgColor rgb="FFFEF2CB"/>
        <bgColor rgb="FFFEF2CB"/>
      </patternFill>
    </fill>
    <fill>
      <patternFill patternType="solid">
        <fgColor rgb="FF00FF00"/>
        <bgColor rgb="FF00FF00"/>
      </patternFill>
    </fill>
    <fill>
      <patternFill patternType="solid">
        <fgColor rgb="FFA4C2F4"/>
        <bgColor rgb="FFA4C2F4"/>
      </patternFill>
    </fill>
    <fill>
      <patternFill patternType="solid">
        <fgColor rgb="FFFBE4D5"/>
        <bgColor rgb="FFFBE4D5"/>
      </patternFill>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
      <patternFill patternType="solid">
        <fgColor rgb="FFFEF1CC"/>
        <bgColor rgb="FFFEF1CC"/>
      </patternFill>
    </fill>
    <fill>
      <patternFill patternType="solid">
        <fgColor rgb="FFF28E85"/>
        <bgColor rgb="FFF28E85"/>
      </patternFill>
    </fill>
    <fill>
      <patternFill patternType="solid">
        <fgColor rgb="FFA6E3B6"/>
        <bgColor rgb="FFA6E3B6"/>
      </patternFill>
    </fill>
    <fill>
      <patternFill patternType="solid">
        <fgColor rgb="FF8FD7DC"/>
        <bgColor rgb="FF8FD7DC"/>
      </patternFill>
    </fill>
    <fill>
      <patternFill patternType="solid">
        <fgColor rgb="FFFDE49A"/>
        <bgColor rgb="FFFDE49A"/>
      </patternFill>
    </fill>
    <fill>
      <patternFill patternType="solid">
        <fgColor rgb="FFE1E1E1"/>
        <bgColor rgb="FFE1E1E1"/>
      </patternFill>
    </fill>
    <fill>
      <patternFill patternType="solid">
        <fgColor rgb="FFF0F0F0"/>
        <bgColor rgb="FFF0F0F0"/>
      </patternFill>
    </fill>
    <fill>
      <patternFill patternType="solid">
        <fgColor rgb="FFF3F3F3"/>
        <bgColor rgb="FFF3F3F3"/>
      </patternFill>
    </fill>
    <fill>
      <patternFill patternType="solid">
        <fgColor rgb="FFD8D8D8"/>
        <bgColor rgb="FFD8D8D8"/>
      </patternFill>
    </fill>
    <fill>
      <patternFill patternType="solid">
        <fgColor rgb="FFC9DAF8"/>
        <bgColor rgb="FFC9DAF8"/>
      </patternFill>
    </fill>
    <fill>
      <patternFill patternType="solid">
        <fgColor rgb="FF6C7687"/>
        <bgColor rgb="FF6C7687"/>
      </patternFill>
    </fill>
    <fill>
      <patternFill patternType="solid">
        <fgColor rgb="FFF4F6F8"/>
        <bgColor rgb="FFF4F6F8"/>
      </patternFill>
    </fill>
    <fill>
      <patternFill patternType="solid">
        <fgColor rgb="FFF6C6AC"/>
        <bgColor rgb="FFF6C6AC"/>
      </patternFill>
    </fill>
    <fill>
      <patternFill patternType="solid">
        <fgColor rgb="FFC1E4F5"/>
        <bgColor rgb="FFC1E4F5"/>
      </patternFill>
    </fill>
    <fill>
      <patternFill patternType="solid">
        <fgColor rgb="FF84E291"/>
        <bgColor rgb="FF84E291"/>
      </patternFill>
    </fill>
    <fill>
      <patternFill patternType="solid">
        <fgColor rgb="FFD9F1F3"/>
        <bgColor rgb="FFD9F1F3"/>
      </patternFill>
    </fill>
    <fill>
      <patternFill patternType="solid">
        <fgColor rgb="FF93C47D"/>
        <bgColor rgb="FF93C47D"/>
      </patternFill>
    </fill>
    <fill>
      <patternFill patternType="solid">
        <fgColor rgb="FFCCCCCC"/>
        <bgColor rgb="FFCCCCCC"/>
      </patternFill>
    </fill>
    <fill>
      <patternFill patternType="solid">
        <fgColor rgb="FFD9D9D9"/>
        <bgColor rgb="FFD9D9D9"/>
      </patternFill>
    </fill>
    <fill>
      <patternFill patternType="solid">
        <fgColor rgb="FFFFFFCC"/>
        <bgColor rgb="FFFFFFCC"/>
      </patternFill>
    </fill>
    <fill>
      <patternFill patternType="solid">
        <fgColor rgb="FF7B7B7B"/>
        <bgColor rgb="FF7B7B7B"/>
      </patternFill>
    </fill>
    <fill>
      <patternFill patternType="solid">
        <fgColor rgb="FFFFD965"/>
        <bgColor rgb="FFFFD965"/>
      </patternFill>
    </fill>
  </fills>
  <borders count="116">
    <border>
      <left/>
      <right/>
      <top/>
      <bottom/>
      <diagonal/>
    </border>
    <border>
      <left style="thin">
        <color theme="1"/>
      </left>
      <right style="thin">
        <color theme="1"/>
      </right>
      <top style="thin">
        <color theme="1"/>
      </top>
      <bottom style="thin">
        <color theme="1"/>
      </bottom>
      <diagonal/>
    </border>
    <border>
      <left/>
      <right/>
      <top style="thin">
        <color rgb="FF000000"/>
      </top>
      <bottom/>
      <diagonal/>
    </border>
    <border>
      <left/>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6C7687"/>
      </left>
      <right/>
      <top style="dotted">
        <color rgb="FF6C7687"/>
      </top>
      <bottom/>
      <diagonal/>
    </border>
    <border>
      <left/>
      <right/>
      <top style="dotted">
        <color rgb="FF6C7687"/>
      </top>
      <bottom/>
      <diagonal/>
    </border>
    <border>
      <left style="hair">
        <color rgb="FF6C7687"/>
      </left>
      <right style="hair">
        <color rgb="FF6C7687"/>
      </right>
      <top style="hair">
        <color rgb="FF6C7687"/>
      </top>
      <bottom style="hair">
        <color rgb="FF6C7687"/>
      </bottom>
      <diagonal/>
    </border>
    <border>
      <left style="dotted">
        <color rgb="FF6C7687"/>
      </left>
      <right/>
      <top/>
      <bottom/>
      <diagonal/>
    </border>
    <border>
      <left style="hair">
        <color rgb="FF6C7687"/>
      </left>
      <right style="dotted">
        <color rgb="FF6C7687"/>
      </right>
      <top/>
      <bottom/>
      <diagonal/>
    </border>
    <border>
      <left style="dotted">
        <color rgb="FF6C7687"/>
      </left>
      <right/>
      <top/>
      <bottom style="dotted">
        <color rgb="FF6C7687"/>
      </bottom>
      <diagonal/>
    </border>
    <border>
      <left/>
      <right/>
      <top/>
      <bottom style="dotted">
        <color rgb="FF6C7687"/>
      </bottom>
      <diagonal/>
    </border>
    <border>
      <left style="hair">
        <color rgb="FF6C7687"/>
      </left>
      <right style="dotted">
        <color rgb="FF6C7687"/>
      </right>
      <top/>
      <bottom style="dotted">
        <color rgb="FF6C7687"/>
      </bottom>
      <diagonal/>
    </border>
    <border>
      <left style="thin">
        <color rgb="FFFFFFFF"/>
      </left>
      <right style="thin">
        <color rgb="FFFFFFFF"/>
      </right>
      <top style="thin">
        <color rgb="FFFFFFFF"/>
      </top>
      <bottom style="thin">
        <color rgb="FFFFFFFF"/>
      </bottom>
      <diagonal/>
    </border>
    <border>
      <left style="dotted">
        <color rgb="FF000000"/>
      </left>
      <right/>
      <top style="dotted">
        <color rgb="FF000000"/>
      </top>
      <bottom/>
      <diagonal/>
    </border>
    <border>
      <left/>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top/>
      <bottom/>
      <diagonal/>
    </border>
    <border>
      <left style="dotted">
        <color rgb="FF000000"/>
      </left>
      <right style="dotted">
        <color rgb="FF000000"/>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right/>
      <top/>
      <bottom style="double">
        <color rgb="FF000000"/>
      </bottom>
      <diagonal/>
    </border>
    <border>
      <left/>
      <right style="thin">
        <color rgb="FFFFFFFF"/>
      </right>
      <top/>
      <bottom/>
      <diagonal/>
    </border>
    <border>
      <left style="dotted">
        <color rgb="FF000000"/>
      </left>
      <right/>
      <top/>
      <bottom style="dotted">
        <color rgb="FF000000"/>
      </bottom>
      <diagonal/>
    </border>
    <border>
      <left/>
      <right/>
      <top style="dotted">
        <color rgb="FFFFFFFF"/>
      </top>
      <bottom style="dotted">
        <color rgb="FF000000"/>
      </bottom>
      <diagonal/>
    </border>
    <border>
      <left/>
      <right/>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diagonal/>
    </border>
    <border>
      <left/>
      <right style="dotted">
        <color rgb="FF000000"/>
      </right>
      <top/>
      <bottom/>
      <diagonal/>
    </border>
    <border>
      <left/>
      <right style="dotted">
        <color rgb="FF000000"/>
      </right>
      <top/>
      <bottom style="dotted">
        <color rgb="FF000000"/>
      </bottom>
      <diagonal/>
    </border>
    <border>
      <left style="medium">
        <color rgb="FF000000"/>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45B0E1"/>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right/>
      <top/>
      <bottom/>
      <diagonal/>
    </border>
    <border>
      <left/>
      <right/>
      <top/>
      <bottom style="thin">
        <color rgb="FF45B0E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bottom/>
      <diagonal/>
    </border>
    <border>
      <left style="thin">
        <color indexed="65"/>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right style="thin">
        <color rgb="FF999999"/>
      </right>
      <top style="thin">
        <color indexed="65"/>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406">
    <xf numFmtId="0" fontId="0" fillId="0" borderId="0" xfId="0"/>
    <xf numFmtId="0" fontId="1" fillId="2" borderId="1" xfId="0" applyFont="1" applyFill="1" applyBorder="1" applyAlignment="1">
      <alignment horizontal="left" wrapText="1"/>
    </xf>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49" fontId="2" fillId="4" borderId="0" xfId="0" applyNumberFormat="1" applyFont="1" applyFill="1"/>
    <xf numFmtId="49" fontId="1" fillId="2" borderId="1" xfId="0" applyNumberFormat="1" applyFont="1" applyFill="1" applyBorder="1" applyAlignment="1">
      <alignment horizontal="center" wrapText="1"/>
    </xf>
    <xf numFmtId="0" fontId="3" fillId="5" borderId="0" xfId="0" applyFont="1" applyFill="1"/>
    <xf numFmtId="0" fontId="1" fillId="0" borderId="0" xfId="0" applyFont="1" applyAlignment="1">
      <alignment horizontal="left"/>
    </xf>
    <xf numFmtId="0" fontId="1" fillId="0" borderId="0" xfId="0" applyFont="1" applyAlignment="1">
      <alignment horizontal="center"/>
    </xf>
    <xf numFmtId="0" fontId="4" fillId="0" borderId="0" xfId="0" applyFont="1" applyAlignment="1">
      <alignment horizontal="left"/>
    </xf>
    <xf numFmtId="0" fontId="4" fillId="0" borderId="0" xfId="0" applyFont="1"/>
    <xf numFmtId="49" fontId="4" fillId="0" borderId="0" xfId="0" applyNumberFormat="1" applyFont="1"/>
    <xf numFmtId="49" fontId="5" fillId="0" borderId="0" xfId="0" applyNumberFormat="1" applyFont="1"/>
    <xf numFmtId="0" fontId="1" fillId="0" borderId="0" xfId="0" quotePrefix="1" applyFont="1" applyAlignment="1">
      <alignment horizontal="left"/>
    </xf>
    <xf numFmtId="49" fontId="6" fillId="0" borderId="0" xfId="0" applyNumberFormat="1" applyFont="1"/>
    <xf numFmtId="0" fontId="4" fillId="0" borderId="2" xfId="0" applyFont="1" applyBorder="1" applyAlignment="1">
      <alignment horizontal="left"/>
    </xf>
    <xf numFmtId="0" fontId="4" fillId="0" borderId="2" xfId="0" applyFont="1" applyBorder="1"/>
    <xf numFmtId="49" fontId="4" fillId="0" borderId="2" xfId="0" applyNumberFormat="1" applyFont="1" applyBorder="1"/>
    <xf numFmtId="49" fontId="6" fillId="0" borderId="2" xfId="0" applyNumberFormat="1" applyFont="1" applyBorder="1"/>
    <xf numFmtId="0" fontId="4" fillId="0" borderId="3" xfId="0" applyFont="1" applyBorder="1" applyAlignment="1">
      <alignment horizontal="left"/>
    </xf>
    <xf numFmtId="0" fontId="4" fillId="0" borderId="3" xfId="0" applyFont="1" applyBorder="1"/>
    <xf numFmtId="49" fontId="4" fillId="0" borderId="3" xfId="0" applyNumberFormat="1" applyFont="1" applyBorder="1"/>
    <xf numFmtId="49" fontId="6" fillId="0" borderId="3" xfId="0" applyNumberFormat="1" applyFont="1" applyBorder="1"/>
    <xf numFmtId="49" fontId="7" fillId="0" borderId="0" xfId="0" applyNumberFormat="1" applyFont="1"/>
    <xf numFmtId="0" fontId="6" fillId="0" borderId="0" xfId="0" applyFont="1"/>
    <xf numFmtId="0" fontId="1" fillId="6" borderId="4" xfId="0" applyFont="1" applyFill="1" applyBorder="1" applyAlignment="1">
      <alignment horizontal="center" vertical="center"/>
    </xf>
    <xf numFmtId="0" fontId="1" fillId="6" borderId="4" xfId="0" applyFont="1" applyFill="1" applyBorder="1" applyAlignment="1">
      <alignment horizontal="center" vertical="center" wrapText="1"/>
    </xf>
    <xf numFmtId="49" fontId="1" fillId="6" borderId="4" xfId="0" applyNumberFormat="1" applyFont="1" applyFill="1" applyBorder="1" applyAlignment="1">
      <alignment horizontal="left" vertical="center"/>
    </xf>
    <xf numFmtId="0" fontId="5" fillId="0" borderId="4" xfId="0" applyFont="1" applyBorder="1"/>
    <xf numFmtId="49" fontId="5" fillId="0" borderId="4" xfId="0" applyNumberFormat="1" applyFont="1" applyBorder="1"/>
    <xf numFmtId="0" fontId="8" fillId="0" borderId="4" xfId="0" applyFont="1" applyBorder="1" applyAlignment="1">
      <alignment horizontal="center"/>
    </xf>
    <xf numFmtId="49" fontId="9" fillId="0" borderId="4" xfId="0" applyNumberFormat="1" applyFont="1" applyBorder="1" applyAlignment="1">
      <alignment horizontal="left"/>
    </xf>
    <xf numFmtId="0" fontId="5" fillId="7" borderId="4" xfId="0" applyFont="1" applyFill="1" applyBorder="1"/>
    <xf numFmtId="0" fontId="8" fillId="7" borderId="4" xfId="0" applyFont="1" applyFill="1" applyBorder="1" applyAlignment="1">
      <alignment horizontal="center"/>
    </xf>
    <xf numFmtId="0" fontId="10" fillId="0" borderId="4" xfId="0" applyFont="1" applyBorder="1" applyAlignment="1">
      <alignment horizontal="center"/>
    </xf>
    <xf numFmtId="49" fontId="11" fillId="0" borderId="4" xfId="0" applyNumberFormat="1" applyFont="1" applyBorder="1" applyAlignment="1">
      <alignment horizontal="left"/>
    </xf>
    <xf numFmtId="0" fontId="10" fillId="7" borderId="4" xfId="0" applyFont="1" applyFill="1" applyBorder="1" applyAlignment="1">
      <alignment horizontal="center"/>
    </xf>
    <xf numFmtId="0" fontId="5" fillId="8" borderId="4" xfId="0" applyFont="1" applyFill="1" applyBorder="1"/>
    <xf numFmtId="0" fontId="8" fillId="8" borderId="4" xfId="0" applyFont="1" applyFill="1" applyBorder="1" applyAlignment="1">
      <alignment horizontal="center"/>
    </xf>
    <xf numFmtId="49" fontId="9" fillId="9" borderId="4" xfId="0" applyNumberFormat="1" applyFont="1" applyFill="1" applyBorder="1" applyAlignment="1">
      <alignment horizontal="left"/>
    </xf>
    <xf numFmtId="49" fontId="9" fillId="8" borderId="4" xfId="0" applyNumberFormat="1" applyFont="1" applyFill="1" applyBorder="1" applyAlignment="1">
      <alignment horizontal="left"/>
    </xf>
    <xf numFmtId="0" fontId="12" fillId="10" borderId="4" xfId="0" applyFont="1" applyFill="1" applyBorder="1" applyAlignment="1">
      <alignment horizontal="center"/>
    </xf>
    <xf numFmtId="0" fontId="5" fillId="10" borderId="4" xfId="0" applyFont="1" applyFill="1" applyBorder="1"/>
    <xf numFmtId="49" fontId="13" fillId="10" borderId="4" xfId="0" applyNumberFormat="1" applyFont="1" applyFill="1" applyBorder="1" applyAlignment="1">
      <alignment horizontal="left"/>
    </xf>
    <xf numFmtId="0" fontId="5" fillId="11" borderId="4" xfId="0" applyFont="1" applyFill="1" applyBorder="1"/>
    <xf numFmtId="0" fontId="8" fillId="11" borderId="4" xfId="0" applyFont="1" applyFill="1" applyBorder="1" applyAlignment="1">
      <alignment horizontal="center"/>
    </xf>
    <xf numFmtId="49" fontId="9" fillId="11" borderId="4" xfId="0" applyNumberFormat="1" applyFont="1" applyFill="1" applyBorder="1" applyAlignment="1">
      <alignment horizontal="left"/>
    </xf>
    <xf numFmtId="0" fontId="5" fillId="12" borderId="4" xfId="0" applyFont="1" applyFill="1" applyBorder="1"/>
    <xf numFmtId="0" fontId="8" fillId="12" borderId="4" xfId="0" applyFont="1" applyFill="1" applyBorder="1" applyAlignment="1">
      <alignment horizontal="center"/>
    </xf>
    <xf numFmtId="49" fontId="9" fillId="12" borderId="4" xfId="0" applyNumberFormat="1" applyFont="1" applyFill="1" applyBorder="1" applyAlignment="1">
      <alignment horizontal="left"/>
    </xf>
    <xf numFmtId="0" fontId="5" fillId="13" borderId="4" xfId="0" applyFont="1" applyFill="1" applyBorder="1"/>
    <xf numFmtId="0" fontId="8" fillId="13" borderId="4" xfId="0" applyFont="1" applyFill="1" applyBorder="1" applyAlignment="1">
      <alignment horizontal="center"/>
    </xf>
    <xf numFmtId="49" fontId="9" fillId="13" borderId="4" xfId="0" applyNumberFormat="1" applyFont="1" applyFill="1" applyBorder="1" applyAlignment="1">
      <alignment horizontal="left"/>
    </xf>
    <xf numFmtId="0" fontId="5" fillId="0" borderId="4" xfId="0" applyFont="1" applyBorder="1" applyAlignment="1">
      <alignment horizontal="center"/>
    </xf>
    <xf numFmtId="0" fontId="5" fillId="0" borderId="7" xfId="0" applyFont="1" applyBorder="1" applyAlignment="1">
      <alignment horizontal="center"/>
    </xf>
    <xf numFmtId="49" fontId="5" fillId="0" borderId="7" xfId="0" applyNumberFormat="1" applyFont="1" applyBorder="1" applyAlignment="1">
      <alignment horizontal="left"/>
    </xf>
    <xf numFmtId="49" fontId="6" fillId="0" borderId="0" xfId="0" applyNumberFormat="1" applyFont="1" applyAlignment="1">
      <alignment horizontal="left"/>
    </xf>
    <xf numFmtId="0" fontId="6" fillId="0" borderId="8" xfId="0" applyFont="1" applyBorder="1"/>
    <xf numFmtId="0" fontId="6" fillId="0" borderId="9" xfId="0" applyFont="1" applyBorder="1"/>
    <xf numFmtId="0" fontId="7" fillId="0" borderId="10" xfId="0" applyFont="1" applyBorder="1"/>
    <xf numFmtId="0" fontId="6" fillId="0" borderId="11" xfId="0" applyFont="1" applyBorder="1"/>
    <xf numFmtId="0" fontId="5" fillId="0" borderId="0" xfId="0" applyFont="1"/>
    <xf numFmtId="0" fontId="5" fillId="0" borderId="0" xfId="0" applyFont="1" applyAlignment="1">
      <alignment horizontal="center"/>
    </xf>
    <xf numFmtId="164" fontId="5" fillId="0" borderId="0" xfId="0" applyNumberFormat="1" applyFont="1" applyAlignment="1">
      <alignment horizontal="center"/>
    </xf>
    <xf numFmtId="0" fontId="6" fillId="0" borderId="13" xfId="0" applyFont="1" applyBorder="1"/>
    <xf numFmtId="0" fontId="6" fillId="0" borderId="14" xfId="0" applyFont="1" applyBorder="1"/>
    <xf numFmtId="0" fontId="1" fillId="0" borderId="0" xfId="0" applyFont="1"/>
    <xf numFmtId="164" fontId="1"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left" vertical="center"/>
    </xf>
    <xf numFmtId="0" fontId="6" fillId="0" borderId="0" xfId="0" applyFont="1" applyAlignment="1">
      <alignment horizontal="left"/>
    </xf>
    <xf numFmtId="49" fontId="6" fillId="0" borderId="0" xfId="0" applyNumberFormat="1" applyFont="1" applyAlignment="1">
      <alignment horizontal="center"/>
    </xf>
    <xf numFmtId="0" fontId="7" fillId="0" borderId="0" xfId="0" applyFont="1" applyAlignment="1">
      <alignment horizontal="left"/>
    </xf>
    <xf numFmtId="0" fontId="15" fillId="14" borderId="16" xfId="0" applyFont="1" applyFill="1" applyBorder="1" applyAlignment="1">
      <alignment horizontal="center"/>
    </xf>
    <xf numFmtId="0" fontId="15" fillId="15" borderId="16" xfId="0" applyFont="1" applyFill="1" applyBorder="1" applyAlignment="1">
      <alignment horizontal="center"/>
    </xf>
    <xf numFmtId="0" fontId="6" fillId="0" borderId="0" xfId="0" applyFont="1" applyAlignment="1">
      <alignment vertical="center"/>
    </xf>
    <xf numFmtId="9" fontId="6" fillId="0" borderId="0" xfId="0" applyNumberFormat="1" applyFont="1" applyAlignment="1">
      <alignment horizontal="center"/>
    </xf>
    <xf numFmtId="0" fontId="7" fillId="0" borderId="0" xfId="0" applyFont="1" applyAlignment="1">
      <alignment horizontal="center" vertical="center" wrapText="1"/>
    </xf>
    <xf numFmtId="0" fontId="7" fillId="0" borderId="0" xfId="0" applyFont="1" applyAlignment="1">
      <alignment horizontal="center"/>
    </xf>
    <xf numFmtId="0" fontId="6" fillId="0" borderId="0" xfId="0" applyFont="1" applyAlignment="1">
      <alignment vertical="center" wrapText="1"/>
    </xf>
    <xf numFmtId="49" fontId="6" fillId="0" borderId="0" xfId="0" applyNumberFormat="1" applyFont="1" applyAlignment="1">
      <alignment vertical="center" wrapText="1"/>
    </xf>
    <xf numFmtId="49" fontId="6" fillId="16" borderId="0" xfId="0" applyNumberFormat="1" applyFont="1" applyFill="1" applyAlignment="1">
      <alignment horizontal="center"/>
    </xf>
    <xf numFmtId="49" fontId="6" fillId="0" borderId="0" xfId="0" applyNumberFormat="1" applyFont="1" applyAlignment="1">
      <alignment vertical="center"/>
    </xf>
    <xf numFmtId="9" fontId="6" fillId="0" borderId="0" xfId="0" applyNumberFormat="1" applyFont="1"/>
    <xf numFmtId="0" fontId="6" fillId="0" borderId="17" xfId="0" applyFont="1" applyBorder="1"/>
    <xf numFmtId="0" fontId="6" fillId="0" borderId="18" xfId="0" applyFont="1" applyBorder="1"/>
    <xf numFmtId="0" fontId="6" fillId="0" borderId="19" xfId="0" applyFont="1" applyBorder="1"/>
    <xf numFmtId="0" fontId="6" fillId="0" borderId="20" xfId="0" applyFont="1" applyBorder="1"/>
    <xf numFmtId="0" fontId="7" fillId="17" borderId="0" xfId="0" applyFont="1" applyFill="1"/>
    <xf numFmtId="0" fontId="6" fillId="17" borderId="0" xfId="0" applyFont="1" applyFill="1"/>
    <xf numFmtId="0" fontId="16" fillId="0" borderId="22" xfId="0" applyFont="1" applyBorder="1"/>
    <xf numFmtId="10" fontId="6" fillId="0" borderId="0" xfId="0" applyNumberFormat="1" applyFont="1"/>
    <xf numFmtId="0" fontId="7" fillId="16" borderId="0" xfId="0" applyFont="1" applyFill="1"/>
    <xf numFmtId="0" fontId="6" fillId="16" borderId="0" xfId="0" applyFont="1" applyFill="1"/>
    <xf numFmtId="0" fontId="7" fillId="0" borderId="25" xfId="0" applyFont="1" applyBorder="1"/>
    <xf numFmtId="0" fontId="17" fillId="19" borderId="25" xfId="0" applyFont="1" applyFill="1" applyBorder="1" applyAlignment="1">
      <alignment horizontal="center"/>
    </xf>
    <xf numFmtId="0" fontId="7" fillId="16" borderId="2" xfId="0" applyFont="1" applyFill="1" applyBorder="1"/>
    <xf numFmtId="10" fontId="7" fillId="16" borderId="2" xfId="0" applyNumberFormat="1" applyFont="1" applyFill="1" applyBorder="1"/>
    <xf numFmtId="4" fontId="6" fillId="0" borderId="0" xfId="0" applyNumberFormat="1" applyFont="1"/>
    <xf numFmtId="0" fontId="7" fillId="0" borderId="0" xfId="0" applyFont="1"/>
    <xf numFmtId="9" fontId="7" fillId="0" borderId="0" xfId="0" applyNumberFormat="1" applyFont="1"/>
    <xf numFmtId="0" fontId="1" fillId="8" borderId="0" xfId="0" applyFont="1" applyFill="1" applyAlignment="1">
      <alignment horizontal="center"/>
    </xf>
    <xf numFmtId="9" fontId="5" fillId="8" borderId="0" xfId="0" applyNumberFormat="1" applyFont="1" applyFill="1" applyAlignment="1">
      <alignment horizontal="center"/>
    </xf>
    <xf numFmtId="0" fontId="5" fillId="20" borderId="26" xfId="0" applyFont="1" applyFill="1" applyBorder="1"/>
    <xf numFmtId="0" fontId="5" fillId="8" borderId="0" xfId="0" applyFont="1" applyFill="1" applyAlignment="1">
      <alignment horizontal="center"/>
    </xf>
    <xf numFmtId="9" fontId="1" fillId="8" borderId="0" xfId="0" applyNumberFormat="1" applyFont="1" applyFill="1" applyAlignment="1">
      <alignment horizontal="right"/>
    </xf>
    <xf numFmtId="9" fontId="5" fillId="8" borderId="0" xfId="0" applyNumberFormat="1" applyFont="1" applyFill="1" applyAlignment="1">
      <alignment horizontal="right"/>
    </xf>
    <xf numFmtId="0" fontId="6" fillId="0" borderId="27" xfId="0" applyFont="1" applyBorder="1"/>
    <xf numFmtId="0" fontId="6" fillId="0" borderId="28" xfId="0" applyFont="1" applyBorder="1"/>
    <xf numFmtId="0" fontId="6" fillId="0" borderId="29" xfId="0" applyFont="1" applyBorder="1"/>
    <xf numFmtId="0" fontId="7" fillId="0" borderId="18" xfId="0" applyFont="1" applyBorder="1"/>
    <xf numFmtId="0" fontId="6" fillId="0" borderId="31" xfId="0" applyFont="1" applyBorder="1"/>
    <xf numFmtId="0" fontId="6" fillId="0" borderId="32" xfId="0" applyFont="1" applyBorder="1"/>
    <xf numFmtId="0" fontId="7" fillId="0" borderId="29" xfId="0" applyFont="1" applyBorder="1"/>
    <xf numFmtId="0" fontId="6" fillId="0" borderId="33" xfId="0" applyFont="1" applyBorder="1"/>
    <xf numFmtId="164" fontId="6" fillId="0" borderId="0" xfId="0" applyNumberFormat="1" applyFont="1"/>
    <xf numFmtId="0" fontId="18" fillId="0" borderId="0" xfId="0" applyFont="1"/>
    <xf numFmtId="0" fontId="19" fillId="0" borderId="0" xfId="0" applyFont="1"/>
    <xf numFmtId="10" fontId="6" fillId="0" borderId="18" xfId="0" applyNumberFormat="1" applyFont="1" applyBorder="1"/>
    <xf numFmtId="3" fontId="6" fillId="0" borderId="0" xfId="0" applyNumberFormat="1" applyFont="1"/>
    <xf numFmtId="10" fontId="6" fillId="0" borderId="29" xfId="0" applyNumberFormat="1" applyFont="1" applyBorder="1"/>
    <xf numFmtId="0" fontId="6" fillId="0" borderId="21" xfId="0" applyFont="1" applyBorder="1"/>
    <xf numFmtId="0" fontId="6" fillId="0" borderId="30" xfId="0" applyFont="1" applyBorder="1"/>
    <xf numFmtId="0" fontId="5" fillId="0" borderId="17" xfId="0" applyFont="1" applyBorder="1"/>
    <xf numFmtId="0" fontId="5" fillId="0" borderId="18" xfId="0" applyFont="1" applyBorder="1"/>
    <xf numFmtId="10" fontId="5" fillId="0" borderId="18" xfId="0" applyNumberFormat="1" applyFont="1" applyBorder="1"/>
    <xf numFmtId="0" fontId="5" fillId="0" borderId="19" xfId="0" applyFont="1" applyBorder="1"/>
    <xf numFmtId="0" fontId="5" fillId="0" borderId="20" xfId="0" applyFont="1" applyBorder="1"/>
    <xf numFmtId="10" fontId="5" fillId="0" borderId="0" xfId="0" applyNumberFormat="1" applyFont="1"/>
    <xf numFmtId="0" fontId="5" fillId="0" borderId="27" xfId="0" applyFont="1" applyBorder="1"/>
    <xf numFmtId="0" fontId="5" fillId="0" borderId="29" xfId="0" applyFont="1" applyBorder="1"/>
    <xf numFmtId="10" fontId="5" fillId="0" borderId="29" xfId="0" applyNumberFormat="1" applyFont="1" applyBorder="1"/>
    <xf numFmtId="0" fontId="1" fillId="16" borderId="0" xfId="0" applyFont="1" applyFill="1"/>
    <xf numFmtId="0" fontId="5" fillId="16" borderId="0" xfId="0" applyFont="1" applyFill="1"/>
    <xf numFmtId="9" fontId="5" fillId="0" borderId="0" xfId="0" applyNumberFormat="1" applyFont="1" applyAlignment="1">
      <alignment horizontal="right"/>
    </xf>
    <xf numFmtId="0" fontId="1" fillId="16" borderId="2" xfId="0" applyFont="1" applyFill="1" applyBorder="1"/>
    <xf numFmtId="10" fontId="1" fillId="16" borderId="2" xfId="0" applyNumberFormat="1" applyFont="1" applyFill="1" applyBorder="1" applyAlignment="1">
      <alignment horizontal="right"/>
    </xf>
    <xf numFmtId="0" fontId="20" fillId="0" borderId="0" xfId="0" applyFont="1" applyAlignment="1">
      <alignment horizontal="left" vertical="center"/>
    </xf>
    <xf numFmtId="0" fontId="1"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26" fillId="0" borderId="0" xfId="0" applyFont="1"/>
    <xf numFmtId="0" fontId="28" fillId="0" borderId="0" xfId="0" applyFont="1"/>
    <xf numFmtId="0" fontId="29" fillId="0" borderId="0" xfId="0" applyFont="1"/>
    <xf numFmtId="0" fontId="30" fillId="0" borderId="50" xfId="0" applyFont="1" applyBorder="1" applyAlignment="1">
      <alignment horizontal="center" vertical="center"/>
    </xf>
    <xf numFmtId="0" fontId="30" fillId="0" borderId="51" xfId="0" applyFont="1" applyBorder="1" applyAlignment="1">
      <alignment horizontal="center" vertical="center"/>
    </xf>
    <xf numFmtId="0" fontId="30" fillId="0" borderId="52" xfId="0" applyFont="1" applyBorder="1" applyAlignment="1">
      <alignment horizontal="center" vertical="center"/>
    </xf>
    <xf numFmtId="0" fontId="30" fillId="0" borderId="0" xfId="0" applyFont="1" applyAlignment="1">
      <alignment horizontal="center" vertical="center"/>
    </xf>
    <xf numFmtId="0" fontId="30" fillId="0" borderId="53" xfId="0" applyFont="1" applyBorder="1" applyAlignment="1">
      <alignment horizontal="center" vertical="center"/>
    </xf>
    <xf numFmtId="0" fontId="31" fillId="0" borderId="54" xfId="0" applyFont="1" applyBorder="1" applyAlignment="1">
      <alignment vertical="center"/>
    </xf>
    <xf numFmtId="0" fontId="26" fillId="0" borderId="7" xfId="0" applyFont="1" applyBorder="1" applyAlignment="1">
      <alignment vertical="center"/>
    </xf>
    <xf numFmtId="0" fontId="26" fillId="0" borderId="55" xfId="0" applyFont="1" applyBorder="1" applyAlignment="1">
      <alignment vertical="center"/>
    </xf>
    <xf numFmtId="0" fontId="32" fillId="0" borderId="0" xfId="0" applyFont="1" applyAlignment="1">
      <alignment vertical="center"/>
    </xf>
    <xf numFmtId="0" fontId="31" fillId="0" borderId="56" xfId="0" applyFont="1" applyBorder="1"/>
    <xf numFmtId="0" fontId="26" fillId="0" borderId="7" xfId="0" applyFont="1" applyBorder="1"/>
    <xf numFmtId="9" fontId="26" fillId="0" borderId="55" xfId="0" applyNumberFormat="1" applyFont="1" applyBorder="1" applyAlignment="1">
      <alignment vertical="center"/>
    </xf>
    <xf numFmtId="9" fontId="26" fillId="0" borderId="55" xfId="0" applyNumberFormat="1" applyFont="1" applyBorder="1"/>
    <xf numFmtId="0" fontId="31" fillId="0" borderId="57" xfId="0" applyFont="1" applyBorder="1" applyAlignment="1">
      <alignment vertical="center"/>
    </xf>
    <xf numFmtId="0" fontId="26" fillId="0" borderId="4" xfId="0" applyFont="1" applyBorder="1" applyAlignment="1">
      <alignment vertical="center"/>
    </xf>
    <xf numFmtId="0" fontId="31" fillId="0" borderId="58" xfId="0" applyFont="1" applyBorder="1"/>
    <xf numFmtId="0" fontId="26" fillId="0" borderId="4" xfId="0" applyFont="1" applyBorder="1"/>
    <xf numFmtId="9" fontId="26" fillId="0" borderId="59" xfId="0" applyNumberFormat="1" applyFont="1" applyBorder="1" applyAlignment="1">
      <alignment vertical="center"/>
    </xf>
    <xf numFmtId="9" fontId="26" fillId="0" borderId="59" xfId="0" applyNumberFormat="1" applyFont="1" applyBorder="1"/>
    <xf numFmtId="0" fontId="26" fillId="0" borderId="57" xfId="0" applyFont="1" applyBorder="1"/>
    <xf numFmtId="0" fontId="26" fillId="0" borderId="59" xfId="0" applyFont="1" applyBorder="1"/>
    <xf numFmtId="0" fontId="26" fillId="0" borderId="60" xfId="0" applyFont="1" applyBorder="1"/>
    <xf numFmtId="0" fontId="26" fillId="0" borderId="61" xfId="0" applyFont="1" applyBorder="1"/>
    <xf numFmtId="0" fontId="26" fillId="0" borderId="62" xfId="0" applyFont="1" applyBorder="1"/>
    <xf numFmtId="0" fontId="31" fillId="0" borderId="63" xfId="0" applyFont="1" applyBorder="1"/>
    <xf numFmtId="0" fontId="26" fillId="0" borderId="64" xfId="0" applyFont="1" applyBorder="1"/>
    <xf numFmtId="0" fontId="26" fillId="0" borderId="65" xfId="0" applyFont="1" applyBorder="1"/>
    <xf numFmtId="9" fontId="26" fillId="0" borderId="66" xfId="0" applyNumberFormat="1" applyFont="1" applyBorder="1"/>
    <xf numFmtId="0" fontId="33" fillId="0" borderId="4" xfId="0" applyFont="1" applyBorder="1"/>
    <xf numFmtId="0" fontId="7" fillId="0" borderId="4" xfId="0" applyFont="1" applyBorder="1"/>
    <xf numFmtId="0" fontId="5" fillId="0" borderId="71" xfId="0" applyFont="1" applyBorder="1" applyAlignment="1">
      <alignment horizontal="center"/>
    </xf>
    <xf numFmtId="0" fontId="6" fillId="0" borderId="72" xfId="0" applyFont="1" applyBorder="1" applyAlignment="1">
      <alignment horizontal="center"/>
    </xf>
    <xf numFmtId="0" fontId="5" fillId="0" borderId="74" xfId="0" applyFont="1" applyBorder="1" applyAlignment="1">
      <alignment horizontal="center"/>
    </xf>
    <xf numFmtId="0" fontId="6" fillId="0" borderId="74" xfId="0" applyFont="1" applyBorder="1"/>
    <xf numFmtId="0" fontId="5" fillId="0" borderId="72" xfId="0" applyFont="1" applyBorder="1" applyAlignment="1">
      <alignment horizontal="center"/>
    </xf>
    <xf numFmtId="0" fontId="6" fillId="0" borderId="72" xfId="0" applyFont="1" applyBorder="1"/>
    <xf numFmtId="0" fontId="7" fillId="0" borderId="53" xfId="0" applyFont="1" applyBorder="1"/>
    <xf numFmtId="0" fontId="6" fillId="0" borderId="69" xfId="0" applyFont="1" applyBorder="1"/>
    <xf numFmtId="0" fontId="6" fillId="0" borderId="70" xfId="0" applyFont="1" applyBorder="1"/>
    <xf numFmtId="0" fontId="1" fillId="0" borderId="4" xfId="0" applyFont="1" applyBorder="1"/>
    <xf numFmtId="0" fontId="34" fillId="0" borderId="77" xfId="0" applyFont="1" applyBorder="1" applyAlignment="1">
      <alignment horizontal="left"/>
    </xf>
    <xf numFmtId="0" fontId="34" fillId="0" borderId="78" xfId="0" applyFont="1" applyBorder="1" applyAlignment="1">
      <alignment horizontal="left"/>
    </xf>
    <xf numFmtId="0" fontId="34" fillId="0" borderId="79" xfId="0" applyFont="1" applyBorder="1" applyAlignment="1">
      <alignment horizontal="left"/>
    </xf>
    <xf numFmtId="0" fontId="29" fillId="0" borderId="4" xfId="0" applyFont="1" applyBorder="1" applyAlignment="1">
      <alignment horizontal="left"/>
    </xf>
    <xf numFmtId="0" fontId="20" fillId="0" borderId="0" xfId="0" applyFont="1" applyAlignment="1">
      <alignment vertical="center"/>
    </xf>
    <xf numFmtId="0" fontId="29" fillId="0" borderId="78" xfId="0" applyFont="1" applyBorder="1"/>
    <xf numFmtId="0" fontId="4" fillId="0" borderId="78" xfId="0" applyFont="1" applyBorder="1"/>
    <xf numFmtId="0" fontId="4" fillId="0" borderId="80" xfId="0" applyFont="1" applyBorder="1" applyAlignment="1">
      <alignment horizontal="left" vertical="center"/>
    </xf>
    <xf numFmtId="1" fontId="35" fillId="21" borderId="81" xfId="0" applyNumberFormat="1" applyFont="1" applyFill="1" applyBorder="1" applyAlignment="1">
      <alignment horizontal="center" vertical="center" wrapText="1"/>
    </xf>
    <xf numFmtId="0" fontId="5" fillId="0" borderId="78" xfId="0" applyFont="1" applyBorder="1"/>
    <xf numFmtId="49" fontId="29" fillId="0" borderId="77" xfId="0" applyNumberFormat="1" applyFont="1" applyBorder="1" applyAlignment="1">
      <alignment horizontal="left"/>
    </xf>
    <xf numFmtId="49" fontId="29" fillId="0" borderId="78" xfId="0" applyNumberFormat="1" applyFont="1" applyBorder="1" applyAlignment="1">
      <alignment horizontal="left"/>
    </xf>
    <xf numFmtId="49" fontId="29" fillId="0" borderId="79" xfId="0" applyNumberFormat="1" applyFont="1" applyBorder="1" applyAlignment="1">
      <alignment horizontal="left"/>
    </xf>
    <xf numFmtId="49" fontId="29" fillId="0" borderId="0" xfId="0" applyNumberFormat="1" applyFont="1"/>
    <xf numFmtId="0" fontId="36" fillId="0" borderId="80" xfId="0" applyFont="1" applyBorder="1" applyAlignment="1">
      <alignment horizontal="left" vertical="center"/>
    </xf>
    <xf numFmtId="0" fontId="29" fillId="0" borderId="80" xfId="0" applyFont="1" applyBorder="1"/>
    <xf numFmtId="49" fontId="6" fillId="0" borderId="79" xfId="0" applyNumberFormat="1" applyFont="1" applyBorder="1" applyAlignment="1">
      <alignment horizontal="left"/>
    </xf>
    <xf numFmtId="0" fontId="6" fillId="0" borderId="80" xfId="0" applyFont="1" applyBorder="1"/>
    <xf numFmtId="1" fontId="37" fillId="21" borderId="81" xfId="0" applyNumberFormat="1" applyFont="1" applyFill="1" applyBorder="1" applyAlignment="1">
      <alignment horizontal="center" vertical="center" wrapText="1"/>
    </xf>
    <xf numFmtId="0" fontId="6" fillId="0" borderId="4" xfId="0" applyFont="1" applyBorder="1" applyAlignment="1">
      <alignment horizontal="left"/>
    </xf>
    <xf numFmtId="1" fontId="37" fillId="22" borderId="81" xfId="0" applyNumberFormat="1" applyFont="1" applyFill="1" applyBorder="1" applyAlignment="1">
      <alignment horizontal="center" vertical="center" wrapText="1"/>
    </xf>
    <xf numFmtId="49" fontId="6" fillId="0" borderId="77" xfId="0" applyNumberFormat="1" applyFont="1" applyBorder="1" applyAlignment="1">
      <alignment horizontal="left"/>
    </xf>
    <xf numFmtId="49" fontId="6" fillId="0" borderId="78" xfId="0" applyNumberFormat="1" applyFont="1" applyBorder="1" applyAlignment="1">
      <alignment horizontal="left"/>
    </xf>
    <xf numFmtId="0" fontId="36" fillId="0" borderId="78" xfId="0" applyFont="1" applyBorder="1" applyAlignment="1">
      <alignment horizontal="left" vertical="center"/>
    </xf>
    <xf numFmtId="0" fontId="6" fillId="0" borderId="78" xfId="0" applyFont="1" applyBorder="1"/>
    <xf numFmtId="0" fontId="4" fillId="0" borderId="0" xfId="0" applyFont="1" applyAlignment="1">
      <alignment vertical="center"/>
    </xf>
    <xf numFmtId="1" fontId="37" fillId="23" borderId="81" xfId="0" applyNumberFormat="1" applyFont="1" applyFill="1" applyBorder="1" applyAlignment="1">
      <alignment horizontal="center" vertical="center" wrapText="1"/>
    </xf>
    <xf numFmtId="0" fontId="20" fillId="0" borderId="0" xfId="0" applyFont="1" applyAlignment="1">
      <alignment horizontal="center" vertical="center"/>
    </xf>
    <xf numFmtId="1" fontId="35" fillId="22" borderId="81" xfId="0" applyNumberFormat="1" applyFont="1" applyFill="1" applyBorder="1" applyAlignment="1">
      <alignment horizontal="center" vertical="center" wrapText="1"/>
    </xf>
    <xf numFmtId="1" fontId="35" fillId="23" borderId="81" xfId="0" applyNumberFormat="1" applyFont="1" applyFill="1" applyBorder="1" applyAlignment="1">
      <alignment horizontal="center" vertical="center" wrapText="1"/>
    </xf>
    <xf numFmtId="0" fontId="29" fillId="0" borderId="7" xfId="0" applyFont="1" applyBorder="1"/>
    <xf numFmtId="0" fontId="6" fillId="0" borderId="7" xfId="0" applyFont="1" applyBorder="1"/>
    <xf numFmtId="49" fontId="6" fillId="0" borderId="77" xfId="0" applyNumberFormat="1" applyFont="1" applyBorder="1"/>
    <xf numFmtId="49" fontId="6" fillId="0" borderId="78" xfId="0" applyNumberFormat="1" applyFont="1" applyBorder="1"/>
    <xf numFmtId="49" fontId="6" fillId="0" borderId="79" xfId="0" applyNumberFormat="1" applyFont="1" applyBorder="1"/>
    <xf numFmtId="49" fontId="6" fillId="0" borderId="49" xfId="0" applyNumberFormat="1" applyFont="1" applyBorder="1"/>
    <xf numFmtId="49" fontId="6" fillId="0" borderId="82" xfId="0" applyNumberFormat="1" applyFont="1" applyBorder="1"/>
    <xf numFmtId="49" fontId="6" fillId="0" borderId="83" xfId="0" applyNumberFormat="1" applyFont="1" applyBorder="1"/>
    <xf numFmtId="0" fontId="29" fillId="0" borderId="78" xfId="0" applyFont="1" applyBorder="1" applyAlignment="1">
      <alignment horizontal="left"/>
    </xf>
    <xf numFmtId="0" fontId="6" fillId="0" borderId="4" xfId="0" applyFont="1" applyBorder="1"/>
    <xf numFmtId="0" fontId="6" fillId="0" borderId="78" xfId="0" applyFont="1" applyBorder="1" applyAlignment="1">
      <alignment horizontal="left"/>
    </xf>
    <xf numFmtId="1" fontId="6" fillId="0" borderId="0" xfId="0" applyNumberFormat="1" applyFont="1"/>
    <xf numFmtId="0" fontId="17" fillId="0" borderId="84" xfId="0" applyFont="1" applyBorder="1" applyAlignment="1">
      <alignment horizontal="center"/>
    </xf>
    <xf numFmtId="0" fontId="17" fillId="0" borderId="85" xfId="0" applyFont="1" applyBorder="1" applyAlignment="1">
      <alignment horizontal="center"/>
    </xf>
    <xf numFmtId="0" fontId="17" fillId="0" borderId="86" xfId="0" applyFont="1" applyBorder="1" applyAlignment="1">
      <alignment horizontal="center"/>
    </xf>
    <xf numFmtId="165" fontId="6" fillId="0" borderId="87" xfId="0" applyNumberFormat="1" applyFont="1" applyBorder="1"/>
    <xf numFmtId="0" fontId="6" fillId="0" borderId="88" xfId="0" applyFont="1" applyBorder="1"/>
    <xf numFmtId="0" fontId="6" fillId="0" borderId="89" xfId="0" applyFont="1" applyBorder="1"/>
    <xf numFmtId="0" fontId="4" fillId="0" borderId="0" xfId="0" applyFont="1" applyAlignment="1">
      <alignment horizontal="center" vertical="center"/>
    </xf>
    <xf numFmtId="0" fontId="4" fillId="0" borderId="0" xfId="0" applyFont="1" applyAlignment="1">
      <alignment horizontal="left" vertical="center"/>
    </xf>
    <xf numFmtId="0" fontId="4" fillId="17" borderId="90" xfId="0" applyFont="1" applyFill="1" applyBorder="1" applyAlignment="1">
      <alignment vertical="center"/>
    </xf>
    <xf numFmtId="0" fontId="30" fillId="24" borderId="90" xfId="0" applyFont="1" applyFill="1" applyBorder="1" applyAlignment="1">
      <alignment horizontal="center" vertical="center"/>
    </xf>
    <xf numFmtId="0" fontId="30" fillId="24" borderId="90" xfId="0" applyFont="1" applyFill="1" applyBorder="1" applyAlignment="1">
      <alignment horizontal="left" vertical="center"/>
    </xf>
    <xf numFmtId="0" fontId="30" fillId="24" borderId="90" xfId="0" applyFont="1" applyFill="1" applyBorder="1" applyAlignment="1">
      <alignment vertical="center"/>
    </xf>
    <xf numFmtId="165" fontId="4" fillId="0" borderId="0" xfId="0" applyNumberFormat="1" applyFont="1" applyAlignment="1">
      <alignment horizontal="center" vertical="center"/>
    </xf>
    <xf numFmtId="165" fontId="4" fillId="25" borderId="90" xfId="0" applyNumberFormat="1" applyFont="1" applyFill="1" applyBorder="1" applyAlignment="1">
      <alignment horizontal="center" vertical="center"/>
    </xf>
    <xf numFmtId="0" fontId="1" fillId="0" borderId="0" xfId="0" applyFont="1" applyAlignment="1">
      <alignment horizontal="center" vertical="top"/>
    </xf>
    <xf numFmtId="0" fontId="5" fillId="0" borderId="0" xfId="0" applyFont="1" applyAlignment="1">
      <alignment horizontal="center" vertical="top"/>
    </xf>
    <xf numFmtId="1" fontId="35" fillId="21" borderId="91" xfId="0" applyNumberFormat="1" applyFont="1" applyFill="1" applyBorder="1" applyAlignment="1">
      <alignment horizontal="center" vertical="center" wrapText="1"/>
    </xf>
    <xf numFmtId="1" fontId="37" fillId="21" borderId="91" xfId="0" applyNumberFormat="1" applyFont="1" applyFill="1" applyBorder="1" applyAlignment="1">
      <alignment horizontal="center" vertical="center" wrapText="1"/>
    </xf>
    <xf numFmtId="1" fontId="37" fillId="22" borderId="91" xfId="0" applyNumberFormat="1" applyFont="1" applyFill="1" applyBorder="1" applyAlignment="1">
      <alignment horizontal="center" vertical="center" wrapText="1"/>
    </xf>
    <xf numFmtId="1" fontId="37" fillId="23" borderId="91" xfId="0" applyNumberFormat="1" applyFont="1" applyFill="1" applyBorder="1" applyAlignment="1">
      <alignment horizontal="center" vertical="center" wrapText="1"/>
    </xf>
    <xf numFmtId="0" fontId="6" fillId="0" borderId="0" xfId="0" applyFont="1" applyAlignment="1">
      <alignment horizontal="center" vertical="top"/>
    </xf>
    <xf numFmtId="0" fontId="3" fillId="0" borderId="0" xfId="0" applyFont="1" applyAlignment="1">
      <alignment horizontal="center" vertical="top"/>
    </xf>
    <xf numFmtId="0" fontId="3" fillId="0" borderId="0" xfId="0" applyFont="1"/>
    <xf numFmtId="0" fontId="38" fillId="0" borderId="0" xfId="0" applyFont="1"/>
    <xf numFmtId="1" fontId="37" fillId="0" borderId="91" xfId="0" applyNumberFormat="1" applyFont="1" applyBorder="1" applyAlignment="1">
      <alignment horizontal="center" wrapText="1"/>
    </xf>
    <xf numFmtId="0" fontId="38" fillId="0" borderId="0" xfId="0" applyFont="1" applyAlignment="1">
      <alignment horizontal="center"/>
    </xf>
    <xf numFmtId="0" fontId="38" fillId="0" borderId="0" xfId="0" applyFont="1" applyAlignment="1">
      <alignment horizontal="left"/>
    </xf>
    <xf numFmtId="0" fontId="38" fillId="0" borderId="0" xfId="0" applyFont="1" applyAlignment="1">
      <alignment horizontal="right"/>
    </xf>
    <xf numFmtId="0" fontId="38" fillId="0" borderId="0" xfId="0" applyFont="1" applyAlignment="1">
      <alignment vertical="top"/>
    </xf>
    <xf numFmtId="1" fontId="35" fillId="22" borderId="91" xfId="0" applyNumberFormat="1" applyFont="1" applyFill="1" applyBorder="1" applyAlignment="1">
      <alignment horizontal="center" vertical="center" wrapText="1"/>
    </xf>
    <xf numFmtId="0" fontId="39" fillId="0" borderId="0" xfId="0" applyFont="1" applyAlignment="1">
      <alignment horizontal="center"/>
    </xf>
    <xf numFmtId="1" fontId="35" fillId="23" borderId="91" xfId="0" applyNumberFormat="1" applyFont="1" applyFill="1" applyBorder="1" applyAlignment="1">
      <alignment horizontal="center" vertical="center" wrapText="1"/>
    </xf>
    <xf numFmtId="1" fontId="35" fillId="22" borderId="91" xfId="0" applyNumberFormat="1" applyFont="1" applyFill="1" applyBorder="1" applyAlignment="1">
      <alignment horizontal="center" wrapText="1"/>
    </xf>
    <xf numFmtId="1" fontId="35" fillId="23" borderId="91" xfId="0" applyNumberFormat="1" applyFont="1" applyFill="1" applyBorder="1" applyAlignment="1">
      <alignment horizontal="center" wrapText="1"/>
    </xf>
    <xf numFmtId="1" fontId="35" fillId="21" borderId="91" xfId="0" applyNumberFormat="1" applyFont="1" applyFill="1" applyBorder="1" applyAlignment="1">
      <alignment horizontal="center" wrapText="1"/>
    </xf>
    <xf numFmtId="0" fontId="3" fillId="0" borderId="0" xfId="0" applyFont="1" applyAlignment="1">
      <alignment vertical="top"/>
    </xf>
    <xf numFmtId="1" fontId="35" fillId="0" borderId="91" xfId="0" applyNumberFormat="1" applyFont="1" applyBorder="1" applyAlignment="1">
      <alignment horizontal="center" vertical="center" wrapText="1"/>
    </xf>
    <xf numFmtId="0" fontId="6" fillId="26" borderId="0" xfId="0" applyFont="1" applyFill="1" applyAlignment="1">
      <alignment horizontal="left" vertical="center"/>
    </xf>
    <xf numFmtId="0" fontId="6" fillId="26" borderId="0" xfId="0" applyFont="1" applyFill="1" applyAlignment="1">
      <alignment horizontal="center" vertical="center"/>
    </xf>
    <xf numFmtId="0" fontId="6" fillId="0" borderId="0" xfId="0" applyFont="1" applyAlignment="1">
      <alignment horizontal="center" vertical="center"/>
    </xf>
    <xf numFmtId="0" fontId="7" fillId="27" borderId="0" xfId="0" applyFont="1" applyFill="1" applyAlignment="1">
      <alignment horizontal="left" vertical="center"/>
    </xf>
    <xf numFmtId="0" fontId="7" fillId="27" borderId="0" xfId="0" applyFont="1" applyFill="1" applyAlignment="1">
      <alignment horizontal="center" vertical="center"/>
    </xf>
    <xf numFmtId="0" fontId="7" fillId="27" borderId="0" xfId="0" applyFont="1" applyFill="1" applyAlignment="1">
      <alignment horizontal="center"/>
    </xf>
    <xf numFmtId="0" fontId="6" fillId="0" borderId="0" xfId="0" applyFont="1" applyAlignment="1">
      <alignment horizontal="left" vertical="center"/>
    </xf>
    <xf numFmtId="0" fontId="3" fillId="0" borderId="0" xfId="0" applyFont="1" applyAlignment="1">
      <alignment horizontal="center"/>
    </xf>
    <xf numFmtId="0" fontId="40" fillId="28" borderId="0" xfId="0" applyFont="1" applyFill="1" applyAlignment="1">
      <alignment horizontal="left" vertical="center"/>
    </xf>
    <xf numFmtId="0" fontId="41" fillId="29" borderId="0" xfId="0" applyFont="1" applyFill="1"/>
    <xf numFmtId="0" fontId="42" fillId="30" borderId="0" xfId="0" applyFont="1" applyFill="1" applyAlignment="1">
      <alignment horizontal="left" vertical="center"/>
    </xf>
    <xf numFmtId="0" fontId="42" fillId="30" borderId="0" xfId="0" applyFont="1" applyFill="1" applyAlignment="1">
      <alignment horizontal="center" vertical="center"/>
    </xf>
    <xf numFmtId="0" fontId="43" fillId="30" borderId="0" xfId="0" applyFont="1" applyFill="1" applyAlignment="1">
      <alignment horizontal="center" vertical="center"/>
    </xf>
    <xf numFmtId="0" fontId="43" fillId="30" borderId="0" xfId="0" applyFont="1" applyFill="1" applyAlignment="1">
      <alignment horizontal="left" vertical="center"/>
    </xf>
    <xf numFmtId="0" fontId="3" fillId="29" borderId="0" xfId="0" applyFont="1" applyFill="1"/>
    <xf numFmtId="0" fontId="42" fillId="5" borderId="0" xfId="0" applyFont="1" applyFill="1" applyAlignment="1">
      <alignment horizontal="left" vertical="center"/>
    </xf>
    <xf numFmtId="0" fontId="42" fillId="5" borderId="0" xfId="0" applyFont="1" applyFill="1" applyAlignment="1">
      <alignment horizontal="center" vertical="center"/>
    </xf>
    <xf numFmtId="0" fontId="3" fillId="5" borderId="0" xfId="0" applyFont="1" applyFill="1" applyAlignment="1">
      <alignment horizontal="center" vertical="center"/>
    </xf>
    <xf numFmtId="0" fontId="44" fillId="0" borderId="0" xfId="0" applyFont="1"/>
    <xf numFmtId="0" fontId="3" fillId="30" borderId="0" xfId="0" applyFont="1" applyFill="1" applyAlignment="1">
      <alignment horizontal="center" vertical="center"/>
    </xf>
    <xf numFmtId="0" fontId="45" fillId="30" borderId="0" xfId="0" applyFont="1" applyFill="1" applyAlignment="1">
      <alignment horizontal="center" vertical="center"/>
    </xf>
    <xf numFmtId="0" fontId="45" fillId="30" borderId="0" xfId="0" applyFont="1" applyFill="1" applyAlignment="1">
      <alignment horizontal="left" vertical="center"/>
    </xf>
    <xf numFmtId="0" fontId="3" fillId="0" borderId="0" xfId="0" applyFont="1" applyAlignment="1">
      <alignment horizontal="center" vertical="center"/>
    </xf>
    <xf numFmtId="49" fontId="41" fillId="28" borderId="0" xfId="0" applyNumberFormat="1" applyFont="1" applyFill="1" applyAlignment="1">
      <alignment horizontal="center" vertical="center"/>
    </xf>
    <xf numFmtId="0" fontId="46" fillId="30" borderId="0" xfId="0" applyFont="1" applyFill="1" applyAlignment="1">
      <alignment horizontal="left" vertical="center"/>
    </xf>
    <xf numFmtId="49" fontId="47" fillId="28" borderId="0" xfId="0" applyNumberFormat="1" applyFont="1" applyFill="1" applyAlignment="1">
      <alignment horizontal="center" vertical="center"/>
    </xf>
    <xf numFmtId="0" fontId="45" fillId="5" borderId="0" xfId="0" applyFont="1" applyFill="1" applyAlignment="1">
      <alignment horizontal="center" vertical="center"/>
    </xf>
    <xf numFmtId="0" fontId="5" fillId="0" borderId="5" xfId="0" applyFont="1" applyBorder="1"/>
    <xf numFmtId="0" fontId="14" fillId="0" borderId="6" xfId="0" applyFont="1" applyBorder="1"/>
    <xf numFmtId="0" fontId="6" fillId="0" borderId="12" xfId="0" applyFont="1" applyBorder="1" applyAlignment="1">
      <alignment vertical="top" wrapText="1"/>
    </xf>
    <xf numFmtId="0" fontId="14" fillId="0" borderId="12" xfId="0" applyFont="1" applyBorder="1"/>
    <xf numFmtId="0" fontId="14" fillId="0" borderId="15" xfId="0" applyFont="1" applyBorder="1"/>
    <xf numFmtId="0" fontId="6" fillId="0" borderId="0" xfId="0" applyFont="1" applyAlignment="1">
      <alignment vertical="center"/>
    </xf>
    <xf numFmtId="0" fontId="0" fillId="0" borderId="0" xfId="0"/>
    <xf numFmtId="49" fontId="6" fillId="0" borderId="0" xfId="0" applyNumberFormat="1" applyFont="1" applyAlignment="1">
      <alignment horizontal="center"/>
    </xf>
    <xf numFmtId="0" fontId="6" fillId="0" borderId="0" xfId="0" applyFont="1" applyAlignment="1">
      <alignment horizontal="center"/>
    </xf>
    <xf numFmtId="9" fontId="6" fillId="0" borderId="0" xfId="0" applyNumberFormat="1" applyFont="1" applyAlignment="1">
      <alignment horizontal="center"/>
    </xf>
    <xf numFmtId="0" fontId="6" fillId="0" borderId="0" xfId="0" applyFont="1" applyAlignment="1">
      <alignment vertical="center" wrapText="1"/>
    </xf>
    <xf numFmtId="0" fontId="6" fillId="0" borderId="0" xfId="0" applyFont="1"/>
    <xf numFmtId="49" fontId="6" fillId="0" borderId="0" xfId="0" applyNumberFormat="1" applyFont="1" applyAlignment="1">
      <alignment vertical="center" wrapText="1"/>
    </xf>
    <xf numFmtId="0" fontId="6" fillId="16" borderId="0" xfId="0" applyFont="1" applyFill="1" applyAlignment="1">
      <alignment horizontal="center" vertical="center"/>
    </xf>
    <xf numFmtId="0" fontId="6" fillId="16" borderId="0" xfId="0" applyFont="1" applyFill="1" applyAlignment="1">
      <alignment horizontal="center"/>
    </xf>
    <xf numFmtId="49" fontId="6" fillId="0" borderId="0" xfId="0" applyNumberFormat="1" applyFont="1" applyAlignment="1">
      <alignment vertical="center"/>
    </xf>
    <xf numFmtId="49" fontId="6" fillId="16" borderId="0" xfId="0" applyNumberFormat="1" applyFont="1" applyFill="1" applyAlignment="1">
      <alignment horizontal="center"/>
    </xf>
    <xf numFmtId="0" fontId="5" fillId="18" borderId="21" xfId="0" applyFont="1" applyFill="1" applyBorder="1" applyAlignment="1">
      <alignment vertical="top" wrapText="1"/>
    </xf>
    <xf numFmtId="0" fontId="14" fillId="0" borderId="21" xfId="0" applyFont="1" applyBorder="1"/>
    <xf numFmtId="0" fontId="14" fillId="0" borderId="30" xfId="0" applyFont="1" applyBorder="1"/>
    <xf numFmtId="0" fontId="6" fillId="0" borderId="23" xfId="0" applyFont="1" applyBorder="1"/>
    <xf numFmtId="0" fontId="14" fillId="0" borderId="24" xfId="0" applyFont="1" applyBorder="1"/>
    <xf numFmtId="0" fontId="21" fillId="0" borderId="34" xfId="0" applyFont="1" applyBorder="1" applyAlignment="1">
      <alignment horizontal="left" vertical="center"/>
    </xf>
    <xf numFmtId="0" fontId="14" fillId="0" borderId="35" xfId="0" applyFont="1" applyBorder="1"/>
    <xf numFmtId="0" fontId="14" fillId="0" borderId="40" xfId="0" applyFont="1" applyBorder="1"/>
    <xf numFmtId="0" fontId="14" fillId="0" borderId="41" xfId="0" applyFont="1" applyBorder="1"/>
    <xf numFmtId="0" fontId="22" fillId="0" borderId="36" xfId="0" applyFont="1" applyBorder="1" applyAlignment="1">
      <alignment horizontal="center" vertical="center"/>
    </xf>
    <xf numFmtId="0" fontId="14" fillId="0" borderId="37" xfId="0" applyFont="1" applyBorder="1"/>
    <xf numFmtId="0" fontId="14" fillId="0" borderId="38" xfId="0" applyFont="1" applyBorder="1"/>
    <xf numFmtId="0" fontId="14" fillId="0" borderId="39" xfId="0" applyFont="1" applyBorder="1"/>
    <xf numFmtId="0" fontId="23" fillId="0" borderId="42" xfId="0" applyFont="1" applyBorder="1" applyAlignment="1">
      <alignment horizontal="center" vertical="center"/>
    </xf>
    <xf numFmtId="0" fontId="14" fillId="0" borderId="43" xfId="0" applyFont="1" applyBorder="1"/>
    <xf numFmtId="0" fontId="14" fillId="0" borderId="44" xfId="0" applyFont="1" applyBorder="1"/>
    <xf numFmtId="9" fontId="23" fillId="0" borderId="42" xfId="0" applyNumberFormat="1" applyFont="1" applyBorder="1" applyAlignment="1">
      <alignment horizontal="center" vertical="center"/>
    </xf>
    <xf numFmtId="0" fontId="14" fillId="0" borderId="45" xfId="0" applyFont="1" applyBorder="1"/>
    <xf numFmtId="0" fontId="24" fillId="3" borderId="34" xfId="0" applyFont="1" applyFill="1" applyBorder="1" applyAlignment="1">
      <alignment horizontal="center" vertical="center" wrapText="1"/>
    </xf>
    <xf numFmtId="0" fontId="14" fillId="0" borderId="46" xfId="0" applyFont="1" applyBorder="1"/>
    <xf numFmtId="0" fontId="14" fillId="0" borderId="47" xfId="0" applyFont="1" applyBorder="1"/>
    <xf numFmtId="0" fontId="25" fillId="0" borderId="42" xfId="0" applyFont="1" applyBorder="1" applyAlignment="1">
      <alignment horizontal="center" vertical="center"/>
    </xf>
    <xf numFmtId="9" fontId="25" fillId="0" borderId="42" xfId="0" applyNumberFormat="1" applyFont="1" applyBorder="1" applyAlignment="1">
      <alignment horizontal="center" vertical="center"/>
    </xf>
    <xf numFmtId="0" fontId="28" fillId="0" borderId="42" xfId="0" applyFont="1" applyBorder="1" applyAlignment="1">
      <alignment horizontal="center" vertical="center"/>
    </xf>
    <xf numFmtId="9" fontId="28" fillId="0" borderId="42" xfId="0" applyNumberFormat="1" applyFont="1" applyBorder="1" applyAlignment="1">
      <alignment horizontal="center" vertical="center"/>
    </xf>
    <xf numFmtId="0" fontId="27" fillId="0" borderId="48" xfId="0" applyFont="1" applyBorder="1" applyAlignment="1">
      <alignment horizontal="left" vertical="center"/>
    </xf>
    <xf numFmtId="0" fontId="14" fillId="0" borderId="49" xfId="0" applyFont="1" applyBorder="1"/>
    <xf numFmtId="0" fontId="1" fillId="0" borderId="34" xfId="0" applyFont="1" applyBorder="1" applyAlignment="1">
      <alignment horizontal="center" vertical="center"/>
    </xf>
    <xf numFmtId="0" fontId="14" fillId="0" borderId="67" xfId="0" applyFont="1" applyBorder="1"/>
    <xf numFmtId="0" fontId="1" fillId="0" borderId="68" xfId="0" applyFont="1" applyBorder="1" applyAlignment="1">
      <alignment vertical="center"/>
    </xf>
    <xf numFmtId="0" fontId="14" fillId="0" borderId="72" xfId="0" applyFont="1" applyBorder="1"/>
    <xf numFmtId="0" fontId="5" fillId="0" borderId="53" xfId="0" applyFont="1" applyBorder="1" applyAlignment="1">
      <alignment horizontal="center"/>
    </xf>
    <xf numFmtId="0" fontId="14" fillId="0" borderId="69" xfId="0" applyFont="1" applyBorder="1"/>
    <xf numFmtId="0" fontId="14" fillId="0" borderId="70" xfId="0" applyFont="1" applyBorder="1"/>
    <xf numFmtId="0" fontId="6" fillId="0" borderId="40" xfId="0" applyFont="1" applyBorder="1" applyAlignment="1">
      <alignment horizontal="center"/>
    </xf>
    <xf numFmtId="0" fontId="14" fillId="0" borderId="73" xfId="0" applyFont="1" applyBorder="1"/>
    <xf numFmtId="0" fontId="6" fillId="0" borderId="75" xfId="0" applyFont="1" applyBorder="1"/>
    <xf numFmtId="0" fontId="14" fillId="0" borderId="76" xfId="0" applyFont="1" applyBorder="1"/>
    <xf numFmtId="0" fontId="6" fillId="0" borderId="40" xfId="0" applyFont="1" applyBorder="1"/>
    <xf numFmtId="0" fontId="6" fillId="26" borderId="0" xfId="0" applyFont="1" applyFill="1" applyAlignment="1">
      <alignment horizontal="center" vertical="center"/>
    </xf>
    <xf numFmtId="0" fontId="0" fillId="0" borderId="92" xfId="0" applyBorder="1"/>
    <xf numFmtId="0" fontId="0" fillId="0" borderId="92" xfId="0" pivotButton="1" applyBorder="1"/>
    <xf numFmtId="0" fontId="0" fillId="0" borderId="93" xfId="0" pivotButton="1" applyBorder="1"/>
    <xf numFmtId="0" fontId="0" fillId="0" borderId="93" xfId="0" applyBorder="1"/>
    <xf numFmtId="0" fontId="0" fillId="0" borderId="94" xfId="0" applyBorder="1"/>
    <xf numFmtId="0" fontId="0" fillId="0" borderId="95" xfId="0" applyBorder="1"/>
    <xf numFmtId="49" fontId="0" fillId="0" borderId="92" xfId="0" applyNumberFormat="1" applyBorder="1"/>
    <xf numFmtId="0" fontId="0" fillId="0" borderId="96" xfId="0" applyBorder="1"/>
    <xf numFmtId="0" fontId="0" fillId="0" borderId="97" xfId="0" applyBorder="1"/>
    <xf numFmtId="0" fontId="0" fillId="0" borderId="92" xfId="0" applyNumberFormat="1" applyBorder="1"/>
    <xf numFmtId="10" fontId="0" fillId="0" borderId="96" xfId="0" applyNumberFormat="1" applyBorder="1"/>
    <xf numFmtId="10" fontId="0" fillId="0" borderId="97" xfId="0" applyNumberFormat="1" applyBorder="1"/>
    <xf numFmtId="49" fontId="0" fillId="0" borderId="98" xfId="0" applyNumberFormat="1" applyBorder="1"/>
    <xf numFmtId="0" fontId="0" fillId="0" borderId="98" xfId="0" applyNumberFormat="1" applyBorder="1"/>
    <xf numFmtId="10" fontId="0" fillId="0" borderId="90" xfId="0" applyNumberFormat="1" applyBorder="1"/>
    <xf numFmtId="10" fontId="0" fillId="0" borderId="99" xfId="0" applyNumberFormat="1" applyBorder="1"/>
    <xf numFmtId="49" fontId="0" fillId="0" borderId="100" xfId="0" applyNumberFormat="1" applyBorder="1"/>
    <xf numFmtId="0" fontId="0" fillId="0" borderId="100" xfId="0" applyNumberFormat="1" applyBorder="1"/>
    <xf numFmtId="10" fontId="0" fillId="0" borderId="101" xfId="0" applyNumberFormat="1" applyBorder="1"/>
    <xf numFmtId="10" fontId="0" fillId="0" borderId="102" xfId="0" applyNumberFormat="1" applyBorder="1"/>
    <xf numFmtId="0" fontId="0" fillId="0" borderId="103" xfId="0" pivotButton="1" applyBorder="1"/>
    <xf numFmtId="0" fontId="0" fillId="0" borderId="103" xfId="0" applyBorder="1"/>
    <xf numFmtId="49" fontId="0" fillId="0" borderId="96" xfId="0" applyNumberFormat="1" applyBorder="1"/>
    <xf numFmtId="49" fontId="0" fillId="0" borderId="97" xfId="0" applyNumberFormat="1" applyBorder="1"/>
    <xf numFmtId="10" fontId="0" fillId="0" borderId="92" xfId="0" applyNumberFormat="1" applyBorder="1"/>
    <xf numFmtId="0" fontId="0" fillId="0" borderId="98" xfId="0" applyBorder="1"/>
    <xf numFmtId="10" fontId="0" fillId="0" borderId="98" xfId="0" applyNumberFormat="1" applyBorder="1"/>
    <xf numFmtId="0" fontId="0" fillId="0" borderId="100" xfId="0" applyBorder="1"/>
    <xf numFmtId="10" fontId="0" fillId="0" borderId="100" xfId="0" applyNumberFormat="1" applyBorder="1"/>
    <xf numFmtId="0" fontId="0" fillId="0" borderId="103" xfId="0" applyBorder="1" applyAlignment="1">
      <alignment horizontal="left"/>
    </xf>
    <xf numFmtId="0" fontId="0" fillId="0" borderId="104" xfId="0" applyBorder="1"/>
    <xf numFmtId="0" fontId="0" fillId="0" borderId="105" xfId="0" applyBorder="1"/>
    <xf numFmtId="0" fontId="0" fillId="0" borderId="96" xfId="0" applyNumberFormat="1" applyBorder="1"/>
    <xf numFmtId="0" fontId="0" fillId="0" borderId="104" xfId="0" applyNumberFormat="1" applyBorder="1"/>
    <xf numFmtId="0" fontId="0" fillId="0" borderId="90" xfId="0" applyNumberFormat="1" applyBorder="1"/>
    <xf numFmtId="0" fontId="0" fillId="0" borderId="106" xfId="0" applyNumberFormat="1" applyBorder="1"/>
    <xf numFmtId="0" fontId="0" fillId="0" borderId="101" xfId="0" applyNumberFormat="1" applyBorder="1"/>
    <xf numFmtId="0" fontId="0" fillId="0" borderId="103" xfId="0" applyNumberFormat="1" applyBorder="1"/>
    <xf numFmtId="0" fontId="0" fillId="0" borderId="104" xfId="0" pivotButton="1" applyBorder="1"/>
    <xf numFmtId="49" fontId="0" fillId="0" borderId="104" xfId="0" applyNumberFormat="1" applyBorder="1"/>
    <xf numFmtId="49" fontId="0" fillId="0" borderId="106" xfId="0" applyNumberFormat="1" applyBorder="1"/>
    <xf numFmtId="0" fontId="0" fillId="0" borderId="107" xfId="0" applyBorder="1"/>
    <xf numFmtId="0" fontId="0" fillId="0" borderId="108" xfId="0" applyBorder="1"/>
    <xf numFmtId="0" fontId="0" fillId="0" borderId="97" xfId="0" applyNumberFormat="1" applyBorder="1"/>
    <xf numFmtId="0" fontId="0" fillId="0" borderId="99" xfId="0" applyNumberFormat="1" applyBorder="1"/>
    <xf numFmtId="0" fontId="0" fillId="0" borderId="102" xfId="0" applyNumberFormat="1" applyBorder="1"/>
    <xf numFmtId="0" fontId="0" fillId="0" borderId="94" xfId="0" pivotButton="1" applyBorder="1"/>
    <xf numFmtId="0" fontId="0" fillId="0" borderId="109" xfId="0" applyBorder="1"/>
    <xf numFmtId="49" fontId="0" fillId="0" borderId="103" xfId="0" applyNumberFormat="1" applyBorder="1"/>
    <xf numFmtId="0" fontId="0" fillId="0" borderId="110" xfId="0" applyBorder="1"/>
    <xf numFmtId="0" fontId="0" fillId="0" borderId="100" xfId="0" pivotButton="1" applyBorder="1"/>
    <xf numFmtId="0" fontId="0" fillId="0" borderId="111" xfId="0" applyBorder="1"/>
    <xf numFmtId="0" fontId="0" fillId="0" borderId="112" xfId="0" applyBorder="1"/>
    <xf numFmtId="0" fontId="0" fillId="0" borderId="113" xfId="0" applyBorder="1"/>
    <xf numFmtId="0" fontId="0" fillId="0" borderId="113" xfId="0" applyNumberFormat="1" applyBorder="1"/>
    <xf numFmtId="0" fontId="0" fillId="0" borderId="114" xfId="0" applyNumberFormat="1" applyBorder="1"/>
    <xf numFmtId="0" fontId="0" fillId="0" borderId="115" xfId="0" applyNumberFormat="1" applyBorder="1"/>
    <xf numFmtId="0" fontId="48" fillId="0" borderId="0" xfId="0" applyFont="1" applyAlignment="1">
      <alignment wrapText="1"/>
    </xf>
    <xf numFmtId="10" fontId="48" fillId="0" borderId="0" xfId="0" applyNumberFormat="1" applyFont="1" applyAlignment="1">
      <alignment horizontal="center" wrapText="1"/>
    </xf>
  </cellXfs>
  <cellStyles count="1">
    <cellStyle name="Normal" xfId="0" builtinId="0"/>
  </cellStyles>
  <dxfs count="8">
    <dxf>
      <font>
        <color rgb="FFFF0000"/>
      </font>
      <fill>
        <patternFill patternType="none"/>
      </fill>
    </dxf>
    <dxf>
      <font>
        <color rgb="FF00B050"/>
      </font>
      <fill>
        <patternFill patternType="none"/>
      </fill>
    </dxf>
    <dxf>
      <font>
        <color rgb="FF0070C0"/>
      </font>
      <fill>
        <patternFill patternType="none"/>
      </fill>
    </dxf>
    <dxf>
      <font>
        <color rgb="FFFFFFFF"/>
      </font>
      <fill>
        <patternFill patternType="solid">
          <fgColor rgb="FF0000FF"/>
          <bgColor rgb="FF0000FF"/>
        </patternFill>
      </fill>
    </dxf>
    <dxf>
      <fill>
        <patternFill patternType="solid">
          <fgColor rgb="FFFF0000"/>
          <bgColor rgb="FFFF0000"/>
        </patternFill>
      </fill>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1">
    <tableStyle name="Datos2-En proceso-2022-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Procesados!$D$11</c:f>
              <c:strCache>
                <c:ptCount val="1"/>
                <c:pt idx="0">
                  <c:v>2024</c:v>
                </c:pt>
              </c:strCache>
            </c:strRef>
          </c:tx>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Procesados!$C$12:$C$13</c:f>
              <c:strCache>
                <c:ptCount val="2"/>
                <c:pt idx="0">
                  <c:v>Femenino</c:v>
                </c:pt>
                <c:pt idx="1">
                  <c:v>Masculino</c:v>
                </c:pt>
              </c:strCache>
            </c:strRef>
          </c:cat>
          <c:val>
            <c:numRef>
              <c:f>Procesados!$D$12:$D$13</c:f>
              <c:numCache>
                <c:formatCode>0.00%</c:formatCode>
                <c:ptCount val="2"/>
                <c:pt idx="0">
                  <c:v>0.50496838301716351</c:v>
                </c:pt>
                <c:pt idx="1">
                  <c:v>0.49503161698283649</c:v>
                </c:pt>
              </c:numCache>
            </c:numRef>
          </c:val>
          <c:extLst>
            <c:ext xmlns:c16="http://schemas.microsoft.com/office/drawing/2014/chart" uri="{C3380CC4-5D6E-409C-BE32-E72D297353CC}">
              <c16:uniqueId val="{00000005-14A2-45D3-AD83-4E552FB8DDFB}"/>
            </c:ext>
          </c:extLst>
        </c:ser>
        <c:dLbls>
          <c:dLblPos val="bestFit"/>
          <c:showLegendKey val="0"/>
          <c:showVal val="1"/>
          <c:showCatName val="0"/>
          <c:showSerName val="0"/>
          <c:showPercent val="0"/>
          <c:showBubbleSize val="0"/>
          <c:showLeaderLines val="1"/>
        </c:dLbls>
        <c:firstSliceAng val="0"/>
      </c:pieChart>
    </c:plotArea>
    <c:legend>
      <c:legendPos val="r"/>
      <c:overlay val="0"/>
      <c:txPr>
        <a:bodyPr/>
        <a:lstStyle/>
        <a:p>
          <a:pPr lvl="0" rt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Procesados!$D$33</c:f>
              <c:strCache>
                <c:ptCount val="1"/>
                <c:pt idx="0">
                  <c:v>2024</c:v>
                </c:pt>
              </c:strCache>
            </c:strRef>
          </c:tx>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Procesados!$C$34:$C$38</c:f>
              <c:strCache>
                <c:ptCount val="5"/>
                <c:pt idx="0">
                  <c:v>2 Primaria</c:v>
                </c:pt>
                <c:pt idx="1">
                  <c:v>2 Secundaria</c:v>
                </c:pt>
                <c:pt idx="2">
                  <c:v>4 Primaria</c:v>
                </c:pt>
                <c:pt idx="3">
                  <c:v>4 Secundaria</c:v>
                </c:pt>
                <c:pt idx="4">
                  <c:v>6 Primaria</c:v>
                </c:pt>
              </c:strCache>
            </c:strRef>
          </c:cat>
          <c:val>
            <c:numRef>
              <c:f>Procesados!$D$34:$D$38</c:f>
              <c:numCache>
                <c:formatCode>0.0%</c:formatCode>
                <c:ptCount val="5"/>
                <c:pt idx="0">
                  <c:v>0.2050587172538392</c:v>
                </c:pt>
                <c:pt idx="1">
                  <c:v>0.21318879855465223</c:v>
                </c:pt>
                <c:pt idx="2">
                  <c:v>0.18608852755194219</c:v>
                </c:pt>
                <c:pt idx="3">
                  <c:v>0.19783197831978319</c:v>
                </c:pt>
                <c:pt idx="4">
                  <c:v>0.19783197831978319</c:v>
                </c:pt>
              </c:numCache>
            </c:numRef>
          </c:val>
          <c:extLst>
            <c:ext xmlns:c16="http://schemas.microsoft.com/office/drawing/2014/chart" uri="{C3380CC4-5D6E-409C-BE32-E72D297353CC}">
              <c16:uniqueId val="{0000000D-DE70-45C7-B7F1-4600CE5E4CBE}"/>
            </c:ext>
          </c:extLst>
        </c:ser>
        <c:dLbls>
          <c:dLblPos val="bestFit"/>
          <c:showLegendKey val="0"/>
          <c:showVal val="1"/>
          <c:showCatName val="0"/>
          <c:showSerName val="0"/>
          <c:showPercent val="0"/>
          <c:showBubbleSize val="0"/>
          <c:showLeaderLines val="1"/>
        </c:dLbls>
        <c:firstSliceAng val="0"/>
      </c:pieChart>
    </c:plotArea>
    <c:legend>
      <c:legendPos val="r"/>
      <c:overlay val="0"/>
      <c:txPr>
        <a:bodyPr/>
        <a:lstStyle/>
        <a:p>
          <a:pPr lvl="0" rtl="0">
            <a:defRPr sz="1400"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pieChart>
        <c:varyColors val="1"/>
        <c:ser>
          <c:idx val="0"/>
          <c:order val="0"/>
          <c:tx>
            <c:strRef>
              <c:f>Procesados!$F$45</c:f>
              <c:strCache>
                <c:ptCount val="1"/>
                <c:pt idx="0">
                  <c:v>2024</c:v>
                </c:pt>
              </c:strCache>
            </c:strRef>
          </c:tx>
          <c:dPt>
            <c:idx val="0"/>
            <c:bubble3D val="0"/>
            <c:spPr>
              <a:solidFill>
                <a:srgbClr val="4285F4"/>
              </a:solidFill>
            </c:spPr>
            <c:extLst>
              <c:ext xmlns:c16="http://schemas.microsoft.com/office/drawing/2014/chart" uri="{C3380CC4-5D6E-409C-BE32-E72D297353CC}">
                <c16:uniqueId val="{00000001-A5DA-4CB7-8B4A-F08FD6CD8623}"/>
              </c:ext>
            </c:extLst>
          </c:dPt>
          <c:dPt>
            <c:idx val="1"/>
            <c:bubble3D val="0"/>
            <c:spPr>
              <a:solidFill>
                <a:srgbClr val="EA4335"/>
              </a:solidFill>
            </c:spPr>
            <c:extLst>
              <c:ext xmlns:c16="http://schemas.microsoft.com/office/drawing/2014/chart" uri="{C3380CC4-5D6E-409C-BE32-E72D297353CC}">
                <c16:uniqueId val="{00000003-A5DA-4CB7-8B4A-F08FD6CD8623}"/>
              </c:ext>
            </c:extLst>
          </c:dPt>
          <c:dPt>
            <c:idx val="2"/>
            <c:bubble3D val="0"/>
            <c:spPr>
              <a:solidFill>
                <a:srgbClr val="FBBC04"/>
              </a:solidFill>
            </c:spPr>
            <c:extLst>
              <c:ext xmlns:c16="http://schemas.microsoft.com/office/drawing/2014/chart" uri="{C3380CC4-5D6E-409C-BE32-E72D297353CC}">
                <c16:uniqueId val="{00000005-A5DA-4CB7-8B4A-F08FD6CD8623}"/>
              </c:ext>
            </c:extLst>
          </c:dPt>
          <c:dPt>
            <c:idx val="3"/>
            <c:bubble3D val="0"/>
            <c:spPr>
              <a:solidFill>
                <a:srgbClr val="34A853"/>
              </a:solidFill>
            </c:spPr>
            <c:extLst>
              <c:ext xmlns:c16="http://schemas.microsoft.com/office/drawing/2014/chart" uri="{C3380CC4-5D6E-409C-BE32-E72D297353CC}">
                <c16:uniqueId val="{00000007-A5DA-4CB7-8B4A-F08FD6CD8623}"/>
              </c:ext>
            </c:extLst>
          </c:dPt>
          <c:dPt>
            <c:idx val="4"/>
            <c:bubble3D val="0"/>
            <c:spPr>
              <a:solidFill>
                <a:srgbClr val="FF6D01"/>
              </a:solidFill>
            </c:spPr>
            <c:extLst>
              <c:ext xmlns:c16="http://schemas.microsoft.com/office/drawing/2014/chart" uri="{C3380CC4-5D6E-409C-BE32-E72D297353CC}">
                <c16:uniqueId val="{00000009-A5DA-4CB7-8B4A-F08FD6CD8623}"/>
              </c:ext>
            </c:extLst>
          </c:dPt>
          <c:dPt>
            <c:idx val="5"/>
            <c:bubble3D val="0"/>
            <c:spPr>
              <a:solidFill>
                <a:srgbClr val="46BDC6"/>
              </a:solidFill>
            </c:spPr>
            <c:extLst>
              <c:ext xmlns:c16="http://schemas.microsoft.com/office/drawing/2014/chart" uri="{C3380CC4-5D6E-409C-BE32-E72D297353CC}">
                <c16:uniqueId val="{0000000B-A5DA-4CB7-8B4A-F08FD6CD862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Procesados!$C$46:$C$51</c:f>
              <c:strCache>
                <c:ptCount val="6"/>
                <c:pt idx="0">
                  <c:v>44. Cusco</c:v>
                </c:pt>
                <c:pt idx="1">
                  <c:v>47. Loreto</c:v>
                </c:pt>
                <c:pt idx="2">
                  <c:v>48. Piura</c:v>
                </c:pt>
                <c:pt idx="3">
                  <c:v>54. Ancash</c:v>
                </c:pt>
                <c:pt idx="4">
                  <c:v>72. Ucayali</c:v>
                </c:pt>
                <c:pt idx="5">
                  <c:v>79. Huancavelica</c:v>
                </c:pt>
              </c:strCache>
            </c:strRef>
          </c:cat>
          <c:val>
            <c:numRef>
              <c:f>Procesados!$F$46:$F$51</c:f>
              <c:numCache>
                <c:formatCode>General</c:formatCode>
                <c:ptCount val="6"/>
                <c:pt idx="0">
                  <c:v>41</c:v>
                </c:pt>
                <c:pt idx="1">
                  <c:v>321</c:v>
                </c:pt>
                <c:pt idx="2">
                  <c:v>319</c:v>
                </c:pt>
                <c:pt idx="3">
                  <c:v>140</c:v>
                </c:pt>
                <c:pt idx="4">
                  <c:v>100</c:v>
                </c:pt>
                <c:pt idx="5">
                  <c:v>186</c:v>
                </c:pt>
              </c:numCache>
            </c:numRef>
          </c:val>
          <c:extLst>
            <c:ext xmlns:c16="http://schemas.microsoft.com/office/drawing/2014/chart" uri="{C3380CC4-5D6E-409C-BE32-E72D297353CC}">
              <c16:uniqueId val="{0000000C-A5DA-4CB7-8B4A-F08FD6CD8623}"/>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General!$C$13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General!$D$12:$F$12</c:f>
              <c:numCache>
                <c:formatCode>General</c:formatCode>
                <c:ptCount val="3"/>
                <c:pt idx="0">
                  <c:v>2022</c:v>
                </c:pt>
                <c:pt idx="1">
                  <c:v>2023</c:v>
                </c:pt>
                <c:pt idx="2">
                  <c:v>2024</c:v>
                </c:pt>
              </c:numCache>
            </c:numRef>
          </c:cat>
          <c:val>
            <c:numRef>
              <c:f>General!$D$13:$F$13</c:f>
              <c:numCache>
                <c:formatCode>0%</c:formatCode>
                <c:ptCount val="3"/>
                <c:pt idx="0">
                  <c:v>0</c:v>
                </c:pt>
                <c:pt idx="1">
                  <c:v>0</c:v>
                </c:pt>
                <c:pt idx="2">
                  <c:v>0.7142857142857143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9AB-4C59-8407-C6A48A4B1A5A}"/>
            </c:ext>
          </c:extLst>
        </c:ser>
        <c:ser>
          <c:idx val="1"/>
          <c:order val="1"/>
          <c:tx>
            <c:strRef>
              <c:f>General!$C$14</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General!$D$12:$F$12</c:f>
              <c:numCache>
                <c:formatCode>General</c:formatCode>
                <c:ptCount val="3"/>
                <c:pt idx="0">
                  <c:v>2022</c:v>
                </c:pt>
                <c:pt idx="1">
                  <c:v>2023</c:v>
                </c:pt>
                <c:pt idx="2">
                  <c:v>2024</c:v>
                </c:pt>
              </c:numCache>
            </c:numRef>
          </c:cat>
          <c:val>
            <c:numRef>
              <c:f>General!$D$14:$F$14</c:f>
              <c:numCache>
                <c:formatCode>0%</c:formatCode>
                <c:ptCount val="3"/>
                <c:pt idx="0">
                  <c:v>0</c:v>
                </c:pt>
                <c:pt idx="1">
                  <c:v>0</c:v>
                </c:pt>
                <c:pt idx="2">
                  <c:v>0.23376623376623376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9AB-4C59-8407-C6A48A4B1A5A}"/>
            </c:ext>
          </c:extLst>
        </c:ser>
        <c:ser>
          <c:idx val="2"/>
          <c:order val="2"/>
          <c:tx>
            <c:strRef>
              <c:f>General!$C$15</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General!$D$12:$F$12</c:f>
              <c:numCache>
                <c:formatCode>General</c:formatCode>
                <c:ptCount val="3"/>
                <c:pt idx="0">
                  <c:v>2022</c:v>
                </c:pt>
                <c:pt idx="1">
                  <c:v>2023</c:v>
                </c:pt>
                <c:pt idx="2">
                  <c:v>2024</c:v>
                </c:pt>
              </c:numCache>
            </c:numRef>
          </c:cat>
          <c:val>
            <c:numRef>
              <c:f>General!$D$15:$F$15</c:f>
              <c:numCache>
                <c:formatCode>0%</c:formatCode>
                <c:ptCount val="3"/>
                <c:pt idx="0">
                  <c:v>0</c:v>
                </c:pt>
                <c:pt idx="1">
                  <c:v>0</c:v>
                </c:pt>
                <c:pt idx="2">
                  <c:v>5.1948051948051951E-2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9AB-4C59-8407-C6A48A4B1A5A}"/>
            </c:ext>
          </c:extLst>
        </c:ser>
        <c:dLbls>
          <c:showLegendKey val="0"/>
          <c:showVal val="0"/>
          <c:showCatName val="0"/>
          <c:showSerName val="0"/>
          <c:showPercent val="0"/>
          <c:showBubbleSize val="0"/>
        </c:dLbls>
        <c:gapWidth val="150"/>
        <c:shape val="box"/>
        <c:axId val="2086376781"/>
        <c:axId val="2071754631"/>
        <c:axId val="0"/>
      </c:bar3DChart>
      <c:catAx>
        <c:axId val="20863767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71754631"/>
        <c:crosses val="autoZero"/>
        <c:auto val="1"/>
        <c:lblAlgn val="ctr"/>
        <c:lblOffset val="100"/>
        <c:noMultiLvlLbl val="1"/>
      </c:catAx>
      <c:valAx>
        <c:axId val="20717546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8637678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Inicio, Proceso y Satisfactorio</a:t>
            </a:r>
          </a:p>
        </c:rich>
      </c:tx>
      <c:overlay val="0"/>
    </c:title>
    <c:autoTitleDeleted val="0"/>
    <c:plotArea>
      <c:layout/>
      <c:barChart>
        <c:barDir val="bar"/>
        <c:grouping val="clustered"/>
        <c:varyColors val="1"/>
        <c:ser>
          <c:idx val="0"/>
          <c:order val="0"/>
          <c:tx>
            <c:strRef>
              <c:f>General!$D$37:$D$38</c:f>
              <c:strCache>
                <c:ptCount val="2"/>
                <c:pt idx="0">
                  <c:v>R Producción de textos</c:v>
                </c:pt>
                <c:pt idx="1">
                  <c:v>Inicio</c:v>
                </c:pt>
              </c:strCache>
            </c:strRef>
          </c:tx>
          <c:spPr>
            <a:solidFill>
              <a:srgbClr val="4285F4"/>
            </a:solidFill>
            <a:ln cmpd="sng">
              <a:solidFill>
                <a:srgbClr val="000000"/>
              </a:solidFill>
            </a:ln>
          </c:spPr>
          <c:invertIfNegative val="1"/>
          <c:cat>
            <c:strRef>
              <c:f>General!$C$39:$C$43</c:f>
              <c:strCache>
                <c:ptCount val="5"/>
                <c:pt idx="0">
                  <c:v>44. Cusco</c:v>
                </c:pt>
                <c:pt idx="1">
                  <c:v>47. Loreto</c:v>
                </c:pt>
                <c:pt idx="2">
                  <c:v>48. Piura</c:v>
                </c:pt>
                <c:pt idx="3">
                  <c:v>54. Ancash</c:v>
                </c:pt>
                <c:pt idx="4">
                  <c:v>72. Ucayali</c:v>
                </c:pt>
              </c:strCache>
            </c:strRef>
          </c:cat>
          <c:val>
            <c:numRef>
              <c:f>General!$D$39:$D$43</c:f>
              <c:numCache>
                <c:formatCode>0.00%</c:formatCode>
                <c:ptCount val="5"/>
                <c:pt idx="0">
                  <c:v>0.1951219512195122</c:v>
                </c:pt>
                <c:pt idx="1">
                  <c:v>0.88065843621399176</c:v>
                </c:pt>
                <c:pt idx="2">
                  <c:v>0.75536480686695284</c:v>
                </c:pt>
                <c:pt idx="3">
                  <c:v>0.92090395480225984</c:v>
                </c:pt>
                <c:pt idx="4">
                  <c:v>0.61486486486486491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BD8-43FC-B4FD-8272146D0771}"/>
            </c:ext>
          </c:extLst>
        </c:ser>
        <c:ser>
          <c:idx val="1"/>
          <c:order val="1"/>
          <c:tx>
            <c:strRef>
              <c:f>General!$E$37:$E$38</c:f>
              <c:strCache>
                <c:ptCount val="2"/>
                <c:pt idx="0">
                  <c:v>R Producción de textos</c:v>
                </c:pt>
                <c:pt idx="1">
                  <c:v>Proceso</c:v>
                </c:pt>
              </c:strCache>
            </c:strRef>
          </c:tx>
          <c:spPr>
            <a:solidFill>
              <a:srgbClr val="EA4335"/>
            </a:solidFill>
            <a:ln cmpd="sng">
              <a:solidFill>
                <a:srgbClr val="000000"/>
              </a:solidFill>
            </a:ln>
          </c:spPr>
          <c:invertIfNegative val="1"/>
          <c:cat>
            <c:strRef>
              <c:f>General!$C$39:$C$43</c:f>
              <c:strCache>
                <c:ptCount val="5"/>
                <c:pt idx="0">
                  <c:v>44. Cusco</c:v>
                </c:pt>
                <c:pt idx="1">
                  <c:v>47. Loreto</c:v>
                </c:pt>
                <c:pt idx="2">
                  <c:v>48. Piura</c:v>
                </c:pt>
                <c:pt idx="3">
                  <c:v>54. Ancash</c:v>
                </c:pt>
                <c:pt idx="4">
                  <c:v>72. Ucayali</c:v>
                </c:pt>
              </c:strCache>
            </c:strRef>
          </c:cat>
          <c:val>
            <c:numRef>
              <c:f>General!$E$39:$E$43</c:f>
              <c:numCache>
                <c:formatCode>0.00%</c:formatCode>
                <c:ptCount val="5"/>
                <c:pt idx="0">
                  <c:v>0.48780487804878048</c:v>
                </c:pt>
                <c:pt idx="1">
                  <c:v>0.102880658436214</c:v>
                </c:pt>
                <c:pt idx="2">
                  <c:v>0.20600858369098712</c:v>
                </c:pt>
                <c:pt idx="3">
                  <c:v>7.909604519774012E-2</c:v>
                </c:pt>
                <c:pt idx="4">
                  <c:v>0.20945945945945946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BD8-43FC-B4FD-8272146D0771}"/>
            </c:ext>
          </c:extLst>
        </c:ser>
        <c:ser>
          <c:idx val="2"/>
          <c:order val="2"/>
          <c:tx>
            <c:strRef>
              <c:f>General!$F$37:$F$38</c:f>
              <c:strCache>
                <c:ptCount val="2"/>
                <c:pt idx="0">
                  <c:v>R Producción de textos</c:v>
                </c:pt>
                <c:pt idx="1">
                  <c:v>Satisfactorio</c:v>
                </c:pt>
              </c:strCache>
            </c:strRef>
          </c:tx>
          <c:spPr>
            <a:solidFill>
              <a:srgbClr val="FBBC04"/>
            </a:solidFill>
            <a:ln cmpd="sng">
              <a:solidFill>
                <a:srgbClr val="000000"/>
              </a:solidFill>
            </a:ln>
          </c:spPr>
          <c:invertIfNegative val="1"/>
          <c:cat>
            <c:strRef>
              <c:f>General!$C$39:$C$43</c:f>
              <c:strCache>
                <c:ptCount val="5"/>
                <c:pt idx="0">
                  <c:v>44. Cusco</c:v>
                </c:pt>
                <c:pt idx="1">
                  <c:v>47. Loreto</c:v>
                </c:pt>
                <c:pt idx="2">
                  <c:v>48. Piura</c:v>
                </c:pt>
                <c:pt idx="3">
                  <c:v>54. Ancash</c:v>
                </c:pt>
                <c:pt idx="4">
                  <c:v>72. Ucayali</c:v>
                </c:pt>
              </c:strCache>
            </c:strRef>
          </c:cat>
          <c:val>
            <c:numRef>
              <c:f>General!$F$39:$F$43</c:f>
              <c:numCache>
                <c:formatCode>0.00%</c:formatCode>
                <c:ptCount val="5"/>
                <c:pt idx="0">
                  <c:v>0.31707317073170732</c:v>
                </c:pt>
                <c:pt idx="1">
                  <c:v>1.646090534979424E-2</c:v>
                </c:pt>
                <c:pt idx="2">
                  <c:v>3.8626609442060089E-2</c:v>
                </c:pt>
                <c:pt idx="3">
                  <c:v>0</c:v>
                </c:pt>
                <c:pt idx="4">
                  <c:v>0.17567567567567569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BD8-43FC-B4FD-8272146D0771}"/>
            </c:ext>
          </c:extLst>
        </c:ser>
        <c:dLbls>
          <c:showLegendKey val="0"/>
          <c:showVal val="0"/>
          <c:showCatName val="0"/>
          <c:showSerName val="0"/>
          <c:showPercent val="0"/>
          <c:showBubbleSize val="0"/>
        </c:dLbls>
        <c:gapWidth val="150"/>
        <c:axId val="68309086"/>
        <c:axId val="1490249"/>
      </c:barChart>
      <c:catAx>
        <c:axId val="683090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FyA</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90249"/>
        <c:crosses val="autoZero"/>
        <c:auto val="1"/>
        <c:lblAlgn val="ctr"/>
        <c:lblOffset val="100"/>
        <c:noMultiLvlLbl val="1"/>
      </c:catAx>
      <c:valAx>
        <c:axId val="14902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419"/>
          </a:p>
        </c:txPr>
        <c:crossAx val="68309086"/>
        <c:crosses val="max"/>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xRed!$C$43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xRed!$D$42:$F$42</c:f>
              <c:numCache>
                <c:formatCode>General</c:formatCode>
                <c:ptCount val="3"/>
                <c:pt idx="0">
                  <c:v>2022</c:v>
                </c:pt>
                <c:pt idx="1">
                  <c:v>2023</c:v>
                </c:pt>
                <c:pt idx="2">
                  <c:v>2024</c:v>
                </c:pt>
              </c:numCache>
            </c:numRef>
          </c:cat>
          <c:val>
            <c:numRef>
              <c:f>xRed!$D$43:$F$43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C3-47D6-903D-C81E3B6DD13C}"/>
            </c:ext>
          </c:extLst>
        </c:ser>
        <c:ser>
          <c:idx val="1"/>
          <c:order val="1"/>
          <c:tx>
            <c:strRef>
              <c:f>xRed!$C$44</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xRed!$D$42:$F$42</c:f>
              <c:numCache>
                <c:formatCode>General</c:formatCode>
                <c:ptCount val="3"/>
                <c:pt idx="0">
                  <c:v>2022</c:v>
                </c:pt>
                <c:pt idx="1">
                  <c:v>2023</c:v>
                </c:pt>
                <c:pt idx="2">
                  <c:v>2024</c:v>
                </c:pt>
              </c:numCache>
            </c:numRef>
          </c:cat>
          <c:val>
            <c:numRef>
              <c:f>xRed!$D$44:$F$44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5C3-47D6-903D-C81E3B6DD13C}"/>
            </c:ext>
          </c:extLst>
        </c:ser>
        <c:ser>
          <c:idx val="2"/>
          <c:order val="2"/>
          <c:tx>
            <c:strRef>
              <c:f>xRed!$C$45</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xRed!$D$42:$F$42</c:f>
              <c:numCache>
                <c:formatCode>General</c:formatCode>
                <c:ptCount val="3"/>
                <c:pt idx="0">
                  <c:v>2022</c:v>
                </c:pt>
                <c:pt idx="1">
                  <c:v>2023</c:v>
                </c:pt>
                <c:pt idx="2">
                  <c:v>2024</c:v>
                </c:pt>
              </c:numCache>
            </c:numRef>
          </c:cat>
          <c:val>
            <c:numRef>
              <c:f>xRed!$D$45:$F$45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5C3-47D6-903D-C81E3B6DD13C}"/>
            </c:ext>
          </c:extLst>
        </c:ser>
        <c:dLbls>
          <c:showLegendKey val="0"/>
          <c:showVal val="0"/>
          <c:showCatName val="0"/>
          <c:showSerName val="0"/>
          <c:showPercent val="0"/>
          <c:showBubbleSize val="0"/>
        </c:dLbls>
        <c:gapWidth val="150"/>
        <c:shape val="box"/>
        <c:axId val="162355783"/>
        <c:axId val="1783155624"/>
        <c:axId val="0"/>
      </c:bar3DChart>
      <c:catAx>
        <c:axId val="162355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83155624"/>
        <c:crosses val="autoZero"/>
        <c:auto val="1"/>
        <c:lblAlgn val="ctr"/>
        <c:lblOffset val="100"/>
        <c:noMultiLvlLbl val="1"/>
      </c:catAx>
      <c:valAx>
        <c:axId val="17831556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6235578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xRed!$C$76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xRed!$D$75:$F$75</c:f>
              <c:numCache>
                <c:formatCode>General</c:formatCode>
                <c:ptCount val="3"/>
                <c:pt idx="0">
                  <c:v>2022</c:v>
                </c:pt>
                <c:pt idx="1">
                  <c:v>2023</c:v>
                </c:pt>
                <c:pt idx="2">
                  <c:v>2024</c:v>
                </c:pt>
              </c:numCache>
            </c:numRef>
          </c:cat>
          <c:val>
            <c:numRef>
              <c:f>xRed!$D$76:$F$76</c:f>
              <c:numCache>
                <c:formatCode>0%</c:formatCode>
                <c:ptCount val="3"/>
                <c:pt idx="0">
                  <c:v>0</c:v>
                </c:pt>
                <c:pt idx="1">
                  <c:v>0</c:v>
                </c:pt>
                <c:pt idx="2">
                  <c:v>0.75392670157068065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7EF-4B93-A222-5A13DBFA68D4}"/>
            </c:ext>
          </c:extLst>
        </c:ser>
        <c:ser>
          <c:idx val="1"/>
          <c:order val="1"/>
          <c:tx>
            <c:strRef>
              <c:f>xRed!$C$77</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xRed!$D$75:$F$75</c:f>
              <c:numCache>
                <c:formatCode>General</c:formatCode>
                <c:ptCount val="3"/>
                <c:pt idx="0">
                  <c:v>2022</c:v>
                </c:pt>
                <c:pt idx="1">
                  <c:v>2023</c:v>
                </c:pt>
                <c:pt idx="2">
                  <c:v>2024</c:v>
                </c:pt>
              </c:numCache>
            </c:numRef>
          </c:cat>
          <c:val>
            <c:numRef>
              <c:f>xRed!$D$77:$F$77</c:f>
              <c:numCache>
                <c:formatCode>0%</c:formatCode>
                <c:ptCount val="3"/>
                <c:pt idx="0">
                  <c:v>0</c:v>
                </c:pt>
                <c:pt idx="1">
                  <c:v>0</c:v>
                </c:pt>
                <c:pt idx="2">
                  <c:v>0.19895287958115182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7EF-4B93-A222-5A13DBFA68D4}"/>
            </c:ext>
          </c:extLst>
        </c:ser>
        <c:ser>
          <c:idx val="2"/>
          <c:order val="2"/>
          <c:tx>
            <c:strRef>
              <c:f>xRed!$C$78</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xRed!$D$75:$F$75</c:f>
              <c:numCache>
                <c:formatCode>General</c:formatCode>
                <c:ptCount val="3"/>
                <c:pt idx="0">
                  <c:v>2022</c:v>
                </c:pt>
                <c:pt idx="1">
                  <c:v>2023</c:v>
                </c:pt>
                <c:pt idx="2">
                  <c:v>2024</c:v>
                </c:pt>
              </c:numCache>
            </c:numRef>
          </c:cat>
          <c:val>
            <c:numRef>
              <c:f>xRed!$D$78:$F$78</c:f>
              <c:numCache>
                <c:formatCode>0%</c:formatCode>
                <c:ptCount val="3"/>
                <c:pt idx="0">
                  <c:v>0</c:v>
                </c:pt>
                <c:pt idx="1">
                  <c:v>0</c:v>
                </c:pt>
                <c:pt idx="2">
                  <c:v>4.712041884816754E-2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7EF-4B93-A222-5A13DBFA68D4}"/>
            </c:ext>
          </c:extLst>
        </c:ser>
        <c:dLbls>
          <c:showLegendKey val="0"/>
          <c:showVal val="0"/>
          <c:showCatName val="0"/>
          <c:showSerName val="0"/>
          <c:showPercent val="0"/>
          <c:showBubbleSize val="0"/>
        </c:dLbls>
        <c:gapWidth val="150"/>
        <c:shape val="box"/>
        <c:axId val="46646948"/>
        <c:axId val="208480749"/>
        <c:axId val="0"/>
      </c:bar3DChart>
      <c:catAx>
        <c:axId val="466469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8480749"/>
        <c:crosses val="autoZero"/>
        <c:auto val="1"/>
        <c:lblAlgn val="ctr"/>
        <c:lblOffset val="100"/>
        <c:noMultiLvlLbl val="1"/>
      </c:catAx>
      <c:valAx>
        <c:axId val="2084807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46646948"/>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xRed!$C$104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xRed!$D$103:$F$103</c:f>
              <c:numCache>
                <c:formatCode>General</c:formatCode>
                <c:ptCount val="3"/>
                <c:pt idx="0">
                  <c:v>2022</c:v>
                </c:pt>
                <c:pt idx="1">
                  <c:v>2023</c:v>
                </c:pt>
                <c:pt idx="2">
                  <c:v>2024</c:v>
                </c:pt>
              </c:numCache>
            </c:numRef>
          </c:cat>
          <c:val>
            <c:numRef>
              <c:f>xRed!$D$104:$F$104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994-41BC-A977-6C907413B4E1}"/>
            </c:ext>
          </c:extLst>
        </c:ser>
        <c:ser>
          <c:idx val="1"/>
          <c:order val="1"/>
          <c:tx>
            <c:strRef>
              <c:f>xRed!$C$105</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xRed!$D$103:$F$103</c:f>
              <c:numCache>
                <c:formatCode>General</c:formatCode>
                <c:ptCount val="3"/>
                <c:pt idx="0">
                  <c:v>2022</c:v>
                </c:pt>
                <c:pt idx="1">
                  <c:v>2023</c:v>
                </c:pt>
                <c:pt idx="2">
                  <c:v>2024</c:v>
                </c:pt>
              </c:numCache>
            </c:numRef>
          </c:cat>
          <c:val>
            <c:numRef>
              <c:f>xRed!$D$105:$F$105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994-41BC-A977-6C907413B4E1}"/>
            </c:ext>
          </c:extLst>
        </c:ser>
        <c:ser>
          <c:idx val="2"/>
          <c:order val="2"/>
          <c:tx>
            <c:strRef>
              <c:f>xRed!$C$106</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xRed!$D$103:$F$103</c:f>
              <c:numCache>
                <c:formatCode>General</c:formatCode>
                <c:ptCount val="3"/>
                <c:pt idx="0">
                  <c:v>2022</c:v>
                </c:pt>
                <c:pt idx="1">
                  <c:v>2023</c:v>
                </c:pt>
                <c:pt idx="2">
                  <c:v>2024</c:v>
                </c:pt>
              </c:numCache>
            </c:numRef>
          </c:cat>
          <c:val>
            <c:numRef>
              <c:f>xRed!$D$106:$F$106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994-41BC-A977-6C907413B4E1}"/>
            </c:ext>
          </c:extLst>
        </c:ser>
        <c:dLbls>
          <c:showLegendKey val="0"/>
          <c:showVal val="0"/>
          <c:showCatName val="0"/>
          <c:showSerName val="0"/>
          <c:showPercent val="0"/>
          <c:showBubbleSize val="0"/>
        </c:dLbls>
        <c:gapWidth val="150"/>
        <c:shape val="box"/>
        <c:axId val="1848308164"/>
        <c:axId val="2087820137"/>
        <c:axId val="0"/>
      </c:bar3DChart>
      <c:catAx>
        <c:axId val="18483081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87820137"/>
        <c:crosses val="autoZero"/>
        <c:auto val="1"/>
        <c:lblAlgn val="ctr"/>
        <c:lblOffset val="100"/>
        <c:noMultiLvlLbl val="1"/>
      </c:catAx>
      <c:valAx>
        <c:axId val="20878201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4830816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xRed!$C$134</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xRed!$D$133:$F$133</c:f>
              <c:numCache>
                <c:formatCode>General</c:formatCode>
                <c:ptCount val="3"/>
                <c:pt idx="0">
                  <c:v>2022</c:v>
                </c:pt>
                <c:pt idx="1">
                  <c:v>2023</c:v>
                </c:pt>
                <c:pt idx="2">
                  <c:v>2024</c:v>
                </c:pt>
              </c:numCache>
            </c:numRef>
          </c:cat>
          <c:val>
            <c:numRef>
              <c:f>xRed!$D$134:$F$134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7B-4B71-AF47-5CE6A034A24B}"/>
            </c:ext>
          </c:extLst>
        </c:ser>
        <c:ser>
          <c:idx val="1"/>
          <c:order val="1"/>
          <c:tx>
            <c:strRef>
              <c:f>xRed!$C$135</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xRed!$D$133:$F$133</c:f>
              <c:numCache>
                <c:formatCode>General</c:formatCode>
                <c:ptCount val="3"/>
                <c:pt idx="0">
                  <c:v>2022</c:v>
                </c:pt>
                <c:pt idx="1">
                  <c:v>2023</c:v>
                </c:pt>
                <c:pt idx="2">
                  <c:v>2024</c:v>
                </c:pt>
              </c:numCache>
            </c:numRef>
          </c:cat>
          <c:val>
            <c:numRef>
              <c:f>xRed!$D$135:$F$135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7B-4B71-AF47-5CE6A034A24B}"/>
            </c:ext>
          </c:extLst>
        </c:ser>
        <c:ser>
          <c:idx val="2"/>
          <c:order val="2"/>
          <c:tx>
            <c:strRef>
              <c:f>xRed!$C$136</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xRed!$D$133:$F$133</c:f>
              <c:numCache>
                <c:formatCode>General</c:formatCode>
                <c:ptCount val="3"/>
                <c:pt idx="0">
                  <c:v>2022</c:v>
                </c:pt>
                <c:pt idx="1">
                  <c:v>2023</c:v>
                </c:pt>
                <c:pt idx="2">
                  <c:v>2024</c:v>
                </c:pt>
              </c:numCache>
            </c:numRef>
          </c:cat>
          <c:val>
            <c:numRef>
              <c:f>xRed!$D$136:$F$136</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77B-4B71-AF47-5CE6A034A24B}"/>
            </c:ext>
          </c:extLst>
        </c:ser>
        <c:dLbls>
          <c:showLegendKey val="0"/>
          <c:showVal val="0"/>
          <c:showCatName val="0"/>
          <c:showSerName val="0"/>
          <c:showPercent val="0"/>
          <c:showBubbleSize val="0"/>
        </c:dLbls>
        <c:gapWidth val="150"/>
        <c:shape val="box"/>
        <c:axId val="1405798586"/>
        <c:axId val="1575676196"/>
        <c:axId val="0"/>
      </c:bar3DChart>
      <c:catAx>
        <c:axId val="14057985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75676196"/>
        <c:crosses val="autoZero"/>
        <c:auto val="1"/>
        <c:lblAlgn val="ctr"/>
        <c:lblOffset val="100"/>
        <c:noMultiLvlLbl val="1"/>
      </c:catAx>
      <c:valAx>
        <c:axId val="15756761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0579858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xRed!$C$161</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xRed!$D$160:$F$160</c:f>
              <c:numCache>
                <c:formatCode>General</c:formatCode>
                <c:ptCount val="3"/>
                <c:pt idx="0">
                  <c:v>2022</c:v>
                </c:pt>
                <c:pt idx="1">
                  <c:v>2023</c:v>
                </c:pt>
                <c:pt idx="2">
                  <c:v>2024</c:v>
                </c:pt>
              </c:numCache>
            </c:numRef>
          </c:cat>
          <c:val>
            <c:numRef>
              <c:f>xRed!$D$161:$F$161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9E5-424E-80FE-8D2C80AAF423}"/>
            </c:ext>
          </c:extLst>
        </c:ser>
        <c:ser>
          <c:idx val="1"/>
          <c:order val="1"/>
          <c:tx>
            <c:strRef>
              <c:f>xRed!$C$162</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xRed!$D$160:$F$160</c:f>
              <c:numCache>
                <c:formatCode>General</c:formatCode>
                <c:ptCount val="3"/>
                <c:pt idx="0">
                  <c:v>2022</c:v>
                </c:pt>
                <c:pt idx="1">
                  <c:v>2023</c:v>
                </c:pt>
                <c:pt idx="2">
                  <c:v>2024</c:v>
                </c:pt>
              </c:numCache>
            </c:numRef>
          </c:cat>
          <c:val>
            <c:numRef>
              <c:f>xRed!$D$162:$F$162</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9E5-424E-80FE-8D2C80AAF423}"/>
            </c:ext>
          </c:extLst>
        </c:ser>
        <c:ser>
          <c:idx val="2"/>
          <c:order val="2"/>
          <c:tx>
            <c:strRef>
              <c:f>xRed!$C$163</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xRed!$D$160:$F$160</c:f>
              <c:numCache>
                <c:formatCode>General</c:formatCode>
                <c:ptCount val="3"/>
                <c:pt idx="0">
                  <c:v>2022</c:v>
                </c:pt>
                <c:pt idx="1">
                  <c:v>2023</c:v>
                </c:pt>
                <c:pt idx="2">
                  <c:v>2024</c:v>
                </c:pt>
              </c:numCache>
            </c:numRef>
          </c:cat>
          <c:val>
            <c:numRef>
              <c:f>xRed!$D$163:$F$163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9E5-424E-80FE-8D2C80AAF423}"/>
            </c:ext>
          </c:extLst>
        </c:ser>
        <c:dLbls>
          <c:showLegendKey val="0"/>
          <c:showVal val="0"/>
          <c:showCatName val="0"/>
          <c:showSerName val="0"/>
          <c:showPercent val="0"/>
          <c:showBubbleSize val="0"/>
        </c:dLbls>
        <c:gapWidth val="150"/>
        <c:shape val="box"/>
        <c:axId val="1990222919"/>
        <c:axId val="2104258564"/>
        <c:axId val="0"/>
      </c:bar3DChart>
      <c:catAx>
        <c:axId val="1990222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104258564"/>
        <c:crosses val="autoZero"/>
        <c:auto val="1"/>
        <c:lblAlgn val="ctr"/>
        <c:lblOffset val="100"/>
        <c:noMultiLvlLbl val="1"/>
      </c:catAx>
      <c:valAx>
        <c:axId val="21042585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9022291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xRed!$C$13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xRed!$D$12:$F$12</c:f>
              <c:numCache>
                <c:formatCode>General</c:formatCode>
                <c:ptCount val="3"/>
                <c:pt idx="0">
                  <c:v>2022</c:v>
                </c:pt>
                <c:pt idx="1">
                  <c:v>2023</c:v>
                </c:pt>
                <c:pt idx="2">
                  <c:v>2024</c:v>
                </c:pt>
              </c:numCache>
            </c:numRef>
          </c:cat>
          <c:val>
            <c:numRef>
              <c:f>xRed!$D$13:$F$13</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35F-4D5D-B595-AC0D137F2540}"/>
            </c:ext>
          </c:extLst>
        </c:ser>
        <c:ser>
          <c:idx val="1"/>
          <c:order val="1"/>
          <c:tx>
            <c:strRef>
              <c:f>xRed!$C$14</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xRed!$D$12:$F$12</c:f>
              <c:numCache>
                <c:formatCode>General</c:formatCode>
                <c:ptCount val="3"/>
                <c:pt idx="0">
                  <c:v>2022</c:v>
                </c:pt>
                <c:pt idx="1">
                  <c:v>2023</c:v>
                </c:pt>
                <c:pt idx="2">
                  <c:v>2024</c:v>
                </c:pt>
              </c:numCache>
            </c:numRef>
          </c:cat>
          <c:val>
            <c:numRef>
              <c:f>xRed!$D$14:$F$14</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35F-4D5D-B595-AC0D137F2540}"/>
            </c:ext>
          </c:extLst>
        </c:ser>
        <c:ser>
          <c:idx val="2"/>
          <c:order val="2"/>
          <c:tx>
            <c:strRef>
              <c:f>xRed!$C$15</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xRed!$D$12:$F$12</c:f>
              <c:numCache>
                <c:formatCode>General</c:formatCode>
                <c:ptCount val="3"/>
                <c:pt idx="0">
                  <c:v>2022</c:v>
                </c:pt>
                <c:pt idx="1">
                  <c:v>2023</c:v>
                </c:pt>
                <c:pt idx="2">
                  <c:v>2024</c:v>
                </c:pt>
              </c:numCache>
            </c:numRef>
          </c:cat>
          <c:val>
            <c:numRef>
              <c:f>xRed!$D$15:$F$15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35F-4D5D-B595-AC0D137F2540}"/>
            </c:ext>
          </c:extLst>
        </c:ser>
        <c:dLbls>
          <c:showLegendKey val="0"/>
          <c:showVal val="0"/>
          <c:showCatName val="0"/>
          <c:showSerName val="0"/>
          <c:showPercent val="0"/>
          <c:showBubbleSize val="0"/>
        </c:dLbls>
        <c:gapWidth val="150"/>
        <c:shape val="box"/>
        <c:axId val="1401731753"/>
        <c:axId val="1728647166"/>
        <c:axId val="0"/>
      </c:bar3DChart>
      <c:catAx>
        <c:axId val="14017317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28647166"/>
        <c:crosses val="autoZero"/>
        <c:auto val="1"/>
        <c:lblAlgn val="ctr"/>
        <c:lblOffset val="100"/>
        <c:noMultiLvlLbl val="1"/>
      </c:catAx>
      <c:valAx>
        <c:axId val="17286471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401731753"/>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XGrado!$C$49</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XGrado!$D$48:$F$48</c:f>
              <c:numCache>
                <c:formatCode>General</c:formatCode>
                <c:ptCount val="3"/>
                <c:pt idx="0">
                  <c:v>2022</c:v>
                </c:pt>
                <c:pt idx="1">
                  <c:v>2023</c:v>
                </c:pt>
                <c:pt idx="2">
                  <c:v>2024</c:v>
                </c:pt>
              </c:numCache>
            </c:numRef>
          </c:cat>
          <c:val>
            <c:numRef>
              <c:f>XGrado!$D$49:$F$49</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0E-4325-B7AF-D3037ECE9BE2}"/>
            </c:ext>
          </c:extLst>
        </c:ser>
        <c:ser>
          <c:idx val="1"/>
          <c:order val="1"/>
          <c:tx>
            <c:strRef>
              <c:f>XGrado!$C$50</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XGrado!$D$48:$F$48</c:f>
              <c:numCache>
                <c:formatCode>General</c:formatCode>
                <c:ptCount val="3"/>
                <c:pt idx="0">
                  <c:v>2022</c:v>
                </c:pt>
                <c:pt idx="1">
                  <c:v>2023</c:v>
                </c:pt>
                <c:pt idx="2">
                  <c:v>2024</c:v>
                </c:pt>
              </c:numCache>
            </c:numRef>
          </c:cat>
          <c:val>
            <c:numRef>
              <c:f>XGrado!$D$50:$F$50</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0E-4325-B7AF-D3037ECE9BE2}"/>
            </c:ext>
          </c:extLst>
        </c:ser>
        <c:ser>
          <c:idx val="2"/>
          <c:order val="2"/>
          <c:tx>
            <c:strRef>
              <c:f>XGrado!$C$51</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XGrado!$D$48:$F$48</c:f>
              <c:numCache>
                <c:formatCode>General</c:formatCode>
                <c:ptCount val="3"/>
                <c:pt idx="0">
                  <c:v>2022</c:v>
                </c:pt>
                <c:pt idx="1">
                  <c:v>2023</c:v>
                </c:pt>
                <c:pt idx="2">
                  <c:v>2024</c:v>
                </c:pt>
              </c:numCache>
            </c:numRef>
          </c:cat>
          <c:val>
            <c:numRef>
              <c:f>XGrado!$D$51:$F$51</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0E-4325-B7AF-D3037ECE9BE2}"/>
            </c:ext>
          </c:extLst>
        </c:ser>
        <c:dLbls>
          <c:showLegendKey val="0"/>
          <c:showVal val="0"/>
          <c:showCatName val="0"/>
          <c:showSerName val="0"/>
          <c:showPercent val="0"/>
          <c:showBubbleSize val="0"/>
        </c:dLbls>
        <c:gapWidth val="150"/>
        <c:shape val="box"/>
        <c:axId val="1325117970"/>
        <c:axId val="452224117"/>
        <c:axId val="0"/>
      </c:bar3DChart>
      <c:catAx>
        <c:axId val="1325117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52224117"/>
        <c:crosses val="autoZero"/>
        <c:auto val="1"/>
        <c:lblAlgn val="ctr"/>
        <c:lblOffset val="100"/>
        <c:noMultiLvlLbl val="1"/>
      </c:catAx>
      <c:valAx>
        <c:axId val="4522241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2511797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XGrado!$C$80</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XGrado!$D$79:$F$79</c:f>
              <c:numCache>
                <c:formatCode>General</c:formatCode>
                <c:ptCount val="3"/>
                <c:pt idx="0">
                  <c:v>2022</c:v>
                </c:pt>
                <c:pt idx="1">
                  <c:v>2023</c:v>
                </c:pt>
                <c:pt idx="2">
                  <c:v>2024</c:v>
                </c:pt>
              </c:numCache>
            </c:numRef>
          </c:cat>
          <c:val>
            <c:numRef>
              <c:f>XGrado!$D$80:$F$80</c:f>
              <c:numCache>
                <c:formatCode>0%</c:formatCode>
                <c:ptCount val="3"/>
                <c:pt idx="0">
                  <c:v>0</c:v>
                </c:pt>
                <c:pt idx="1">
                  <c:v>0</c:v>
                </c:pt>
                <c:pt idx="2">
                  <c:v>0.71250000000000002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AF-4EA9-8AC8-15EEB9039F5A}"/>
            </c:ext>
          </c:extLst>
        </c:ser>
        <c:ser>
          <c:idx val="1"/>
          <c:order val="1"/>
          <c:tx>
            <c:strRef>
              <c:f>XGrado!$C$81</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XGrado!$D$79:$F$79</c:f>
              <c:numCache>
                <c:formatCode>General</c:formatCode>
                <c:ptCount val="3"/>
                <c:pt idx="0">
                  <c:v>2022</c:v>
                </c:pt>
                <c:pt idx="1">
                  <c:v>2023</c:v>
                </c:pt>
                <c:pt idx="2">
                  <c:v>2024</c:v>
                </c:pt>
              </c:numCache>
            </c:numRef>
          </c:cat>
          <c:val>
            <c:numRef>
              <c:f>XGrado!$D$81:$F$81</c:f>
              <c:numCache>
                <c:formatCode>0%</c:formatCode>
                <c:ptCount val="3"/>
                <c:pt idx="0">
                  <c:v>0</c:v>
                </c:pt>
                <c:pt idx="1">
                  <c:v>0</c:v>
                </c:pt>
                <c:pt idx="2">
                  <c:v>0.23749999999999999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4AF-4EA9-8AC8-15EEB9039F5A}"/>
            </c:ext>
          </c:extLst>
        </c:ser>
        <c:ser>
          <c:idx val="2"/>
          <c:order val="2"/>
          <c:tx>
            <c:strRef>
              <c:f>XGrado!$C$82</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XGrado!$D$79:$F$79</c:f>
              <c:numCache>
                <c:formatCode>General</c:formatCode>
                <c:ptCount val="3"/>
                <c:pt idx="0">
                  <c:v>2022</c:v>
                </c:pt>
                <c:pt idx="1">
                  <c:v>2023</c:v>
                </c:pt>
                <c:pt idx="2">
                  <c:v>2024</c:v>
                </c:pt>
              </c:numCache>
            </c:numRef>
          </c:cat>
          <c:val>
            <c:numRef>
              <c:f>XGrado!$D$82:$F$82</c:f>
              <c:numCache>
                <c:formatCode>0%</c:formatCode>
                <c:ptCount val="3"/>
                <c:pt idx="0">
                  <c:v>0</c:v>
                </c:pt>
                <c:pt idx="1">
                  <c:v>0</c:v>
                </c:pt>
                <c:pt idx="2">
                  <c:v>0.05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4AF-4EA9-8AC8-15EEB9039F5A}"/>
            </c:ext>
          </c:extLst>
        </c:ser>
        <c:dLbls>
          <c:showLegendKey val="0"/>
          <c:showVal val="0"/>
          <c:showCatName val="0"/>
          <c:showSerName val="0"/>
          <c:showPercent val="0"/>
          <c:showBubbleSize val="0"/>
        </c:dLbls>
        <c:gapWidth val="150"/>
        <c:shape val="box"/>
        <c:axId val="1023066709"/>
        <c:axId val="1510490909"/>
        <c:axId val="0"/>
      </c:bar3DChart>
      <c:catAx>
        <c:axId val="1023066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510490909"/>
        <c:crosses val="autoZero"/>
        <c:auto val="1"/>
        <c:lblAlgn val="ctr"/>
        <c:lblOffset val="100"/>
        <c:noMultiLvlLbl val="1"/>
      </c:catAx>
      <c:valAx>
        <c:axId val="1510490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02306670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XGrado!$C$112</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XGrado!$D$111:$F$111</c:f>
              <c:numCache>
                <c:formatCode>General</c:formatCode>
                <c:ptCount val="3"/>
                <c:pt idx="0">
                  <c:v>2022</c:v>
                </c:pt>
                <c:pt idx="1">
                  <c:v>2023</c:v>
                </c:pt>
                <c:pt idx="2">
                  <c:v>2024</c:v>
                </c:pt>
              </c:numCache>
            </c:numRef>
          </c:cat>
          <c:val>
            <c:numRef>
              <c:f>XGrado!$D$112:$F$112</c:f>
              <c:numCache>
                <c:formatCode>0%</c:formatCode>
                <c:ptCount val="3"/>
                <c:pt idx="0">
                  <c:v>0</c:v>
                </c:pt>
                <c:pt idx="1">
                  <c:v>0</c:v>
                </c:pt>
                <c:pt idx="2">
                  <c:v>0.75862068965517238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B01-4D55-B48D-F10D08F1A79B}"/>
            </c:ext>
          </c:extLst>
        </c:ser>
        <c:ser>
          <c:idx val="1"/>
          <c:order val="1"/>
          <c:tx>
            <c:strRef>
              <c:f>XGrado!$C$113</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XGrado!$D$111:$F$111</c:f>
              <c:numCache>
                <c:formatCode>General</c:formatCode>
                <c:ptCount val="3"/>
                <c:pt idx="0">
                  <c:v>2022</c:v>
                </c:pt>
                <c:pt idx="1">
                  <c:v>2023</c:v>
                </c:pt>
                <c:pt idx="2">
                  <c:v>2024</c:v>
                </c:pt>
              </c:numCache>
            </c:numRef>
          </c:cat>
          <c:val>
            <c:numRef>
              <c:f>XGrado!$D$113:$F$113</c:f>
              <c:numCache>
                <c:formatCode>0%</c:formatCode>
                <c:ptCount val="3"/>
                <c:pt idx="0">
                  <c:v>0</c:v>
                </c:pt>
                <c:pt idx="1">
                  <c:v>0</c:v>
                </c:pt>
                <c:pt idx="2">
                  <c:v>0.18390804597701149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B01-4D55-B48D-F10D08F1A79B}"/>
            </c:ext>
          </c:extLst>
        </c:ser>
        <c:ser>
          <c:idx val="2"/>
          <c:order val="2"/>
          <c:tx>
            <c:strRef>
              <c:f>XGrado!$C$114</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XGrado!$D$111:$F$111</c:f>
              <c:numCache>
                <c:formatCode>General</c:formatCode>
                <c:ptCount val="3"/>
                <c:pt idx="0">
                  <c:v>2022</c:v>
                </c:pt>
                <c:pt idx="1">
                  <c:v>2023</c:v>
                </c:pt>
                <c:pt idx="2">
                  <c:v>2024</c:v>
                </c:pt>
              </c:numCache>
            </c:numRef>
          </c:cat>
          <c:val>
            <c:numRef>
              <c:f>XGrado!$D$114:$F$114</c:f>
              <c:numCache>
                <c:formatCode>0%</c:formatCode>
                <c:ptCount val="3"/>
                <c:pt idx="0">
                  <c:v>0</c:v>
                </c:pt>
                <c:pt idx="1">
                  <c:v>0</c:v>
                </c:pt>
                <c:pt idx="2">
                  <c:v>5.7471264367816091E-2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B01-4D55-B48D-F10D08F1A79B}"/>
            </c:ext>
          </c:extLst>
        </c:ser>
        <c:dLbls>
          <c:showLegendKey val="0"/>
          <c:showVal val="0"/>
          <c:showCatName val="0"/>
          <c:showSerName val="0"/>
          <c:showPercent val="0"/>
          <c:showBubbleSize val="0"/>
        </c:dLbls>
        <c:gapWidth val="150"/>
        <c:shape val="box"/>
        <c:axId val="1324295346"/>
        <c:axId val="1486443859"/>
        <c:axId val="0"/>
      </c:bar3DChart>
      <c:catAx>
        <c:axId val="1324295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86443859"/>
        <c:crosses val="autoZero"/>
        <c:auto val="1"/>
        <c:lblAlgn val="ctr"/>
        <c:lblOffset val="100"/>
        <c:noMultiLvlLbl val="1"/>
      </c:catAx>
      <c:valAx>
        <c:axId val="1486443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32429534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XGrado!$C$143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XGrado!$D$142:$F$142</c:f>
              <c:numCache>
                <c:formatCode>General</c:formatCode>
                <c:ptCount val="3"/>
                <c:pt idx="0">
                  <c:v>2022</c:v>
                </c:pt>
                <c:pt idx="1">
                  <c:v>2023</c:v>
                </c:pt>
                <c:pt idx="2">
                  <c:v>2024</c:v>
                </c:pt>
              </c:numCache>
            </c:numRef>
          </c:cat>
          <c:val>
            <c:numRef>
              <c:f>XGrado!$D$143:$F$143</c:f>
              <c:numCache>
                <c:formatCode>0%</c:formatCode>
                <c:ptCount val="3"/>
                <c:pt idx="0">
                  <c:v>0</c:v>
                </c:pt>
                <c:pt idx="1">
                  <c:v>0</c:v>
                </c:pt>
                <c:pt idx="2">
                  <c:v>0.81081081081081086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FF3-4105-BE84-854186E29FA4}"/>
            </c:ext>
          </c:extLst>
        </c:ser>
        <c:ser>
          <c:idx val="1"/>
          <c:order val="1"/>
          <c:tx>
            <c:strRef>
              <c:f>XGrado!$C$144</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XGrado!$D$142:$F$142</c:f>
              <c:numCache>
                <c:formatCode>General</c:formatCode>
                <c:ptCount val="3"/>
                <c:pt idx="0">
                  <c:v>2022</c:v>
                </c:pt>
                <c:pt idx="1">
                  <c:v>2023</c:v>
                </c:pt>
                <c:pt idx="2">
                  <c:v>2024</c:v>
                </c:pt>
              </c:numCache>
            </c:numRef>
          </c:cat>
          <c:val>
            <c:numRef>
              <c:f>XGrado!$D$144:$F$144</c:f>
              <c:numCache>
                <c:formatCode>0%</c:formatCode>
                <c:ptCount val="3"/>
                <c:pt idx="0">
                  <c:v>0</c:v>
                </c:pt>
                <c:pt idx="1">
                  <c:v>0</c:v>
                </c:pt>
                <c:pt idx="2">
                  <c:v>0.1891891891891892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FF3-4105-BE84-854186E29FA4}"/>
            </c:ext>
          </c:extLst>
        </c:ser>
        <c:ser>
          <c:idx val="2"/>
          <c:order val="2"/>
          <c:tx>
            <c:strRef>
              <c:f>XGrado!$C$145</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XGrado!$D$142:$F$142</c:f>
              <c:numCache>
                <c:formatCode>General</c:formatCode>
                <c:ptCount val="3"/>
                <c:pt idx="0">
                  <c:v>2022</c:v>
                </c:pt>
                <c:pt idx="1">
                  <c:v>2023</c:v>
                </c:pt>
                <c:pt idx="2">
                  <c:v>2024</c:v>
                </c:pt>
              </c:numCache>
            </c:numRef>
          </c:cat>
          <c:val>
            <c:numRef>
              <c:f>XGrado!$D$145:$F$145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FF3-4105-BE84-854186E29FA4}"/>
            </c:ext>
          </c:extLst>
        </c:ser>
        <c:dLbls>
          <c:showLegendKey val="0"/>
          <c:showVal val="0"/>
          <c:showCatName val="0"/>
          <c:showSerName val="0"/>
          <c:showPercent val="0"/>
          <c:showBubbleSize val="0"/>
        </c:dLbls>
        <c:gapWidth val="150"/>
        <c:shape val="box"/>
        <c:axId val="1983540741"/>
        <c:axId val="1625020195"/>
        <c:axId val="0"/>
      </c:bar3DChart>
      <c:catAx>
        <c:axId val="19835407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625020195"/>
        <c:crosses val="autoZero"/>
        <c:auto val="1"/>
        <c:lblAlgn val="ctr"/>
        <c:lblOffset val="100"/>
        <c:noMultiLvlLbl val="1"/>
      </c:catAx>
      <c:valAx>
        <c:axId val="16250201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983540741"/>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XGrado!$C$176</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XGrado!$D$175:$F$175</c:f>
              <c:numCache>
                <c:formatCode>General</c:formatCode>
                <c:ptCount val="3"/>
                <c:pt idx="0">
                  <c:v>2022</c:v>
                </c:pt>
                <c:pt idx="1">
                  <c:v>2023</c:v>
                </c:pt>
                <c:pt idx="2">
                  <c:v>2024</c:v>
                </c:pt>
              </c:numCache>
            </c:numRef>
          </c:cat>
          <c:val>
            <c:numRef>
              <c:f>XGrado!$D$176:$F$176</c:f>
              <c:numCache>
                <c:formatCode>0%</c:formatCode>
                <c:ptCount val="3"/>
                <c:pt idx="0">
                  <c:v>0</c:v>
                </c:pt>
                <c:pt idx="1">
                  <c:v>0</c:v>
                </c:pt>
                <c:pt idx="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136-42E3-B512-11C9D571F1C0}"/>
            </c:ext>
          </c:extLst>
        </c:ser>
        <c:ser>
          <c:idx val="1"/>
          <c:order val="1"/>
          <c:tx>
            <c:strRef>
              <c:f>XGrado!$C$177</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XGrado!$D$175:$F$175</c:f>
              <c:numCache>
                <c:formatCode>General</c:formatCode>
                <c:ptCount val="3"/>
                <c:pt idx="0">
                  <c:v>2022</c:v>
                </c:pt>
                <c:pt idx="1">
                  <c:v>2023</c:v>
                </c:pt>
                <c:pt idx="2">
                  <c:v>2024</c:v>
                </c:pt>
              </c:numCache>
            </c:numRef>
          </c:cat>
          <c:val>
            <c:numRef>
              <c:f>XGrado!$D$177:$F$177</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136-42E3-B512-11C9D571F1C0}"/>
            </c:ext>
          </c:extLst>
        </c:ser>
        <c:ser>
          <c:idx val="2"/>
          <c:order val="2"/>
          <c:tx>
            <c:strRef>
              <c:f>XGrado!$C$178</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XGrado!$D$175:$F$175</c:f>
              <c:numCache>
                <c:formatCode>General</c:formatCode>
                <c:ptCount val="3"/>
                <c:pt idx="0">
                  <c:v>2022</c:v>
                </c:pt>
                <c:pt idx="1">
                  <c:v>2023</c:v>
                </c:pt>
                <c:pt idx="2">
                  <c:v>2024</c:v>
                </c:pt>
              </c:numCache>
            </c:numRef>
          </c:cat>
          <c:val>
            <c:numRef>
              <c:f>XGrado!$D$178:$F$178</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136-42E3-B512-11C9D571F1C0}"/>
            </c:ext>
          </c:extLst>
        </c:ser>
        <c:dLbls>
          <c:showLegendKey val="0"/>
          <c:showVal val="0"/>
          <c:showCatName val="0"/>
          <c:showSerName val="0"/>
          <c:showPercent val="0"/>
          <c:showBubbleSize val="0"/>
        </c:dLbls>
        <c:gapWidth val="150"/>
        <c:shape val="box"/>
        <c:axId val="201528677"/>
        <c:axId val="528087588"/>
        <c:axId val="0"/>
      </c:bar3DChart>
      <c:catAx>
        <c:axId val="201528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528087588"/>
        <c:crosses val="autoZero"/>
        <c:auto val="1"/>
        <c:lblAlgn val="ctr"/>
        <c:lblOffset val="100"/>
        <c:noMultiLvlLbl val="1"/>
      </c:catAx>
      <c:valAx>
        <c:axId val="528087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201528677"/>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XGrado!$C$13</c:f>
              <c:strCache>
                <c:ptCount val="1"/>
                <c:pt idx="0">
                  <c:v>Inicio</c:v>
                </c:pt>
              </c:strCache>
            </c:strRef>
          </c:tx>
          <c:spPr>
            <a:solidFill>
              <a:srgbClr val="FF6D01"/>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XGrado!$D$12:$F$12</c:f>
              <c:numCache>
                <c:formatCode>General</c:formatCode>
                <c:ptCount val="3"/>
                <c:pt idx="0">
                  <c:v>2022</c:v>
                </c:pt>
                <c:pt idx="1">
                  <c:v>2023</c:v>
                </c:pt>
                <c:pt idx="2">
                  <c:v>2024</c:v>
                </c:pt>
              </c:numCache>
            </c:numRef>
          </c:cat>
          <c:val>
            <c:numRef>
              <c:f>XGrado!$D$13:$F$13</c:f>
              <c:numCache>
                <c:formatCode>0%</c:formatCode>
                <c:ptCount val="3"/>
                <c:pt idx="0">
                  <c:v>0.83333333333333337</c:v>
                </c:pt>
                <c:pt idx="1">
                  <c:v>0</c:v>
                </c:pt>
                <c:pt idx="2">
                  <c:v>0.88888888888888884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41C-4F4D-9240-4354744A0357}"/>
            </c:ext>
          </c:extLst>
        </c:ser>
        <c:ser>
          <c:idx val="1"/>
          <c:order val="1"/>
          <c:tx>
            <c:strRef>
              <c:f>XGrado!$C$14</c:f>
              <c:strCache>
                <c:ptCount val="1"/>
                <c:pt idx="0">
                  <c:v>Proceso</c:v>
                </c:pt>
              </c:strCache>
            </c:strRef>
          </c:tx>
          <c:spPr>
            <a:solidFill>
              <a:srgbClr val="4285F4"/>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XGrado!$D$12:$F$12</c:f>
              <c:numCache>
                <c:formatCode>General</c:formatCode>
                <c:ptCount val="3"/>
                <c:pt idx="0">
                  <c:v>2022</c:v>
                </c:pt>
                <c:pt idx="1">
                  <c:v>2023</c:v>
                </c:pt>
                <c:pt idx="2">
                  <c:v>2024</c:v>
                </c:pt>
              </c:numCache>
            </c:numRef>
          </c:cat>
          <c:val>
            <c:numRef>
              <c:f>XGrado!$D$14:$F$14</c:f>
              <c:numCache>
                <c:formatCode>0%</c:formatCode>
                <c:ptCount val="3"/>
                <c:pt idx="0">
                  <c:v>0.16666666666666666</c:v>
                </c:pt>
                <c:pt idx="1">
                  <c:v>0</c:v>
                </c:pt>
                <c:pt idx="2">
                  <c:v>0.1111111111111111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41C-4F4D-9240-4354744A0357}"/>
            </c:ext>
          </c:extLst>
        </c:ser>
        <c:ser>
          <c:idx val="2"/>
          <c:order val="2"/>
          <c:tx>
            <c:strRef>
              <c:f>XGrado!$C$15</c:f>
              <c:strCache>
                <c:ptCount val="1"/>
                <c:pt idx="0">
                  <c:v>Satisfactorio</c:v>
                </c:pt>
              </c:strCache>
            </c:strRef>
          </c:tx>
          <c:spPr>
            <a:solidFill>
              <a:srgbClr val="34A853"/>
            </a:solidFill>
            <a:ln cmpd="sng">
              <a:solidFill>
                <a:srgbClr val="000000"/>
              </a:solidFill>
            </a:ln>
          </c:spPr>
          <c:invertIfNegative val="1"/>
          <c:dLbls>
            <c:spPr>
              <a:noFill/>
              <a:ln>
                <a:noFill/>
              </a:ln>
              <a:effectLst/>
            </c:spPr>
            <c:txPr>
              <a:bodyPr/>
              <a:lstStyle/>
              <a:p>
                <a:pPr lvl="0">
                  <a:defRPr/>
                </a:pPr>
                <a:endParaRPr lang="es-419"/>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XGrado!$D$12:$F$12</c:f>
              <c:numCache>
                <c:formatCode>General</c:formatCode>
                <c:ptCount val="3"/>
                <c:pt idx="0">
                  <c:v>2022</c:v>
                </c:pt>
                <c:pt idx="1">
                  <c:v>2023</c:v>
                </c:pt>
                <c:pt idx="2">
                  <c:v>2024</c:v>
                </c:pt>
              </c:numCache>
            </c:numRef>
          </c:cat>
          <c:val>
            <c:numRef>
              <c:f>XGrado!$D$15:$F$15</c:f>
              <c:numCache>
                <c:formatCode>0%</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41C-4F4D-9240-4354744A0357}"/>
            </c:ext>
          </c:extLst>
        </c:ser>
        <c:dLbls>
          <c:showLegendKey val="0"/>
          <c:showVal val="0"/>
          <c:showCatName val="0"/>
          <c:showSerName val="0"/>
          <c:showPercent val="0"/>
          <c:showBubbleSize val="0"/>
        </c:dLbls>
        <c:gapWidth val="150"/>
        <c:shape val="box"/>
        <c:axId val="1840122884"/>
        <c:axId val="1126665035"/>
        <c:axId val="0"/>
      </c:bar3DChart>
      <c:catAx>
        <c:axId val="18401228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126665035"/>
        <c:crosses val="autoZero"/>
        <c:auto val="1"/>
        <c:lblAlgn val="ctr"/>
        <c:lblOffset val="100"/>
        <c:noMultiLvlLbl val="1"/>
      </c:catAx>
      <c:valAx>
        <c:axId val="11266650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419"/>
          </a:p>
        </c:txPr>
        <c:crossAx val="184012288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'red-formula'!$C$13</c:f>
              <c:strCache>
                <c:ptCount val="1"/>
                <c:pt idx="0">
                  <c:v>Nivel básico</c:v>
                </c:pt>
              </c:strCache>
            </c:strRef>
          </c:tx>
          <c:invertIfNegative val="1"/>
          <c:cat>
            <c:numRef>
              <c:f>'red-formula'!$D$12:$F$12</c:f>
              <c:numCache>
                <c:formatCode>General</c:formatCode>
                <c:ptCount val="3"/>
                <c:pt idx="0">
                  <c:v>2022</c:v>
                </c:pt>
                <c:pt idx="1">
                  <c:v>2023</c:v>
                </c:pt>
                <c:pt idx="2">
                  <c:v>2024</c:v>
                </c:pt>
              </c:numCache>
            </c:numRef>
          </c:cat>
          <c:val>
            <c:numRef>
              <c:f>'red-formula'!$D$13:$F$13</c:f>
              <c:numCache>
                <c:formatCode>0%</c:formatCode>
                <c:ptCount val="3"/>
                <c:pt idx="0">
                  <c:v>0</c:v>
                </c:pt>
                <c:pt idx="1">
                  <c:v>0</c:v>
                </c:pt>
                <c:pt idx="2">
                  <c:v>0</c:v>
                </c:pt>
              </c:numCache>
            </c:numRef>
          </c:val>
          <c:extLst>
            <c:ext xmlns:c16="http://schemas.microsoft.com/office/drawing/2014/chart" uri="{C3380CC4-5D6E-409C-BE32-E72D297353CC}">
              <c16:uniqueId val="{00000000-4C64-4FC5-9BC3-95C201F4D455}"/>
            </c:ext>
          </c:extLst>
        </c:ser>
        <c:ser>
          <c:idx val="1"/>
          <c:order val="1"/>
          <c:tx>
            <c:strRef>
              <c:f>'red-formula'!$C$14</c:f>
              <c:strCache>
                <c:ptCount val="1"/>
                <c:pt idx="0">
                  <c:v>En proceso</c:v>
                </c:pt>
              </c:strCache>
            </c:strRef>
          </c:tx>
          <c:invertIfNegative val="1"/>
          <c:cat>
            <c:numRef>
              <c:f>'red-formula'!$D$12:$F$12</c:f>
              <c:numCache>
                <c:formatCode>General</c:formatCode>
                <c:ptCount val="3"/>
                <c:pt idx="0">
                  <c:v>2022</c:v>
                </c:pt>
                <c:pt idx="1">
                  <c:v>2023</c:v>
                </c:pt>
                <c:pt idx="2">
                  <c:v>2024</c:v>
                </c:pt>
              </c:numCache>
            </c:numRef>
          </c:cat>
          <c:val>
            <c:numRef>
              <c:f>'red-formula'!$D$14:$F$14</c:f>
              <c:numCache>
                <c:formatCode>0%</c:formatCode>
                <c:ptCount val="3"/>
                <c:pt idx="0">
                  <c:v>0</c:v>
                </c:pt>
                <c:pt idx="1">
                  <c:v>0</c:v>
                </c:pt>
                <c:pt idx="2">
                  <c:v>0</c:v>
                </c:pt>
              </c:numCache>
            </c:numRef>
          </c:val>
          <c:extLst>
            <c:ext xmlns:c16="http://schemas.microsoft.com/office/drawing/2014/chart" uri="{C3380CC4-5D6E-409C-BE32-E72D297353CC}">
              <c16:uniqueId val="{00000001-4C64-4FC5-9BC3-95C201F4D455}"/>
            </c:ext>
          </c:extLst>
        </c:ser>
        <c:ser>
          <c:idx val="2"/>
          <c:order val="2"/>
          <c:tx>
            <c:strRef>
              <c:f>'red-formula'!$C$15</c:f>
              <c:strCache>
                <c:ptCount val="1"/>
                <c:pt idx="0">
                  <c:v>Logro esperado</c:v>
                </c:pt>
              </c:strCache>
            </c:strRef>
          </c:tx>
          <c:invertIfNegative val="1"/>
          <c:cat>
            <c:numRef>
              <c:f>'red-formula'!$D$12:$F$12</c:f>
              <c:numCache>
                <c:formatCode>General</c:formatCode>
                <c:ptCount val="3"/>
                <c:pt idx="0">
                  <c:v>2022</c:v>
                </c:pt>
                <c:pt idx="1">
                  <c:v>2023</c:v>
                </c:pt>
                <c:pt idx="2">
                  <c:v>2024</c:v>
                </c:pt>
              </c:numCache>
            </c:numRef>
          </c:cat>
          <c:val>
            <c:numRef>
              <c:f>'red-formula'!$D$15:$F$15</c:f>
              <c:numCache>
                <c:formatCode>0%</c:formatCode>
                <c:ptCount val="3"/>
                <c:pt idx="0">
                  <c:v>0</c:v>
                </c:pt>
                <c:pt idx="1">
                  <c:v>0</c:v>
                </c:pt>
                <c:pt idx="2">
                  <c:v>0</c:v>
                </c:pt>
              </c:numCache>
            </c:numRef>
          </c:val>
          <c:extLst>
            <c:ext xmlns:c16="http://schemas.microsoft.com/office/drawing/2014/chart" uri="{C3380CC4-5D6E-409C-BE32-E72D297353CC}">
              <c16:uniqueId val="{00000002-4C64-4FC5-9BC3-95C201F4D455}"/>
            </c:ext>
          </c:extLst>
        </c:ser>
        <c:ser>
          <c:idx val="3"/>
          <c:order val="3"/>
          <c:tx>
            <c:strRef>
              <c:f>'red-formula'!$C$16</c:f>
              <c:strCache>
                <c:ptCount val="1"/>
                <c:pt idx="0">
                  <c:v>Logro destacado</c:v>
                </c:pt>
              </c:strCache>
            </c:strRef>
          </c:tx>
          <c:invertIfNegative val="1"/>
          <c:cat>
            <c:numRef>
              <c:f>'red-formula'!$D$12:$F$12</c:f>
              <c:numCache>
                <c:formatCode>General</c:formatCode>
                <c:ptCount val="3"/>
                <c:pt idx="0">
                  <c:v>2022</c:v>
                </c:pt>
                <c:pt idx="1">
                  <c:v>2023</c:v>
                </c:pt>
                <c:pt idx="2">
                  <c:v>2024</c:v>
                </c:pt>
              </c:numCache>
            </c:numRef>
          </c:cat>
          <c:val>
            <c:numRef>
              <c:f>'red-formula'!$D$16:$F$16</c:f>
              <c:numCache>
                <c:formatCode>0%</c:formatCode>
                <c:ptCount val="3"/>
                <c:pt idx="0">
                  <c:v>0</c:v>
                </c:pt>
                <c:pt idx="1">
                  <c:v>0</c:v>
                </c:pt>
                <c:pt idx="2">
                  <c:v>0</c:v>
                </c:pt>
              </c:numCache>
            </c:numRef>
          </c:val>
          <c:extLst>
            <c:ext xmlns:c16="http://schemas.microsoft.com/office/drawing/2014/chart" uri="{C3380CC4-5D6E-409C-BE32-E72D297353CC}">
              <c16:uniqueId val="{00000003-4C64-4FC5-9BC3-95C201F4D455}"/>
            </c:ext>
          </c:extLst>
        </c:ser>
        <c:dLbls>
          <c:showLegendKey val="0"/>
          <c:showVal val="0"/>
          <c:showCatName val="0"/>
          <c:showSerName val="0"/>
          <c:showPercent val="0"/>
          <c:showBubbleSize val="0"/>
        </c:dLbls>
        <c:gapWidth val="150"/>
        <c:shape val="box"/>
        <c:axId val="1748522854"/>
        <c:axId val="1734238983"/>
        <c:axId val="0"/>
      </c:bar3DChart>
      <c:catAx>
        <c:axId val="17485228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734238983"/>
        <c:crosses val="autoZero"/>
        <c:auto val="1"/>
        <c:lblAlgn val="ctr"/>
        <c:lblOffset val="100"/>
        <c:noMultiLvlLbl val="1"/>
      </c:catAx>
      <c:valAx>
        <c:axId val="1734238983"/>
        <c:scaling>
          <c:orientation val="minMax"/>
        </c:scaling>
        <c:delete val="0"/>
        <c:axPos val="l"/>
        <c:numFmt formatCode="0%" sourceLinked="1"/>
        <c:majorTickMark val="cross"/>
        <c:minorTickMark val="cross"/>
        <c:tickLblPos val="nextTo"/>
        <c:spPr>
          <a:ln>
            <a:noFill/>
          </a:ln>
        </c:spPr>
        <c:crossAx val="174852285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'red-formula'!$C$34</c:f>
              <c:strCache>
                <c:ptCount val="1"/>
                <c:pt idx="0">
                  <c:v>Nivel básico</c:v>
                </c:pt>
              </c:strCache>
            </c:strRef>
          </c:tx>
          <c:invertIfNegative val="1"/>
          <c:cat>
            <c:numRef>
              <c:f>'red-formula'!$D$33:$F$33</c:f>
              <c:numCache>
                <c:formatCode>General</c:formatCode>
                <c:ptCount val="3"/>
                <c:pt idx="0">
                  <c:v>2022</c:v>
                </c:pt>
                <c:pt idx="1">
                  <c:v>2023</c:v>
                </c:pt>
                <c:pt idx="2">
                  <c:v>2024</c:v>
                </c:pt>
              </c:numCache>
            </c:numRef>
          </c:cat>
          <c:val>
            <c:numRef>
              <c:f>'red-formula'!$D$34:$F$34</c:f>
              <c:numCache>
                <c:formatCode>0%</c:formatCode>
                <c:ptCount val="3"/>
                <c:pt idx="0">
                  <c:v>0</c:v>
                </c:pt>
                <c:pt idx="1">
                  <c:v>0</c:v>
                </c:pt>
                <c:pt idx="2">
                  <c:v>0</c:v>
                </c:pt>
              </c:numCache>
            </c:numRef>
          </c:val>
          <c:extLst>
            <c:ext xmlns:c16="http://schemas.microsoft.com/office/drawing/2014/chart" uri="{C3380CC4-5D6E-409C-BE32-E72D297353CC}">
              <c16:uniqueId val="{00000000-3B57-451A-BE84-CE0D1AFC8020}"/>
            </c:ext>
          </c:extLst>
        </c:ser>
        <c:ser>
          <c:idx val="1"/>
          <c:order val="1"/>
          <c:tx>
            <c:strRef>
              <c:f>'red-formula'!$C$35</c:f>
              <c:strCache>
                <c:ptCount val="1"/>
                <c:pt idx="0">
                  <c:v>En proceso</c:v>
                </c:pt>
              </c:strCache>
            </c:strRef>
          </c:tx>
          <c:invertIfNegative val="1"/>
          <c:cat>
            <c:numRef>
              <c:f>'red-formula'!$D$33:$F$33</c:f>
              <c:numCache>
                <c:formatCode>General</c:formatCode>
                <c:ptCount val="3"/>
                <c:pt idx="0">
                  <c:v>2022</c:v>
                </c:pt>
                <c:pt idx="1">
                  <c:v>2023</c:v>
                </c:pt>
                <c:pt idx="2">
                  <c:v>2024</c:v>
                </c:pt>
              </c:numCache>
            </c:numRef>
          </c:cat>
          <c:val>
            <c:numRef>
              <c:f>'red-formula'!$D$35:$F$35</c:f>
              <c:numCache>
                <c:formatCode>0%</c:formatCode>
                <c:ptCount val="3"/>
                <c:pt idx="0">
                  <c:v>0</c:v>
                </c:pt>
                <c:pt idx="1">
                  <c:v>0</c:v>
                </c:pt>
                <c:pt idx="2">
                  <c:v>0</c:v>
                </c:pt>
              </c:numCache>
            </c:numRef>
          </c:val>
          <c:extLst>
            <c:ext xmlns:c16="http://schemas.microsoft.com/office/drawing/2014/chart" uri="{C3380CC4-5D6E-409C-BE32-E72D297353CC}">
              <c16:uniqueId val="{00000001-3B57-451A-BE84-CE0D1AFC8020}"/>
            </c:ext>
          </c:extLst>
        </c:ser>
        <c:ser>
          <c:idx val="2"/>
          <c:order val="2"/>
          <c:tx>
            <c:strRef>
              <c:f>'red-formula'!$C$36</c:f>
              <c:strCache>
                <c:ptCount val="1"/>
                <c:pt idx="0">
                  <c:v>Logro esperado</c:v>
                </c:pt>
              </c:strCache>
            </c:strRef>
          </c:tx>
          <c:invertIfNegative val="1"/>
          <c:cat>
            <c:numRef>
              <c:f>'red-formula'!$D$33:$F$33</c:f>
              <c:numCache>
                <c:formatCode>General</c:formatCode>
                <c:ptCount val="3"/>
                <c:pt idx="0">
                  <c:v>2022</c:v>
                </c:pt>
                <c:pt idx="1">
                  <c:v>2023</c:v>
                </c:pt>
                <c:pt idx="2">
                  <c:v>2024</c:v>
                </c:pt>
              </c:numCache>
            </c:numRef>
          </c:cat>
          <c:val>
            <c:numRef>
              <c:f>'red-formula'!$D$36:$F$36</c:f>
              <c:numCache>
                <c:formatCode>0%</c:formatCode>
                <c:ptCount val="3"/>
                <c:pt idx="0">
                  <c:v>0</c:v>
                </c:pt>
                <c:pt idx="1">
                  <c:v>0</c:v>
                </c:pt>
                <c:pt idx="2">
                  <c:v>0</c:v>
                </c:pt>
              </c:numCache>
            </c:numRef>
          </c:val>
          <c:extLst>
            <c:ext xmlns:c16="http://schemas.microsoft.com/office/drawing/2014/chart" uri="{C3380CC4-5D6E-409C-BE32-E72D297353CC}">
              <c16:uniqueId val="{00000002-3B57-451A-BE84-CE0D1AFC8020}"/>
            </c:ext>
          </c:extLst>
        </c:ser>
        <c:ser>
          <c:idx val="3"/>
          <c:order val="3"/>
          <c:tx>
            <c:strRef>
              <c:f>'red-formula'!$C$37</c:f>
              <c:strCache>
                <c:ptCount val="1"/>
                <c:pt idx="0">
                  <c:v>Logro destacado</c:v>
                </c:pt>
              </c:strCache>
            </c:strRef>
          </c:tx>
          <c:invertIfNegative val="1"/>
          <c:cat>
            <c:numRef>
              <c:f>'red-formula'!$D$33:$F$33</c:f>
              <c:numCache>
                <c:formatCode>General</c:formatCode>
                <c:ptCount val="3"/>
                <c:pt idx="0">
                  <c:v>2022</c:v>
                </c:pt>
                <c:pt idx="1">
                  <c:v>2023</c:v>
                </c:pt>
                <c:pt idx="2">
                  <c:v>2024</c:v>
                </c:pt>
              </c:numCache>
            </c:numRef>
          </c:cat>
          <c:val>
            <c:numRef>
              <c:f>'red-formula'!$D$37:$F$37</c:f>
              <c:numCache>
                <c:formatCode>0%</c:formatCode>
                <c:ptCount val="3"/>
                <c:pt idx="0">
                  <c:v>0</c:v>
                </c:pt>
                <c:pt idx="1">
                  <c:v>0</c:v>
                </c:pt>
                <c:pt idx="2">
                  <c:v>0</c:v>
                </c:pt>
              </c:numCache>
            </c:numRef>
          </c:val>
          <c:extLst>
            <c:ext xmlns:c16="http://schemas.microsoft.com/office/drawing/2014/chart" uri="{C3380CC4-5D6E-409C-BE32-E72D297353CC}">
              <c16:uniqueId val="{00000003-3B57-451A-BE84-CE0D1AFC8020}"/>
            </c:ext>
          </c:extLst>
        </c:ser>
        <c:dLbls>
          <c:showLegendKey val="0"/>
          <c:showVal val="0"/>
          <c:showCatName val="0"/>
          <c:showSerName val="0"/>
          <c:showPercent val="0"/>
          <c:showBubbleSize val="0"/>
        </c:dLbls>
        <c:gapWidth val="150"/>
        <c:shape val="box"/>
        <c:axId val="1310660896"/>
        <c:axId val="1499978788"/>
        <c:axId val="0"/>
      </c:bar3DChart>
      <c:catAx>
        <c:axId val="13106608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99978788"/>
        <c:crosses val="autoZero"/>
        <c:auto val="1"/>
        <c:lblAlgn val="ctr"/>
        <c:lblOffset val="100"/>
        <c:noMultiLvlLbl val="1"/>
      </c:catAx>
      <c:valAx>
        <c:axId val="1499978788"/>
        <c:scaling>
          <c:orientation val="minMax"/>
        </c:scaling>
        <c:delete val="0"/>
        <c:axPos val="l"/>
        <c:numFmt formatCode="0%" sourceLinked="1"/>
        <c:majorTickMark val="cross"/>
        <c:minorTickMark val="cross"/>
        <c:tickLblPos val="nextTo"/>
        <c:spPr>
          <a:ln>
            <a:noFill/>
          </a:ln>
        </c:spPr>
        <c:crossAx val="1310660896"/>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'red-formula'!$C$56</c:f>
              <c:strCache>
                <c:ptCount val="1"/>
                <c:pt idx="0">
                  <c:v>Nivel básico</c:v>
                </c:pt>
              </c:strCache>
            </c:strRef>
          </c:tx>
          <c:invertIfNegative val="1"/>
          <c:cat>
            <c:numRef>
              <c:f>'red-formula'!$D$55:$F$55</c:f>
              <c:numCache>
                <c:formatCode>General</c:formatCode>
                <c:ptCount val="3"/>
                <c:pt idx="0">
                  <c:v>2022</c:v>
                </c:pt>
                <c:pt idx="1">
                  <c:v>2023</c:v>
                </c:pt>
                <c:pt idx="2">
                  <c:v>2024</c:v>
                </c:pt>
              </c:numCache>
            </c:numRef>
          </c:cat>
          <c:val>
            <c:numRef>
              <c:f>'red-formula'!$D$56:$F$56</c:f>
              <c:numCache>
                <c:formatCode>0%</c:formatCode>
                <c:ptCount val="3"/>
                <c:pt idx="0">
                  <c:v>0</c:v>
                </c:pt>
                <c:pt idx="1">
                  <c:v>0</c:v>
                </c:pt>
                <c:pt idx="2">
                  <c:v>0</c:v>
                </c:pt>
              </c:numCache>
            </c:numRef>
          </c:val>
          <c:extLst>
            <c:ext xmlns:c16="http://schemas.microsoft.com/office/drawing/2014/chart" uri="{C3380CC4-5D6E-409C-BE32-E72D297353CC}">
              <c16:uniqueId val="{00000000-617D-437C-818E-49D941B790AA}"/>
            </c:ext>
          </c:extLst>
        </c:ser>
        <c:ser>
          <c:idx val="1"/>
          <c:order val="1"/>
          <c:tx>
            <c:strRef>
              <c:f>'red-formula'!$C$57</c:f>
              <c:strCache>
                <c:ptCount val="1"/>
                <c:pt idx="0">
                  <c:v>En proceso</c:v>
                </c:pt>
              </c:strCache>
            </c:strRef>
          </c:tx>
          <c:invertIfNegative val="1"/>
          <c:cat>
            <c:numRef>
              <c:f>'red-formula'!$D$55:$F$55</c:f>
              <c:numCache>
                <c:formatCode>General</c:formatCode>
                <c:ptCount val="3"/>
                <c:pt idx="0">
                  <c:v>2022</c:v>
                </c:pt>
                <c:pt idx="1">
                  <c:v>2023</c:v>
                </c:pt>
                <c:pt idx="2">
                  <c:v>2024</c:v>
                </c:pt>
              </c:numCache>
            </c:numRef>
          </c:cat>
          <c:val>
            <c:numRef>
              <c:f>'red-formula'!$D$57:$F$57</c:f>
              <c:numCache>
                <c:formatCode>0%</c:formatCode>
                <c:ptCount val="3"/>
                <c:pt idx="0">
                  <c:v>0</c:v>
                </c:pt>
                <c:pt idx="1">
                  <c:v>0</c:v>
                </c:pt>
                <c:pt idx="2">
                  <c:v>0</c:v>
                </c:pt>
              </c:numCache>
            </c:numRef>
          </c:val>
          <c:extLst>
            <c:ext xmlns:c16="http://schemas.microsoft.com/office/drawing/2014/chart" uri="{C3380CC4-5D6E-409C-BE32-E72D297353CC}">
              <c16:uniqueId val="{00000001-617D-437C-818E-49D941B790AA}"/>
            </c:ext>
          </c:extLst>
        </c:ser>
        <c:ser>
          <c:idx val="2"/>
          <c:order val="2"/>
          <c:tx>
            <c:strRef>
              <c:f>'red-formula'!$C$58</c:f>
              <c:strCache>
                <c:ptCount val="1"/>
                <c:pt idx="0">
                  <c:v>Logro esperado</c:v>
                </c:pt>
              </c:strCache>
            </c:strRef>
          </c:tx>
          <c:invertIfNegative val="1"/>
          <c:cat>
            <c:numRef>
              <c:f>'red-formula'!$D$55:$F$55</c:f>
              <c:numCache>
                <c:formatCode>General</c:formatCode>
                <c:ptCount val="3"/>
                <c:pt idx="0">
                  <c:v>2022</c:v>
                </c:pt>
                <c:pt idx="1">
                  <c:v>2023</c:v>
                </c:pt>
                <c:pt idx="2">
                  <c:v>2024</c:v>
                </c:pt>
              </c:numCache>
            </c:numRef>
          </c:cat>
          <c:val>
            <c:numRef>
              <c:f>'red-formula'!$D$58:$F$58</c:f>
              <c:numCache>
                <c:formatCode>0%</c:formatCode>
                <c:ptCount val="3"/>
                <c:pt idx="0">
                  <c:v>0</c:v>
                </c:pt>
                <c:pt idx="1">
                  <c:v>0</c:v>
                </c:pt>
                <c:pt idx="2">
                  <c:v>0</c:v>
                </c:pt>
              </c:numCache>
            </c:numRef>
          </c:val>
          <c:extLst>
            <c:ext xmlns:c16="http://schemas.microsoft.com/office/drawing/2014/chart" uri="{C3380CC4-5D6E-409C-BE32-E72D297353CC}">
              <c16:uniqueId val="{00000002-617D-437C-818E-49D941B790AA}"/>
            </c:ext>
          </c:extLst>
        </c:ser>
        <c:ser>
          <c:idx val="3"/>
          <c:order val="3"/>
          <c:tx>
            <c:strRef>
              <c:f>'red-formula'!$C$59</c:f>
              <c:strCache>
                <c:ptCount val="1"/>
                <c:pt idx="0">
                  <c:v>Logro destacado</c:v>
                </c:pt>
              </c:strCache>
            </c:strRef>
          </c:tx>
          <c:invertIfNegative val="1"/>
          <c:cat>
            <c:numRef>
              <c:f>'red-formula'!$D$55:$F$55</c:f>
              <c:numCache>
                <c:formatCode>General</c:formatCode>
                <c:ptCount val="3"/>
                <c:pt idx="0">
                  <c:v>2022</c:v>
                </c:pt>
                <c:pt idx="1">
                  <c:v>2023</c:v>
                </c:pt>
                <c:pt idx="2">
                  <c:v>2024</c:v>
                </c:pt>
              </c:numCache>
            </c:numRef>
          </c:cat>
          <c:val>
            <c:numRef>
              <c:f>'red-formula'!$D$59:$F$59</c:f>
              <c:numCache>
                <c:formatCode>0%</c:formatCode>
                <c:ptCount val="3"/>
                <c:pt idx="0">
                  <c:v>0</c:v>
                </c:pt>
                <c:pt idx="1">
                  <c:v>0</c:v>
                </c:pt>
                <c:pt idx="2">
                  <c:v>0</c:v>
                </c:pt>
              </c:numCache>
            </c:numRef>
          </c:val>
          <c:extLst>
            <c:ext xmlns:c16="http://schemas.microsoft.com/office/drawing/2014/chart" uri="{C3380CC4-5D6E-409C-BE32-E72D297353CC}">
              <c16:uniqueId val="{00000003-617D-437C-818E-49D941B790AA}"/>
            </c:ext>
          </c:extLst>
        </c:ser>
        <c:dLbls>
          <c:showLegendKey val="0"/>
          <c:showVal val="0"/>
          <c:showCatName val="0"/>
          <c:showSerName val="0"/>
          <c:showPercent val="0"/>
          <c:showBubbleSize val="0"/>
        </c:dLbls>
        <c:gapWidth val="150"/>
        <c:shape val="box"/>
        <c:axId val="1019715740"/>
        <c:axId val="889739527"/>
        <c:axId val="0"/>
      </c:bar3DChart>
      <c:catAx>
        <c:axId val="10197157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889739527"/>
        <c:crosses val="autoZero"/>
        <c:auto val="1"/>
        <c:lblAlgn val="ctr"/>
        <c:lblOffset val="100"/>
        <c:noMultiLvlLbl val="1"/>
      </c:catAx>
      <c:valAx>
        <c:axId val="889739527"/>
        <c:scaling>
          <c:orientation val="minMax"/>
        </c:scaling>
        <c:delete val="0"/>
        <c:axPos val="l"/>
        <c:numFmt formatCode="0%" sourceLinked="1"/>
        <c:majorTickMark val="cross"/>
        <c:minorTickMark val="cross"/>
        <c:tickLblPos val="nextTo"/>
        <c:spPr>
          <a:ln>
            <a:noFill/>
          </a:ln>
        </c:spPr>
        <c:crossAx val="101971574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'red-formula'!$C$90</c:f>
              <c:strCache>
                <c:ptCount val="1"/>
                <c:pt idx="0">
                  <c:v>Nivel básico</c:v>
                </c:pt>
              </c:strCache>
            </c:strRef>
          </c:tx>
          <c:invertIfNegative val="1"/>
          <c:cat>
            <c:numRef>
              <c:f>'red-formula'!$D$89:$F$89</c:f>
              <c:numCache>
                <c:formatCode>General</c:formatCode>
                <c:ptCount val="3"/>
                <c:pt idx="0">
                  <c:v>2022</c:v>
                </c:pt>
                <c:pt idx="1">
                  <c:v>2023</c:v>
                </c:pt>
                <c:pt idx="2">
                  <c:v>2024</c:v>
                </c:pt>
              </c:numCache>
            </c:numRef>
          </c:cat>
          <c:val>
            <c:numRef>
              <c:f>'red-formula'!$D$90:$F$90</c:f>
              <c:numCache>
                <c:formatCode>0%</c:formatCode>
                <c:ptCount val="3"/>
                <c:pt idx="0">
                  <c:v>0</c:v>
                </c:pt>
                <c:pt idx="1">
                  <c:v>0</c:v>
                </c:pt>
                <c:pt idx="2">
                  <c:v>0</c:v>
                </c:pt>
              </c:numCache>
            </c:numRef>
          </c:val>
          <c:extLst>
            <c:ext xmlns:c16="http://schemas.microsoft.com/office/drawing/2014/chart" uri="{C3380CC4-5D6E-409C-BE32-E72D297353CC}">
              <c16:uniqueId val="{00000000-EF63-4AB0-B810-6AB04FBD9885}"/>
            </c:ext>
          </c:extLst>
        </c:ser>
        <c:ser>
          <c:idx val="1"/>
          <c:order val="1"/>
          <c:tx>
            <c:strRef>
              <c:f>'red-formula'!$C$91</c:f>
              <c:strCache>
                <c:ptCount val="1"/>
                <c:pt idx="0">
                  <c:v>En proceso</c:v>
                </c:pt>
              </c:strCache>
            </c:strRef>
          </c:tx>
          <c:invertIfNegative val="1"/>
          <c:cat>
            <c:numRef>
              <c:f>'red-formula'!$D$89:$F$89</c:f>
              <c:numCache>
                <c:formatCode>General</c:formatCode>
                <c:ptCount val="3"/>
                <c:pt idx="0">
                  <c:v>2022</c:v>
                </c:pt>
                <c:pt idx="1">
                  <c:v>2023</c:v>
                </c:pt>
                <c:pt idx="2">
                  <c:v>2024</c:v>
                </c:pt>
              </c:numCache>
            </c:numRef>
          </c:cat>
          <c:val>
            <c:numRef>
              <c:f>'red-formula'!$D$91:$F$91</c:f>
              <c:numCache>
                <c:formatCode>0%</c:formatCode>
                <c:ptCount val="3"/>
                <c:pt idx="0">
                  <c:v>0</c:v>
                </c:pt>
                <c:pt idx="1">
                  <c:v>0</c:v>
                </c:pt>
                <c:pt idx="2">
                  <c:v>0</c:v>
                </c:pt>
              </c:numCache>
            </c:numRef>
          </c:val>
          <c:extLst>
            <c:ext xmlns:c16="http://schemas.microsoft.com/office/drawing/2014/chart" uri="{C3380CC4-5D6E-409C-BE32-E72D297353CC}">
              <c16:uniqueId val="{00000001-EF63-4AB0-B810-6AB04FBD9885}"/>
            </c:ext>
          </c:extLst>
        </c:ser>
        <c:ser>
          <c:idx val="2"/>
          <c:order val="2"/>
          <c:tx>
            <c:strRef>
              <c:f>'red-formula'!$C$92</c:f>
              <c:strCache>
                <c:ptCount val="1"/>
                <c:pt idx="0">
                  <c:v>Logro esperado</c:v>
                </c:pt>
              </c:strCache>
            </c:strRef>
          </c:tx>
          <c:invertIfNegative val="1"/>
          <c:cat>
            <c:numRef>
              <c:f>'red-formula'!$D$89:$F$89</c:f>
              <c:numCache>
                <c:formatCode>General</c:formatCode>
                <c:ptCount val="3"/>
                <c:pt idx="0">
                  <c:v>2022</c:v>
                </c:pt>
                <c:pt idx="1">
                  <c:v>2023</c:v>
                </c:pt>
                <c:pt idx="2">
                  <c:v>2024</c:v>
                </c:pt>
              </c:numCache>
            </c:numRef>
          </c:cat>
          <c:val>
            <c:numRef>
              <c:f>'red-formula'!$D$92:$F$92</c:f>
              <c:numCache>
                <c:formatCode>0%</c:formatCode>
                <c:ptCount val="3"/>
                <c:pt idx="0">
                  <c:v>0</c:v>
                </c:pt>
                <c:pt idx="1">
                  <c:v>0</c:v>
                </c:pt>
                <c:pt idx="2">
                  <c:v>0</c:v>
                </c:pt>
              </c:numCache>
            </c:numRef>
          </c:val>
          <c:extLst>
            <c:ext xmlns:c16="http://schemas.microsoft.com/office/drawing/2014/chart" uri="{C3380CC4-5D6E-409C-BE32-E72D297353CC}">
              <c16:uniqueId val="{00000002-EF63-4AB0-B810-6AB04FBD9885}"/>
            </c:ext>
          </c:extLst>
        </c:ser>
        <c:ser>
          <c:idx val="3"/>
          <c:order val="3"/>
          <c:tx>
            <c:strRef>
              <c:f>'red-formula'!$C$93</c:f>
              <c:strCache>
                <c:ptCount val="1"/>
                <c:pt idx="0">
                  <c:v>Logro destacado</c:v>
                </c:pt>
              </c:strCache>
            </c:strRef>
          </c:tx>
          <c:invertIfNegative val="1"/>
          <c:cat>
            <c:numRef>
              <c:f>'red-formula'!$D$89:$F$89</c:f>
              <c:numCache>
                <c:formatCode>General</c:formatCode>
                <c:ptCount val="3"/>
                <c:pt idx="0">
                  <c:v>2022</c:v>
                </c:pt>
                <c:pt idx="1">
                  <c:v>2023</c:v>
                </c:pt>
                <c:pt idx="2">
                  <c:v>2024</c:v>
                </c:pt>
              </c:numCache>
            </c:numRef>
          </c:cat>
          <c:val>
            <c:numRef>
              <c:f>'red-formula'!$D$93:$F$93</c:f>
              <c:numCache>
                <c:formatCode>0%</c:formatCode>
                <c:ptCount val="3"/>
                <c:pt idx="0">
                  <c:v>0</c:v>
                </c:pt>
                <c:pt idx="1">
                  <c:v>0</c:v>
                </c:pt>
                <c:pt idx="2">
                  <c:v>0</c:v>
                </c:pt>
              </c:numCache>
            </c:numRef>
          </c:val>
          <c:extLst>
            <c:ext xmlns:c16="http://schemas.microsoft.com/office/drawing/2014/chart" uri="{C3380CC4-5D6E-409C-BE32-E72D297353CC}">
              <c16:uniqueId val="{00000003-EF63-4AB0-B810-6AB04FBD9885}"/>
            </c:ext>
          </c:extLst>
        </c:ser>
        <c:dLbls>
          <c:showLegendKey val="0"/>
          <c:showVal val="0"/>
          <c:showCatName val="0"/>
          <c:showSerName val="0"/>
          <c:showPercent val="0"/>
          <c:showBubbleSize val="0"/>
        </c:dLbls>
        <c:gapWidth val="150"/>
        <c:shape val="box"/>
        <c:axId val="1363994342"/>
        <c:axId val="1492835222"/>
        <c:axId val="0"/>
      </c:bar3DChart>
      <c:catAx>
        <c:axId val="13639943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92835222"/>
        <c:crosses val="autoZero"/>
        <c:auto val="1"/>
        <c:lblAlgn val="ctr"/>
        <c:lblOffset val="100"/>
        <c:noMultiLvlLbl val="1"/>
      </c:catAx>
      <c:valAx>
        <c:axId val="1492835222"/>
        <c:scaling>
          <c:orientation val="minMax"/>
        </c:scaling>
        <c:delete val="0"/>
        <c:axPos val="l"/>
        <c:numFmt formatCode="0%" sourceLinked="1"/>
        <c:majorTickMark val="cross"/>
        <c:minorTickMark val="cross"/>
        <c:tickLblPos val="nextTo"/>
        <c:spPr>
          <a:ln>
            <a:noFill/>
          </a:ln>
        </c:spPr>
        <c:crossAx val="136399434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'red-formula'!$C$114</c:f>
              <c:strCache>
                <c:ptCount val="1"/>
                <c:pt idx="0">
                  <c:v>Nivel básico</c:v>
                </c:pt>
              </c:strCache>
            </c:strRef>
          </c:tx>
          <c:invertIfNegative val="1"/>
          <c:cat>
            <c:numRef>
              <c:f>'red-formula'!$D$113:$F$113</c:f>
              <c:numCache>
                <c:formatCode>General</c:formatCode>
                <c:ptCount val="3"/>
                <c:pt idx="0">
                  <c:v>2022</c:v>
                </c:pt>
                <c:pt idx="1">
                  <c:v>2023</c:v>
                </c:pt>
                <c:pt idx="2">
                  <c:v>2024</c:v>
                </c:pt>
              </c:numCache>
            </c:numRef>
          </c:cat>
          <c:val>
            <c:numRef>
              <c:f>'red-formula'!$D$114:$F$114</c:f>
              <c:numCache>
                <c:formatCode>0%</c:formatCode>
                <c:ptCount val="3"/>
                <c:pt idx="0">
                  <c:v>0</c:v>
                </c:pt>
                <c:pt idx="1">
                  <c:v>0</c:v>
                </c:pt>
                <c:pt idx="2">
                  <c:v>0</c:v>
                </c:pt>
              </c:numCache>
            </c:numRef>
          </c:val>
          <c:extLst>
            <c:ext xmlns:c16="http://schemas.microsoft.com/office/drawing/2014/chart" uri="{C3380CC4-5D6E-409C-BE32-E72D297353CC}">
              <c16:uniqueId val="{00000000-827A-4403-952C-0E4CB79900B6}"/>
            </c:ext>
          </c:extLst>
        </c:ser>
        <c:ser>
          <c:idx val="1"/>
          <c:order val="1"/>
          <c:tx>
            <c:strRef>
              <c:f>'red-formula'!$C$115</c:f>
              <c:strCache>
                <c:ptCount val="1"/>
                <c:pt idx="0">
                  <c:v>En proceso</c:v>
                </c:pt>
              </c:strCache>
            </c:strRef>
          </c:tx>
          <c:invertIfNegative val="1"/>
          <c:cat>
            <c:numRef>
              <c:f>'red-formula'!$D$113:$F$113</c:f>
              <c:numCache>
                <c:formatCode>General</c:formatCode>
                <c:ptCount val="3"/>
                <c:pt idx="0">
                  <c:v>2022</c:v>
                </c:pt>
                <c:pt idx="1">
                  <c:v>2023</c:v>
                </c:pt>
                <c:pt idx="2">
                  <c:v>2024</c:v>
                </c:pt>
              </c:numCache>
            </c:numRef>
          </c:cat>
          <c:val>
            <c:numRef>
              <c:f>'red-formula'!$D$115:$F$115</c:f>
              <c:numCache>
                <c:formatCode>0%</c:formatCode>
                <c:ptCount val="3"/>
                <c:pt idx="0">
                  <c:v>0</c:v>
                </c:pt>
                <c:pt idx="1">
                  <c:v>0</c:v>
                </c:pt>
                <c:pt idx="2">
                  <c:v>0</c:v>
                </c:pt>
              </c:numCache>
            </c:numRef>
          </c:val>
          <c:extLst>
            <c:ext xmlns:c16="http://schemas.microsoft.com/office/drawing/2014/chart" uri="{C3380CC4-5D6E-409C-BE32-E72D297353CC}">
              <c16:uniqueId val="{00000001-827A-4403-952C-0E4CB79900B6}"/>
            </c:ext>
          </c:extLst>
        </c:ser>
        <c:ser>
          <c:idx val="2"/>
          <c:order val="2"/>
          <c:tx>
            <c:strRef>
              <c:f>'red-formula'!$C$116</c:f>
              <c:strCache>
                <c:ptCount val="1"/>
                <c:pt idx="0">
                  <c:v>Logro esperado</c:v>
                </c:pt>
              </c:strCache>
            </c:strRef>
          </c:tx>
          <c:invertIfNegative val="1"/>
          <c:cat>
            <c:numRef>
              <c:f>'red-formula'!$D$113:$F$113</c:f>
              <c:numCache>
                <c:formatCode>General</c:formatCode>
                <c:ptCount val="3"/>
                <c:pt idx="0">
                  <c:v>2022</c:v>
                </c:pt>
                <c:pt idx="1">
                  <c:v>2023</c:v>
                </c:pt>
                <c:pt idx="2">
                  <c:v>2024</c:v>
                </c:pt>
              </c:numCache>
            </c:numRef>
          </c:cat>
          <c:val>
            <c:numRef>
              <c:f>'red-formula'!$D$116:$F$116</c:f>
              <c:numCache>
                <c:formatCode>0%</c:formatCode>
                <c:ptCount val="3"/>
                <c:pt idx="0">
                  <c:v>0</c:v>
                </c:pt>
                <c:pt idx="1">
                  <c:v>0</c:v>
                </c:pt>
                <c:pt idx="2">
                  <c:v>0</c:v>
                </c:pt>
              </c:numCache>
            </c:numRef>
          </c:val>
          <c:extLst>
            <c:ext xmlns:c16="http://schemas.microsoft.com/office/drawing/2014/chart" uri="{C3380CC4-5D6E-409C-BE32-E72D297353CC}">
              <c16:uniqueId val="{00000002-827A-4403-952C-0E4CB79900B6}"/>
            </c:ext>
          </c:extLst>
        </c:ser>
        <c:ser>
          <c:idx val="3"/>
          <c:order val="3"/>
          <c:tx>
            <c:strRef>
              <c:f>'red-formula'!$C$117</c:f>
              <c:strCache>
                <c:ptCount val="1"/>
                <c:pt idx="0">
                  <c:v>Logro destacado</c:v>
                </c:pt>
              </c:strCache>
            </c:strRef>
          </c:tx>
          <c:invertIfNegative val="1"/>
          <c:cat>
            <c:numRef>
              <c:f>'red-formula'!$D$113:$F$113</c:f>
              <c:numCache>
                <c:formatCode>General</c:formatCode>
                <c:ptCount val="3"/>
                <c:pt idx="0">
                  <c:v>2022</c:v>
                </c:pt>
                <c:pt idx="1">
                  <c:v>2023</c:v>
                </c:pt>
                <c:pt idx="2">
                  <c:v>2024</c:v>
                </c:pt>
              </c:numCache>
            </c:numRef>
          </c:cat>
          <c:val>
            <c:numRef>
              <c:f>'red-formula'!$D$117:$F$117</c:f>
              <c:numCache>
                <c:formatCode>0%</c:formatCode>
                <c:ptCount val="3"/>
                <c:pt idx="0">
                  <c:v>0</c:v>
                </c:pt>
                <c:pt idx="1">
                  <c:v>0</c:v>
                </c:pt>
                <c:pt idx="2">
                  <c:v>0</c:v>
                </c:pt>
              </c:numCache>
            </c:numRef>
          </c:val>
          <c:extLst>
            <c:ext xmlns:c16="http://schemas.microsoft.com/office/drawing/2014/chart" uri="{C3380CC4-5D6E-409C-BE32-E72D297353CC}">
              <c16:uniqueId val="{00000003-827A-4403-952C-0E4CB79900B6}"/>
            </c:ext>
          </c:extLst>
        </c:ser>
        <c:dLbls>
          <c:showLegendKey val="0"/>
          <c:showVal val="0"/>
          <c:showCatName val="0"/>
          <c:showSerName val="0"/>
          <c:showPercent val="0"/>
          <c:showBubbleSize val="0"/>
        </c:dLbls>
        <c:gapWidth val="150"/>
        <c:shape val="box"/>
        <c:axId val="643928932"/>
        <c:axId val="454252291"/>
        <c:axId val="0"/>
      </c:bar3DChart>
      <c:catAx>
        <c:axId val="6439289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454252291"/>
        <c:crosses val="autoZero"/>
        <c:auto val="1"/>
        <c:lblAlgn val="ctr"/>
        <c:lblOffset val="100"/>
        <c:noMultiLvlLbl val="1"/>
      </c:catAx>
      <c:valAx>
        <c:axId val="454252291"/>
        <c:scaling>
          <c:orientation val="minMax"/>
        </c:scaling>
        <c:delete val="0"/>
        <c:axPos val="l"/>
        <c:numFmt formatCode="0%" sourceLinked="1"/>
        <c:majorTickMark val="cross"/>
        <c:minorTickMark val="cross"/>
        <c:tickLblPos val="nextTo"/>
        <c:spPr>
          <a:ln>
            <a:noFill/>
          </a:ln>
        </c:spPr>
        <c:crossAx val="643928932"/>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'red-formula'!$C$138</c:f>
              <c:strCache>
                <c:ptCount val="1"/>
                <c:pt idx="0">
                  <c:v>Nivel básico</c:v>
                </c:pt>
              </c:strCache>
            </c:strRef>
          </c:tx>
          <c:invertIfNegative val="1"/>
          <c:cat>
            <c:numRef>
              <c:f>'red-formula'!$D$137:$F$137</c:f>
              <c:numCache>
                <c:formatCode>General</c:formatCode>
                <c:ptCount val="3"/>
                <c:pt idx="0">
                  <c:v>2022</c:v>
                </c:pt>
                <c:pt idx="1">
                  <c:v>2023</c:v>
                </c:pt>
                <c:pt idx="2">
                  <c:v>2024</c:v>
                </c:pt>
              </c:numCache>
            </c:numRef>
          </c:cat>
          <c:val>
            <c:numRef>
              <c:f>'red-formula'!$D$138:$F$138</c:f>
              <c:numCache>
                <c:formatCode>0%</c:formatCode>
                <c:ptCount val="3"/>
                <c:pt idx="0">
                  <c:v>0</c:v>
                </c:pt>
                <c:pt idx="1">
                  <c:v>0</c:v>
                </c:pt>
                <c:pt idx="2">
                  <c:v>0</c:v>
                </c:pt>
              </c:numCache>
            </c:numRef>
          </c:val>
          <c:extLst>
            <c:ext xmlns:c16="http://schemas.microsoft.com/office/drawing/2014/chart" uri="{C3380CC4-5D6E-409C-BE32-E72D297353CC}">
              <c16:uniqueId val="{00000000-8377-440C-AA9D-BDB0271E5953}"/>
            </c:ext>
          </c:extLst>
        </c:ser>
        <c:ser>
          <c:idx val="1"/>
          <c:order val="1"/>
          <c:tx>
            <c:strRef>
              <c:f>'red-formula'!$C$139</c:f>
              <c:strCache>
                <c:ptCount val="1"/>
                <c:pt idx="0">
                  <c:v>En proceso</c:v>
                </c:pt>
              </c:strCache>
            </c:strRef>
          </c:tx>
          <c:invertIfNegative val="1"/>
          <c:cat>
            <c:numRef>
              <c:f>'red-formula'!$D$137:$F$137</c:f>
              <c:numCache>
                <c:formatCode>General</c:formatCode>
                <c:ptCount val="3"/>
                <c:pt idx="0">
                  <c:v>2022</c:v>
                </c:pt>
                <c:pt idx="1">
                  <c:v>2023</c:v>
                </c:pt>
                <c:pt idx="2">
                  <c:v>2024</c:v>
                </c:pt>
              </c:numCache>
            </c:numRef>
          </c:cat>
          <c:val>
            <c:numRef>
              <c:f>'red-formula'!$D$139:$F$139</c:f>
              <c:numCache>
                <c:formatCode>0%</c:formatCode>
                <c:ptCount val="3"/>
                <c:pt idx="0">
                  <c:v>0</c:v>
                </c:pt>
                <c:pt idx="1">
                  <c:v>0</c:v>
                </c:pt>
                <c:pt idx="2">
                  <c:v>0</c:v>
                </c:pt>
              </c:numCache>
            </c:numRef>
          </c:val>
          <c:extLst>
            <c:ext xmlns:c16="http://schemas.microsoft.com/office/drawing/2014/chart" uri="{C3380CC4-5D6E-409C-BE32-E72D297353CC}">
              <c16:uniqueId val="{00000001-8377-440C-AA9D-BDB0271E5953}"/>
            </c:ext>
          </c:extLst>
        </c:ser>
        <c:ser>
          <c:idx val="2"/>
          <c:order val="2"/>
          <c:tx>
            <c:strRef>
              <c:f>'red-formula'!$C$140</c:f>
              <c:strCache>
                <c:ptCount val="1"/>
                <c:pt idx="0">
                  <c:v>Logro esperado</c:v>
                </c:pt>
              </c:strCache>
            </c:strRef>
          </c:tx>
          <c:invertIfNegative val="1"/>
          <c:cat>
            <c:numRef>
              <c:f>'red-formula'!$D$137:$F$137</c:f>
              <c:numCache>
                <c:formatCode>General</c:formatCode>
                <c:ptCount val="3"/>
                <c:pt idx="0">
                  <c:v>2022</c:v>
                </c:pt>
                <c:pt idx="1">
                  <c:v>2023</c:v>
                </c:pt>
                <c:pt idx="2">
                  <c:v>2024</c:v>
                </c:pt>
              </c:numCache>
            </c:numRef>
          </c:cat>
          <c:val>
            <c:numRef>
              <c:f>'red-formula'!$D$140:$F$140</c:f>
              <c:numCache>
                <c:formatCode>0%</c:formatCode>
                <c:ptCount val="3"/>
                <c:pt idx="0">
                  <c:v>0</c:v>
                </c:pt>
                <c:pt idx="1">
                  <c:v>0</c:v>
                </c:pt>
                <c:pt idx="2">
                  <c:v>0</c:v>
                </c:pt>
              </c:numCache>
            </c:numRef>
          </c:val>
          <c:extLst>
            <c:ext xmlns:c16="http://schemas.microsoft.com/office/drawing/2014/chart" uri="{C3380CC4-5D6E-409C-BE32-E72D297353CC}">
              <c16:uniqueId val="{00000002-8377-440C-AA9D-BDB0271E5953}"/>
            </c:ext>
          </c:extLst>
        </c:ser>
        <c:ser>
          <c:idx val="3"/>
          <c:order val="3"/>
          <c:tx>
            <c:strRef>
              <c:f>'red-formula'!$C$141</c:f>
              <c:strCache>
                <c:ptCount val="1"/>
                <c:pt idx="0">
                  <c:v>Logro destacado</c:v>
                </c:pt>
              </c:strCache>
            </c:strRef>
          </c:tx>
          <c:invertIfNegative val="1"/>
          <c:cat>
            <c:numRef>
              <c:f>'red-formula'!$D$137:$F$137</c:f>
              <c:numCache>
                <c:formatCode>General</c:formatCode>
                <c:ptCount val="3"/>
                <c:pt idx="0">
                  <c:v>2022</c:v>
                </c:pt>
                <c:pt idx="1">
                  <c:v>2023</c:v>
                </c:pt>
                <c:pt idx="2">
                  <c:v>2024</c:v>
                </c:pt>
              </c:numCache>
            </c:numRef>
          </c:cat>
          <c:val>
            <c:numRef>
              <c:f>'red-formula'!$D$141:$F$141</c:f>
              <c:numCache>
                <c:formatCode>0%</c:formatCode>
                <c:ptCount val="3"/>
                <c:pt idx="0">
                  <c:v>0</c:v>
                </c:pt>
                <c:pt idx="1">
                  <c:v>0</c:v>
                </c:pt>
                <c:pt idx="2">
                  <c:v>0</c:v>
                </c:pt>
              </c:numCache>
            </c:numRef>
          </c:val>
          <c:extLst>
            <c:ext xmlns:c16="http://schemas.microsoft.com/office/drawing/2014/chart" uri="{C3380CC4-5D6E-409C-BE32-E72D297353CC}">
              <c16:uniqueId val="{00000003-8377-440C-AA9D-BDB0271E5953}"/>
            </c:ext>
          </c:extLst>
        </c:ser>
        <c:dLbls>
          <c:showLegendKey val="0"/>
          <c:showVal val="0"/>
          <c:showCatName val="0"/>
          <c:showSerName val="0"/>
          <c:showPercent val="0"/>
          <c:showBubbleSize val="0"/>
        </c:dLbls>
        <c:gapWidth val="150"/>
        <c:shape val="box"/>
        <c:axId val="570018840"/>
        <c:axId val="2088071538"/>
        <c:axId val="0"/>
      </c:bar3DChart>
      <c:catAx>
        <c:axId val="5700188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088071538"/>
        <c:crosses val="autoZero"/>
        <c:auto val="1"/>
        <c:lblAlgn val="ctr"/>
        <c:lblOffset val="100"/>
        <c:noMultiLvlLbl val="1"/>
      </c:catAx>
      <c:valAx>
        <c:axId val="2088071538"/>
        <c:scaling>
          <c:orientation val="minMax"/>
        </c:scaling>
        <c:delete val="0"/>
        <c:axPos val="l"/>
        <c:numFmt formatCode="0%" sourceLinked="1"/>
        <c:majorTickMark val="cross"/>
        <c:minorTickMark val="cross"/>
        <c:tickLblPos val="nextTo"/>
        <c:spPr>
          <a:ln>
            <a:noFill/>
          </a:ln>
        </c:spPr>
        <c:crossAx val="57001884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'red-formula'!$C$179</c:f>
              <c:strCache>
                <c:ptCount val="1"/>
                <c:pt idx="0">
                  <c:v>Nivel básico</c:v>
                </c:pt>
              </c:strCache>
            </c:strRef>
          </c:tx>
          <c:invertIfNegative val="1"/>
          <c:cat>
            <c:numRef>
              <c:f>'red-formula'!$D$178:$F$178</c:f>
              <c:numCache>
                <c:formatCode>General</c:formatCode>
                <c:ptCount val="3"/>
                <c:pt idx="0">
                  <c:v>2022</c:v>
                </c:pt>
                <c:pt idx="1">
                  <c:v>2023</c:v>
                </c:pt>
                <c:pt idx="2">
                  <c:v>2024</c:v>
                </c:pt>
              </c:numCache>
            </c:numRef>
          </c:cat>
          <c:val>
            <c:numRef>
              <c:f>'red-formula'!$D$179:$F$179</c:f>
              <c:numCache>
                <c:formatCode>0%</c:formatCode>
                <c:ptCount val="3"/>
                <c:pt idx="0">
                  <c:v>0</c:v>
                </c:pt>
                <c:pt idx="1">
                  <c:v>0</c:v>
                </c:pt>
                <c:pt idx="2">
                  <c:v>0</c:v>
                </c:pt>
              </c:numCache>
            </c:numRef>
          </c:val>
          <c:extLst>
            <c:ext xmlns:c16="http://schemas.microsoft.com/office/drawing/2014/chart" uri="{C3380CC4-5D6E-409C-BE32-E72D297353CC}">
              <c16:uniqueId val="{00000000-99FD-4496-9DA6-5052C6BC04F4}"/>
            </c:ext>
          </c:extLst>
        </c:ser>
        <c:ser>
          <c:idx val="1"/>
          <c:order val="1"/>
          <c:tx>
            <c:strRef>
              <c:f>'red-formula'!$C$180</c:f>
              <c:strCache>
                <c:ptCount val="1"/>
                <c:pt idx="0">
                  <c:v>En proceso</c:v>
                </c:pt>
              </c:strCache>
            </c:strRef>
          </c:tx>
          <c:invertIfNegative val="1"/>
          <c:cat>
            <c:numRef>
              <c:f>'red-formula'!$D$178:$F$178</c:f>
              <c:numCache>
                <c:formatCode>General</c:formatCode>
                <c:ptCount val="3"/>
                <c:pt idx="0">
                  <c:v>2022</c:v>
                </c:pt>
                <c:pt idx="1">
                  <c:v>2023</c:v>
                </c:pt>
                <c:pt idx="2">
                  <c:v>2024</c:v>
                </c:pt>
              </c:numCache>
            </c:numRef>
          </c:cat>
          <c:val>
            <c:numRef>
              <c:f>'red-formula'!$D$180:$F$180</c:f>
              <c:numCache>
                <c:formatCode>0%</c:formatCode>
                <c:ptCount val="3"/>
                <c:pt idx="0">
                  <c:v>0</c:v>
                </c:pt>
                <c:pt idx="1">
                  <c:v>0</c:v>
                </c:pt>
                <c:pt idx="2">
                  <c:v>0</c:v>
                </c:pt>
              </c:numCache>
            </c:numRef>
          </c:val>
          <c:extLst>
            <c:ext xmlns:c16="http://schemas.microsoft.com/office/drawing/2014/chart" uri="{C3380CC4-5D6E-409C-BE32-E72D297353CC}">
              <c16:uniqueId val="{00000001-99FD-4496-9DA6-5052C6BC04F4}"/>
            </c:ext>
          </c:extLst>
        </c:ser>
        <c:ser>
          <c:idx val="2"/>
          <c:order val="2"/>
          <c:tx>
            <c:strRef>
              <c:f>'red-formula'!$C$181</c:f>
              <c:strCache>
                <c:ptCount val="1"/>
                <c:pt idx="0">
                  <c:v>Logro esperado</c:v>
                </c:pt>
              </c:strCache>
            </c:strRef>
          </c:tx>
          <c:invertIfNegative val="1"/>
          <c:cat>
            <c:numRef>
              <c:f>'red-formula'!$D$178:$F$178</c:f>
              <c:numCache>
                <c:formatCode>General</c:formatCode>
                <c:ptCount val="3"/>
                <c:pt idx="0">
                  <c:v>2022</c:v>
                </c:pt>
                <c:pt idx="1">
                  <c:v>2023</c:v>
                </c:pt>
                <c:pt idx="2">
                  <c:v>2024</c:v>
                </c:pt>
              </c:numCache>
            </c:numRef>
          </c:cat>
          <c:val>
            <c:numRef>
              <c:f>'red-formula'!$D$181:$F$181</c:f>
              <c:numCache>
                <c:formatCode>0%</c:formatCode>
                <c:ptCount val="3"/>
                <c:pt idx="0">
                  <c:v>0</c:v>
                </c:pt>
                <c:pt idx="1">
                  <c:v>0</c:v>
                </c:pt>
                <c:pt idx="2">
                  <c:v>0</c:v>
                </c:pt>
              </c:numCache>
            </c:numRef>
          </c:val>
          <c:extLst>
            <c:ext xmlns:c16="http://schemas.microsoft.com/office/drawing/2014/chart" uri="{C3380CC4-5D6E-409C-BE32-E72D297353CC}">
              <c16:uniqueId val="{00000002-99FD-4496-9DA6-5052C6BC04F4}"/>
            </c:ext>
          </c:extLst>
        </c:ser>
        <c:ser>
          <c:idx val="3"/>
          <c:order val="3"/>
          <c:tx>
            <c:strRef>
              <c:f>'red-formula'!$C$182</c:f>
              <c:strCache>
                <c:ptCount val="1"/>
                <c:pt idx="0">
                  <c:v>Logro destacado</c:v>
                </c:pt>
              </c:strCache>
            </c:strRef>
          </c:tx>
          <c:invertIfNegative val="1"/>
          <c:cat>
            <c:numRef>
              <c:f>'red-formula'!$D$178:$F$178</c:f>
              <c:numCache>
                <c:formatCode>General</c:formatCode>
                <c:ptCount val="3"/>
                <c:pt idx="0">
                  <c:v>2022</c:v>
                </c:pt>
                <c:pt idx="1">
                  <c:v>2023</c:v>
                </c:pt>
                <c:pt idx="2">
                  <c:v>2024</c:v>
                </c:pt>
              </c:numCache>
            </c:numRef>
          </c:cat>
          <c:val>
            <c:numRef>
              <c:f>'red-formula'!$D$182:$F$182</c:f>
              <c:numCache>
                <c:formatCode>0%</c:formatCode>
                <c:ptCount val="3"/>
                <c:pt idx="0">
                  <c:v>0</c:v>
                </c:pt>
                <c:pt idx="1">
                  <c:v>0</c:v>
                </c:pt>
                <c:pt idx="2">
                  <c:v>0</c:v>
                </c:pt>
              </c:numCache>
            </c:numRef>
          </c:val>
          <c:extLst>
            <c:ext xmlns:c16="http://schemas.microsoft.com/office/drawing/2014/chart" uri="{C3380CC4-5D6E-409C-BE32-E72D297353CC}">
              <c16:uniqueId val="{00000003-99FD-4496-9DA6-5052C6BC04F4}"/>
            </c:ext>
          </c:extLst>
        </c:ser>
        <c:dLbls>
          <c:showLegendKey val="0"/>
          <c:showVal val="0"/>
          <c:showCatName val="0"/>
          <c:showSerName val="0"/>
          <c:showPercent val="0"/>
          <c:showBubbleSize val="0"/>
        </c:dLbls>
        <c:gapWidth val="150"/>
        <c:shape val="box"/>
        <c:axId val="415005169"/>
        <c:axId val="228571720"/>
        <c:axId val="0"/>
      </c:bar3DChart>
      <c:catAx>
        <c:axId val="4150051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228571720"/>
        <c:crosses val="autoZero"/>
        <c:auto val="1"/>
        <c:lblAlgn val="ctr"/>
        <c:lblOffset val="100"/>
        <c:noMultiLvlLbl val="1"/>
      </c:catAx>
      <c:valAx>
        <c:axId val="228571720"/>
        <c:scaling>
          <c:orientation val="minMax"/>
        </c:scaling>
        <c:delete val="0"/>
        <c:axPos val="l"/>
        <c:numFmt formatCode="0%" sourceLinked="1"/>
        <c:majorTickMark val="cross"/>
        <c:minorTickMark val="cross"/>
        <c:tickLblPos val="nextTo"/>
        <c:spPr>
          <a:ln>
            <a:noFill/>
          </a:ln>
        </c:spPr>
        <c:crossAx val="415005169"/>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'red-formula'!$C$203</c:f>
              <c:strCache>
                <c:ptCount val="1"/>
                <c:pt idx="0">
                  <c:v>Nivel básico</c:v>
                </c:pt>
              </c:strCache>
            </c:strRef>
          </c:tx>
          <c:invertIfNegative val="1"/>
          <c:cat>
            <c:numRef>
              <c:f>'red-formula'!$D$202:$F$202</c:f>
              <c:numCache>
                <c:formatCode>General</c:formatCode>
                <c:ptCount val="3"/>
                <c:pt idx="0">
                  <c:v>2022</c:v>
                </c:pt>
                <c:pt idx="1">
                  <c:v>2023</c:v>
                </c:pt>
                <c:pt idx="2">
                  <c:v>2024</c:v>
                </c:pt>
              </c:numCache>
            </c:numRef>
          </c:cat>
          <c:val>
            <c:numRef>
              <c:f>'red-formula'!$D$203:$F$203</c:f>
              <c:numCache>
                <c:formatCode>0%</c:formatCode>
                <c:ptCount val="3"/>
                <c:pt idx="0">
                  <c:v>0</c:v>
                </c:pt>
                <c:pt idx="1">
                  <c:v>0</c:v>
                </c:pt>
                <c:pt idx="2">
                  <c:v>0</c:v>
                </c:pt>
              </c:numCache>
            </c:numRef>
          </c:val>
          <c:extLst>
            <c:ext xmlns:c16="http://schemas.microsoft.com/office/drawing/2014/chart" uri="{C3380CC4-5D6E-409C-BE32-E72D297353CC}">
              <c16:uniqueId val="{00000000-6827-48ED-85ED-8BA74CE6CFA1}"/>
            </c:ext>
          </c:extLst>
        </c:ser>
        <c:ser>
          <c:idx val="1"/>
          <c:order val="1"/>
          <c:tx>
            <c:strRef>
              <c:f>'red-formula'!$C$204</c:f>
              <c:strCache>
                <c:ptCount val="1"/>
                <c:pt idx="0">
                  <c:v>En proceso</c:v>
                </c:pt>
              </c:strCache>
            </c:strRef>
          </c:tx>
          <c:invertIfNegative val="1"/>
          <c:cat>
            <c:numRef>
              <c:f>'red-formula'!$D$202:$F$202</c:f>
              <c:numCache>
                <c:formatCode>General</c:formatCode>
                <c:ptCount val="3"/>
                <c:pt idx="0">
                  <c:v>2022</c:v>
                </c:pt>
                <c:pt idx="1">
                  <c:v>2023</c:v>
                </c:pt>
                <c:pt idx="2">
                  <c:v>2024</c:v>
                </c:pt>
              </c:numCache>
            </c:numRef>
          </c:cat>
          <c:val>
            <c:numRef>
              <c:f>'red-formula'!$D$204:$F$204</c:f>
              <c:numCache>
                <c:formatCode>0%</c:formatCode>
                <c:ptCount val="3"/>
                <c:pt idx="0">
                  <c:v>0</c:v>
                </c:pt>
                <c:pt idx="1">
                  <c:v>0</c:v>
                </c:pt>
                <c:pt idx="2">
                  <c:v>0</c:v>
                </c:pt>
              </c:numCache>
            </c:numRef>
          </c:val>
          <c:extLst>
            <c:ext xmlns:c16="http://schemas.microsoft.com/office/drawing/2014/chart" uri="{C3380CC4-5D6E-409C-BE32-E72D297353CC}">
              <c16:uniqueId val="{00000001-6827-48ED-85ED-8BA74CE6CFA1}"/>
            </c:ext>
          </c:extLst>
        </c:ser>
        <c:ser>
          <c:idx val="2"/>
          <c:order val="2"/>
          <c:tx>
            <c:strRef>
              <c:f>'red-formula'!$C$205</c:f>
              <c:strCache>
                <c:ptCount val="1"/>
                <c:pt idx="0">
                  <c:v>Logro esperado</c:v>
                </c:pt>
              </c:strCache>
            </c:strRef>
          </c:tx>
          <c:invertIfNegative val="1"/>
          <c:cat>
            <c:numRef>
              <c:f>'red-formula'!$D$202:$F$202</c:f>
              <c:numCache>
                <c:formatCode>General</c:formatCode>
                <c:ptCount val="3"/>
                <c:pt idx="0">
                  <c:v>2022</c:v>
                </c:pt>
                <c:pt idx="1">
                  <c:v>2023</c:v>
                </c:pt>
                <c:pt idx="2">
                  <c:v>2024</c:v>
                </c:pt>
              </c:numCache>
            </c:numRef>
          </c:cat>
          <c:val>
            <c:numRef>
              <c:f>'red-formula'!$D$205:$F$205</c:f>
              <c:numCache>
                <c:formatCode>0%</c:formatCode>
                <c:ptCount val="3"/>
                <c:pt idx="0">
                  <c:v>0</c:v>
                </c:pt>
                <c:pt idx="1">
                  <c:v>0</c:v>
                </c:pt>
                <c:pt idx="2">
                  <c:v>0</c:v>
                </c:pt>
              </c:numCache>
            </c:numRef>
          </c:val>
          <c:extLst>
            <c:ext xmlns:c16="http://schemas.microsoft.com/office/drawing/2014/chart" uri="{C3380CC4-5D6E-409C-BE32-E72D297353CC}">
              <c16:uniqueId val="{00000002-6827-48ED-85ED-8BA74CE6CFA1}"/>
            </c:ext>
          </c:extLst>
        </c:ser>
        <c:ser>
          <c:idx val="3"/>
          <c:order val="3"/>
          <c:tx>
            <c:strRef>
              <c:f>'red-formula'!$C$206</c:f>
              <c:strCache>
                <c:ptCount val="1"/>
                <c:pt idx="0">
                  <c:v>Logro destacado</c:v>
                </c:pt>
              </c:strCache>
            </c:strRef>
          </c:tx>
          <c:invertIfNegative val="1"/>
          <c:cat>
            <c:numRef>
              <c:f>'red-formula'!$D$202:$F$202</c:f>
              <c:numCache>
                <c:formatCode>General</c:formatCode>
                <c:ptCount val="3"/>
                <c:pt idx="0">
                  <c:v>2022</c:v>
                </c:pt>
                <c:pt idx="1">
                  <c:v>2023</c:v>
                </c:pt>
                <c:pt idx="2">
                  <c:v>2024</c:v>
                </c:pt>
              </c:numCache>
            </c:numRef>
          </c:cat>
          <c:val>
            <c:numRef>
              <c:f>'red-formula'!$D$206:$F$206</c:f>
              <c:numCache>
                <c:formatCode>0%</c:formatCode>
                <c:ptCount val="3"/>
                <c:pt idx="0">
                  <c:v>0</c:v>
                </c:pt>
                <c:pt idx="1">
                  <c:v>0</c:v>
                </c:pt>
                <c:pt idx="2">
                  <c:v>0</c:v>
                </c:pt>
              </c:numCache>
            </c:numRef>
          </c:val>
          <c:extLst>
            <c:ext xmlns:c16="http://schemas.microsoft.com/office/drawing/2014/chart" uri="{C3380CC4-5D6E-409C-BE32-E72D297353CC}">
              <c16:uniqueId val="{00000003-6827-48ED-85ED-8BA74CE6CFA1}"/>
            </c:ext>
          </c:extLst>
        </c:ser>
        <c:dLbls>
          <c:showLegendKey val="0"/>
          <c:showVal val="0"/>
          <c:showCatName val="0"/>
          <c:showSerName val="0"/>
          <c:showPercent val="0"/>
          <c:showBubbleSize val="0"/>
        </c:dLbls>
        <c:gapWidth val="150"/>
        <c:shape val="box"/>
        <c:axId val="377449294"/>
        <c:axId val="314473115"/>
        <c:axId val="0"/>
      </c:bar3DChart>
      <c:catAx>
        <c:axId val="3774492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314473115"/>
        <c:crosses val="autoZero"/>
        <c:auto val="1"/>
        <c:lblAlgn val="ctr"/>
        <c:lblOffset val="100"/>
        <c:noMultiLvlLbl val="1"/>
      </c:catAx>
      <c:valAx>
        <c:axId val="314473115"/>
        <c:scaling>
          <c:orientation val="minMax"/>
        </c:scaling>
        <c:delete val="0"/>
        <c:axPos val="l"/>
        <c:numFmt formatCode="0%" sourceLinked="1"/>
        <c:majorTickMark val="cross"/>
        <c:minorTickMark val="cross"/>
        <c:tickLblPos val="nextTo"/>
        <c:spPr>
          <a:ln>
            <a:noFill/>
          </a:ln>
        </c:spPr>
        <c:crossAx val="377449294"/>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'red-formula'!$C$227</c:f>
              <c:strCache>
                <c:ptCount val="1"/>
                <c:pt idx="0">
                  <c:v>Nivel básico</c:v>
                </c:pt>
              </c:strCache>
            </c:strRef>
          </c:tx>
          <c:invertIfNegative val="1"/>
          <c:cat>
            <c:numRef>
              <c:f>'red-formula'!$D$226:$F$226</c:f>
              <c:numCache>
                <c:formatCode>General</c:formatCode>
                <c:ptCount val="3"/>
                <c:pt idx="0">
                  <c:v>2022</c:v>
                </c:pt>
                <c:pt idx="1">
                  <c:v>2023</c:v>
                </c:pt>
                <c:pt idx="2">
                  <c:v>2024</c:v>
                </c:pt>
              </c:numCache>
            </c:numRef>
          </c:cat>
          <c:val>
            <c:numRef>
              <c:f>'red-formula'!$D$227:$F$227</c:f>
              <c:numCache>
                <c:formatCode>0%</c:formatCode>
                <c:ptCount val="3"/>
                <c:pt idx="0">
                  <c:v>0</c:v>
                </c:pt>
                <c:pt idx="1">
                  <c:v>0</c:v>
                </c:pt>
                <c:pt idx="2">
                  <c:v>0</c:v>
                </c:pt>
              </c:numCache>
            </c:numRef>
          </c:val>
          <c:extLst>
            <c:ext xmlns:c16="http://schemas.microsoft.com/office/drawing/2014/chart" uri="{C3380CC4-5D6E-409C-BE32-E72D297353CC}">
              <c16:uniqueId val="{00000000-6A96-4D94-857E-55FC35EE2637}"/>
            </c:ext>
          </c:extLst>
        </c:ser>
        <c:ser>
          <c:idx val="1"/>
          <c:order val="1"/>
          <c:tx>
            <c:strRef>
              <c:f>'red-formula'!$C$228</c:f>
              <c:strCache>
                <c:ptCount val="1"/>
                <c:pt idx="0">
                  <c:v>En proceso</c:v>
                </c:pt>
              </c:strCache>
            </c:strRef>
          </c:tx>
          <c:invertIfNegative val="1"/>
          <c:cat>
            <c:numRef>
              <c:f>'red-formula'!$D$226:$F$226</c:f>
              <c:numCache>
                <c:formatCode>General</c:formatCode>
                <c:ptCount val="3"/>
                <c:pt idx="0">
                  <c:v>2022</c:v>
                </c:pt>
                <c:pt idx="1">
                  <c:v>2023</c:v>
                </c:pt>
                <c:pt idx="2">
                  <c:v>2024</c:v>
                </c:pt>
              </c:numCache>
            </c:numRef>
          </c:cat>
          <c:val>
            <c:numRef>
              <c:f>'red-formula'!$D$228:$F$228</c:f>
              <c:numCache>
                <c:formatCode>0%</c:formatCode>
                <c:ptCount val="3"/>
                <c:pt idx="0">
                  <c:v>0</c:v>
                </c:pt>
                <c:pt idx="1">
                  <c:v>0</c:v>
                </c:pt>
                <c:pt idx="2">
                  <c:v>0</c:v>
                </c:pt>
              </c:numCache>
            </c:numRef>
          </c:val>
          <c:extLst>
            <c:ext xmlns:c16="http://schemas.microsoft.com/office/drawing/2014/chart" uri="{C3380CC4-5D6E-409C-BE32-E72D297353CC}">
              <c16:uniqueId val="{00000001-6A96-4D94-857E-55FC35EE2637}"/>
            </c:ext>
          </c:extLst>
        </c:ser>
        <c:ser>
          <c:idx val="2"/>
          <c:order val="2"/>
          <c:tx>
            <c:strRef>
              <c:f>'red-formula'!$C$229</c:f>
              <c:strCache>
                <c:ptCount val="1"/>
                <c:pt idx="0">
                  <c:v>Logro esperado</c:v>
                </c:pt>
              </c:strCache>
            </c:strRef>
          </c:tx>
          <c:invertIfNegative val="1"/>
          <c:cat>
            <c:numRef>
              <c:f>'red-formula'!$D$226:$F$226</c:f>
              <c:numCache>
                <c:formatCode>General</c:formatCode>
                <c:ptCount val="3"/>
                <c:pt idx="0">
                  <c:v>2022</c:v>
                </c:pt>
                <c:pt idx="1">
                  <c:v>2023</c:v>
                </c:pt>
                <c:pt idx="2">
                  <c:v>2024</c:v>
                </c:pt>
              </c:numCache>
            </c:numRef>
          </c:cat>
          <c:val>
            <c:numRef>
              <c:f>'red-formula'!$D$229:$F$229</c:f>
              <c:numCache>
                <c:formatCode>0%</c:formatCode>
                <c:ptCount val="3"/>
                <c:pt idx="0">
                  <c:v>0</c:v>
                </c:pt>
                <c:pt idx="1">
                  <c:v>0</c:v>
                </c:pt>
                <c:pt idx="2">
                  <c:v>0</c:v>
                </c:pt>
              </c:numCache>
            </c:numRef>
          </c:val>
          <c:extLst>
            <c:ext xmlns:c16="http://schemas.microsoft.com/office/drawing/2014/chart" uri="{C3380CC4-5D6E-409C-BE32-E72D297353CC}">
              <c16:uniqueId val="{00000002-6A96-4D94-857E-55FC35EE2637}"/>
            </c:ext>
          </c:extLst>
        </c:ser>
        <c:ser>
          <c:idx val="3"/>
          <c:order val="3"/>
          <c:tx>
            <c:strRef>
              <c:f>'red-formula'!$C$230</c:f>
              <c:strCache>
                <c:ptCount val="1"/>
                <c:pt idx="0">
                  <c:v>Logro destacado</c:v>
                </c:pt>
              </c:strCache>
            </c:strRef>
          </c:tx>
          <c:invertIfNegative val="1"/>
          <c:cat>
            <c:numRef>
              <c:f>'red-formula'!$D$226:$F$226</c:f>
              <c:numCache>
                <c:formatCode>General</c:formatCode>
                <c:ptCount val="3"/>
                <c:pt idx="0">
                  <c:v>2022</c:v>
                </c:pt>
                <c:pt idx="1">
                  <c:v>2023</c:v>
                </c:pt>
                <c:pt idx="2">
                  <c:v>2024</c:v>
                </c:pt>
              </c:numCache>
            </c:numRef>
          </c:cat>
          <c:val>
            <c:numRef>
              <c:f>'red-formula'!$D$230:$F$230</c:f>
              <c:numCache>
                <c:formatCode>0%</c:formatCode>
                <c:ptCount val="3"/>
                <c:pt idx="0">
                  <c:v>0</c:v>
                </c:pt>
                <c:pt idx="1">
                  <c:v>0</c:v>
                </c:pt>
                <c:pt idx="2">
                  <c:v>0</c:v>
                </c:pt>
              </c:numCache>
            </c:numRef>
          </c:val>
          <c:extLst>
            <c:ext xmlns:c16="http://schemas.microsoft.com/office/drawing/2014/chart" uri="{C3380CC4-5D6E-409C-BE32-E72D297353CC}">
              <c16:uniqueId val="{00000003-6A96-4D94-857E-55FC35EE2637}"/>
            </c:ext>
          </c:extLst>
        </c:ser>
        <c:dLbls>
          <c:showLegendKey val="0"/>
          <c:showVal val="0"/>
          <c:showCatName val="0"/>
          <c:showSerName val="0"/>
          <c:showPercent val="0"/>
          <c:showBubbleSize val="0"/>
        </c:dLbls>
        <c:gapWidth val="150"/>
        <c:shape val="box"/>
        <c:axId val="605802250"/>
        <c:axId val="1411536029"/>
        <c:axId val="0"/>
      </c:bar3DChart>
      <c:catAx>
        <c:axId val="6058022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419"/>
          </a:p>
        </c:txPr>
        <c:crossAx val="1411536029"/>
        <c:crosses val="autoZero"/>
        <c:auto val="1"/>
        <c:lblAlgn val="ctr"/>
        <c:lblOffset val="100"/>
        <c:noMultiLvlLbl val="1"/>
      </c:catAx>
      <c:valAx>
        <c:axId val="1411536029"/>
        <c:scaling>
          <c:orientation val="minMax"/>
        </c:scaling>
        <c:delete val="0"/>
        <c:axPos val="l"/>
        <c:numFmt formatCode="0%" sourceLinked="1"/>
        <c:majorTickMark val="cross"/>
        <c:minorTickMark val="cross"/>
        <c:tickLblPos val="nextTo"/>
        <c:spPr>
          <a:ln>
            <a:noFill/>
          </a:ln>
        </c:spPr>
        <c:crossAx val="605802250"/>
        <c:crosses val="autoZero"/>
        <c:crossBetween val="between"/>
      </c:valAx>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Comparar entre Red - Estudiantes</a:t>
            </a:r>
          </a:p>
        </c:rich>
      </c:tx>
      <c:overlay val="0"/>
    </c:title>
    <c:autoTitleDeleted val="0"/>
    <c:plotArea>
      <c:layout/>
      <c:pieChart>
        <c:varyColors val="1"/>
        <c:ser>
          <c:idx val="0"/>
          <c:order val="0"/>
          <c:tx>
            <c:strRef>
              <c:f>filtro!$G$15</c:f>
              <c:strCache>
                <c:ptCount val="1"/>
                <c:pt idx="0">
                  <c:v>Muestra</c:v>
                </c:pt>
              </c:strCache>
            </c:strRef>
          </c:tx>
          <c:dPt>
            <c:idx val="0"/>
            <c:bubble3D val="0"/>
            <c:spPr>
              <a:solidFill>
                <a:srgbClr val="4285F4"/>
              </a:solidFill>
            </c:spPr>
            <c:extLst>
              <c:ext xmlns:c16="http://schemas.microsoft.com/office/drawing/2014/chart" uri="{C3380CC4-5D6E-409C-BE32-E72D297353CC}">
                <c16:uniqueId val="{00000001-3380-49CC-938E-45EC3C177AB9}"/>
              </c:ext>
            </c:extLst>
          </c:dPt>
          <c:dPt>
            <c:idx val="1"/>
            <c:bubble3D val="0"/>
            <c:spPr>
              <a:solidFill>
                <a:srgbClr val="EA4335"/>
              </a:solidFill>
            </c:spPr>
            <c:extLst>
              <c:ext xmlns:c16="http://schemas.microsoft.com/office/drawing/2014/chart" uri="{C3380CC4-5D6E-409C-BE32-E72D297353CC}">
                <c16:uniqueId val="{00000003-3380-49CC-938E-45EC3C177AB9}"/>
              </c:ext>
            </c:extLst>
          </c:dPt>
          <c:dPt>
            <c:idx val="2"/>
            <c:bubble3D val="0"/>
            <c:spPr>
              <a:solidFill>
                <a:srgbClr val="FBBC04"/>
              </a:solidFill>
            </c:spPr>
            <c:extLst>
              <c:ext xmlns:c16="http://schemas.microsoft.com/office/drawing/2014/chart" uri="{C3380CC4-5D6E-409C-BE32-E72D297353CC}">
                <c16:uniqueId val="{00000005-3380-49CC-938E-45EC3C177AB9}"/>
              </c:ext>
            </c:extLst>
          </c:dPt>
          <c:dPt>
            <c:idx val="3"/>
            <c:bubble3D val="0"/>
            <c:spPr>
              <a:solidFill>
                <a:srgbClr val="34A853"/>
              </a:solidFill>
            </c:spPr>
            <c:extLst>
              <c:ext xmlns:c16="http://schemas.microsoft.com/office/drawing/2014/chart" uri="{C3380CC4-5D6E-409C-BE32-E72D297353CC}">
                <c16:uniqueId val="{00000007-3380-49CC-938E-45EC3C177AB9}"/>
              </c:ext>
            </c:extLst>
          </c:dPt>
          <c:dPt>
            <c:idx val="4"/>
            <c:bubble3D val="0"/>
            <c:spPr>
              <a:solidFill>
                <a:srgbClr val="FF6D01"/>
              </a:solidFill>
            </c:spPr>
            <c:extLst>
              <c:ext xmlns:c16="http://schemas.microsoft.com/office/drawing/2014/chart" uri="{C3380CC4-5D6E-409C-BE32-E72D297353CC}">
                <c16:uniqueId val="{00000009-3380-49CC-938E-45EC3C177AB9}"/>
              </c:ext>
            </c:extLst>
          </c:dPt>
          <c:dPt>
            <c:idx val="5"/>
            <c:bubble3D val="0"/>
            <c:spPr>
              <a:solidFill>
                <a:srgbClr val="46BDC6"/>
              </a:solidFill>
            </c:spPr>
            <c:extLst>
              <c:ext xmlns:c16="http://schemas.microsoft.com/office/drawing/2014/chart" uri="{C3380CC4-5D6E-409C-BE32-E72D297353CC}">
                <c16:uniqueId val="{0000000B-3380-49CC-938E-45EC3C177AB9}"/>
              </c:ext>
            </c:extLst>
          </c:dPt>
          <c:dPt>
            <c:idx val="6"/>
            <c:bubble3D val="0"/>
            <c:spPr>
              <a:solidFill>
                <a:srgbClr val="7BAAF7"/>
              </a:solidFill>
            </c:spPr>
            <c:extLst>
              <c:ext xmlns:c16="http://schemas.microsoft.com/office/drawing/2014/chart" uri="{C3380CC4-5D6E-409C-BE32-E72D297353CC}">
                <c16:uniqueId val="{0000000D-3380-49CC-938E-45EC3C177AB9}"/>
              </c:ext>
            </c:extLst>
          </c:dPt>
          <c:cat>
            <c:strRef>
              <c:f>filtro!$F$16:$F$22</c:f>
              <c:strCache>
                <c:ptCount val="7"/>
                <c:pt idx="0">
                  <c:v>RER FA 44</c:v>
                </c:pt>
                <c:pt idx="1">
                  <c:v>RER FA 47</c:v>
                </c:pt>
                <c:pt idx="2">
                  <c:v>RER FA 48</c:v>
                </c:pt>
                <c:pt idx="3">
                  <c:v>RER FA 54</c:v>
                </c:pt>
                <c:pt idx="4">
                  <c:v>RER FA 72</c:v>
                </c:pt>
                <c:pt idx="5">
                  <c:v>RER FA 79</c:v>
                </c:pt>
                <c:pt idx="6">
                  <c:v>Total</c:v>
                </c:pt>
              </c:strCache>
            </c:strRef>
          </c:cat>
          <c:val>
            <c:numRef>
              <c:f>filtro!$G$16:$G$22</c:f>
              <c:numCache>
                <c:formatCode>General</c:formatCode>
                <c:ptCount val="7"/>
                <c:pt idx="0">
                  <c:v>219</c:v>
                </c:pt>
                <c:pt idx="1">
                  <c:v>346</c:v>
                </c:pt>
                <c:pt idx="2">
                  <c:v>320</c:v>
                </c:pt>
                <c:pt idx="3">
                  <c:v>77</c:v>
                </c:pt>
                <c:pt idx="4">
                  <c:v>121</c:v>
                </c:pt>
                <c:pt idx="5">
                  <c:v>59</c:v>
                </c:pt>
                <c:pt idx="6">
                  <c:v>1142</c:v>
                </c:pt>
              </c:numCache>
            </c:numRef>
          </c:val>
          <c:extLst>
            <c:ext xmlns:c16="http://schemas.microsoft.com/office/drawing/2014/chart" uri="{C3380CC4-5D6E-409C-BE32-E72D297353CC}">
              <c16:uniqueId val="{0000000E-3380-49CC-938E-45EC3C177AB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Comparar entre Red - Docentes</a:t>
            </a:r>
          </a:p>
        </c:rich>
      </c:tx>
      <c:overlay val="0"/>
    </c:title>
    <c:autoTitleDeleted val="0"/>
    <c:plotArea>
      <c:layout/>
      <c:pieChart>
        <c:varyColors val="1"/>
        <c:ser>
          <c:idx val="0"/>
          <c:order val="0"/>
          <c:tx>
            <c:strRef>
              <c:f>filtro!$O$15</c:f>
              <c:strCache>
                <c:ptCount val="1"/>
                <c:pt idx="0">
                  <c:v>Muestra</c:v>
                </c:pt>
              </c:strCache>
            </c:strRef>
          </c:tx>
          <c:dPt>
            <c:idx val="0"/>
            <c:bubble3D val="0"/>
            <c:spPr>
              <a:solidFill>
                <a:srgbClr val="4285F4"/>
              </a:solidFill>
            </c:spPr>
            <c:extLst>
              <c:ext xmlns:c16="http://schemas.microsoft.com/office/drawing/2014/chart" uri="{C3380CC4-5D6E-409C-BE32-E72D297353CC}">
                <c16:uniqueId val="{00000001-23D5-42F7-92C0-26A3927A6482}"/>
              </c:ext>
            </c:extLst>
          </c:dPt>
          <c:dPt>
            <c:idx val="1"/>
            <c:bubble3D val="0"/>
            <c:spPr>
              <a:solidFill>
                <a:srgbClr val="EA4335"/>
              </a:solidFill>
            </c:spPr>
            <c:extLst>
              <c:ext xmlns:c16="http://schemas.microsoft.com/office/drawing/2014/chart" uri="{C3380CC4-5D6E-409C-BE32-E72D297353CC}">
                <c16:uniqueId val="{00000003-23D5-42F7-92C0-26A3927A6482}"/>
              </c:ext>
            </c:extLst>
          </c:dPt>
          <c:dPt>
            <c:idx val="2"/>
            <c:bubble3D val="0"/>
            <c:spPr>
              <a:solidFill>
                <a:srgbClr val="FBBC04"/>
              </a:solidFill>
            </c:spPr>
            <c:extLst>
              <c:ext xmlns:c16="http://schemas.microsoft.com/office/drawing/2014/chart" uri="{C3380CC4-5D6E-409C-BE32-E72D297353CC}">
                <c16:uniqueId val="{00000005-23D5-42F7-92C0-26A3927A6482}"/>
              </c:ext>
            </c:extLst>
          </c:dPt>
          <c:dPt>
            <c:idx val="3"/>
            <c:bubble3D val="0"/>
            <c:spPr>
              <a:solidFill>
                <a:srgbClr val="34A853"/>
              </a:solidFill>
            </c:spPr>
            <c:extLst>
              <c:ext xmlns:c16="http://schemas.microsoft.com/office/drawing/2014/chart" uri="{C3380CC4-5D6E-409C-BE32-E72D297353CC}">
                <c16:uniqueId val="{00000007-23D5-42F7-92C0-26A3927A6482}"/>
              </c:ext>
            </c:extLst>
          </c:dPt>
          <c:dPt>
            <c:idx val="4"/>
            <c:bubble3D val="0"/>
            <c:spPr>
              <a:solidFill>
                <a:srgbClr val="FF6D01"/>
              </a:solidFill>
            </c:spPr>
            <c:extLst>
              <c:ext xmlns:c16="http://schemas.microsoft.com/office/drawing/2014/chart" uri="{C3380CC4-5D6E-409C-BE32-E72D297353CC}">
                <c16:uniqueId val="{00000009-23D5-42F7-92C0-26A3927A6482}"/>
              </c:ext>
            </c:extLst>
          </c:dPt>
          <c:dPt>
            <c:idx val="5"/>
            <c:bubble3D val="0"/>
            <c:spPr>
              <a:solidFill>
                <a:srgbClr val="46BDC6"/>
              </a:solidFill>
            </c:spPr>
            <c:extLst>
              <c:ext xmlns:c16="http://schemas.microsoft.com/office/drawing/2014/chart" uri="{C3380CC4-5D6E-409C-BE32-E72D297353CC}">
                <c16:uniqueId val="{0000000B-23D5-42F7-92C0-26A3927A6482}"/>
              </c:ext>
            </c:extLst>
          </c:dPt>
          <c:cat>
            <c:strRef>
              <c:f>filtro!$N$16:$N$21</c:f>
              <c:strCache>
                <c:ptCount val="6"/>
                <c:pt idx="0">
                  <c:v>RER FA 44</c:v>
                </c:pt>
                <c:pt idx="1">
                  <c:v>RER FA 47</c:v>
                </c:pt>
                <c:pt idx="2">
                  <c:v>RER FA 48</c:v>
                </c:pt>
                <c:pt idx="3">
                  <c:v>RER FA 54</c:v>
                </c:pt>
                <c:pt idx="4">
                  <c:v>RER FA 72</c:v>
                </c:pt>
                <c:pt idx="5">
                  <c:v>RER FA 79</c:v>
                </c:pt>
              </c:strCache>
            </c:strRef>
          </c:cat>
          <c:val>
            <c:numRef>
              <c:f>filtro!$O$16:$O$21</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23D5-42F7-92C0-26A3927A648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9"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oneCellAnchor>
    <xdr:from>
      <xdr:col>6</xdr:col>
      <xdr:colOff>647700</xdr:colOff>
      <xdr:row>2</xdr:row>
      <xdr:rowOff>28575</xdr:rowOff>
    </xdr:from>
    <xdr:ext cx="4133850" cy="2562225"/>
    <xdr:graphicFrame macro="">
      <xdr:nvGraphicFramePr>
        <xdr:cNvPr id="2" name="Chart 1" title="Gráfico">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647700</xdr:colOff>
      <xdr:row>20</xdr:row>
      <xdr:rowOff>47625</xdr:rowOff>
    </xdr:from>
    <xdr:ext cx="4133850" cy="2562225"/>
    <xdr:graphicFrame macro="">
      <xdr:nvGraphicFramePr>
        <xdr:cNvPr id="3" name="Chart 2" title="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647700</xdr:colOff>
      <xdr:row>42</xdr:row>
      <xdr:rowOff>66675</xdr:rowOff>
    </xdr:from>
    <xdr:ext cx="4133850" cy="2562225"/>
    <xdr:graphicFrame macro="">
      <xdr:nvGraphicFramePr>
        <xdr:cNvPr id="4" name="Chart 3" title="Gráfico">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276225</xdr:colOff>
      <xdr:row>4</xdr:row>
      <xdr:rowOff>9525</xdr:rowOff>
    </xdr:from>
    <xdr:ext cx="5067300" cy="3276600"/>
    <xdr:graphicFrame macro="">
      <xdr:nvGraphicFramePr>
        <xdr:cNvPr id="4" name="Chart 4" title="Gráfico">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333375</xdr:colOff>
      <xdr:row>35</xdr:row>
      <xdr:rowOff>28575</xdr:rowOff>
    </xdr:from>
    <xdr:ext cx="5067300" cy="3276600"/>
    <xdr:graphicFrame macro="">
      <xdr:nvGraphicFramePr>
        <xdr:cNvPr id="5" name="Chart 5" title="Gráfico">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219075</xdr:colOff>
      <xdr:row>33</xdr:row>
      <xdr:rowOff>133350</xdr:rowOff>
    </xdr:from>
    <xdr:ext cx="5067300" cy="3276600"/>
    <xdr:graphicFrame macro="">
      <xdr:nvGraphicFramePr>
        <xdr:cNvPr id="6" name="Chart 6" title="Gráfico">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219075</xdr:colOff>
      <xdr:row>66</xdr:row>
      <xdr:rowOff>171450</xdr:rowOff>
    </xdr:from>
    <xdr:ext cx="5067300" cy="3276600"/>
    <xdr:graphicFrame macro="">
      <xdr:nvGraphicFramePr>
        <xdr:cNvPr id="7" name="Chart 7" title="Gráfico">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219075</xdr:colOff>
      <xdr:row>95</xdr:row>
      <xdr:rowOff>9525</xdr:rowOff>
    </xdr:from>
    <xdr:ext cx="5067300" cy="3276600"/>
    <xdr:graphicFrame macro="">
      <xdr:nvGraphicFramePr>
        <xdr:cNvPr id="8" name="Chart 8" title="Gráfico">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219075</xdr:colOff>
      <xdr:row>124</xdr:row>
      <xdr:rowOff>161925</xdr:rowOff>
    </xdr:from>
    <xdr:ext cx="5067300" cy="3276600"/>
    <xdr:graphicFrame macro="">
      <xdr:nvGraphicFramePr>
        <xdr:cNvPr id="9" name="Chart 9" title="Gráfico">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219075</xdr:colOff>
      <xdr:row>151</xdr:row>
      <xdr:rowOff>152400</xdr:rowOff>
    </xdr:from>
    <xdr:ext cx="5067300" cy="3276600"/>
    <xdr:graphicFrame macro="">
      <xdr:nvGraphicFramePr>
        <xdr:cNvPr id="10" name="Chart 10" title="Gráfico">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276225</xdr:colOff>
      <xdr:row>3</xdr:row>
      <xdr:rowOff>104775</xdr:rowOff>
    </xdr:from>
    <xdr:ext cx="5067300" cy="3276600"/>
    <xdr:graphicFrame macro="">
      <xdr:nvGraphicFramePr>
        <xdr:cNvPr id="11" name="Chart 11" title="Gráfico">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219075</xdr:colOff>
      <xdr:row>39</xdr:row>
      <xdr:rowOff>133350</xdr:rowOff>
    </xdr:from>
    <xdr:ext cx="5067300" cy="3276600"/>
    <xdr:graphicFrame macro="">
      <xdr:nvGraphicFramePr>
        <xdr:cNvPr id="12" name="Chart 12" title="Gráfico">
          <a:extLst>
            <a:ext uri="{FF2B5EF4-FFF2-40B4-BE49-F238E27FC236}">
              <a16:creationId xmlns:a16="http://schemas.microsoft.com/office/drawing/2014/main" id="{00000000-0008-0000-0E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219075</xdr:colOff>
      <xdr:row>70</xdr:row>
      <xdr:rowOff>171450</xdr:rowOff>
    </xdr:from>
    <xdr:ext cx="5067300" cy="3276600"/>
    <xdr:graphicFrame macro="">
      <xdr:nvGraphicFramePr>
        <xdr:cNvPr id="13" name="Chart 13" title="Gráfico">
          <a:extLst>
            <a:ext uri="{FF2B5EF4-FFF2-40B4-BE49-F238E27FC236}">
              <a16:creationId xmlns:a16="http://schemas.microsoft.com/office/drawing/2014/main" id="{00000000-0008-0000-0E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219075</xdr:colOff>
      <xdr:row>103</xdr:row>
      <xdr:rowOff>9525</xdr:rowOff>
    </xdr:from>
    <xdr:ext cx="5067300" cy="3276600"/>
    <xdr:graphicFrame macro="">
      <xdr:nvGraphicFramePr>
        <xdr:cNvPr id="14" name="Chart 14" title="Gráfico">
          <a:extLst>
            <a:ext uri="{FF2B5EF4-FFF2-40B4-BE49-F238E27FC236}">
              <a16:creationId xmlns:a16="http://schemas.microsoft.com/office/drawing/2014/main" id="{00000000-0008-0000-0E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219075</xdr:colOff>
      <xdr:row>133</xdr:row>
      <xdr:rowOff>161925</xdr:rowOff>
    </xdr:from>
    <xdr:ext cx="5067300" cy="3276600"/>
    <xdr:graphicFrame macro="">
      <xdr:nvGraphicFramePr>
        <xdr:cNvPr id="15" name="Chart 15" title="Gráfico">
          <a:extLst>
            <a:ext uri="{FF2B5EF4-FFF2-40B4-BE49-F238E27FC236}">
              <a16:creationId xmlns:a16="http://schemas.microsoft.com/office/drawing/2014/main" id="{00000000-0008-0000-0E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219075</xdr:colOff>
      <xdr:row>166</xdr:row>
      <xdr:rowOff>152400</xdr:rowOff>
    </xdr:from>
    <xdr:ext cx="5067300" cy="3276600"/>
    <xdr:graphicFrame macro="">
      <xdr:nvGraphicFramePr>
        <xdr:cNvPr id="16" name="Chart 16" title="Gráfico">
          <a:extLst>
            <a:ext uri="{FF2B5EF4-FFF2-40B4-BE49-F238E27FC236}">
              <a16:creationId xmlns:a16="http://schemas.microsoft.com/office/drawing/2014/main" id="{00000000-0008-0000-0E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276225</xdr:colOff>
      <xdr:row>3</xdr:row>
      <xdr:rowOff>104775</xdr:rowOff>
    </xdr:from>
    <xdr:ext cx="5067300" cy="3276600"/>
    <xdr:graphicFrame macro="">
      <xdr:nvGraphicFramePr>
        <xdr:cNvPr id="17" name="Chart 17" title="Gráfico">
          <a:extLst>
            <a:ext uri="{FF2B5EF4-FFF2-40B4-BE49-F238E27FC236}">
              <a16:creationId xmlns:a16="http://schemas.microsoft.com/office/drawing/2014/main" id="{00000000-0008-0000-0E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276225</xdr:colOff>
      <xdr:row>10</xdr:row>
      <xdr:rowOff>9525</xdr:rowOff>
    </xdr:from>
    <xdr:ext cx="5067300" cy="3276600"/>
    <xdr:graphicFrame macro="">
      <xdr:nvGraphicFramePr>
        <xdr:cNvPr id="18" name="Chart 18" title="Gráfico">
          <a:extLst>
            <a:ext uri="{FF2B5EF4-FFF2-40B4-BE49-F238E27FC236}">
              <a16:creationId xmlns:a16="http://schemas.microsoft.com/office/drawing/2014/main" id="{00000000-0008-0000-0F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219075</xdr:colOff>
      <xdr:row>31</xdr:row>
      <xdr:rowOff>0</xdr:rowOff>
    </xdr:from>
    <xdr:ext cx="5067300" cy="3276600"/>
    <xdr:graphicFrame macro="">
      <xdr:nvGraphicFramePr>
        <xdr:cNvPr id="19" name="Chart 19" title="Gráfico">
          <a:extLst>
            <a:ext uri="{FF2B5EF4-FFF2-40B4-BE49-F238E27FC236}">
              <a16:creationId xmlns:a16="http://schemas.microsoft.com/office/drawing/2014/main" id="{00000000-0008-0000-0F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219075</xdr:colOff>
      <xdr:row>52</xdr:row>
      <xdr:rowOff>133350</xdr:rowOff>
    </xdr:from>
    <xdr:ext cx="5067300" cy="3276600"/>
    <xdr:graphicFrame macro="">
      <xdr:nvGraphicFramePr>
        <xdr:cNvPr id="20" name="Chart 20" title="Gráfico">
          <a:extLst>
            <a:ext uri="{FF2B5EF4-FFF2-40B4-BE49-F238E27FC236}">
              <a16:creationId xmlns:a16="http://schemas.microsoft.com/office/drawing/2014/main" id="{00000000-0008-0000-0F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219075</xdr:colOff>
      <xdr:row>86</xdr:row>
      <xdr:rowOff>171450</xdr:rowOff>
    </xdr:from>
    <xdr:ext cx="5067300" cy="3276600"/>
    <xdr:graphicFrame macro="">
      <xdr:nvGraphicFramePr>
        <xdr:cNvPr id="21" name="Chart 21" title="Gráfico">
          <a:extLst>
            <a:ext uri="{FF2B5EF4-FFF2-40B4-BE49-F238E27FC236}">
              <a16:creationId xmlns:a16="http://schemas.microsoft.com/office/drawing/2014/main" id="{00000000-0008-0000-0F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6</xdr:col>
      <xdr:colOff>219075</xdr:colOff>
      <xdr:row>111</xdr:row>
      <xdr:rowOff>9525</xdr:rowOff>
    </xdr:from>
    <xdr:ext cx="5067300" cy="3276600"/>
    <xdr:graphicFrame macro="">
      <xdr:nvGraphicFramePr>
        <xdr:cNvPr id="22" name="Chart 22" title="Gráfico">
          <a:extLst>
            <a:ext uri="{FF2B5EF4-FFF2-40B4-BE49-F238E27FC236}">
              <a16:creationId xmlns:a16="http://schemas.microsoft.com/office/drawing/2014/main" id="{00000000-0008-0000-0F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6</xdr:col>
      <xdr:colOff>219075</xdr:colOff>
      <xdr:row>134</xdr:row>
      <xdr:rowOff>161925</xdr:rowOff>
    </xdr:from>
    <xdr:ext cx="5067300" cy="3276600"/>
    <xdr:graphicFrame macro="">
      <xdr:nvGraphicFramePr>
        <xdr:cNvPr id="23" name="Chart 23" title="Gráfico">
          <a:extLst>
            <a:ext uri="{FF2B5EF4-FFF2-40B4-BE49-F238E27FC236}">
              <a16:creationId xmlns:a16="http://schemas.microsoft.com/office/drawing/2014/main" id="{00000000-0008-0000-0F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6</xdr:col>
      <xdr:colOff>219075</xdr:colOff>
      <xdr:row>175</xdr:row>
      <xdr:rowOff>152400</xdr:rowOff>
    </xdr:from>
    <xdr:ext cx="5067300" cy="3276600"/>
    <xdr:graphicFrame macro="">
      <xdr:nvGraphicFramePr>
        <xdr:cNvPr id="24" name="Chart 24" title="Gráfico">
          <a:extLst>
            <a:ext uri="{FF2B5EF4-FFF2-40B4-BE49-F238E27FC236}">
              <a16:creationId xmlns:a16="http://schemas.microsoft.com/office/drawing/2014/main" id="{00000000-0008-0000-0F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219075</xdr:colOff>
      <xdr:row>199</xdr:row>
      <xdr:rowOff>142875</xdr:rowOff>
    </xdr:from>
    <xdr:ext cx="5067300" cy="3276600"/>
    <xdr:graphicFrame macro="">
      <xdr:nvGraphicFramePr>
        <xdr:cNvPr id="25" name="Chart 25" title="Gráfico">
          <a:extLst>
            <a:ext uri="{FF2B5EF4-FFF2-40B4-BE49-F238E27FC236}">
              <a16:creationId xmlns:a16="http://schemas.microsoft.com/office/drawing/2014/main" id="{00000000-0008-0000-0F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219075</xdr:colOff>
      <xdr:row>223</xdr:row>
      <xdr:rowOff>190500</xdr:rowOff>
    </xdr:from>
    <xdr:ext cx="5067300" cy="3276600"/>
    <xdr:graphicFrame macro="">
      <xdr:nvGraphicFramePr>
        <xdr:cNvPr id="26" name="Chart 26" title="Gráfico">
          <a:extLst>
            <a:ext uri="{FF2B5EF4-FFF2-40B4-BE49-F238E27FC236}">
              <a16:creationId xmlns:a16="http://schemas.microsoft.com/office/drawing/2014/main" id="{00000000-0008-0000-0F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8</xdr:col>
      <xdr:colOff>752475</xdr:colOff>
      <xdr:row>23</xdr:row>
      <xdr:rowOff>114300</xdr:rowOff>
    </xdr:from>
    <xdr:ext cx="5019675" cy="1695450"/>
    <xdr:graphicFrame macro="">
      <xdr:nvGraphicFramePr>
        <xdr:cNvPr id="27" name="Chart 27" title="Gráfico">
          <a:extLst>
            <a:ext uri="{FF2B5EF4-FFF2-40B4-BE49-F238E27FC236}">
              <a16:creationId xmlns:a16="http://schemas.microsoft.com/office/drawing/2014/main" id="{00000000-0008-0000-10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0</xdr:colOff>
      <xdr:row>34</xdr:row>
      <xdr:rowOff>0</xdr:rowOff>
    </xdr:from>
    <xdr:ext cx="5019675" cy="1752600"/>
    <xdr:graphicFrame macro="">
      <xdr:nvGraphicFramePr>
        <xdr:cNvPr id="28" name="Chart 28" title="Gráfico">
          <a:extLst>
            <a:ext uri="{FF2B5EF4-FFF2-40B4-BE49-F238E27FC236}">
              <a16:creationId xmlns:a16="http://schemas.microsoft.com/office/drawing/2014/main" id="{00000000-0008-0000-10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ncuesta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cuesta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18.503822800929" refreshedVersion="8" recordCount="2332" xr:uid="{00000000-000A-0000-FFFF-FFFF05000000}">
  <cacheSource type="worksheet">
    <worksheetSource ref="A1:I2333" sheet="DATA"/>
  </cacheSource>
  <cacheFields count="9">
    <cacheField name="Estudiante" numFmtId="0">
      <sharedItems containsSemiMixedTypes="0" containsString="0" containsNumber="1" containsInteger="1" minValue="1" maxValue="3644"/>
    </cacheField>
    <cacheField name="Región" numFmtId="0">
      <sharedItems/>
    </cacheField>
    <cacheField name="Nivel" numFmtId="0">
      <sharedItems/>
    </cacheField>
    <cacheField name="Grado" numFmtId="0">
      <sharedItems count="6">
        <s v="4 Primaria"/>
        <s v="6 Primaria"/>
        <s v="2 Secundaria"/>
        <s v="4 Secundaria"/>
        <s v="2 Primaria"/>
        <s v="1 Primaria"/>
      </sharedItems>
    </cacheField>
    <cacheField name="Institución Educativa" numFmtId="49">
      <sharedItems count="66">
        <s v="14924 DANIEL ALCIDES CARRION"/>
        <s v="20104"/>
        <s v="14975"/>
        <s v="15304"/>
        <s v="SAGRADO CORAZON DE JESUS"/>
        <s v="14144 SANTA ROSA"/>
        <s v="14894"/>
        <s v="15383"/>
        <s v="14141"/>
        <s v="15478"/>
        <s v="14045"/>
        <s v="14145 SANTA JULIA BILLIART"/>
        <s v="20123"/>
        <s v="15219"/>
        <s v="15220"/>
        <s v="64048"/>
        <s v="64115"/>
        <s v="64508-B"/>
        <s v="64873-B"/>
        <s v="64545-B"/>
        <s v="64949"/>
        <s v="64871-B"/>
        <s v="64028"/>
        <s v="NUESTRA SEÑORA DE LA CANDELARIA"/>
        <s v="36789 NUESTRA SEÑORA DEL CARMEN"/>
        <s v="36207"/>
        <s v="CORAS"/>
        <s v="36173"/>
        <s v="60136"/>
        <s v="6010102"/>
        <s v="601448"/>
        <s v="EL MILAGRO"/>
        <s v="601614"/>
        <s v="6010178"/>
        <s v="601514"/>
        <s v="601331"/>
        <s v="601391"/>
        <s v="601570"/>
        <s v="601678"/>
        <s v="6010230 BARBARA D'ACHILLE"/>
        <s v="60181"/>
        <s v="6010231"/>
        <s v="601511"/>
        <s v="601580"/>
        <s v="601444"/>
        <s v="601571"/>
        <s v="601563"/>
        <s v="60133"/>
        <s v="86809"/>
        <s v="86548 JOSE MARIA VELAZ"/>
        <s v="88327"/>
        <s v="88247 SAN ENRIQUE"/>
        <s v="86769 ABRAHAM VALDELOMAR"/>
        <s v="501432 PAPA FRANCISCO I"/>
        <s v="88225 CAPTUY"/>
        <s v="64346"/>
        <s v="65199"/>
        <s v="64829"/>
        <s v="36161 SAN VICENTE DE PAUL"/>
        <s v="36166 HEROES 29 DE AGOSTO"/>
        <s v="JORGE CHAVEZ"/>
        <s v="JOSE CARLOS MARIATEGUI"/>
        <s v="RAMON CASTILLA MARQUEZADO"/>
        <s v="64155"/>
        <s v="64641"/>
        <s v="64996"/>
      </sharedItems>
    </cacheField>
    <cacheField name="Ambito" numFmtId="49">
      <sharedItems/>
    </cacheField>
    <cacheField name="Sexo" numFmtId="0">
      <sharedItems/>
    </cacheField>
    <cacheField name="R Producción de textos" numFmtId="49">
      <sharedItems count="3">
        <s v="Inicio"/>
        <s v="Proceso"/>
        <s v="Satisfactorio"/>
      </sharedItems>
    </cacheField>
    <cacheField name="Año" numFmtId="49">
      <sharedItems containsMixedTypes="1" containsNumber="1" containsInteger="1" minValue="2022" maxValue="2022" count="3">
        <s v="2024"/>
        <n v="2022"/>
        <s v="202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18.503823148145" refreshedVersion="8" recordCount="1376" xr:uid="{00000000-000A-0000-FFFF-FFFF04000000}">
  <cacheSource type="worksheet">
    <worksheetSource ref="A1:H1377" sheet="DATA"/>
  </cacheSource>
  <cacheFields count="8">
    <cacheField name="Estudiante" numFmtId="0">
      <sharedItems containsSemiMixedTypes="0" containsString="0" containsNumber="1" containsInteger="1" minValue="1" maxValue="3644"/>
    </cacheField>
    <cacheField name="Región" numFmtId="0">
      <sharedItems count="6">
        <s v="48. Piura"/>
        <s v="72. Ucayali"/>
        <s v="79. Huancavelica"/>
        <s v="47. Loreto"/>
        <s v="54. Ancash"/>
        <s v="44. Cusco"/>
      </sharedItems>
    </cacheField>
    <cacheField name="Nivel" numFmtId="0">
      <sharedItems/>
    </cacheField>
    <cacheField name="Grado" numFmtId="0">
      <sharedItems/>
    </cacheField>
    <cacheField name="Institución Educativa" numFmtId="49">
      <sharedItems/>
    </cacheField>
    <cacheField name="Ambito" numFmtId="49">
      <sharedItems/>
    </cacheField>
    <cacheField name="Sexo" numFmtId="0">
      <sharedItems/>
    </cacheField>
    <cacheField name="R Producción de textos" numFmtId="49">
      <sharedItems count="3">
        <s v="Inicio"/>
        <s v="Proceso"/>
        <s v="Satisfactorio"/>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18.503823263891" refreshedVersion="8" recordCount="2308" xr:uid="{00000000-000A-0000-FFFF-FFFF03000000}">
  <cacheSource type="worksheet">
    <worksheetSource ref="A1:I2309" sheet="DATA"/>
  </cacheSource>
  <cacheFields count="9">
    <cacheField name="Estudiante" numFmtId="0">
      <sharedItems containsSemiMixedTypes="0" containsString="0" containsNumber="1" containsInteger="1" minValue="1" maxValue="3644"/>
    </cacheField>
    <cacheField name="Región" numFmtId="0">
      <sharedItems count="6">
        <s v="48. Piura"/>
        <s v="72. Ucayali"/>
        <s v="79. Huancavelica"/>
        <s v="47. Loreto"/>
        <s v="54. Ancash"/>
        <s v="44. Cusco"/>
      </sharedItems>
    </cacheField>
    <cacheField name="Nivel" numFmtId="0">
      <sharedItems count="2">
        <s v="Primaria"/>
        <s v="Secundaria"/>
      </sharedItems>
    </cacheField>
    <cacheField name="Grado" numFmtId="0">
      <sharedItems count="5">
        <s v="4 Primaria"/>
        <s v="6 Primaria"/>
        <s v="2 Secundaria"/>
        <s v="4 Secundaria"/>
        <s v="2 Primaria"/>
      </sharedItems>
    </cacheField>
    <cacheField name="Institución Educativa" numFmtId="49">
      <sharedItems count="66">
        <s v="14924 DANIEL ALCIDES CARRION"/>
        <s v="20104"/>
        <s v="14975"/>
        <s v="15304"/>
        <s v="SAGRADO CORAZON DE JESUS"/>
        <s v="14144 SANTA ROSA"/>
        <s v="14894"/>
        <s v="15383"/>
        <s v="14141"/>
        <s v="15478"/>
        <s v="14045"/>
        <s v="14145 SANTA JULIA BILLIART"/>
        <s v="20123"/>
        <s v="15219"/>
        <s v="15220"/>
        <s v="64048"/>
        <s v="64115"/>
        <s v="64508-B"/>
        <s v="64873-B"/>
        <s v="64545-B"/>
        <s v="64949"/>
        <s v="64871-B"/>
        <s v="64028"/>
        <s v="NUESTRA SEÑORA DE LA CANDELARIA"/>
        <s v="36789 NUESTRA SEÑORA DEL CARMEN"/>
        <s v="36207"/>
        <s v="CORAS"/>
        <s v="36173"/>
        <s v="60136"/>
        <s v="6010102"/>
        <s v="601448"/>
        <s v="EL MILAGRO"/>
        <s v="601614"/>
        <s v="6010178"/>
        <s v="601514"/>
        <s v="601331"/>
        <s v="601391"/>
        <s v="601570"/>
        <s v="601678"/>
        <s v="6010230 BARBARA D'ACHILLE"/>
        <s v="60181"/>
        <s v="6010231"/>
        <s v="601511"/>
        <s v="601580"/>
        <s v="601444"/>
        <s v="601571"/>
        <s v="601563"/>
        <s v="60133"/>
        <s v="86809"/>
        <s v="86548 JOSE MARIA VELAZ"/>
        <s v="88327"/>
        <s v="88247 SAN ENRIQUE"/>
        <s v="86769 ABRAHAM VALDELOMAR"/>
        <s v="501432 PAPA FRANCISCO I"/>
        <s v="88225 CAPTUY"/>
        <s v="64346"/>
        <s v="65199"/>
        <s v="64829"/>
        <s v="36161 SAN VICENTE DE PAUL"/>
        <s v="36166 HEROES 29 DE AGOSTO"/>
        <s v="JORGE CHAVEZ"/>
        <s v="JOSE CARLOS MARIATEGUI"/>
        <s v="RAMON CASTILLA MARQUEZADO"/>
        <s v="64155"/>
        <s v="64641"/>
        <s v="64996"/>
      </sharedItems>
    </cacheField>
    <cacheField name="Ambito" numFmtId="49">
      <sharedItems/>
    </cacheField>
    <cacheField name="Sexo" numFmtId="0">
      <sharedItems/>
    </cacheField>
    <cacheField name="R Producción de textos" numFmtId="49">
      <sharedItems count="3">
        <s v="Inicio"/>
        <s v="Proceso"/>
        <s v="Satisfactorio"/>
      </sharedItems>
    </cacheField>
    <cacheField name="Año" numFmtId="49">
      <sharedItems containsMixedTypes="1" containsNumber="1" containsInteger="1" minValue="2022" maxValue="2022" count="3">
        <s v="2024"/>
        <n v="2022"/>
        <s v="2023"/>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18.503824537038" refreshedVersion="8" recordCount="2418" xr:uid="{00000000-000A-0000-FFFF-FFFF02000000}">
  <cacheSource type="worksheet">
    <worksheetSource ref="A1:L2419" sheet="DATA"/>
  </cacheSource>
  <cacheFields count="12">
    <cacheField name="Estudiante" numFmtId="0">
      <sharedItems containsSemiMixedTypes="0" containsString="0" containsNumber="1" containsInteger="1" minValue="1" maxValue="3644"/>
    </cacheField>
    <cacheField name="Región" numFmtId="0">
      <sharedItems count="6">
        <s v="48. Piura"/>
        <s v="72. Ucayali"/>
        <s v="79. Huancavelica"/>
        <s v="47. Loreto"/>
        <s v="54. Ancash"/>
        <s v="44. Cusco"/>
      </sharedItems>
    </cacheField>
    <cacheField name="Nivel" numFmtId="0">
      <sharedItems count="2">
        <s v="Primaria"/>
        <s v="Secundaria"/>
      </sharedItems>
    </cacheField>
    <cacheField name="Grado" numFmtId="0">
      <sharedItems count="6">
        <s v="4 Primaria"/>
        <s v="6 Primaria"/>
        <s v="2 Secundaria"/>
        <s v="4 Secundaria"/>
        <s v="2 Primaria"/>
        <s v="1 Primaria"/>
      </sharedItems>
    </cacheField>
    <cacheField name="Institución Educativa" numFmtId="49">
      <sharedItems count="67">
        <s v="14924 DANIEL ALCIDES CARRION"/>
        <s v="20104"/>
        <s v="14975"/>
        <s v="15304"/>
        <s v="SAGRADO CORAZON DE JESUS"/>
        <s v="14144 SANTA ROSA"/>
        <s v="14894"/>
        <s v="15383"/>
        <s v="14141"/>
        <s v="15478"/>
        <s v="14045"/>
        <s v="14145 SANTA JULIA BILLIART"/>
        <s v="20123"/>
        <s v="15219"/>
        <s v="15220"/>
        <s v="64048"/>
        <s v="64115"/>
        <s v="64508-B"/>
        <s v="64873-B"/>
        <s v="64545-B"/>
        <s v="64949"/>
        <s v="64871-B"/>
        <s v="64028"/>
        <s v="NUESTRA SEÑORA DE LA CANDELARIA"/>
        <s v="36789 NUESTRA SEÑORA DEL CARMEN"/>
        <s v="36207"/>
        <s v="CORAS"/>
        <s v="36173"/>
        <s v="60136"/>
        <s v="6010102"/>
        <s v="601448"/>
        <s v="EL MILAGRO"/>
        <s v="601614"/>
        <s v="6010178"/>
        <s v="601514"/>
        <s v="601331"/>
        <s v="601391"/>
        <s v="601570"/>
        <s v="601678"/>
        <s v="6010230 BARBARA D'ACHILLE"/>
        <s v="60181"/>
        <s v="6010231"/>
        <s v="601511"/>
        <s v="601580"/>
        <s v="601444"/>
        <s v="601571"/>
        <s v="601563"/>
        <s v="60133"/>
        <s v="86809"/>
        <s v="86548 JOSE MARIA VELAZ"/>
        <s v="88327"/>
        <s v="88247 SAN ENRIQUE"/>
        <s v="86769 ABRAHAM VALDELOMAR"/>
        <s v="501432 PAPA FRANCISCO I"/>
        <s v="88225 CAPTUY"/>
        <s v="64346"/>
        <s v="65199"/>
        <s v="64829"/>
        <s v="36161 SAN VICENTE DE PAUL"/>
        <s v="36166 HEROES 29 DE AGOSTO"/>
        <s v="JORGE CHAVEZ"/>
        <s v="JOSE CARLOS MARIATEGUI"/>
        <s v="RAMON CASTILLA MARQUEZADO"/>
        <s v="64155"/>
        <s v="64641"/>
        <s v="64996"/>
        <s v="15374"/>
      </sharedItems>
    </cacheField>
    <cacheField name="Ambito" numFmtId="49">
      <sharedItems/>
    </cacheField>
    <cacheField name="Sexo" numFmtId="0">
      <sharedItems/>
    </cacheField>
    <cacheField name="R Producción de textos" numFmtId="49">
      <sharedItems count="3">
        <s v="Inicio"/>
        <s v="Proceso"/>
        <s v="Satisfactorio"/>
      </sharedItems>
    </cacheField>
    <cacheField name="Año" numFmtId="49">
      <sharedItems containsMixedTypes="1" containsNumber="1" containsInteger="1" minValue="2022" maxValue="2022" count="3">
        <s v="2024"/>
        <n v="2022"/>
        <s v="2023"/>
      </sharedItems>
    </cacheField>
    <cacheField name="ANALISIS" numFmtId="49">
      <sharedItems count="7">
        <s v="SOLO 2024"/>
        <s v="2023 Y 2024"/>
        <s v="SOLO 2022 Y 2024"/>
        <s v="LOS 3 AÑOS"/>
        <s v="SOLO LINEA BASE"/>
        <s v="OTROS ESCENARIOS"/>
        <s v="SOLO 2023"/>
      </sharedItems>
    </cacheField>
    <cacheField name="PADD-R" numFmtId="49">
      <sharedItems/>
    </cacheField>
    <cacheField name="ID IE" numFmtId="4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18.503825115738" refreshedVersion="8" recordCount="2418" xr:uid="{00000000-000A-0000-FFFF-FFFF01000000}">
  <cacheSource type="worksheet">
    <worksheetSource ref="A1:M2419" sheet="DATA"/>
  </cacheSource>
  <cacheFields count="13">
    <cacheField name="Estudiante" numFmtId="0">
      <sharedItems containsSemiMixedTypes="0" containsString="0" containsNumber="1" containsInteger="1" minValue="1" maxValue="3644"/>
    </cacheField>
    <cacheField name="Región" numFmtId="0">
      <sharedItems count="6">
        <s v="48. Piura"/>
        <s v="72. Ucayali"/>
        <s v="79. Huancavelica"/>
        <s v="47. Loreto"/>
        <s v="54. Ancash"/>
        <s v="44. Cusco"/>
      </sharedItems>
    </cacheField>
    <cacheField name="Nivel" numFmtId="0">
      <sharedItems/>
    </cacheField>
    <cacheField name="Grado" numFmtId="0">
      <sharedItems count="6">
        <s v="4 Primaria"/>
        <s v="6 Primaria"/>
        <s v="2 Secundaria"/>
        <s v="4 Secundaria"/>
        <s v="2 Primaria"/>
        <s v="1 Primaria"/>
      </sharedItems>
    </cacheField>
    <cacheField name="Institución Educativa" numFmtId="49">
      <sharedItems count="67">
        <s v="14924 DANIEL ALCIDES CARRION"/>
        <s v="20104"/>
        <s v="14975"/>
        <s v="15304"/>
        <s v="SAGRADO CORAZON DE JESUS"/>
        <s v="14144 SANTA ROSA"/>
        <s v="14894"/>
        <s v="15383"/>
        <s v="14141"/>
        <s v="15478"/>
        <s v="14045"/>
        <s v="14145 SANTA JULIA BILLIART"/>
        <s v="20123"/>
        <s v="15219"/>
        <s v="15220"/>
        <s v="64048"/>
        <s v="64115"/>
        <s v="64508-B"/>
        <s v="64873-B"/>
        <s v="64545-B"/>
        <s v="64949"/>
        <s v="64871-B"/>
        <s v="64028"/>
        <s v="NUESTRA SEÑORA DE LA CANDELARIA"/>
        <s v="36789 NUESTRA SEÑORA DEL CARMEN"/>
        <s v="36207"/>
        <s v="CORAS"/>
        <s v="36173"/>
        <s v="60136"/>
        <s v="6010102"/>
        <s v="601448"/>
        <s v="EL MILAGRO"/>
        <s v="601614"/>
        <s v="6010178"/>
        <s v="601514"/>
        <s v="601331"/>
        <s v="601391"/>
        <s v="601570"/>
        <s v="601678"/>
        <s v="6010230 BARBARA D'ACHILLE"/>
        <s v="60181"/>
        <s v="6010231"/>
        <s v="601511"/>
        <s v="601580"/>
        <s v="601444"/>
        <s v="601571"/>
        <s v="601563"/>
        <s v="60133"/>
        <s v="86809"/>
        <s v="86548 JOSE MARIA VELAZ"/>
        <s v="88327"/>
        <s v="88247 SAN ENRIQUE"/>
        <s v="86769 ABRAHAM VALDELOMAR"/>
        <s v="501432 PAPA FRANCISCO I"/>
        <s v="88225 CAPTUY"/>
        <s v="64346"/>
        <s v="65199"/>
        <s v="64829"/>
        <s v="36161 SAN VICENTE DE PAUL"/>
        <s v="36166 HEROES 29 DE AGOSTO"/>
        <s v="JORGE CHAVEZ"/>
        <s v="JOSE CARLOS MARIATEGUI"/>
        <s v="RAMON CASTILLA MARQUEZADO"/>
        <s v="64155"/>
        <s v="64641"/>
        <s v="64996"/>
        <s v="15374"/>
      </sharedItems>
    </cacheField>
    <cacheField name="Ambito" numFmtId="49">
      <sharedItems/>
    </cacheField>
    <cacheField name="Sexo" numFmtId="0">
      <sharedItems/>
    </cacheField>
    <cacheField name="R Producción de textos" numFmtId="49">
      <sharedItems count="3">
        <s v="Inicio"/>
        <s v="Proceso"/>
        <s v="Satisfactorio"/>
      </sharedItems>
    </cacheField>
    <cacheField name="Año" numFmtId="49">
      <sharedItems containsMixedTypes="1" containsNumber="1" containsInteger="1" minValue="2022" maxValue="2022" count="3">
        <s v="2024"/>
        <n v="2022"/>
        <s v="2023"/>
      </sharedItems>
    </cacheField>
    <cacheField name="ANALISIS" numFmtId="49">
      <sharedItems/>
    </cacheField>
    <cacheField name="PADD-R" numFmtId="49">
      <sharedItems/>
    </cacheField>
    <cacheField name="ID IE" numFmtId="49">
      <sharedItems count="103">
        <s v="14924 DANIEL ALCIDES CARRION"/>
        <s v="20104"/>
        <s v="14975"/>
        <s v="15304"/>
        <s v="SAGRADO CORAZON DE JESUS"/>
        <s v="14144 SANTA ROSA"/>
        <s v="14894"/>
        <s v="15383"/>
        <s v="14141"/>
        <s v="15478"/>
        <s v="14045"/>
        <s v="14145 SANTA JULIA BILLIART"/>
        <s v="20123"/>
        <s v="15219"/>
        <s v="15220"/>
        <s v="64048 Nuevo Barranca"/>
        <s v="64115 Nuevo Bagazán"/>
        <s v="64508-B Santa Isabel"/>
        <s v="64873-B Santa Elisa"/>
        <s v="64545-B Puerto Consuelo"/>
        <s v="64949 Isla Primavera"/>
        <s v="64871-B Santa Martha"/>
        <s v="64028 Mazaray"/>
        <s v="Nuestra Sra Candelaria"/>
        <s v="36789"/>
        <s v="36207"/>
        <s v="CORAS"/>
        <s v="36173"/>
        <s v="60136 MORALILLO"/>
        <s v="60146 MORALILLO"/>
        <s v="6010102 VILLA BUEN PASTOR"/>
        <s v="601448 NUEVO MILAGRO"/>
        <s v="EL MILAGRO"/>
        <s v="601614 NUEVA ESPERANZA"/>
        <s v="6010178 BELEN DE JUDA"/>
        <s v="601514 EL DORADO"/>
        <s v="601331 TRECE DE FEBRERO"/>
        <s v="601391 PAUJIL II ZONA"/>
        <s v="601570 ANGEL CARDENAS I"/>
        <s v="601678 ANGEL CARDENAS II"/>
        <s v="6010230 NUEVO HORIZONTE"/>
        <s v="60181 SAN PEDRO DE PINTUYACU"/>
        <s v="6010231 EX PETROLEROS I"/>
        <s v="601511 10 DE OCTUBRE I"/>
        <s v="601580 10 DE OCTUBRE II"/>
        <s v="601444 TRIUNFO"/>
        <s v="601571 HUAMBE"/>
        <s v="601563 LA HABANA"/>
        <s v="60133 CAHUIDE"/>
        <s v="Huarachuran"/>
        <s v="Pichiu"/>
        <s v="Carap"/>
        <s v="Capan"/>
        <s v="Huascar"/>
        <s v="Papa Francisco I"/>
        <s v="601331"/>
        <s v="60133"/>
        <s v="6010230"/>
        <s v="601448"/>
        <s v="Captuy"/>
        <s v="Huarac Huran"/>
        <s v="Huáscar"/>
        <s v="Huran Huran"/>
        <s v="MIRAFLORES 64346"/>
        <s v="BAGAZAN 64115"/>
        <s v="MAZARAY 64028"/>
        <s v="3 DE MAYO 65199"/>
        <s v="VILLA ESTHER 64829"/>
        <s v="64048 Barranca"/>
        <s v="36161"/>
        <s v="36166"/>
        <s v="JORGE CHAVEZ"/>
        <s v="JOSE CARLOS MARIATEGUI"/>
        <s v="RAMON CASTILLA MARQUEZADO"/>
        <s v="José Carlos Mariategui"/>
        <s v="Ramón Castilla M."/>
        <s v="Nuestra Señora de la Candelaria"/>
        <s v="64155 Bagazan"/>
        <s v="64346 Miraflores"/>
        <s v="64641 Nueva Alianza"/>
        <s v="64872-B Santa Martha"/>
        <s v="64996 Libertad"/>
        <s v="86809 Huarac-huarán"/>
        <s v="88247 - Capan"/>
        <s v="86548 - Pichiu"/>
        <s v="15383 Totoral Bajo"/>
        <s v="15219 Tinajones"/>
        <s v="SCJ PUEBLO LIBRE"/>
        <s v="14144 SantaRosa-Palominos"/>
        <s v="14145 SJB"/>
        <s v="15478 Cerro de Leones"/>
        <s v="20104 CP-8"/>
        <s v="14924 DAC"/>
        <s v="14045 Miraflores Bajo"/>
        <s v="15220 Miraflores Alto"/>
        <s v="20123 Cruce de Vega"/>
        <s v="14141 Pueblo Nuevo"/>
        <s v="15304 Guaraguaos.B"/>
        <s v="14975 El Carbon"/>
        <s v="601148"/>
        <s v="601614"/>
        <s v="601514"/>
        <s v="SAGRADO CORAZON DE JESÚS"/>
      </sharedItems>
    </cacheField>
    <cacheField name="ID2" numFmtId="49">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ucas Becerra - Economía" refreshedDate="45718.503825462962" refreshedVersion="8" recordCount="2418" xr:uid="{00000000-000A-0000-FFFF-FFFF00000000}">
  <cacheSource type="worksheet">
    <worksheetSource ref="A1:I2419" sheet="DATA"/>
  </cacheSource>
  <cacheFields count="9">
    <cacheField name="Estudiante" numFmtId="0">
      <sharedItems containsSemiMixedTypes="0" containsString="0" containsNumber="1" containsInteger="1" minValue="1" maxValue="3644"/>
    </cacheField>
    <cacheField name="Región" numFmtId="0">
      <sharedItems count="6">
        <s v="48. Piura"/>
        <s v="72. Ucayali"/>
        <s v="79. Huancavelica"/>
        <s v="47. Loreto"/>
        <s v="54. Ancash"/>
        <s v="44. Cusco"/>
      </sharedItems>
    </cacheField>
    <cacheField name="Nivel" numFmtId="0">
      <sharedItems count="2">
        <s v="Primaria"/>
        <s v="Secundaria"/>
      </sharedItems>
    </cacheField>
    <cacheField name="Grado" numFmtId="0">
      <sharedItems count="6">
        <s v="4 Primaria"/>
        <s v="6 Primaria"/>
        <s v="2 Secundaria"/>
        <s v="4 Secundaria"/>
        <s v="2 Primaria"/>
        <s v="1 Primaria"/>
      </sharedItems>
    </cacheField>
    <cacheField name="Institución Educativa" numFmtId="49">
      <sharedItems count="67">
        <s v="14924 DANIEL ALCIDES CARRION"/>
        <s v="20104"/>
        <s v="14975"/>
        <s v="15304"/>
        <s v="SAGRADO CORAZON DE JESUS"/>
        <s v="14144 SANTA ROSA"/>
        <s v="14894"/>
        <s v="15383"/>
        <s v="14141"/>
        <s v="15478"/>
        <s v="14045"/>
        <s v="14145 SANTA JULIA BILLIART"/>
        <s v="20123"/>
        <s v="15219"/>
        <s v="15220"/>
        <s v="64048"/>
        <s v="64115"/>
        <s v="64508-B"/>
        <s v="64873-B"/>
        <s v="64545-B"/>
        <s v="64949"/>
        <s v="64871-B"/>
        <s v="64028"/>
        <s v="NUESTRA SEÑORA DE LA CANDELARIA"/>
        <s v="36789 NUESTRA SEÑORA DEL CARMEN"/>
        <s v="36207"/>
        <s v="CORAS"/>
        <s v="36173"/>
        <s v="60136"/>
        <s v="6010102"/>
        <s v="601448"/>
        <s v="EL MILAGRO"/>
        <s v="601614"/>
        <s v="6010178"/>
        <s v="601514"/>
        <s v="601331"/>
        <s v="601391"/>
        <s v="601570"/>
        <s v="601678"/>
        <s v="6010230 BARBARA D'ACHILLE"/>
        <s v="60181"/>
        <s v="6010231"/>
        <s v="601511"/>
        <s v="601580"/>
        <s v="601444"/>
        <s v="601571"/>
        <s v="601563"/>
        <s v="60133"/>
        <s v="86809"/>
        <s v="86548 JOSE MARIA VELAZ"/>
        <s v="88327"/>
        <s v="88247 SAN ENRIQUE"/>
        <s v="86769 ABRAHAM VALDELOMAR"/>
        <s v="501432 PAPA FRANCISCO I"/>
        <s v="88225 CAPTUY"/>
        <s v="64346"/>
        <s v="65199"/>
        <s v="64829"/>
        <s v="36161 SAN VICENTE DE PAUL"/>
        <s v="36166 HEROES 29 DE AGOSTO"/>
        <s v="JORGE CHAVEZ"/>
        <s v="JOSE CARLOS MARIATEGUI"/>
        <s v="RAMON CASTILLA MARQUEZADO"/>
        <s v="64155"/>
        <s v="64641"/>
        <s v="64996"/>
        <s v="15374"/>
      </sharedItems>
    </cacheField>
    <cacheField name="Ambito" numFmtId="49">
      <sharedItems/>
    </cacheField>
    <cacheField name="Sexo" numFmtId="0">
      <sharedItems count="2">
        <s v="Masculino"/>
        <s v="Femenino"/>
      </sharedItems>
    </cacheField>
    <cacheField name="R Producción de textos" numFmtId="49">
      <sharedItems count="3">
        <s v="Inicio"/>
        <s v="Proceso"/>
        <s v="Satisfactorio"/>
      </sharedItems>
    </cacheField>
    <cacheField name="Año" numFmtId="49">
      <sharedItems containsMixedTypes="1" containsNumber="1" containsInteger="1" minValue="2022" maxValue="2022" count="3">
        <s v="2024"/>
        <n v="2022"/>
        <s v="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2">
  <r>
    <n v="1"/>
    <s v="48. Piura"/>
    <s v="Primaria"/>
    <x v="0"/>
    <x v="0"/>
    <s v="Rural"/>
    <s v="Masculino"/>
    <x v="0"/>
    <x v="0"/>
  </r>
  <r>
    <n v="2"/>
    <s v="48. Piura"/>
    <s v="Primaria"/>
    <x v="0"/>
    <x v="0"/>
    <s v="Rural"/>
    <s v="Masculino"/>
    <x v="0"/>
    <x v="0"/>
  </r>
  <r>
    <n v="3"/>
    <s v="48. Piura"/>
    <s v="Primaria"/>
    <x v="0"/>
    <x v="0"/>
    <s v="Rural"/>
    <s v="Masculino"/>
    <x v="1"/>
    <x v="0"/>
  </r>
  <r>
    <n v="4"/>
    <s v="48. Piura"/>
    <s v="Primaria"/>
    <x v="0"/>
    <x v="0"/>
    <s v="Rural"/>
    <s v="Femenino"/>
    <x v="1"/>
    <x v="0"/>
  </r>
  <r>
    <n v="5"/>
    <s v="48. Piura"/>
    <s v="Primaria"/>
    <x v="0"/>
    <x v="0"/>
    <s v="Rural"/>
    <s v="Masculino"/>
    <x v="1"/>
    <x v="0"/>
  </r>
  <r>
    <n v="6"/>
    <s v="48. Piura"/>
    <s v="Primaria"/>
    <x v="0"/>
    <x v="0"/>
    <s v="Rural"/>
    <s v="Femenino"/>
    <x v="0"/>
    <x v="0"/>
  </r>
  <r>
    <n v="7"/>
    <s v="48. Piura"/>
    <s v="Primaria"/>
    <x v="0"/>
    <x v="0"/>
    <s v="Rural"/>
    <s v="Femenino"/>
    <x v="0"/>
    <x v="0"/>
  </r>
  <r>
    <n v="8"/>
    <s v="48. Piura"/>
    <s v="Primaria"/>
    <x v="0"/>
    <x v="0"/>
    <s v="Rural"/>
    <s v="Femenino"/>
    <x v="0"/>
    <x v="0"/>
  </r>
  <r>
    <n v="9"/>
    <s v="48. Piura"/>
    <s v="Primaria"/>
    <x v="0"/>
    <x v="0"/>
    <s v="Rural"/>
    <s v="Masculino"/>
    <x v="1"/>
    <x v="0"/>
  </r>
  <r>
    <n v="10"/>
    <s v="48. Piura"/>
    <s v="Primaria"/>
    <x v="0"/>
    <x v="0"/>
    <s v="Rural"/>
    <s v="Femenino"/>
    <x v="2"/>
    <x v="0"/>
  </r>
  <r>
    <n v="11"/>
    <s v="48. Piura"/>
    <s v="Primaria"/>
    <x v="0"/>
    <x v="0"/>
    <s v="Rural"/>
    <s v="Masculino"/>
    <x v="1"/>
    <x v="0"/>
  </r>
  <r>
    <n v="12"/>
    <s v="48. Piura"/>
    <s v="Primaria"/>
    <x v="0"/>
    <x v="0"/>
    <s v="Rural"/>
    <s v="Femenino"/>
    <x v="0"/>
    <x v="0"/>
  </r>
  <r>
    <n v="13"/>
    <s v="48. Piura"/>
    <s v="Primaria"/>
    <x v="0"/>
    <x v="0"/>
    <s v="Rural"/>
    <s v="Femenino"/>
    <x v="0"/>
    <x v="0"/>
  </r>
  <r>
    <n v="14"/>
    <s v="48. Piura"/>
    <s v="Primaria"/>
    <x v="0"/>
    <x v="0"/>
    <s v="Rural"/>
    <s v="Femenino"/>
    <x v="1"/>
    <x v="0"/>
  </r>
  <r>
    <n v="15"/>
    <s v="48. Piura"/>
    <s v="Primaria"/>
    <x v="0"/>
    <x v="0"/>
    <s v="Rural"/>
    <s v="Masculino"/>
    <x v="0"/>
    <x v="0"/>
  </r>
  <r>
    <n v="16"/>
    <s v="48. Piura"/>
    <s v="Primaria"/>
    <x v="0"/>
    <x v="0"/>
    <s v="Rural"/>
    <s v="Masculino"/>
    <x v="0"/>
    <x v="0"/>
  </r>
  <r>
    <n v="17"/>
    <s v="48. Piura"/>
    <s v="Primaria"/>
    <x v="0"/>
    <x v="0"/>
    <s v="Rural"/>
    <s v="Femenino"/>
    <x v="0"/>
    <x v="0"/>
  </r>
  <r>
    <n v="18"/>
    <s v="48. Piura"/>
    <s v="Primaria"/>
    <x v="0"/>
    <x v="0"/>
    <s v="Rural"/>
    <s v="Femenino"/>
    <x v="2"/>
    <x v="0"/>
  </r>
  <r>
    <n v="19"/>
    <s v="48. Piura"/>
    <s v="Primaria"/>
    <x v="0"/>
    <x v="0"/>
    <s v="Rural"/>
    <s v="Femenino"/>
    <x v="0"/>
    <x v="0"/>
  </r>
  <r>
    <n v="20"/>
    <s v="48. Piura"/>
    <s v="Primaria"/>
    <x v="0"/>
    <x v="0"/>
    <s v="Rural"/>
    <s v="Masculino"/>
    <x v="0"/>
    <x v="0"/>
  </r>
  <r>
    <n v="21"/>
    <s v="48. Piura"/>
    <s v="Primaria"/>
    <x v="0"/>
    <x v="0"/>
    <s v="Rural"/>
    <s v="Masculino"/>
    <x v="0"/>
    <x v="0"/>
  </r>
  <r>
    <n v="22"/>
    <s v="48. Piura"/>
    <s v="Primaria"/>
    <x v="0"/>
    <x v="0"/>
    <s v="Rural"/>
    <s v="Masculino"/>
    <x v="0"/>
    <x v="0"/>
  </r>
  <r>
    <n v="23"/>
    <s v="48. Piura"/>
    <s v="Primaria"/>
    <x v="0"/>
    <x v="1"/>
    <s v="Rural"/>
    <s v="Masculino"/>
    <x v="0"/>
    <x v="0"/>
  </r>
  <r>
    <n v="24"/>
    <s v="48. Piura"/>
    <s v="Primaria"/>
    <x v="0"/>
    <x v="1"/>
    <s v="Rural"/>
    <s v="Masculino"/>
    <x v="0"/>
    <x v="0"/>
  </r>
  <r>
    <n v="25"/>
    <s v="48. Piura"/>
    <s v="Primaria"/>
    <x v="0"/>
    <x v="1"/>
    <s v="Rural"/>
    <s v="Masculino"/>
    <x v="0"/>
    <x v="0"/>
  </r>
  <r>
    <n v="26"/>
    <s v="48. Piura"/>
    <s v="Primaria"/>
    <x v="0"/>
    <x v="1"/>
    <s v="Rural"/>
    <s v="Masculino"/>
    <x v="0"/>
    <x v="0"/>
  </r>
  <r>
    <n v="27"/>
    <s v="48. Piura"/>
    <s v="Primaria"/>
    <x v="0"/>
    <x v="1"/>
    <s v="Rural"/>
    <s v="Femenino"/>
    <x v="0"/>
    <x v="0"/>
  </r>
  <r>
    <n v="28"/>
    <s v="48. Piura"/>
    <s v="Primaria"/>
    <x v="0"/>
    <x v="1"/>
    <s v="Rural"/>
    <s v="Femenino"/>
    <x v="0"/>
    <x v="0"/>
  </r>
  <r>
    <n v="29"/>
    <s v="48. Piura"/>
    <s v="Primaria"/>
    <x v="0"/>
    <x v="1"/>
    <s v="Rural"/>
    <s v="Femenino"/>
    <x v="0"/>
    <x v="0"/>
  </r>
  <r>
    <n v="30"/>
    <s v="48. Piura"/>
    <s v="Primaria"/>
    <x v="0"/>
    <x v="2"/>
    <s v="Rural"/>
    <s v="Masculino"/>
    <x v="0"/>
    <x v="0"/>
  </r>
  <r>
    <n v="31"/>
    <s v="48. Piura"/>
    <s v="Primaria"/>
    <x v="0"/>
    <x v="2"/>
    <s v="Rural"/>
    <s v="Masculino"/>
    <x v="0"/>
    <x v="0"/>
  </r>
  <r>
    <n v="32"/>
    <s v="48. Piura"/>
    <s v="Primaria"/>
    <x v="0"/>
    <x v="2"/>
    <s v="Rural"/>
    <s v="Masculino"/>
    <x v="1"/>
    <x v="0"/>
  </r>
  <r>
    <n v="33"/>
    <s v="48. Piura"/>
    <s v="Primaria"/>
    <x v="0"/>
    <x v="2"/>
    <s v="Rural"/>
    <s v="Femenino"/>
    <x v="0"/>
    <x v="0"/>
  </r>
  <r>
    <n v="34"/>
    <s v="48. Piura"/>
    <s v="Primaria"/>
    <x v="0"/>
    <x v="2"/>
    <s v="Rural"/>
    <s v="Femenino"/>
    <x v="0"/>
    <x v="0"/>
  </r>
  <r>
    <n v="35"/>
    <s v="48. Piura"/>
    <s v="Primaria"/>
    <x v="0"/>
    <x v="2"/>
    <s v="Rural"/>
    <s v="Femenino"/>
    <x v="1"/>
    <x v="0"/>
  </r>
  <r>
    <n v="36"/>
    <s v="48. Piura"/>
    <s v="Primaria"/>
    <x v="0"/>
    <x v="3"/>
    <s v="Rural"/>
    <s v="Masculino"/>
    <x v="0"/>
    <x v="0"/>
  </r>
  <r>
    <n v="37"/>
    <s v="48. Piura"/>
    <s v="Primaria"/>
    <x v="0"/>
    <x v="3"/>
    <s v="Rural"/>
    <s v="Masculino"/>
    <x v="0"/>
    <x v="0"/>
  </r>
  <r>
    <n v="38"/>
    <s v="48. Piura"/>
    <s v="Primaria"/>
    <x v="0"/>
    <x v="4"/>
    <s v="Rural"/>
    <s v="Masculino"/>
    <x v="0"/>
    <x v="0"/>
  </r>
  <r>
    <n v="39"/>
    <s v="48. Piura"/>
    <s v="Primaria"/>
    <x v="0"/>
    <x v="4"/>
    <s v="Rural"/>
    <s v="Masculino"/>
    <x v="0"/>
    <x v="0"/>
  </r>
  <r>
    <n v="40"/>
    <s v="48. Piura"/>
    <s v="Primaria"/>
    <x v="0"/>
    <x v="4"/>
    <s v="Rural"/>
    <s v="Masculino"/>
    <x v="0"/>
    <x v="0"/>
  </r>
  <r>
    <n v="41"/>
    <s v="48. Piura"/>
    <s v="Primaria"/>
    <x v="0"/>
    <x v="4"/>
    <s v="Rural"/>
    <s v="Masculino"/>
    <x v="0"/>
    <x v="0"/>
  </r>
  <r>
    <n v="42"/>
    <s v="48. Piura"/>
    <s v="Primaria"/>
    <x v="0"/>
    <x v="4"/>
    <s v="Rural"/>
    <s v="Femenino"/>
    <x v="0"/>
    <x v="0"/>
  </r>
  <r>
    <n v="43"/>
    <s v="48. Piura"/>
    <s v="Primaria"/>
    <x v="0"/>
    <x v="4"/>
    <s v="Rural"/>
    <s v="Femenino"/>
    <x v="0"/>
    <x v="0"/>
  </r>
  <r>
    <n v="44"/>
    <s v="48. Piura"/>
    <s v="Primaria"/>
    <x v="0"/>
    <x v="4"/>
    <s v="Rural"/>
    <s v="Femenino"/>
    <x v="0"/>
    <x v="0"/>
  </r>
  <r>
    <n v="45"/>
    <s v="48. Piura"/>
    <s v="Primaria"/>
    <x v="0"/>
    <x v="5"/>
    <s v="Rural"/>
    <s v="Femenino"/>
    <x v="1"/>
    <x v="0"/>
  </r>
  <r>
    <n v="46"/>
    <s v="48. Piura"/>
    <s v="Primaria"/>
    <x v="0"/>
    <x v="5"/>
    <s v="Rural"/>
    <s v="Femenino"/>
    <x v="0"/>
    <x v="0"/>
  </r>
  <r>
    <n v="47"/>
    <s v="48. Piura"/>
    <s v="Primaria"/>
    <x v="0"/>
    <x v="5"/>
    <s v="Rural"/>
    <s v="Femenino"/>
    <x v="0"/>
    <x v="0"/>
  </r>
  <r>
    <n v="48"/>
    <s v="48. Piura"/>
    <s v="Primaria"/>
    <x v="0"/>
    <x v="5"/>
    <s v="Rural"/>
    <s v="Femenino"/>
    <x v="1"/>
    <x v="0"/>
  </r>
  <r>
    <n v="49"/>
    <s v="48. Piura"/>
    <s v="Primaria"/>
    <x v="0"/>
    <x v="5"/>
    <s v="Rural"/>
    <s v="Masculino"/>
    <x v="0"/>
    <x v="0"/>
  </r>
  <r>
    <n v="50"/>
    <s v="48. Piura"/>
    <s v="Primaria"/>
    <x v="0"/>
    <x v="5"/>
    <s v="Rural"/>
    <s v="Masculino"/>
    <x v="0"/>
    <x v="0"/>
  </r>
  <r>
    <n v="51"/>
    <s v="48. Piura"/>
    <s v="Primaria"/>
    <x v="0"/>
    <x v="5"/>
    <s v="Rural"/>
    <s v="Masculino"/>
    <x v="0"/>
    <x v="0"/>
  </r>
  <r>
    <n v="52"/>
    <s v="48. Piura"/>
    <s v="Primaria"/>
    <x v="0"/>
    <x v="5"/>
    <s v="Rural"/>
    <s v="Masculino"/>
    <x v="0"/>
    <x v="0"/>
  </r>
  <r>
    <n v="53"/>
    <s v="48. Piura"/>
    <s v="Primaria"/>
    <x v="0"/>
    <x v="5"/>
    <s v="Rural"/>
    <s v="Masculino"/>
    <x v="0"/>
    <x v="0"/>
  </r>
  <r>
    <n v="54"/>
    <s v="48. Piura"/>
    <s v="Primaria"/>
    <x v="0"/>
    <x v="5"/>
    <s v="Rural"/>
    <s v="Masculino"/>
    <x v="0"/>
    <x v="0"/>
  </r>
  <r>
    <n v="55"/>
    <s v="48. Piura"/>
    <s v="Primaria"/>
    <x v="0"/>
    <x v="5"/>
    <s v="Rural"/>
    <s v="Masculino"/>
    <x v="0"/>
    <x v="0"/>
  </r>
  <r>
    <n v="56"/>
    <s v="48. Piura"/>
    <s v="Primaria"/>
    <x v="0"/>
    <x v="5"/>
    <s v="Rural"/>
    <s v="Masculino"/>
    <x v="1"/>
    <x v="0"/>
  </r>
  <r>
    <n v="57"/>
    <s v="48. Piura"/>
    <s v="Primaria"/>
    <x v="0"/>
    <x v="5"/>
    <s v="Rural"/>
    <s v="Masculino"/>
    <x v="1"/>
    <x v="0"/>
  </r>
  <r>
    <n v="58"/>
    <s v="48. Piura"/>
    <s v="Primaria"/>
    <x v="0"/>
    <x v="5"/>
    <s v="Rural"/>
    <s v="Masculino"/>
    <x v="1"/>
    <x v="0"/>
  </r>
  <r>
    <n v="59"/>
    <s v="48. Piura"/>
    <s v="Primaria"/>
    <x v="0"/>
    <x v="5"/>
    <s v="Rural"/>
    <s v="Masculino"/>
    <x v="2"/>
    <x v="0"/>
  </r>
  <r>
    <n v="60"/>
    <s v="48. Piura"/>
    <s v="Primaria"/>
    <x v="0"/>
    <x v="5"/>
    <s v="Rural"/>
    <s v="Femenino"/>
    <x v="2"/>
    <x v="0"/>
  </r>
  <r>
    <n v="61"/>
    <s v="48. Piura"/>
    <s v="Primaria"/>
    <x v="0"/>
    <x v="5"/>
    <s v="Rural"/>
    <s v="Femenino"/>
    <x v="1"/>
    <x v="0"/>
  </r>
  <r>
    <n v="62"/>
    <s v="48. Piura"/>
    <s v="Primaria"/>
    <x v="0"/>
    <x v="5"/>
    <s v="Rural"/>
    <s v="Femenino"/>
    <x v="1"/>
    <x v="0"/>
  </r>
  <r>
    <n v="63"/>
    <s v="48. Piura"/>
    <s v="Primaria"/>
    <x v="0"/>
    <x v="5"/>
    <s v="Rural"/>
    <s v="Femenino"/>
    <x v="1"/>
    <x v="0"/>
  </r>
  <r>
    <n v="64"/>
    <s v="48. Piura"/>
    <s v="Primaria"/>
    <x v="0"/>
    <x v="5"/>
    <s v="Rural"/>
    <s v="Femenino"/>
    <x v="1"/>
    <x v="0"/>
  </r>
  <r>
    <n v="65"/>
    <s v="48. Piura"/>
    <s v="Primaria"/>
    <x v="0"/>
    <x v="6"/>
    <s v="Rural"/>
    <s v="Femenino"/>
    <x v="0"/>
    <x v="0"/>
  </r>
  <r>
    <n v="66"/>
    <s v="48. Piura"/>
    <s v="Primaria"/>
    <x v="0"/>
    <x v="7"/>
    <s v="Rural"/>
    <s v="Masculino"/>
    <x v="0"/>
    <x v="0"/>
  </r>
  <r>
    <n v="67"/>
    <s v="48. Piura"/>
    <s v="Primaria"/>
    <x v="0"/>
    <x v="8"/>
    <s v="Rural"/>
    <s v="Masculino"/>
    <x v="0"/>
    <x v="0"/>
  </r>
  <r>
    <n v="68"/>
    <s v="48. Piura"/>
    <s v="Primaria"/>
    <x v="0"/>
    <x v="9"/>
    <s v="Rural"/>
    <s v="Masculino"/>
    <x v="0"/>
    <x v="0"/>
  </r>
  <r>
    <n v="69"/>
    <s v="48. Piura"/>
    <s v="Primaria"/>
    <x v="0"/>
    <x v="10"/>
    <s v="Rural"/>
    <s v="Masculino"/>
    <x v="0"/>
    <x v="0"/>
  </r>
  <r>
    <n v="70"/>
    <s v="48. Piura"/>
    <s v="Primaria"/>
    <x v="0"/>
    <x v="10"/>
    <s v="Rural"/>
    <s v="Femenino"/>
    <x v="0"/>
    <x v="0"/>
  </r>
  <r>
    <n v="71"/>
    <s v="48. Piura"/>
    <s v="Primaria"/>
    <x v="0"/>
    <x v="11"/>
    <s v="Rural"/>
    <s v="Masculino"/>
    <x v="1"/>
    <x v="0"/>
  </r>
  <r>
    <n v="72"/>
    <s v="48. Piura"/>
    <s v="Primaria"/>
    <x v="0"/>
    <x v="11"/>
    <s v="Rural"/>
    <s v="Masculino"/>
    <x v="0"/>
    <x v="0"/>
  </r>
  <r>
    <n v="73"/>
    <s v="48. Piura"/>
    <s v="Primaria"/>
    <x v="0"/>
    <x v="11"/>
    <s v="Rural"/>
    <s v="Masculino"/>
    <x v="0"/>
    <x v="0"/>
  </r>
  <r>
    <n v="74"/>
    <s v="48. Piura"/>
    <s v="Primaria"/>
    <x v="0"/>
    <x v="11"/>
    <s v="Rural"/>
    <s v="Masculino"/>
    <x v="0"/>
    <x v="0"/>
  </r>
  <r>
    <n v="75"/>
    <s v="48. Piura"/>
    <s v="Primaria"/>
    <x v="0"/>
    <x v="11"/>
    <s v="Rural"/>
    <s v="Masculino"/>
    <x v="0"/>
    <x v="0"/>
  </r>
  <r>
    <n v="76"/>
    <s v="48. Piura"/>
    <s v="Primaria"/>
    <x v="0"/>
    <x v="11"/>
    <s v="Rural"/>
    <s v="Masculino"/>
    <x v="0"/>
    <x v="0"/>
  </r>
  <r>
    <n v="77"/>
    <s v="48. Piura"/>
    <s v="Primaria"/>
    <x v="0"/>
    <x v="11"/>
    <s v="Rural"/>
    <s v="Femenino"/>
    <x v="0"/>
    <x v="0"/>
  </r>
  <r>
    <n v="78"/>
    <s v="48. Piura"/>
    <s v="Primaria"/>
    <x v="0"/>
    <x v="11"/>
    <s v="Rural"/>
    <s v="Femenino"/>
    <x v="0"/>
    <x v="0"/>
  </r>
  <r>
    <n v="79"/>
    <s v="48. Piura"/>
    <s v="Primaria"/>
    <x v="0"/>
    <x v="11"/>
    <s v="Rural"/>
    <s v="Femenino"/>
    <x v="1"/>
    <x v="0"/>
  </r>
  <r>
    <n v="80"/>
    <s v="48. Piura"/>
    <s v="Primaria"/>
    <x v="0"/>
    <x v="11"/>
    <s v="Rural"/>
    <s v="Femenino"/>
    <x v="0"/>
    <x v="0"/>
  </r>
  <r>
    <n v="1"/>
    <s v="48. Piura"/>
    <s v="Primaria"/>
    <x v="1"/>
    <x v="0"/>
    <s v="Rural"/>
    <s v="Femenino"/>
    <x v="0"/>
    <x v="0"/>
  </r>
  <r>
    <n v="2"/>
    <s v="48. Piura"/>
    <s v="Primaria"/>
    <x v="1"/>
    <x v="0"/>
    <s v="Rural"/>
    <s v="Femenino"/>
    <x v="0"/>
    <x v="0"/>
  </r>
  <r>
    <n v="3"/>
    <s v="48. Piura"/>
    <s v="Primaria"/>
    <x v="1"/>
    <x v="0"/>
    <s v="Rural"/>
    <s v="Femenino"/>
    <x v="1"/>
    <x v="0"/>
  </r>
  <r>
    <n v="4"/>
    <s v="48. Piura"/>
    <s v="Primaria"/>
    <x v="1"/>
    <x v="0"/>
    <s v="Rural"/>
    <s v="Femenino"/>
    <x v="2"/>
    <x v="0"/>
  </r>
  <r>
    <n v="5"/>
    <s v="48. Piura"/>
    <s v="Primaria"/>
    <x v="1"/>
    <x v="0"/>
    <s v="Rural"/>
    <s v="Femenino"/>
    <x v="2"/>
    <x v="0"/>
  </r>
  <r>
    <n v="6"/>
    <s v="48. Piura"/>
    <s v="Primaria"/>
    <x v="1"/>
    <x v="0"/>
    <s v="Rural"/>
    <s v="Femenino"/>
    <x v="0"/>
    <x v="0"/>
  </r>
  <r>
    <n v="7"/>
    <s v="48. Piura"/>
    <s v="Primaria"/>
    <x v="1"/>
    <x v="0"/>
    <s v="Rural"/>
    <s v="Femenino"/>
    <x v="1"/>
    <x v="0"/>
  </r>
  <r>
    <n v="8"/>
    <s v="48. Piura"/>
    <s v="Primaria"/>
    <x v="1"/>
    <x v="0"/>
    <s v="Rural"/>
    <s v="Femenino"/>
    <x v="0"/>
    <x v="0"/>
  </r>
  <r>
    <n v="9"/>
    <s v="48. Piura"/>
    <s v="Primaria"/>
    <x v="1"/>
    <x v="0"/>
    <s v="Rural"/>
    <s v="Masculino"/>
    <x v="0"/>
    <x v="0"/>
  </r>
  <r>
    <n v="10"/>
    <s v="48. Piura"/>
    <s v="Primaria"/>
    <x v="1"/>
    <x v="0"/>
    <s v="Rural"/>
    <s v="Masculino"/>
    <x v="0"/>
    <x v="0"/>
  </r>
  <r>
    <n v="11"/>
    <s v="48. Piura"/>
    <s v="Primaria"/>
    <x v="1"/>
    <x v="0"/>
    <s v="Rural"/>
    <s v="Masculino"/>
    <x v="0"/>
    <x v="0"/>
  </r>
  <r>
    <n v="12"/>
    <s v="48. Piura"/>
    <s v="Primaria"/>
    <x v="1"/>
    <x v="0"/>
    <s v="Rural"/>
    <s v="Masculino"/>
    <x v="0"/>
    <x v="0"/>
  </r>
  <r>
    <n v="13"/>
    <s v="48. Piura"/>
    <s v="Primaria"/>
    <x v="1"/>
    <x v="0"/>
    <s v="Rural"/>
    <s v="Masculino"/>
    <x v="0"/>
    <x v="0"/>
  </r>
  <r>
    <n v="14"/>
    <s v="48. Piura"/>
    <s v="Primaria"/>
    <x v="1"/>
    <x v="0"/>
    <s v="Rural"/>
    <s v="Masculino"/>
    <x v="1"/>
    <x v="0"/>
  </r>
  <r>
    <n v="15"/>
    <s v="48. Piura"/>
    <s v="Primaria"/>
    <x v="1"/>
    <x v="0"/>
    <s v="Rural"/>
    <s v="Femenino"/>
    <x v="0"/>
    <x v="0"/>
  </r>
  <r>
    <n v="16"/>
    <s v="48. Piura"/>
    <s v="Primaria"/>
    <x v="1"/>
    <x v="0"/>
    <s v="Rural"/>
    <s v="Femenino"/>
    <x v="0"/>
    <x v="0"/>
  </r>
  <r>
    <n v="17"/>
    <s v="48. Piura"/>
    <s v="Primaria"/>
    <x v="1"/>
    <x v="0"/>
    <s v="Rural"/>
    <s v="Femenino"/>
    <x v="0"/>
    <x v="0"/>
  </r>
  <r>
    <n v="18"/>
    <s v="48. Piura"/>
    <s v="Primaria"/>
    <x v="1"/>
    <x v="0"/>
    <s v="Rural"/>
    <s v="Femenino"/>
    <x v="0"/>
    <x v="0"/>
  </r>
  <r>
    <n v="19"/>
    <s v="48. Piura"/>
    <s v="Primaria"/>
    <x v="1"/>
    <x v="0"/>
    <s v="Rural"/>
    <s v="Femenino"/>
    <x v="0"/>
    <x v="0"/>
  </r>
  <r>
    <n v="20"/>
    <s v="48. Piura"/>
    <s v="Primaria"/>
    <x v="1"/>
    <x v="0"/>
    <s v="Rural"/>
    <s v="Masculino"/>
    <x v="0"/>
    <x v="0"/>
  </r>
  <r>
    <n v="21"/>
    <s v="48. Piura"/>
    <s v="Primaria"/>
    <x v="1"/>
    <x v="0"/>
    <s v="Rural"/>
    <s v="Masculino"/>
    <x v="0"/>
    <x v="0"/>
  </r>
  <r>
    <n v="22"/>
    <s v="48. Piura"/>
    <s v="Primaria"/>
    <x v="1"/>
    <x v="0"/>
    <s v="Rural"/>
    <s v="Masculino"/>
    <x v="0"/>
    <x v="0"/>
  </r>
  <r>
    <n v="23"/>
    <s v="48. Piura"/>
    <s v="Primaria"/>
    <x v="1"/>
    <x v="0"/>
    <s v="Rural"/>
    <s v="Masculino"/>
    <x v="0"/>
    <x v="0"/>
  </r>
  <r>
    <n v="24"/>
    <s v="48. Piura"/>
    <s v="Primaria"/>
    <x v="1"/>
    <x v="0"/>
    <s v="Rural"/>
    <s v="Masculino"/>
    <x v="0"/>
    <x v="0"/>
  </r>
  <r>
    <n v="25"/>
    <s v="48. Piura"/>
    <s v="Primaria"/>
    <x v="1"/>
    <x v="1"/>
    <s v="Rural"/>
    <s v="Masculino"/>
    <x v="0"/>
    <x v="0"/>
  </r>
  <r>
    <n v="26"/>
    <s v="48. Piura"/>
    <s v="Primaria"/>
    <x v="1"/>
    <x v="1"/>
    <s v="Rural"/>
    <s v="Masculino"/>
    <x v="0"/>
    <x v="0"/>
  </r>
  <r>
    <n v="27"/>
    <s v="48. Piura"/>
    <s v="Primaria"/>
    <x v="1"/>
    <x v="1"/>
    <s v="Rural"/>
    <s v="Masculino"/>
    <x v="0"/>
    <x v="0"/>
  </r>
  <r>
    <n v="28"/>
    <s v="48. Piura"/>
    <s v="Primaria"/>
    <x v="1"/>
    <x v="1"/>
    <s v="Rural"/>
    <s v="Femenino"/>
    <x v="0"/>
    <x v="0"/>
  </r>
  <r>
    <n v="29"/>
    <s v="48. Piura"/>
    <s v="Primaria"/>
    <x v="1"/>
    <x v="2"/>
    <s v="Rural"/>
    <s v="Masculino"/>
    <x v="0"/>
    <x v="0"/>
  </r>
  <r>
    <n v="30"/>
    <s v="48. Piura"/>
    <s v="Primaria"/>
    <x v="1"/>
    <x v="2"/>
    <s v="Rural"/>
    <s v="Masculino"/>
    <x v="0"/>
    <x v="0"/>
  </r>
  <r>
    <n v="31"/>
    <s v="48. Piura"/>
    <s v="Primaria"/>
    <x v="1"/>
    <x v="2"/>
    <s v="Rural"/>
    <s v="Femenino"/>
    <x v="0"/>
    <x v="0"/>
  </r>
  <r>
    <n v="32"/>
    <s v="48. Piura"/>
    <s v="Primaria"/>
    <x v="1"/>
    <x v="2"/>
    <s v="Rural"/>
    <s v="Femenino"/>
    <x v="0"/>
    <x v="0"/>
  </r>
  <r>
    <n v="33"/>
    <s v="48. Piura"/>
    <s v="Primaria"/>
    <x v="1"/>
    <x v="2"/>
    <s v="Rural"/>
    <s v="Femenino"/>
    <x v="0"/>
    <x v="0"/>
  </r>
  <r>
    <n v="34"/>
    <s v="48. Piura"/>
    <s v="Primaria"/>
    <x v="1"/>
    <x v="3"/>
    <s v="Rural"/>
    <s v="Masculino"/>
    <x v="1"/>
    <x v="0"/>
  </r>
  <r>
    <n v="35"/>
    <s v="48. Piura"/>
    <s v="Primaria"/>
    <x v="1"/>
    <x v="3"/>
    <s v="Rural"/>
    <s v="Femenino"/>
    <x v="0"/>
    <x v="0"/>
  </r>
  <r>
    <n v="36"/>
    <s v="48. Piura"/>
    <s v="Primaria"/>
    <x v="1"/>
    <x v="3"/>
    <s v="Rural"/>
    <s v="Femenino"/>
    <x v="0"/>
    <x v="0"/>
  </r>
  <r>
    <n v="37"/>
    <s v="48. Piura"/>
    <s v="Primaria"/>
    <x v="1"/>
    <x v="4"/>
    <s v="Rural"/>
    <s v="Masculino"/>
    <x v="0"/>
    <x v="0"/>
  </r>
  <r>
    <n v="38"/>
    <s v="48. Piura"/>
    <s v="Primaria"/>
    <x v="1"/>
    <x v="4"/>
    <s v="Rural"/>
    <s v="Masculino"/>
    <x v="0"/>
    <x v="0"/>
  </r>
  <r>
    <n v="39"/>
    <s v="48. Piura"/>
    <s v="Primaria"/>
    <x v="1"/>
    <x v="4"/>
    <s v="Rural"/>
    <s v="Masculino"/>
    <x v="0"/>
    <x v="0"/>
  </r>
  <r>
    <n v="40"/>
    <s v="48. Piura"/>
    <s v="Primaria"/>
    <x v="1"/>
    <x v="4"/>
    <s v="Rural"/>
    <s v="Masculino"/>
    <x v="0"/>
    <x v="0"/>
  </r>
  <r>
    <n v="41"/>
    <s v="48. Piura"/>
    <s v="Primaria"/>
    <x v="1"/>
    <x v="4"/>
    <s v="Rural"/>
    <s v="Femenino"/>
    <x v="0"/>
    <x v="0"/>
  </r>
  <r>
    <n v="42"/>
    <s v="48. Piura"/>
    <s v="Primaria"/>
    <x v="1"/>
    <x v="4"/>
    <s v="Rural"/>
    <s v="Femenino"/>
    <x v="0"/>
    <x v="0"/>
  </r>
  <r>
    <n v="43"/>
    <s v="48. Piura"/>
    <s v="Primaria"/>
    <x v="1"/>
    <x v="4"/>
    <s v="Rural"/>
    <s v="Femenino"/>
    <x v="0"/>
    <x v="0"/>
  </r>
  <r>
    <n v="44"/>
    <s v="48. Piura"/>
    <s v="Primaria"/>
    <x v="1"/>
    <x v="4"/>
    <s v="Rural"/>
    <s v="Femenino"/>
    <x v="0"/>
    <x v="0"/>
  </r>
  <r>
    <n v="45"/>
    <s v="48. Piura"/>
    <s v="Primaria"/>
    <x v="1"/>
    <x v="4"/>
    <s v="Rural"/>
    <s v="Femenino"/>
    <x v="0"/>
    <x v="0"/>
  </r>
  <r>
    <n v="46"/>
    <s v="48. Piura"/>
    <s v="Primaria"/>
    <x v="1"/>
    <x v="12"/>
    <s v="Rural"/>
    <s v="Femenino"/>
    <x v="1"/>
    <x v="0"/>
  </r>
  <r>
    <n v="47"/>
    <s v="48. Piura"/>
    <s v="Primaria"/>
    <x v="1"/>
    <x v="12"/>
    <s v="Rural"/>
    <s v="Masculino"/>
    <x v="1"/>
    <x v="0"/>
  </r>
  <r>
    <n v="48"/>
    <s v="48. Piura"/>
    <s v="Primaria"/>
    <x v="1"/>
    <x v="5"/>
    <s v="Rural"/>
    <s v="Femenino"/>
    <x v="0"/>
    <x v="0"/>
  </r>
  <r>
    <n v="49"/>
    <s v="48. Piura"/>
    <s v="Primaria"/>
    <x v="1"/>
    <x v="5"/>
    <s v="Rural"/>
    <s v="Femenino"/>
    <x v="0"/>
    <x v="0"/>
  </r>
  <r>
    <n v="50"/>
    <s v="48. Piura"/>
    <s v="Primaria"/>
    <x v="1"/>
    <x v="5"/>
    <s v="Rural"/>
    <s v="Femenino"/>
    <x v="0"/>
    <x v="0"/>
  </r>
  <r>
    <n v="51"/>
    <s v="48. Piura"/>
    <s v="Primaria"/>
    <x v="1"/>
    <x v="5"/>
    <s v="Rural"/>
    <s v="Femenino"/>
    <x v="1"/>
    <x v="0"/>
  </r>
  <r>
    <n v="52"/>
    <s v="48. Piura"/>
    <s v="Primaria"/>
    <x v="1"/>
    <x v="5"/>
    <s v="Rural"/>
    <s v="Masculino"/>
    <x v="0"/>
    <x v="0"/>
  </r>
  <r>
    <n v="53"/>
    <s v="48. Piura"/>
    <s v="Primaria"/>
    <x v="1"/>
    <x v="5"/>
    <s v="Rural"/>
    <s v="Masculino"/>
    <x v="0"/>
    <x v="0"/>
  </r>
  <r>
    <n v="54"/>
    <s v="48. Piura"/>
    <s v="Primaria"/>
    <x v="1"/>
    <x v="5"/>
    <s v="Rural"/>
    <s v="Masculino"/>
    <x v="0"/>
    <x v="0"/>
  </r>
  <r>
    <n v="55"/>
    <s v="48. Piura"/>
    <s v="Primaria"/>
    <x v="1"/>
    <x v="5"/>
    <s v="Rural"/>
    <s v="Masculino"/>
    <x v="1"/>
    <x v="0"/>
  </r>
  <r>
    <n v="56"/>
    <s v="48. Piura"/>
    <s v="Primaria"/>
    <x v="1"/>
    <x v="5"/>
    <s v="Rural"/>
    <s v="Masculino"/>
    <x v="0"/>
    <x v="0"/>
  </r>
  <r>
    <n v="57"/>
    <s v="48. Piura"/>
    <s v="Primaria"/>
    <x v="1"/>
    <x v="5"/>
    <s v="Rural"/>
    <s v="Masculino"/>
    <x v="0"/>
    <x v="0"/>
  </r>
  <r>
    <n v="58"/>
    <s v="48. Piura"/>
    <s v="Primaria"/>
    <x v="1"/>
    <x v="5"/>
    <s v="Rural"/>
    <s v="Masculino"/>
    <x v="2"/>
    <x v="0"/>
  </r>
  <r>
    <n v="59"/>
    <s v="48. Piura"/>
    <s v="Primaria"/>
    <x v="1"/>
    <x v="5"/>
    <s v="Rural"/>
    <s v="Masculino"/>
    <x v="0"/>
    <x v="0"/>
  </r>
  <r>
    <n v="60"/>
    <s v="48. Piura"/>
    <s v="Primaria"/>
    <x v="1"/>
    <x v="5"/>
    <s v="Rural"/>
    <s v="Femenino"/>
    <x v="0"/>
    <x v="0"/>
  </r>
  <r>
    <n v="61"/>
    <s v="48. Piura"/>
    <s v="Primaria"/>
    <x v="1"/>
    <x v="5"/>
    <s v="Rural"/>
    <s v="Femenino"/>
    <x v="0"/>
    <x v="0"/>
  </r>
  <r>
    <n v="62"/>
    <s v="48. Piura"/>
    <s v="Primaria"/>
    <x v="1"/>
    <x v="5"/>
    <s v="Rural"/>
    <s v="Femenino"/>
    <x v="0"/>
    <x v="0"/>
  </r>
  <r>
    <n v="63"/>
    <s v="48. Piura"/>
    <s v="Primaria"/>
    <x v="1"/>
    <x v="5"/>
    <s v="Rural"/>
    <s v="Femenino"/>
    <x v="0"/>
    <x v="0"/>
  </r>
  <r>
    <n v="64"/>
    <s v="48. Piura"/>
    <s v="Primaria"/>
    <x v="1"/>
    <x v="5"/>
    <s v="Rural"/>
    <s v="Femenino"/>
    <x v="2"/>
    <x v="0"/>
  </r>
  <r>
    <n v="65"/>
    <s v="48. Piura"/>
    <s v="Primaria"/>
    <x v="1"/>
    <x v="5"/>
    <s v="Rural"/>
    <s v="Femenino"/>
    <x v="0"/>
    <x v="0"/>
  </r>
  <r>
    <n v="66"/>
    <s v="48. Piura"/>
    <s v="Primaria"/>
    <x v="1"/>
    <x v="5"/>
    <s v="Rural"/>
    <s v="Femenino"/>
    <x v="0"/>
    <x v="0"/>
  </r>
  <r>
    <n v="67"/>
    <s v="48. Piura"/>
    <s v="Primaria"/>
    <x v="1"/>
    <x v="5"/>
    <s v="Rural"/>
    <s v="Masculino"/>
    <x v="1"/>
    <x v="0"/>
  </r>
  <r>
    <n v="68"/>
    <s v="48. Piura"/>
    <s v="Primaria"/>
    <x v="1"/>
    <x v="5"/>
    <s v="Rural"/>
    <s v="Masculino"/>
    <x v="0"/>
    <x v="0"/>
  </r>
  <r>
    <n v="69"/>
    <s v="48. Piura"/>
    <s v="Primaria"/>
    <x v="1"/>
    <x v="5"/>
    <s v="Rural"/>
    <s v="Masculino"/>
    <x v="0"/>
    <x v="0"/>
  </r>
  <r>
    <n v="70"/>
    <s v="48. Piura"/>
    <s v="Primaria"/>
    <x v="1"/>
    <x v="5"/>
    <s v="Rural"/>
    <s v="Masculino"/>
    <x v="0"/>
    <x v="0"/>
  </r>
  <r>
    <n v="71"/>
    <s v="48. Piura"/>
    <s v="Primaria"/>
    <x v="1"/>
    <x v="5"/>
    <s v="Rural"/>
    <s v="Masculino"/>
    <x v="0"/>
    <x v="0"/>
  </r>
  <r>
    <n v="72"/>
    <s v="48. Piura"/>
    <s v="Primaria"/>
    <x v="1"/>
    <x v="13"/>
    <s v="Rural"/>
    <s v="Femenino"/>
    <x v="1"/>
    <x v="0"/>
  </r>
  <r>
    <n v="73"/>
    <s v="48. Piura"/>
    <s v="Primaria"/>
    <x v="1"/>
    <x v="8"/>
    <s v="Rural"/>
    <s v="Masculino"/>
    <x v="0"/>
    <x v="0"/>
  </r>
  <r>
    <n v="74"/>
    <s v="48. Piura"/>
    <s v="Primaria"/>
    <x v="1"/>
    <x v="9"/>
    <s v="Rural"/>
    <s v="Femenino"/>
    <x v="1"/>
    <x v="0"/>
  </r>
  <r>
    <n v="75"/>
    <s v="48. Piura"/>
    <s v="Primaria"/>
    <x v="1"/>
    <x v="9"/>
    <s v="Rural"/>
    <s v="Femenino"/>
    <x v="1"/>
    <x v="0"/>
  </r>
  <r>
    <n v="76"/>
    <s v="48. Piura"/>
    <s v="Primaria"/>
    <x v="1"/>
    <x v="14"/>
    <s v="Rural"/>
    <s v="Masculino"/>
    <x v="2"/>
    <x v="0"/>
  </r>
  <r>
    <n v="77"/>
    <s v="48. Piura"/>
    <s v="Primaria"/>
    <x v="1"/>
    <x v="10"/>
    <s v="Rural"/>
    <s v="Masculino"/>
    <x v="1"/>
    <x v="0"/>
  </r>
  <r>
    <n v="78"/>
    <s v="48. Piura"/>
    <s v="Primaria"/>
    <x v="1"/>
    <x v="11"/>
    <s v="Rural"/>
    <s v="Masculino"/>
    <x v="1"/>
    <x v="0"/>
  </r>
  <r>
    <n v="79"/>
    <s v="48. Piura"/>
    <s v="Primaria"/>
    <x v="1"/>
    <x v="11"/>
    <s v="Rural"/>
    <s v="Masculino"/>
    <x v="0"/>
    <x v="0"/>
  </r>
  <r>
    <n v="80"/>
    <s v="48. Piura"/>
    <s v="Primaria"/>
    <x v="1"/>
    <x v="11"/>
    <s v="Rural"/>
    <s v="Masculino"/>
    <x v="0"/>
    <x v="0"/>
  </r>
  <r>
    <n v="81"/>
    <s v="48. Piura"/>
    <s v="Primaria"/>
    <x v="1"/>
    <x v="11"/>
    <s v="Rural"/>
    <s v="Masculino"/>
    <x v="1"/>
    <x v="0"/>
  </r>
  <r>
    <n v="82"/>
    <s v="48. Piura"/>
    <s v="Primaria"/>
    <x v="1"/>
    <x v="11"/>
    <s v="Rural"/>
    <s v="Masculino"/>
    <x v="0"/>
    <x v="0"/>
  </r>
  <r>
    <n v="83"/>
    <s v="48. Piura"/>
    <s v="Primaria"/>
    <x v="1"/>
    <x v="11"/>
    <s v="Rural"/>
    <s v="Femenino"/>
    <x v="0"/>
    <x v="0"/>
  </r>
  <r>
    <n v="84"/>
    <s v="48. Piura"/>
    <s v="Primaria"/>
    <x v="1"/>
    <x v="11"/>
    <s v="Rural"/>
    <s v="Femenino"/>
    <x v="0"/>
    <x v="0"/>
  </r>
  <r>
    <n v="85"/>
    <s v="48. Piura"/>
    <s v="Primaria"/>
    <x v="1"/>
    <x v="11"/>
    <s v="Rural"/>
    <s v="Femenino"/>
    <x v="0"/>
    <x v="0"/>
  </r>
  <r>
    <n v="86"/>
    <s v="48. Piura"/>
    <s v="Primaria"/>
    <x v="1"/>
    <x v="11"/>
    <s v="Rural"/>
    <s v="Femenino"/>
    <x v="0"/>
    <x v="0"/>
  </r>
  <r>
    <n v="87"/>
    <s v="48. Piura"/>
    <s v="Primaria"/>
    <x v="1"/>
    <x v="11"/>
    <s v="Rural"/>
    <s v="Femenino"/>
    <x v="1"/>
    <x v="0"/>
  </r>
  <r>
    <n v="1"/>
    <s v="48. Piura"/>
    <s v="Secundaria"/>
    <x v="2"/>
    <x v="5"/>
    <s v="Rural"/>
    <s v="Masculino"/>
    <x v="0"/>
    <x v="0"/>
  </r>
  <r>
    <n v="2"/>
    <s v="48. Piura"/>
    <s v="Secundaria"/>
    <x v="2"/>
    <x v="5"/>
    <s v="Rural"/>
    <s v="Masculino"/>
    <x v="1"/>
    <x v="0"/>
  </r>
  <r>
    <n v="3"/>
    <s v="48. Piura"/>
    <s v="Secundaria"/>
    <x v="2"/>
    <x v="5"/>
    <s v="Rural"/>
    <s v="Masculino"/>
    <x v="0"/>
    <x v="0"/>
  </r>
  <r>
    <n v="4"/>
    <s v="48. Piura"/>
    <s v="Secundaria"/>
    <x v="2"/>
    <x v="5"/>
    <s v="Rural"/>
    <s v="Masculino"/>
    <x v="0"/>
    <x v="0"/>
  </r>
  <r>
    <n v="5"/>
    <s v="48. Piura"/>
    <s v="Secundaria"/>
    <x v="2"/>
    <x v="5"/>
    <s v="Rural"/>
    <s v="Masculino"/>
    <x v="0"/>
    <x v="0"/>
  </r>
  <r>
    <n v="6"/>
    <s v="48. Piura"/>
    <s v="Secundaria"/>
    <x v="2"/>
    <x v="5"/>
    <s v="Rural"/>
    <s v="Masculino"/>
    <x v="0"/>
    <x v="0"/>
  </r>
  <r>
    <n v="7"/>
    <s v="48. Piura"/>
    <s v="Secundaria"/>
    <x v="2"/>
    <x v="5"/>
    <s v="Rural"/>
    <s v="Masculino"/>
    <x v="0"/>
    <x v="0"/>
  </r>
  <r>
    <n v="8"/>
    <s v="48. Piura"/>
    <s v="Secundaria"/>
    <x v="2"/>
    <x v="5"/>
    <s v="Rural"/>
    <s v="Masculino"/>
    <x v="0"/>
    <x v="0"/>
  </r>
  <r>
    <n v="9"/>
    <s v="48. Piura"/>
    <s v="Secundaria"/>
    <x v="2"/>
    <x v="5"/>
    <s v="Rural"/>
    <s v="Masculino"/>
    <x v="0"/>
    <x v="0"/>
  </r>
  <r>
    <n v="10"/>
    <s v="48. Piura"/>
    <s v="Secundaria"/>
    <x v="2"/>
    <x v="5"/>
    <s v="Rural"/>
    <s v="Masculino"/>
    <x v="0"/>
    <x v="0"/>
  </r>
  <r>
    <n v="11"/>
    <s v="48. Piura"/>
    <s v="Secundaria"/>
    <x v="2"/>
    <x v="5"/>
    <s v="Rural"/>
    <s v="Masculino"/>
    <x v="0"/>
    <x v="0"/>
  </r>
  <r>
    <n v="12"/>
    <s v="48. Piura"/>
    <s v="Secundaria"/>
    <x v="2"/>
    <x v="5"/>
    <s v="Rural"/>
    <s v="Masculino"/>
    <x v="0"/>
    <x v="0"/>
  </r>
  <r>
    <n v="13"/>
    <s v="48. Piura"/>
    <s v="Secundaria"/>
    <x v="2"/>
    <x v="5"/>
    <s v="Rural"/>
    <s v="Masculino"/>
    <x v="0"/>
    <x v="0"/>
  </r>
  <r>
    <n v="14"/>
    <s v="48. Piura"/>
    <s v="Secundaria"/>
    <x v="2"/>
    <x v="5"/>
    <s v="Rural"/>
    <s v="Masculino"/>
    <x v="0"/>
    <x v="0"/>
  </r>
  <r>
    <n v="15"/>
    <s v="48. Piura"/>
    <s v="Secundaria"/>
    <x v="2"/>
    <x v="5"/>
    <s v="Rural"/>
    <s v="Masculino"/>
    <x v="1"/>
    <x v="0"/>
  </r>
  <r>
    <n v="16"/>
    <s v="48. Piura"/>
    <s v="Secundaria"/>
    <x v="2"/>
    <x v="5"/>
    <s v="Rural"/>
    <s v="Masculino"/>
    <x v="0"/>
    <x v="0"/>
  </r>
  <r>
    <n v="17"/>
    <s v="48. Piura"/>
    <s v="Secundaria"/>
    <x v="2"/>
    <x v="5"/>
    <s v="Rural"/>
    <s v="Masculino"/>
    <x v="0"/>
    <x v="0"/>
  </r>
  <r>
    <n v="18"/>
    <s v="48. Piura"/>
    <s v="Secundaria"/>
    <x v="2"/>
    <x v="5"/>
    <s v="Rural"/>
    <s v="Masculino"/>
    <x v="0"/>
    <x v="0"/>
  </r>
  <r>
    <n v="19"/>
    <s v="48. Piura"/>
    <s v="Secundaria"/>
    <x v="2"/>
    <x v="5"/>
    <s v="Rural"/>
    <s v="Masculino"/>
    <x v="0"/>
    <x v="0"/>
  </r>
  <r>
    <n v="20"/>
    <s v="48. Piura"/>
    <s v="Secundaria"/>
    <x v="2"/>
    <x v="5"/>
    <s v="Rural"/>
    <s v="Masculino"/>
    <x v="0"/>
    <x v="0"/>
  </r>
  <r>
    <n v="21"/>
    <s v="48. Piura"/>
    <s v="Secundaria"/>
    <x v="2"/>
    <x v="5"/>
    <s v="Rural"/>
    <s v="Femenino"/>
    <x v="0"/>
    <x v="0"/>
  </r>
  <r>
    <n v="22"/>
    <s v="48. Piura"/>
    <s v="Secundaria"/>
    <x v="2"/>
    <x v="5"/>
    <s v="Rural"/>
    <s v="Femenino"/>
    <x v="0"/>
    <x v="0"/>
  </r>
  <r>
    <n v="23"/>
    <s v="48. Piura"/>
    <s v="Secundaria"/>
    <x v="2"/>
    <x v="5"/>
    <s v="Rural"/>
    <s v="Femenino"/>
    <x v="0"/>
    <x v="0"/>
  </r>
  <r>
    <n v="24"/>
    <s v="48. Piura"/>
    <s v="Secundaria"/>
    <x v="2"/>
    <x v="5"/>
    <s v="Rural"/>
    <s v="Femenino"/>
    <x v="1"/>
    <x v="0"/>
  </r>
  <r>
    <n v="25"/>
    <s v="48. Piura"/>
    <s v="Secundaria"/>
    <x v="2"/>
    <x v="5"/>
    <s v="Rural"/>
    <s v="Femenino"/>
    <x v="0"/>
    <x v="0"/>
  </r>
  <r>
    <n v="26"/>
    <s v="48. Piura"/>
    <s v="Secundaria"/>
    <x v="2"/>
    <x v="5"/>
    <s v="Rural"/>
    <s v="Femenino"/>
    <x v="0"/>
    <x v="0"/>
  </r>
  <r>
    <n v="27"/>
    <s v="48. Piura"/>
    <s v="Secundaria"/>
    <x v="2"/>
    <x v="5"/>
    <s v="Rural"/>
    <s v="Femenino"/>
    <x v="1"/>
    <x v="0"/>
  </r>
  <r>
    <n v="28"/>
    <s v="48. Piura"/>
    <s v="Secundaria"/>
    <x v="2"/>
    <x v="5"/>
    <s v="Rural"/>
    <s v="Femenino"/>
    <x v="1"/>
    <x v="0"/>
  </r>
  <r>
    <n v="29"/>
    <s v="48. Piura"/>
    <s v="Secundaria"/>
    <x v="2"/>
    <x v="5"/>
    <s v="Rural"/>
    <s v="Femenino"/>
    <x v="0"/>
    <x v="0"/>
  </r>
  <r>
    <n v="30"/>
    <s v="48. Piura"/>
    <s v="Secundaria"/>
    <x v="2"/>
    <x v="5"/>
    <s v="Rural"/>
    <s v="Femenino"/>
    <x v="1"/>
    <x v="0"/>
  </r>
  <r>
    <n v="31"/>
    <s v="48. Piura"/>
    <s v="Secundaria"/>
    <x v="2"/>
    <x v="5"/>
    <s v="Rural"/>
    <s v="Femenino"/>
    <x v="1"/>
    <x v="0"/>
  </r>
  <r>
    <n v="32"/>
    <s v="48. Piura"/>
    <s v="Secundaria"/>
    <x v="2"/>
    <x v="5"/>
    <s v="Rural"/>
    <s v="Femenino"/>
    <x v="0"/>
    <x v="0"/>
  </r>
  <r>
    <n v="33"/>
    <s v="48. Piura"/>
    <s v="Secundaria"/>
    <x v="2"/>
    <x v="5"/>
    <s v="Rural"/>
    <s v="Femenino"/>
    <x v="0"/>
    <x v="0"/>
  </r>
  <r>
    <n v="34"/>
    <s v="48. Piura"/>
    <s v="Secundaria"/>
    <x v="2"/>
    <x v="5"/>
    <s v="Rural"/>
    <s v="Femenino"/>
    <x v="0"/>
    <x v="0"/>
  </r>
  <r>
    <n v="35"/>
    <s v="48. Piura"/>
    <s v="Secundaria"/>
    <x v="2"/>
    <x v="5"/>
    <s v="Rural"/>
    <s v="Femenino"/>
    <x v="0"/>
    <x v="0"/>
  </r>
  <r>
    <n v="36"/>
    <s v="48. Piura"/>
    <s v="Secundaria"/>
    <x v="2"/>
    <x v="5"/>
    <s v="Rural"/>
    <s v="Femenino"/>
    <x v="0"/>
    <x v="0"/>
  </r>
  <r>
    <n v="37"/>
    <s v="48. Piura"/>
    <s v="Secundaria"/>
    <x v="2"/>
    <x v="5"/>
    <s v="Rural"/>
    <s v="Femenino"/>
    <x v="0"/>
    <x v="0"/>
  </r>
  <r>
    <n v="1"/>
    <s v="48. Piura"/>
    <s v="Secundaria"/>
    <x v="3"/>
    <x v="5"/>
    <s v="Rural"/>
    <s v="Masculino"/>
    <x v="0"/>
    <x v="0"/>
  </r>
  <r>
    <n v="2"/>
    <s v="48. Piura"/>
    <s v="Secundaria"/>
    <x v="3"/>
    <x v="5"/>
    <s v="Rural"/>
    <s v="Masculino"/>
    <x v="0"/>
    <x v="0"/>
  </r>
  <r>
    <n v="3"/>
    <s v="48. Piura"/>
    <s v="Secundaria"/>
    <x v="3"/>
    <x v="5"/>
    <s v="Rural"/>
    <s v="Masculino"/>
    <x v="0"/>
    <x v="0"/>
  </r>
  <r>
    <n v="4"/>
    <s v="48. Piura"/>
    <s v="Secundaria"/>
    <x v="3"/>
    <x v="5"/>
    <s v="Rural"/>
    <s v="Masculino"/>
    <x v="0"/>
    <x v="0"/>
  </r>
  <r>
    <n v="5"/>
    <s v="48. Piura"/>
    <s v="Secundaria"/>
    <x v="3"/>
    <x v="5"/>
    <s v="Rural"/>
    <s v="Masculino"/>
    <x v="0"/>
    <x v="0"/>
  </r>
  <r>
    <n v="6"/>
    <s v="48. Piura"/>
    <s v="Secundaria"/>
    <x v="3"/>
    <x v="5"/>
    <s v="Rural"/>
    <s v="Masculino"/>
    <x v="0"/>
    <x v="0"/>
  </r>
  <r>
    <n v="7"/>
    <s v="48. Piura"/>
    <s v="Secundaria"/>
    <x v="3"/>
    <x v="5"/>
    <s v="Rural"/>
    <s v="Masculino"/>
    <x v="0"/>
    <x v="0"/>
  </r>
  <r>
    <n v="8"/>
    <s v="48. Piura"/>
    <s v="Secundaria"/>
    <x v="3"/>
    <x v="5"/>
    <s v="Rural"/>
    <s v="Masculino"/>
    <x v="0"/>
    <x v="0"/>
  </r>
  <r>
    <n v="9"/>
    <s v="48. Piura"/>
    <s v="Secundaria"/>
    <x v="3"/>
    <x v="5"/>
    <s v="Rural"/>
    <s v="Masculino"/>
    <x v="1"/>
    <x v="0"/>
  </r>
  <r>
    <n v="10"/>
    <s v="48. Piura"/>
    <s v="Secundaria"/>
    <x v="3"/>
    <x v="5"/>
    <s v="Rural"/>
    <s v="Masculino"/>
    <x v="1"/>
    <x v="0"/>
  </r>
  <r>
    <n v="11"/>
    <s v="48. Piura"/>
    <s v="Secundaria"/>
    <x v="3"/>
    <x v="5"/>
    <s v="Rural"/>
    <s v="Masculino"/>
    <x v="1"/>
    <x v="0"/>
  </r>
  <r>
    <n v="12"/>
    <s v="48. Piura"/>
    <s v="Secundaria"/>
    <x v="3"/>
    <x v="5"/>
    <s v="Rural"/>
    <s v="Masculino"/>
    <x v="0"/>
    <x v="0"/>
  </r>
  <r>
    <n v="13"/>
    <s v="48. Piura"/>
    <s v="Secundaria"/>
    <x v="3"/>
    <x v="5"/>
    <s v="Rural"/>
    <s v="Masculino"/>
    <x v="0"/>
    <x v="0"/>
  </r>
  <r>
    <n v="14"/>
    <s v="48. Piura"/>
    <s v="Secundaria"/>
    <x v="3"/>
    <x v="5"/>
    <s v="Rural"/>
    <s v="Masculino"/>
    <x v="0"/>
    <x v="0"/>
  </r>
  <r>
    <n v="15"/>
    <s v="48. Piura"/>
    <s v="Secundaria"/>
    <x v="3"/>
    <x v="5"/>
    <s v="Rural"/>
    <s v="Masculino"/>
    <x v="0"/>
    <x v="0"/>
  </r>
  <r>
    <n v="16"/>
    <s v="48. Piura"/>
    <s v="Secundaria"/>
    <x v="3"/>
    <x v="5"/>
    <s v="Rural"/>
    <s v="Femenino"/>
    <x v="0"/>
    <x v="0"/>
  </r>
  <r>
    <n v="17"/>
    <s v="48. Piura"/>
    <s v="Secundaria"/>
    <x v="3"/>
    <x v="5"/>
    <s v="Rural"/>
    <s v="Femenino"/>
    <x v="0"/>
    <x v="0"/>
  </r>
  <r>
    <n v="18"/>
    <s v="48. Piura"/>
    <s v="Secundaria"/>
    <x v="3"/>
    <x v="5"/>
    <s v="Rural"/>
    <s v="Femenino"/>
    <x v="1"/>
    <x v="0"/>
  </r>
  <r>
    <n v="19"/>
    <s v="48. Piura"/>
    <s v="Secundaria"/>
    <x v="3"/>
    <x v="5"/>
    <s v="Rural"/>
    <s v="Femenino"/>
    <x v="0"/>
    <x v="0"/>
  </r>
  <r>
    <n v="20"/>
    <s v="48. Piura"/>
    <s v="Secundaria"/>
    <x v="3"/>
    <x v="5"/>
    <s v="Rural"/>
    <s v="Femenino"/>
    <x v="0"/>
    <x v="0"/>
  </r>
  <r>
    <n v="21"/>
    <s v="48. Piura"/>
    <s v="Secundaria"/>
    <x v="3"/>
    <x v="5"/>
    <s v="Rural"/>
    <s v="Femenino"/>
    <x v="0"/>
    <x v="0"/>
  </r>
  <r>
    <n v="22"/>
    <s v="48. Piura"/>
    <s v="Secundaria"/>
    <x v="3"/>
    <x v="5"/>
    <s v="Rural"/>
    <s v="Femenino"/>
    <x v="0"/>
    <x v="0"/>
  </r>
  <r>
    <n v="23"/>
    <s v="48. Piura"/>
    <s v="Secundaria"/>
    <x v="3"/>
    <x v="5"/>
    <s v="Rural"/>
    <s v="Femenino"/>
    <x v="1"/>
    <x v="0"/>
  </r>
  <r>
    <n v="24"/>
    <s v="48. Piura"/>
    <s v="Secundaria"/>
    <x v="3"/>
    <x v="5"/>
    <s v="Rural"/>
    <s v="Femenino"/>
    <x v="0"/>
    <x v="0"/>
  </r>
  <r>
    <n v="25"/>
    <s v="48. Piura"/>
    <s v="Secundaria"/>
    <x v="3"/>
    <x v="5"/>
    <s v="Rural"/>
    <s v="Femenino"/>
    <x v="1"/>
    <x v="0"/>
  </r>
  <r>
    <n v="26"/>
    <s v="48. Piura"/>
    <s v="Secundaria"/>
    <x v="3"/>
    <x v="5"/>
    <s v="Rural"/>
    <s v="Femenino"/>
    <x v="0"/>
    <x v="0"/>
  </r>
  <r>
    <n v="27"/>
    <s v="48. Piura"/>
    <s v="Secundaria"/>
    <x v="3"/>
    <x v="5"/>
    <s v="Rural"/>
    <s v="Femenino"/>
    <x v="0"/>
    <x v="0"/>
  </r>
  <r>
    <n v="28"/>
    <s v="48. Piura"/>
    <s v="Secundaria"/>
    <x v="3"/>
    <x v="5"/>
    <s v="Rural"/>
    <s v="Femenino"/>
    <x v="0"/>
    <x v="0"/>
  </r>
  <r>
    <n v="29"/>
    <s v="48. Piura"/>
    <s v="Secundaria"/>
    <x v="3"/>
    <x v="5"/>
    <s v="Rural"/>
    <s v="Femenino"/>
    <x v="0"/>
    <x v="0"/>
  </r>
  <r>
    <n v="1"/>
    <s v="72. Ucayali"/>
    <s v="Primaria"/>
    <x v="4"/>
    <x v="15"/>
    <s v="Rural"/>
    <s v="Masculino"/>
    <x v="1"/>
    <x v="0"/>
  </r>
  <r>
    <n v="2"/>
    <s v="72. Ucayali"/>
    <s v="Primaria"/>
    <x v="4"/>
    <x v="15"/>
    <s v="Rural"/>
    <s v="Femenino"/>
    <x v="0"/>
    <x v="0"/>
  </r>
  <r>
    <n v="3"/>
    <s v="72. Ucayali"/>
    <s v="Primaria"/>
    <x v="0"/>
    <x v="15"/>
    <s v="Rural"/>
    <s v="Masculino"/>
    <x v="0"/>
    <x v="0"/>
  </r>
  <r>
    <n v="4"/>
    <s v="72. Ucayali"/>
    <s v="Primaria"/>
    <x v="0"/>
    <x v="15"/>
    <s v="Rural"/>
    <s v="Femenino"/>
    <x v="0"/>
    <x v="0"/>
  </r>
  <r>
    <n v="5"/>
    <s v="72. Ucayali"/>
    <s v="Primaria"/>
    <x v="1"/>
    <x v="15"/>
    <s v="Rural"/>
    <s v="Masculino"/>
    <x v="0"/>
    <x v="0"/>
  </r>
  <r>
    <n v="6"/>
    <s v="72. Ucayali"/>
    <s v="Primaria"/>
    <x v="1"/>
    <x v="15"/>
    <s v="Rural"/>
    <s v="Femenino"/>
    <x v="0"/>
    <x v="0"/>
  </r>
  <r>
    <n v="7"/>
    <s v="72. Ucayali"/>
    <s v="Primaria"/>
    <x v="1"/>
    <x v="15"/>
    <s v="Rural"/>
    <s v="Femenino"/>
    <x v="0"/>
    <x v="0"/>
  </r>
  <r>
    <n v="1"/>
    <s v="72. Ucayali"/>
    <s v="Primaria"/>
    <x v="4"/>
    <x v="16"/>
    <s v="Rural"/>
    <s v="Masculino"/>
    <x v="0"/>
    <x v="0"/>
  </r>
  <r>
    <n v="2"/>
    <s v="72. Ucayali"/>
    <s v="Primaria"/>
    <x v="4"/>
    <x v="16"/>
    <s v="Rural"/>
    <s v="Masculino"/>
    <x v="0"/>
    <x v="0"/>
  </r>
  <r>
    <n v="3"/>
    <s v="72. Ucayali"/>
    <s v="Primaria"/>
    <x v="4"/>
    <x v="16"/>
    <s v="Rural"/>
    <s v="Femenino"/>
    <x v="1"/>
    <x v="0"/>
  </r>
  <r>
    <n v="4"/>
    <s v="72. Ucayali"/>
    <s v="Primaria"/>
    <x v="0"/>
    <x v="16"/>
    <s v="Rural"/>
    <s v="Masculino"/>
    <x v="0"/>
    <x v="0"/>
  </r>
  <r>
    <n v="5"/>
    <s v="72. Ucayali"/>
    <s v="Primaria"/>
    <x v="0"/>
    <x v="16"/>
    <s v="Rural"/>
    <s v="Masculino"/>
    <x v="1"/>
    <x v="0"/>
  </r>
  <r>
    <n v="6"/>
    <s v="72. Ucayali"/>
    <s v="Primaria"/>
    <x v="1"/>
    <x v="16"/>
    <s v="Rural"/>
    <s v="Masculino"/>
    <x v="0"/>
    <x v="0"/>
  </r>
  <r>
    <n v="7"/>
    <s v="72. Ucayali"/>
    <s v="Primaria"/>
    <x v="1"/>
    <x v="16"/>
    <s v="Rural"/>
    <s v="Femenino"/>
    <x v="0"/>
    <x v="0"/>
  </r>
  <r>
    <n v="1"/>
    <s v="72. Ucayali"/>
    <s v="Primaria"/>
    <x v="4"/>
    <x v="17"/>
    <s v="Rural"/>
    <s v="Masculino"/>
    <x v="0"/>
    <x v="0"/>
  </r>
  <r>
    <n v="2"/>
    <s v="72. Ucayali"/>
    <s v="Primaria"/>
    <x v="4"/>
    <x v="17"/>
    <s v="Rural"/>
    <s v="Masculino"/>
    <x v="0"/>
    <x v="0"/>
  </r>
  <r>
    <n v="3"/>
    <s v="72. Ucayali"/>
    <s v="Primaria"/>
    <x v="4"/>
    <x v="17"/>
    <s v="Rural"/>
    <s v="Masculino"/>
    <x v="0"/>
    <x v="0"/>
  </r>
  <r>
    <n v="4"/>
    <s v="72. Ucayali"/>
    <s v="Primaria"/>
    <x v="4"/>
    <x v="17"/>
    <s v="Rural"/>
    <s v="Masculino"/>
    <x v="0"/>
    <x v="0"/>
  </r>
  <r>
    <n v="5"/>
    <s v="72. Ucayali"/>
    <s v="Primaria"/>
    <x v="4"/>
    <x v="17"/>
    <s v="Rural"/>
    <s v="Masculino"/>
    <x v="0"/>
    <x v="0"/>
  </r>
  <r>
    <n v="6"/>
    <s v="72. Ucayali"/>
    <s v="Primaria"/>
    <x v="4"/>
    <x v="17"/>
    <s v="Rural"/>
    <s v="Femenino"/>
    <x v="0"/>
    <x v="0"/>
  </r>
  <r>
    <n v="7"/>
    <s v="72. Ucayali"/>
    <s v="Primaria"/>
    <x v="4"/>
    <x v="17"/>
    <s v="Rural"/>
    <s v="Femenino"/>
    <x v="0"/>
    <x v="0"/>
  </r>
  <r>
    <n v="8"/>
    <s v="72. Ucayali"/>
    <s v="Primaria"/>
    <x v="4"/>
    <x v="17"/>
    <s v="Rural"/>
    <s v="Femenino"/>
    <x v="0"/>
    <x v="0"/>
  </r>
  <r>
    <n v="9"/>
    <s v="72. Ucayali"/>
    <s v="Primaria"/>
    <x v="0"/>
    <x v="17"/>
    <s v="Rural"/>
    <s v="Masculino"/>
    <x v="0"/>
    <x v="0"/>
  </r>
  <r>
    <n v="10"/>
    <s v="72. Ucayali"/>
    <s v="Primaria"/>
    <x v="0"/>
    <x v="17"/>
    <s v="Rural"/>
    <s v="Masculino"/>
    <x v="0"/>
    <x v="0"/>
  </r>
  <r>
    <n v="11"/>
    <s v="72. Ucayali"/>
    <s v="Primaria"/>
    <x v="0"/>
    <x v="17"/>
    <s v="Rural"/>
    <s v="Masculino"/>
    <x v="0"/>
    <x v="0"/>
  </r>
  <r>
    <n v="12"/>
    <s v="72. Ucayali"/>
    <s v="Primaria"/>
    <x v="0"/>
    <x v="17"/>
    <s v="Rural"/>
    <s v="Masculino"/>
    <x v="0"/>
    <x v="0"/>
  </r>
  <r>
    <n v="13"/>
    <s v="72. Ucayali"/>
    <s v="Primaria"/>
    <x v="0"/>
    <x v="17"/>
    <s v="Rural"/>
    <s v="Femenino"/>
    <x v="0"/>
    <x v="0"/>
  </r>
  <r>
    <n v="14"/>
    <s v="72. Ucayali"/>
    <s v="Primaria"/>
    <x v="0"/>
    <x v="17"/>
    <s v="Rural"/>
    <s v="Femenino"/>
    <x v="0"/>
    <x v="0"/>
  </r>
  <r>
    <n v="15"/>
    <s v="72. Ucayali"/>
    <s v="Primaria"/>
    <x v="0"/>
    <x v="17"/>
    <s v="Rural"/>
    <s v="Femenino"/>
    <x v="0"/>
    <x v="0"/>
  </r>
  <r>
    <n v="16"/>
    <s v="72. Ucayali"/>
    <s v="Primaria"/>
    <x v="0"/>
    <x v="17"/>
    <s v="Rural"/>
    <s v="Femenino"/>
    <x v="0"/>
    <x v="0"/>
  </r>
  <r>
    <n v="17"/>
    <s v="72. Ucayali"/>
    <s v="Primaria"/>
    <x v="0"/>
    <x v="17"/>
    <s v="Rural"/>
    <s v="Femenino"/>
    <x v="0"/>
    <x v="0"/>
  </r>
  <r>
    <n v="18"/>
    <s v="72. Ucayali"/>
    <s v="Primaria"/>
    <x v="1"/>
    <x v="17"/>
    <s v="Rural"/>
    <s v="Masculino"/>
    <x v="0"/>
    <x v="0"/>
  </r>
  <r>
    <n v="19"/>
    <s v="72. Ucayali"/>
    <s v="Primaria"/>
    <x v="1"/>
    <x v="17"/>
    <s v="Rural"/>
    <s v="Masculino"/>
    <x v="0"/>
    <x v="0"/>
  </r>
  <r>
    <n v="20"/>
    <s v="72. Ucayali"/>
    <s v="Primaria"/>
    <x v="1"/>
    <x v="17"/>
    <s v="Rural"/>
    <s v="Masculino"/>
    <x v="0"/>
    <x v="0"/>
  </r>
  <r>
    <n v="21"/>
    <s v="72. Ucayali"/>
    <s v="Primaria"/>
    <x v="1"/>
    <x v="17"/>
    <s v="Rural"/>
    <s v="Masculino"/>
    <x v="0"/>
    <x v="0"/>
  </r>
  <r>
    <n v="22"/>
    <s v="72. Ucayali"/>
    <s v="Primaria"/>
    <x v="1"/>
    <x v="17"/>
    <s v="Rural"/>
    <s v="Femenino"/>
    <x v="0"/>
    <x v="0"/>
  </r>
  <r>
    <n v="23"/>
    <s v="72. Ucayali"/>
    <s v="Primaria"/>
    <x v="1"/>
    <x v="17"/>
    <s v="Rural"/>
    <s v="Femenino"/>
    <x v="0"/>
    <x v="0"/>
  </r>
  <r>
    <n v="24"/>
    <s v="72. Ucayali"/>
    <s v="Primaria"/>
    <x v="1"/>
    <x v="17"/>
    <s v="Rural"/>
    <s v="Femenino"/>
    <x v="0"/>
    <x v="0"/>
  </r>
  <r>
    <n v="25"/>
    <s v="72. Ucayali"/>
    <s v="Primaria"/>
    <x v="1"/>
    <x v="17"/>
    <s v="Rural"/>
    <s v="Femenino"/>
    <x v="0"/>
    <x v="0"/>
  </r>
  <r>
    <n v="1"/>
    <s v="72. Ucayali"/>
    <s v="Primaria"/>
    <x v="4"/>
    <x v="18"/>
    <s v="Rural"/>
    <s v="Masculino"/>
    <x v="0"/>
    <x v="0"/>
  </r>
  <r>
    <n v="2"/>
    <s v="72. Ucayali"/>
    <s v="Primaria"/>
    <x v="4"/>
    <x v="18"/>
    <s v="Rural"/>
    <s v="Masculino"/>
    <x v="0"/>
    <x v="0"/>
  </r>
  <r>
    <n v="3"/>
    <s v="72. Ucayali"/>
    <s v="Primaria"/>
    <x v="4"/>
    <x v="18"/>
    <s v="Rural"/>
    <s v="Masculino"/>
    <x v="0"/>
    <x v="0"/>
  </r>
  <r>
    <n v="4"/>
    <s v="72. Ucayali"/>
    <s v="Primaria"/>
    <x v="4"/>
    <x v="18"/>
    <s v="Rural"/>
    <s v="Masculino"/>
    <x v="0"/>
    <x v="0"/>
  </r>
  <r>
    <n v="5"/>
    <s v="72. Ucayali"/>
    <s v="Primaria"/>
    <x v="4"/>
    <x v="18"/>
    <s v="Rural"/>
    <s v="Femenino"/>
    <x v="0"/>
    <x v="0"/>
  </r>
  <r>
    <n v="6"/>
    <s v="72. Ucayali"/>
    <s v="Primaria"/>
    <x v="4"/>
    <x v="18"/>
    <s v="Rural"/>
    <s v="Femenino"/>
    <x v="0"/>
    <x v="0"/>
  </r>
  <r>
    <n v="7"/>
    <s v="72. Ucayali"/>
    <s v="Primaria"/>
    <x v="4"/>
    <x v="18"/>
    <s v="Rural"/>
    <s v="Femenino"/>
    <x v="0"/>
    <x v="0"/>
  </r>
  <r>
    <n v="8"/>
    <s v="72. Ucayali"/>
    <s v="Primaria"/>
    <x v="0"/>
    <x v="18"/>
    <s v="Rural"/>
    <s v="Masculino"/>
    <x v="0"/>
    <x v="0"/>
  </r>
  <r>
    <n v="9"/>
    <s v="72. Ucayali"/>
    <s v="Primaria"/>
    <x v="0"/>
    <x v="18"/>
    <s v="Rural"/>
    <s v="Masculino"/>
    <x v="0"/>
    <x v="0"/>
  </r>
  <r>
    <n v="10"/>
    <s v="72. Ucayali"/>
    <s v="Primaria"/>
    <x v="0"/>
    <x v="18"/>
    <s v="Rural"/>
    <s v="Femenino"/>
    <x v="0"/>
    <x v="0"/>
  </r>
  <r>
    <n v="11"/>
    <s v="72. Ucayali"/>
    <s v="Primaria"/>
    <x v="0"/>
    <x v="18"/>
    <s v="Rural"/>
    <s v="Femenino"/>
    <x v="0"/>
    <x v="0"/>
  </r>
  <r>
    <n v="12"/>
    <s v="72. Ucayali"/>
    <s v="Primaria"/>
    <x v="1"/>
    <x v="18"/>
    <s v="Rural"/>
    <s v="Masculino"/>
    <x v="0"/>
    <x v="0"/>
  </r>
  <r>
    <n v="13"/>
    <s v="72. Ucayali"/>
    <s v="Primaria"/>
    <x v="1"/>
    <x v="18"/>
    <s v="Rural"/>
    <s v="Masculino"/>
    <x v="0"/>
    <x v="0"/>
  </r>
  <r>
    <n v="14"/>
    <s v="72. Ucayali"/>
    <s v="Primaria"/>
    <x v="1"/>
    <x v="18"/>
    <s v="Rural"/>
    <s v="Femenino"/>
    <x v="0"/>
    <x v="0"/>
  </r>
  <r>
    <n v="15"/>
    <s v="72. Ucayali"/>
    <s v="Primaria"/>
    <x v="1"/>
    <x v="18"/>
    <s v="Rural"/>
    <s v="Femenino"/>
    <x v="0"/>
    <x v="0"/>
  </r>
  <r>
    <n v="1"/>
    <s v="72. Ucayali"/>
    <s v="Primaria"/>
    <x v="4"/>
    <x v="19"/>
    <s v="Rural"/>
    <s v="Masculino"/>
    <x v="0"/>
    <x v="0"/>
  </r>
  <r>
    <n v="2"/>
    <s v="72. Ucayali"/>
    <s v="Primaria"/>
    <x v="4"/>
    <x v="19"/>
    <s v="Rural"/>
    <s v="Masculino"/>
    <x v="0"/>
    <x v="0"/>
  </r>
  <r>
    <n v="3"/>
    <s v="72. Ucayali"/>
    <s v="Primaria"/>
    <x v="0"/>
    <x v="19"/>
    <s v="Rural"/>
    <s v="Femenino"/>
    <x v="0"/>
    <x v="0"/>
  </r>
  <r>
    <n v="4"/>
    <s v="72. Ucayali"/>
    <s v="Primaria"/>
    <x v="1"/>
    <x v="19"/>
    <s v="Rural"/>
    <s v="Femenino"/>
    <x v="0"/>
    <x v="0"/>
  </r>
  <r>
    <n v="1"/>
    <s v="72. Ucayali"/>
    <s v="Primaria"/>
    <x v="4"/>
    <x v="20"/>
    <s v="Rural"/>
    <s v="Femenino"/>
    <x v="0"/>
    <x v="0"/>
  </r>
  <r>
    <n v="3"/>
    <s v="72. Ucayali"/>
    <s v="Primaria"/>
    <x v="1"/>
    <x v="20"/>
    <s v="Rural"/>
    <s v="Masculino"/>
    <x v="1"/>
    <x v="0"/>
  </r>
  <r>
    <n v="1"/>
    <s v="72. Ucayali"/>
    <s v="Primaria"/>
    <x v="4"/>
    <x v="21"/>
    <s v="Rural"/>
    <s v="Masculino"/>
    <x v="0"/>
    <x v="0"/>
  </r>
  <r>
    <n v="2"/>
    <s v="72. Ucayali"/>
    <s v="Primaria"/>
    <x v="4"/>
    <x v="21"/>
    <s v="Rural"/>
    <s v="Masculino"/>
    <x v="0"/>
    <x v="0"/>
  </r>
  <r>
    <n v="3"/>
    <s v="72. Ucayali"/>
    <s v="Primaria"/>
    <x v="4"/>
    <x v="21"/>
    <s v="Rural"/>
    <s v="Masculino"/>
    <x v="0"/>
    <x v="0"/>
  </r>
  <r>
    <n v="4"/>
    <s v="72. Ucayali"/>
    <s v="Primaria"/>
    <x v="4"/>
    <x v="21"/>
    <s v="Rural"/>
    <s v="Masculino"/>
    <x v="0"/>
    <x v="0"/>
  </r>
  <r>
    <n v="5"/>
    <s v="72. Ucayali"/>
    <s v="Primaria"/>
    <x v="4"/>
    <x v="21"/>
    <s v="Rural"/>
    <s v="Masculino"/>
    <x v="0"/>
    <x v="0"/>
  </r>
  <r>
    <n v="6"/>
    <s v="72. Ucayali"/>
    <s v="Primaria"/>
    <x v="4"/>
    <x v="21"/>
    <s v="Rural"/>
    <s v="Femenino"/>
    <x v="0"/>
    <x v="0"/>
  </r>
  <r>
    <n v="7"/>
    <s v="72. Ucayali"/>
    <s v="Primaria"/>
    <x v="4"/>
    <x v="21"/>
    <s v="Rural"/>
    <s v="Femenino"/>
    <x v="0"/>
    <x v="0"/>
  </r>
  <r>
    <n v="8"/>
    <s v="72. Ucayali"/>
    <s v="Primaria"/>
    <x v="4"/>
    <x v="21"/>
    <s v="Rural"/>
    <s v="Femenino"/>
    <x v="0"/>
    <x v="0"/>
  </r>
  <r>
    <n v="9"/>
    <s v="72. Ucayali"/>
    <s v="Primaria"/>
    <x v="4"/>
    <x v="21"/>
    <s v="Rural"/>
    <s v="Femenino"/>
    <x v="0"/>
    <x v="0"/>
  </r>
  <r>
    <n v="10"/>
    <s v="72. Ucayali"/>
    <s v="Primaria"/>
    <x v="0"/>
    <x v="21"/>
    <s v="Rural"/>
    <s v="Masculino"/>
    <x v="0"/>
    <x v="0"/>
  </r>
  <r>
    <n v="11"/>
    <s v="72. Ucayali"/>
    <s v="Primaria"/>
    <x v="0"/>
    <x v="21"/>
    <s v="Rural"/>
    <s v="Masculino"/>
    <x v="0"/>
    <x v="0"/>
  </r>
  <r>
    <n v="12"/>
    <s v="72. Ucayali"/>
    <s v="Primaria"/>
    <x v="0"/>
    <x v="21"/>
    <s v="Rural"/>
    <s v="Masculino"/>
    <x v="0"/>
    <x v="0"/>
  </r>
  <r>
    <n v="13"/>
    <s v="72. Ucayali"/>
    <s v="Primaria"/>
    <x v="0"/>
    <x v="21"/>
    <s v="Rural"/>
    <s v="Masculino"/>
    <x v="0"/>
    <x v="0"/>
  </r>
  <r>
    <n v="14"/>
    <s v="72. Ucayali"/>
    <s v="Primaria"/>
    <x v="0"/>
    <x v="21"/>
    <s v="Rural"/>
    <s v="Masculino"/>
    <x v="0"/>
    <x v="0"/>
  </r>
  <r>
    <n v="15"/>
    <s v="72. Ucayali"/>
    <s v="Primaria"/>
    <x v="0"/>
    <x v="21"/>
    <s v="Rural"/>
    <s v="Masculino"/>
    <x v="0"/>
    <x v="0"/>
  </r>
  <r>
    <n v="16"/>
    <s v="72. Ucayali"/>
    <s v="Primaria"/>
    <x v="0"/>
    <x v="21"/>
    <s v="Rural"/>
    <s v="Femenino"/>
    <x v="0"/>
    <x v="0"/>
  </r>
  <r>
    <n v="17"/>
    <s v="72. Ucayali"/>
    <s v="Primaria"/>
    <x v="0"/>
    <x v="21"/>
    <s v="Rural"/>
    <s v="Femenino"/>
    <x v="0"/>
    <x v="0"/>
  </r>
  <r>
    <n v="18"/>
    <s v="72. Ucayali"/>
    <s v="Primaria"/>
    <x v="0"/>
    <x v="21"/>
    <s v="Rural"/>
    <s v="Femenino"/>
    <x v="0"/>
    <x v="0"/>
  </r>
  <r>
    <n v="19"/>
    <s v="72. Ucayali"/>
    <s v="Primaria"/>
    <x v="0"/>
    <x v="21"/>
    <s v="Rural"/>
    <s v="Femenino"/>
    <x v="0"/>
    <x v="0"/>
  </r>
  <r>
    <n v="20"/>
    <s v="72. Ucayali"/>
    <s v="Primaria"/>
    <x v="1"/>
    <x v="21"/>
    <s v="Rural"/>
    <s v="Masculino"/>
    <x v="0"/>
    <x v="0"/>
  </r>
  <r>
    <n v="21"/>
    <s v="72. Ucayali"/>
    <s v="Primaria"/>
    <x v="1"/>
    <x v="21"/>
    <s v="Rural"/>
    <s v="Masculino"/>
    <x v="0"/>
    <x v="0"/>
  </r>
  <r>
    <n v="22"/>
    <s v="72. Ucayali"/>
    <s v="Primaria"/>
    <x v="1"/>
    <x v="21"/>
    <s v="Rural"/>
    <s v="Masculino"/>
    <x v="0"/>
    <x v="0"/>
  </r>
  <r>
    <n v="23"/>
    <s v="72. Ucayali"/>
    <s v="Primaria"/>
    <x v="1"/>
    <x v="21"/>
    <s v="Rural"/>
    <s v="Masculino"/>
    <x v="0"/>
    <x v="0"/>
  </r>
  <r>
    <n v="24"/>
    <s v="72. Ucayali"/>
    <s v="Primaria"/>
    <x v="1"/>
    <x v="21"/>
    <s v="Rural"/>
    <s v="Femenino"/>
    <x v="0"/>
    <x v="0"/>
  </r>
  <r>
    <n v="25"/>
    <s v="72. Ucayali"/>
    <s v="Primaria"/>
    <x v="1"/>
    <x v="21"/>
    <s v="Rural"/>
    <s v="Femenino"/>
    <x v="0"/>
    <x v="0"/>
  </r>
  <r>
    <n v="26"/>
    <s v="72. Ucayali"/>
    <s v="Primaria"/>
    <x v="1"/>
    <x v="21"/>
    <s v="Rural"/>
    <s v="Femenino"/>
    <x v="0"/>
    <x v="0"/>
  </r>
  <r>
    <n v="27"/>
    <s v="72. Ucayali"/>
    <s v="Primaria"/>
    <x v="1"/>
    <x v="21"/>
    <s v="Rural"/>
    <s v="Femenino"/>
    <x v="0"/>
    <x v="0"/>
  </r>
  <r>
    <n v="28"/>
    <s v="72. Ucayali"/>
    <s v="Primaria"/>
    <x v="1"/>
    <x v="21"/>
    <s v="Rural"/>
    <s v="Femenino"/>
    <x v="0"/>
    <x v="0"/>
  </r>
  <r>
    <n v="29"/>
    <s v="72. Ucayali"/>
    <s v="Primaria"/>
    <x v="1"/>
    <x v="21"/>
    <s v="Rural"/>
    <s v="Femenino"/>
    <x v="0"/>
    <x v="0"/>
  </r>
  <r>
    <n v="1"/>
    <s v="72. Ucayali"/>
    <s v="Primaria"/>
    <x v="4"/>
    <x v="22"/>
    <s v="Rural"/>
    <s v="Masculino"/>
    <x v="0"/>
    <x v="0"/>
  </r>
  <r>
    <n v="2"/>
    <s v="72. Ucayali"/>
    <s v="Primaria"/>
    <x v="4"/>
    <x v="22"/>
    <s v="Rural"/>
    <s v="Femenino"/>
    <x v="0"/>
    <x v="0"/>
  </r>
  <r>
    <n v="3"/>
    <s v="72. Ucayali"/>
    <s v="Primaria"/>
    <x v="4"/>
    <x v="22"/>
    <s v="Rural"/>
    <s v="Femenino"/>
    <x v="0"/>
    <x v="0"/>
  </r>
  <r>
    <n v="4"/>
    <s v="72. Ucayali"/>
    <s v="Primaria"/>
    <x v="0"/>
    <x v="22"/>
    <s v="Rural"/>
    <s v="Masculino"/>
    <x v="0"/>
    <x v="0"/>
  </r>
  <r>
    <n v="5"/>
    <s v="72. Ucayali"/>
    <s v="Primaria"/>
    <x v="0"/>
    <x v="22"/>
    <s v="Rural"/>
    <s v="Masculino"/>
    <x v="0"/>
    <x v="0"/>
  </r>
  <r>
    <n v="6"/>
    <s v="72. Ucayali"/>
    <s v="Primaria"/>
    <x v="0"/>
    <x v="22"/>
    <s v="Rural"/>
    <s v="Femenino"/>
    <x v="1"/>
    <x v="0"/>
  </r>
  <r>
    <n v="7"/>
    <s v="72. Ucayali"/>
    <s v="Primaria"/>
    <x v="0"/>
    <x v="22"/>
    <s v="Rural"/>
    <s v="Femenino"/>
    <x v="1"/>
    <x v="0"/>
  </r>
  <r>
    <n v="8"/>
    <s v="72. Ucayali"/>
    <s v="Primaria"/>
    <x v="1"/>
    <x v="22"/>
    <s v="Rural"/>
    <s v="Masculino"/>
    <x v="1"/>
    <x v="0"/>
  </r>
  <r>
    <n v="9"/>
    <s v="72. Ucayali"/>
    <s v="Primaria"/>
    <x v="1"/>
    <x v="22"/>
    <s v="Rural"/>
    <s v="Masculino"/>
    <x v="1"/>
    <x v="0"/>
  </r>
  <r>
    <n v="10"/>
    <s v="72. Ucayali"/>
    <s v="Primaria"/>
    <x v="1"/>
    <x v="22"/>
    <s v="Rural"/>
    <s v="Femenino"/>
    <x v="1"/>
    <x v="0"/>
  </r>
  <r>
    <n v="11"/>
    <s v="72. Ucayali"/>
    <s v="Primaria"/>
    <x v="1"/>
    <x v="22"/>
    <s v="Rural"/>
    <s v="Femenino"/>
    <x v="0"/>
    <x v="0"/>
  </r>
  <r>
    <n v="1"/>
    <s v="79. Huancavelica"/>
    <s v="Secundaria"/>
    <x v="2"/>
    <x v="23"/>
    <s v="Rural"/>
    <s v="Femenino"/>
    <x v="0"/>
    <x v="0"/>
  </r>
  <r>
    <n v="5"/>
    <s v="79. Huancavelica"/>
    <s v="Secundaria"/>
    <x v="2"/>
    <x v="23"/>
    <s v="Rural"/>
    <s v="Femenino"/>
    <x v="0"/>
    <x v="0"/>
  </r>
  <r>
    <n v="6"/>
    <s v="79. Huancavelica"/>
    <s v="Secundaria"/>
    <x v="2"/>
    <x v="23"/>
    <s v="Rural"/>
    <s v="Masculino"/>
    <x v="0"/>
    <x v="0"/>
  </r>
  <r>
    <n v="7"/>
    <s v="79. Huancavelica"/>
    <s v="Secundaria"/>
    <x v="2"/>
    <x v="23"/>
    <s v="Rural"/>
    <s v="Femenino"/>
    <x v="0"/>
    <x v="0"/>
  </r>
  <r>
    <n v="8"/>
    <s v="79. Huancavelica"/>
    <s v="Secundaria"/>
    <x v="2"/>
    <x v="23"/>
    <s v="Rural"/>
    <s v="Femenino"/>
    <x v="0"/>
    <x v="0"/>
  </r>
  <r>
    <n v="9"/>
    <s v="79. Huancavelica"/>
    <s v="Secundaria"/>
    <x v="2"/>
    <x v="23"/>
    <s v="Rural"/>
    <s v="Masculino"/>
    <x v="0"/>
    <x v="0"/>
  </r>
  <r>
    <n v="10"/>
    <s v="79. Huancavelica"/>
    <s v="Secundaria"/>
    <x v="2"/>
    <x v="23"/>
    <s v="Rural"/>
    <s v="Femenino"/>
    <x v="0"/>
    <x v="0"/>
  </r>
  <r>
    <n v="11"/>
    <s v="79. Huancavelica"/>
    <s v="Secundaria"/>
    <x v="2"/>
    <x v="23"/>
    <s v="Rural"/>
    <s v="Masculino"/>
    <x v="0"/>
    <x v="0"/>
  </r>
  <r>
    <n v="12"/>
    <s v="79. Huancavelica"/>
    <s v="Secundaria"/>
    <x v="2"/>
    <x v="23"/>
    <s v="Rural"/>
    <s v="Masculino"/>
    <x v="0"/>
    <x v="0"/>
  </r>
  <r>
    <n v="13"/>
    <s v="79. Huancavelica"/>
    <s v="Secundaria"/>
    <x v="2"/>
    <x v="23"/>
    <s v="Rural"/>
    <s v="Femenino"/>
    <x v="0"/>
    <x v="0"/>
  </r>
  <r>
    <n v="14"/>
    <s v="79. Huancavelica"/>
    <s v="Secundaria"/>
    <x v="2"/>
    <x v="23"/>
    <s v="Rural"/>
    <s v="Masculino"/>
    <x v="1"/>
    <x v="0"/>
  </r>
  <r>
    <n v="15"/>
    <s v="79. Huancavelica"/>
    <s v="Secundaria"/>
    <x v="2"/>
    <x v="23"/>
    <s v="Rural"/>
    <s v="Masculino"/>
    <x v="0"/>
    <x v="0"/>
  </r>
  <r>
    <n v="16"/>
    <s v="79. Huancavelica"/>
    <s v="Secundaria"/>
    <x v="2"/>
    <x v="23"/>
    <s v="Rural"/>
    <s v="Masculino"/>
    <x v="0"/>
    <x v="0"/>
  </r>
  <r>
    <n v="17"/>
    <s v="79. Huancavelica"/>
    <s v="Secundaria"/>
    <x v="2"/>
    <x v="23"/>
    <s v="Rural"/>
    <s v="Femenino"/>
    <x v="0"/>
    <x v="0"/>
  </r>
  <r>
    <n v="18"/>
    <s v="79. Huancavelica"/>
    <s v="Secundaria"/>
    <x v="2"/>
    <x v="23"/>
    <s v="Rural"/>
    <s v="Masculino"/>
    <x v="0"/>
    <x v="0"/>
  </r>
  <r>
    <n v="19"/>
    <s v="79. Huancavelica"/>
    <s v="Secundaria"/>
    <x v="2"/>
    <x v="23"/>
    <s v="Rural"/>
    <s v="Masculino"/>
    <x v="0"/>
    <x v="0"/>
  </r>
  <r>
    <n v="20"/>
    <s v="79. Huancavelica"/>
    <s v="Secundaria"/>
    <x v="2"/>
    <x v="23"/>
    <s v="Rural"/>
    <s v="Femenino"/>
    <x v="0"/>
    <x v="0"/>
  </r>
  <r>
    <n v="21"/>
    <s v="79. Huancavelica"/>
    <s v="Secundaria"/>
    <x v="2"/>
    <x v="23"/>
    <s v="Rural"/>
    <s v="Masculino"/>
    <x v="0"/>
    <x v="0"/>
  </r>
  <r>
    <n v="22"/>
    <s v="79. Huancavelica"/>
    <s v="Secundaria"/>
    <x v="2"/>
    <x v="23"/>
    <s v="Rural"/>
    <s v="Femenino"/>
    <x v="0"/>
    <x v="0"/>
  </r>
  <r>
    <n v="23"/>
    <s v="79. Huancavelica"/>
    <s v="Secundaria"/>
    <x v="2"/>
    <x v="23"/>
    <s v="Rural"/>
    <s v="Femenino"/>
    <x v="1"/>
    <x v="0"/>
  </r>
  <r>
    <n v="24"/>
    <s v="79. Huancavelica"/>
    <s v="Secundaria"/>
    <x v="2"/>
    <x v="23"/>
    <s v="Rural"/>
    <s v="Femenino"/>
    <x v="0"/>
    <x v="0"/>
  </r>
  <r>
    <n v="25"/>
    <s v="79. Huancavelica"/>
    <s v="Secundaria"/>
    <x v="2"/>
    <x v="23"/>
    <s v="Rural"/>
    <s v="Femenino"/>
    <x v="0"/>
    <x v="0"/>
  </r>
  <r>
    <n v="26"/>
    <s v="79. Huancavelica"/>
    <s v="Secundaria"/>
    <x v="2"/>
    <x v="23"/>
    <s v="Rural"/>
    <s v="Femenino"/>
    <x v="0"/>
    <x v="0"/>
  </r>
  <r>
    <n v="27"/>
    <s v="79. Huancavelica"/>
    <s v="Secundaria"/>
    <x v="2"/>
    <x v="23"/>
    <s v="Rural"/>
    <s v="Femenino"/>
    <x v="0"/>
    <x v="0"/>
  </r>
  <r>
    <n v="28"/>
    <s v="79. Huancavelica"/>
    <s v="Secundaria"/>
    <x v="2"/>
    <x v="23"/>
    <s v="Rural"/>
    <s v="Femenino"/>
    <x v="1"/>
    <x v="0"/>
  </r>
  <r>
    <n v="29"/>
    <s v="79. Huancavelica"/>
    <s v="Secundaria"/>
    <x v="2"/>
    <x v="23"/>
    <s v="Rural"/>
    <s v="Femenino"/>
    <x v="1"/>
    <x v="0"/>
  </r>
  <r>
    <n v="30"/>
    <s v="79. Huancavelica"/>
    <s v="Secundaria"/>
    <x v="2"/>
    <x v="23"/>
    <s v="Rural"/>
    <s v="Masculino"/>
    <x v="0"/>
    <x v="0"/>
  </r>
  <r>
    <n v="31"/>
    <s v="79. Huancavelica"/>
    <s v="Secundaria"/>
    <x v="2"/>
    <x v="23"/>
    <s v="Rural"/>
    <s v="Femenino"/>
    <x v="0"/>
    <x v="0"/>
  </r>
  <r>
    <n v="32"/>
    <s v="79. Huancavelica"/>
    <s v="Secundaria"/>
    <x v="2"/>
    <x v="23"/>
    <s v="Rural"/>
    <s v="Femenino"/>
    <x v="0"/>
    <x v="0"/>
  </r>
  <r>
    <n v="33"/>
    <s v="79. Huancavelica"/>
    <s v="Secundaria"/>
    <x v="2"/>
    <x v="23"/>
    <s v="Rural"/>
    <s v="Femenino"/>
    <x v="0"/>
    <x v="0"/>
  </r>
  <r>
    <n v="34"/>
    <s v="79. Huancavelica"/>
    <s v="Secundaria"/>
    <x v="2"/>
    <x v="23"/>
    <s v="Rural"/>
    <s v="Femenino"/>
    <x v="0"/>
    <x v="0"/>
  </r>
  <r>
    <n v="36"/>
    <s v="79. Huancavelica"/>
    <s v="Secundaria"/>
    <x v="2"/>
    <x v="23"/>
    <s v="Rural"/>
    <s v="Femenino"/>
    <x v="1"/>
    <x v="0"/>
  </r>
  <r>
    <n v="37"/>
    <s v="79. Huancavelica"/>
    <s v="Secundaria"/>
    <x v="2"/>
    <x v="23"/>
    <s v="Rural"/>
    <s v="Femenino"/>
    <x v="1"/>
    <x v="0"/>
  </r>
  <r>
    <n v="38"/>
    <s v="79. Huancavelica"/>
    <s v="Secundaria"/>
    <x v="2"/>
    <x v="23"/>
    <s v="Rural"/>
    <s v="Femenino"/>
    <x v="0"/>
    <x v="0"/>
  </r>
  <r>
    <n v="39"/>
    <s v="79. Huancavelica"/>
    <s v="Secundaria"/>
    <x v="2"/>
    <x v="23"/>
    <s v="Rural"/>
    <s v="Femenino"/>
    <x v="1"/>
    <x v="0"/>
  </r>
  <r>
    <n v="40"/>
    <s v="79. Huancavelica"/>
    <s v="Secundaria"/>
    <x v="2"/>
    <x v="23"/>
    <s v="Rural"/>
    <s v="Femenino"/>
    <x v="0"/>
    <x v="0"/>
  </r>
  <r>
    <n v="41"/>
    <s v="79. Huancavelica"/>
    <s v="Secundaria"/>
    <x v="2"/>
    <x v="23"/>
    <s v="Rural"/>
    <s v="Femenino"/>
    <x v="1"/>
    <x v="0"/>
  </r>
  <r>
    <n v="42"/>
    <s v="79. Huancavelica"/>
    <s v="Secundaria"/>
    <x v="2"/>
    <x v="23"/>
    <s v="Rural"/>
    <s v="Femenino"/>
    <x v="0"/>
    <x v="0"/>
  </r>
  <r>
    <n v="43"/>
    <s v="79. Huancavelica"/>
    <s v="Secundaria"/>
    <x v="2"/>
    <x v="23"/>
    <s v="Rural"/>
    <s v="Femenino"/>
    <x v="0"/>
    <x v="0"/>
  </r>
  <r>
    <n v="1"/>
    <s v="79. Huancavelica"/>
    <s v="Secundaria"/>
    <x v="3"/>
    <x v="23"/>
    <s v="Rural"/>
    <s v="Femenino"/>
    <x v="0"/>
    <x v="0"/>
  </r>
  <r>
    <n v="2"/>
    <s v="79. Huancavelica"/>
    <s v="Secundaria"/>
    <x v="3"/>
    <x v="23"/>
    <s v="Rural"/>
    <s v="Femenino"/>
    <x v="1"/>
    <x v="0"/>
  </r>
  <r>
    <n v="3"/>
    <s v="79. Huancavelica"/>
    <s v="Secundaria"/>
    <x v="3"/>
    <x v="23"/>
    <s v="Rural"/>
    <s v="Masculino"/>
    <x v="0"/>
    <x v="0"/>
  </r>
  <r>
    <n v="4"/>
    <s v="79. Huancavelica"/>
    <s v="Secundaria"/>
    <x v="3"/>
    <x v="23"/>
    <s v="Rural"/>
    <s v="Masculino"/>
    <x v="0"/>
    <x v="0"/>
  </r>
  <r>
    <n v="5"/>
    <s v="79. Huancavelica"/>
    <s v="Secundaria"/>
    <x v="3"/>
    <x v="23"/>
    <s v="Rural"/>
    <s v="Masculino"/>
    <x v="0"/>
    <x v="0"/>
  </r>
  <r>
    <n v="6"/>
    <s v="79. Huancavelica"/>
    <s v="Secundaria"/>
    <x v="3"/>
    <x v="23"/>
    <s v="Rural"/>
    <s v="Masculino"/>
    <x v="0"/>
    <x v="0"/>
  </r>
  <r>
    <n v="7"/>
    <s v="79. Huancavelica"/>
    <s v="Secundaria"/>
    <x v="3"/>
    <x v="23"/>
    <s v="Rural"/>
    <s v="Masculino"/>
    <x v="0"/>
    <x v="0"/>
  </r>
  <r>
    <n v="8"/>
    <s v="79. Huancavelica"/>
    <s v="Secundaria"/>
    <x v="3"/>
    <x v="23"/>
    <s v="Rural"/>
    <s v="Femenino"/>
    <x v="0"/>
    <x v="0"/>
  </r>
  <r>
    <n v="9"/>
    <s v="79. Huancavelica"/>
    <s v="Secundaria"/>
    <x v="3"/>
    <x v="23"/>
    <s v="Rural"/>
    <s v="Femenino"/>
    <x v="0"/>
    <x v="0"/>
  </r>
  <r>
    <n v="10"/>
    <s v="79. Huancavelica"/>
    <s v="Secundaria"/>
    <x v="3"/>
    <x v="23"/>
    <s v="Rural"/>
    <s v="Masculino"/>
    <x v="0"/>
    <x v="0"/>
  </r>
  <r>
    <n v="13"/>
    <s v="79. Huancavelica"/>
    <s v="Secundaria"/>
    <x v="3"/>
    <x v="23"/>
    <s v="Rural"/>
    <s v="Femenino"/>
    <x v="0"/>
    <x v="0"/>
  </r>
  <r>
    <n v="14"/>
    <s v="79. Huancavelica"/>
    <s v="Secundaria"/>
    <x v="3"/>
    <x v="23"/>
    <s v="Rural"/>
    <s v="Femenino"/>
    <x v="0"/>
    <x v="0"/>
  </r>
  <r>
    <n v="17"/>
    <s v="79. Huancavelica"/>
    <s v="Secundaria"/>
    <x v="3"/>
    <x v="23"/>
    <s v="Rural"/>
    <s v="Femenino"/>
    <x v="0"/>
    <x v="0"/>
  </r>
  <r>
    <n v="18"/>
    <s v="79. Huancavelica"/>
    <s v="Secundaria"/>
    <x v="3"/>
    <x v="23"/>
    <s v="Rural"/>
    <s v="Masculino"/>
    <x v="0"/>
    <x v="0"/>
  </r>
  <r>
    <n v="20"/>
    <s v="79. Huancavelica"/>
    <s v="Secundaria"/>
    <x v="3"/>
    <x v="23"/>
    <s v="Rural"/>
    <s v="Femenino"/>
    <x v="0"/>
    <x v="0"/>
  </r>
  <r>
    <n v="21"/>
    <s v="79. Huancavelica"/>
    <s v="Secundaria"/>
    <x v="3"/>
    <x v="23"/>
    <s v="Rural"/>
    <s v="Masculino"/>
    <x v="0"/>
    <x v="0"/>
  </r>
  <r>
    <n v="23"/>
    <s v="79. Huancavelica"/>
    <s v="Secundaria"/>
    <x v="3"/>
    <x v="23"/>
    <s v="Rural"/>
    <s v="Masculino"/>
    <x v="0"/>
    <x v="0"/>
  </r>
  <r>
    <n v="24"/>
    <s v="79. Huancavelica"/>
    <s v="Secundaria"/>
    <x v="3"/>
    <x v="23"/>
    <s v="Rural"/>
    <s v="Femenino"/>
    <x v="1"/>
    <x v="0"/>
  </r>
  <r>
    <n v="26"/>
    <s v="79. Huancavelica"/>
    <s v="Secundaria"/>
    <x v="3"/>
    <x v="23"/>
    <s v="Rural"/>
    <s v="Masculino"/>
    <x v="1"/>
    <x v="0"/>
  </r>
  <r>
    <n v="27"/>
    <s v="79. Huancavelica"/>
    <s v="Secundaria"/>
    <x v="3"/>
    <x v="23"/>
    <s v="Rural"/>
    <s v="Femenino"/>
    <x v="0"/>
    <x v="0"/>
  </r>
  <r>
    <n v="28"/>
    <s v="79. Huancavelica"/>
    <s v="Secundaria"/>
    <x v="3"/>
    <x v="23"/>
    <s v="Rural"/>
    <s v="Masculino"/>
    <x v="0"/>
    <x v="0"/>
  </r>
  <r>
    <n v="32"/>
    <s v="79. Huancavelica"/>
    <s v="Secundaria"/>
    <x v="3"/>
    <x v="23"/>
    <s v="Rural"/>
    <s v="Masculino"/>
    <x v="0"/>
    <x v="0"/>
  </r>
  <r>
    <n v="33"/>
    <s v="79. Huancavelica"/>
    <s v="Secundaria"/>
    <x v="3"/>
    <x v="23"/>
    <s v="Rural"/>
    <s v="Femenino"/>
    <x v="1"/>
    <x v="0"/>
  </r>
  <r>
    <n v="34"/>
    <s v="79. Huancavelica"/>
    <s v="Secundaria"/>
    <x v="3"/>
    <x v="23"/>
    <s v="Rural"/>
    <s v="Masculino"/>
    <x v="0"/>
    <x v="0"/>
  </r>
  <r>
    <n v="37"/>
    <s v="79. Huancavelica"/>
    <s v="Secundaria"/>
    <x v="3"/>
    <x v="23"/>
    <s v="Rural"/>
    <s v="Masculino"/>
    <x v="0"/>
    <x v="0"/>
  </r>
  <r>
    <n v="38"/>
    <s v="79. Huancavelica"/>
    <s v="Secundaria"/>
    <x v="3"/>
    <x v="23"/>
    <s v="Rural"/>
    <s v="Masculino"/>
    <x v="0"/>
    <x v="0"/>
  </r>
  <r>
    <n v="39"/>
    <s v="79. Huancavelica"/>
    <s v="Secundaria"/>
    <x v="3"/>
    <x v="23"/>
    <s v="Rural"/>
    <s v="Femenino"/>
    <x v="1"/>
    <x v="0"/>
  </r>
  <r>
    <n v="40"/>
    <s v="79. Huancavelica"/>
    <s v="Secundaria"/>
    <x v="3"/>
    <x v="23"/>
    <s v="Rural"/>
    <s v="Masculino"/>
    <x v="0"/>
    <x v="0"/>
  </r>
  <r>
    <n v="41"/>
    <s v="79. Huancavelica"/>
    <s v="Secundaria"/>
    <x v="3"/>
    <x v="23"/>
    <s v="Rural"/>
    <s v="Masculino"/>
    <x v="0"/>
    <x v="0"/>
  </r>
  <r>
    <n v="42"/>
    <s v="79. Huancavelica"/>
    <s v="Secundaria"/>
    <x v="3"/>
    <x v="23"/>
    <s v="Rural"/>
    <s v="Masculino"/>
    <x v="0"/>
    <x v="0"/>
  </r>
  <r>
    <n v="43"/>
    <s v="79. Huancavelica"/>
    <s v="Secundaria"/>
    <x v="3"/>
    <x v="23"/>
    <s v="Rural"/>
    <s v="Masculino"/>
    <x v="0"/>
    <x v="0"/>
  </r>
  <r>
    <n v="45"/>
    <s v="79. Huancavelica"/>
    <s v="Secundaria"/>
    <x v="3"/>
    <x v="23"/>
    <s v="Rural"/>
    <s v="Femenino"/>
    <x v="1"/>
    <x v="0"/>
  </r>
  <r>
    <n v="46"/>
    <s v="79. Huancavelica"/>
    <s v="Secundaria"/>
    <x v="3"/>
    <x v="23"/>
    <s v="Rural"/>
    <s v="Masculino"/>
    <x v="0"/>
    <x v="0"/>
  </r>
  <r>
    <n v="47"/>
    <s v="79. Huancavelica"/>
    <s v="Secundaria"/>
    <x v="3"/>
    <x v="23"/>
    <s v="Rural"/>
    <s v="Femenino"/>
    <x v="0"/>
    <x v="0"/>
  </r>
  <r>
    <n v="49"/>
    <s v="79. Huancavelica"/>
    <s v="Secundaria"/>
    <x v="3"/>
    <x v="23"/>
    <s v="Rural"/>
    <s v="Femenino"/>
    <x v="0"/>
    <x v="0"/>
  </r>
  <r>
    <n v="50"/>
    <s v="79. Huancavelica"/>
    <s v="Secundaria"/>
    <x v="3"/>
    <x v="23"/>
    <s v="Rural"/>
    <s v="Masculino"/>
    <x v="0"/>
    <x v="0"/>
  </r>
  <r>
    <n v="51"/>
    <s v="79. Huancavelica"/>
    <s v="Secundaria"/>
    <x v="3"/>
    <x v="23"/>
    <s v="Rural"/>
    <s v="Femenino"/>
    <x v="0"/>
    <x v="0"/>
  </r>
  <r>
    <n v="52"/>
    <s v="79. Huancavelica"/>
    <s v="Secundaria"/>
    <x v="3"/>
    <x v="23"/>
    <s v="Rural"/>
    <s v="Masculino"/>
    <x v="1"/>
    <x v="0"/>
  </r>
  <r>
    <n v="54"/>
    <s v="79. Huancavelica"/>
    <s v="Secundaria"/>
    <x v="3"/>
    <x v="23"/>
    <s v="Rural"/>
    <s v="Femenino"/>
    <x v="0"/>
    <x v="0"/>
  </r>
  <r>
    <n v="57"/>
    <s v="79. Huancavelica"/>
    <s v="Secundaria"/>
    <x v="3"/>
    <x v="23"/>
    <s v="Rural"/>
    <s v="Femenino"/>
    <x v="0"/>
    <x v="0"/>
  </r>
  <r>
    <n v="58"/>
    <s v="79. Huancavelica"/>
    <s v="Secundaria"/>
    <x v="3"/>
    <x v="23"/>
    <s v="Rural"/>
    <s v="Femenino"/>
    <x v="1"/>
    <x v="0"/>
  </r>
  <r>
    <n v="61"/>
    <s v="79. Huancavelica"/>
    <s v="Secundaria"/>
    <x v="3"/>
    <x v="23"/>
    <s v="Rural"/>
    <s v="Femenino"/>
    <x v="0"/>
    <x v="0"/>
  </r>
  <r>
    <n v="62"/>
    <s v="79. Huancavelica"/>
    <s v="Secundaria"/>
    <x v="3"/>
    <x v="23"/>
    <s v="Rural"/>
    <s v="Femenino"/>
    <x v="0"/>
    <x v="0"/>
  </r>
  <r>
    <n v="63"/>
    <s v="79. Huancavelica"/>
    <s v="Secundaria"/>
    <x v="3"/>
    <x v="23"/>
    <s v="Rural"/>
    <s v="Femenino"/>
    <x v="0"/>
    <x v="0"/>
  </r>
  <r>
    <n v="64"/>
    <s v="79. Huancavelica"/>
    <s v="Secundaria"/>
    <x v="3"/>
    <x v="23"/>
    <s v="Rural"/>
    <s v="Femenino"/>
    <x v="0"/>
    <x v="0"/>
  </r>
  <r>
    <n v="65"/>
    <s v="79. Huancavelica"/>
    <s v="Secundaria"/>
    <x v="3"/>
    <x v="23"/>
    <s v="Rural"/>
    <s v="Femenino"/>
    <x v="0"/>
    <x v="0"/>
  </r>
  <r>
    <n v="1"/>
    <s v="79. Huancavelica"/>
    <s v="Primaria"/>
    <x v="4"/>
    <x v="24"/>
    <s v="Rural"/>
    <s v="Masculino"/>
    <x v="0"/>
    <x v="0"/>
  </r>
  <r>
    <n v="2"/>
    <s v="79. Huancavelica"/>
    <s v="Primaria"/>
    <x v="4"/>
    <x v="24"/>
    <s v="Rural"/>
    <s v="Femenino"/>
    <x v="0"/>
    <x v="0"/>
  </r>
  <r>
    <n v="3"/>
    <s v="79. Huancavelica"/>
    <s v="Primaria"/>
    <x v="0"/>
    <x v="24"/>
    <s v="Rural"/>
    <s v="Femenino"/>
    <x v="0"/>
    <x v="0"/>
  </r>
  <r>
    <n v="4"/>
    <s v="79. Huancavelica"/>
    <s v="Primaria"/>
    <x v="1"/>
    <x v="24"/>
    <s v="Rural"/>
    <s v="Masculino"/>
    <x v="0"/>
    <x v="0"/>
  </r>
  <r>
    <n v="5"/>
    <s v="79. Huancavelica"/>
    <s v="Primaria"/>
    <x v="1"/>
    <x v="24"/>
    <s v="Rural"/>
    <s v="Masculino"/>
    <x v="0"/>
    <x v="0"/>
  </r>
  <r>
    <n v="6"/>
    <s v="79. Huancavelica"/>
    <s v="Primaria"/>
    <x v="1"/>
    <x v="24"/>
    <s v="Rural"/>
    <s v="Masculino"/>
    <x v="0"/>
    <x v="0"/>
  </r>
  <r>
    <n v="7"/>
    <s v="79. Huancavelica"/>
    <s v="Primaria"/>
    <x v="1"/>
    <x v="24"/>
    <s v="Rural"/>
    <s v="Masculino"/>
    <x v="0"/>
    <x v="0"/>
  </r>
  <r>
    <n v="9"/>
    <s v="79. Huancavelica"/>
    <s v="Primaria"/>
    <x v="4"/>
    <x v="25"/>
    <s v="Rural"/>
    <s v="Femenino"/>
    <x v="1"/>
    <x v="0"/>
  </r>
  <r>
    <n v="10"/>
    <s v="79. Huancavelica"/>
    <s v="Primaria"/>
    <x v="4"/>
    <x v="25"/>
    <s v="Rural"/>
    <s v="Masculino"/>
    <x v="0"/>
    <x v="0"/>
  </r>
  <r>
    <n v="11"/>
    <s v="79. Huancavelica"/>
    <s v="Primaria"/>
    <x v="4"/>
    <x v="25"/>
    <s v="Rural"/>
    <s v="Femenino"/>
    <x v="1"/>
    <x v="0"/>
  </r>
  <r>
    <n v="12"/>
    <s v="79. Huancavelica"/>
    <s v="Primaria"/>
    <x v="4"/>
    <x v="25"/>
    <s v="Rural"/>
    <s v="Masculino"/>
    <x v="1"/>
    <x v="0"/>
  </r>
  <r>
    <n v="13"/>
    <s v="79. Huancavelica"/>
    <s v="Primaria"/>
    <x v="4"/>
    <x v="25"/>
    <s v="Rural"/>
    <s v="Femenino"/>
    <x v="1"/>
    <x v="0"/>
  </r>
  <r>
    <n v="14"/>
    <s v="79. Huancavelica"/>
    <s v="Primaria"/>
    <x v="4"/>
    <x v="25"/>
    <s v="Rural"/>
    <s v="Masculino"/>
    <x v="0"/>
    <x v="0"/>
  </r>
  <r>
    <n v="15"/>
    <s v="79. Huancavelica"/>
    <s v="Primaria"/>
    <x v="4"/>
    <x v="25"/>
    <s v="Rural"/>
    <s v="Masculino"/>
    <x v="0"/>
    <x v="0"/>
  </r>
  <r>
    <n v="16"/>
    <s v="79. Huancavelica"/>
    <s v="Primaria"/>
    <x v="4"/>
    <x v="25"/>
    <s v="Rural"/>
    <s v="Masculino"/>
    <x v="0"/>
    <x v="0"/>
  </r>
  <r>
    <n v="17"/>
    <s v="79. Huancavelica"/>
    <s v="Primaria"/>
    <x v="0"/>
    <x v="25"/>
    <s v="Rural"/>
    <s v="Femenino"/>
    <x v="1"/>
    <x v="0"/>
  </r>
  <r>
    <n v="18"/>
    <s v="79. Huancavelica"/>
    <s v="Primaria"/>
    <x v="0"/>
    <x v="25"/>
    <s v="Rural"/>
    <s v="Masculino"/>
    <x v="2"/>
    <x v="0"/>
  </r>
  <r>
    <n v="19"/>
    <s v="79. Huancavelica"/>
    <s v="Primaria"/>
    <x v="0"/>
    <x v="25"/>
    <s v="Rural"/>
    <s v="Femenino"/>
    <x v="1"/>
    <x v="0"/>
  </r>
  <r>
    <n v="20"/>
    <s v="79. Huancavelica"/>
    <s v="Primaria"/>
    <x v="0"/>
    <x v="25"/>
    <s v="Rural"/>
    <s v="Femenino"/>
    <x v="1"/>
    <x v="0"/>
  </r>
  <r>
    <n v="21"/>
    <s v="79. Huancavelica"/>
    <s v="Primaria"/>
    <x v="1"/>
    <x v="25"/>
    <s v="Rural"/>
    <s v="Femenino"/>
    <x v="1"/>
    <x v="0"/>
  </r>
  <r>
    <n v="22"/>
    <s v="79. Huancavelica"/>
    <s v="Primaria"/>
    <x v="1"/>
    <x v="25"/>
    <s v="Rural"/>
    <s v="Femenino"/>
    <x v="2"/>
    <x v="0"/>
  </r>
  <r>
    <n v="23"/>
    <s v="79. Huancavelica"/>
    <s v="Primaria"/>
    <x v="1"/>
    <x v="25"/>
    <s v="Rural"/>
    <s v="Masculino"/>
    <x v="2"/>
    <x v="0"/>
  </r>
  <r>
    <n v="24"/>
    <s v="79. Huancavelica"/>
    <s v="Primaria"/>
    <x v="1"/>
    <x v="25"/>
    <s v="Rural"/>
    <s v="Femenino"/>
    <x v="2"/>
    <x v="0"/>
  </r>
  <r>
    <n v="1"/>
    <s v="79. Huancavelica"/>
    <s v="Secundaria"/>
    <x v="2"/>
    <x v="26"/>
    <s v="Rural"/>
    <s v="Masculino"/>
    <x v="1"/>
    <x v="0"/>
  </r>
  <r>
    <n v="2"/>
    <s v="79. Huancavelica"/>
    <s v="Secundaria"/>
    <x v="2"/>
    <x v="26"/>
    <s v="Rural"/>
    <s v="Femenino"/>
    <x v="0"/>
    <x v="0"/>
  </r>
  <r>
    <n v="3"/>
    <s v="79. Huancavelica"/>
    <s v="Secundaria"/>
    <x v="2"/>
    <x v="26"/>
    <s v="Rural"/>
    <s v="Femenino"/>
    <x v="0"/>
    <x v="0"/>
  </r>
  <r>
    <n v="4"/>
    <s v="79. Huancavelica"/>
    <s v="Secundaria"/>
    <x v="2"/>
    <x v="26"/>
    <s v="Rural"/>
    <s v="Masculino"/>
    <x v="0"/>
    <x v="0"/>
  </r>
  <r>
    <n v="5"/>
    <s v="79. Huancavelica"/>
    <s v="Secundaria"/>
    <x v="2"/>
    <x v="26"/>
    <s v="Rural"/>
    <s v="Femenino"/>
    <x v="0"/>
    <x v="0"/>
  </r>
  <r>
    <n v="6"/>
    <s v="79. Huancavelica"/>
    <s v="Secundaria"/>
    <x v="2"/>
    <x v="26"/>
    <s v="Rural"/>
    <s v="Masculino"/>
    <x v="0"/>
    <x v="0"/>
  </r>
  <r>
    <n v="7"/>
    <s v="79. Huancavelica"/>
    <s v="Secundaria"/>
    <x v="2"/>
    <x v="26"/>
    <s v="Rural"/>
    <s v="Femenino"/>
    <x v="0"/>
    <x v="0"/>
  </r>
  <r>
    <n v="8"/>
    <s v="79. Huancavelica"/>
    <s v="Secundaria"/>
    <x v="2"/>
    <x v="26"/>
    <s v="Rural"/>
    <s v="Masculino"/>
    <x v="0"/>
    <x v="0"/>
  </r>
  <r>
    <n v="9"/>
    <s v="79. Huancavelica"/>
    <s v="Secundaria"/>
    <x v="2"/>
    <x v="26"/>
    <s v="Rural"/>
    <s v="Masculino"/>
    <x v="0"/>
    <x v="0"/>
  </r>
  <r>
    <n v="10"/>
    <s v="79. Huancavelica"/>
    <s v="Secundaria"/>
    <x v="2"/>
    <x v="26"/>
    <s v="Rural"/>
    <s v="Femenino"/>
    <x v="0"/>
    <x v="0"/>
  </r>
  <r>
    <n v="11"/>
    <s v="79. Huancavelica"/>
    <s v="Secundaria"/>
    <x v="2"/>
    <x v="26"/>
    <s v="Rural"/>
    <s v="Masculino"/>
    <x v="0"/>
    <x v="0"/>
  </r>
  <r>
    <n v="12"/>
    <s v="79. Huancavelica"/>
    <s v="Secundaria"/>
    <x v="2"/>
    <x v="26"/>
    <s v="Rural"/>
    <s v="Femenino"/>
    <x v="0"/>
    <x v="0"/>
  </r>
  <r>
    <n v="13"/>
    <s v="79. Huancavelica"/>
    <s v="Secundaria"/>
    <x v="2"/>
    <x v="26"/>
    <s v="Rural"/>
    <s v="Femenino"/>
    <x v="0"/>
    <x v="0"/>
  </r>
  <r>
    <n v="14"/>
    <s v="79. Huancavelica"/>
    <s v="Secundaria"/>
    <x v="2"/>
    <x v="26"/>
    <s v="Rural"/>
    <s v="Femenino"/>
    <x v="0"/>
    <x v="0"/>
  </r>
  <r>
    <n v="15"/>
    <s v="79. Huancavelica"/>
    <s v="Secundaria"/>
    <x v="2"/>
    <x v="26"/>
    <s v="Rural"/>
    <s v="Masculino"/>
    <x v="0"/>
    <x v="0"/>
  </r>
  <r>
    <n v="16"/>
    <s v="79. Huancavelica"/>
    <s v="Secundaria"/>
    <x v="2"/>
    <x v="26"/>
    <s v="Rural"/>
    <s v="Masculino"/>
    <x v="0"/>
    <x v="0"/>
  </r>
  <r>
    <n v="17"/>
    <s v="79. Huancavelica"/>
    <s v="Secundaria"/>
    <x v="2"/>
    <x v="26"/>
    <s v="Rural"/>
    <s v="Femenino"/>
    <x v="0"/>
    <x v="0"/>
  </r>
  <r>
    <n v="18"/>
    <s v="79. Huancavelica"/>
    <s v="Secundaria"/>
    <x v="2"/>
    <x v="26"/>
    <s v="Rural"/>
    <s v="Femenino"/>
    <x v="0"/>
    <x v="0"/>
  </r>
  <r>
    <n v="19"/>
    <s v="79. Huancavelica"/>
    <s v="Secundaria"/>
    <x v="2"/>
    <x v="26"/>
    <s v="Rural"/>
    <s v="Femenino"/>
    <x v="0"/>
    <x v="0"/>
  </r>
  <r>
    <n v="20"/>
    <s v="79. Huancavelica"/>
    <s v="Secundaria"/>
    <x v="2"/>
    <x v="26"/>
    <s v="Rural"/>
    <s v="Masculino"/>
    <x v="0"/>
    <x v="0"/>
  </r>
  <r>
    <n v="21"/>
    <s v="79. Huancavelica"/>
    <s v="Secundaria"/>
    <x v="2"/>
    <x v="26"/>
    <s v="Rural"/>
    <s v="Femenino"/>
    <x v="0"/>
    <x v="0"/>
  </r>
  <r>
    <n v="22"/>
    <s v="79. Huancavelica"/>
    <s v="Secundaria"/>
    <x v="2"/>
    <x v="26"/>
    <s v="Rural"/>
    <s v="Femenino"/>
    <x v="0"/>
    <x v="0"/>
  </r>
  <r>
    <n v="23"/>
    <s v="79. Huancavelica"/>
    <s v="Secundaria"/>
    <x v="2"/>
    <x v="26"/>
    <s v="Rural"/>
    <s v="Femenino"/>
    <x v="0"/>
    <x v="0"/>
  </r>
  <r>
    <n v="24"/>
    <s v="79. Huancavelica"/>
    <s v="Secundaria"/>
    <x v="2"/>
    <x v="26"/>
    <s v="Rural"/>
    <s v="Masculino"/>
    <x v="0"/>
    <x v="0"/>
  </r>
  <r>
    <n v="25"/>
    <s v="79. Huancavelica"/>
    <s v="Secundaria"/>
    <x v="2"/>
    <x v="26"/>
    <s v="Rural"/>
    <s v="Masculino"/>
    <x v="0"/>
    <x v="0"/>
  </r>
  <r>
    <n v="26"/>
    <s v="79. Huancavelica"/>
    <s v="Secundaria"/>
    <x v="3"/>
    <x v="26"/>
    <s v="Rural"/>
    <s v="Femenino"/>
    <x v="1"/>
    <x v="0"/>
  </r>
  <r>
    <n v="27"/>
    <s v="79. Huancavelica"/>
    <s v="Secundaria"/>
    <x v="3"/>
    <x v="26"/>
    <s v="Rural"/>
    <s v="Masculino"/>
    <x v="0"/>
    <x v="0"/>
  </r>
  <r>
    <n v="28"/>
    <s v="79. Huancavelica"/>
    <s v="Secundaria"/>
    <x v="3"/>
    <x v="26"/>
    <s v="Rural"/>
    <s v="Femenino"/>
    <x v="1"/>
    <x v="0"/>
  </r>
  <r>
    <n v="29"/>
    <s v="79. Huancavelica"/>
    <s v="Secundaria"/>
    <x v="3"/>
    <x v="26"/>
    <s v="Rural"/>
    <s v="Femenino"/>
    <x v="2"/>
    <x v="0"/>
  </r>
  <r>
    <n v="30"/>
    <s v="79. Huancavelica"/>
    <s v="Secundaria"/>
    <x v="3"/>
    <x v="26"/>
    <s v="Rural"/>
    <s v="Femenino"/>
    <x v="0"/>
    <x v="0"/>
  </r>
  <r>
    <n v="31"/>
    <s v="79. Huancavelica"/>
    <s v="Secundaria"/>
    <x v="3"/>
    <x v="26"/>
    <s v="Rural"/>
    <s v="Masculino"/>
    <x v="0"/>
    <x v="0"/>
  </r>
  <r>
    <n v="32"/>
    <s v="79. Huancavelica"/>
    <s v="Secundaria"/>
    <x v="3"/>
    <x v="26"/>
    <s v="Rural"/>
    <s v="Masculino"/>
    <x v="0"/>
    <x v="0"/>
  </r>
  <r>
    <n v="33"/>
    <s v="79. Huancavelica"/>
    <s v="Secundaria"/>
    <x v="3"/>
    <x v="26"/>
    <s v="Rural"/>
    <s v="Masculino"/>
    <x v="0"/>
    <x v="0"/>
  </r>
  <r>
    <n v="34"/>
    <s v="79. Huancavelica"/>
    <s v="Secundaria"/>
    <x v="3"/>
    <x v="26"/>
    <s v="Rural"/>
    <s v="Masculino"/>
    <x v="0"/>
    <x v="0"/>
  </r>
  <r>
    <n v="35"/>
    <s v="79. Huancavelica"/>
    <s v="Secundaria"/>
    <x v="3"/>
    <x v="26"/>
    <s v="Rural"/>
    <s v="Masculino"/>
    <x v="0"/>
    <x v="0"/>
  </r>
  <r>
    <n v="36"/>
    <s v="79. Huancavelica"/>
    <s v="Secundaria"/>
    <x v="3"/>
    <x v="26"/>
    <s v="Rural"/>
    <s v="Masculino"/>
    <x v="0"/>
    <x v="0"/>
  </r>
  <r>
    <n v="37"/>
    <s v="79. Huancavelica"/>
    <s v="Secundaria"/>
    <x v="3"/>
    <x v="26"/>
    <s v="Rural"/>
    <s v="Femenino"/>
    <x v="0"/>
    <x v="0"/>
  </r>
  <r>
    <n v="38"/>
    <s v="79. Huancavelica"/>
    <s v="Secundaria"/>
    <x v="3"/>
    <x v="26"/>
    <s v="Rural"/>
    <s v="Femenino"/>
    <x v="0"/>
    <x v="0"/>
  </r>
  <r>
    <n v="39"/>
    <s v="79. Huancavelica"/>
    <s v="Secundaria"/>
    <x v="3"/>
    <x v="26"/>
    <s v="Rural"/>
    <s v="Masculino"/>
    <x v="0"/>
    <x v="0"/>
  </r>
  <r>
    <n v="40"/>
    <s v="79. Huancavelica"/>
    <s v="Secundaria"/>
    <x v="3"/>
    <x v="26"/>
    <s v="Rural"/>
    <s v="Femenino"/>
    <x v="0"/>
    <x v="0"/>
  </r>
  <r>
    <n v="41"/>
    <s v="79. Huancavelica"/>
    <s v="Secundaria"/>
    <x v="3"/>
    <x v="26"/>
    <s v="Rural"/>
    <s v="Femenino"/>
    <x v="0"/>
    <x v="0"/>
  </r>
  <r>
    <n v="42"/>
    <s v="79. Huancavelica"/>
    <s v="Secundaria"/>
    <x v="3"/>
    <x v="26"/>
    <s v="Rural"/>
    <s v="Masculino"/>
    <x v="0"/>
    <x v="0"/>
  </r>
  <r>
    <n v="43"/>
    <s v="79. Huancavelica"/>
    <s v="Secundaria"/>
    <x v="3"/>
    <x v="26"/>
    <s v="Rural"/>
    <s v="Femenino"/>
    <x v="0"/>
    <x v="0"/>
  </r>
  <r>
    <n v="44"/>
    <s v="79. Huancavelica"/>
    <s v="Secundaria"/>
    <x v="3"/>
    <x v="26"/>
    <s v="Rural"/>
    <s v="Masculino"/>
    <x v="0"/>
    <x v="0"/>
  </r>
  <r>
    <n v="45"/>
    <s v="79. Huancavelica"/>
    <s v="Secundaria"/>
    <x v="3"/>
    <x v="26"/>
    <s v="Rural"/>
    <s v="Femenino"/>
    <x v="0"/>
    <x v="0"/>
  </r>
  <r>
    <n v="46"/>
    <s v="79. Huancavelica"/>
    <s v="Secundaria"/>
    <x v="3"/>
    <x v="26"/>
    <s v="Rural"/>
    <s v="Masculino"/>
    <x v="0"/>
    <x v="0"/>
  </r>
  <r>
    <n v="47"/>
    <s v="79. Huancavelica"/>
    <s v="Secundaria"/>
    <x v="3"/>
    <x v="26"/>
    <s v="Rural"/>
    <s v="Femenino"/>
    <x v="0"/>
    <x v="0"/>
  </r>
  <r>
    <n v="48"/>
    <s v="79. Huancavelica"/>
    <s v="Secundaria"/>
    <x v="3"/>
    <x v="26"/>
    <s v="Rural"/>
    <s v="Femenino"/>
    <x v="0"/>
    <x v="0"/>
  </r>
  <r>
    <n v="49"/>
    <s v="79. Huancavelica"/>
    <s v="Secundaria"/>
    <x v="3"/>
    <x v="26"/>
    <s v="Rural"/>
    <s v="Femenino"/>
    <x v="0"/>
    <x v="0"/>
  </r>
  <r>
    <n v="50"/>
    <s v="79. Huancavelica"/>
    <s v="Secundaria"/>
    <x v="3"/>
    <x v="26"/>
    <s v="Rural"/>
    <s v="Masculino"/>
    <x v="0"/>
    <x v="0"/>
  </r>
  <r>
    <n v="51"/>
    <s v="79. Huancavelica"/>
    <s v="Secundaria"/>
    <x v="3"/>
    <x v="26"/>
    <s v="Rural"/>
    <s v="Masculino"/>
    <x v="0"/>
    <x v="0"/>
  </r>
  <r>
    <n v="11"/>
    <s v="79. Huancavelica"/>
    <s v="Primaria"/>
    <x v="4"/>
    <x v="27"/>
    <s v="Rural"/>
    <s v="Femenino"/>
    <x v="0"/>
    <x v="0"/>
  </r>
  <r>
    <n v="12"/>
    <s v="79. Huancavelica"/>
    <s v="Primaria"/>
    <x v="4"/>
    <x v="27"/>
    <s v="Rural"/>
    <s v="Masculino"/>
    <x v="0"/>
    <x v="0"/>
  </r>
  <r>
    <n v="13"/>
    <s v="79. Huancavelica"/>
    <s v="Primaria"/>
    <x v="4"/>
    <x v="27"/>
    <s v="Rural"/>
    <s v="Femenino"/>
    <x v="0"/>
    <x v="0"/>
  </r>
  <r>
    <n v="14"/>
    <s v="79. Huancavelica"/>
    <s v="Primaria"/>
    <x v="4"/>
    <x v="27"/>
    <s v="Rural"/>
    <s v="Masculino"/>
    <x v="1"/>
    <x v="0"/>
  </r>
  <r>
    <n v="15"/>
    <s v="79. Huancavelica"/>
    <s v="Primaria"/>
    <x v="4"/>
    <x v="27"/>
    <s v="Rural"/>
    <s v="Masculino"/>
    <x v="1"/>
    <x v="0"/>
  </r>
  <r>
    <n v="16"/>
    <s v="79. Huancavelica"/>
    <s v="Primaria"/>
    <x v="4"/>
    <x v="27"/>
    <s v="Rural"/>
    <s v="Masculino"/>
    <x v="1"/>
    <x v="0"/>
  </r>
  <r>
    <n v="17"/>
    <s v="79. Huancavelica"/>
    <s v="Primaria"/>
    <x v="4"/>
    <x v="27"/>
    <s v="Rural"/>
    <s v="Masculino"/>
    <x v="1"/>
    <x v="0"/>
  </r>
  <r>
    <n v="18"/>
    <s v="79. Huancavelica"/>
    <s v="Primaria"/>
    <x v="4"/>
    <x v="27"/>
    <s v="Rural"/>
    <s v="Masculino"/>
    <x v="1"/>
    <x v="0"/>
  </r>
  <r>
    <n v="19"/>
    <s v="79. Huancavelica"/>
    <s v="Primaria"/>
    <x v="4"/>
    <x v="27"/>
    <s v="Rural"/>
    <s v="Femenino"/>
    <x v="1"/>
    <x v="0"/>
  </r>
  <r>
    <n v="20"/>
    <s v="79. Huancavelica"/>
    <s v="Primaria"/>
    <x v="4"/>
    <x v="27"/>
    <s v="Rural"/>
    <s v="Femenino"/>
    <x v="1"/>
    <x v="0"/>
  </r>
  <r>
    <n v="21"/>
    <s v="79. Huancavelica"/>
    <s v="Primaria"/>
    <x v="4"/>
    <x v="27"/>
    <s v="Rural"/>
    <s v="Femenino"/>
    <x v="0"/>
    <x v="0"/>
  </r>
  <r>
    <n v="22"/>
    <s v="79. Huancavelica"/>
    <s v="Primaria"/>
    <x v="4"/>
    <x v="27"/>
    <s v="Rural"/>
    <s v="Femenino"/>
    <x v="1"/>
    <x v="0"/>
  </r>
  <r>
    <n v="23"/>
    <s v="79. Huancavelica"/>
    <s v="Primaria"/>
    <x v="0"/>
    <x v="27"/>
    <s v="Rural"/>
    <s v="Masculino"/>
    <x v="1"/>
    <x v="0"/>
  </r>
  <r>
    <n v="24"/>
    <s v="79. Huancavelica"/>
    <s v="Primaria"/>
    <x v="0"/>
    <x v="27"/>
    <s v="Rural"/>
    <s v="Femenino"/>
    <x v="1"/>
    <x v="0"/>
  </r>
  <r>
    <n v="25"/>
    <s v="79. Huancavelica"/>
    <s v="Primaria"/>
    <x v="0"/>
    <x v="27"/>
    <s v="Rural"/>
    <s v="Masculino"/>
    <x v="0"/>
    <x v="0"/>
  </r>
  <r>
    <n v="26"/>
    <s v="79. Huancavelica"/>
    <s v="Primaria"/>
    <x v="0"/>
    <x v="27"/>
    <s v="Rural"/>
    <s v="Masculino"/>
    <x v="0"/>
    <x v="0"/>
  </r>
  <r>
    <n v="27"/>
    <s v="79. Huancavelica"/>
    <s v="Primaria"/>
    <x v="0"/>
    <x v="27"/>
    <s v="Rural"/>
    <s v="Masculino"/>
    <x v="1"/>
    <x v="0"/>
  </r>
  <r>
    <n v="28"/>
    <s v="79. Huancavelica"/>
    <s v="Primaria"/>
    <x v="0"/>
    <x v="27"/>
    <s v="Rural"/>
    <s v="Femenino"/>
    <x v="0"/>
    <x v="0"/>
  </r>
  <r>
    <n v="29"/>
    <s v="79. Huancavelica"/>
    <s v="Primaria"/>
    <x v="0"/>
    <x v="27"/>
    <s v="Rural"/>
    <s v="Femenino"/>
    <x v="1"/>
    <x v="0"/>
  </r>
  <r>
    <n v="30"/>
    <s v="79. Huancavelica"/>
    <s v="Primaria"/>
    <x v="1"/>
    <x v="27"/>
    <s v="Rural"/>
    <s v="Masculino"/>
    <x v="1"/>
    <x v="0"/>
  </r>
  <r>
    <n v="31"/>
    <s v="79. Huancavelica"/>
    <s v="Primaria"/>
    <x v="1"/>
    <x v="27"/>
    <s v="Rural"/>
    <s v="Femenino"/>
    <x v="1"/>
    <x v="0"/>
  </r>
  <r>
    <n v="32"/>
    <s v="79. Huancavelica"/>
    <s v="Primaria"/>
    <x v="1"/>
    <x v="27"/>
    <s v="Rural"/>
    <s v="Masculino"/>
    <x v="1"/>
    <x v="0"/>
  </r>
  <r>
    <n v="33"/>
    <s v="79. Huancavelica"/>
    <s v="Primaria"/>
    <x v="1"/>
    <x v="27"/>
    <s v="Rural"/>
    <s v="Femenino"/>
    <x v="1"/>
    <x v="0"/>
  </r>
  <r>
    <n v="34"/>
    <s v="79. Huancavelica"/>
    <s v="Primaria"/>
    <x v="1"/>
    <x v="27"/>
    <s v="Rural"/>
    <s v="Femenino"/>
    <x v="1"/>
    <x v="0"/>
  </r>
  <r>
    <n v="35"/>
    <s v="79. Huancavelica"/>
    <s v="Primaria"/>
    <x v="1"/>
    <x v="27"/>
    <s v="Rural"/>
    <s v="Femenino"/>
    <x v="1"/>
    <x v="0"/>
  </r>
  <r>
    <n v="36"/>
    <s v="79. Huancavelica"/>
    <s v="Primaria"/>
    <x v="1"/>
    <x v="27"/>
    <s v="Rural"/>
    <s v="Masculino"/>
    <x v="1"/>
    <x v="0"/>
  </r>
  <r>
    <n v="37"/>
    <s v="79. Huancavelica"/>
    <s v="Primaria"/>
    <x v="1"/>
    <x v="27"/>
    <s v="Rural"/>
    <s v="Masculino"/>
    <x v="1"/>
    <x v="0"/>
  </r>
  <r>
    <n v="1"/>
    <s v="47. Loreto"/>
    <s v="Primaria"/>
    <x v="4"/>
    <x v="28"/>
    <s v="Rural"/>
    <s v="Femenino"/>
    <x v="0"/>
    <x v="0"/>
  </r>
  <r>
    <n v="2"/>
    <s v="47. Loreto"/>
    <s v="Primaria"/>
    <x v="0"/>
    <x v="28"/>
    <s v="Rural"/>
    <s v="Masculino"/>
    <x v="0"/>
    <x v="0"/>
  </r>
  <r>
    <n v="3"/>
    <s v="47. Loreto"/>
    <s v="Primaria"/>
    <x v="0"/>
    <x v="28"/>
    <s v="Rural"/>
    <s v="Femenino"/>
    <x v="0"/>
    <x v="0"/>
  </r>
  <r>
    <n v="4"/>
    <s v="47. Loreto"/>
    <s v="Primaria"/>
    <x v="1"/>
    <x v="28"/>
    <s v="Rural"/>
    <s v="Masculino"/>
    <x v="0"/>
    <x v="0"/>
  </r>
  <r>
    <n v="5"/>
    <s v="47. Loreto"/>
    <s v="Primaria"/>
    <x v="1"/>
    <x v="28"/>
    <s v="Rural"/>
    <s v="Femenino"/>
    <x v="1"/>
    <x v="0"/>
  </r>
  <r>
    <n v="6"/>
    <s v="47. Loreto"/>
    <s v="Primaria"/>
    <x v="4"/>
    <x v="29"/>
    <s v="Rural"/>
    <s v="Masculino"/>
    <x v="1"/>
    <x v="0"/>
  </r>
  <r>
    <n v="7"/>
    <s v="47. Loreto"/>
    <s v="Primaria"/>
    <x v="4"/>
    <x v="29"/>
    <s v="Rural"/>
    <s v="Femenino"/>
    <x v="1"/>
    <x v="0"/>
  </r>
  <r>
    <n v="8"/>
    <s v="47. Loreto"/>
    <s v="Primaria"/>
    <x v="4"/>
    <x v="29"/>
    <s v="Rural"/>
    <s v="Masculino"/>
    <x v="0"/>
    <x v="0"/>
  </r>
  <r>
    <n v="9"/>
    <s v="47. Loreto"/>
    <s v="Primaria"/>
    <x v="0"/>
    <x v="29"/>
    <s v="Rural"/>
    <s v="Masculino"/>
    <x v="0"/>
    <x v="0"/>
  </r>
  <r>
    <n v="10"/>
    <s v="47. Loreto"/>
    <s v="Primaria"/>
    <x v="0"/>
    <x v="29"/>
    <s v="Rural"/>
    <s v="Femenino"/>
    <x v="0"/>
    <x v="0"/>
  </r>
  <r>
    <n v="11"/>
    <s v="47. Loreto"/>
    <s v="Primaria"/>
    <x v="0"/>
    <x v="29"/>
    <s v="Rural"/>
    <s v="Femenino"/>
    <x v="0"/>
    <x v="0"/>
  </r>
  <r>
    <n v="12"/>
    <s v="47. Loreto"/>
    <s v="Primaria"/>
    <x v="0"/>
    <x v="29"/>
    <s v="Rural"/>
    <s v="Masculino"/>
    <x v="1"/>
    <x v="0"/>
  </r>
  <r>
    <n v="13"/>
    <s v="47. Loreto"/>
    <s v="Primaria"/>
    <x v="0"/>
    <x v="29"/>
    <s v="Rural"/>
    <s v="Masculino"/>
    <x v="0"/>
    <x v="0"/>
  </r>
  <r>
    <n v="14"/>
    <s v="47. Loreto"/>
    <s v="Primaria"/>
    <x v="1"/>
    <x v="29"/>
    <s v="Rural"/>
    <s v="Femenino"/>
    <x v="0"/>
    <x v="0"/>
  </r>
  <r>
    <n v="15"/>
    <s v="47. Loreto"/>
    <s v="Primaria"/>
    <x v="1"/>
    <x v="29"/>
    <s v="Rural"/>
    <s v="Femenino"/>
    <x v="1"/>
    <x v="0"/>
  </r>
  <r>
    <n v="16"/>
    <s v="47. Loreto"/>
    <s v="Primaria"/>
    <x v="4"/>
    <x v="30"/>
    <s v="Rural"/>
    <s v="Femenino"/>
    <x v="1"/>
    <x v="0"/>
  </r>
  <r>
    <n v="17"/>
    <s v="47. Loreto"/>
    <s v="Primaria"/>
    <x v="4"/>
    <x v="30"/>
    <s v="Rural"/>
    <s v="Masculino"/>
    <x v="0"/>
    <x v="0"/>
  </r>
  <r>
    <n v="18"/>
    <s v="47. Loreto"/>
    <s v="Primaria"/>
    <x v="4"/>
    <x v="30"/>
    <s v="Rural"/>
    <s v="Masculino"/>
    <x v="0"/>
    <x v="0"/>
  </r>
  <r>
    <n v="19"/>
    <s v="47. Loreto"/>
    <s v="Primaria"/>
    <x v="0"/>
    <x v="30"/>
    <s v="Rural"/>
    <s v="Masculino"/>
    <x v="0"/>
    <x v="0"/>
  </r>
  <r>
    <n v="20"/>
    <s v="47. Loreto"/>
    <s v="Primaria"/>
    <x v="0"/>
    <x v="30"/>
    <s v="Rural"/>
    <s v="Femenino"/>
    <x v="0"/>
    <x v="0"/>
  </r>
  <r>
    <n v="21"/>
    <s v="47. Loreto"/>
    <s v="Primaria"/>
    <x v="1"/>
    <x v="30"/>
    <s v="Rural"/>
    <s v="Masculino"/>
    <x v="0"/>
    <x v="0"/>
  </r>
  <r>
    <n v="22"/>
    <s v="47. Loreto"/>
    <s v="Primaria"/>
    <x v="1"/>
    <x v="30"/>
    <s v="Rural"/>
    <s v="Femenino"/>
    <x v="0"/>
    <x v="0"/>
  </r>
  <r>
    <n v="23"/>
    <s v="47. Loreto"/>
    <s v="Secundaria"/>
    <x v="2"/>
    <x v="31"/>
    <s v="Rural"/>
    <s v="Masculino"/>
    <x v="1"/>
    <x v="0"/>
  </r>
  <r>
    <n v="24"/>
    <s v="47. Loreto"/>
    <s v="Secundaria"/>
    <x v="2"/>
    <x v="31"/>
    <s v="Rural"/>
    <s v="Femenino"/>
    <x v="0"/>
    <x v="0"/>
  </r>
  <r>
    <n v="25"/>
    <s v="47. Loreto"/>
    <s v="Secundaria"/>
    <x v="2"/>
    <x v="31"/>
    <s v="Rural"/>
    <s v="Femenino"/>
    <x v="0"/>
    <x v="0"/>
  </r>
  <r>
    <n v="26"/>
    <s v="47. Loreto"/>
    <s v="Secundaria"/>
    <x v="2"/>
    <x v="31"/>
    <s v="Rural"/>
    <s v="Femenino"/>
    <x v="0"/>
    <x v="0"/>
  </r>
  <r>
    <n v="27"/>
    <s v="47. Loreto"/>
    <s v="Secundaria"/>
    <x v="2"/>
    <x v="31"/>
    <s v="Rural"/>
    <s v="Masculino"/>
    <x v="0"/>
    <x v="0"/>
  </r>
  <r>
    <n v="28"/>
    <s v="47. Loreto"/>
    <s v="Secundaria"/>
    <x v="2"/>
    <x v="31"/>
    <s v="Rural"/>
    <s v="Femenino"/>
    <x v="0"/>
    <x v="0"/>
  </r>
  <r>
    <n v="29"/>
    <s v="47. Loreto"/>
    <s v="Secundaria"/>
    <x v="2"/>
    <x v="31"/>
    <s v="Rural"/>
    <s v="Masculino"/>
    <x v="1"/>
    <x v="0"/>
  </r>
  <r>
    <n v="30"/>
    <s v="47. Loreto"/>
    <s v="Secundaria"/>
    <x v="2"/>
    <x v="31"/>
    <s v="Rural"/>
    <s v="Femenino"/>
    <x v="0"/>
    <x v="0"/>
  </r>
  <r>
    <n v="31"/>
    <s v="47. Loreto"/>
    <s v="Secundaria"/>
    <x v="2"/>
    <x v="31"/>
    <s v="Rural"/>
    <s v="Femenino"/>
    <x v="0"/>
    <x v="0"/>
  </r>
  <r>
    <n v="32"/>
    <s v="47. Loreto"/>
    <s v="Secundaria"/>
    <x v="2"/>
    <x v="31"/>
    <s v="Rural"/>
    <s v="Femenino"/>
    <x v="0"/>
    <x v="0"/>
  </r>
  <r>
    <n v="33"/>
    <s v="47. Loreto"/>
    <s v="Secundaria"/>
    <x v="2"/>
    <x v="31"/>
    <s v="Rural"/>
    <s v="Femenino"/>
    <x v="0"/>
    <x v="0"/>
  </r>
  <r>
    <n v="34"/>
    <s v="47. Loreto"/>
    <s v="Secundaria"/>
    <x v="2"/>
    <x v="31"/>
    <s v="Rural"/>
    <s v="Femenino"/>
    <x v="0"/>
    <x v="0"/>
  </r>
  <r>
    <n v="35"/>
    <s v="47. Loreto"/>
    <s v="Secundaria"/>
    <x v="2"/>
    <x v="31"/>
    <s v="Rural"/>
    <s v="Femenino"/>
    <x v="0"/>
    <x v="0"/>
  </r>
  <r>
    <n v="36"/>
    <s v="47. Loreto"/>
    <s v="Secundaria"/>
    <x v="2"/>
    <x v="31"/>
    <s v="Rural"/>
    <s v="Masculino"/>
    <x v="0"/>
    <x v="0"/>
  </r>
  <r>
    <n v="37"/>
    <s v="47. Loreto"/>
    <s v="Secundaria"/>
    <x v="2"/>
    <x v="31"/>
    <s v="Rural"/>
    <s v="Femenino"/>
    <x v="1"/>
    <x v="0"/>
  </r>
  <r>
    <n v="38"/>
    <s v="47. Loreto"/>
    <s v="Secundaria"/>
    <x v="2"/>
    <x v="31"/>
    <s v="Rural"/>
    <s v="Femenino"/>
    <x v="0"/>
    <x v="0"/>
  </r>
  <r>
    <n v="39"/>
    <s v="47. Loreto"/>
    <s v="Secundaria"/>
    <x v="2"/>
    <x v="31"/>
    <s v="Rural"/>
    <s v="Masculino"/>
    <x v="0"/>
    <x v="0"/>
  </r>
  <r>
    <n v="40"/>
    <s v="47. Loreto"/>
    <s v="Secundaria"/>
    <x v="2"/>
    <x v="31"/>
    <s v="Rural"/>
    <s v="Masculino"/>
    <x v="0"/>
    <x v="0"/>
  </r>
  <r>
    <n v="41"/>
    <s v="47. Loreto"/>
    <s v="Secundaria"/>
    <x v="2"/>
    <x v="31"/>
    <s v="Rural"/>
    <s v="Femenino"/>
    <x v="0"/>
    <x v="0"/>
  </r>
  <r>
    <n v="42"/>
    <s v="47. Loreto"/>
    <s v="Secundaria"/>
    <x v="2"/>
    <x v="31"/>
    <s v="Rural"/>
    <s v="Masculino"/>
    <x v="0"/>
    <x v="0"/>
  </r>
  <r>
    <n v="43"/>
    <s v="47. Loreto"/>
    <s v="Secundaria"/>
    <x v="2"/>
    <x v="31"/>
    <s v="Rural"/>
    <s v="Femenino"/>
    <x v="0"/>
    <x v="0"/>
  </r>
  <r>
    <n v="44"/>
    <s v="47. Loreto"/>
    <s v="Secundaria"/>
    <x v="2"/>
    <x v="31"/>
    <s v="Rural"/>
    <s v="Femenino"/>
    <x v="0"/>
    <x v="0"/>
  </r>
  <r>
    <n v="45"/>
    <s v="47. Loreto"/>
    <s v="Secundaria"/>
    <x v="2"/>
    <x v="31"/>
    <s v="Rural"/>
    <s v="Femenino"/>
    <x v="0"/>
    <x v="0"/>
  </r>
  <r>
    <n v="46"/>
    <s v="47. Loreto"/>
    <s v="Secundaria"/>
    <x v="2"/>
    <x v="31"/>
    <s v="Rural"/>
    <s v="Masculino"/>
    <x v="0"/>
    <x v="0"/>
  </r>
  <r>
    <n v="47"/>
    <s v="47. Loreto"/>
    <s v="Secundaria"/>
    <x v="2"/>
    <x v="31"/>
    <s v="Rural"/>
    <s v="Masculino"/>
    <x v="0"/>
    <x v="0"/>
  </r>
  <r>
    <n v="48"/>
    <s v="47. Loreto"/>
    <s v="Secundaria"/>
    <x v="2"/>
    <x v="31"/>
    <s v="Rural"/>
    <s v="Femenino"/>
    <x v="1"/>
    <x v="0"/>
  </r>
  <r>
    <n v="49"/>
    <s v="47. Loreto"/>
    <s v="Secundaria"/>
    <x v="3"/>
    <x v="31"/>
    <s v="Rural"/>
    <s v="Masculino"/>
    <x v="0"/>
    <x v="0"/>
  </r>
  <r>
    <n v="50"/>
    <s v="47. Loreto"/>
    <s v="Secundaria"/>
    <x v="3"/>
    <x v="31"/>
    <s v="Rural"/>
    <s v="Masculino"/>
    <x v="0"/>
    <x v="0"/>
  </r>
  <r>
    <n v="51"/>
    <s v="47. Loreto"/>
    <s v="Secundaria"/>
    <x v="3"/>
    <x v="31"/>
    <s v="Rural"/>
    <s v="Femenino"/>
    <x v="0"/>
    <x v="0"/>
  </r>
  <r>
    <n v="52"/>
    <s v="47. Loreto"/>
    <s v="Secundaria"/>
    <x v="3"/>
    <x v="31"/>
    <s v="Rural"/>
    <s v="Masculino"/>
    <x v="0"/>
    <x v="0"/>
  </r>
  <r>
    <n v="53"/>
    <s v="47. Loreto"/>
    <s v="Secundaria"/>
    <x v="3"/>
    <x v="31"/>
    <s v="Rural"/>
    <s v="Masculino"/>
    <x v="0"/>
    <x v="0"/>
  </r>
  <r>
    <n v="54"/>
    <s v="47. Loreto"/>
    <s v="Secundaria"/>
    <x v="3"/>
    <x v="31"/>
    <s v="Rural"/>
    <s v="Masculino"/>
    <x v="0"/>
    <x v="0"/>
  </r>
  <r>
    <n v="55"/>
    <s v="47. Loreto"/>
    <s v="Secundaria"/>
    <x v="3"/>
    <x v="31"/>
    <s v="Rural"/>
    <s v="Masculino"/>
    <x v="1"/>
    <x v="0"/>
  </r>
  <r>
    <n v="56"/>
    <s v="47. Loreto"/>
    <s v="Secundaria"/>
    <x v="3"/>
    <x v="31"/>
    <s v="Rural"/>
    <s v="Masculino"/>
    <x v="0"/>
    <x v="0"/>
  </r>
  <r>
    <n v="57"/>
    <s v="47. Loreto"/>
    <s v="Secundaria"/>
    <x v="3"/>
    <x v="31"/>
    <s v="Rural"/>
    <s v="Masculino"/>
    <x v="0"/>
    <x v="0"/>
  </r>
  <r>
    <n v="58"/>
    <s v="47. Loreto"/>
    <s v="Secundaria"/>
    <x v="3"/>
    <x v="31"/>
    <s v="Rural"/>
    <s v="Femenino"/>
    <x v="0"/>
    <x v="0"/>
  </r>
  <r>
    <n v="59"/>
    <s v="47. Loreto"/>
    <s v="Secundaria"/>
    <x v="3"/>
    <x v="31"/>
    <s v="Rural"/>
    <s v="Masculino"/>
    <x v="0"/>
    <x v="0"/>
  </r>
  <r>
    <n v="60"/>
    <s v="47. Loreto"/>
    <s v="Secundaria"/>
    <x v="3"/>
    <x v="31"/>
    <s v="Rural"/>
    <s v="Masculino"/>
    <x v="0"/>
    <x v="0"/>
  </r>
  <r>
    <n v="61"/>
    <s v="47. Loreto"/>
    <s v="Secundaria"/>
    <x v="3"/>
    <x v="31"/>
    <s v="Rural"/>
    <s v="Masculino"/>
    <x v="0"/>
    <x v="0"/>
  </r>
  <r>
    <n v="62"/>
    <s v="47. Loreto"/>
    <s v="Secundaria"/>
    <x v="3"/>
    <x v="31"/>
    <s v="Rural"/>
    <s v="Masculino"/>
    <x v="0"/>
    <x v="0"/>
  </r>
  <r>
    <n v="63"/>
    <s v="47. Loreto"/>
    <s v="Secundaria"/>
    <x v="3"/>
    <x v="31"/>
    <s v="Rural"/>
    <s v="Masculino"/>
    <x v="0"/>
    <x v="0"/>
  </r>
  <r>
    <n v="64"/>
    <s v="47. Loreto"/>
    <s v="Secundaria"/>
    <x v="3"/>
    <x v="31"/>
    <s v="Rural"/>
    <s v="Femenino"/>
    <x v="0"/>
    <x v="0"/>
  </r>
  <r>
    <n v="65"/>
    <s v="47. Loreto"/>
    <s v="Secundaria"/>
    <x v="3"/>
    <x v="31"/>
    <s v="Rural"/>
    <s v="Femenino"/>
    <x v="0"/>
    <x v="0"/>
  </r>
  <r>
    <n v="66"/>
    <s v="47. Loreto"/>
    <s v="Secundaria"/>
    <x v="3"/>
    <x v="31"/>
    <s v="Rural"/>
    <s v="Femenino"/>
    <x v="0"/>
    <x v="0"/>
  </r>
  <r>
    <n v="67"/>
    <s v="47. Loreto"/>
    <s v="Secundaria"/>
    <x v="3"/>
    <x v="31"/>
    <s v="Rural"/>
    <s v="Masculino"/>
    <x v="0"/>
    <x v="0"/>
  </r>
  <r>
    <n v="68"/>
    <s v="47. Loreto"/>
    <s v="Secundaria"/>
    <x v="3"/>
    <x v="31"/>
    <s v="Rural"/>
    <s v="Femenino"/>
    <x v="0"/>
    <x v="0"/>
  </r>
  <r>
    <n v="69"/>
    <s v="47. Loreto"/>
    <s v="Secundaria"/>
    <x v="3"/>
    <x v="31"/>
    <s v="Rural"/>
    <s v="Femenino"/>
    <x v="0"/>
    <x v="0"/>
  </r>
  <r>
    <n v="70"/>
    <s v="47. Loreto"/>
    <s v="Secundaria"/>
    <x v="3"/>
    <x v="31"/>
    <s v="Rural"/>
    <s v="Femenino"/>
    <x v="0"/>
    <x v="0"/>
  </r>
  <r>
    <n v="71"/>
    <s v="47. Loreto"/>
    <s v="Secundaria"/>
    <x v="3"/>
    <x v="31"/>
    <s v="Rural"/>
    <s v="Masculino"/>
    <x v="0"/>
    <x v="0"/>
  </r>
  <r>
    <n v="72"/>
    <s v="47. Loreto"/>
    <s v="Secundaria"/>
    <x v="3"/>
    <x v="31"/>
    <s v="Rural"/>
    <s v="Masculino"/>
    <x v="0"/>
    <x v="0"/>
  </r>
  <r>
    <n v="73"/>
    <s v="47. Loreto"/>
    <s v="Primaria"/>
    <x v="4"/>
    <x v="32"/>
    <s v="Rural"/>
    <s v="Masculino"/>
    <x v="0"/>
    <x v="0"/>
  </r>
  <r>
    <n v="74"/>
    <s v="47. Loreto"/>
    <s v="Primaria"/>
    <x v="0"/>
    <x v="32"/>
    <s v="Rural"/>
    <s v="Femenino"/>
    <x v="1"/>
    <x v="0"/>
  </r>
  <r>
    <n v="75"/>
    <s v="47. Loreto"/>
    <s v="Primaria"/>
    <x v="4"/>
    <x v="33"/>
    <s v="Rural"/>
    <s v="Masculino"/>
    <x v="0"/>
    <x v="0"/>
  </r>
  <r>
    <n v="76"/>
    <s v="47. Loreto"/>
    <s v="Primaria"/>
    <x v="1"/>
    <x v="33"/>
    <s v="Rural"/>
    <s v="Femenino"/>
    <x v="2"/>
    <x v="0"/>
  </r>
  <r>
    <n v="77"/>
    <s v="47. Loreto"/>
    <s v="Primaria"/>
    <x v="4"/>
    <x v="34"/>
    <s v="Rural"/>
    <s v="Femenino"/>
    <x v="0"/>
    <x v="0"/>
  </r>
  <r>
    <n v="78"/>
    <s v="47. Loreto"/>
    <s v="Primaria"/>
    <x v="0"/>
    <x v="34"/>
    <s v="Rural"/>
    <s v="Femenino"/>
    <x v="0"/>
    <x v="0"/>
  </r>
  <r>
    <n v="79"/>
    <s v="47. Loreto"/>
    <s v="Primaria"/>
    <x v="1"/>
    <x v="34"/>
    <s v="Rural"/>
    <s v="Masculino"/>
    <x v="0"/>
    <x v="0"/>
  </r>
  <r>
    <n v="80"/>
    <s v="47. Loreto"/>
    <s v="Primaria"/>
    <x v="1"/>
    <x v="34"/>
    <s v="Rural"/>
    <s v="Femenino"/>
    <x v="0"/>
    <x v="0"/>
  </r>
  <r>
    <n v="81"/>
    <s v="47. Loreto"/>
    <s v="Primaria"/>
    <x v="4"/>
    <x v="35"/>
    <s v="Rural"/>
    <s v="Masculino"/>
    <x v="0"/>
    <x v="0"/>
  </r>
  <r>
    <n v="82"/>
    <s v="47. Loreto"/>
    <s v="Primaria"/>
    <x v="4"/>
    <x v="35"/>
    <s v="Rural"/>
    <s v="Masculino"/>
    <x v="0"/>
    <x v="0"/>
  </r>
  <r>
    <n v="83"/>
    <s v="47. Loreto"/>
    <s v="Primaria"/>
    <x v="4"/>
    <x v="35"/>
    <s v="Rural"/>
    <s v="Masculino"/>
    <x v="0"/>
    <x v="0"/>
  </r>
  <r>
    <n v="84"/>
    <s v="47. Loreto"/>
    <s v="Primaria"/>
    <x v="4"/>
    <x v="35"/>
    <s v="Rural"/>
    <s v="Femenino"/>
    <x v="0"/>
    <x v="0"/>
  </r>
  <r>
    <n v="85"/>
    <s v="47. Loreto"/>
    <s v="Primaria"/>
    <x v="4"/>
    <x v="35"/>
    <s v="Rural"/>
    <s v="Masculino"/>
    <x v="0"/>
    <x v="0"/>
  </r>
  <r>
    <n v="86"/>
    <s v="47. Loreto"/>
    <s v="Primaria"/>
    <x v="4"/>
    <x v="35"/>
    <s v="Rural"/>
    <s v="Femenino"/>
    <x v="0"/>
    <x v="0"/>
  </r>
  <r>
    <n v="87"/>
    <s v="47. Loreto"/>
    <s v="Primaria"/>
    <x v="4"/>
    <x v="35"/>
    <s v="Rural"/>
    <s v="Femenino"/>
    <x v="0"/>
    <x v="0"/>
  </r>
  <r>
    <n v="88"/>
    <s v="47. Loreto"/>
    <s v="Primaria"/>
    <x v="4"/>
    <x v="35"/>
    <s v="Rural"/>
    <s v="Masculino"/>
    <x v="0"/>
    <x v="0"/>
  </r>
  <r>
    <n v="89"/>
    <s v="47. Loreto"/>
    <s v="Primaria"/>
    <x v="4"/>
    <x v="35"/>
    <s v="Rural"/>
    <s v="Femenino"/>
    <x v="0"/>
    <x v="0"/>
  </r>
  <r>
    <n v="90"/>
    <s v="47. Loreto"/>
    <s v="Primaria"/>
    <x v="0"/>
    <x v="35"/>
    <s v="Rural"/>
    <s v="Masculino"/>
    <x v="0"/>
    <x v="0"/>
  </r>
  <r>
    <n v="91"/>
    <s v="47. Loreto"/>
    <s v="Primaria"/>
    <x v="0"/>
    <x v="35"/>
    <s v="Rural"/>
    <s v="Femenino"/>
    <x v="0"/>
    <x v="0"/>
  </r>
  <r>
    <n v="92"/>
    <s v="47. Loreto"/>
    <s v="Primaria"/>
    <x v="0"/>
    <x v="35"/>
    <s v="Rural"/>
    <s v="Femenino"/>
    <x v="1"/>
    <x v="0"/>
  </r>
  <r>
    <n v="93"/>
    <s v="47. Loreto"/>
    <s v="Primaria"/>
    <x v="0"/>
    <x v="35"/>
    <s v="Rural"/>
    <s v="Masculino"/>
    <x v="0"/>
    <x v="0"/>
  </r>
  <r>
    <n v="94"/>
    <s v="47. Loreto"/>
    <s v="Primaria"/>
    <x v="0"/>
    <x v="35"/>
    <s v="Rural"/>
    <s v="Masculino"/>
    <x v="0"/>
    <x v="0"/>
  </r>
  <r>
    <n v="95"/>
    <s v="47. Loreto"/>
    <s v="Primaria"/>
    <x v="0"/>
    <x v="35"/>
    <s v="Rural"/>
    <s v="Masculino"/>
    <x v="0"/>
    <x v="0"/>
  </r>
  <r>
    <n v="96"/>
    <s v="47. Loreto"/>
    <s v="Primaria"/>
    <x v="0"/>
    <x v="35"/>
    <s v="Rural"/>
    <s v="Femenino"/>
    <x v="1"/>
    <x v="0"/>
  </r>
  <r>
    <n v="97"/>
    <s v="47. Loreto"/>
    <s v="Primaria"/>
    <x v="1"/>
    <x v="35"/>
    <s v="Rural"/>
    <s v="Masculino"/>
    <x v="1"/>
    <x v="0"/>
  </r>
  <r>
    <n v="98"/>
    <s v="47. Loreto"/>
    <s v="Primaria"/>
    <x v="1"/>
    <x v="35"/>
    <s v="Rural"/>
    <s v="Femenino"/>
    <x v="1"/>
    <x v="0"/>
  </r>
  <r>
    <n v="99"/>
    <s v="47. Loreto"/>
    <s v="Primaria"/>
    <x v="1"/>
    <x v="35"/>
    <s v="Rural"/>
    <s v="Femenino"/>
    <x v="1"/>
    <x v="0"/>
  </r>
  <r>
    <n v="100"/>
    <s v="47. Loreto"/>
    <s v="Primaria"/>
    <x v="1"/>
    <x v="35"/>
    <s v="Rural"/>
    <s v="Masculino"/>
    <x v="1"/>
    <x v="0"/>
  </r>
  <r>
    <n v="101"/>
    <s v="47. Loreto"/>
    <s v="Primaria"/>
    <x v="1"/>
    <x v="35"/>
    <s v="Rural"/>
    <s v="Masculino"/>
    <x v="1"/>
    <x v="0"/>
  </r>
  <r>
    <n v="102"/>
    <s v="47. Loreto"/>
    <s v="Primaria"/>
    <x v="1"/>
    <x v="35"/>
    <s v="Rural"/>
    <s v="Femenino"/>
    <x v="1"/>
    <x v="0"/>
  </r>
  <r>
    <n v="103"/>
    <s v="47. Loreto"/>
    <s v="Primaria"/>
    <x v="1"/>
    <x v="35"/>
    <s v="Rural"/>
    <s v="Femenino"/>
    <x v="1"/>
    <x v="0"/>
  </r>
  <r>
    <n v="104"/>
    <s v="47. Loreto"/>
    <s v="Primaria"/>
    <x v="1"/>
    <x v="35"/>
    <s v="Rural"/>
    <s v="Femenino"/>
    <x v="2"/>
    <x v="0"/>
  </r>
  <r>
    <n v="105"/>
    <s v="47. Loreto"/>
    <s v="Primaria"/>
    <x v="1"/>
    <x v="35"/>
    <s v="Rural"/>
    <s v="Masculino"/>
    <x v="1"/>
    <x v="0"/>
  </r>
  <r>
    <n v="106"/>
    <s v="47. Loreto"/>
    <s v="Secundaria"/>
    <x v="2"/>
    <x v="35"/>
    <s v="Rural"/>
    <s v="Femenino"/>
    <x v="1"/>
    <x v="0"/>
  </r>
  <r>
    <n v="107"/>
    <s v="47. Loreto"/>
    <s v="Secundaria"/>
    <x v="2"/>
    <x v="35"/>
    <s v="Rural"/>
    <s v="Femenino"/>
    <x v="1"/>
    <x v="0"/>
  </r>
  <r>
    <n v="108"/>
    <s v="47. Loreto"/>
    <s v="Secundaria"/>
    <x v="2"/>
    <x v="35"/>
    <s v="Rural"/>
    <s v="Masculino"/>
    <x v="0"/>
    <x v="0"/>
  </r>
  <r>
    <n v="109"/>
    <s v="47. Loreto"/>
    <s v="Secundaria"/>
    <x v="2"/>
    <x v="35"/>
    <s v="Rural"/>
    <s v="Femenino"/>
    <x v="1"/>
    <x v="0"/>
  </r>
  <r>
    <n v="110"/>
    <s v="47. Loreto"/>
    <s v="Secundaria"/>
    <x v="2"/>
    <x v="35"/>
    <s v="Rural"/>
    <s v="Masculino"/>
    <x v="1"/>
    <x v="0"/>
  </r>
  <r>
    <n v="111"/>
    <s v="47. Loreto"/>
    <s v="Secundaria"/>
    <x v="2"/>
    <x v="35"/>
    <s v="Rural"/>
    <s v="Masculino"/>
    <x v="0"/>
    <x v="0"/>
  </r>
  <r>
    <n v="112"/>
    <s v="47. Loreto"/>
    <s v="Secundaria"/>
    <x v="2"/>
    <x v="35"/>
    <s v="Rural"/>
    <s v="Masculino"/>
    <x v="0"/>
    <x v="0"/>
  </r>
  <r>
    <n v="113"/>
    <s v="47. Loreto"/>
    <s v="Secundaria"/>
    <x v="2"/>
    <x v="35"/>
    <s v="Rural"/>
    <s v="Femenino"/>
    <x v="1"/>
    <x v="0"/>
  </r>
  <r>
    <n v="114"/>
    <s v="47. Loreto"/>
    <s v="Secundaria"/>
    <x v="2"/>
    <x v="35"/>
    <s v="Rural"/>
    <s v="Masculino"/>
    <x v="1"/>
    <x v="0"/>
  </r>
  <r>
    <n v="115"/>
    <s v="47. Loreto"/>
    <s v="Secundaria"/>
    <x v="2"/>
    <x v="35"/>
    <s v="Rural"/>
    <s v="Masculino"/>
    <x v="1"/>
    <x v="0"/>
  </r>
  <r>
    <n v="116"/>
    <s v="47. Loreto"/>
    <s v="Secundaria"/>
    <x v="2"/>
    <x v="35"/>
    <s v="Rural"/>
    <s v="Masculino"/>
    <x v="0"/>
    <x v="0"/>
  </r>
  <r>
    <n v="117"/>
    <s v="47. Loreto"/>
    <s v="Secundaria"/>
    <x v="2"/>
    <x v="35"/>
    <s v="Rural"/>
    <s v="Femenino"/>
    <x v="1"/>
    <x v="0"/>
  </r>
  <r>
    <n v="118"/>
    <s v="47. Loreto"/>
    <s v="Secundaria"/>
    <x v="3"/>
    <x v="35"/>
    <s v="Rural"/>
    <s v="Femenino"/>
    <x v="0"/>
    <x v="0"/>
  </r>
  <r>
    <n v="119"/>
    <s v="47. Loreto"/>
    <s v="Secundaria"/>
    <x v="3"/>
    <x v="35"/>
    <s v="Rural"/>
    <s v="Masculino"/>
    <x v="1"/>
    <x v="0"/>
  </r>
  <r>
    <n v="120"/>
    <s v="47. Loreto"/>
    <s v="Secundaria"/>
    <x v="3"/>
    <x v="35"/>
    <s v="Rural"/>
    <s v="Masculino"/>
    <x v="1"/>
    <x v="0"/>
  </r>
  <r>
    <n v="121"/>
    <s v="47. Loreto"/>
    <s v="Secundaria"/>
    <x v="3"/>
    <x v="35"/>
    <s v="Rural"/>
    <s v="Masculino"/>
    <x v="0"/>
    <x v="0"/>
  </r>
  <r>
    <n v="122"/>
    <s v="47. Loreto"/>
    <s v="Secundaria"/>
    <x v="3"/>
    <x v="35"/>
    <s v="Rural"/>
    <s v="Masculino"/>
    <x v="1"/>
    <x v="0"/>
  </r>
  <r>
    <n v="123"/>
    <s v="47. Loreto"/>
    <s v="Secundaria"/>
    <x v="3"/>
    <x v="35"/>
    <s v="Rural"/>
    <s v="Masculino"/>
    <x v="1"/>
    <x v="0"/>
  </r>
  <r>
    <n v="124"/>
    <s v="47. Loreto"/>
    <s v="Secundaria"/>
    <x v="3"/>
    <x v="35"/>
    <s v="Rural"/>
    <s v="Femenino"/>
    <x v="1"/>
    <x v="0"/>
  </r>
  <r>
    <n v="125"/>
    <s v="47. Loreto"/>
    <s v="Secundaria"/>
    <x v="3"/>
    <x v="35"/>
    <s v="Rural"/>
    <s v="Femenino"/>
    <x v="1"/>
    <x v="0"/>
  </r>
  <r>
    <n v="126"/>
    <s v="47. Loreto"/>
    <s v="Secundaria"/>
    <x v="3"/>
    <x v="35"/>
    <s v="Rural"/>
    <s v="Masculino"/>
    <x v="1"/>
    <x v="0"/>
  </r>
  <r>
    <n v="127"/>
    <s v="47. Loreto"/>
    <s v="Secundaria"/>
    <x v="3"/>
    <x v="35"/>
    <s v="Rural"/>
    <s v="Femenino"/>
    <x v="1"/>
    <x v="0"/>
  </r>
  <r>
    <n v="128"/>
    <s v="47. Loreto"/>
    <s v="Secundaria"/>
    <x v="3"/>
    <x v="35"/>
    <s v="Rural"/>
    <s v="Masculino"/>
    <x v="1"/>
    <x v="0"/>
  </r>
  <r>
    <n v="129"/>
    <s v="47. Loreto"/>
    <s v="Primaria"/>
    <x v="4"/>
    <x v="36"/>
    <s v="Rural"/>
    <s v="Femenino"/>
    <x v="1"/>
    <x v="0"/>
  </r>
  <r>
    <n v="130"/>
    <s v="47. Loreto"/>
    <s v="Primaria"/>
    <x v="1"/>
    <x v="36"/>
    <s v="Rural"/>
    <s v="Masculino"/>
    <x v="0"/>
    <x v="0"/>
  </r>
  <r>
    <n v="131"/>
    <s v="47. Loreto"/>
    <s v="Primaria"/>
    <x v="4"/>
    <x v="37"/>
    <s v="Rural"/>
    <s v="Femenino"/>
    <x v="0"/>
    <x v="0"/>
  </r>
  <r>
    <n v="132"/>
    <s v="47. Loreto"/>
    <s v="Primaria"/>
    <x v="4"/>
    <x v="37"/>
    <s v="Rural"/>
    <s v="Masculino"/>
    <x v="0"/>
    <x v="0"/>
  </r>
  <r>
    <n v="133"/>
    <s v="47. Loreto"/>
    <s v="Primaria"/>
    <x v="1"/>
    <x v="37"/>
    <s v="Rural"/>
    <s v="Masculino"/>
    <x v="0"/>
    <x v="0"/>
  </r>
  <r>
    <n v="134"/>
    <s v="47. Loreto"/>
    <s v="Primaria"/>
    <x v="0"/>
    <x v="38"/>
    <s v="Rural"/>
    <s v="Femenino"/>
    <x v="0"/>
    <x v="0"/>
  </r>
  <r>
    <n v="135"/>
    <s v="47. Loreto"/>
    <s v="Primaria"/>
    <x v="1"/>
    <x v="38"/>
    <s v="Rural"/>
    <s v="Masculino"/>
    <x v="0"/>
    <x v="0"/>
  </r>
  <r>
    <n v="136"/>
    <s v="47. Loreto"/>
    <s v="Primaria"/>
    <x v="4"/>
    <x v="39"/>
    <s v="Rural"/>
    <s v="Masculino"/>
    <x v="0"/>
    <x v="0"/>
  </r>
  <r>
    <n v="137"/>
    <s v="47. Loreto"/>
    <s v="Primaria"/>
    <x v="4"/>
    <x v="39"/>
    <s v="Rural"/>
    <s v="Femenino"/>
    <x v="0"/>
    <x v="0"/>
  </r>
  <r>
    <n v="138"/>
    <s v="47. Loreto"/>
    <s v="Primaria"/>
    <x v="0"/>
    <x v="39"/>
    <s v="Rural"/>
    <s v="Masculino"/>
    <x v="0"/>
    <x v="0"/>
  </r>
  <r>
    <n v="139"/>
    <s v="47. Loreto"/>
    <s v="Primaria"/>
    <x v="0"/>
    <x v="39"/>
    <s v="Rural"/>
    <s v="Masculino"/>
    <x v="0"/>
    <x v="0"/>
  </r>
  <r>
    <n v="140"/>
    <s v="47. Loreto"/>
    <s v="Primaria"/>
    <x v="1"/>
    <x v="39"/>
    <s v="Rural"/>
    <s v="Femenino"/>
    <x v="0"/>
    <x v="0"/>
  </r>
  <r>
    <n v="141"/>
    <s v="47. Loreto"/>
    <s v="Primaria"/>
    <x v="1"/>
    <x v="39"/>
    <s v="Rural"/>
    <s v="Masculino"/>
    <x v="0"/>
    <x v="0"/>
  </r>
  <r>
    <n v="142"/>
    <s v="47. Loreto"/>
    <s v="Primaria"/>
    <x v="1"/>
    <x v="39"/>
    <s v="Rural"/>
    <s v="Masculino"/>
    <x v="0"/>
    <x v="0"/>
  </r>
  <r>
    <n v="143"/>
    <s v="47. Loreto"/>
    <s v="Primaria"/>
    <x v="1"/>
    <x v="39"/>
    <s v="Rural"/>
    <s v="Masculino"/>
    <x v="0"/>
    <x v="0"/>
  </r>
  <r>
    <n v="144"/>
    <s v="47. Loreto"/>
    <s v="Secundaria"/>
    <x v="2"/>
    <x v="39"/>
    <s v="Rural"/>
    <s v="Masculino"/>
    <x v="0"/>
    <x v="0"/>
  </r>
  <r>
    <n v="145"/>
    <s v="47. Loreto"/>
    <s v="Secundaria"/>
    <x v="2"/>
    <x v="39"/>
    <s v="Rural"/>
    <s v="Femenino"/>
    <x v="0"/>
    <x v="0"/>
  </r>
  <r>
    <n v="146"/>
    <s v="47. Loreto"/>
    <s v="Secundaria"/>
    <x v="2"/>
    <x v="39"/>
    <s v="Rural"/>
    <s v="Masculino"/>
    <x v="0"/>
    <x v="0"/>
  </r>
  <r>
    <n v="147"/>
    <s v="47. Loreto"/>
    <s v="Secundaria"/>
    <x v="2"/>
    <x v="39"/>
    <s v="Rural"/>
    <s v="Femenino"/>
    <x v="0"/>
    <x v="0"/>
  </r>
  <r>
    <n v="148"/>
    <s v="47. Loreto"/>
    <s v="Secundaria"/>
    <x v="2"/>
    <x v="39"/>
    <s v="Rural"/>
    <s v="Masculino"/>
    <x v="0"/>
    <x v="0"/>
  </r>
  <r>
    <n v="149"/>
    <s v="47. Loreto"/>
    <s v="Secundaria"/>
    <x v="2"/>
    <x v="39"/>
    <s v="Rural"/>
    <s v="Masculino"/>
    <x v="0"/>
    <x v="0"/>
  </r>
  <r>
    <n v="150"/>
    <s v="47. Loreto"/>
    <s v="Secundaria"/>
    <x v="2"/>
    <x v="39"/>
    <s v="Rural"/>
    <s v="Masculino"/>
    <x v="0"/>
    <x v="0"/>
  </r>
  <r>
    <n v="151"/>
    <s v="47. Loreto"/>
    <s v="Secundaria"/>
    <x v="2"/>
    <x v="39"/>
    <s v="Rural"/>
    <s v="Masculino"/>
    <x v="0"/>
    <x v="0"/>
  </r>
  <r>
    <n v="152"/>
    <s v="47. Loreto"/>
    <s v="Secundaria"/>
    <x v="3"/>
    <x v="39"/>
    <s v="Rural"/>
    <s v="Femenino"/>
    <x v="0"/>
    <x v="0"/>
  </r>
  <r>
    <n v="153"/>
    <s v="47. Loreto"/>
    <s v="Secundaria"/>
    <x v="3"/>
    <x v="39"/>
    <s v="Rural"/>
    <s v="Masculino"/>
    <x v="0"/>
    <x v="0"/>
  </r>
  <r>
    <n v="154"/>
    <s v="47. Loreto"/>
    <s v="Secundaria"/>
    <x v="3"/>
    <x v="39"/>
    <s v="Rural"/>
    <s v="Femenino"/>
    <x v="0"/>
    <x v="0"/>
  </r>
  <r>
    <n v="155"/>
    <s v="47. Loreto"/>
    <s v="Primaria"/>
    <x v="4"/>
    <x v="40"/>
    <s v="Rural"/>
    <s v="Masculino"/>
    <x v="0"/>
    <x v="0"/>
  </r>
  <r>
    <n v="156"/>
    <s v="47. Loreto"/>
    <s v="Primaria"/>
    <x v="4"/>
    <x v="41"/>
    <s v="Rural"/>
    <s v="Masculino"/>
    <x v="0"/>
    <x v="0"/>
  </r>
  <r>
    <n v="157"/>
    <s v="47. Loreto"/>
    <s v="Primaria"/>
    <x v="4"/>
    <x v="41"/>
    <s v="Rural"/>
    <s v="Femenino"/>
    <x v="0"/>
    <x v="0"/>
  </r>
  <r>
    <n v="158"/>
    <s v="47. Loreto"/>
    <s v="Primaria"/>
    <x v="4"/>
    <x v="41"/>
    <s v="Rural"/>
    <s v="Femenino"/>
    <x v="0"/>
    <x v="0"/>
  </r>
  <r>
    <n v="159"/>
    <s v="47. Loreto"/>
    <s v="Primaria"/>
    <x v="4"/>
    <x v="41"/>
    <s v="Rural"/>
    <s v="Masculino"/>
    <x v="0"/>
    <x v="0"/>
  </r>
  <r>
    <n v="160"/>
    <s v="47. Loreto"/>
    <s v="Primaria"/>
    <x v="4"/>
    <x v="41"/>
    <s v="Rural"/>
    <s v="Masculino"/>
    <x v="0"/>
    <x v="0"/>
  </r>
  <r>
    <n v="161"/>
    <s v="47. Loreto"/>
    <s v="Primaria"/>
    <x v="4"/>
    <x v="41"/>
    <s v="Rural"/>
    <s v="Femenino"/>
    <x v="0"/>
    <x v="0"/>
  </r>
  <r>
    <n v="162"/>
    <s v="47. Loreto"/>
    <s v="Primaria"/>
    <x v="4"/>
    <x v="41"/>
    <s v="Rural"/>
    <s v="Masculino"/>
    <x v="0"/>
    <x v="0"/>
  </r>
  <r>
    <n v="163"/>
    <s v="47. Loreto"/>
    <s v="Primaria"/>
    <x v="4"/>
    <x v="41"/>
    <s v="Rural"/>
    <s v="Femenino"/>
    <x v="0"/>
    <x v="0"/>
  </r>
  <r>
    <n v="164"/>
    <s v="47. Loreto"/>
    <s v="Primaria"/>
    <x v="4"/>
    <x v="41"/>
    <s v="Rural"/>
    <s v="Femenino"/>
    <x v="0"/>
    <x v="0"/>
  </r>
  <r>
    <n v="165"/>
    <s v="47. Loreto"/>
    <s v="Primaria"/>
    <x v="4"/>
    <x v="41"/>
    <s v="Rural"/>
    <s v="Femenino"/>
    <x v="0"/>
    <x v="0"/>
  </r>
  <r>
    <n v="166"/>
    <s v="47. Loreto"/>
    <s v="Primaria"/>
    <x v="0"/>
    <x v="41"/>
    <s v="Rural"/>
    <s v="Masculino"/>
    <x v="0"/>
    <x v="0"/>
  </r>
  <r>
    <n v="167"/>
    <s v="47. Loreto"/>
    <s v="Primaria"/>
    <x v="0"/>
    <x v="41"/>
    <s v="Rural"/>
    <s v="Masculino"/>
    <x v="0"/>
    <x v="0"/>
  </r>
  <r>
    <n v="168"/>
    <s v="47. Loreto"/>
    <s v="Primaria"/>
    <x v="0"/>
    <x v="41"/>
    <s v="Rural"/>
    <s v="Femenino"/>
    <x v="0"/>
    <x v="0"/>
  </r>
  <r>
    <n v="169"/>
    <s v="47. Loreto"/>
    <s v="Primaria"/>
    <x v="0"/>
    <x v="41"/>
    <s v="Rural"/>
    <s v="Masculino"/>
    <x v="0"/>
    <x v="0"/>
  </r>
  <r>
    <n v="170"/>
    <s v="47. Loreto"/>
    <s v="Primaria"/>
    <x v="0"/>
    <x v="41"/>
    <s v="Rural"/>
    <s v="Femenino"/>
    <x v="0"/>
    <x v="0"/>
  </r>
  <r>
    <n v="171"/>
    <s v="47. Loreto"/>
    <s v="Primaria"/>
    <x v="0"/>
    <x v="41"/>
    <s v="Rural"/>
    <s v="Femenino"/>
    <x v="0"/>
    <x v="0"/>
  </r>
  <r>
    <n v="172"/>
    <s v="47. Loreto"/>
    <s v="Primaria"/>
    <x v="0"/>
    <x v="41"/>
    <s v="Rural"/>
    <s v="Femenino"/>
    <x v="0"/>
    <x v="0"/>
  </r>
  <r>
    <n v="173"/>
    <s v="47. Loreto"/>
    <s v="Primaria"/>
    <x v="0"/>
    <x v="41"/>
    <s v="Rural"/>
    <s v="Masculino"/>
    <x v="0"/>
    <x v="0"/>
  </r>
  <r>
    <n v="174"/>
    <s v="47. Loreto"/>
    <s v="Primaria"/>
    <x v="0"/>
    <x v="41"/>
    <s v="Rural"/>
    <s v="Femenino"/>
    <x v="0"/>
    <x v="0"/>
  </r>
  <r>
    <n v="175"/>
    <s v="47. Loreto"/>
    <s v="Primaria"/>
    <x v="0"/>
    <x v="41"/>
    <s v="Rural"/>
    <s v="Femenino"/>
    <x v="0"/>
    <x v="0"/>
  </r>
  <r>
    <n v="176"/>
    <s v="47. Loreto"/>
    <s v="Primaria"/>
    <x v="0"/>
    <x v="41"/>
    <s v="Rural"/>
    <s v="Femenino"/>
    <x v="0"/>
    <x v="0"/>
  </r>
  <r>
    <n v="177"/>
    <s v="47. Loreto"/>
    <s v="Primaria"/>
    <x v="0"/>
    <x v="41"/>
    <s v="Rural"/>
    <s v="Masculino"/>
    <x v="0"/>
    <x v="0"/>
  </r>
  <r>
    <n v="178"/>
    <s v="47. Loreto"/>
    <s v="Primaria"/>
    <x v="0"/>
    <x v="41"/>
    <s v="Rural"/>
    <s v="Femenino"/>
    <x v="0"/>
    <x v="0"/>
  </r>
  <r>
    <n v="179"/>
    <s v="47. Loreto"/>
    <s v="Primaria"/>
    <x v="0"/>
    <x v="41"/>
    <s v="Rural"/>
    <s v="Masculino"/>
    <x v="0"/>
    <x v="0"/>
  </r>
  <r>
    <n v="180"/>
    <s v="47. Loreto"/>
    <s v="Primaria"/>
    <x v="0"/>
    <x v="41"/>
    <s v="Rural"/>
    <s v="Masculino"/>
    <x v="0"/>
    <x v="0"/>
  </r>
  <r>
    <n v="181"/>
    <s v="47. Loreto"/>
    <s v="Primaria"/>
    <x v="1"/>
    <x v="41"/>
    <s v="Rural"/>
    <s v="Femenino"/>
    <x v="0"/>
    <x v="0"/>
  </r>
  <r>
    <n v="182"/>
    <s v="47. Loreto"/>
    <s v="Primaria"/>
    <x v="1"/>
    <x v="41"/>
    <s v="Rural"/>
    <s v="Femenino"/>
    <x v="0"/>
    <x v="0"/>
  </r>
  <r>
    <n v="183"/>
    <s v="47. Loreto"/>
    <s v="Primaria"/>
    <x v="1"/>
    <x v="41"/>
    <s v="Rural"/>
    <s v="Masculino"/>
    <x v="0"/>
    <x v="0"/>
  </r>
  <r>
    <n v="184"/>
    <s v="47. Loreto"/>
    <s v="Primaria"/>
    <x v="1"/>
    <x v="41"/>
    <s v="Rural"/>
    <s v="Masculino"/>
    <x v="0"/>
    <x v="0"/>
  </r>
  <r>
    <n v="185"/>
    <s v="47. Loreto"/>
    <s v="Primaria"/>
    <x v="1"/>
    <x v="41"/>
    <s v="Rural"/>
    <s v="Femenino"/>
    <x v="0"/>
    <x v="0"/>
  </r>
  <r>
    <n v="186"/>
    <s v="47. Loreto"/>
    <s v="Primaria"/>
    <x v="1"/>
    <x v="41"/>
    <s v="Rural"/>
    <s v="Femenino"/>
    <x v="0"/>
    <x v="0"/>
  </r>
  <r>
    <n v="187"/>
    <s v="47. Loreto"/>
    <s v="Primaria"/>
    <x v="1"/>
    <x v="41"/>
    <s v="Rural"/>
    <s v="Masculino"/>
    <x v="0"/>
    <x v="0"/>
  </r>
  <r>
    <n v="188"/>
    <s v="47. Loreto"/>
    <s v="Primaria"/>
    <x v="1"/>
    <x v="41"/>
    <s v="Rural"/>
    <s v="Femenino"/>
    <x v="0"/>
    <x v="0"/>
  </r>
  <r>
    <n v="189"/>
    <s v="47. Loreto"/>
    <s v="Primaria"/>
    <x v="1"/>
    <x v="41"/>
    <s v="Rural"/>
    <s v="Masculino"/>
    <x v="0"/>
    <x v="0"/>
  </r>
  <r>
    <n v="190"/>
    <s v="47. Loreto"/>
    <s v="Primaria"/>
    <x v="1"/>
    <x v="41"/>
    <s v="Rural"/>
    <s v="Masculino"/>
    <x v="0"/>
    <x v="0"/>
  </r>
  <r>
    <n v="191"/>
    <s v="47. Loreto"/>
    <s v="Primaria"/>
    <x v="1"/>
    <x v="41"/>
    <s v="Rural"/>
    <s v="Femenino"/>
    <x v="0"/>
    <x v="0"/>
  </r>
  <r>
    <n v="192"/>
    <s v="47. Loreto"/>
    <s v="Primaria"/>
    <x v="1"/>
    <x v="41"/>
    <s v="Rural"/>
    <s v="Femenino"/>
    <x v="0"/>
    <x v="0"/>
  </r>
  <r>
    <n v="193"/>
    <s v="47. Loreto"/>
    <s v="Primaria"/>
    <x v="1"/>
    <x v="41"/>
    <s v="Rural"/>
    <s v="Femenino"/>
    <x v="0"/>
    <x v="0"/>
  </r>
  <r>
    <n v="194"/>
    <s v="47. Loreto"/>
    <s v="Secundaria"/>
    <x v="2"/>
    <x v="41"/>
    <s v="Rural"/>
    <s v="Femenino"/>
    <x v="0"/>
    <x v="0"/>
  </r>
  <r>
    <n v="195"/>
    <s v="47. Loreto"/>
    <s v="Secundaria"/>
    <x v="2"/>
    <x v="41"/>
    <s v="Rural"/>
    <s v="Masculino"/>
    <x v="0"/>
    <x v="0"/>
  </r>
  <r>
    <n v="196"/>
    <s v="47. Loreto"/>
    <s v="Secundaria"/>
    <x v="2"/>
    <x v="41"/>
    <s v="Rural"/>
    <s v="Masculino"/>
    <x v="0"/>
    <x v="0"/>
  </r>
  <r>
    <n v="197"/>
    <s v="47. Loreto"/>
    <s v="Secundaria"/>
    <x v="2"/>
    <x v="41"/>
    <s v="Rural"/>
    <s v="Masculino"/>
    <x v="0"/>
    <x v="0"/>
  </r>
  <r>
    <n v="198"/>
    <s v="47. Loreto"/>
    <s v="Secundaria"/>
    <x v="2"/>
    <x v="41"/>
    <s v="Rural"/>
    <s v="Femenino"/>
    <x v="0"/>
    <x v="0"/>
  </r>
  <r>
    <n v="199"/>
    <s v="47. Loreto"/>
    <s v="Secundaria"/>
    <x v="2"/>
    <x v="41"/>
    <s v="Rural"/>
    <s v="Femenino"/>
    <x v="0"/>
    <x v="0"/>
  </r>
  <r>
    <n v="200"/>
    <s v="47. Loreto"/>
    <s v="Secundaria"/>
    <x v="2"/>
    <x v="41"/>
    <s v="Rural"/>
    <s v="Masculino"/>
    <x v="0"/>
    <x v="0"/>
  </r>
  <r>
    <n v="201"/>
    <s v="47. Loreto"/>
    <s v="Secundaria"/>
    <x v="2"/>
    <x v="41"/>
    <s v="Rural"/>
    <s v="Masculino"/>
    <x v="0"/>
    <x v="0"/>
  </r>
  <r>
    <n v="202"/>
    <s v="47. Loreto"/>
    <s v="Secundaria"/>
    <x v="2"/>
    <x v="41"/>
    <s v="Rural"/>
    <s v="Masculino"/>
    <x v="0"/>
    <x v="0"/>
  </r>
  <r>
    <n v="203"/>
    <s v="47. Loreto"/>
    <s v="Secundaria"/>
    <x v="2"/>
    <x v="41"/>
    <s v="Rural"/>
    <s v="Masculino"/>
    <x v="0"/>
    <x v="0"/>
  </r>
  <r>
    <n v="204"/>
    <s v="47. Loreto"/>
    <s v="Secundaria"/>
    <x v="2"/>
    <x v="41"/>
    <s v="Rural"/>
    <s v="Femenino"/>
    <x v="0"/>
    <x v="0"/>
  </r>
  <r>
    <n v="205"/>
    <s v="47. Loreto"/>
    <s v="Secundaria"/>
    <x v="2"/>
    <x v="41"/>
    <s v="Rural"/>
    <s v="Femenino"/>
    <x v="0"/>
    <x v="0"/>
  </r>
  <r>
    <n v="206"/>
    <s v="47. Loreto"/>
    <s v="Secundaria"/>
    <x v="2"/>
    <x v="41"/>
    <s v="Rural"/>
    <s v="Femenino"/>
    <x v="0"/>
    <x v="0"/>
  </r>
  <r>
    <n v="207"/>
    <s v="47. Loreto"/>
    <s v="Secundaria"/>
    <x v="2"/>
    <x v="41"/>
    <s v="Rural"/>
    <s v="Masculino"/>
    <x v="0"/>
    <x v="0"/>
  </r>
  <r>
    <n v="208"/>
    <s v="47. Loreto"/>
    <s v="Secundaria"/>
    <x v="2"/>
    <x v="41"/>
    <s v="Rural"/>
    <s v="Masculino"/>
    <x v="0"/>
    <x v="0"/>
  </r>
  <r>
    <n v="209"/>
    <s v="47. Loreto"/>
    <s v="Secundaria"/>
    <x v="2"/>
    <x v="41"/>
    <s v="Rural"/>
    <s v="Femenino"/>
    <x v="0"/>
    <x v="0"/>
  </r>
  <r>
    <n v="210"/>
    <s v="47. Loreto"/>
    <s v="Secundaria"/>
    <x v="2"/>
    <x v="41"/>
    <s v="Rural"/>
    <s v="Femenino"/>
    <x v="0"/>
    <x v="0"/>
  </r>
  <r>
    <n v="211"/>
    <s v="47. Loreto"/>
    <s v="Secundaria"/>
    <x v="2"/>
    <x v="41"/>
    <s v="Rural"/>
    <s v="Femenino"/>
    <x v="0"/>
    <x v="0"/>
  </r>
  <r>
    <n v="212"/>
    <s v="47. Loreto"/>
    <s v="Secundaria"/>
    <x v="2"/>
    <x v="41"/>
    <s v="Rural"/>
    <s v="Femenino"/>
    <x v="0"/>
    <x v="0"/>
  </r>
  <r>
    <n v="213"/>
    <s v="47. Loreto"/>
    <s v="Secundaria"/>
    <x v="2"/>
    <x v="41"/>
    <s v="Rural"/>
    <s v="Femenino"/>
    <x v="0"/>
    <x v="0"/>
  </r>
  <r>
    <n v="214"/>
    <s v="47. Loreto"/>
    <s v="Secundaria"/>
    <x v="2"/>
    <x v="41"/>
    <s v="Rural"/>
    <s v="Femenino"/>
    <x v="0"/>
    <x v="0"/>
  </r>
  <r>
    <n v="215"/>
    <s v="47. Loreto"/>
    <s v="Secundaria"/>
    <x v="2"/>
    <x v="41"/>
    <s v="Rural"/>
    <s v="Masculino"/>
    <x v="0"/>
    <x v="0"/>
  </r>
  <r>
    <n v="216"/>
    <s v="47. Loreto"/>
    <s v="Secundaria"/>
    <x v="2"/>
    <x v="41"/>
    <s v="Rural"/>
    <s v="Masculino"/>
    <x v="0"/>
    <x v="0"/>
  </r>
  <r>
    <n v="217"/>
    <s v="47. Loreto"/>
    <s v="Secundaria"/>
    <x v="3"/>
    <x v="41"/>
    <s v="Rural"/>
    <s v="Femenino"/>
    <x v="0"/>
    <x v="0"/>
  </r>
  <r>
    <n v="218"/>
    <s v="47. Loreto"/>
    <s v="Secundaria"/>
    <x v="3"/>
    <x v="41"/>
    <s v="Rural"/>
    <s v="Femenino"/>
    <x v="0"/>
    <x v="0"/>
  </r>
  <r>
    <n v="219"/>
    <s v="47. Loreto"/>
    <s v="Secundaria"/>
    <x v="3"/>
    <x v="41"/>
    <s v="Rural"/>
    <s v="Femenino"/>
    <x v="0"/>
    <x v="0"/>
  </r>
  <r>
    <n v="220"/>
    <s v="47. Loreto"/>
    <s v="Secundaria"/>
    <x v="3"/>
    <x v="41"/>
    <s v="Rural"/>
    <s v="Femenino"/>
    <x v="0"/>
    <x v="0"/>
  </r>
  <r>
    <n v="221"/>
    <s v="47. Loreto"/>
    <s v="Secundaria"/>
    <x v="3"/>
    <x v="41"/>
    <s v="Rural"/>
    <s v="Femenino"/>
    <x v="0"/>
    <x v="0"/>
  </r>
  <r>
    <n v="222"/>
    <s v="47. Loreto"/>
    <s v="Secundaria"/>
    <x v="3"/>
    <x v="41"/>
    <s v="Rural"/>
    <s v="Masculino"/>
    <x v="0"/>
    <x v="0"/>
  </r>
  <r>
    <n v="223"/>
    <s v="47. Loreto"/>
    <s v="Secundaria"/>
    <x v="3"/>
    <x v="41"/>
    <s v="Rural"/>
    <s v="Masculino"/>
    <x v="0"/>
    <x v="0"/>
  </r>
  <r>
    <n v="224"/>
    <s v="47. Loreto"/>
    <s v="Secundaria"/>
    <x v="3"/>
    <x v="41"/>
    <s v="Rural"/>
    <s v="Femenino"/>
    <x v="0"/>
    <x v="0"/>
  </r>
  <r>
    <n v="229"/>
    <s v="47. Loreto"/>
    <s v="Primaria"/>
    <x v="0"/>
    <x v="42"/>
    <s v="Rural"/>
    <s v="Femenino"/>
    <x v="0"/>
    <x v="0"/>
  </r>
  <r>
    <n v="230"/>
    <s v="47. Loreto"/>
    <s v="Primaria"/>
    <x v="1"/>
    <x v="42"/>
    <s v="Rural"/>
    <s v="Masculino"/>
    <x v="0"/>
    <x v="0"/>
  </r>
  <r>
    <n v="231"/>
    <s v="47. Loreto"/>
    <s v="Primaria"/>
    <x v="1"/>
    <x v="42"/>
    <s v="Rural"/>
    <s v="Masculino"/>
    <x v="0"/>
    <x v="0"/>
  </r>
  <r>
    <n v="232"/>
    <s v="47. Loreto"/>
    <s v="Primaria"/>
    <x v="1"/>
    <x v="43"/>
    <s v="Rural"/>
    <s v="Masculino"/>
    <x v="0"/>
    <x v="0"/>
  </r>
  <r>
    <n v="233"/>
    <s v="47. Loreto"/>
    <s v="Primaria"/>
    <x v="1"/>
    <x v="43"/>
    <s v="Rural"/>
    <s v="Femenino"/>
    <x v="0"/>
    <x v="0"/>
  </r>
  <r>
    <n v="234"/>
    <s v="47. Loreto"/>
    <s v="Primaria"/>
    <x v="4"/>
    <x v="44"/>
    <s v="Rural"/>
    <s v="Femenino"/>
    <x v="0"/>
    <x v="0"/>
  </r>
  <r>
    <n v="235"/>
    <s v="47. Loreto"/>
    <s v="Primaria"/>
    <x v="4"/>
    <x v="44"/>
    <s v="Rural"/>
    <s v="Masculino"/>
    <x v="0"/>
    <x v="0"/>
  </r>
  <r>
    <n v="236"/>
    <s v="47. Loreto"/>
    <s v="Primaria"/>
    <x v="0"/>
    <x v="44"/>
    <s v="Rural"/>
    <s v="Masculino"/>
    <x v="0"/>
    <x v="0"/>
  </r>
  <r>
    <n v="237"/>
    <s v="47. Loreto"/>
    <s v="Primaria"/>
    <x v="0"/>
    <x v="44"/>
    <s v="Rural"/>
    <s v="Masculino"/>
    <x v="0"/>
    <x v="0"/>
  </r>
  <r>
    <n v="238"/>
    <s v="47. Loreto"/>
    <s v="Primaria"/>
    <x v="1"/>
    <x v="44"/>
    <s v="Rural"/>
    <s v="Masculino"/>
    <x v="0"/>
    <x v="0"/>
  </r>
  <r>
    <n v="239"/>
    <s v="47. Loreto"/>
    <s v="Primaria"/>
    <x v="4"/>
    <x v="45"/>
    <s v="Rural"/>
    <s v="Femenino"/>
    <x v="0"/>
    <x v="0"/>
  </r>
  <r>
    <n v="240"/>
    <s v="47. Loreto"/>
    <s v="Primaria"/>
    <x v="4"/>
    <x v="45"/>
    <s v="Rural"/>
    <s v="Masculino"/>
    <x v="0"/>
    <x v="0"/>
  </r>
  <r>
    <n v="241"/>
    <s v="47. Loreto"/>
    <s v="Primaria"/>
    <x v="0"/>
    <x v="45"/>
    <s v="Rural"/>
    <s v="Masculino"/>
    <x v="0"/>
    <x v="0"/>
  </r>
  <r>
    <n v="242"/>
    <s v="47. Loreto"/>
    <s v="Primaria"/>
    <x v="1"/>
    <x v="45"/>
    <s v="Rural"/>
    <s v="Femenino"/>
    <x v="0"/>
    <x v="0"/>
  </r>
  <r>
    <n v="243"/>
    <s v="47. Loreto"/>
    <s v="Primaria"/>
    <x v="4"/>
    <x v="46"/>
    <s v="Rural"/>
    <s v="Femenino"/>
    <x v="0"/>
    <x v="0"/>
  </r>
  <r>
    <n v="244"/>
    <s v="47. Loreto"/>
    <s v="Primaria"/>
    <x v="0"/>
    <x v="46"/>
    <s v="Rural"/>
    <s v="Masculino"/>
    <x v="0"/>
    <x v="0"/>
  </r>
  <r>
    <n v="246"/>
    <s v="47. Loreto"/>
    <s v="Primaria"/>
    <x v="4"/>
    <x v="47"/>
    <s v="Rural"/>
    <s v="Femenino"/>
    <x v="0"/>
    <x v="0"/>
  </r>
  <r>
    <n v="247"/>
    <s v="47. Loreto"/>
    <s v="Primaria"/>
    <x v="4"/>
    <x v="47"/>
    <s v="Rural"/>
    <s v="Femenino"/>
    <x v="0"/>
    <x v="0"/>
  </r>
  <r>
    <n v="248"/>
    <s v="47. Loreto"/>
    <s v="Primaria"/>
    <x v="4"/>
    <x v="47"/>
    <s v="Rural"/>
    <s v="Femenino"/>
    <x v="0"/>
    <x v="0"/>
  </r>
  <r>
    <n v="249"/>
    <s v="47. Loreto"/>
    <s v="Primaria"/>
    <x v="4"/>
    <x v="47"/>
    <s v="Rural"/>
    <s v="Masculino"/>
    <x v="0"/>
    <x v="0"/>
  </r>
  <r>
    <n v="250"/>
    <s v="47. Loreto"/>
    <s v="Primaria"/>
    <x v="4"/>
    <x v="47"/>
    <s v="Rural"/>
    <s v="Masculino"/>
    <x v="0"/>
    <x v="0"/>
  </r>
  <r>
    <n v="251"/>
    <s v="47. Loreto"/>
    <s v="Primaria"/>
    <x v="4"/>
    <x v="47"/>
    <s v="Rural"/>
    <s v="Femenino"/>
    <x v="0"/>
    <x v="0"/>
  </r>
  <r>
    <n v="252"/>
    <s v="47. Loreto"/>
    <s v="Primaria"/>
    <x v="4"/>
    <x v="47"/>
    <s v="Rural"/>
    <s v="Femenino"/>
    <x v="1"/>
    <x v="0"/>
  </r>
  <r>
    <n v="253"/>
    <s v="47. Loreto"/>
    <s v="Primaria"/>
    <x v="4"/>
    <x v="47"/>
    <s v="Rural"/>
    <s v="Masculino"/>
    <x v="0"/>
    <x v="0"/>
  </r>
  <r>
    <n v="254"/>
    <s v="47. Loreto"/>
    <s v="Primaria"/>
    <x v="4"/>
    <x v="47"/>
    <s v="Rural"/>
    <s v="Masculino"/>
    <x v="0"/>
    <x v="0"/>
  </r>
  <r>
    <n v="255"/>
    <s v="47. Loreto"/>
    <s v="Primaria"/>
    <x v="4"/>
    <x v="47"/>
    <s v="Rural"/>
    <s v="Masculino"/>
    <x v="0"/>
    <x v="0"/>
  </r>
  <r>
    <n v="257"/>
    <s v="47. Loreto"/>
    <s v="Primaria"/>
    <x v="4"/>
    <x v="47"/>
    <s v="Rural"/>
    <s v="Femenino"/>
    <x v="0"/>
    <x v="0"/>
  </r>
  <r>
    <n v="258"/>
    <s v="47. Loreto"/>
    <s v="Primaria"/>
    <x v="0"/>
    <x v="47"/>
    <s v="Rural"/>
    <s v="Masculino"/>
    <x v="0"/>
    <x v="0"/>
  </r>
  <r>
    <n v="259"/>
    <s v="47. Loreto"/>
    <s v="Primaria"/>
    <x v="0"/>
    <x v="47"/>
    <s v="Rural"/>
    <s v="Femenino"/>
    <x v="1"/>
    <x v="0"/>
  </r>
  <r>
    <n v="260"/>
    <s v="47. Loreto"/>
    <s v="Primaria"/>
    <x v="0"/>
    <x v="47"/>
    <s v="Rural"/>
    <s v="Masculino"/>
    <x v="0"/>
    <x v="0"/>
  </r>
  <r>
    <n v="261"/>
    <s v="47. Loreto"/>
    <s v="Primaria"/>
    <x v="0"/>
    <x v="47"/>
    <s v="Rural"/>
    <s v="Masculino"/>
    <x v="0"/>
    <x v="0"/>
  </r>
  <r>
    <n v="263"/>
    <s v="47. Loreto"/>
    <s v="Primaria"/>
    <x v="0"/>
    <x v="47"/>
    <s v="Rural"/>
    <s v="Masculino"/>
    <x v="0"/>
    <x v="0"/>
  </r>
  <r>
    <n v="264"/>
    <s v="47. Loreto"/>
    <s v="Primaria"/>
    <x v="0"/>
    <x v="47"/>
    <s v="Rural"/>
    <s v="Femenino"/>
    <x v="0"/>
    <x v="0"/>
  </r>
  <r>
    <n v="265"/>
    <s v="47. Loreto"/>
    <s v="Primaria"/>
    <x v="0"/>
    <x v="47"/>
    <s v="Rural"/>
    <s v="Masculino"/>
    <x v="0"/>
    <x v="0"/>
  </r>
  <r>
    <n v="266"/>
    <s v="47. Loreto"/>
    <s v="Primaria"/>
    <x v="0"/>
    <x v="47"/>
    <s v="Rural"/>
    <s v="Femenino"/>
    <x v="0"/>
    <x v="0"/>
  </r>
  <r>
    <n v="267"/>
    <s v="47. Loreto"/>
    <s v="Primaria"/>
    <x v="0"/>
    <x v="47"/>
    <s v="Rural"/>
    <s v="Masculino"/>
    <x v="0"/>
    <x v="0"/>
  </r>
  <r>
    <n v="268"/>
    <s v="47. Loreto"/>
    <s v="Primaria"/>
    <x v="0"/>
    <x v="47"/>
    <s v="Rural"/>
    <s v="Femenino"/>
    <x v="0"/>
    <x v="0"/>
  </r>
  <r>
    <n v="269"/>
    <s v="47. Loreto"/>
    <s v="Primaria"/>
    <x v="0"/>
    <x v="47"/>
    <s v="Rural"/>
    <s v="Femenino"/>
    <x v="1"/>
    <x v="0"/>
  </r>
  <r>
    <n v="270"/>
    <s v="47. Loreto"/>
    <s v="Primaria"/>
    <x v="1"/>
    <x v="47"/>
    <s v="Rural"/>
    <s v="Femenino"/>
    <x v="0"/>
    <x v="0"/>
  </r>
  <r>
    <n v="271"/>
    <s v="47. Loreto"/>
    <s v="Primaria"/>
    <x v="1"/>
    <x v="47"/>
    <s v="Rural"/>
    <s v="Femenino"/>
    <x v="0"/>
    <x v="0"/>
  </r>
  <r>
    <n v="272"/>
    <s v="47. Loreto"/>
    <s v="Primaria"/>
    <x v="1"/>
    <x v="47"/>
    <s v="Rural"/>
    <s v="Femenino"/>
    <x v="0"/>
    <x v="0"/>
  </r>
  <r>
    <n v="273"/>
    <s v="47. Loreto"/>
    <s v="Primaria"/>
    <x v="1"/>
    <x v="47"/>
    <s v="Rural"/>
    <s v="Femenino"/>
    <x v="0"/>
    <x v="0"/>
  </r>
  <r>
    <n v="275"/>
    <s v="47. Loreto"/>
    <s v="Primaria"/>
    <x v="1"/>
    <x v="47"/>
    <s v="Rural"/>
    <s v="Femenino"/>
    <x v="0"/>
    <x v="0"/>
  </r>
  <r>
    <n v="276"/>
    <s v="47. Loreto"/>
    <s v="Primaria"/>
    <x v="1"/>
    <x v="47"/>
    <s v="Rural"/>
    <s v="Masculino"/>
    <x v="0"/>
    <x v="0"/>
  </r>
  <r>
    <n v="277"/>
    <s v="47. Loreto"/>
    <s v="Primaria"/>
    <x v="1"/>
    <x v="47"/>
    <s v="Rural"/>
    <s v="Masculino"/>
    <x v="0"/>
    <x v="0"/>
  </r>
  <r>
    <n v="279"/>
    <s v="47. Loreto"/>
    <s v="Primaria"/>
    <x v="1"/>
    <x v="47"/>
    <s v="Rural"/>
    <s v="Femenino"/>
    <x v="0"/>
    <x v="0"/>
  </r>
  <r>
    <n v="280"/>
    <s v="47. Loreto"/>
    <s v="Primaria"/>
    <x v="1"/>
    <x v="47"/>
    <s v="Rural"/>
    <s v="Masculino"/>
    <x v="0"/>
    <x v="0"/>
  </r>
  <r>
    <n v="281"/>
    <s v="47. Loreto"/>
    <s v="Primaria"/>
    <x v="1"/>
    <x v="47"/>
    <s v="Rural"/>
    <s v="Femenino"/>
    <x v="0"/>
    <x v="0"/>
  </r>
  <r>
    <n v="282"/>
    <s v="47. Loreto"/>
    <s v="Primaria"/>
    <x v="1"/>
    <x v="47"/>
    <s v="Rural"/>
    <s v="Masculino"/>
    <x v="0"/>
    <x v="0"/>
  </r>
  <r>
    <n v="283"/>
    <s v="47. Loreto"/>
    <s v="Primaria"/>
    <x v="1"/>
    <x v="47"/>
    <s v="Rural"/>
    <s v="Femenino"/>
    <x v="0"/>
    <x v="0"/>
  </r>
  <r>
    <n v="284"/>
    <s v="47. Loreto"/>
    <s v="Secundaria"/>
    <x v="2"/>
    <x v="47"/>
    <s v="Rural"/>
    <s v="Femenino"/>
    <x v="0"/>
    <x v="0"/>
  </r>
  <r>
    <n v="285"/>
    <s v="47. Loreto"/>
    <s v="Secundaria"/>
    <x v="2"/>
    <x v="47"/>
    <s v="Rural"/>
    <s v="Femenino"/>
    <x v="0"/>
    <x v="0"/>
  </r>
  <r>
    <n v="286"/>
    <s v="47. Loreto"/>
    <s v="Secundaria"/>
    <x v="2"/>
    <x v="47"/>
    <s v="Rural"/>
    <s v="Masculino"/>
    <x v="0"/>
    <x v="0"/>
  </r>
  <r>
    <n v="287"/>
    <s v="47. Loreto"/>
    <s v="Secundaria"/>
    <x v="2"/>
    <x v="47"/>
    <s v="Rural"/>
    <s v="Masculino"/>
    <x v="0"/>
    <x v="0"/>
  </r>
  <r>
    <n v="288"/>
    <s v="47. Loreto"/>
    <s v="Secundaria"/>
    <x v="2"/>
    <x v="47"/>
    <s v="Rural"/>
    <s v="Masculino"/>
    <x v="0"/>
    <x v="0"/>
  </r>
  <r>
    <n v="290"/>
    <s v="47. Loreto"/>
    <s v="Secundaria"/>
    <x v="2"/>
    <x v="47"/>
    <s v="Rural"/>
    <s v="Masculino"/>
    <x v="0"/>
    <x v="0"/>
  </r>
  <r>
    <n v="291"/>
    <s v="47. Loreto"/>
    <s v="Secundaria"/>
    <x v="2"/>
    <x v="47"/>
    <s v="Rural"/>
    <s v="Masculino"/>
    <x v="0"/>
    <x v="0"/>
  </r>
  <r>
    <n v="292"/>
    <s v="47. Loreto"/>
    <s v="Secundaria"/>
    <x v="2"/>
    <x v="47"/>
    <s v="Rural"/>
    <s v="Femenino"/>
    <x v="0"/>
    <x v="0"/>
  </r>
  <r>
    <n v="293"/>
    <s v="47. Loreto"/>
    <s v="Secundaria"/>
    <x v="2"/>
    <x v="47"/>
    <s v="Rural"/>
    <s v="Femenino"/>
    <x v="0"/>
    <x v="0"/>
  </r>
  <r>
    <n v="294"/>
    <s v="47. Loreto"/>
    <s v="Secundaria"/>
    <x v="2"/>
    <x v="47"/>
    <s v="Rural"/>
    <s v="Femenino"/>
    <x v="0"/>
    <x v="0"/>
  </r>
  <r>
    <n v="295"/>
    <s v="47. Loreto"/>
    <s v="Secundaria"/>
    <x v="2"/>
    <x v="47"/>
    <s v="Rural"/>
    <s v="Masculino"/>
    <x v="0"/>
    <x v="0"/>
  </r>
  <r>
    <n v="297"/>
    <s v="47. Loreto"/>
    <s v="Secundaria"/>
    <x v="2"/>
    <x v="47"/>
    <s v="Rural"/>
    <s v="Femenino"/>
    <x v="0"/>
    <x v="0"/>
  </r>
  <r>
    <n v="298"/>
    <s v="47. Loreto"/>
    <s v="Secundaria"/>
    <x v="2"/>
    <x v="47"/>
    <s v="Rural"/>
    <s v="Femenino"/>
    <x v="0"/>
    <x v="0"/>
  </r>
  <r>
    <n v="299"/>
    <s v="47. Loreto"/>
    <s v="Secundaria"/>
    <x v="2"/>
    <x v="47"/>
    <s v="Rural"/>
    <s v="Masculino"/>
    <x v="0"/>
    <x v="0"/>
  </r>
  <r>
    <n v="300"/>
    <s v="47. Loreto"/>
    <s v="Secundaria"/>
    <x v="2"/>
    <x v="47"/>
    <s v="Rural"/>
    <s v="Masculino"/>
    <x v="0"/>
    <x v="0"/>
  </r>
  <r>
    <n v="302"/>
    <s v="47. Loreto"/>
    <s v="Secundaria"/>
    <x v="2"/>
    <x v="47"/>
    <s v="Rural"/>
    <s v="Masculino"/>
    <x v="0"/>
    <x v="0"/>
  </r>
  <r>
    <n v="303"/>
    <s v="47. Loreto"/>
    <s v="Secundaria"/>
    <x v="2"/>
    <x v="47"/>
    <s v="Rural"/>
    <s v="Masculino"/>
    <x v="0"/>
    <x v="0"/>
  </r>
  <r>
    <n v="304"/>
    <s v="47. Loreto"/>
    <s v="Secundaria"/>
    <x v="2"/>
    <x v="47"/>
    <s v="Rural"/>
    <s v="Femenino"/>
    <x v="0"/>
    <x v="0"/>
  </r>
  <r>
    <n v="305"/>
    <s v="47. Loreto"/>
    <s v="Secundaria"/>
    <x v="2"/>
    <x v="47"/>
    <s v="Rural"/>
    <s v="Femenino"/>
    <x v="0"/>
    <x v="0"/>
  </r>
  <r>
    <n v="306"/>
    <s v="47. Loreto"/>
    <s v="Secundaria"/>
    <x v="2"/>
    <x v="47"/>
    <s v="Rural"/>
    <s v="Femenino"/>
    <x v="0"/>
    <x v="0"/>
  </r>
  <r>
    <n v="307"/>
    <s v="47. Loreto"/>
    <s v="Secundaria"/>
    <x v="2"/>
    <x v="47"/>
    <s v="Rural"/>
    <s v="Masculino"/>
    <x v="0"/>
    <x v="0"/>
  </r>
  <r>
    <n v="308"/>
    <s v="47. Loreto"/>
    <s v="Secundaria"/>
    <x v="2"/>
    <x v="47"/>
    <s v="Rural"/>
    <s v="Masculino"/>
    <x v="0"/>
    <x v="0"/>
  </r>
  <r>
    <n v="310"/>
    <s v="47. Loreto"/>
    <s v="Secundaria"/>
    <x v="2"/>
    <x v="47"/>
    <s v="Rural"/>
    <s v="Masculino"/>
    <x v="0"/>
    <x v="0"/>
  </r>
  <r>
    <n v="311"/>
    <s v="47. Loreto"/>
    <s v="Secundaria"/>
    <x v="2"/>
    <x v="47"/>
    <s v="Rural"/>
    <s v="Femenino"/>
    <x v="0"/>
    <x v="0"/>
  </r>
  <r>
    <n v="312"/>
    <s v="47. Loreto"/>
    <s v="Secundaria"/>
    <x v="2"/>
    <x v="47"/>
    <s v="Rural"/>
    <s v="Femenino"/>
    <x v="0"/>
    <x v="0"/>
  </r>
  <r>
    <n v="313"/>
    <s v="47. Loreto"/>
    <s v="Secundaria"/>
    <x v="3"/>
    <x v="47"/>
    <s v="Rural"/>
    <s v="Femenino"/>
    <x v="0"/>
    <x v="0"/>
  </r>
  <r>
    <n v="314"/>
    <s v="47. Loreto"/>
    <s v="Secundaria"/>
    <x v="3"/>
    <x v="47"/>
    <s v="Rural"/>
    <s v="Femenino"/>
    <x v="0"/>
    <x v="0"/>
  </r>
  <r>
    <n v="315"/>
    <s v="47. Loreto"/>
    <s v="Secundaria"/>
    <x v="3"/>
    <x v="47"/>
    <s v="Rural"/>
    <s v="Femenino"/>
    <x v="0"/>
    <x v="0"/>
  </r>
  <r>
    <n v="316"/>
    <s v="47. Loreto"/>
    <s v="Secundaria"/>
    <x v="3"/>
    <x v="47"/>
    <s v="Rural"/>
    <s v="Masculino"/>
    <x v="1"/>
    <x v="0"/>
  </r>
  <r>
    <n v="317"/>
    <s v="47. Loreto"/>
    <s v="Secundaria"/>
    <x v="3"/>
    <x v="47"/>
    <s v="Rural"/>
    <s v="Masculino"/>
    <x v="0"/>
    <x v="0"/>
  </r>
  <r>
    <n v="318"/>
    <s v="47. Loreto"/>
    <s v="Secundaria"/>
    <x v="3"/>
    <x v="47"/>
    <s v="Rural"/>
    <s v="Femenino"/>
    <x v="0"/>
    <x v="0"/>
  </r>
  <r>
    <n v="319"/>
    <s v="47. Loreto"/>
    <s v="Secundaria"/>
    <x v="3"/>
    <x v="47"/>
    <s v="Rural"/>
    <s v="Femenino"/>
    <x v="0"/>
    <x v="0"/>
  </r>
  <r>
    <n v="320"/>
    <s v="47. Loreto"/>
    <s v="Secundaria"/>
    <x v="3"/>
    <x v="47"/>
    <s v="Rural"/>
    <s v="Femenino"/>
    <x v="0"/>
    <x v="0"/>
  </r>
  <r>
    <n v="321"/>
    <s v="47. Loreto"/>
    <s v="Secundaria"/>
    <x v="3"/>
    <x v="47"/>
    <s v="Rural"/>
    <s v="Masculino"/>
    <x v="0"/>
    <x v="0"/>
  </r>
  <r>
    <n v="322"/>
    <s v="47. Loreto"/>
    <s v="Secundaria"/>
    <x v="3"/>
    <x v="47"/>
    <s v="Rural"/>
    <s v="Masculino"/>
    <x v="0"/>
    <x v="0"/>
  </r>
  <r>
    <n v="323"/>
    <s v="47. Loreto"/>
    <s v="Secundaria"/>
    <x v="3"/>
    <x v="47"/>
    <s v="Rural"/>
    <s v="Femenino"/>
    <x v="0"/>
    <x v="0"/>
  </r>
  <r>
    <n v="324"/>
    <s v="47. Loreto"/>
    <s v="Secundaria"/>
    <x v="3"/>
    <x v="47"/>
    <s v="Rural"/>
    <s v="Masculino"/>
    <x v="0"/>
    <x v="0"/>
  </r>
  <r>
    <n v="326"/>
    <s v="47. Loreto"/>
    <s v="Secundaria"/>
    <x v="3"/>
    <x v="47"/>
    <s v="Rural"/>
    <s v="Masculino"/>
    <x v="0"/>
    <x v="0"/>
  </r>
  <r>
    <n v="327"/>
    <s v="47. Loreto"/>
    <s v="Secundaria"/>
    <x v="3"/>
    <x v="47"/>
    <s v="Rural"/>
    <s v="Masculino"/>
    <x v="0"/>
    <x v="0"/>
  </r>
  <r>
    <n v="328"/>
    <s v="47. Loreto"/>
    <s v="Secundaria"/>
    <x v="3"/>
    <x v="47"/>
    <s v="Rural"/>
    <s v="Masculino"/>
    <x v="0"/>
    <x v="0"/>
  </r>
  <r>
    <n v="329"/>
    <s v="47. Loreto"/>
    <s v="Secundaria"/>
    <x v="3"/>
    <x v="47"/>
    <s v="Rural"/>
    <s v="Femenino"/>
    <x v="0"/>
    <x v="0"/>
  </r>
  <r>
    <n v="330"/>
    <s v="47. Loreto"/>
    <s v="Secundaria"/>
    <x v="3"/>
    <x v="47"/>
    <s v="Rural"/>
    <s v="Masculino"/>
    <x v="0"/>
    <x v="0"/>
  </r>
  <r>
    <n v="331"/>
    <s v="47. Loreto"/>
    <s v="Secundaria"/>
    <x v="3"/>
    <x v="47"/>
    <s v="Rural"/>
    <s v="Femenino"/>
    <x v="0"/>
    <x v="0"/>
  </r>
  <r>
    <n v="332"/>
    <s v="47. Loreto"/>
    <s v="Secundaria"/>
    <x v="3"/>
    <x v="47"/>
    <s v="Rural"/>
    <s v="Masculino"/>
    <x v="0"/>
    <x v="0"/>
  </r>
  <r>
    <n v="333"/>
    <s v="47. Loreto"/>
    <s v="Secundaria"/>
    <x v="3"/>
    <x v="47"/>
    <s v="Rural"/>
    <s v="Masculino"/>
    <x v="0"/>
    <x v="0"/>
  </r>
  <r>
    <n v="334"/>
    <s v="47. Loreto"/>
    <s v="Secundaria"/>
    <x v="3"/>
    <x v="47"/>
    <s v="Rural"/>
    <s v="Masculino"/>
    <x v="1"/>
    <x v="0"/>
  </r>
  <r>
    <n v="335"/>
    <s v="47. Loreto"/>
    <s v="Secundaria"/>
    <x v="3"/>
    <x v="47"/>
    <s v="Rural"/>
    <s v="Femenino"/>
    <x v="0"/>
    <x v="0"/>
  </r>
  <r>
    <n v="1"/>
    <s v="54. Ancash"/>
    <s v="Primaria"/>
    <x v="4"/>
    <x v="48"/>
    <s v="Rural"/>
    <s v="Masculino"/>
    <x v="0"/>
    <x v="0"/>
  </r>
  <r>
    <n v="2"/>
    <s v="54. Ancash"/>
    <s v="Primaria"/>
    <x v="0"/>
    <x v="48"/>
    <s v="Rural"/>
    <s v="Masculino"/>
    <x v="0"/>
    <x v="0"/>
  </r>
  <r>
    <n v="3"/>
    <s v="54. Ancash"/>
    <s v="Primaria"/>
    <x v="0"/>
    <x v="48"/>
    <s v="Rural"/>
    <s v="Masculino"/>
    <x v="0"/>
    <x v="0"/>
  </r>
  <r>
    <n v="4"/>
    <s v="54. Ancash"/>
    <s v="Primaria"/>
    <x v="0"/>
    <x v="48"/>
    <s v="Rural"/>
    <s v="Femenino"/>
    <x v="0"/>
    <x v="0"/>
  </r>
  <r>
    <n v="5"/>
    <s v="54. Ancash"/>
    <s v="Primaria"/>
    <x v="0"/>
    <x v="48"/>
    <s v="Rural"/>
    <s v="Femenino"/>
    <x v="0"/>
    <x v="0"/>
  </r>
  <r>
    <n v="6"/>
    <s v="54. Ancash"/>
    <s v="Primaria"/>
    <x v="1"/>
    <x v="48"/>
    <s v="Rural"/>
    <s v="Femenino"/>
    <x v="0"/>
    <x v="0"/>
  </r>
  <r>
    <n v="7"/>
    <s v="54. Ancash"/>
    <s v="Primaria"/>
    <x v="1"/>
    <x v="48"/>
    <s v="Rural"/>
    <s v="Femenino"/>
    <x v="0"/>
    <x v="0"/>
  </r>
  <r>
    <n v="8"/>
    <s v="54. Ancash"/>
    <s v="Primaria"/>
    <x v="4"/>
    <x v="49"/>
    <s v="Rural"/>
    <s v="Masculino"/>
    <x v="0"/>
    <x v="0"/>
  </r>
  <r>
    <n v="9"/>
    <s v="54. Ancash"/>
    <s v="Primaria"/>
    <x v="4"/>
    <x v="49"/>
    <s v="Rural"/>
    <s v="Femenino"/>
    <x v="0"/>
    <x v="0"/>
  </r>
  <r>
    <n v="10"/>
    <s v="54. Ancash"/>
    <s v="Primaria"/>
    <x v="4"/>
    <x v="49"/>
    <s v="Rural"/>
    <s v="Femenino"/>
    <x v="0"/>
    <x v="0"/>
  </r>
  <r>
    <n v="12"/>
    <s v="54. Ancash"/>
    <s v="Primaria"/>
    <x v="4"/>
    <x v="49"/>
    <s v="Rural"/>
    <s v="Masculino"/>
    <x v="0"/>
    <x v="0"/>
  </r>
  <r>
    <n v="13"/>
    <s v="54. Ancash"/>
    <s v="Primaria"/>
    <x v="4"/>
    <x v="49"/>
    <s v="Rural"/>
    <s v="Masculino"/>
    <x v="0"/>
    <x v="0"/>
  </r>
  <r>
    <n v="14"/>
    <s v="54. Ancash"/>
    <s v="Primaria"/>
    <x v="4"/>
    <x v="49"/>
    <s v="Rural"/>
    <s v="Masculino"/>
    <x v="0"/>
    <x v="0"/>
  </r>
  <r>
    <n v="15"/>
    <s v="54. Ancash"/>
    <s v="Primaria"/>
    <x v="4"/>
    <x v="49"/>
    <s v="Rural"/>
    <s v="Femenino"/>
    <x v="0"/>
    <x v="0"/>
  </r>
  <r>
    <n v="16"/>
    <s v="54. Ancash"/>
    <s v="Primaria"/>
    <x v="4"/>
    <x v="49"/>
    <s v="Rural"/>
    <s v="Femenino"/>
    <x v="0"/>
    <x v="0"/>
  </r>
  <r>
    <n v="17"/>
    <s v="54. Ancash"/>
    <s v="Primaria"/>
    <x v="4"/>
    <x v="49"/>
    <s v="Rural"/>
    <s v="Femenino"/>
    <x v="0"/>
    <x v="0"/>
  </r>
  <r>
    <n v="18"/>
    <s v="54. Ancash"/>
    <s v="Primaria"/>
    <x v="4"/>
    <x v="49"/>
    <s v="Rural"/>
    <s v="Masculino"/>
    <x v="0"/>
    <x v="0"/>
  </r>
  <r>
    <n v="19"/>
    <s v="54. Ancash"/>
    <s v="Primaria"/>
    <x v="4"/>
    <x v="49"/>
    <s v="Rural"/>
    <s v="Masculino"/>
    <x v="0"/>
    <x v="0"/>
  </r>
  <r>
    <n v="20"/>
    <s v="54. Ancash"/>
    <s v="Primaria"/>
    <x v="4"/>
    <x v="49"/>
    <s v="Rural"/>
    <s v="Masculino"/>
    <x v="0"/>
    <x v="0"/>
  </r>
  <r>
    <n v="21"/>
    <s v="54. Ancash"/>
    <s v="Primaria"/>
    <x v="4"/>
    <x v="49"/>
    <s v="Rural"/>
    <s v="Masculino"/>
    <x v="0"/>
    <x v="0"/>
  </r>
  <r>
    <n v="22"/>
    <s v="54. Ancash"/>
    <s v="Primaria"/>
    <x v="4"/>
    <x v="49"/>
    <s v="Rural"/>
    <s v="Femenino"/>
    <x v="0"/>
    <x v="0"/>
  </r>
  <r>
    <n v="23"/>
    <s v="54. Ancash"/>
    <s v="Primaria"/>
    <x v="4"/>
    <x v="49"/>
    <s v="Rural"/>
    <s v="Masculino"/>
    <x v="0"/>
    <x v="0"/>
  </r>
  <r>
    <n v="24"/>
    <s v="54. Ancash"/>
    <s v="Primaria"/>
    <x v="0"/>
    <x v="49"/>
    <s v="Rural"/>
    <s v="Masculino"/>
    <x v="0"/>
    <x v="0"/>
  </r>
  <r>
    <n v="25"/>
    <s v="54. Ancash"/>
    <s v="Primaria"/>
    <x v="0"/>
    <x v="49"/>
    <s v="Rural"/>
    <s v="Femenino"/>
    <x v="0"/>
    <x v="0"/>
  </r>
  <r>
    <n v="26"/>
    <s v="54. Ancash"/>
    <s v="Primaria"/>
    <x v="0"/>
    <x v="49"/>
    <s v="Rural"/>
    <s v="Femenino"/>
    <x v="0"/>
    <x v="0"/>
  </r>
  <r>
    <n v="27"/>
    <s v="54. Ancash"/>
    <s v="Primaria"/>
    <x v="0"/>
    <x v="49"/>
    <s v="Rural"/>
    <s v="Masculino"/>
    <x v="0"/>
    <x v="0"/>
  </r>
  <r>
    <n v="28"/>
    <s v="54. Ancash"/>
    <s v="Primaria"/>
    <x v="0"/>
    <x v="49"/>
    <s v="Rural"/>
    <s v="Masculino"/>
    <x v="0"/>
    <x v="0"/>
  </r>
  <r>
    <n v="29"/>
    <s v="54. Ancash"/>
    <s v="Primaria"/>
    <x v="0"/>
    <x v="49"/>
    <s v="Rural"/>
    <s v="Masculino"/>
    <x v="0"/>
    <x v="0"/>
  </r>
  <r>
    <n v="30"/>
    <s v="54. Ancash"/>
    <s v="Primaria"/>
    <x v="1"/>
    <x v="49"/>
    <s v="Rural"/>
    <s v="Femenino"/>
    <x v="0"/>
    <x v="0"/>
  </r>
  <r>
    <n v="31"/>
    <s v="54. Ancash"/>
    <s v="Primaria"/>
    <x v="1"/>
    <x v="49"/>
    <s v="Rural"/>
    <s v="Femenino"/>
    <x v="0"/>
    <x v="0"/>
  </r>
  <r>
    <n v="32"/>
    <s v="54. Ancash"/>
    <s v="Primaria"/>
    <x v="1"/>
    <x v="49"/>
    <s v="Rural"/>
    <s v="Femenino"/>
    <x v="0"/>
    <x v="0"/>
  </r>
  <r>
    <n v="33"/>
    <s v="54. Ancash"/>
    <s v="Primaria"/>
    <x v="1"/>
    <x v="49"/>
    <s v="Rural"/>
    <s v="Masculino"/>
    <x v="0"/>
    <x v="0"/>
  </r>
  <r>
    <n v="34"/>
    <s v="54. Ancash"/>
    <s v="Primaria"/>
    <x v="1"/>
    <x v="49"/>
    <s v="Rural"/>
    <s v="Masculino"/>
    <x v="0"/>
    <x v="0"/>
  </r>
  <r>
    <n v="35"/>
    <s v="54. Ancash"/>
    <s v="Primaria"/>
    <x v="1"/>
    <x v="49"/>
    <s v="Rural"/>
    <s v="Masculino"/>
    <x v="0"/>
    <x v="0"/>
  </r>
  <r>
    <n v="36"/>
    <s v="54. Ancash"/>
    <s v="Primaria"/>
    <x v="1"/>
    <x v="49"/>
    <s v="Rural"/>
    <s v="Femenino"/>
    <x v="0"/>
    <x v="0"/>
  </r>
  <r>
    <n v="37"/>
    <s v="54. Ancash"/>
    <s v="Primaria"/>
    <x v="1"/>
    <x v="49"/>
    <s v="Rural"/>
    <s v="Masculino"/>
    <x v="0"/>
    <x v="0"/>
  </r>
  <r>
    <n v="38"/>
    <s v="54. Ancash"/>
    <s v="Primaria"/>
    <x v="1"/>
    <x v="49"/>
    <s v="Rural"/>
    <s v="Femenino"/>
    <x v="0"/>
    <x v="0"/>
  </r>
  <r>
    <n v="39"/>
    <s v="54. Ancash"/>
    <s v="Primaria"/>
    <x v="1"/>
    <x v="49"/>
    <s v="Rural"/>
    <s v="Femenino"/>
    <x v="0"/>
    <x v="0"/>
  </r>
  <r>
    <n v="40"/>
    <s v="54. Ancash"/>
    <s v="Primaria"/>
    <x v="1"/>
    <x v="49"/>
    <s v="Rural"/>
    <s v="Femenino"/>
    <x v="0"/>
    <x v="0"/>
  </r>
  <r>
    <n v="41"/>
    <s v="54. Ancash"/>
    <s v="Primaria"/>
    <x v="1"/>
    <x v="49"/>
    <s v="Rural"/>
    <s v="Masculino"/>
    <x v="0"/>
    <x v="0"/>
  </r>
  <r>
    <n v="42"/>
    <s v="54. Ancash"/>
    <s v="Secundaria"/>
    <x v="2"/>
    <x v="49"/>
    <s v="Rural"/>
    <s v="Masculino"/>
    <x v="0"/>
    <x v="0"/>
  </r>
  <r>
    <n v="43"/>
    <s v="54. Ancash"/>
    <s v="Secundaria"/>
    <x v="2"/>
    <x v="49"/>
    <s v="Rural"/>
    <s v="Masculino"/>
    <x v="0"/>
    <x v="0"/>
  </r>
  <r>
    <n v="44"/>
    <s v="54. Ancash"/>
    <s v="Secundaria"/>
    <x v="2"/>
    <x v="49"/>
    <s v="Rural"/>
    <s v="Femenino"/>
    <x v="0"/>
    <x v="0"/>
  </r>
  <r>
    <n v="45"/>
    <s v="54. Ancash"/>
    <s v="Secundaria"/>
    <x v="2"/>
    <x v="49"/>
    <s v="Rural"/>
    <s v="Masculino"/>
    <x v="0"/>
    <x v="0"/>
  </r>
  <r>
    <n v="46"/>
    <s v="54. Ancash"/>
    <s v="Secundaria"/>
    <x v="2"/>
    <x v="49"/>
    <s v="Rural"/>
    <s v="Femenino"/>
    <x v="0"/>
    <x v="0"/>
  </r>
  <r>
    <n v="47"/>
    <s v="54. Ancash"/>
    <s v="Secundaria"/>
    <x v="2"/>
    <x v="49"/>
    <s v="Rural"/>
    <s v="Femenino"/>
    <x v="0"/>
    <x v="0"/>
  </r>
  <r>
    <n v="50"/>
    <s v="54. Ancash"/>
    <s v="Secundaria"/>
    <x v="2"/>
    <x v="49"/>
    <s v="Rural"/>
    <s v="Masculino"/>
    <x v="0"/>
    <x v="0"/>
  </r>
  <r>
    <n v="51"/>
    <s v="54. Ancash"/>
    <s v="Secundaria"/>
    <x v="2"/>
    <x v="49"/>
    <s v="Rural"/>
    <s v="Masculino"/>
    <x v="0"/>
    <x v="0"/>
  </r>
  <r>
    <n v="52"/>
    <s v="54. Ancash"/>
    <s v="Secundaria"/>
    <x v="2"/>
    <x v="49"/>
    <s v="Rural"/>
    <s v="Masculino"/>
    <x v="0"/>
    <x v="0"/>
  </r>
  <r>
    <n v="53"/>
    <s v="54. Ancash"/>
    <s v="Secundaria"/>
    <x v="2"/>
    <x v="49"/>
    <s v="Rural"/>
    <s v="Femenino"/>
    <x v="0"/>
    <x v="0"/>
  </r>
  <r>
    <n v="55"/>
    <s v="54. Ancash"/>
    <s v="Secundaria"/>
    <x v="2"/>
    <x v="49"/>
    <s v="Rural"/>
    <s v="Masculino"/>
    <x v="0"/>
    <x v="0"/>
  </r>
  <r>
    <n v="57"/>
    <s v="54. Ancash"/>
    <s v="Secundaria"/>
    <x v="2"/>
    <x v="49"/>
    <s v="Rural"/>
    <s v="Masculino"/>
    <x v="0"/>
    <x v="0"/>
  </r>
  <r>
    <n v="59"/>
    <s v="54. Ancash"/>
    <s v="Secundaria"/>
    <x v="2"/>
    <x v="49"/>
    <s v="Rural"/>
    <s v="Masculino"/>
    <x v="0"/>
    <x v="0"/>
  </r>
  <r>
    <n v="60"/>
    <s v="54. Ancash"/>
    <s v="Secundaria"/>
    <x v="2"/>
    <x v="49"/>
    <s v="Rural"/>
    <s v="Femenino"/>
    <x v="0"/>
    <x v="0"/>
  </r>
  <r>
    <n v="61"/>
    <s v="54. Ancash"/>
    <s v="Secundaria"/>
    <x v="2"/>
    <x v="49"/>
    <s v="Rural"/>
    <s v="Femenino"/>
    <x v="0"/>
    <x v="0"/>
  </r>
  <r>
    <n v="62"/>
    <s v="54. Ancash"/>
    <s v="Secundaria"/>
    <x v="2"/>
    <x v="49"/>
    <s v="Rural"/>
    <s v="Femenino"/>
    <x v="0"/>
    <x v="0"/>
  </r>
  <r>
    <n v="63"/>
    <s v="54. Ancash"/>
    <s v="Secundaria"/>
    <x v="2"/>
    <x v="49"/>
    <s v="Rural"/>
    <s v="Masculino"/>
    <x v="0"/>
    <x v="0"/>
  </r>
  <r>
    <n v="64"/>
    <s v="54. Ancash"/>
    <s v="Secundaria"/>
    <x v="2"/>
    <x v="49"/>
    <s v="Rural"/>
    <s v="Masculino"/>
    <x v="0"/>
    <x v="0"/>
  </r>
  <r>
    <n v="65"/>
    <s v="54. Ancash"/>
    <s v="Secundaria"/>
    <x v="2"/>
    <x v="49"/>
    <s v="Rural"/>
    <s v="Femenino"/>
    <x v="0"/>
    <x v="0"/>
  </r>
  <r>
    <n v="66"/>
    <s v="54. Ancash"/>
    <s v="Secundaria"/>
    <x v="2"/>
    <x v="49"/>
    <s v="Rural"/>
    <s v="Masculino"/>
    <x v="0"/>
    <x v="0"/>
  </r>
  <r>
    <n v="67"/>
    <s v="54. Ancash"/>
    <s v="Secundaria"/>
    <x v="3"/>
    <x v="49"/>
    <s v="Rural"/>
    <s v="Femenino"/>
    <x v="0"/>
    <x v="0"/>
  </r>
  <r>
    <n v="68"/>
    <s v="54. Ancash"/>
    <s v="Secundaria"/>
    <x v="3"/>
    <x v="49"/>
    <s v="Rural"/>
    <s v="Femenino"/>
    <x v="0"/>
    <x v="0"/>
  </r>
  <r>
    <n v="69"/>
    <s v="54. Ancash"/>
    <s v="Secundaria"/>
    <x v="3"/>
    <x v="49"/>
    <s v="Rural"/>
    <s v="Masculino"/>
    <x v="0"/>
    <x v="0"/>
  </r>
  <r>
    <n v="70"/>
    <s v="54. Ancash"/>
    <s v="Secundaria"/>
    <x v="3"/>
    <x v="49"/>
    <s v="Rural"/>
    <s v="Femenino"/>
    <x v="0"/>
    <x v="0"/>
  </r>
  <r>
    <n v="72"/>
    <s v="54. Ancash"/>
    <s v="Secundaria"/>
    <x v="3"/>
    <x v="49"/>
    <s v="Rural"/>
    <s v="Femenino"/>
    <x v="0"/>
    <x v="0"/>
  </r>
  <r>
    <n v="73"/>
    <s v="54. Ancash"/>
    <s v="Secundaria"/>
    <x v="3"/>
    <x v="49"/>
    <s v="Rural"/>
    <s v="Masculino"/>
    <x v="0"/>
    <x v="0"/>
  </r>
  <r>
    <n v="74"/>
    <s v="54. Ancash"/>
    <s v="Secundaria"/>
    <x v="3"/>
    <x v="49"/>
    <s v="Rural"/>
    <s v="Masculino"/>
    <x v="0"/>
    <x v="0"/>
  </r>
  <r>
    <n v="75"/>
    <s v="54. Ancash"/>
    <s v="Secundaria"/>
    <x v="3"/>
    <x v="49"/>
    <s v="Rural"/>
    <s v="Femenino"/>
    <x v="0"/>
    <x v="0"/>
  </r>
  <r>
    <n v="77"/>
    <s v="54. Ancash"/>
    <s v="Secundaria"/>
    <x v="3"/>
    <x v="49"/>
    <s v="Rural"/>
    <s v="Femenino"/>
    <x v="0"/>
    <x v="0"/>
  </r>
  <r>
    <n v="78"/>
    <s v="54. Ancash"/>
    <s v="Secundaria"/>
    <x v="3"/>
    <x v="49"/>
    <s v="Rural"/>
    <s v="Masculino"/>
    <x v="0"/>
    <x v="0"/>
  </r>
  <r>
    <n v="80"/>
    <s v="54. Ancash"/>
    <s v="Secundaria"/>
    <x v="3"/>
    <x v="49"/>
    <s v="Rural"/>
    <s v="Masculino"/>
    <x v="0"/>
    <x v="0"/>
  </r>
  <r>
    <n v="81"/>
    <s v="54. Ancash"/>
    <s v="Secundaria"/>
    <x v="3"/>
    <x v="49"/>
    <s v="Rural"/>
    <s v="Masculino"/>
    <x v="0"/>
    <x v="0"/>
  </r>
  <r>
    <n v="82"/>
    <s v="54. Ancash"/>
    <s v="Secundaria"/>
    <x v="3"/>
    <x v="49"/>
    <s v="Rural"/>
    <s v="Femenino"/>
    <x v="0"/>
    <x v="0"/>
  </r>
  <r>
    <n v="84"/>
    <s v="54. Ancash"/>
    <s v="Secundaria"/>
    <x v="3"/>
    <x v="49"/>
    <s v="Rural"/>
    <s v="Femenino"/>
    <x v="0"/>
    <x v="0"/>
  </r>
  <r>
    <n v="85"/>
    <s v="54. Ancash"/>
    <s v="Secundaria"/>
    <x v="3"/>
    <x v="49"/>
    <s v="Rural"/>
    <s v="Masculino"/>
    <x v="0"/>
    <x v="0"/>
  </r>
  <r>
    <n v="87"/>
    <s v="54. Ancash"/>
    <s v="Secundaria"/>
    <x v="3"/>
    <x v="49"/>
    <s v="Rural"/>
    <s v="Femenino"/>
    <x v="0"/>
    <x v="0"/>
  </r>
  <r>
    <n v="88"/>
    <s v="54. Ancash"/>
    <s v="Secundaria"/>
    <x v="3"/>
    <x v="49"/>
    <s v="Rural"/>
    <s v="Masculino"/>
    <x v="0"/>
    <x v="0"/>
  </r>
  <r>
    <n v="89"/>
    <s v="54. Ancash"/>
    <s v="Secundaria"/>
    <x v="3"/>
    <x v="49"/>
    <s v="Rural"/>
    <s v="Masculino"/>
    <x v="0"/>
    <x v="0"/>
  </r>
  <r>
    <n v="90"/>
    <s v="54. Ancash"/>
    <s v="Secundaria"/>
    <x v="3"/>
    <x v="49"/>
    <s v="Rural"/>
    <s v="Femenino"/>
    <x v="0"/>
    <x v="0"/>
  </r>
  <r>
    <n v="91"/>
    <s v="54. Ancash"/>
    <s v="Secundaria"/>
    <x v="3"/>
    <x v="49"/>
    <s v="Rural"/>
    <s v="Masculino"/>
    <x v="0"/>
    <x v="0"/>
  </r>
  <r>
    <n v="92"/>
    <s v="54. Ancash"/>
    <s v="Secundaria"/>
    <x v="3"/>
    <x v="49"/>
    <s v="Rural"/>
    <s v="Femenino"/>
    <x v="0"/>
    <x v="0"/>
  </r>
  <r>
    <n v="94"/>
    <s v="54. Ancash"/>
    <s v="Primaria"/>
    <x v="4"/>
    <x v="50"/>
    <s v="Rural"/>
    <s v="Masculino"/>
    <x v="0"/>
    <x v="0"/>
  </r>
  <r>
    <n v="95"/>
    <s v="54. Ancash"/>
    <s v="Primaria"/>
    <x v="4"/>
    <x v="50"/>
    <s v="Rural"/>
    <s v="Femenino"/>
    <x v="0"/>
    <x v="0"/>
  </r>
  <r>
    <n v="96"/>
    <s v="54. Ancash"/>
    <s v="Primaria"/>
    <x v="4"/>
    <x v="50"/>
    <s v="Rural"/>
    <s v="Masculino"/>
    <x v="0"/>
    <x v="0"/>
  </r>
  <r>
    <n v="97"/>
    <s v="54. Ancash"/>
    <s v="Primaria"/>
    <x v="4"/>
    <x v="50"/>
    <s v="Rural"/>
    <s v="Femenino"/>
    <x v="0"/>
    <x v="0"/>
  </r>
  <r>
    <n v="98"/>
    <s v="54. Ancash"/>
    <s v="Primaria"/>
    <x v="0"/>
    <x v="50"/>
    <s v="Rural"/>
    <s v="Masculino"/>
    <x v="0"/>
    <x v="0"/>
  </r>
  <r>
    <n v="99"/>
    <s v="54. Ancash"/>
    <s v="Primaria"/>
    <x v="0"/>
    <x v="50"/>
    <s v="Rural"/>
    <s v="Masculino"/>
    <x v="0"/>
    <x v="0"/>
  </r>
  <r>
    <n v="100"/>
    <s v="54. Ancash"/>
    <s v="Primaria"/>
    <x v="0"/>
    <x v="50"/>
    <s v="Rural"/>
    <s v="Femenino"/>
    <x v="0"/>
    <x v="0"/>
  </r>
  <r>
    <n v="101"/>
    <s v="54. Ancash"/>
    <s v="Primaria"/>
    <x v="0"/>
    <x v="50"/>
    <s v="Rural"/>
    <s v="Masculino"/>
    <x v="0"/>
    <x v="0"/>
  </r>
  <r>
    <n v="102"/>
    <s v="54. Ancash"/>
    <s v="Primaria"/>
    <x v="0"/>
    <x v="50"/>
    <s v="Rural"/>
    <s v="Masculino"/>
    <x v="0"/>
    <x v="0"/>
  </r>
  <r>
    <n v="103"/>
    <s v="54. Ancash"/>
    <s v="Primaria"/>
    <x v="0"/>
    <x v="50"/>
    <s v="Rural"/>
    <s v="Masculino"/>
    <x v="0"/>
    <x v="0"/>
  </r>
  <r>
    <n v="104"/>
    <s v="54. Ancash"/>
    <s v="Primaria"/>
    <x v="0"/>
    <x v="50"/>
    <s v="Rural"/>
    <s v="Femenino"/>
    <x v="0"/>
    <x v="0"/>
  </r>
  <r>
    <n v="105"/>
    <s v="54. Ancash"/>
    <s v="Primaria"/>
    <x v="1"/>
    <x v="50"/>
    <s v="Rural"/>
    <s v="Femenino"/>
    <x v="0"/>
    <x v="0"/>
  </r>
  <r>
    <n v="106"/>
    <s v="54. Ancash"/>
    <s v="Primaria"/>
    <x v="1"/>
    <x v="50"/>
    <s v="Rural"/>
    <s v="Masculino"/>
    <x v="0"/>
    <x v="0"/>
  </r>
  <r>
    <n v="107"/>
    <s v="54. Ancash"/>
    <s v="Primaria"/>
    <x v="1"/>
    <x v="50"/>
    <s v="Rural"/>
    <s v="Femenino"/>
    <x v="0"/>
    <x v="0"/>
  </r>
  <r>
    <n v="108"/>
    <s v="54. Ancash"/>
    <s v="Primaria"/>
    <x v="4"/>
    <x v="51"/>
    <s v="Rural"/>
    <s v="Masculino"/>
    <x v="0"/>
    <x v="0"/>
  </r>
  <r>
    <n v="109"/>
    <s v="54. Ancash"/>
    <s v="Primaria"/>
    <x v="4"/>
    <x v="51"/>
    <s v="Rural"/>
    <s v="Femenino"/>
    <x v="0"/>
    <x v="0"/>
  </r>
  <r>
    <n v="110"/>
    <s v="54. Ancash"/>
    <s v="Primaria"/>
    <x v="4"/>
    <x v="51"/>
    <s v="Rural"/>
    <s v="Masculino"/>
    <x v="0"/>
    <x v="0"/>
  </r>
  <r>
    <n v="111"/>
    <s v="54. Ancash"/>
    <s v="Primaria"/>
    <x v="4"/>
    <x v="51"/>
    <s v="Rural"/>
    <s v="Femenino"/>
    <x v="0"/>
    <x v="0"/>
  </r>
  <r>
    <n v="112"/>
    <s v="54. Ancash"/>
    <s v="Primaria"/>
    <x v="4"/>
    <x v="51"/>
    <s v="Rural"/>
    <s v="Masculino"/>
    <x v="0"/>
    <x v="0"/>
  </r>
  <r>
    <n v="113"/>
    <s v="54. Ancash"/>
    <s v="Primaria"/>
    <x v="4"/>
    <x v="51"/>
    <s v="Rural"/>
    <s v="Femenino"/>
    <x v="0"/>
    <x v="0"/>
  </r>
  <r>
    <n v="114"/>
    <s v="54. Ancash"/>
    <s v="Primaria"/>
    <x v="0"/>
    <x v="51"/>
    <s v="Rural"/>
    <s v="Femenino"/>
    <x v="0"/>
    <x v="0"/>
  </r>
  <r>
    <n v="115"/>
    <s v="54. Ancash"/>
    <s v="Primaria"/>
    <x v="0"/>
    <x v="51"/>
    <s v="Rural"/>
    <s v="Femenino"/>
    <x v="0"/>
    <x v="0"/>
  </r>
  <r>
    <n v="116"/>
    <s v="54. Ancash"/>
    <s v="Primaria"/>
    <x v="0"/>
    <x v="51"/>
    <s v="Rural"/>
    <s v="Femenino"/>
    <x v="0"/>
    <x v="0"/>
  </r>
  <r>
    <n v="117"/>
    <s v="54. Ancash"/>
    <s v="Primaria"/>
    <x v="0"/>
    <x v="51"/>
    <s v="Rural"/>
    <s v="Masculino"/>
    <x v="0"/>
    <x v="0"/>
  </r>
  <r>
    <n v="118"/>
    <s v="54. Ancash"/>
    <s v="Primaria"/>
    <x v="0"/>
    <x v="51"/>
    <s v="Rural"/>
    <s v="Femenino"/>
    <x v="0"/>
    <x v="0"/>
  </r>
  <r>
    <n v="119"/>
    <s v="54. Ancash"/>
    <s v="Primaria"/>
    <x v="0"/>
    <x v="51"/>
    <s v="Rural"/>
    <s v="Femenino"/>
    <x v="0"/>
    <x v="0"/>
  </r>
  <r>
    <n v="120"/>
    <s v="54. Ancash"/>
    <s v="Primaria"/>
    <x v="0"/>
    <x v="51"/>
    <s v="Rural"/>
    <s v="Femenino"/>
    <x v="0"/>
    <x v="0"/>
  </r>
  <r>
    <n v="121"/>
    <s v="54. Ancash"/>
    <s v="Primaria"/>
    <x v="0"/>
    <x v="51"/>
    <s v="Rural"/>
    <s v="Femenino"/>
    <x v="0"/>
    <x v="0"/>
  </r>
  <r>
    <n v="123"/>
    <s v="54. Ancash"/>
    <s v="Primaria"/>
    <x v="1"/>
    <x v="51"/>
    <s v="Rural"/>
    <s v="Femenino"/>
    <x v="0"/>
    <x v="0"/>
  </r>
  <r>
    <n v="124"/>
    <s v="54. Ancash"/>
    <s v="Primaria"/>
    <x v="1"/>
    <x v="51"/>
    <s v="Rural"/>
    <s v="Femenino"/>
    <x v="0"/>
    <x v="0"/>
  </r>
  <r>
    <n v="125"/>
    <s v="54. Ancash"/>
    <s v="Primaria"/>
    <x v="1"/>
    <x v="51"/>
    <s v="Rural"/>
    <s v="Femenino"/>
    <x v="0"/>
    <x v="0"/>
  </r>
  <r>
    <n v="126"/>
    <s v="54. Ancash"/>
    <s v="Primaria"/>
    <x v="1"/>
    <x v="51"/>
    <s v="Rural"/>
    <s v="Femenino"/>
    <x v="0"/>
    <x v="0"/>
  </r>
  <r>
    <n v="127"/>
    <s v="54. Ancash"/>
    <s v="Primaria"/>
    <x v="1"/>
    <x v="51"/>
    <s v="Rural"/>
    <s v="Masculino"/>
    <x v="0"/>
    <x v="0"/>
  </r>
  <r>
    <n v="128"/>
    <s v="54. Ancash"/>
    <s v="Primaria"/>
    <x v="4"/>
    <x v="52"/>
    <s v="Rural"/>
    <s v="Femenino"/>
    <x v="0"/>
    <x v="0"/>
  </r>
  <r>
    <n v="129"/>
    <s v="54. Ancash"/>
    <s v="Primaria"/>
    <x v="4"/>
    <x v="52"/>
    <s v="Rural"/>
    <s v="Femenino"/>
    <x v="0"/>
    <x v="0"/>
  </r>
  <r>
    <n v="130"/>
    <s v="54. Ancash"/>
    <s v="Primaria"/>
    <x v="4"/>
    <x v="52"/>
    <s v="Rural"/>
    <s v="Femenino"/>
    <x v="0"/>
    <x v="0"/>
  </r>
  <r>
    <n v="131"/>
    <s v="54. Ancash"/>
    <s v="Primaria"/>
    <x v="4"/>
    <x v="52"/>
    <s v="Rural"/>
    <s v="Femenino"/>
    <x v="0"/>
    <x v="0"/>
  </r>
  <r>
    <n v="132"/>
    <s v="54. Ancash"/>
    <s v="Primaria"/>
    <x v="4"/>
    <x v="52"/>
    <s v="Rural"/>
    <s v="Masculino"/>
    <x v="0"/>
    <x v="0"/>
  </r>
  <r>
    <n v="133"/>
    <s v="54. Ancash"/>
    <s v="Primaria"/>
    <x v="4"/>
    <x v="52"/>
    <s v="Rural"/>
    <s v="Masculino"/>
    <x v="0"/>
    <x v="0"/>
  </r>
  <r>
    <n v="134"/>
    <s v="54. Ancash"/>
    <s v="Primaria"/>
    <x v="4"/>
    <x v="52"/>
    <s v="Rural"/>
    <s v="Masculino"/>
    <x v="0"/>
    <x v="0"/>
  </r>
  <r>
    <n v="135"/>
    <s v="54. Ancash"/>
    <s v="Primaria"/>
    <x v="0"/>
    <x v="52"/>
    <s v="Rural"/>
    <s v="Femenino"/>
    <x v="0"/>
    <x v="0"/>
  </r>
  <r>
    <n v="136"/>
    <s v="54. Ancash"/>
    <s v="Primaria"/>
    <x v="0"/>
    <x v="52"/>
    <s v="Rural"/>
    <s v="Masculino"/>
    <x v="0"/>
    <x v="0"/>
  </r>
  <r>
    <n v="137"/>
    <s v="54. Ancash"/>
    <s v="Primaria"/>
    <x v="0"/>
    <x v="52"/>
    <s v="Rural"/>
    <s v="Masculino"/>
    <x v="0"/>
    <x v="0"/>
  </r>
  <r>
    <n v="138"/>
    <s v="54. Ancash"/>
    <s v="Primaria"/>
    <x v="0"/>
    <x v="52"/>
    <s v="Rural"/>
    <s v="Femenino"/>
    <x v="0"/>
    <x v="0"/>
  </r>
  <r>
    <n v="139"/>
    <s v="54. Ancash"/>
    <s v="Primaria"/>
    <x v="0"/>
    <x v="52"/>
    <s v="Rural"/>
    <s v="Femenino"/>
    <x v="0"/>
    <x v="0"/>
  </r>
  <r>
    <n v="140"/>
    <s v="54. Ancash"/>
    <s v="Primaria"/>
    <x v="1"/>
    <x v="52"/>
    <s v="Rural"/>
    <s v="Masculino"/>
    <x v="0"/>
    <x v="0"/>
  </r>
  <r>
    <n v="141"/>
    <s v="54. Ancash"/>
    <s v="Primaria"/>
    <x v="1"/>
    <x v="52"/>
    <s v="Rural"/>
    <s v="Masculino"/>
    <x v="0"/>
    <x v="0"/>
  </r>
  <r>
    <n v="142"/>
    <s v="54. Ancash"/>
    <s v="Primaria"/>
    <x v="1"/>
    <x v="52"/>
    <s v="Rural"/>
    <s v="Masculino"/>
    <x v="0"/>
    <x v="0"/>
  </r>
  <r>
    <n v="143"/>
    <s v="54. Ancash"/>
    <s v="Primaria"/>
    <x v="1"/>
    <x v="52"/>
    <s v="Rural"/>
    <s v="Masculino"/>
    <x v="0"/>
    <x v="0"/>
  </r>
  <r>
    <n v="144"/>
    <s v="54. Ancash"/>
    <s v="Primaria"/>
    <x v="1"/>
    <x v="52"/>
    <s v="Rural"/>
    <s v="Femenino"/>
    <x v="0"/>
    <x v="0"/>
  </r>
  <r>
    <n v="145"/>
    <s v="54. Ancash"/>
    <s v="Secundaria"/>
    <x v="2"/>
    <x v="52"/>
    <s v="Rural"/>
    <s v="Femenino"/>
    <x v="0"/>
    <x v="0"/>
  </r>
  <r>
    <n v="146"/>
    <s v="54. Ancash"/>
    <s v="Secundaria"/>
    <x v="2"/>
    <x v="52"/>
    <s v="Rural"/>
    <s v="Masculino"/>
    <x v="0"/>
    <x v="0"/>
  </r>
  <r>
    <n v="147"/>
    <s v="54. Ancash"/>
    <s v="Secundaria"/>
    <x v="2"/>
    <x v="52"/>
    <s v="Rural"/>
    <s v="Femenino"/>
    <x v="0"/>
    <x v="0"/>
  </r>
  <r>
    <n v="148"/>
    <s v="54. Ancash"/>
    <s v="Secundaria"/>
    <x v="2"/>
    <x v="52"/>
    <s v="Rural"/>
    <s v="Femenino"/>
    <x v="0"/>
    <x v="0"/>
  </r>
  <r>
    <n v="150"/>
    <s v="54. Ancash"/>
    <s v="Secundaria"/>
    <x v="3"/>
    <x v="52"/>
    <s v="Rural"/>
    <s v="Femenino"/>
    <x v="0"/>
    <x v="0"/>
  </r>
  <r>
    <n v="151"/>
    <s v="54. Ancash"/>
    <s v="Secundaria"/>
    <x v="3"/>
    <x v="52"/>
    <s v="Rural"/>
    <s v="Femenino"/>
    <x v="0"/>
    <x v="0"/>
  </r>
  <r>
    <n v="152"/>
    <s v="54. Ancash"/>
    <s v="Secundaria"/>
    <x v="3"/>
    <x v="52"/>
    <s v="Rural"/>
    <s v="Masculino"/>
    <x v="0"/>
    <x v="0"/>
  </r>
  <r>
    <n v="153"/>
    <s v="54. Ancash"/>
    <s v="Secundaria"/>
    <x v="3"/>
    <x v="52"/>
    <s v="Rural"/>
    <s v="Femenino"/>
    <x v="0"/>
    <x v="0"/>
  </r>
  <r>
    <n v="154"/>
    <s v="54. Ancash"/>
    <s v="Secundaria"/>
    <x v="3"/>
    <x v="52"/>
    <s v="Rural"/>
    <s v="Masculino"/>
    <x v="0"/>
    <x v="0"/>
  </r>
  <r>
    <n v="1"/>
    <s v="44. Cusco"/>
    <s v="Secundaria"/>
    <x v="2"/>
    <x v="53"/>
    <s v="Rural"/>
    <s v="Femenino"/>
    <x v="1"/>
    <x v="0"/>
  </r>
  <r>
    <n v="2"/>
    <s v="44. Cusco"/>
    <s v="Secundaria"/>
    <x v="2"/>
    <x v="53"/>
    <s v="Rural"/>
    <s v="Masculino"/>
    <x v="1"/>
    <x v="0"/>
  </r>
  <r>
    <n v="3"/>
    <s v="44. Cusco"/>
    <s v="Secundaria"/>
    <x v="2"/>
    <x v="53"/>
    <s v="Rural"/>
    <s v="Femenino"/>
    <x v="0"/>
    <x v="0"/>
  </r>
  <r>
    <n v="4"/>
    <s v="44. Cusco"/>
    <s v="Secundaria"/>
    <x v="2"/>
    <x v="53"/>
    <s v="Rural"/>
    <s v="Masculino"/>
    <x v="1"/>
    <x v="0"/>
  </r>
  <r>
    <n v="5"/>
    <s v="44. Cusco"/>
    <s v="Secundaria"/>
    <x v="2"/>
    <x v="53"/>
    <s v="Rural"/>
    <s v="Femenino"/>
    <x v="0"/>
    <x v="0"/>
  </r>
  <r>
    <n v="6"/>
    <s v="44. Cusco"/>
    <s v="Secundaria"/>
    <x v="2"/>
    <x v="53"/>
    <s v="Rural"/>
    <s v="Femenino"/>
    <x v="1"/>
    <x v="0"/>
  </r>
  <r>
    <n v="7"/>
    <s v="44. Cusco"/>
    <s v="Secundaria"/>
    <x v="2"/>
    <x v="53"/>
    <s v="Rural"/>
    <s v="Femenino"/>
    <x v="1"/>
    <x v="0"/>
  </r>
  <r>
    <n v="8"/>
    <s v="44. Cusco"/>
    <s v="Secundaria"/>
    <x v="2"/>
    <x v="53"/>
    <s v="Rural"/>
    <s v="Masculino"/>
    <x v="0"/>
    <x v="0"/>
  </r>
  <r>
    <n v="9"/>
    <s v="44. Cusco"/>
    <s v="Secundaria"/>
    <x v="2"/>
    <x v="53"/>
    <s v="Rural"/>
    <s v="Femenino"/>
    <x v="1"/>
    <x v="0"/>
  </r>
  <r>
    <n v="10"/>
    <s v="44. Cusco"/>
    <s v="Secundaria"/>
    <x v="2"/>
    <x v="53"/>
    <s v="Rural"/>
    <s v="Masculino"/>
    <x v="1"/>
    <x v="0"/>
  </r>
  <r>
    <n v="11"/>
    <s v="44. Cusco"/>
    <s v="Secundaria"/>
    <x v="2"/>
    <x v="53"/>
    <s v="Rural"/>
    <s v="Femenino"/>
    <x v="1"/>
    <x v="0"/>
  </r>
  <r>
    <n v="12"/>
    <s v="44. Cusco"/>
    <s v="Secundaria"/>
    <x v="3"/>
    <x v="53"/>
    <s v="Rural"/>
    <s v="Femenino"/>
    <x v="2"/>
    <x v="0"/>
  </r>
  <r>
    <n v="13"/>
    <s v="44. Cusco"/>
    <s v="Secundaria"/>
    <x v="3"/>
    <x v="53"/>
    <s v="Rural"/>
    <s v="Femenino"/>
    <x v="2"/>
    <x v="0"/>
  </r>
  <r>
    <n v="14"/>
    <s v="44. Cusco"/>
    <s v="Secundaria"/>
    <x v="3"/>
    <x v="53"/>
    <s v="Rural"/>
    <s v="Femenino"/>
    <x v="2"/>
    <x v="0"/>
  </r>
  <r>
    <n v="15"/>
    <s v="44. Cusco"/>
    <s v="Secundaria"/>
    <x v="3"/>
    <x v="53"/>
    <s v="Rural"/>
    <s v="Femenino"/>
    <x v="2"/>
    <x v="0"/>
  </r>
  <r>
    <n v="16"/>
    <s v="44. Cusco"/>
    <s v="Secundaria"/>
    <x v="3"/>
    <x v="53"/>
    <s v="Rural"/>
    <s v="Masculino"/>
    <x v="1"/>
    <x v="0"/>
  </r>
  <r>
    <n v="17"/>
    <s v="44. Cusco"/>
    <s v="Secundaria"/>
    <x v="3"/>
    <x v="53"/>
    <s v="Rural"/>
    <s v="Masculino"/>
    <x v="1"/>
    <x v="0"/>
  </r>
  <r>
    <n v="18"/>
    <s v="44. Cusco"/>
    <s v="Secundaria"/>
    <x v="3"/>
    <x v="53"/>
    <s v="Rural"/>
    <s v="Masculino"/>
    <x v="0"/>
    <x v="0"/>
  </r>
  <r>
    <n v="19"/>
    <s v="44. Cusco"/>
    <s v="Secundaria"/>
    <x v="3"/>
    <x v="53"/>
    <s v="Rural"/>
    <s v="Masculino"/>
    <x v="2"/>
    <x v="0"/>
  </r>
  <r>
    <n v="20"/>
    <s v="44. Cusco"/>
    <s v="Secundaria"/>
    <x v="3"/>
    <x v="53"/>
    <s v="Rural"/>
    <s v="Femenino"/>
    <x v="1"/>
    <x v="0"/>
  </r>
  <r>
    <n v="21"/>
    <s v="44. Cusco"/>
    <s v="Secundaria"/>
    <x v="3"/>
    <x v="53"/>
    <s v="Rural"/>
    <s v="Masculino"/>
    <x v="1"/>
    <x v="0"/>
  </r>
  <r>
    <n v="22"/>
    <s v="44. Cusco"/>
    <s v="Secundaria"/>
    <x v="3"/>
    <x v="53"/>
    <s v="Rural"/>
    <s v="Masculino"/>
    <x v="2"/>
    <x v="0"/>
  </r>
  <r>
    <n v="23"/>
    <s v="44. Cusco"/>
    <s v="Secundaria"/>
    <x v="3"/>
    <x v="53"/>
    <s v="Rural"/>
    <s v="Masculino"/>
    <x v="1"/>
    <x v="0"/>
  </r>
  <r>
    <n v="24"/>
    <s v="44. Cusco"/>
    <s v="Secundaria"/>
    <x v="3"/>
    <x v="53"/>
    <s v="Rural"/>
    <s v="Femenino"/>
    <x v="2"/>
    <x v="0"/>
  </r>
  <r>
    <n v="25"/>
    <s v="44. Cusco"/>
    <s v="Secundaria"/>
    <x v="3"/>
    <x v="53"/>
    <s v="Rural"/>
    <s v="Femenino"/>
    <x v="1"/>
    <x v="0"/>
  </r>
  <r>
    <n v="26"/>
    <s v="44. Cusco"/>
    <s v="Secundaria"/>
    <x v="3"/>
    <x v="53"/>
    <s v="Rural"/>
    <s v="Femenino"/>
    <x v="0"/>
    <x v="0"/>
  </r>
  <r>
    <n v="27"/>
    <s v="44. Cusco"/>
    <s v="Secundaria"/>
    <x v="3"/>
    <x v="53"/>
    <s v="Rural"/>
    <s v="Masculino"/>
    <x v="2"/>
    <x v="0"/>
  </r>
  <r>
    <n v="1"/>
    <s v="44. Cusco"/>
    <s v="Secundaria"/>
    <x v="2"/>
    <x v="53"/>
    <s v="Rural"/>
    <s v="Femenino"/>
    <x v="1"/>
    <x v="0"/>
  </r>
  <r>
    <n v="2"/>
    <s v="44. Cusco"/>
    <s v="Secundaria"/>
    <x v="2"/>
    <x v="53"/>
    <s v="Rural"/>
    <s v="Masculino"/>
    <x v="1"/>
    <x v="0"/>
  </r>
  <r>
    <n v="3"/>
    <s v="44. Cusco"/>
    <s v="Secundaria"/>
    <x v="2"/>
    <x v="53"/>
    <s v="Rural"/>
    <s v="Femenino"/>
    <x v="0"/>
    <x v="0"/>
  </r>
  <r>
    <n v="4"/>
    <s v="44. Cusco"/>
    <s v="Secundaria"/>
    <x v="2"/>
    <x v="53"/>
    <s v="Rural"/>
    <s v="Masculino"/>
    <x v="1"/>
    <x v="0"/>
  </r>
  <r>
    <n v="5"/>
    <s v="44. Cusco"/>
    <s v="Secundaria"/>
    <x v="2"/>
    <x v="53"/>
    <s v="Rural"/>
    <s v="Femenino"/>
    <x v="0"/>
    <x v="0"/>
  </r>
  <r>
    <n v="6"/>
    <s v="44. Cusco"/>
    <s v="Secundaria"/>
    <x v="2"/>
    <x v="53"/>
    <s v="Rural"/>
    <s v="Femenino"/>
    <x v="1"/>
    <x v="0"/>
  </r>
  <r>
    <n v="7"/>
    <s v="44. Cusco"/>
    <s v="Secundaria"/>
    <x v="3"/>
    <x v="53"/>
    <s v="Rural"/>
    <s v="Femenino"/>
    <x v="2"/>
    <x v="0"/>
  </r>
  <r>
    <n v="8"/>
    <s v="44. Cusco"/>
    <s v="Secundaria"/>
    <x v="3"/>
    <x v="53"/>
    <s v="Rural"/>
    <s v="Femenino"/>
    <x v="2"/>
    <x v="0"/>
  </r>
  <r>
    <n v="9"/>
    <s v="44. Cusco"/>
    <s v="Secundaria"/>
    <x v="3"/>
    <x v="53"/>
    <s v="Rural"/>
    <s v="Femenino"/>
    <x v="2"/>
    <x v="0"/>
  </r>
  <r>
    <n v="10"/>
    <s v="44. Cusco"/>
    <s v="Secundaria"/>
    <x v="3"/>
    <x v="53"/>
    <s v="Rural"/>
    <s v="Femenino"/>
    <x v="2"/>
    <x v="0"/>
  </r>
  <r>
    <n v="11"/>
    <s v="44. Cusco"/>
    <s v="Secundaria"/>
    <x v="3"/>
    <x v="53"/>
    <s v="Rural"/>
    <s v="Masculino"/>
    <x v="1"/>
    <x v="0"/>
  </r>
  <r>
    <n v="12"/>
    <s v="44. Cusco"/>
    <s v="Secundaria"/>
    <x v="3"/>
    <x v="53"/>
    <s v="Rural"/>
    <s v="Masculino"/>
    <x v="1"/>
    <x v="0"/>
  </r>
  <r>
    <n v="13"/>
    <s v="44. Cusco"/>
    <s v="Secundaria"/>
    <x v="3"/>
    <x v="53"/>
    <s v="Rural"/>
    <s v="Masculino"/>
    <x v="0"/>
    <x v="0"/>
  </r>
  <r>
    <n v="14"/>
    <s v="44. Cusco"/>
    <s v="Secundaria"/>
    <x v="3"/>
    <x v="53"/>
    <s v="Rural"/>
    <s v="Masculino"/>
    <x v="2"/>
    <x v="0"/>
  </r>
  <r>
    <n v="2008"/>
    <s v="47. Loreto"/>
    <s v="Primaria"/>
    <x v="4"/>
    <x v="35"/>
    <s v="Rural"/>
    <s v="Femenino"/>
    <x v="1"/>
    <x v="1"/>
  </r>
  <r>
    <n v="2009"/>
    <s v="47. Loreto"/>
    <s v="Primaria"/>
    <x v="4"/>
    <x v="47"/>
    <s v="Rural"/>
    <s v="Femenino"/>
    <x v="0"/>
    <x v="1"/>
  </r>
  <r>
    <n v="2010"/>
    <s v="47. Loreto"/>
    <s v="Secundaria"/>
    <x v="2"/>
    <x v="31"/>
    <s v="Rural"/>
    <s v="Masculino"/>
    <x v="0"/>
    <x v="1"/>
  </r>
  <r>
    <n v="2011"/>
    <s v="47. Loreto"/>
    <s v="Secundaria"/>
    <x v="2"/>
    <x v="31"/>
    <s v="Rural"/>
    <s v="Masculino"/>
    <x v="0"/>
    <x v="1"/>
  </r>
  <r>
    <n v="2012"/>
    <s v="47. Loreto"/>
    <s v="Secundaria"/>
    <x v="2"/>
    <x v="31"/>
    <s v="Rural"/>
    <s v="Masculino"/>
    <x v="0"/>
    <x v="1"/>
  </r>
  <r>
    <n v="2013"/>
    <s v="47. Loreto"/>
    <s v="Secundaria"/>
    <x v="2"/>
    <x v="31"/>
    <s v="Rural"/>
    <s v="Masculino"/>
    <x v="0"/>
    <x v="1"/>
  </r>
  <r>
    <n v="2014"/>
    <s v="47. Loreto"/>
    <s v="Secundaria"/>
    <x v="2"/>
    <x v="31"/>
    <s v="Rural"/>
    <s v="Masculino"/>
    <x v="0"/>
    <x v="1"/>
  </r>
  <r>
    <n v="2015"/>
    <s v="47. Loreto"/>
    <s v="Secundaria"/>
    <x v="2"/>
    <x v="31"/>
    <s v="Rural"/>
    <s v="Masculino"/>
    <x v="0"/>
    <x v="1"/>
  </r>
  <r>
    <n v="2016"/>
    <s v="47. Loreto"/>
    <s v="Secundaria"/>
    <x v="2"/>
    <x v="31"/>
    <s v="Rural"/>
    <s v="Femenino"/>
    <x v="0"/>
    <x v="1"/>
  </r>
  <r>
    <n v="2017"/>
    <s v="47. Loreto"/>
    <s v="Secundaria"/>
    <x v="2"/>
    <x v="31"/>
    <s v="Rural"/>
    <s v="Masculino"/>
    <x v="0"/>
    <x v="1"/>
  </r>
  <r>
    <n v="2018"/>
    <s v="47. Loreto"/>
    <s v="Secundaria"/>
    <x v="2"/>
    <x v="31"/>
    <s v="Rural"/>
    <s v="Masculino"/>
    <x v="0"/>
    <x v="1"/>
  </r>
  <r>
    <n v="2019"/>
    <s v="47. Loreto"/>
    <s v="Secundaria"/>
    <x v="2"/>
    <x v="31"/>
    <s v="Rural"/>
    <s v="Masculino"/>
    <x v="0"/>
    <x v="1"/>
  </r>
  <r>
    <n v="2020"/>
    <s v="47. Loreto"/>
    <s v="Secundaria"/>
    <x v="2"/>
    <x v="31"/>
    <s v="Rural"/>
    <s v="Masculino"/>
    <x v="0"/>
    <x v="1"/>
  </r>
  <r>
    <n v="2021"/>
    <s v="47. Loreto"/>
    <s v="Secundaria"/>
    <x v="2"/>
    <x v="31"/>
    <s v="Rural"/>
    <s v="Masculino"/>
    <x v="0"/>
    <x v="1"/>
  </r>
  <r>
    <n v="2022"/>
    <s v="47. Loreto"/>
    <s v="Secundaria"/>
    <x v="2"/>
    <x v="31"/>
    <s v="Rural"/>
    <s v="Femenino"/>
    <x v="0"/>
    <x v="1"/>
  </r>
  <r>
    <n v="2023"/>
    <s v="47. Loreto"/>
    <s v="Secundaria"/>
    <x v="2"/>
    <x v="31"/>
    <s v="Rural"/>
    <s v="Masculino"/>
    <x v="0"/>
    <x v="1"/>
  </r>
  <r>
    <n v="2024"/>
    <s v="47. Loreto"/>
    <s v="Secundaria"/>
    <x v="2"/>
    <x v="31"/>
    <s v="Rural"/>
    <s v="Masculino"/>
    <x v="0"/>
    <x v="1"/>
  </r>
  <r>
    <n v="2025"/>
    <s v="47. Loreto"/>
    <s v="Secundaria"/>
    <x v="2"/>
    <x v="35"/>
    <s v="Rural"/>
    <s v="Femenino"/>
    <x v="2"/>
    <x v="1"/>
  </r>
  <r>
    <n v="2026"/>
    <s v="47. Loreto"/>
    <s v="Secundaria"/>
    <x v="2"/>
    <x v="35"/>
    <s v="Rural"/>
    <s v="Femenino"/>
    <x v="0"/>
    <x v="1"/>
  </r>
  <r>
    <n v="2027"/>
    <s v="47. Loreto"/>
    <s v="Secundaria"/>
    <x v="2"/>
    <x v="35"/>
    <s v="Rural"/>
    <s v="Masculino"/>
    <x v="0"/>
    <x v="1"/>
  </r>
  <r>
    <n v="2028"/>
    <s v="47. Loreto"/>
    <s v="Secundaria"/>
    <x v="2"/>
    <x v="35"/>
    <s v="Rural"/>
    <s v="Femenino"/>
    <x v="0"/>
    <x v="1"/>
  </r>
  <r>
    <n v="2029"/>
    <s v="47. Loreto"/>
    <s v="Secundaria"/>
    <x v="2"/>
    <x v="35"/>
    <s v="Rural"/>
    <s v="Masculino"/>
    <x v="0"/>
    <x v="1"/>
  </r>
  <r>
    <n v="2030"/>
    <s v="47. Loreto"/>
    <s v="Secundaria"/>
    <x v="2"/>
    <x v="35"/>
    <s v="Rural"/>
    <s v="Femenino"/>
    <x v="0"/>
    <x v="1"/>
  </r>
  <r>
    <n v="2031"/>
    <s v="47. Loreto"/>
    <s v="Secundaria"/>
    <x v="2"/>
    <x v="35"/>
    <s v="Rural"/>
    <s v="Masculino"/>
    <x v="0"/>
    <x v="1"/>
  </r>
  <r>
    <n v="2032"/>
    <s v="47. Loreto"/>
    <s v="Secundaria"/>
    <x v="2"/>
    <x v="35"/>
    <s v="Rural"/>
    <s v="Masculino"/>
    <x v="0"/>
    <x v="1"/>
  </r>
  <r>
    <n v="2033"/>
    <s v="47. Loreto"/>
    <s v="Secundaria"/>
    <x v="2"/>
    <x v="35"/>
    <s v="Rural"/>
    <s v="Masculino"/>
    <x v="0"/>
    <x v="1"/>
  </r>
  <r>
    <n v="2034"/>
    <s v="47. Loreto"/>
    <s v="Secundaria"/>
    <x v="2"/>
    <x v="35"/>
    <s v="Rural"/>
    <s v="Masculino"/>
    <x v="0"/>
    <x v="1"/>
  </r>
  <r>
    <n v="2035"/>
    <s v="47. Loreto"/>
    <s v="Secundaria"/>
    <x v="2"/>
    <x v="35"/>
    <s v="Rural"/>
    <s v="Masculino"/>
    <x v="0"/>
    <x v="1"/>
  </r>
  <r>
    <n v="2036"/>
    <s v="47. Loreto"/>
    <s v="Secundaria"/>
    <x v="2"/>
    <x v="35"/>
    <s v="Rural"/>
    <s v="Femenino"/>
    <x v="0"/>
    <x v="1"/>
  </r>
  <r>
    <n v="2037"/>
    <s v="47. Loreto"/>
    <s v="Secundaria"/>
    <x v="2"/>
    <x v="35"/>
    <s v="Rural"/>
    <s v="Masculino"/>
    <x v="0"/>
    <x v="1"/>
  </r>
  <r>
    <n v="2038"/>
    <s v="47. Loreto"/>
    <s v="Secundaria"/>
    <x v="2"/>
    <x v="35"/>
    <s v="Rural"/>
    <s v="Femenino"/>
    <x v="0"/>
    <x v="1"/>
  </r>
  <r>
    <n v="2039"/>
    <s v="47. Loreto"/>
    <s v="Secundaria"/>
    <x v="2"/>
    <x v="39"/>
    <s v="Rural"/>
    <s v="Femenino"/>
    <x v="0"/>
    <x v="1"/>
  </r>
  <r>
    <n v="2040"/>
    <s v="47. Loreto"/>
    <s v="Secundaria"/>
    <x v="2"/>
    <x v="39"/>
    <s v="Rural"/>
    <s v="Femenino"/>
    <x v="0"/>
    <x v="1"/>
  </r>
  <r>
    <n v="2041"/>
    <s v="47. Loreto"/>
    <s v="Secundaria"/>
    <x v="2"/>
    <x v="39"/>
    <s v="Rural"/>
    <s v="Masculino"/>
    <x v="0"/>
    <x v="1"/>
  </r>
  <r>
    <n v="2042"/>
    <s v="47. Loreto"/>
    <s v="Secundaria"/>
    <x v="2"/>
    <x v="39"/>
    <s v="Rural"/>
    <s v="Masculino"/>
    <x v="0"/>
    <x v="1"/>
  </r>
  <r>
    <n v="2043"/>
    <s v="47. Loreto"/>
    <s v="Secundaria"/>
    <x v="2"/>
    <x v="39"/>
    <s v="Rural"/>
    <s v="Femenino"/>
    <x v="0"/>
    <x v="1"/>
  </r>
  <r>
    <n v="2044"/>
    <s v="47. Loreto"/>
    <s v="Secundaria"/>
    <x v="2"/>
    <x v="39"/>
    <s v="Rural"/>
    <s v="Masculino"/>
    <x v="0"/>
    <x v="1"/>
  </r>
  <r>
    <n v="2045"/>
    <s v="47. Loreto"/>
    <s v="Secundaria"/>
    <x v="2"/>
    <x v="39"/>
    <s v="Rural"/>
    <s v="Femenino"/>
    <x v="0"/>
    <x v="1"/>
  </r>
  <r>
    <n v="2046"/>
    <s v="47. Loreto"/>
    <s v="Secundaria"/>
    <x v="2"/>
    <x v="47"/>
    <s v="Rural"/>
    <s v="Femenino"/>
    <x v="0"/>
    <x v="1"/>
  </r>
  <r>
    <n v="2047"/>
    <s v="47. Loreto"/>
    <s v="Secundaria"/>
    <x v="2"/>
    <x v="47"/>
    <s v="Rural"/>
    <s v="Femenino"/>
    <x v="0"/>
    <x v="1"/>
  </r>
  <r>
    <n v="2048"/>
    <s v="47. Loreto"/>
    <s v="Secundaria"/>
    <x v="2"/>
    <x v="47"/>
    <s v="Rural"/>
    <s v="Femenino"/>
    <x v="0"/>
    <x v="1"/>
  </r>
  <r>
    <n v="2049"/>
    <s v="47. Loreto"/>
    <s v="Secundaria"/>
    <x v="2"/>
    <x v="47"/>
    <s v="Rural"/>
    <s v="Femenino"/>
    <x v="0"/>
    <x v="1"/>
  </r>
  <r>
    <n v="2050"/>
    <s v="47. Loreto"/>
    <s v="Secundaria"/>
    <x v="2"/>
    <x v="47"/>
    <s v="Rural"/>
    <s v="Masculino"/>
    <x v="0"/>
    <x v="1"/>
  </r>
  <r>
    <n v="2051"/>
    <s v="47. Loreto"/>
    <s v="Secundaria"/>
    <x v="2"/>
    <x v="47"/>
    <s v="Rural"/>
    <s v="Masculino"/>
    <x v="0"/>
    <x v="1"/>
  </r>
  <r>
    <n v="2052"/>
    <s v="47. Loreto"/>
    <s v="Secundaria"/>
    <x v="2"/>
    <x v="47"/>
    <s v="Rural"/>
    <s v="Femenino"/>
    <x v="0"/>
    <x v="1"/>
  </r>
  <r>
    <n v="2053"/>
    <s v="47. Loreto"/>
    <s v="Secundaria"/>
    <x v="2"/>
    <x v="47"/>
    <s v="Rural"/>
    <s v="Masculino"/>
    <x v="0"/>
    <x v="1"/>
  </r>
  <r>
    <n v="2054"/>
    <s v="47. Loreto"/>
    <s v="Secundaria"/>
    <x v="2"/>
    <x v="47"/>
    <s v="Rural"/>
    <s v="Femenino"/>
    <x v="0"/>
    <x v="1"/>
  </r>
  <r>
    <n v="2055"/>
    <s v="47. Loreto"/>
    <s v="Secundaria"/>
    <x v="2"/>
    <x v="47"/>
    <s v="Rural"/>
    <s v="Femenino"/>
    <x v="0"/>
    <x v="1"/>
  </r>
  <r>
    <n v="2056"/>
    <s v="47. Loreto"/>
    <s v="Secundaria"/>
    <x v="2"/>
    <x v="47"/>
    <s v="Rural"/>
    <s v="Femenino"/>
    <x v="0"/>
    <x v="1"/>
  </r>
  <r>
    <n v="2057"/>
    <s v="47. Loreto"/>
    <s v="Secundaria"/>
    <x v="2"/>
    <x v="47"/>
    <s v="Rural"/>
    <s v="Femenino"/>
    <x v="0"/>
    <x v="1"/>
  </r>
  <r>
    <n v="2058"/>
    <s v="47. Loreto"/>
    <s v="Secundaria"/>
    <x v="2"/>
    <x v="47"/>
    <s v="Rural"/>
    <s v="Femenino"/>
    <x v="0"/>
    <x v="1"/>
  </r>
  <r>
    <n v="2059"/>
    <s v="47. Loreto"/>
    <s v="Secundaria"/>
    <x v="2"/>
    <x v="47"/>
    <s v="Rural"/>
    <s v="Femenino"/>
    <x v="0"/>
    <x v="1"/>
  </r>
  <r>
    <n v="2060"/>
    <s v="47. Loreto"/>
    <s v="Secundaria"/>
    <x v="2"/>
    <x v="47"/>
    <s v="Rural"/>
    <s v="Masculino"/>
    <x v="0"/>
    <x v="1"/>
  </r>
  <r>
    <n v="2061"/>
    <s v="47. Loreto"/>
    <s v="Secundaria"/>
    <x v="2"/>
    <x v="47"/>
    <s v="Rural"/>
    <s v="Masculino"/>
    <x v="0"/>
    <x v="1"/>
  </r>
  <r>
    <n v="2062"/>
    <s v="47. Loreto"/>
    <s v="Secundaria"/>
    <x v="2"/>
    <x v="47"/>
    <s v="Rural"/>
    <s v="Femenino"/>
    <x v="0"/>
    <x v="1"/>
  </r>
  <r>
    <n v="2063"/>
    <s v="47. Loreto"/>
    <s v="Secundaria"/>
    <x v="2"/>
    <x v="47"/>
    <s v="Rural"/>
    <s v="Masculino"/>
    <x v="0"/>
    <x v="1"/>
  </r>
  <r>
    <n v="2064"/>
    <s v="47. Loreto"/>
    <s v="Secundaria"/>
    <x v="2"/>
    <x v="47"/>
    <s v="Rural"/>
    <s v="Masculino"/>
    <x v="0"/>
    <x v="1"/>
  </r>
  <r>
    <n v="2065"/>
    <s v="47. Loreto"/>
    <s v="Secundaria"/>
    <x v="2"/>
    <x v="47"/>
    <s v="Rural"/>
    <s v="Femenino"/>
    <x v="0"/>
    <x v="1"/>
  </r>
  <r>
    <n v="2066"/>
    <s v="47. Loreto"/>
    <s v="Secundaria"/>
    <x v="2"/>
    <x v="47"/>
    <s v="Rural"/>
    <s v="Femenino"/>
    <x v="0"/>
    <x v="1"/>
  </r>
  <r>
    <n v="2067"/>
    <s v="47. Loreto"/>
    <s v="Secundaria"/>
    <x v="2"/>
    <x v="47"/>
    <s v="Rural"/>
    <s v="Masculino"/>
    <x v="0"/>
    <x v="1"/>
  </r>
  <r>
    <n v="2068"/>
    <s v="47. Loreto"/>
    <s v="Secundaria"/>
    <x v="2"/>
    <x v="47"/>
    <s v="Rural"/>
    <s v="Masculino"/>
    <x v="0"/>
    <x v="1"/>
  </r>
  <r>
    <n v="2069"/>
    <s v="47. Loreto"/>
    <s v="Secundaria"/>
    <x v="2"/>
    <x v="47"/>
    <s v="Rural"/>
    <s v="Femenino"/>
    <x v="0"/>
    <x v="1"/>
  </r>
  <r>
    <n v="2070"/>
    <s v="47. Loreto"/>
    <s v="Secundaria"/>
    <x v="2"/>
    <x v="47"/>
    <s v="Rural"/>
    <s v="Masculino"/>
    <x v="0"/>
    <x v="1"/>
  </r>
  <r>
    <n v="2071"/>
    <s v="47. Loreto"/>
    <s v="Secundaria"/>
    <x v="2"/>
    <x v="47"/>
    <s v="Rural"/>
    <s v="Femenino"/>
    <x v="0"/>
    <x v="1"/>
  </r>
  <r>
    <n v="2072"/>
    <s v="47. Loreto"/>
    <s v="Secundaria"/>
    <x v="2"/>
    <x v="47"/>
    <s v="Rural"/>
    <s v="Femenino"/>
    <x v="0"/>
    <x v="1"/>
  </r>
  <r>
    <n v="2073"/>
    <s v="47. Loreto"/>
    <s v="Secundaria"/>
    <x v="2"/>
    <x v="47"/>
    <s v="Rural"/>
    <s v="Masculino"/>
    <x v="0"/>
    <x v="1"/>
  </r>
  <r>
    <n v="2074"/>
    <s v="47. Loreto"/>
    <s v="Secundaria"/>
    <x v="2"/>
    <x v="47"/>
    <s v="Rural"/>
    <s v="Masculino"/>
    <x v="0"/>
    <x v="1"/>
  </r>
  <r>
    <n v="2075"/>
    <s v="47. Loreto"/>
    <s v="Secundaria"/>
    <x v="2"/>
    <x v="47"/>
    <s v="Rural"/>
    <s v="Masculino"/>
    <x v="0"/>
    <x v="1"/>
  </r>
  <r>
    <n v="2076"/>
    <s v="47. Loreto"/>
    <s v="Secundaria"/>
    <x v="2"/>
    <x v="47"/>
    <s v="Rural"/>
    <s v="Femenino"/>
    <x v="0"/>
    <x v="1"/>
  </r>
  <r>
    <n v="2077"/>
    <s v="47. Loreto"/>
    <s v="Primaria"/>
    <x v="0"/>
    <x v="30"/>
    <s v="Rural"/>
    <s v="Femenino"/>
    <x v="0"/>
    <x v="1"/>
  </r>
  <r>
    <n v="2078"/>
    <s v="47. Loreto"/>
    <s v="Primaria"/>
    <x v="0"/>
    <x v="30"/>
    <s v="Rural"/>
    <s v="Femenino"/>
    <x v="0"/>
    <x v="1"/>
  </r>
  <r>
    <n v="2079"/>
    <s v="47. Loreto"/>
    <s v="Primaria"/>
    <x v="0"/>
    <x v="30"/>
    <s v="Rural"/>
    <s v="Masculino"/>
    <x v="0"/>
    <x v="1"/>
  </r>
  <r>
    <n v="2080"/>
    <s v="47. Loreto"/>
    <s v="Primaria"/>
    <x v="0"/>
    <x v="35"/>
    <s v="Rural"/>
    <s v="Femenino"/>
    <x v="2"/>
    <x v="1"/>
  </r>
  <r>
    <n v="2081"/>
    <s v="47. Loreto"/>
    <s v="Primaria"/>
    <x v="0"/>
    <x v="39"/>
    <s v="Rural"/>
    <s v="Masculino"/>
    <x v="0"/>
    <x v="1"/>
  </r>
  <r>
    <n v="2082"/>
    <s v="47. Loreto"/>
    <s v="Primaria"/>
    <x v="0"/>
    <x v="39"/>
    <s v="Rural"/>
    <s v="Masculino"/>
    <x v="0"/>
    <x v="1"/>
  </r>
  <r>
    <n v="2083"/>
    <s v="47. Loreto"/>
    <s v="Primaria"/>
    <x v="0"/>
    <x v="39"/>
    <s v="Rural"/>
    <s v="Masculino"/>
    <x v="0"/>
    <x v="1"/>
  </r>
  <r>
    <n v="2084"/>
    <s v="47. Loreto"/>
    <s v="Primaria"/>
    <x v="0"/>
    <x v="39"/>
    <s v="Rural"/>
    <s v="Masculino"/>
    <x v="0"/>
    <x v="1"/>
  </r>
  <r>
    <n v="2085"/>
    <s v="47. Loreto"/>
    <s v="Primaria"/>
    <x v="0"/>
    <x v="39"/>
    <s v="Rural"/>
    <s v="Femenino"/>
    <x v="0"/>
    <x v="1"/>
  </r>
  <r>
    <n v="2086"/>
    <s v="47. Loreto"/>
    <s v="Primaria"/>
    <x v="0"/>
    <x v="39"/>
    <s v="Rural"/>
    <s v="Masculino"/>
    <x v="0"/>
    <x v="1"/>
  </r>
  <r>
    <n v="2087"/>
    <s v="47. Loreto"/>
    <s v="Primaria"/>
    <x v="0"/>
    <x v="39"/>
    <s v="Rural"/>
    <s v="Femenino"/>
    <x v="0"/>
    <x v="1"/>
  </r>
  <r>
    <n v="2088"/>
    <s v="47. Loreto"/>
    <s v="Primaria"/>
    <x v="0"/>
    <x v="39"/>
    <s v="Rural"/>
    <s v="Masculino"/>
    <x v="0"/>
    <x v="1"/>
  </r>
  <r>
    <n v="2089"/>
    <s v="47. Loreto"/>
    <s v="Primaria"/>
    <x v="0"/>
    <x v="39"/>
    <s v="Rural"/>
    <s v="Femenino"/>
    <x v="0"/>
    <x v="1"/>
  </r>
  <r>
    <n v="2090"/>
    <s v="47. Loreto"/>
    <s v="Secundaria"/>
    <x v="3"/>
    <x v="31"/>
    <s v="Rural"/>
    <s v="Masculino"/>
    <x v="0"/>
    <x v="1"/>
  </r>
  <r>
    <n v="2091"/>
    <s v="47. Loreto"/>
    <s v="Secundaria"/>
    <x v="3"/>
    <x v="31"/>
    <s v="Rural"/>
    <s v="Femenino"/>
    <x v="0"/>
    <x v="1"/>
  </r>
  <r>
    <n v="2092"/>
    <s v="47. Loreto"/>
    <s v="Secundaria"/>
    <x v="3"/>
    <x v="31"/>
    <s v="Rural"/>
    <s v="Masculino"/>
    <x v="1"/>
    <x v="1"/>
  </r>
  <r>
    <n v="2093"/>
    <s v="47. Loreto"/>
    <s v="Secundaria"/>
    <x v="3"/>
    <x v="31"/>
    <s v="Rural"/>
    <s v="Masculino"/>
    <x v="0"/>
    <x v="1"/>
  </r>
  <r>
    <n v="2094"/>
    <s v="47. Loreto"/>
    <s v="Secundaria"/>
    <x v="3"/>
    <x v="31"/>
    <s v="Rural"/>
    <s v="Femenino"/>
    <x v="0"/>
    <x v="1"/>
  </r>
  <r>
    <n v="2095"/>
    <s v="47. Loreto"/>
    <s v="Secundaria"/>
    <x v="3"/>
    <x v="31"/>
    <s v="Rural"/>
    <s v="Femenino"/>
    <x v="0"/>
    <x v="1"/>
  </r>
  <r>
    <n v="2096"/>
    <s v="47. Loreto"/>
    <s v="Secundaria"/>
    <x v="3"/>
    <x v="31"/>
    <s v="Rural"/>
    <s v="Femenino"/>
    <x v="0"/>
    <x v="1"/>
  </r>
  <r>
    <n v="2097"/>
    <s v="47. Loreto"/>
    <s v="Secundaria"/>
    <x v="3"/>
    <x v="31"/>
    <s v="Rural"/>
    <s v="Masculino"/>
    <x v="0"/>
    <x v="1"/>
  </r>
  <r>
    <n v="2098"/>
    <s v="47. Loreto"/>
    <s v="Secundaria"/>
    <x v="3"/>
    <x v="31"/>
    <s v="Rural"/>
    <s v="Masculino"/>
    <x v="0"/>
    <x v="1"/>
  </r>
  <r>
    <n v="2099"/>
    <s v="47. Loreto"/>
    <s v="Secundaria"/>
    <x v="3"/>
    <x v="31"/>
    <s v="Rural"/>
    <s v="Masculino"/>
    <x v="0"/>
    <x v="1"/>
  </r>
  <r>
    <n v="2100"/>
    <s v="47. Loreto"/>
    <s v="Secundaria"/>
    <x v="3"/>
    <x v="31"/>
    <s v="Rural"/>
    <s v="Masculino"/>
    <x v="0"/>
    <x v="1"/>
  </r>
  <r>
    <n v="2101"/>
    <s v="47. Loreto"/>
    <s v="Secundaria"/>
    <x v="3"/>
    <x v="31"/>
    <s v="Rural"/>
    <s v="Femenino"/>
    <x v="0"/>
    <x v="1"/>
  </r>
  <r>
    <n v="2102"/>
    <s v="47. Loreto"/>
    <s v="Secundaria"/>
    <x v="3"/>
    <x v="31"/>
    <s v="Rural"/>
    <s v="Femenino"/>
    <x v="0"/>
    <x v="1"/>
  </r>
  <r>
    <n v="2103"/>
    <s v="47. Loreto"/>
    <s v="Secundaria"/>
    <x v="3"/>
    <x v="31"/>
    <s v="Rural"/>
    <s v="Femenino"/>
    <x v="0"/>
    <x v="1"/>
  </r>
  <r>
    <n v="2104"/>
    <s v="47. Loreto"/>
    <s v="Secundaria"/>
    <x v="3"/>
    <x v="31"/>
    <s v="Rural"/>
    <s v="Masculino"/>
    <x v="0"/>
    <x v="1"/>
  </r>
  <r>
    <n v="2105"/>
    <s v="47. Loreto"/>
    <s v="Secundaria"/>
    <x v="3"/>
    <x v="31"/>
    <s v="Rural"/>
    <s v="Masculino"/>
    <x v="0"/>
    <x v="1"/>
  </r>
  <r>
    <n v="2106"/>
    <s v="47. Loreto"/>
    <s v="Secundaria"/>
    <x v="3"/>
    <x v="31"/>
    <s v="Rural"/>
    <s v="Masculino"/>
    <x v="0"/>
    <x v="1"/>
  </r>
  <r>
    <n v="2107"/>
    <s v="47. Loreto"/>
    <s v="Secundaria"/>
    <x v="3"/>
    <x v="31"/>
    <s v="Rural"/>
    <s v="Masculino"/>
    <x v="0"/>
    <x v="1"/>
  </r>
  <r>
    <n v="2108"/>
    <s v="47. Loreto"/>
    <s v="Secundaria"/>
    <x v="3"/>
    <x v="31"/>
    <s v="Rural"/>
    <s v="Masculino"/>
    <x v="0"/>
    <x v="1"/>
  </r>
  <r>
    <n v="2109"/>
    <s v="47. Loreto"/>
    <s v="Secundaria"/>
    <x v="3"/>
    <x v="31"/>
    <s v="Rural"/>
    <s v="Masculino"/>
    <x v="0"/>
    <x v="1"/>
  </r>
  <r>
    <n v="2110"/>
    <s v="47. Loreto"/>
    <s v="Secundaria"/>
    <x v="3"/>
    <x v="31"/>
    <s v="Rural"/>
    <s v="Femenino"/>
    <x v="0"/>
    <x v="1"/>
  </r>
  <r>
    <n v="2111"/>
    <s v="47. Loreto"/>
    <s v="Secundaria"/>
    <x v="3"/>
    <x v="31"/>
    <s v="Rural"/>
    <s v="Masculino"/>
    <x v="0"/>
    <x v="1"/>
  </r>
  <r>
    <n v="2112"/>
    <s v="47. Loreto"/>
    <s v="Secundaria"/>
    <x v="3"/>
    <x v="31"/>
    <s v="Rural"/>
    <s v="Masculino"/>
    <x v="0"/>
    <x v="1"/>
  </r>
  <r>
    <n v="2113"/>
    <s v="47. Loreto"/>
    <s v="Secundaria"/>
    <x v="3"/>
    <x v="31"/>
    <s v="Rural"/>
    <s v="Femenino"/>
    <x v="0"/>
    <x v="1"/>
  </r>
  <r>
    <n v="2114"/>
    <s v="47. Loreto"/>
    <s v="Secundaria"/>
    <x v="3"/>
    <x v="35"/>
    <s v="Rural"/>
    <s v="Femenino"/>
    <x v="2"/>
    <x v="1"/>
  </r>
  <r>
    <n v="2115"/>
    <s v="47. Loreto"/>
    <s v="Secundaria"/>
    <x v="3"/>
    <x v="35"/>
    <s v="Rural"/>
    <s v="Masculino"/>
    <x v="0"/>
    <x v="1"/>
  </r>
  <r>
    <n v="2116"/>
    <s v="47. Loreto"/>
    <s v="Secundaria"/>
    <x v="3"/>
    <x v="35"/>
    <s v="Rural"/>
    <s v="Femenino"/>
    <x v="0"/>
    <x v="1"/>
  </r>
  <r>
    <n v="2117"/>
    <s v="47. Loreto"/>
    <s v="Secundaria"/>
    <x v="3"/>
    <x v="35"/>
    <s v="Rural"/>
    <s v="Masculino"/>
    <x v="1"/>
    <x v="1"/>
  </r>
  <r>
    <n v="2118"/>
    <s v="47. Loreto"/>
    <s v="Secundaria"/>
    <x v="3"/>
    <x v="35"/>
    <s v="Rural"/>
    <s v="Masculino"/>
    <x v="2"/>
    <x v="1"/>
  </r>
  <r>
    <n v="2119"/>
    <s v="47. Loreto"/>
    <s v="Secundaria"/>
    <x v="3"/>
    <x v="35"/>
    <s v="Rural"/>
    <s v="Masculino"/>
    <x v="0"/>
    <x v="1"/>
  </r>
  <r>
    <n v="2120"/>
    <s v="47. Loreto"/>
    <s v="Secundaria"/>
    <x v="3"/>
    <x v="35"/>
    <s v="Rural"/>
    <s v="Masculino"/>
    <x v="1"/>
    <x v="1"/>
  </r>
  <r>
    <n v="2121"/>
    <s v="47. Loreto"/>
    <s v="Secundaria"/>
    <x v="3"/>
    <x v="35"/>
    <s v="Rural"/>
    <s v="Femenino"/>
    <x v="0"/>
    <x v="1"/>
  </r>
  <r>
    <n v="2122"/>
    <s v="47. Loreto"/>
    <s v="Secundaria"/>
    <x v="3"/>
    <x v="35"/>
    <s v="Rural"/>
    <s v="Masculino"/>
    <x v="0"/>
    <x v="1"/>
  </r>
  <r>
    <n v="2123"/>
    <s v="47. Loreto"/>
    <s v="Secundaria"/>
    <x v="3"/>
    <x v="35"/>
    <s v="Rural"/>
    <s v="Masculino"/>
    <x v="0"/>
    <x v="1"/>
  </r>
  <r>
    <n v="2124"/>
    <s v="47. Loreto"/>
    <s v="Secundaria"/>
    <x v="3"/>
    <x v="35"/>
    <s v="Rural"/>
    <s v="Femenino"/>
    <x v="2"/>
    <x v="1"/>
  </r>
  <r>
    <n v="2125"/>
    <s v="47. Loreto"/>
    <s v="Secundaria"/>
    <x v="3"/>
    <x v="35"/>
    <s v="Rural"/>
    <s v="Femenino"/>
    <x v="0"/>
    <x v="1"/>
  </r>
  <r>
    <n v="2126"/>
    <s v="47. Loreto"/>
    <s v="Secundaria"/>
    <x v="3"/>
    <x v="35"/>
    <s v="Rural"/>
    <s v="Femenino"/>
    <x v="0"/>
    <x v="1"/>
  </r>
  <r>
    <n v="2127"/>
    <s v="47. Loreto"/>
    <s v="Secundaria"/>
    <x v="3"/>
    <x v="35"/>
    <s v="Rural"/>
    <s v="Femenino"/>
    <x v="0"/>
    <x v="1"/>
  </r>
  <r>
    <n v="2128"/>
    <s v="47. Loreto"/>
    <s v="Secundaria"/>
    <x v="3"/>
    <x v="35"/>
    <s v="Rural"/>
    <s v="Masculino"/>
    <x v="0"/>
    <x v="1"/>
  </r>
  <r>
    <n v="2129"/>
    <s v="47. Loreto"/>
    <s v="Secundaria"/>
    <x v="3"/>
    <x v="35"/>
    <s v="Rural"/>
    <s v="Femenino"/>
    <x v="2"/>
    <x v="1"/>
  </r>
  <r>
    <n v="2130"/>
    <s v="47. Loreto"/>
    <s v="Secundaria"/>
    <x v="3"/>
    <x v="39"/>
    <s v="Rural"/>
    <s v="Masculino"/>
    <x v="0"/>
    <x v="1"/>
  </r>
  <r>
    <n v="2131"/>
    <s v="47. Loreto"/>
    <s v="Secundaria"/>
    <x v="3"/>
    <x v="39"/>
    <s v="Rural"/>
    <s v="Masculino"/>
    <x v="0"/>
    <x v="1"/>
  </r>
  <r>
    <n v="2132"/>
    <s v="47. Loreto"/>
    <s v="Secundaria"/>
    <x v="3"/>
    <x v="39"/>
    <s v="Rural"/>
    <s v="Masculino"/>
    <x v="0"/>
    <x v="1"/>
  </r>
  <r>
    <n v="2133"/>
    <s v="47. Loreto"/>
    <s v="Secundaria"/>
    <x v="3"/>
    <x v="39"/>
    <s v="Rural"/>
    <s v="Femenino"/>
    <x v="0"/>
    <x v="1"/>
  </r>
  <r>
    <n v="2134"/>
    <s v="47. Loreto"/>
    <s v="Secundaria"/>
    <x v="3"/>
    <x v="39"/>
    <s v="Rural"/>
    <s v="Femenino"/>
    <x v="0"/>
    <x v="1"/>
  </r>
  <r>
    <n v="2135"/>
    <s v="47. Loreto"/>
    <s v="Secundaria"/>
    <x v="3"/>
    <x v="39"/>
    <s v="Rural"/>
    <s v="Femenino"/>
    <x v="0"/>
    <x v="1"/>
  </r>
  <r>
    <n v="2136"/>
    <s v="47. Loreto"/>
    <s v="Secundaria"/>
    <x v="3"/>
    <x v="39"/>
    <s v="Rural"/>
    <s v="Femenino"/>
    <x v="0"/>
    <x v="1"/>
  </r>
  <r>
    <n v="2137"/>
    <s v="47. Loreto"/>
    <s v="Secundaria"/>
    <x v="3"/>
    <x v="39"/>
    <s v="Rural"/>
    <s v="Masculino"/>
    <x v="0"/>
    <x v="1"/>
  </r>
  <r>
    <n v="2138"/>
    <s v="47. Loreto"/>
    <s v="Secundaria"/>
    <x v="3"/>
    <x v="39"/>
    <s v="Rural"/>
    <s v="Masculino"/>
    <x v="0"/>
    <x v="1"/>
  </r>
  <r>
    <n v="2139"/>
    <s v="47. Loreto"/>
    <s v="Secundaria"/>
    <x v="3"/>
    <x v="47"/>
    <s v="Rural"/>
    <s v="Femenino"/>
    <x v="0"/>
    <x v="1"/>
  </r>
  <r>
    <n v="2140"/>
    <s v="47. Loreto"/>
    <s v="Secundaria"/>
    <x v="3"/>
    <x v="47"/>
    <s v="Rural"/>
    <s v="Masculino"/>
    <x v="0"/>
    <x v="1"/>
  </r>
  <r>
    <n v="2141"/>
    <s v="47. Loreto"/>
    <s v="Secundaria"/>
    <x v="3"/>
    <x v="47"/>
    <s v="Rural"/>
    <s v="Masculino"/>
    <x v="0"/>
    <x v="1"/>
  </r>
  <r>
    <n v="2142"/>
    <s v="47. Loreto"/>
    <s v="Secundaria"/>
    <x v="3"/>
    <x v="47"/>
    <s v="Rural"/>
    <s v="Masculino"/>
    <x v="0"/>
    <x v="1"/>
  </r>
  <r>
    <n v="2143"/>
    <s v="47. Loreto"/>
    <s v="Secundaria"/>
    <x v="3"/>
    <x v="47"/>
    <s v="Rural"/>
    <s v="Femenino"/>
    <x v="0"/>
    <x v="1"/>
  </r>
  <r>
    <n v="2144"/>
    <s v="47. Loreto"/>
    <s v="Secundaria"/>
    <x v="3"/>
    <x v="47"/>
    <s v="Rural"/>
    <s v="Femenino"/>
    <x v="0"/>
    <x v="1"/>
  </r>
  <r>
    <n v="2145"/>
    <s v="47. Loreto"/>
    <s v="Secundaria"/>
    <x v="3"/>
    <x v="47"/>
    <s v="Rural"/>
    <s v="Femenino"/>
    <x v="0"/>
    <x v="1"/>
  </r>
  <r>
    <n v="2146"/>
    <s v="47. Loreto"/>
    <s v="Secundaria"/>
    <x v="3"/>
    <x v="47"/>
    <s v="Rural"/>
    <s v="Femenino"/>
    <x v="0"/>
    <x v="1"/>
  </r>
  <r>
    <n v="2147"/>
    <s v="47. Loreto"/>
    <s v="Secundaria"/>
    <x v="3"/>
    <x v="47"/>
    <s v="Rural"/>
    <s v="Masculino"/>
    <x v="0"/>
    <x v="1"/>
  </r>
  <r>
    <n v="2148"/>
    <s v="47. Loreto"/>
    <s v="Secundaria"/>
    <x v="3"/>
    <x v="47"/>
    <s v="Rural"/>
    <s v="Masculino"/>
    <x v="0"/>
    <x v="1"/>
  </r>
  <r>
    <n v="2149"/>
    <s v="47. Loreto"/>
    <s v="Secundaria"/>
    <x v="3"/>
    <x v="47"/>
    <s v="Rural"/>
    <s v="Femenino"/>
    <x v="0"/>
    <x v="1"/>
  </r>
  <r>
    <n v="2150"/>
    <s v="47. Loreto"/>
    <s v="Secundaria"/>
    <x v="3"/>
    <x v="47"/>
    <s v="Rural"/>
    <s v="Masculino"/>
    <x v="0"/>
    <x v="1"/>
  </r>
  <r>
    <n v="2151"/>
    <s v="47. Loreto"/>
    <s v="Secundaria"/>
    <x v="3"/>
    <x v="47"/>
    <s v="Rural"/>
    <s v="Femenino"/>
    <x v="0"/>
    <x v="1"/>
  </r>
  <r>
    <n v="2152"/>
    <s v="47. Loreto"/>
    <s v="Secundaria"/>
    <x v="3"/>
    <x v="47"/>
    <s v="Rural"/>
    <s v="Femenino"/>
    <x v="0"/>
    <x v="1"/>
  </r>
  <r>
    <n v="2153"/>
    <s v="47. Loreto"/>
    <s v="Secundaria"/>
    <x v="3"/>
    <x v="47"/>
    <s v="Rural"/>
    <s v="Femenino"/>
    <x v="0"/>
    <x v="1"/>
  </r>
  <r>
    <n v="2154"/>
    <s v="47. Loreto"/>
    <s v="Secundaria"/>
    <x v="3"/>
    <x v="47"/>
    <s v="Rural"/>
    <s v="Masculino"/>
    <x v="0"/>
    <x v="1"/>
  </r>
  <r>
    <n v="2155"/>
    <s v="47. Loreto"/>
    <s v="Secundaria"/>
    <x v="3"/>
    <x v="47"/>
    <s v="Rural"/>
    <s v="Masculino"/>
    <x v="0"/>
    <x v="1"/>
  </r>
  <r>
    <n v="2156"/>
    <s v="47. Loreto"/>
    <s v="Secundaria"/>
    <x v="3"/>
    <x v="47"/>
    <s v="Rural"/>
    <s v="Masculino"/>
    <x v="0"/>
    <x v="1"/>
  </r>
  <r>
    <n v="2157"/>
    <s v="47. Loreto"/>
    <s v="Primaria"/>
    <x v="1"/>
    <x v="35"/>
    <s v="Rural"/>
    <s v="Femenino"/>
    <x v="0"/>
    <x v="1"/>
  </r>
  <r>
    <n v="2158"/>
    <s v="47. Loreto"/>
    <s v="Primaria"/>
    <x v="1"/>
    <x v="35"/>
    <s v="Rural"/>
    <s v="Masculino"/>
    <x v="0"/>
    <x v="1"/>
  </r>
  <r>
    <n v="2159"/>
    <s v="47. Loreto"/>
    <s v="Primaria"/>
    <x v="1"/>
    <x v="35"/>
    <s v="Rural"/>
    <s v="Masculino"/>
    <x v="0"/>
    <x v="1"/>
  </r>
  <r>
    <n v="2160"/>
    <s v="47. Loreto"/>
    <s v="Primaria"/>
    <x v="1"/>
    <x v="35"/>
    <s v="Rural"/>
    <s v="Masculino"/>
    <x v="0"/>
    <x v="1"/>
  </r>
  <r>
    <n v="2161"/>
    <s v="47. Loreto"/>
    <s v="Primaria"/>
    <x v="1"/>
    <x v="35"/>
    <s v="Rural"/>
    <s v="Femenino"/>
    <x v="0"/>
    <x v="1"/>
  </r>
  <r>
    <n v="2162"/>
    <s v="47. Loreto"/>
    <s v="Primaria"/>
    <x v="1"/>
    <x v="35"/>
    <s v="Rural"/>
    <s v="Femenino"/>
    <x v="0"/>
    <x v="1"/>
  </r>
  <r>
    <n v="2163"/>
    <s v="47. Loreto"/>
    <s v="Primaria"/>
    <x v="1"/>
    <x v="35"/>
    <s v="Rural"/>
    <s v="Femenino"/>
    <x v="0"/>
    <x v="1"/>
  </r>
  <r>
    <n v="2164"/>
    <s v="47. Loreto"/>
    <s v="Primaria"/>
    <x v="1"/>
    <x v="35"/>
    <s v="Rural"/>
    <s v="Masculino"/>
    <x v="0"/>
    <x v="1"/>
  </r>
  <r>
    <n v="2165"/>
    <s v="47. Loreto"/>
    <s v="Primaria"/>
    <x v="1"/>
    <x v="35"/>
    <s v="Rural"/>
    <s v="Femenino"/>
    <x v="0"/>
    <x v="1"/>
  </r>
  <r>
    <n v="2166"/>
    <s v="47. Loreto"/>
    <s v="Primaria"/>
    <x v="1"/>
    <x v="39"/>
    <s v="Rural"/>
    <s v="Masculino"/>
    <x v="0"/>
    <x v="1"/>
  </r>
  <r>
    <n v="2167"/>
    <s v="47. Loreto"/>
    <s v="Primaria"/>
    <x v="1"/>
    <x v="39"/>
    <s v="Rural"/>
    <s v="Femenino"/>
    <x v="0"/>
    <x v="1"/>
  </r>
  <r>
    <n v="2168"/>
    <s v="47. Loreto"/>
    <s v="Primaria"/>
    <x v="1"/>
    <x v="39"/>
    <s v="Rural"/>
    <s v="Masculino"/>
    <x v="0"/>
    <x v="1"/>
  </r>
  <r>
    <n v="2169"/>
    <s v="47. Loreto"/>
    <s v="Primaria"/>
    <x v="1"/>
    <x v="39"/>
    <s v="Rural"/>
    <s v="Masculino"/>
    <x v="0"/>
    <x v="1"/>
  </r>
  <r>
    <n v="2170"/>
    <s v="47. Loreto"/>
    <s v="Primaria"/>
    <x v="1"/>
    <x v="47"/>
    <s v="Rural"/>
    <s v="Masculino"/>
    <x v="0"/>
    <x v="1"/>
  </r>
  <r>
    <n v="2171"/>
    <s v="47. Loreto"/>
    <s v="Primaria"/>
    <x v="1"/>
    <x v="47"/>
    <s v="Rural"/>
    <s v="Masculino"/>
    <x v="0"/>
    <x v="1"/>
  </r>
  <r>
    <n v="2172"/>
    <s v="47. Loreto"/>
    <s v="Primaria"/>
    <x v="1"/>
    <x v="47"/>
    <s v="Rural"/>
    <s v="Masculino"/>
    <x v="1"/>
    <x v="1"/>
  </r>
  <r>
    <n v="2731"/>
    <s v="54. Ancash"/>
    <s v="Primaria"/>
    <x v="4"/>
    <x v="54"/>
    <s v="Rural"/>
    <s v="Femenino"/>
    <x v="0"/>
    <x v="1"/>
  </r>
  <r>
    <n v="2732"/>
    <s v="54. Ancash"/>
    <s v="Primaria"/>
    <x v="4"/>
    <x v="48"/>
    <s v="Rural"/>
    <s v="Masculino"/>
    <x v="0"/>
    <x v="1"/>
  </r>
  <r>
    <n v="2733"/>
    <s v="54. Ancash"/>
    <s v="Primaria"/>
    <x v="4"/>
    <x v="50"/>
    <s v="Rural"/>
    <s v="Masculino"/>
    <x v="0"/>
    <x v="1"/>
  </r>
  <r>
    <n v="2734"/>
    <s v="54. Ancash"/>
    <s v="Secundaria"/>
    <x v="2"/>
    <x v="49"/>
    <s v="Rural"/>
    <s v="Femenino"/>
    <x v="0"/>
    <x v="1"/>
  </r>
  <r>
    <n v="2735"/>
    <s v="54. Ancash"/>
    <s v="Secundaria"/>
    <x v="2"/>
    <x v="49"/>
    <s v="Rural"/>
    <s v="Femenino"/>
    <x v="0"/>
    <x v="1"/>
  </r>
  <r>
    <n v="2736"/>
    <s v="54. Ancash"/>
    <s v="Secundaria"/>
    <x v="2"/>
    <x v="49"/>
    <s v="Rural"/>
    <s v="Femenino"/>
    <x v="0"/>
    <x v="1"/>
  </r>
  <r>
    <n v="2737"/>
    <s v="54. Ancash"/>
    <s v="Secundaria"/>
    <x v="2"/>
    <x v="49"/>
    <s v="Rural"/>
    <s v="Masculino"/>
    <x v="0"/>
    <x v="1"/>
  </r>
  <r>
    <n v="2738"/>
    <s v="54. Ancash"/>
    <s v="Secundaria"/>
    <x v="2"/>
    <x v="49"/>
    <s v="Rural"/>
    <s v="Femenino"/>
    <x v="0"/>
    <x v="1"/>
  </r>
  <r>
    <n v="2739"/>
    <s v="54. Ancash"/>
    <s v="Secundaria"/>
    <x v="2"/>
    <x v="52"/>
    <s v="Rural"/>
    <s v="Femenino"/>
    <x v="0"/>
    <x v="1"/>
  </r>
  <r>
    <n v="2740"/>
    <s v="54. Ancash"/>
    <s v="Secundaria"/>
    <x v="2"/>
    <x v="52"/>
    <s v="Rural"/>
    <s v="Femenino"/>
    <x v="0"/>
    <x v="1"/>
  </r>
  <r>
    <n v="2741"/>
    <s v="54. Ancash"/>
    <s v="Secundaria"/>
    <x v="2"/>
    <x v="52"/>
    <s v="Rural"/>
    <s v="Masculino"/>
    <x v="0"/>
    <x v="1"/>
  </r>
  <r>
    <n v="2742"/>
    <s v="54. Ancash"/>
    <s v="Primaria"/>
    <x v="0"/>
    <x v="54"/>
    <s v="Rural"/>
    <s v="Masculino"/>
    <x v="0"/>
    <x v="1"/>
  </r>
  <r>
    <n v="2743"/>
    <s v="54. Ancash"/>
    <s v="Primaria"/>
    <x v="0"/>
    <x v="54"/>
    <s v="Rural"/>
    <s v="Femenino"/>
    <x v="0"/>
    <x v="1"/>
  </r>
  <r>
    <n v="2744"/>
    <s v="54. Ancash"/>
    <s v="Primaria"/>
    <x v="0"/>
    <x v="54"/>
    <s v="Rural"/>
    <s v="Masculino"/>
    <x v="0"/>
    <x v="1"/>
  </r>
  <r>
    <n v="2745"/>
    <s v="54. Ancash"/>
    <s v="Primaria"/>
    <x v="0"/>
    <x v="48"/>
    <s v="Rural"/>
    <s v="Masculino"/>
    <x v="0"/>
    <x v="1"/>
  </r>
  <r>
    <n v="2746"/>
    <s v="54. Ancash"/>
    <s v="Primaria"/>
    <x v="0"/>
    <x v="52"/>
    <s v="Rural"/>
    <s v="Masculino"/>
    <x v="0"/>
    <x v="1"/>
  </r>
  <r>
    <n v="2747"/>
    <s v="54. Ancash"/>
    <s v="Primaria"/>
    <x v="0"/>
    <x v="52"/>
    <s v="Rural"/>
    <s v="Masculino"/>
    <x v="0"/>
    <x v="1"/>
  </r>
  <r>
    <n v="2748"/>
    <s v="54. Ancash"/>
    <s v="Primaria"/>
    <x v="0"/>
    <x v="52"/>
    <s v="Rural"/>
    <s v="Masculino"/>
    <x v="0"/>
    <x v="1"/>
  </r>
  <r>
    <n v="2749"/>
    <s v="54. Ancash"/>
    <s v="Secundaria"/>
    <x v="3"/>
    <x v="49"/>
    <s v="Rural"/>
    <s v="Femenino"/>
    <x v="0"/>
    <x v="1"/>
  </r>
  <r>
    <n v="2750"/>
    <s v="54. Ancash"/>
    <s v="Secundaria"/>
    <x v="3"/>
    <x v="49"/>
    <s v="Rural"/>
    <s v="Femenino"/>
    <x v="0"/>
    <x v="1"/>
  </r>
  <r>
    <n v="2751"/>
    <s v="54. Ancash"/>
    <s v="Primaria"/>
    <x v="1"/>
    <x v="54"/>
    <s v="Rural"/>
    <s v="Femenino"/>
    <x v="1"/>
    <x v="1"/>
  </r>
  <r>
    <n v="2752"/>
    <s v="54. Ancash"/>
    <s v="Primaria"/>
    <x v="1"/>
    <x v="54"/>
    <s v="Rural"/>
    <s v="Femenino"/>
    <x v="1"/>
    <x v="1"/>
  </r>
  <r>
    <n v="2753"/>
    <s v="54. Ancash"/>
    <s v="Primaria"/>
    <x v="1"/>
    <x v="54"/>
    <s v="Rural"/>
    <s v="Femenino"/>
    <x v="1"/>
    <x v="1"/>
  </r>
  <r>
    <n v="2754"/>
    <s v="54. Ancash"/>
    <s v="Primaria"/>
    <x v="1"/>
    <x v="54"/>
    <s v="Rural"/>
    <s v="Masculino"/>
    <x v="1"/>
    <x v="1"/>
  </r>
  <r>
    <n v="2755"/>
    <s v="54. Ancash"/>
    <s v="Primaria"/>
    <x v="1"/>
    <x v="54"/>
    <s v="Rural"/>
    <s v="Masculino"/>
    <x v="1"/>
    <x v="1"/>
  </r>
  <r>
    <n v="2756"/>
    <s v="54. Ancash"/>
    <s v="Primaria"/>
    <x v="1"/>
    <x v="54"/>
    <s v="Rural"/>
    <s v="Masculino"/>
    <x v="1"/>
    <x v="1"/>
  </r>
  <r>
    <n v="2757"/>
    <s v="54. Ancash"/>
    <s v="Primaria"/>
    <x v="1"/>
    <x v="54"/>
    <s v="Rural"/>
    <s v="Masculino"/>
    <x v="1"/>
    <x v="1"/>
  </r>
  <r>
    <n v="2758"/>
    <s v="54. Ancash"/>
    <s v="Primaria"/>
    <x v="1"/>
    <x v="54"/>
    <s v="Rural"/>
    <s v="Masculino"/>
    <x v="1"/>
    <x v="1"/>
  </r>
  <r>
    <n v="2759"/>
    <s v="54. Ancash"/>
    <s v="Primaria"/>
    <x v="1"/>
    <x v="54"/>
    <s v="Rural"/>
    <s v="Femenino"/>
    <x v="1"/>
    <x v="1"/>
  </r>
  <r>
    <n v="2760"/>
    <s v="54. Ancash"/>
    <s v="Primaria"/>
    <x v="1"/>
    <x v="54"/>
    <s v="Rural"/>
    <s v="Masculino"/>
    <x v="1"/>
    <x v="1"/>
  </r>
  <r>
    <n v="2761"/>
    <s v="54. Ancash"/>
    <s v="Primaria"/>
    <x v="1"/>
    <x v="48"/>
    <s v="Rural"/>
    <s v="Masculino"/>
    <x v="1"/>
    <x v="1"/>
  </r>
  <r>
    <n v="2762"/>
    <s v="54. Ancash"/>
    <s v="Primaria"/>
    <x v="1"/>
    <x v="48"/>
    <s v="Rural"/>
    <s v="Femenino"/>
    <x v="0"/>
    <x v="1"/>
  </r>
  <r>
    <n v="2763"/>
    <s v="54. Ancash"/>
    <s v="Primaria"/>
    <x v="1"/>
    <x v="48"/>
    <s v="Rural"/>
    <s v="Masculino"/>
    <x v="1"/>
    <x v="1"/>
  </r>
  <r>
    <n v="2764"/>
    <s v="54. Ancash"/>
    <s v="Primaria"/>
    <x v="1"/>
    <x v="48"/>
    <s v="Rural"/>
    <s v="Masculino"/>
    <x v="1"/>
    <x v="1"/>
  </r>
  <r>
    <n v="2765"/>
    <s v="54. Ancash"/>
    <s v="Primaria"/>
    <x v="1"/>
    <x v="50"/>
    <s v="Rural"/>
    <s v="Masculino"/>
    <x v="0"/>
    <x v="1"/>
  </r>
  <r>
    <n v="2766"/>
    <s v="54. Ancash"/>
    <s v="Primaria"/>
    <x v="1"/>
    <x v="50"/>
    <s v="Rural"/>
    <s v="Masculino"/>
    <x v="1"/>
    <x v="1"/>
  </r>
  <r>
    <n v="2767"/>
    <s v="54. Ancash"/>
    <s v="Primaria"/>
    <x v="1"/>
    <x v="52"/>
    <s v="Rural"/>
    <s v="Masculino"/>
    <x v="0"/>
    <x v="1"/>
  </r>
  <r>
    <n v="3349"/>
    <s v="72. Ucayali"/>
    <s v="Primaria"/>
    <x v="4"/>
    <x v="55"/>
    <s v="Rural"/>
    <s v="Masculino"/>
    <x v="1"/>
    <x v="1"/>
  </r>
  <r>
    <n v="3350"/>
    <s v="72. Ucayali"/>
    <s v="Primaria"/>
    <x v="4"/>
    <x v="16"/>
    <s v="Rural"/>
    <s v="Masculino"/>
    <x v="1"/>
    <x v="1"/>
  </r>
  <r>
    <n v="3351"/>
    <s v="72. Ucayali"/>
    <s v="Primaria"/>
    <x v="4"/>
    <x v="16"/>
    <s v="Rural"/>
    <s v="Masculino"/>
    <x v="1"/>
    <x v="1"/>
  </r>
  <r>
    <n v="3352"/>
    <s v="72. Ucayali"/>
    <s v="Primaria"/>
    <x v="4"/>
    <x v="16"/>
    <s v="Rural"/>
    <s v="Femenino"/>
    <x v="1"/>
    <x v="1"/>
  </r>
  <r>
    <n v="3353"/>
    <s v="72. Ucayali"/>
    <s v="Primaria"/>
    <x v="4"/>
    <x v="16"/>
    <s v="Rural"/>
    <s v="Masculino"/>
    <x v="1"/>
    <x v="1"/>
  </r>
  <r>
    <n v="3354"/>
    <s v="72. Ucayali"/>
    <s v="Primaria"/>
    <x v="4"/>
    <x v="22"/>
    <s v="Rural"/>
    <s v="Masculino"/>
    <x v="1"/>
    <x v="1"/>
  </r>
  <r>
    <n v="3355"/>
    <s v="72. Ucayali"/>
    <s v="Primaria"/>
    <x v="4"/>
    <x v="22"/>
    <s v="Rural"/>
    <s v="Femenino"/>
    <x v="1"/>
    <x v="1"/>
  </r>
  <r>
    <n v="3356"/>
    <s v="72. Ucayali"/>
    <s v="Primaria"/>
    <x v="4"/>
    <x v="22"/>
    <s v="Rural"/>
    <s v="Femenino"/>
    <x v="1"/>
    <x v="1"/>
  </r>
  <r>
    <n v="3357"/>
    <s v="72. Ucayali"/>
    <s v="Primaria"/>
    <x v="4"/>
    <x v="22"/>
    <s v="Rural"/>
    <s v="Femenino"/>
    <x v="2"/>
    <x v="1"/>
  </r>
  <r>
    <n v="3358"/>
    <s v="72. Ucayali"/>
    <s v="Primaria"/>
    <x v="0"/>
    <x v="56"/>
    <s v="Rural"/>
    <s v="Masculino"/>
    <x v="2"/>
    <x v="1"/>
  </r>
  <r>
    <n v="3359"/>
    <s v="72. Ucayali"/>
    <s v="Primaria"/>
    <x v="0"/>
    <x v="57"/>
    <s v="Rural"/>
    <s v="Masculino"/>
    <x v="1"/>
    <x v="1"/>
  </r>
  <r>
    <n v="3360"/>
    <s v="72. Ucayali"/>
    <s v="Primaria"/>
    <x v="0"/>
    <x v="56"/>
    <s v="Rural"/>
    <s v="Femenino"/>
    <x v="2"/>
    <x v="1"/>
  </r>
  <r>
    <n v="3361"/>
    <s v="72. Ucayali"/>
    <s v="Primaria"/>
    <x v="0"/>
    <x v="16"/>
    <s v="Rural"/>
    <s v="Masculino"/>
    <x v="2"/>
    <x v="1"/>
  </r>
  <r>
    <n v="3362"/>
    <s v="72. Ucayali"/>
    <s v="Primaria"/>
    <x v="0"/>
    <x v="56"/>
    <s v="Rural"/>
    <s v="Femenino"/>
    <x v="2"/>
    <x v="1"/>
  </r>
  <r>
    <n v="3363"/>
    <s v="72. Ucayali"/>
    <s v="Primaria"/>
    <x v="0"/>
    <x v="56"/>
    <s v="Rural"/>
    <s v="Femenino"/>
    <x v="2"/>
    <x v="1"/>
  </r>
  <r>
    <n v="3364"/>
    <s v="72. Ucayali"/>
    <s v="Primaria"/>
    <x v="0"/>
    <x v="15"/>
    <s v="Rural"/>
    <s v="Masculino"/>
    <x v="1"/>
    <x v="1"/>
  </r>
  <r>
    <n v="3365"/>
    <s v="72. Ucayali"/>
    <s v="Primaria"/>
    <x v="0"/>
    <x v="15"/>
    <s v="Rural"/>
    <s v="Masculino"/>
    <x v="1"/>
    <x v="1"/>
  </r>
  <r>
    <n v="3366"/>
    <s v="72. Ucayali"/>
    <s v="Primaria"/>
    <x v="0"/>
    <x v="22"/>
    <s v="Rural"/>
    <s v="Masculino"/>
    <x v="1"/>
    <x v="1"/>
  </r>
  <r>
    <n v="3367"/>
    <s v="72. Ucayali"/>
    <s v="Primaria"/>
    <x v="0"/>
    <x v="22"/>
    <s v="Rural"/>
    <s v="Masculino"/>
    <x v="1"/>
    <x v="1"/>
  </r>
  <r>
    <n v="3368"/>
    <s v="72. Ucayali"/>
    <s v="Primaria"/>
    <x v="0"/>
    <x v="22"/>
    <s v="Rural"/>
    <s v="Masculino"/>
    <x v="2"/>
    <x v="1"/>
  </r>
  <r>
    <n v="3369"/>
    <s v="72. Ucayali"/>
    <s v="Primaria"/>
    <x v="0"/>
    <x v="22"/>
    <s v="Rural"/>
    <s v="Femenino"/>
    <x v="1"/>
    <x v="1"/>
  </r>
  <r>
    <n v="3370"/>
    <s v="72. Ucayali"/>
    <s v="Primaria"/>
    <x v="0"/>
    <x v="22"/>
    <s v="Rural"/>
    <s v="Femenino"/>
    <x v="2"/>
    <x v="1"/>
  </r>
  <r>
    <n v="3371"/>
    <s v="72. Ucayali"/>
    <s v="Primaria"/>
    <x v="0"/>
    <x v="22"/>
    <s v="Rural"/>
    <s v="Femenino"/>
    <x v="1"/>
    <x v="1"/>
  </r>
  <r>
    <n v="3372"/>
    <s v="72. Ucayali"/>
    <s v="Primaria"/>
    <x v="0"/>
    <x v="22"/>
    <s v="Rural"/>
    <s v="Femenino"/>
    <x v="1"/>
    <x v="1"/>
  </r>
  <r>
    <n v="3373"/>
    <s v="72. Ucayali"/>
    <s v="Primaria"/>
    <x v="0"/>
    <x v="22"/>
    <s v="Rural"/>
    <s v="Femenino"/>
    <x v="2"/>
    <x v="1"/>
  </r>
  <r>
    <n v="3374"/>
    <s v="72. Ucayali"/>
    <s v="Primaria"/>
    <x v="0"/>
    <x v="22"/>
    <s v="Rural"/>
    <s v="Femenino"/>
    <x v="2"/>
    <x v="1"/>
  </r>
  <r>
    <n v="3375"/>
    <s v="72. Ucayali"/>
    <s v="Primaria"/>
    <x v="0"/>
    <x v="22"/>
    <s v="Rural"/>
    <s v="Femenino"/>
    <x v="1"/>
    <x v="1"/>
  </r>
  <r>
    <n v="3376"/>
    <s v="72. Ucayali"/>
    <s v="Primaria"/>
    <x v="0"/>
    <x v="22"/>
    <s v="Rural"/>
    <s v="Femenino"/>
    <x v="2"/>
    <x v="1"/>
  </r>
  <r>
    <n v="3377"/>
    <s v="72. Ucayali"/>
    <s v="Primaria"/>
    <x v="0"/>
    <x v="22"/>
    <s v="Rural"/>
    <s v="Masculino"/>
    <x v="2"/>
    <x v="1"/>
  </r>
  <r>
    <n v="3378"/>
    <s v="72. Ucayali"/>
    <s v="Primaria"/>
    <x v="1"/>
    <x v="55"/>
    <s v="Rural"/>
    <s v="Masculino"/>
    <x v="2"/>
    <x v="1"/>
  </r>
  <r>
    <n v="3379"/>
    <s v="72. Ucayali"/>
    <s v="Primaria"/>
    <x v="1"/>
    <x v="57"/>
    <s v="Rural"/>
    <s v="Masculino"/>
    <x v="2"/>
    <x v="1"/>
  </r>
  <r>
    <n v="3380"/>
    <s v="72. Ucayali"/>
    <s v="Primaria"/>
    <x v="1"/>
    <x v="56"/>
    <s v="Rural"/>
    <s v="Masculino"/>
    <x v="2"/>
    <x v="1"/>
  </r>
  <r>
    <n v="3381"/>
    <s v="72. Ucayali"/>
    <s v="Primaria"/>
    <x v="1"/>
    <x v="56"/>
    <s v="Rural"/>
    <s v="Masculino"/>
    <x v="2"/>
    <x v="1"/>
  </r>
  <r>
    <n v="3382"/>
    <s v="72. Ucayali"/>
    <s v="Primaria"/>
    <x v="1"/>
    <x v="56"/>
    <s v="Rural"/>
    <s v="Masculino"/>
    <x v="2"/>
    <x v="1"/>
  </r>
  <r>
    <n v="3383"/>
    <s v="72. Ucayali"/>
    <s v="Primaria"/>
    <x v="1"/>
    <x v="16"/>
    <s v="Rural"/>
    <s v="Masculino"/>
    <x v="2"/>
    <x v="1"/>
  </r>
  <r>
    <n v="3384"/>
    <s v="72. Ucayali"/>
    <s v="Primaria"/>
    <x v="1"/>
    <x v="16"/>
    <s v="Rural"/>
    <s v="Femenino"/>
    <x v="1"/>
    <x v="1"/>
  </r>
  <r>
    <n v="3385"/>
    <s v="72. Ucayali"/>
    <s v="Primaria"/>
    <x v="1"/>
    <x v="15"/>
    <s v="Rural"/>
    <s v="Masculino"/>
    <x v="1"/>
    <x v="1"/>
  </r>
  <r>
    <n v="3386"/>
    <s v="72. Ucayali"/>
    <s v="Primaria"/>
    <x v="1"/>
    <x v="15"/>
    <s v="Rural"/>
    <s v="Masculino"/>
    <x v="1"/>
    <x v="1"/>
  </r>
  <r>
    <n v="3387"/>
    <s v="72. Ucayali"/>
    <s v="Primaria"/>
    <x v="1"/>
    <x v="16"/>
    <s v="Rural"/>
    <s v="Femenino"/>
    <x v="1"/>
    <x v="1"/>
  </r>
  <r>
    <n v="3388"/>
    <s v="72. Ucayali"/>
    <s v="Primaria"/>
    <x v="1"/>
    <x v="15"/>
    <s v="Rural"/>
    <s v="Femenino"/>
    <x v="2"/>
    <x v="1"/>
  </r>
  <r>
    <n v="3389"/>
    <s v="72. Ucayali"/>
    <s v="Primaria"/>
    <x v="1"/>
    <x v="15"/>
    <s v="Rural"/>
    <s v="Femenino"/>
    <x v="2"/>
    <x v="1"/>
  </r>
  <r>
    <n v="3390"/>
    <s v="72. Ucayali"/>
    <s v="Primaria"/>
    <x v="1"/>
    <x v="22"/>
    <s v="Rural"/>
    <s v="Masculino"/>
    <x v="1"/>
    <x v="1"/>
  </r>
  <r>
    <n v="3391"/>
    <s v="72. Ucayali"/>
    <s v="Primaria"/>
    <x v="1"/>
    <x v="22"/>
    <s v="Rural"/>
    <s v="Femenino"/>
    <x v="2"/>
    <x v="1"/>
  </r>
  <r>
    <n v="3392"/>
    <s v="72. Ucayali"/>
    <s v="Primaria"/>
    <x v="1"/>
    <x v="22"/>
    <s v="Rural"/>
    <s v="Femenino"/>
    <x v="2"/>
    <x v="1"/>
  </r>
  <r>
    <n v="3393"/>
    <s v="72. Ucayali"/>
    <s v="Primaria"/>
    <x v="1"/>
    <x v="22"/>
    <s v="Rural"/>
    <s v="Masculino"/>
    <x v="2"/>
    <x v="1"/>
  </r>
  <r>
    <n v="3394"/>
    <s v="72. Ucayali"/>
    <s v="Primaria"/>
    <x v="1"/>
    <x v="22"/>
    <s v="Rural"/>
    <s v="Masculino"/>
    <x v="2"/>
    <x v="1"/>
  </r>
  <r>
    <n v="3395"/>
    <s v="72. Ucayali"/>
    <s v="Primaria"/>
    <x v="1"/>
    <x v="22"/>
    <s v="Rural"/>
    <s v="Masculino"/>
    <x v="2"/>
    <x v="1"/>
  </r>
  <r>
    <n v="3396"/>
    <s v="72. Ucayali"/>
    <s v="Primaria"/>
    <x v="1"/>
    <x v="22"/>
    <s v="Rural"/>
    <s v="Femenino"/>
    <x v="2"/>
    <x v="1"/>
  </r>
  <r>
    <n v="3540"/>
    <s v="79. Huancavelica"/>
    <s v="Primaria"/>
    <x v="4"/>
    <x v="58"/>
    <s v="Rural"/>
    <s v="Femenino"/>
    <x v="0"/>
    <x v="1"/>
  </r>
  <r>
    <n v="3541"/>
    <s v="79. Huancavelica"/>
    <s v="Primaria"/>
    <x v="4"/>
    <x v="58"/>
    <s v="Rural"/>
    <s v="Femenino"/>
    <x v="0"/>
    <x v="1"/>
  </r>
  <r>
    <n v="3542"/>
    <s v="79. Huancavelica"/>
    <s v="Primaria"/>
    <x v="4"/>
    <x v="58"/>
    <s v="Rural"/>
    <s v="Masculino"/>
    <x v="0"/>
    <x v="1"/>
  </r>
  <r>
    <n v="3543"/>
    <s v="79. Huancavelica"/>
    <s v="Primaria"/>
    <x v="4"/>
    <x v="58"/>
    <s v="Rural"/>
    <s v="Femenino"/>
    <x v="0"/>
    <x v="1"/>
  </r>
  <r>
    <n v="3544"/>
    <s v="79. Huancavelica"/>
    <s v="Primaria"/>
    <x v="4"/>
    <x v="59"/>
    <s v="Rural"/>
    <s v="Femenino"/>
    <x v="0"/>
    <x v="1"/>
  </r>
  <r>
    <n v="3545"/>
    <s v="79. Huancavelica"/>
    <s v="Primaria"/>
    <x v="4"/>
    <x v="59"/>
    <s v="Rural"/>
    <s v="Femenino"/>
    <x v="1"/>
    <x v="1"/>
  </r>
  <r>
    <n v="3546"/>
    <s v="79. Huancavelica"/>
    <s v="Primaria"/>
    <x v="4"/>
    <x v="59"/>
    <s v="Rural"/>
    <s v="Femenino"/>
    <x v="0"/>
    <x v="1"/>
  </r>
  <r>
    <n v="3547"/>
    <s v="79. Huancavelica"/>
    <s v="Primaria"/>
    <x v="4"/>
    <x v="59"/>
    <s v="Rural"/>
    <s v="Masculino"/>
    <x v="0"/>
    <x v="1"/>
  </r>
  <r>
    <n v="3548"/>
    <s v="79. Huancavelica"/>
    <s v="Primaria"/>
    <x v="4"/>
    <x v="59"/>
    <s v="Rural"/>
    <s v="Femenino"/>
    <x v="0"/>
    <x v="1"/>
  </r>
  <r>
    <n v="3549"/>
    <s v="79. Huancavelica"/>
    <s v="Primaria"/>
    <x v="4"/>
    <x v="25"/>
    <s v="Rural"/>
    <s v="Femenino"/>
    <x v="0"/>
    <x v="1"/>
  </r>
  <r>
    <n v="3550"/>
    <s v="79. Huancavelica"/>
    <s v="Secundaria"/>
    <x v="2"/>
    <x v="60"/>
    <s v="Rural"/>
    <s v="Masculino"/>
    <x v="1"/>
    <x v="1"/>
  </r>
  <r>
    <n v="3551"/>
    <s v="79. Huancavelica"/>
    <s v="Secundaria"/>
    <x v="2"/>
    <x v="60"/>
    <s v="Rural"/>
    <s v="Femenino"/>
    <x v="2"/>
    <x v="1"/>
  </r>
  <r>
    <n v="3552"/>
    <s v="79. Huancavelica"/>
    <s v="Secundaria"/>
    <x v="2"/>
    <x v="60"/>
    <s v="Rural"/>
    <s v="Masculino"/>
    <x v="0"/>
    <x v="1"/>
  </r>
  <r>
    <n v="3553"/>
    <s v="79. Huancavelica"/>
    <s v="Secundaria"/>
    <x v="2"/>
    <x v="60"/>
    <s v="Rural"/>
    <s v="Masculino"/>
    <x v="0"/>
    <x v="1"/>
  </r>
  <r>
    <n v="3554"/>
    <s v="79. Huancavelica"/>
    <s v="Secundaria"/>
    <x v="2"/>
    <x v="60"/>
    <s v="Rural"/>
    <s v="Femenino"/>
    <x v="0"/>
    <x v="1"/>
  </r>
  <r>
    <n v="3555"/>
    <s v="79. Huancavelica"/>
    <s v="Secundaria"/>
    <x v="2"/>
    <x v="60"/>
    <s v="Rural"/>
    <s v="Femenino"/>
    <x v="2"/>
    <x v="1"/>
  </r>
  <r>
    <n v="3556"/>
    <s v="79. Huancavelica"/>
    <s v="Secundaria"/>
    <x v="2"/>
    <x v="60"/>
    <s v="Rural"/>
    <s v="Masculino"/>
    <x v="2"/>
    <x v="1"/>
  </r>
  <r>
    <n v="3557"/>
    <s v="79. Huancavelica"/>
    <s v="Secundaria"/>
    <x v="2"/>
    <x v="60"/>
    <s v="Rural"/>
    <s v="Masculino"/>
    <x v="0"/>
    <x v="1"/>
  </r>
  <r>
    <n v="3558"/>
    <s v="79. Huancavelica"/>
    <s v="Secundaria"/>
    <x v="2"/>
    <x v="60"/>
    <s v="Rural"/>
    <s v="Masculino"/>
    <x v="1"/>
    <x v="1"/>
  </r>
  <r>
    <n v="3559"/>
    <s v="79. Huancavelica"/>
    <s v="Secundaria"/>
    <x v="2"/>
    <x v="60"/>
    <s v="Rural"/>
    <s v="Masculino"/>
    <x v="0"/>
    <x v="1"/>
  </r>
  <r>
    <n v="3560"/>
    <s v="79. Huancavelica"/>
    <s v="Secundaria"/>
    <x v="2"/>
    <x v="60"/>
    <s v="Rural"/>
    <s v="Masculino"/>
    <x v="2"/>
    <x v="1"/>
  </r>
  <r>
    <n v="3561"/>
    <s v="79. Huancavelica"/>
    <s v="Secundaria"/>
    <x v="2"/>
    <x v="60"/>
    <s v="Rural"/>
    <s v="Masculino"/>
    <x v="0"/>
    <x v="1"/>
  </r>
  <r>
    <n v="3562"/>
    <s v="79. Huancavelica"/>
    <s v="Secundaria"/>
    <x v="2"/>
    <x v="60"/>
    <s v="Rural"/>
    <s v="Femenino"/>
    <x v="2"/>
    <x v="1"/>
  </r>
  <r>
    <n v="3563"/>
    <s v="79. Huancavelica"/>
    <s v="Secundaria"/>
    <x v="2"/>
    <x v="60"/>
    <s v="Rural"/>
    <s v="Femenino"/>
    <x v="0"/>
    <x v="1"/>
  </r>
  <r>
    <n v="3564"/>
    <s v="79. Huancavelica"/>
    <s v="Secundaria"/>
    <x v="2"/>
    <x v="60"/>
    <s v="Rural"/>
    <s v="Femenino"/>
    <x v="0"/>
    <x v="1"/>
  </r>
  <r>
    <n v="3565"/>
    <s v="79. Huancavelica"/>
    <s v="Secundaria"/>
    <x v="2"/>
    <x v="60"/>
    <s v="Rural"/>
    <s v="Femenino"/>
    <x v="2"/>
    <x v="1"/>
  </r>
  <r>
    <n v="3566"/>
    <s v="79. Huancavelica"/>
    <s v="Secundaria"/>
    <x v="2"/>
    <x v="61"/>
    <s v="Rural"/>
    <s v="Femenino"/>
    <x v="0"/>
    <x v="1"/>
  </r>
  <r>
    <n v="3567"/>
    <s v="79. Huancavelica"/>
    <s v="Secundaria"/>
    <x v="2"/>
    <x v="62"/>
    <s v="Rural"/>
    <s v="Masculino"/>
    <x v="1"/>
    <x v="1"/>
  </r>
  <r>
    <n v="3568"/>
    <s v="79. Huancavelica"/>
    <s v="Secundaria"/>
    <x v="2"/>
    <x v="62"/>
    <s v="Rural"/>
    <s v="Masculino"/>
    <x v="2"/>
    <x v="1"/>
  </r>
  <r>
    <n v="3569"/>
    <s v="79. Huancavelica"/>
    <s v="Secundaria"/>
    <x v="2"/>
    <x v="62"/>
    <s v="Rural"/>
    <s v="Masculino"/>
    <x v="0"/>
    <x v="1"/>
  </r>
  <r>
    <n v="3570"/>
    <s v="79. Huancavelica"/>
    <s v="Secundaria"/>
    <x v="2"/>
    <x v="62"/>
    <s v="Rural"/>
    <s v="Femenino"/>
    <x v="2"/>
    <x v="1"/>
  </r>
  <r>
    <n v="3571"/>
    <s v="79. Huancavelica"/>
    <s v="Secundaria"/>
    <x v="2"/>
    <x v="62"/>
    <s v="Rural"/>
    <s v="Femenino"/>
    <x v="2"/>
    <x v="1"/>
  </r>
  <r>
    <n v="3572"/>
    <s v="79. Huancavelica"/>
    <s v="Secundaria"/>
    <x v="2"/>
    <x v="62"/>
    <s v="Rural"/>
    <s v="Femenino"/>
    <x v="0"/>
    <x v="1"/>
  </r>
  <r>
    <n v="3573"/>
    <s v="79. Huancavelica"/>
    <s v="Secundaria"/>
    <x v="2"/>
    <x v="62"/>
    <s v="Rural"/>
    <s v="Femenino"/>
    <x v="1"/>
    <x v="1"/>
  </r>
  <r>
    <n v="3574"/>
    <s v="79. Huancavelica"/>
    <s v="Secundaria"/>
    <x v="2"/>
    <x v="62"/>
    <s v="Rural"/>
    <s v="Femenino"/>
    <x v="0"/>
    <x v="1"/>
  </r>
  <r>
    <n v="3575"/>
    <s v="79. Huancavelica"/>
    <s v="Secundaria"/>
    <x v="2"/>
    <x v="62"/>
    <s v="Rural"/>
    <s v="Femenino"/>
    <x v="0"/>
    <x v="1"/>
  </r>
  <r>
    <n v="3576"/>
    <s v="79. Huancavelica"/>
    <s v="Secundaria"/>
    <x v="2"/>
    <x v="62"/>
    <s v="Rural"/>
    <s v="Femenino"/>
    <x v="1"/>
    <x v="1"/>
  </r>
  <r>
    <n v="3577"/>
    <s v="79. Huancavelica"/>
    <s v="Secundaria"/>
    <x v="2"/>
    <x v="62"/>
    <s v="Rural"/>
    <s v="Masculino"/>
    <x v="2"/>
    <x v="1"/>
  </r>
  <r>
    <n v="3578"/>
    <s v="79. Huancavelica"/>
    <s v="Secundaria"/>
    <x v="2"/>
    <x v="62"/>
    <s v="Rural"/>
    <s v="Masculino"/>
    <x v="2"/>
    <x v="1"/>
  </r>
  <r>
    <n v="3579"/>
    <s v="79. Huancavelica"/>
    <s v="Secundaria"/>
    <x v="2"/>
    <x v="62"/>
    <s v="Rural"/>
    <s v="Masculino"/>
    <x v="1"/>
    <x v="1"/>
  </r>
  <r>
    <n v="3580"/>
    <s v="79. Huancavelica"/>
    <s v="Secundaria"/>
    <x v="2"/>
    <x v="62"/>
    <s v="Rural"/>
    <s v="Masculino"/>
    <x v="0"/>
    <x v="1"/>
  </r>
  <r>
    <n v="3581"/>
    <s v="79. Huancavelica"/>
    <s v="Secundaria"/>
    <x v="2"/>
    <x v="62"/>
    <s v="Rural"/>
    <s v="Femenino"/>
    <x v="0"/>
    <x v="1"/>
  </r>
  <r>
    <n v="3582"/>
    <s v="79. Huancavelica"/>
    <s v="Secundaria"/>
    <x v="2"/>
    <x v="62"/>
    <s v="Rural"/>
    <s v="Masculino"/>
    <x v="2"/>
    <x v="1"/>
  </r>
  <r>
    <n v="3583"/>
    <s v="79. Huancavelica"/>
    <s v="Primaria"/>
    <x v="0"/>
    <x v="25"/>
    <s v="Rural"/>
    <s v="Femenino"/>
    <x v="0"/>
    <x v="1"/>
  </r>
  <r>
    <n v="3584"/>
    <s v="79. Huancavelica"/>
    <s v="Primaria"/>
    <x v="0"/>
    <x v="25"/>
    <s v="Rural"/>
    <s v="Femenino"/>
    <x v="2"/>
    <x v="1"/>
  </r>
  <r>
    <n v="3585"/>
    <s v="79. Huancavelica"/>
    <s v="Secundaria"/>
    <x v="3"/>
    <x v="60"/>
    <s v="Rural"/>
    <s v="Femenino"/>
    <x v="0"/>
    <x v="1"/>
  </r>
  <r>
    <n v="3586"/>
    <s v="79. Huancavelica"/>
    <s v="Secundaria"/>
    <x v="3"/>
    <x v="60"/>
    <s v="Rural"/>
    <s v="Masculino"/>
    <x v="0"/>
    <x v="1"/>
  </r>
  <r>
    <n v="3587"/>
    <s v="79. Huancavelica"/>
    <s v="Secundaria"/>
    <x v="3"/>
    <x v="60"/>
    <s v="Rural"/>
    <s v="Masculino"/>
    <x v="0"/>
    <x v="1"/>
  </r>
  <r>
    <n v="3588"/>
    <s v="79. Huancavelica"/>
    <s v="Secundaria"/>
    <x v="3"/>
    <x v="60"/>
    <s v="Rural"/>
    <s v="Masculino"/>
    <x v="0"/>
    <x v="1"/>
  </r>
  <r>
    <n v="3589"/>
    <s v="79. Huancavelica"/>
    <s v="Secundaria"/>
    <x v="3"/>
    <x v="60"/>
    <s v="Rural"/>
    <s v="Masculino"/>
    <x v="1"/>
    <x v="1"/>
  </r>
  <r>
    <n v="3590"/>
    <s v="79. Huancavelica"/>
    <s v="Secundaria"/>
    <x v="3"/>
    <x v="60"/>
    <s v="Rural"/>
    <s v="Femenino"/>
    <x v="0"/>
    <x v="1"/>
  </r>
  <r>
    <n v="3591"/>
    <s v="79. Huancavelica"/>
    <s v="Secundaria"/>
    <x v="3"/>
    <x v="60"/>
    <s v="Rural"/>
    <s v="Masculino"/>
    <x v="0"/>
    <x v="1"/>
  </r>
  <r>
    <n v="3592"/>
    <s v="79. Huancavelica"/>
    <s v="Secundaria"/>
    <x v="3"/>
    <x v="60"/>
    <s v="Rural"/>
    <s v="Femenino"/>
    <x v="0"/>
    <x v="1"/>
  </r>
  <r>
    <n v="3593"/>
    <s v="79. Huancavelica"/>
    <s v="Secundaria"/>
    <x v="3"/>
    <x v="60"/>
    <s v="Rural"/>
    <s v="Masculino"/>
    <x v="0"/>
    <x v="1"/>
  </r>
  <r>
    <n v="3594"/>
    <s v="79. Huancavelica"/>
    <s v="Secundaria"/>
    <x v="3"/>
    <x v="60"/>
    <s v="Rural"/>
    <s v="Masculino"/>
    <x v="0"/>
    <x v="1"/>
  </r>
  <r>
    <n v="3595"/>
    <s v="79. Huancavelica"/>
    <s v="Secundaria"/>
    <x v="3"/>
    <x v="60"/>
    <s v="Rural"/>
    <s v="Femenino"/>
    <x v="0"/>
    <x v="1"/>
  </r>
  <r>
    <n v="3596"/>
    <s v="79. Huancavelica"/>
    <s v="Secundaria"/>
    <x v="3"/>
    <x v="60"/>
    <s v="Rural"/>
    <s v="Femenino"/>
    <x v="1"/>
    <x v="1"/>
  </r>
  <r>
    <n v="3597"/>
    <s v="79. Huancavelica"/>
    <s v="Secundaria"/>
    <x v="3"/>
    <x v="60"/>
    <s v="Rural"/>
    <s v="Masculino"/>
    <x v="2"/>
    <x v="1"/>
  </r>
  <r>
    <n v="3598"/>
    <s v="79. Huancavelica"/>
    <s v="Secundaria"/>
    <x v="3"/>
    <x v="60"/>
    <s v="Rural"/>
    <s v="Femenino"/>
    <x v="1"/>
    <x v="1"/>
  </r>
  <r>
    <n v="3599"/>
    <s v="79. Huancavelica"/>
    <s v="Secundaria"/>
    <x v="3"/>
    <x v="60"/>
    <s v="Rural"/>
    <s v="Masculino"/>
    <x v="0"/>
    <x v="1"/>
  </r>
  <r>
    <n v="3600"/>
    <s v="79. Huancavelica"/>
    <s v="Secundaria"/>
    <x v="3"/>
    <x v="60"/>
    <s v="Rural"/>
    <s v="Masculino"/>
    <x v="0"/>
    <x v="1"/>
  </r>
  <r>
    <n v="3601"/>
    <s v="79. Huancavelica"/>
    <s v="Secundaria"/>
    <x v="3"/>
    <x v="60"/>
    <s v="Rural"/>
    <s v="Masculino"/>
    <x v="0"/>
    <x v="1"/>
  </r>
  <r>
    <n v="3602"/>
    <s v="79. Huancavelica"/>
    <s v="Secundaria"/>
    <x v="3"/>
    <x v="60"/>
    <s v="Rural"/>
    <s v="Masculino"/>
    <x v="1"/>
    <x v="1"/>
  </r>
  <r>
    <n v="3603"/>
    <s v="79. Huancavelica"/>
    <s v="Secundaria"/>
    <x v="3"/>
    <x v="60"/>
    <s v="Rural"/>
    <s v="Femenino"/>
    <x v="0"/>
    <x v="1"/>
  </r>
  <r>
    <n v="3604"/>
    <s v="79. Huancavelica"/>
    <s v="Secundaria"/>
    <x v="3"/>
    <x v="60"/>
    <s v="Rural"/>
    <s v="Masculino"/>
    <x v="0"/>
    <x v="1"/>
  </r>
  <r>
    <n v="3605"/>
    <s v="79. Huancavelica"/>
    <s v="Secundaria"/>
    <x v="3"/>
    <x v="60"/>
    <s v="Rural"/>
    <s v="Femenino"/>
    <x v="1"/>
    <x v="1"/>
  </r>
  <r>
    <n v="3606"/>
    <s v="79. Huancavelica"/>
    <s v="Secundaria"/>
    <x v="3"/>
    <x v="60"/>
    <s v="Rural"/>
    <s v="Femenino"/>
    <x v="1"/>
    <x v="1"/>
  </r>
  <r>
    <n v="3607"/>
    <s v="79. Huancavelica"/>
    <s v="Secundaria"/>
    <x v="3"/>
    <x v="61"/>
    <s v="Rural"/>
    <s v="Masculino"/>
    <x v="1"/>
    <x v="1"/>
  </r>
  <r>
    <n v="3608"/>
    <s v="79. Huancavelica"/>
    <s v="Secundaria"/>
    <x v="3"/>
    <x v="61"/>
    <s v="Rural"/>
    <s v="Masculino"/>
    <x v="0"/>
    <x v="1"/>
  </r>
  <r>
    <n v="3609"/>
    <s v="79. Huancavelica"/>
    <s v="Secundaria"/>
    <x v="3"/>
    <x v="61"/>
    <s v="Rural"/>
    <s v="Femenino"/>
    <x v="1"/>
    <x v="1"/>
  </r>
  <r>
    <n v="3610"/>
    <s v="79. Huancavelica"/>
    <s v="Secundaria"/>
    <x v="3"/>
    <x v="61"/>
    <s v="Rural"/>
    <s v="Masculino"/>
    <x v="1"/>
    <x v="1"/>
  </r>
  <r>
    <n v="3611"/>
    <s v="79. Huancavelica"/>
    <s v="Secundaria"/>
    <x v="3"/>
    <x v="61"/>
    <s v="Rural"/>
    <s v="Masculino"/>
    <x v="0"/>
    <x v="1"/>
  </r>
  <r>
    <n v="3612"/>
    <s v="79. Huancavelica"/>
    <s v="Secundaria"/>
    <x v="3"/>
    <x v="61"/>
    <s v="Rural"/>
    <s v="Femenino"/>
    <x v="2"/>
    <x v="1"/>
  </r>
  <r>
    <n v="3613"/>
    <s v="79. Huancavelica"/>
    <s v="Secundaria"/>
    <x v="3"/>
    <x v="61"/>
    <s v="Rural"/>
    <s v="Masculino"/>
    <x v="0"/>
    <x v="1"/>
  </r>
  <r>
    <n v="3614"/>
    <s v="79. Huancavelica"/>
    <s v="Secundaria"/>
    <x v="3"/>
    <x v="61"/>
    <s v="Rural"/>
    <s v="Femenino"/>
    <x v="0"/>
    <x v="1"/>
  </r>
  <r>
    <n v="3615"/>
    <s v="79. Huancavelica"/>
    <s v="Secundaria"/>
    <x v="3"/>
    <x v="61"/>
    <s v="Rural"/>
    <s v="Femenino"/>
    <x v="1"/>
    <x v="1"/>
  </r>
  <r>
    <n v="3616"/>
    <s v="79. Huancavelica"/>
    <s v="Secundaria"/>
    <x v="3"/>
    <x v="61"/>
    <s v="Rural"/>
    <s v="Masculino"/>
    <x v="0"/>
    <x v="1"/>
  </r>
  <r>
    <n v="3617"/>
    <s v="79. Huancavelica"/>
    <s v="Secundaria"/>
    <x v="3"/>
    <x v="61"/>
    <s v="Rural"/>
    <s v="Femenino"/>
    <x v="0"/>
    <x v="1"/>
  </r>
  <r>
    <n v="3618"/>
    <s v="79. Huancavelica"/>
    <s v="Secundaria"/>
    <x v="3"/>
    <x v="61"/>
    <s v="Rural"/>
    <s v="Femenino"/>
    <x v="0"/>
    <x v="1"/>
  </r>
  <r>
    <n v="3619"/>
    <s v="79. Huancavelica"/>
    <s v="Secundaria"/>
    <x v="3"/>
    <x v="61"/>
    <s v="Rural"/>
    <s v="Femenino"/>
    <x v="0"/>
    <x v="1"/>
  </r>
  <r>
    <n v="3620"/>
    <s v="79. Huancavelica"/>
    <s v="Secundaria"/>
    <x v="3"/>
    <x v="61"/>
    <s v="Rural"/>
    <s v="Masculino"/>
    <x v="1"/>
    <x v="1"/>
  </r>
  <r>
    <n v="3621"/>
    <s v="79. Huancavelica"/>
    <s v="Secundaria"/>
    <x v="3"/>
    <x v="62"/>
    <s v="Rural"/>
    <s v="Femenino"/>
    <x v="0"/>
    <x v="1"/>
  </r>
  <r>
    <n v="3622"/>
    <s v="79. Huancavelica"/>
    <s v="Secundaria"/>
    <x v="3"/>
    <x v="62"/>
    <s v="Rural"/>
    <s v="Masculino"/>
    <x v="0"/>
    <x v="1"/>
  </r>
  <r>
    <n v="3623"/>
    <s v="79. Huancavelica"/>
    <s v="Secundaria"/>
    <x v="3"/>
    <x v="62"/>
    <s v="Rural"/>
    <s v="Masculino"/>
    <x v="1"/>
    <x v="1"/>
  </r>
  <r>
    <n v="3624"/>
    <s v="79. Huancavelica"/>
    <s v="Secundaria"/>
    <x v="3"/>
    <x v="62"/>
    <s v="Rural"/>
    <s v="Femenino"/>
    <x v="1"/>
    <x v="1"/>
  </r>
  <r>
    <n v="3625"/>
    <s v="79. Huancavelica"/>
    <s v="Secundaria"/>
    <x v="3"/>
    <x v="62"/>
    <s v="Rural"/>
    <s v="Femenino"/>
    <x v="1"/>
    <x v="1"/>
  </r>
  <r>
    <n v="3626"/>
    <s v="79. Huancavelica"/>
    <s v="Secundaria"/>
    <x v="3"/>
    <x v="62"/>
    <s v="Rural"/>
    <s v="Masculino"/>
    <x v="0"/>
    <x v="1"/>
  </r>
  <r>
    <n v="3627"/>
    <s v="79. Huancavelica"/>
    <s v="Secundaria"/>
    <x v="3"/>
    <x v="62"/>
    <s v="Rural"/>
    <s v="Femenino"/>
    <x v="1"/>
    <x v="1"/>
  </r>
  <r>
    <n v="3628"/>
    <s v="79. Huancavelica"/>
    <s v="Primaria"/>
    <x v="1"/>
    <x v="59"/>
    <s v="Rural"/>
    <s v="Masculino"/>
    <x v="0"/>
    <x v="1"/>
  </r>
  <r>
    <n v="3629"/>
    <s v="79. Huancavelica"/>
    <s v="Primaria"/>
    <x v="1"/>
    <x v="59"/>
    <s v="Rural"/>
    <s v="Femenino"/>
    <x v="1"/>
    <x v="1"/>
  </r>
  <r>
    <n v="3630"/>
    <s v="79. Huancavelica"/>
    <s v="Primaria"/>
    <x v="1"/>
    <x v="59"/>
    <s v="Rural"/>
    <s v="Masculino"/>
    <x v="1"/>
    <x v="1"/>
  </r>
  <r>
    <n v="3631"/>
    <s v="79. Huancavelica"/>
    <s v="Primaria"/>
    <x v="1"/>
    <x v="59"/>
    <s v="Rural"/>
    <s v="Masculino"/>
    <x v="1"/>
    <x v="1"/>
  </r>
  <r>
    <n v="3632"/>
    <s v="79. Huancavelica"/>
    <s v="Primaria"/>
    <x v="1"/>
    <x v="59"/>
    <s v="Rural"/>
    <s v="Masculino"/>
    <x v="1"/>
    <x v="1"/>
  </r>
  <r>
    <n v="3633"/>
    <s v="79. Huancavelica"/>
    <s v="Primaria"/>
    <x v="1"/>
    <x v="59"/>
    <s v="Rural"/>
    <s v="Masculino"/>
    <x v="1"/>
    <x v="1"/>
  </r>
  <r>
    <n v="3634"/>
    <s v="79. Huancavelica"/>
    <s v="Primaria"/>
    <x v="1"/>
    <x v="59"/>
    <s v="Rural"/>
    <s v="Masculino"/>
    <x v="1"/>
    <x v="1"/>
  </r>
  <r>
    <n v="3635"/>
    <s v="79. Huancavelica"/>
    <s v="Primaria"/>
    <x v="1"/>
    <x v="59"/>
    <s v="Rural"/>
    <s v="Masculino"/>
    <x v="1"/>
    <x v="1"/>
  </r>
  <r>
    <n v="3636"/>
    <s v="79. Huancavelica"/>
    <s v="Primaria"/>
    <x v="1"/>
    <x v="59"/>
    <s v="Rural"/>
    <s v="Masculino"/>
    <x v="1"/>
    <x v="1"/>
  </r>
  <r>
    <n v="3637"/>
    <s v="79. Huancavelica"/>
    <s v="Primaria"/>
    <x v="1"/>
    <x v="25"/>
    <s v="Rural"/>
    <s v="Masculino"/>
    <x v="1"/>
    <x v="1"/>
  </r>
  <r>
    <n v="3638"/>
    <s v="79. Huancavelica"/>
    <s v="Primaria"/>
    <x v="1"/>
    <x v="25"/>
    <s v="Rural"/>
    <s v="Femenino"/>
    <x v="1"/>
    <x v="1"/>
  </r>
  <r>
    <n v="3639"/>
    <s v="79. Huancavelica"/>
    <s v="Primaria"/>
    <x v="1"/>
    <x v="25"/>
    <s v="Rural"/>
    <s v="Masculino"/>
    <x v="1"/>
    <x v="1"/>
  </r>
  <r>
    <n v="3640"/>
    <s v="79. Huancavelica"/>
    <s v="Primaria"/>
    <x v="1"/>
    <x v="25"/>
    <s v="Rural"/>
    <s v="Femenino"/>
    <x v="1"/>
    <x v="1"/>
  </r>
  <r>
    <n v="3641"/>
    <s v="79. Huancavelica"/>
    <s v="Primaria"/>
    <x v="1"/>
    <x v="25"/>
    <s v="Rural"/>
    <s v="Masculino"/>
    <x v="1"/>
    <x v="1"/>
  </r>
  <r>
    <n v="3642"/>
    <s v="79. Huancavelica"/>
    <s v="Primaria"/>
    <x v="1"/>
    <x v="58"/>
    <s v="Rural"/>
    <s v="Femenino"/>
    <x v="2"/>
    <x v="1"/>
  </r>
  <r>
    <n v="3643"/>
    <s v="79. Huancavelica"/>
    <s v="Primaria"/>
    <x v="1"/>
    <x v="58"/>
    <s v="Rural"/>
    <s v="Femenino"/>
    <x v="1"/>
    <x v="1"/>
  </r>
  <r>
    <n v="3644"/>
    <s v="79. Huancavelica"/>
    <s v="Primaria"/>
    <x v="1"/>
    <x v="58"/>
    <s v="Rural"/>
    <s v="Femenino"/>
    <x v="2"/>
    <x v="1"/>
  </r>
  <r>
    <n v="1"/>
    <s v="79. Huancavelica"/>
    <s v="Secundaria"/>
    <x v="2"/>
    <x v="23"/>
    <s v="Rural"/>
    <s v="Femenino"/>
    <x v="0"/>
    <x v="2"/>
  </r>
  <r>
    <n v="2"/>
    <s v="79. Huancavelica"/>
    <s v="Secundaria"/>
    <x v="2"/>
    <x v="23"/>
    <s v="Rural"/>
    <s v="Masculino"/>
    <x v="1"/>
    <x v="2"/>
  </r>
  <r>
    <n v="3"/>
    <s v="79. Huancavelica"/>
    <s v="Secundaria"/>
    <x v="2"/>
    <x v="23"/>
    <s v="Rural"/>
    <s v="Masculino"/>
    <x v="0"/>
    <x v="2"/>
  </r>
  <r>
    <n v="4"/>
    <s v="79. Huancavelica"/>
    <s v="Secundaria"/>
    <x v="2"/>
    <x v="23"/>
    <s v="Rural"/>
    <s v="Femenino"/>
    <x v="0"/>
    <x v="2"/>
  </r>
  <r>
    <n v="5"/>
    <s v="79. Huancavelica"/>
    <s v="Secundaria"/>
    <x v="2"/>
    <x v="23"/>
    <s v="Rural"/>
    <s v="Masculino"/>
    <x v="0"/>
    <x v="2"/>
  </r>
  <r>
    <n v="6"/>
    <s v="79. Huancavelica"/>
    <s v="Secundaria"/>
    <x v="2"/>
    <x v="23"/>
    <s v="Rural"/>
    <s v="Masculino"/>
    <x v="1"/>
    <x v="2"/>
  </r>
  <r>
    <n v="7"/>
    <s v="79. Huancavelica"/>
    <s v="Secundaria"/>
    <x v="2"/>
    <x v="23"/>
    <s v="Rural"/>
    <s v="Masculino"/>
    <x v="0"/>
    <x v="2"/>
  </r>
  <r>
    <n v="8"/>
    <s v="79. Huancavelica"/>
    <s v="Secundaria"/>
    <x v="2"/>
    <x v="23"/>
    <s v="Rural"/>
    <s v="Femenino"/>
    <x v="0"/>
    <x v="2"/>
  </r>
  <r>
    <n v="9"/>
    <s v="79. Huancavelica"/>
    <s v="Secundaria"/>
    <x v="2"/>
    <x v="23"/>
    <s v="Rural"/>
    <s v="Femenino"/>
    <x v="0"/>
    <x v="2"/>
  </r>
  <r>
    <n v="10"/>
    <s v="79. Huancavelica"/>
    <s v="Secundaria"/>
    <x v="2"/>
    <x v="23"/>
    <s v="Rural"/>
    <s v="Masculino"/>
    <x v="2"/>
    <x v="2"/>
  </r>
  <r>
    <n v="11"/>
    <s v="79. Huancavelica"/>
    <s v="Secundaria"/>
    <x v="2"/>
    <x v="23"/>
    <s v="Rural"/>
    <s v="Femenino"/>
    <x v="0"/>
    <x v="2"/>
  </r>
  <r>
    <n v="12"/>
    <s v="79. Huancavelica"/>
    <s v="Secundaria"/>
    <x v="2"/>
    <x v="23"/>
    <s v="Rural"/>
    <s v="Masculino"/>
    <x v="0"/>
    <x v="2"/>
  </r>
  <r>
    <n v="13"/>
    <s v="79. Huancavelica"/>
    <s v="Secundaria"/>
    <x v="2"/>
    <x v="23"/>
    <s v="Rural"/>
    <s v="Femenino"/>
    <x v="0"/>
    <x v="2"/>
  </r>
  <r>
    <n v="14"/>
    <s v="79. Huancavelica"/>
    <s v="Secundaria"/>
    <x v="2"/>
    <x v="23"/>
    <s v="Rural"/>
    <s v="Femenino"/>
    <x v="0"/>
    <x v="2"/>
  </r>
  <r>
    <n v="15"/>
    <s v="79. Huancavelica"/>
    <s v="Secundaria"/>
    <x v="2"/>
    <x v="23"/>
    <s v="Rural"/>
    <s v="Femenino"/>
    <x v="0"/>
    <x v="2"/>
  </r>
  <r>
    <n v="16"/>
    <s v="79. Huancavelica"/>
    <s v="Secundaria"/>
    <x v="2"/>
    <x v="23"/>
    <s v="Rural"/>
    <s v="Masculino"/>
    <x v="0"/>
    <x v="2"/>
  </r>
  <r>
    <n v="17"/>
    <s v="79. Huancavelica"/>
    <s v="Secundaria"/>
    <x v="2"/>
    <x v="23"/>
    <s v="Rural"/>
    <s v="Masculino"/>
    <x v="0"/>
    <x v="2"/>
  </r>
  <r>
    <n v="18"/>
    <s v="79. Huancavelica"/>
    <s v="Secundaria"/>
    <x v="2"/>
    <x v="23"/>
    <s v="Rural"/>
    <s v="Femenino"/>
    <x v="0"/>
    <x v="2"/>
  </r>
  <r>
    <n v="19"/>
    <s v="79. Huancavelica"/>
    <s v="Secundaria"/>
    <x v="2"/>
    <x v="23"/>
    <s v="Rural"/>
    <s v="Masculino"/>
    <x v="0"/>
    <x v="2"/>
  </r>
  <r>
    <n v="20"/>
    <s v="79. Huancavelica"/>
    <s v="Secundaria"/>
    <x v="2"/>
    <x v="23"/>
    <s v="Rural"/>
    <s v="Masculino"/>
    <x v="0"/>
    <x v="2"/>
  </r>
  <r>
    <n v="21"/>
    <s v="79. Huancavelica"/>
    <s v="Secundaria"/>
    <x v="2"/>
    <x v="23"/>
    <s v="Rural"/>
    <s v="Femenino"/>
    <x v="0"/>
    <x v="2"/>
  </r>
  <r>
    <n v="22"/>
    <s v="79. Huancavelica"/>
    <s v="Secundaria"/>
    <x v="2"/>
    <x v="23"/>
    <s v="Rural"/>
    <s v="Masculino"/>
    <x v="0"/>
    <x v="2"/>
  </r>
  <r>
    <n v="23"/>
    <s v="79. Huancavelica"/>
    <s v="Secundaria"/>
    <x v="2"/>
    <x v="23"/>
    <s v="Rural"/>
    <s v="Masculino"/>
    <x v="0"/>
    <x v="2"/>
  </r>
  <r>
    <n v="24"/>
    <s v="79. Huancavelica"/>
    <s v="Secundaria"/>
    <x v="2"/>
    <x v="23"/>
    <s v="Rural"/>
    <s v="Masculino"/>
    <x v="0"/>
    <x v="2"/>
  </r>
  <r>
    <n v="25"/>
    <s v="79. Huancavelica"/>
    <s v="Secundaria"/>
    <x v="2"/>
    <x v="23"/>
    <s v="Rural"/>
    <s v="Femenino"/>
    <x v="0"/>
    <x v="2"/>
  </r>
  <r>
    <n v="26"/>
    <s v="79. Huancavelica"/>
    <s v="Secundaria"/>
    <x v="2"/>
    <x v="23"/>
    <s v="Rural"/>
    <s v="Masculino"/>
    <x v="0"/>
    <x v="2"/>
  </r>
  <r>
    <n v="27"/>
    <s v="79. Huancavelica"/>
    <s v="Secundaria"/>
    <x v="2"/>
    <x v="23"/>
    <s v="Rural"/>
    <s v="Masculino"/>
    <x v="0"/>
    <x v="2"/>
  </r>
  <r>
    <n v="28"/>
    <s v="79. Huancavelica"/>
    <s v="Secundaria"/>
    <x v="2"/>
    <x v="23"/>
    <s v="Rural"/>
    <s v="Femenino"/>
    <x v="0"/>
    <x v="2"/>
  </r>
  <r>
    <n v="29"/>
    <s v="79. Huancavelica"/>
    <s v="Secundaria"/>
    <x v="2"/>
    <x v="23"/>
    <s v="Rural"/>
    <s v="Masculino"/>
    <x v="0"/>
    <x v="2"/>
  </r>
  <r>
    <n v="30"/>
    <s v="79. Huancavelica"/>
    <s v="Secundaria"/>
    <x v="2"/>
    <x v="23"/>
    <s v="Rural"/>
    <s v="Femenino"/>
    <x v="0"/>
    <x v="2"/>
  </r>
  <r>
    <n v="31"/>
    <s v="79. Huancavelica"/>
    <s v="Secundaria"/>
    <x v="2"/>
    <x v="23"/>
    <s v="Rural"/>
    <s v="Femenino"/>
    <x v="0"/>
    <x v="2"/>
  </r>
  <r>
    <n v="32"/>
    <s v="79. Huancavelica"/>
    <s v="Secundaria"/>
    <x v="2"/>
    <x v="23"/>
    <s v="Rural"/>
    <s v="Femenino"/>
    <x v="0"/>
    <x v="2"/>
  </r>
  <r>
    <n v="33"/>
    <s v="79. Huancavelica"/>
    <s v="Secundaria"/>
    <x v="2"/>
    <x v="23"/>
    <s v="Rural"/>
    <s v="Femenino"/>
    <x v="0"/>
    <x v="2"/>
  </r>
  <r>
    <n v="34"/>
    <s v="79. Huancavelica"/>
    <s v="Secundaria"/>
    <x v="2"/>
    <x v="23"/>
    <s v="Rural"/>
    <s v="Femenino"/>
    <x v="0"/>
    <x v="2"/>
  </r>
  <r>
    <n v="35"/>
    <s v="79. Huancavelica"/>
    <s v="Secundaria"/>
    <x v="2"/>
    <x v="23"/>
    <s v="Rural"/>
    <s v="Masculino"/>
    <x v="1"/>
    <x v="2"/>
  </r>
  <r>
    <n v="36"/>
    <s v="79. Huancavelica"/>
    <s v="Secundaria"/>
    <x v="2"/>
    <x v="23"/>
    <s v="Rural"/>
    <s v="Femenino"/>
    <x v="0"/>
    <x v="2"/>
  </r>
  <r>
    <n v="37"/>
    <s v="79. Huancavelica"/>
    <s v="Secundaria"/>
    <x v="2"/>
    <x v="23"/>
    <s v="Rural"/>
    <s v="Masculino"/>
    <x v="0"/>
    <x v="2"/>
  </r>
  <r>
    <n v="38"/>
    <s v="79. Huancavelica"/>
    <s v="Secundaria"/>
    <x v="2"/>
    <x v="23"/>
    <s v="Rural"/>
    <s v="Femenino"/>
    <x v="0"/>
    <x v="2"/>
  </r>
  <r>
    <n v="39"/>
    <s v="79. Huancavelica"/>
    <s v="Secundaria"/>
    <x v="2"/>
    <x v="23"/>
    <s v="Rural"/>
    <s v="Femenino"/>
    <x v="0"/>
    <x v="2"/>
  </r>
  <r>
    <n v="40"/>
    <s v="79. Huancavelica"/>
    <s v="Secundaria"/>
    <x v="2"/>
    <x v="23"/>
    <s v="Rural"/>
    <s v="Masculino"/>
    <x v="0"/>
    <x v="2"/>
  </r>
  <r>
    <n v="41"/>
    <s v="79. Huancavelica"/>
    <s v="Secundaria"/>
    <x v="3"/>
    <x v="23"/>
    <s v="Rural"/>
    <s v="Masculino"/>
    <x v="0"/>
    <x v="2"/>
  </r>
  <r>
    <n v="42"/>
    <s v="79. Huancavelica"/>
    <s v="Secundaria"/>
    <x v="3"/>
    <x v="23"/>
    <s v="Rural"/>
    <s v="Femenino"/>
    <x v="0"/>
    <x v="2"/>
  </r>
  <r>
    <n v="43"/>
    <s v="79. Huancavelica"/>
    <s v="Secundaria"/>
    <x v="3"/>
    <x v="23"/>
    <s v="Rural"/>
    <s v="Masculino"/>
    <x v="1"/>
    <x v="2"/>
  </r>
  <r>
    <n v="44"/>
    <s v="79. Huancavelica"/>
    <s v="Secundaria"/>
    <x v="3"/>
    <x v="23"/>
    <s v="Rural"/>
    <s v="Femenino"/>
    <x v="1"/>
    <x v="2"/>
  </r>
  <r>
    <n v="45"/>
    <s v="79. Huancavelica"/>
    <s v="Secundaria"/>
    <x v="3"/>
    <x v="23"/>
    <s v="Rural"/>
    <s v="Masculino"/>
    <x v="0"/>
    <x v="2"/>
  </r>
  <r>
    <n v="46"/>
    <s v="79. Huancavelica"/>
    <s v="Secundaria"/>
    <x v="3"/>
    <x v="23"/>
    <s v="Rural"/>
    <s v="Masculino"/>
    <x v="1"/>
    <x v="2"/>
  </r>
  <r>
    <n v="47"/>
    <s v="79. Huancavelica"/>
    <s v="Secundaria"/>
    <x v="3"/>
    <x v="23"/>
    <s v="Rural"/>
    <s v="Femenino"/>
    <x v="0"/>
    <x v="2"/>
  </r>
  <r>
    <n v="48"/>
    <s v="79. Huancavelica"/>
    <s v="Secundaria"/>
    <x v="3"/>
    <x v="23"/>
    <s v="Rural"/>
    <s v="Femenino"/>
    <x v="0"/>
    <x v="2"/>
  </r>
  <r>
    <n v="49"/>
    <s v="79. Huancavelica"/>
    <s v="Secundaria"/>
    <x v="3"/>
    <x v="23"/>
    <s v="Rural"/>
    <s v="Masculino"/>
    <x v="0"/>
    <x v="2"/>
  </r>
  <r>
    <n v="50"/>
    <s v="79. Huancavelica"/>
    <s v="Secundaria"/>
    <x v="3"/>
    <x v="23"/>
    <s v="Rural"/>
    <s v="Femenino"/>
    <x v="0"/>
    <x v="2"/>
  </r>
  <r>
    <n v="51"/>
    <s v="79. Huancavelica"/>
    <s v="Secundaria"/>
    <x v="3"/>
    <x v="23"/>
    <s v="Rural"/>
    <s v="Masculino"/>
    <x v="0"/>
    <x v="2"/>
  </r>
  <r>
    <n v="52"/>
    <s v="79. Huancavelica"/>
    <s v="Secundaria"/>
    <x v="3"/>
    <x v="23"/>
    <s v="Rural"/>
    <s v="Femenino"/>
    <x v="0"/>
    <x v="2"/>
  </r>
  <r>
    <n v="53"/>
    <s v="79. Huancavelica"/>
    <s v="Secundaria"/>
    <x v="3"/>
    <x v="23"/>
    <s v="Rural"/>
    <s v="Femenino"/>
    <x v="0"/>
    <x v="2"/>
  </r>
  <r>
    <n v="54"/>
    <s v="79. Huancavelica"/>
    <s v="Secundaria"/>
    <x v="3"/>
    <x v="23"/>
    <s v="Rural"/>
    <s v="Masculino"/>
    <x v="0"/>
    <x v="2"/>
  </r>
  <r>
    <n v="55"/>
    <s v="79. Huancavelica"/>
    <s v="Secundaria"/>
    <x v="3"/>
    <x v="23"/>
    <s v="Rural"/>
    <s v="Masculino"/>
    <x v="0"/>
    <x v="2"/>
  </r>
  <r>
    <n v="56"/>
    <s v="79. Huancavelica"/>
    <s v="Secundaria"/>
    <x v="3"/>
    <x v="23"/>
    <s v="Rural"/>
    <s v="Masculino"/>
    <x v="0"/>
    <x v="2"/>
  </r>
  <r>
    <n v="57"/>
    <s v="79. Huancavelica"/>
    <s v="Secundaria"/>
    <x v="3"/>
    <x v="23"/>
    <s v="Rural"/>
    <s v="Femenino"/>
    <x v="0"/>
    <x v="2"/>
  </r>
  <r>
    <n v="58"/>
    <s v="79. Huancavelica"/>
    <s v="Secundaria"/>
    <x v="3"/>
    <x v="23"/>
    <s v="Rural"/>
    <s v="Femenino"/>
    <x v="0"/>
    <x v="2"/>
  </r>
  <r>
    <n v="59"/>
    <s v="79. Huancavelica"/>
    <s v="Secundaria"/>
    <x v="3"/>
    <x v="23"/>
    <s v="Rural"/>
    <s v="Masculino"/>
    <x v="0"/>
    <x v="2"/>
  </r>
  <r>
    <n v="60"/>
    <s v="79. Huancavelica"/>
    <s v="Secundaria"/>
    <x v="3"/>
    <x v="23"/>
    <s v="Rural"/>
    <s v="Masculino"/>
    <x v="0"/>
    <x v="2"/>
  </r>
  <r>
    <n v="61"/>
    <s v="79. Huancavelica"/>
    <s v="Secundaria"/>
    <x v="3"/>
    <x v="23"/>
    <s v="Rural"/>
    <s v="Masculino"/>
    <x v="0"/>
    <x v="2"/>
  </r>
  <r>
    <n v="62"/>
    <s v="79. Huancavelica"/>
    <s v="Secundaria"/>
    <x v="3"/>
    <x v="23"/>
    <s v="Rural"/>
    <s v="Femenino"/>
    <x v="0"/>
    <x v="2"/>
  </r>
  <r>
    <n v="63"/>
    <s v="79. Huancavelica"/>
    <s v="Secundaria"/>
    <x v="3"/>
    <x v="23"/>
    <s v="Rural"/>
    <s v="Femenino"/>
    <x v="0"/>
    <x v="2"/>
  </r>
  <r>
    <n v="64"/>
    <s v="79. Huancavelica"/>
    <s v="Secundaria"/>
    <x v="3"/>
    <x v="23"/>
    <s v="Rural"/>
    <s v="Femenino"/>
    <x v="0"/>
    <x v="2"/>
  </r>
  <r>
    <n v="65"/>
    <s v="79. Huancavelica"/>
    <s v="Secundaria"/>
    <x v="3"/>
    <x v="23"/>
    <s v="Rural"/>
    <s v="Masculino"/>
    <x v="0"/>
    <x v="2"/>
  </r>
  <r>
    <n v="66"/>
    <s v="79. Huancavelica"/>
    <s v="Secundaria"/>
    <x v="3"/>
    <x v="23"/>
    <s v="Rural"/>
    <s v="Masculino"/>
    <x v="0"/>
    <x v="2"/>
  </r>
  <r>
    <n v="67"/>
    <s v="79. Huancavelica"/>
    <s v="Secundaria"/>
    <x v="3"/>
    <x v="23"/>
    <s v="Rural"/>
    <s v="Femenino"/>
    <x v="0"/>
    <x v="2"/>
  </r>
  <r>
    <n v="68"/>
    <s v="79. Huancavelica"/>
    <s v="Secundaria"/>
    <x v="3"/>
    <x v="23"/>
    <s v="Rural"/>
    <s v="Masculino"/>
    <x v="0"/>
    <x v="2"/>
  </r>
  <r>
    <n v="69"/>
    <s v="79. Huancavelica"/>
    <s v="Secundaria"/>
    <x v="3"/>
    <x v="23"/>
    <s v="Rural"/>
    <s v="Masculino"/>
    <x v="0"/>
    <x v="2"/>
  </r>
  <r>
    <n v="70"/>
    <s v="79. Huancavelica"/>
    <s v="Secundaria"/>
    <x v="3"/>
    <x v="23"/>
    <s v="Rural"/>
    <s v="Femenino"/>
    <x v="0"/>
    <x v="2"/>
  </r>
  <r>
    <n v="71"/>
    <s v="79. Huancavelica"/>
    <s v="Secundaria"/>
    <x v="3"/>
    <x v="23"/>
    <s v="Rural"/>
    <s v="Femenino"/>
    <x v="0"/>
    <x v="2"/>
  </r>
  <r>
    <n v="72"/>
    <s v="79. Huancavelica"/>
    <s v="Secundaria"/>
    <x v="3"/>
    <x v="23"/>
    <s v="Rural"/>
    <s v="Femenino"/>
    <x v="0"/>
    <x v="2"/>
  </r>
  <r>
    <n v="73"/>
    <s v="79. Huancavelica"/>
    <s v="Secundaria"/>
    <x v="3"/>
    <x v="23"/>
    <s v="Rural"/>
    <s v="Masculino"/>
    <x v="0"/>
    <x v="2"/>
  </r>
  <r>
    <n v="74"/>
    <s v="79. Huancavelica"/>
    <s v="Secundaria"/>
    <x v="3"/>
    <x v="23"/>
    <s v="Rural"/>
    <s v="Masculino"/>
    <x v="0"/>
    <x v="2"/>
  </r>
  <r>
    <n v="75"/>
    <s v="79. Huancavelica"/>
    <s v="Secundaria"/>
    <x v="3"/>
    <x v="23"/>
    <s v="Rural"/>
    <s v="Femenino"/>
    <x v="0"/>
    <x v="2"/>
  </r>
  <r>
    <n v="76"/>
    <s v="79. Huancavelica"/>
    <s v="Secundaria"/>
    <x v="3"/>
    <x v="23"/>
    <s v="Rural"/>
    <s v="Masculino"/>
    <x v="0"/>
    <x v="2"/>
  </r>
  <r>
    <n v="77"/>
    <s v="79. Huancavelica"/>
    <s v="Secundaria"/>
    <x v="3"/>
    <x v="23"/>
    <s v="Rural"/>
    <s v="Masculino"/>
    <x v="0"/>
    <x v="2"/>
  </r>
  <r>
    <n v="78"/>
    <s v="79. Huancavelica"/>
    <s v="Secundaria"/>
    <x v="3"/>
    <x v="23"/>
    <s v="Rural"/>
    <s v="Femenino"/>
    <x v="0"/>
    <x v="2"/>
  </r>
  <r>
    <n v="79"/>
    <s v="79. Huancavelica"/>
    <s v="Secundaria"/>
    <x v="3"/>
    <x v="23"/>
    <s v="Rural"/>
    <s v="Masculino"/>
    <x v="1"/>
    <x v="2"/>
  </r>
  <r>
    <n v="80"/>
    <s v="72. Ucayali"/>
    <s v="Primaria"/>
    <x v="4"/>
    <x v="63"/>
    <s v="Rural"/>
    <s v="Femenino"/>
    <x v="0"/>
    <x v="2"/>
  </r>
  <r>
    <n v="81"/>
    <s v="72. Ucayali"/>
    <s v="Primaria"/>
    <x v="4"/>
    <x v="63"/>
    <s v="Rural"/>
    <s v="Masculino"/>
    <x v="0"/>
    <x v="2"/>
  </r>
  <r>
    <n v="82"/>
    <s v="72. Ucayali"/>
    <s v="Primaria"/>
    <x v="4"/>
    <x v="55"/>
    <s v="Rural"/>
    <s v="Femenino"/>
    <x v="0"/>
    <x v="2"/>
  </r>
  <r>
    <n v="83"/>
    <s v="72. Ucayali"/>
    <s v="Primaria"/>
    <x v="4"/>
    <x v="55"/>
    <s v="Rural"/>
    <s v="Femenino"/>
    <x v="0"/>
    <x v="2"/>
  </r>
  <r>
    <n v="84"/>
    <s v="72. Ucayali"/>
    <s v="Primaria"/>
    <x v="1"/>
    <x v="55"/>
    <s v="Rural"/>
    <s v="Masculino"/>
    <x v="0"/>
    <x v="2"/>
  </r>
  <r>
    <n v="85"/>
    <s v="72. Ucayali"/>
    <s v="Primaria"/>
    <x v="1"/>
    <x v="55"/>
    <s v="Rural"/>
    <s v="Femenino"/>
    <x v="0"/>
    <x v="2"/>
  </r>
  <r>
    <n v="86"/>
    <s v="72. Ucayali"/>
    <s v="Primaria"/>
    <x v="1"/>
    <x v="55"/>
    <s v="Rural"/>
    <s v="Masculino"/>
    <x v="0"/>
    <x v="2"/>
  </r>
  <r>
    <n v="87"/>
    <s v="72. Ucayali"/>
    <s v="Primaria"/>
    <x v="1"/>
    <x v="55"/>
    <s v="Rural"/>
    <s v="Masculino"/>
    <x v="1"/>
    <x v="2"/>
  </r>
  <r>
    <n v="88"/>
    <s v="72. Ucayali"/>
    <s v="Primaria"/>
    <x v="0"/>
    <x v="64"/>
    <s v="Rural"/>
    <s v="Femenino"/>
    <x v="1"/>
    <x v="2"/>
  </r>
  <r>
    <n v="89"/>
    <s v="72. Ucayali"/>
    <s v="Primaria"/>
    <x v="0"/>
    <x v="64"/>
    <s v="Rural"/>
    <s v="Masculino"/>
    <x v="0"/>
    <x v="2"/>
  </r>
  <r>
    <n v="90"/>
    <s v="72. Ucayali"/>
    <s v="Primaria"/>
    <x v="1"/>
    <x v="64"/>
    <s v="Rural"/>
    <s v="Masculino"/>
    <x v="0"/>
    <x v="2"/>
  </r>
  <r>
    <n v="91"/>
    <s v="72. Ucayali"/>
    <s v="Primaria"/>
    <x v="1"/>
    <x v="64"/>
    <s v="Rural"/>
    <s v="Femenino"/>
    <x v="0"/>
    <x v="2"/>
  </r>
  <r>
    <n v="92"/>
    <s v="72. Ucayali"/>
    <s v="Primaria"/>
    <x v="1"/>
    <x v="64"/>
    <s v="Rural"/>
    <s v="Femenino"/>
    <x v="1"/>
    <x v="2"/>
  </r>
  <r>
    <n v="93"/>
    <s v="72. Ucayali"/>
    <s v="Primaria"/>
    <x v="1"/>
    <x v="64"/>
    <s v="Rural"/>
    <s v="Masculino"/>
    <x v="1"/>
    <x v="2"/>
  </r>
  <r>
    <n v="94"/>
    <s v="72. Ucayali"/>
    <s v="Primaria"/>
    <x v="0"/>
    <x v="21"/>
    <s v="Rural"/>
    <s v="Masculino"/>
    <x v="1"/>
    <x v="2"/>
  </r>
  <r>
    <n v="95"/>
    <s v="72. Ucayali"/>
    <s v="Primaria"/>
    <x v="0"/>
    <x v="21"/>
    <s v="Rural"/>
    <s v="Femenino"/>
    <x v="1"/>
    <x v="2"/>
  </r>
  <r>
    <n v="96"/>
    <s v="72. Ucayali"/>
    <s v="Primaria"/>
    <x v="0"/>
    <x v="21"/>
    <s v="Rural"/>
    <s v="Femenino"/>
    <x v="1"/>
    <x v="2"/>
  </r>
  <r>
    <n v="97"/>
    <s v="72. Ucayali"/>
    <s v="Primaria"/>
    <x v="0"/>
    <x v="21"/>
    <s v="Rural"/>
    <s v="Masculino"/>
    <x v="0"/>
    <x v="2"/>
  </r>
  <r>
    <n v="98"/>
    <s v="72. Ucayali"/>
    <s v="Primaria"/>
    <x v="0"/>
    <x v="21"/>
    <s v="Rural"/>
    <s v="Masculino"/>
    <x v="0"/>
    <x v="2"/>
  </r>
  <r>
    <n v="99"/>
    <s v="72. Ucayali"/>
    <s v="Primaria"/>
    <x v="0"/>
    <x v="21"/>
    <s v="Rural"/>
    <s v="Femenino"/>
    <x v="1"/>
    <x v="2"/>
  </r>
  <r>
    <n v="100"/>
    <s v="72. Ucayali"/>
    <s v="Primaria"/>
    <x v="0"/>
    <x v="21"/>
    <s v="Rural"/>
    <s v="Femenino"/>
    <x v="1"/>
    <x v="2"/>
  </r>
  <r>
    <n v="101"/>
    <s v="72. Ucayali"/>
    <s v="Primaria"/>
    <x v="0"/>
    <x v="21"/>
    <s v="Rural"/>
    <s v="Femenino"/>
    <x v="1"/>
    <x v="2"/>
  </r>
  <r>
    <n v="102"/>
    <s v="72. Ucayali"/>
    <s v="Primaria"/>
    <x v="0"/>
    <x v="21"/>
    <s v="Rural"/>
    <s v="Femenino"/>
    <x v="0"/>
    <x v="2"/>
  </r>
  <r>
    <n v="103"/>
    <s v="72. Ucayali"/>
    <s v="Primaria"/>
    <x v="0"/>
    <x v="21"/>
    <s v="Rural"/>
    <s v="Masculino"/>
    <x v="1"/>
    <x v="2"/>
  </r>
  <r>
    <n v="104"/>
    <s v="72. Ucayali"/>
    <s v="Primaria"/>
    <x v="0"/>
    <x v="21"/>
    <s v="Rural"/>
    <s v="Femenino"/>
    <x v="1"/>
    <x v="2"/>
  </r>
  <r>
    <n v="105"/>
    <s v="72. Ucayali"/>
    <s v="Primaria"/>
    <x v="0"/>
    <x v="21"/>
    <s v="Rural"/>
    <s v="Femenino"/>
    <x v="1"/>
    <x v="2"/>
  </r>
  <r>
    <n v="106"/>
    <s v="72. Ucayali"/>
    <s v="Primaria"/>
    <x v="0"/>
    <x v="21"/>
    <s v="Rural"/>
    <s v="Masculino"/>
    <x v="0"/>
    <x v="2"/>
  </r>
  <r>
    <n v="107"/>
    <s v="72. Ucayali"/>
    <s v="Primaria"/>
    <x v="0"/>
    <x v="21"/>
    <s v="Rural"/>
    <s v="Femenino"/>
    <x v="1"/>
    <x v="2"/>
  </r>
  <r>
    <n v="108"/>
    <s v="72. Ucayali"/>
    <s v="Primaria"/>
    <x v="0"/>
    <x v="21"/>
    <s v="Rural"/>
    <s v="Masculino"/>
    <x v="0"/>
    <x v="2"/>
  </r>
  <r>
    <n v="109"/>
    <s v="72. Ucayali"/>
    <s v="Primaria"/>
    <x v="0"/>
    <x v="21"/>
    <s v="Rural"/>
    <s v="Femenino"/>
    <x v="0"/>
    <x v="2"/>
  </r>
  <r>
    <n v="110"/>
    <s v="72. Ucayali"/>
    <s v="Primaria"/>
    <x v="0"/>
    <x v="21"/>
    <s v="Rural"/>
    <s v="Masculino"/>
    <x v="1"/>
    <x v="2"/>
  </r>
  <r>
    <n v="111"/>
    <s v="72. Ucayali"/>
    <s v="Primaria"/>
    <x v="4"/>
    <x v="65"/>
    <s v="Rural"/>
    <s v="Femenino"/>
    <x v="0"/>
    <x v="2"/>
  </r>
  <r>
    <n v="112"/>
    <s v="72. Ucayali"/>
    <s v="Primaria"/>
    <x v="0"/>
    <x v="65"/>
    <s v="Rural"/>
    <s v="Masculino"/>
    <x v="1"/>
    <x v="2"/>
  </r>
  <r>
    <n v="113"/>
    <s v="72. Ucayali"/>
    <s v="Primaria"/>
    <x v="1"/>
    <x v="65"/>
    <s v="Rural"/>
    <s v="Femenino"/>
    <x v="1"/>
    <x v="2"/>
  </r>
  <r>
    <n v="114"/>
    <s v="72. Ucayali"/>
    <s v="Primaria"/>
    <x v="1"/>
    <x v="65"/>
    <s v="Rural"/>
    <s v="Femenino"/>
    <x v="1"/>
    <x v="2"/>
  </r>
  <r>
    <n v="115"/>
    <s v="72. Ucayali"/>
    <s v="Primaria"/>
    <x v="1"/>
    <x v="65"/>
    <s v="Rural"/>
    <s v="Masculino"/>
    <x v="1"/>
    <x v="2"/>
  </r>
  <r>
    <n v="116"/>
    <s v="72. Ucayali"/>
    <s v="Primaria"/>
    <x v="4"/>
    <x v="22"/>
    <s v="Rural"/>
    <s v="Femenino"/>
    <x v="0"/>
    <x v="2"/>
  </r>
  <r>
    <n v="117"/>
    <s v="72. Ucayali"/>
    <s v="Primaria"/>
    <x v="4"/>
    <x v="22"/>
    <s v="Rural"/>
    <s v="Femenino"/>
    <x v="1"/>
    <x v="2"/>
  </r>
  <r>
    <n v="118"/>
    <s v="72. Ucayali"/>
    <s v="Primaria"/>
    <x v="4"/>
    <x v="22"/>
    <s v="Rural"/>
    <s v="Femenino"/>
    <x v="1"/>
    <x v="2"/>
  </r>
  <r>
    <n v="119"/>
    <s v="72. Ucayali"/>
    <s v="Primaria"/>
    <x v="4"/>
    <x v="22"/>
    <s v="Rural"/>
    <s v="Femenino"/>
    <x v="1"/>
    <x v="2"/>
  </r>
  <r>
    <n v="120"/>
    <s v="72. Ucayali"/>
    <s v="Primaria"/>
    <x v="4"/>
    <x v="22"/>
    <s v="Rural"/>
    <s v="Femenino"/>
    <x v="1"/>
    <x v="2"/>
  </r>
  <r>
    <n v="121"/>
    <s v="72. Ucayali"/>
    <s v="Primaria"/>
    <x v="4"/>
    <x v="22"/>
    <s v="Rural"/>
    <s v="Masculino"/>
    <x v="0"/>
    <x v="2"/>
  </r>
  <r>
    <n v="122"/>
    <s v="72. Ucayali"/>
    <s v="Primaria"/>
    <x v="4"/>
    <x v="22"/>
    <s v="Rural"/>
    <s v="Femenino"/>
    <x v="0"/>
    <x v="2"/>
  </r>
  <r>
    <n v="123"/>
    <s v="72. Ucayali"/>
    <s v="Primaria"/>
    <x v="4"/>
    <x v="22"/>
    <s v="Rural"/>
    <s v="Femenino"/>
    <x v="0"/>
    <x v="2"/>
  </r>
  <r>
    <n v="124"/>
    <s v="72. Ucayali"/>
    <s v="Primaria"/>
    <x v="4"/>
    <x v="22"/>
    <s v="Rural"/>
    <s v="Femenino"/>
    <x v="1"/>
    <x v="2"/>
  </r>
  <r>
    <n v="125"/>
    <s v="72. Ucayali"/>
    <s v="Primaria"/>
    <x v="4"/>
    <x v="22"/>
    <s v="Rural"/>
    <s v="Femenino"/>
    <x v="1"/>
    <x v="2"/>
  </r>
  <r>
    <n v="126"/>
    <s v="72. Ucayali"/>
    <s v="Primaria"/>
    <x v="4"/>
    <x v="22"/>
    <s v="Rural"/>
    <s v="Femenino"/>
    <x v="1"/>
    <x v="2"/>
  </r>
  <r>
    <n v="127"/>
    <s v="72. Ucayali"/>
    <s v="Primaria"/>
    <x v="4"/>
    <x v="22"/>
    <s v="Rural"/>
    <s v="Femenino"/>
    <x v="1"/>
    <x v="2"/>
  </r>
  <r>
    <n v="128"/>
    <s v="72. Ucayali"/>
    <s v="Primaria"/>
    <x v="4"/>
    <x v="22"/>
    <s v="Rural"/>
    <s v="Femenino"/>
    <x v="0"/>
    <x v="2"/>
  </r>
  <r>
    <n v="129"/>
    <s v="72. Ucayali"/>
    <s v="Primaria"/>
    <x v="4"/>
    <x v="22"/>
    <s v="Rural"/>
    <s v="Femenino"/>
    <x v="1"/>
    <x v="2"/>
  </r>
  <r>
    <n v="130"/>
    <s v="72. Ucayali"/>
    <s v="Primaria"/>
    <x v="4"/>
    <x v="22"/>
    <s v="Rural"/>
    <s v="Masculino"/>
    <x v="1"/>
    <x v="2"/>
  </r>
  <r>
    <n v="131"/>
    <s v="72. Ucayali"/>
    <s v="Primaria"/>
    <x v="0"/>
    <x v="22"/>
    <s v="Rural"/>
    <s v="Masculino"/>
    <x v="0"/>
    <x v="2"/>
  </r>
  <r>
    <n v="132"/>
    <s v="72. Ucayali"/>
    <s v="Primaria"/>
    <x v="0"/>
    <x v="22"/>
    <s v="Rural"/>
    <s v="Femenino"/>
    <x v="0"/>
    <x v="2"/>
  </r>
  <r>
    <n v="133"/>
    <s v="72. Ucayali"/>
    <s v="Primaria"/>
    <x v="0"/>
    <x v="22"/>
    <s v="Rural"/>
    <s v="Femenino"/>
    <x v="1"/>
    <x v="2"/>
  </r>
  <r>
    <n v="134"/>
    <s v="72. Ucayali"/>
    <s v="Primaria"/>
    <x v="0"/>
    <x v="22"/>
    <s v="Rural"/>
    <s v="Masculino"/>
    <x v="0"/>
    <x v="2"/>
  </r>
  <r>
    <n v="135"/>
    <s v="72. Ucayali"/>
    <s v="Primaria"/>
    <x v="0"/>
    <x v="22"/>
    <s v="Rural"/>
    <s v="Femenino"/>
    <x v="2"/>
    <x v="2"/>
  </r>
  <r>
    <n v="136"/>
    <s v="54. Ancash"/>
    <s v="Primaria"/>
    <x v="4"/>
    <x v="48"/>
    <s v="Rural"/>
    <s v="Femenino"/>
    <x v="1"/>
    <x v="2"/>
  </r>
  <r>
    <n v="137"/>
    <s v="54. Ancash"/>
    <s v="Primaria"/>
    <x v="4"/>
    <x v="48"/>
    <s v="Rural"/>
    <s v="Femenino"/>
    <x v="1"/>
    <x v="2"/>
  </r>
  <r>
    <n v="138"/>
    <s v="54. Ancash"/>
    <s v="Primaria"/>
    <x v="4"/>
    <x v="48"/>
    <s v="Rural"/>
    <s v="Masculino"/>
    <x v="0"/>
    <x v="2"/>
  </r>
  <r>
    <n v="139"/>
    <s v="54. Ancash"/>
    <s v="Primaria"/>
    <x v="4"/>
    <x v="51"/>
    <s v="Rural"/>
    <s v="Masculino"/>
    <x v="0"/>
    <x v="2"/>
  </r>
  <r>
    <n v="140"/>
    <s v="54. Ancash"/>
    <s v="Primaria"/>
    <x v="4"/>
    <x v="51"/>
    <s v="Rural"/>
    <s v="Femenino"/>
    <x v="0"/>
    <x v="2"/>
  </r>
  <r>
    <n v="141"/>
    <s v="54. Ancash"/>
    <s v="Primaria"/>
    <x v="4"/>
    <x v="51"/>
    <s v="Rural"/>
    <s v="Femenino"/>
    <x v="0"/>
    <x v="2"/>
  </r>
  <r>
    <n v="142"/>
    <s v="54. Ancash"/>
    <s v="Primaria"/>
    <x v="4"/>
    <x v="51"/>
    <s v="Rural"/>
    <s v="Femenino"/>
    <x v="0"/>
    <x v="2"/>
  </r>
  <r>
    <n v="143"/>
    <s v="54. Ancash"/>
    <s v="Primaria"/>
    <x v="0"/>
    <x v="48"/>
    <s v="Rural"/>
    <s v="Femenino"/>
    <x v="0"/>
    <x v="2"/>
  </r>
  <r>
    <n v="144"/>
    <s v="54. Ancash"/>
    <s v="Primaria"/>
    <x v="0"/>
    <x v="48"/>
    <s v="Rural"/>
    <s v="Femenino"/>
    <x v="0"/>
    <x v="2"/>
  </r>
  <r>
    <n v="145"/>
    <s v="54. Ancash"/>
    <s v="Primaria"/>
    <x v="0"/>
    <x v="49"/>
    <s v="Rural"/>
    <s v="Masculino"/>
    <x v="0"/>
    <x v="2"/>
  </r>
  <r>
    <n v="146"/>
    <s v="54. Ancash"/>
    <s v="Primaria"/>
    <x v="0"/>
    <x v="49"/>
    <s v="Rural"/>
    <s v="Femenino"/>
    <x v="0"/>
    <x v="2"/>
  </r>
  <r>
    <n v="147"/>
    <s v="54. Ancash"/>
    <s v="Primaria"/>
    <x v="0"/>
    <x v="49"/>
    <s v="Rural"/>
    <s v="Masculino"/>
    <x v="0"/>
    <x v="2"/>
  </r>
  <r>
    <n v="148"/>
    <s v="54. Ancash"/>
    <s v="Primaria"/>
    <x v="0"/>
    <x v="49"/>
    <s v="Rural"/>
    <s v="Masculino"/>
    <x v="0"/>
    <x v="2"/>
  </r>
  <r>
    <n v="149"/>
    <s v="54. Ancash"/>
    <s v="Primaria"/>
    <x v="0"/>
    <x v="49"/>
    <s v="Rural"/>
    <s v="Masculino"/>
    <x v="0"/>
    <x v="2"/>
  </r>
  <r>
    <n v="150"/>
    <s v="54. Ancash"/>
    <s v="Primaria"/>
    <x v="0"/>
    <x v="49"/>
    <s v="Rural"/>
    <s v="Masculino"/>
    <x v="0"/>
    <x v="2"/>
  </r>
  <r>
    <n v="151"/>
    <s v="54. Ancash"/>
    <s v="Primaria"/>
    <x v="0"/>
    <x v="49"/>
    <s v="Rural"/>
    <s v="Masculino"/>
    <x v="0"/>
    <x v="2"/>
  </r>
  <r>
    <n v="152"/>
    <s v="54. Ancash"/>
    <s v="Primaria"/>
    <x v="0"/>
    <x v="49"/>
    <s v="Rural"/>
    <s v="Masculino"/>
    <x v="0"/>
    <x v="2"/>
  </r>
  <r>
    <n v="153"/>
    <s v="54. Ancash"/>
    <s v="Primaria"/>
    <x v="0"/>
    <x v="49"/>
    <s v="Rural"/>
    <s v="Femenino"/>
    <x v="0"/>
    <x v="2"/>
  </r>
  <r>
    <n v="154"/>
    <s v="54. Ancash"/>
    <s v="Primaria"/>
    <x v="0"/>
    <x v="49"/>
    <s v="Rural"/>
    <s v="Femenino"/>
    <x v="0"/>
    <x v="2"/>
  </r>
  <r>
    <n v="155"/>
    <s v="54. Ancash"/>
    <s v="Primaria"/>
    <x v="0"/>
    <x v="49"/>
    <s v="Rural"/>
    <s v="Femenino"/>
    <x v="0"/>
    <x v="2"/>
  </r>
  <r>
    <n v="156"/>
    <s v="54. Ancash"/>
    <s v="Primaria"/>
    <x v="0"/>
    <x v="49"/>
    <s v="Rural"/>
    <s v="Femenino"/>
    <x v="0"/>
    <x v="2"/>
  </r>
  <r>
    <n v="157"/>
    <s v="54. Ancash"/>
    <s v="Primaria"/>
    <x v="0"/>
    <x v="49"/>
    <s v="Rural"/>
    <s v="Femenino"/>
    <x v="0"/>
    <x v="2"/>
  </r>
  <r>
    <n v="158"/>
    <s v="54. Ancash"/>
    <s v="Primaria"/>
    <x v="0"/>
    <x v="51"/>
    <s v="Rural"/>
    <s v="Masculino"/>
    <x v="0"/>
    <x v="2"/>
  </r>
  <r>
    <n v="159"/>
    <s v="54. Ancash"/>
    <s v="Primaria"/>
    <x v="0"/>
    <x v="51"/>
    <s v="Rural"/>
    <s v="Masculino"/>
    <x v="0"/>
    <x v="2"/>
  </r>
  <r>
    <n v="160"/>
    <s v="54. Ancash"/>
    <s v="Primaria"/>
    <x v="0"/>
    <x v="51"/>
    <s v="Rural"/>
    <s v="Masculino"/>
    <x v="0"/>
    <x v="2"/>
  </r>
  <r>
    <n v="161"/>
    <s v="54. Ancash"/>
    <s v="Primaria"/>
    <x v="0"/>
    <x v="51"/>
    <s v="Rural"/>
    <s v="Femenino"/>
    <x v="0"/>
    <x v="2"/>
  </r>
  <r>
    <n v="162"/>
    <s v="54. Ancash"/>
    <s v="Primaria"/>
    <x v="1"/>
    <x v="48"/>
    <s v="Rural"/>
    <s v="Masculino"/>
    <x v="0"/>
    <x v="2"/>
  </r>
  <r>
    <n v="163"/>
    <s v="54. Ancash"/>
    <s v="Primaria"/>
    <x v="1"/>
    <x v="48"/>
    <s v="Rural"/>
    <s v="Masculino"/>
    <x v="0"/>
    <x v="2"/>
  </r>
  <r>
    <n v="164"/>
    <s v="54. Ancash"/>
    <s v="Primaria"/>
    <x v="1"/>
    <x v="48"/>
    <s v="Rural"/>
    <s v="Femenino"/>
    <x v="0"/>
    <x v="2"/>
  </r>
  <r>
    <n v="165"/>
    <s v="54. Ancash"/>
    <s v="Primaria"/>
    <x v="1"/>
    <x v="48"/>
    <s v="Rural"/>
    <s v="Femenino"/>
    <x v="0"/>
    <x v="2"/>
  </r>
  <r>
    <n v="166"/>
    <s v="54. Ancash"/>
    <s v="Primaria"/>
    <x v="1"/>
    <x v="49"/>
    <s v="Rural"/>
    <s v="Femenino"/>
    <x v="0"/>
    <x v="2"/>
  </r>
  <r>
    <n v="167"/>
    <s v="54. Ancash"/>
    <s v="Primaria"/>
    <x v="1"/>
    <x v="49"/>
    <s v="Rural"/>
    <s v="Masculino"/>
    <x v="0"/>
    <x v="2"/>
  </r>
  <r>
    <n v="168"/>
    <s v="54. Ancash"/>
    <s v="Primaria"/>
    <x v="1"/>
    <x v="49"/>
    <s v="Rural"/>
    <s v="Masculino"/>
    <x v="0"/>
    <x v="2"/>
  </r>
  <r>
    <n v="169"/>
    <s v="54. Ancash"/>
    <s v="Primaria"/>
    <x v="1"/>
    <x v="49"/>
    <s v="Rural"/>
    <s v="Masculino"/>
    <x v="0"/>
    <x v="2"/>
  </r>
  <r>
    <n v="170"/>
    <s v="54. Ancash"/>
    <s v="Primaria"/>
    <x v="1"/>
    <x v="49"/>
    <s v="Rural"/>
    <s v="Masculino"/>
    <x v="0"/>
    <x v="2"/>
  </r>
  <r>
    <n v="171"/>
    <s v="54. Ancash"/>
    <s v="Primaria"/>
    <x v="1"/>
    <x v="49"/>
    <s v="Rural"/>
    <s v="Femenino"/>
    <x v="0"/>
    <x v="2"/>
  </r>
  <r>
    <n v="172"/>
    <s v="54. Ancash"/>
    <s v="Primaria"/>
    <x v="1"/>
    <x v="49"/>
    <s v="Rural"/>
    <s v="Femenino"/>
    <x v="0"/>
    <x v="2"/>
  </r>
  <r>
    <n v="173"/>
    <s v="54. Ancash"/>
    <s v="Primaria"/>
    <x v="1"/>
    <x v="49"/>
    <s v="Rural"/>
    <s v="Masculino"/>
    <x v="0"/>
    <x v="2"/>
  </r>
  <r>
    <n v="174"/>
    <s v="54. Ancash"/>
    <s v="Primaria"/>
    <x v="1"/>
    <x v="51"/>
    <s v="Rural"/>
    <s v="Masculino"/>
    <x v="0"/>
    <x v="2"/>
  </r>
  <r>
    <n v="175"/>
    <s v="54. Ancash"/>
    <s v="Primaria"/>
    <x v="1"/>
    <x v="51"/>
    <s v="Rural"/>
    <s v="Masculino"/>
    <x v="0"/>
    <x v="2"/>
  </r>
  <r>
    <n v="176"/>
    <s v="54. Ancash"/>
    <s v="Primaria"/>
    <x v="1"/>
    <x v="51"/>
    <s v="Rural"/>
    <s v="Masculino"/>
    <x v="0"/>
    <x v="2"/>
  </r>
  <r>
    <n v="177"/>
    <s v="48. Piura"/>
    <s v="Primaria"/>
    <x v="4"/>
    <x v="7"/>
    <s v="Rural"/>
    <s v="Masculino"/>
    <x v="0"/>
    <x v="2"/>
  </r>
  <r>
    <n v="178"/>
    <s v="48. Piura"/>
    <s v="Primaria"/>
    <x v="0"/>
    <x v="7"/>
    <s v="Rural"/>
    <s v="Femenino"/>
    <x v="0"/>
    <x v="2"/>
  </r>
  <r>
    <n v="179"/>
    <s v="48. Piura"/>
    <s v="Primaria"/>
    <x v="0"/>
    <x v="7"/>
    <s v="Rural"/>
    <s v="Femenino"/>
    <x v="1"/>
    <x v="2"/>
  </r>
  <r>
    <n v="180"/>
    <s v="48. Piura"/>
    <s v="Primaria"/>
    <x v="0"/>
    <x v="7"/>
    <s v="Rural"/>
    <s v="Masculino"/>
    <x v="1"/>
    <x v="2"/>
  </r>
  <r>
    <n v="181"/>
    <s v="48. Piura"/>
    <s v="Primaria"/>
    <x v="1"/>
    <x v="7"/>
    <s v="Rural"/>
    <s v="Femenino"/>
    <x v="1"/>
    <x v="2"/>
  </r>
  <r>
    <n v="182"/>
    <s v="48. Piura"/>
    <s v="Primaria"/>
    <x v="1"/>
    <x v="7"/>
    <s v="Rural"/>
    <s v="Masculino"/>
    <x v="1"/>
    <x v="2"/>
  </r>
  <r>
    <n v="183"/>
    <s v="48. Piura"/>
    <s v="Primaria"/>
    <x v="4"/>
    <x v="13"/>
    <s v="Rural"/>
    <s v="Masculino"/>
    <x v="1"/>
    <x v="2"/>
  </r>
  <r>
    <n v="184"/>
    <s v="48. Piura"/>
    <s v="Primaria"/>
    <x v="1"/>
    <x v="13"/>
    <s v="Rural"/>
    <s v="Femenino"/>
    <x v="1"/>
    <x v="2"/>
  </r>
  <r>
    <n v="185"/>
    <s v="48. Piura"/>
    <s v="Primaria"/>
    <x v="4"/>
    <x v="4"/>
    <s v="Rural"/>
    <s v="Femenino"/>
    <x v="2"/>
    <x v="2"/>
  </r>
  <r>
    <n v="186"/>
    <s v="48. Piura"/>
    <s v="Primaria"/>
    <x v="4"/>
    <x v="4"/>
    <s v="Rural"/>
    <s v="Masculino"/>
    <x v="1"/>
    <x v="2"/>
  </r>
  <r>
    <n v="187"/>
    <s v="48. Piura"/>
    <s v="Primaria"/>
    <x v="4"/>
    <x v="4"/>
    <s v="Rural"/>
    <s v="Femenino"/>
    <x v="1"/>
    <x v="2"/>
  </r>
  <r>
    <n v="188"/>
    <s v="48. Piura"/>
    <s v="Primaria"/>
    <x v="4"/>
    <x v="4"/>
    <s v="Rural"/>
    <s v="Masculino"/>
    <x v="1"/>
    <x v="2"/>
  </r>
  <r>
    <n v="189"/>
    <s v="48. Piura"/>
    <s v="Primaria"/>
    <x v="4"/>
    <x v="4"/>
    <s v="Rural"/>
    <s v="Masculino"/>
    <x v="1"/>
    <x v="2"/>
  </r>
  <r>
    <n v="190"/>
    <s v="48. Piura"/>
    <s v="Primaria"/>
    <x v="4"/>
    <x v="4"/>
    <s v="Rural"/>
    <s v="Masculino"/>
    <x v="1"/>
    <x v="2"/>
  </r>
  <r>
    <n v="191"/>
    <s v="48. Piura"/>
    <s v="Primaria"/>
    <x v="4"/>
    <x v="4"/>
    <s v="Rural"/>
    <s v="Masculino"/>
    <x v="1"/>
    <x v="2"/>
  </r>
  <r>
    <n v="192"/>
    <s v="48. Piura"/>
    <s v="Primaria"/>
    <x v="4"/>
    <x v="4"/>
    <s v="Rural"/>
    <s v="Femenino"/>
    <x v="1"/>
    <x v="2"/>
  </r>
  <r>
    <n v="193"/>
    <s v="48. Piura"/>
    <s v="Primaria"/>
    <x v="4"/>
    <x v="4"/>
    <s v="Rural"/>
    <s v="Femenino"/>
    <x v="1"/>
    <x v="2"/>
  </r>
  <r>
    <n v="194"/>
    <s v="48. Piura"/>
    <s v="Primaria"/>
    <x v="4"/>
    <x v="4"/>
    <s v="Rural"/>
    <s v="Masculino"/>
    <x v="1"/>
    <x v="2"/>
  </r>
  <r>
    <n v="195"/>
    <s v="48. Piura"/>
    <s v="Primaria"/>
    <x v="4"/>
    <x v="4"/>
    <s v="Rural"/>
    <s v="Masculino"/>
    <x v="1"/>
    <x v="2"/>
  </r>
  <r>
    <n v="196"/>
    <s v="48. Piura"/>
    <s v="Primaria"/>
    <x v="4"/>
    <x v="4"/>
    <s v="Rural"/>
    <s v="Masculino"/>
    <x v="0"/>
    <x v="2"/>
  </r>
  <r>
    <n v="197"/>
    <s v="48. Piura"/>
    <s v="Primaria"/>
    <x v="4"/>
    <x v="4"/>
    <s v="Rural"/>
    <s v="Masculino"/>
    <x v="0"/>
    <x v="2"/>
  </r>
  <r>
    <n v="198"/>
    <s v="48. Piura"/>
    <s v="Primaria"/>
    <x v="4"/>
    <x v="4"/>
    <s v="Rural"/>
    <s v="Femenino"/>
    <x v="0"/>
    <x v="2"/>
  </r>
  <r>
    <n v="199"/>
    <s v="48. Piura"/>
    <s v="Primaria"/>
    <x v="0"/>
    <x v="4"/>
    <s v="Rural"/>
    <s v="Femenino"/>
    <x v="1"/>
    <x v="2"/>
  </r>
  <r>
    <n v="200"/>
    <s v="48. Piura"/>
    <s v="Primaria"/>
    <x v="0"/>
    <x v="4"/>
    <s v="Rural"/>
    <s v="Masculino"/>
    <x v="1"/>
    <x v="2"/>
  </r>
  <r>
    <n v="201"/>
    <s v="48. Piura"/>
    <s v="Primaria"/>
    <x v="0"/>
    <x v="4"/>
    <s v="Rural"/>
    <s v="Femenino"/>
    <x v="0"/>
    <x v="2"/>
  </r>
  <r>
    <n v="202"/>
    <s v="48. Piura"/>
    <s v="Primaria"/>
    <x v="0"/>
    <x v="4"/>
    <s v="Rural"/>
    <s v="Masculino"/>
    <x v="0"/>
    <x v="2"/>
  </r>
  <r>
    <n v="203"/>
    <s v="48. Piura"/>
    <s v="Primaria"/>
    <x v="0"/>
    <x v="4"/>
    <s v="Rural"/>
    <s v="Masculino"/>
    <x v="0"/>
    <x v="2"/>
  </r>
  <r>
    <n v="204"/>
    <s v="48. Piura"/>
    <s v="Primaria"/>
    <x v="0"/>
    <x v="4"/>
    <s v="Rural"/>
    <s v="Masculino"/>
    <x v="0"/>
    <x v="2"/>
  </r>
  <r>
    <n v="205"/>
    <s v="48. Piura"/>
    <s v="Primaria"/>
    <x v="0"/>
    <x v="4"/>
    <s v="Rural"/>
    <s v="Femenino"/>
    <x v="0"/>
    <x v="2"/>
  </r>
  <r>
    <n v="206"/>
    <s v="48. Piura"/>
    <s v="Primaria"/>
    <x v="0"/>
    <x v="4"/>
    <s v="Rural"/>
    <s v="Femenino"/>
    <x v="0"/>
    <x v="2"/>
  </r>
  <r>
    <n v="207"/>
    <s v="48. Piura"/>
    <s v="Primaria"/>
    <x v="0"/>
    <x v="4"/>
    <s v="Rural"/>
    <s v="Femenino"/>
    <x v="0"/>
    <x v="2"/>
  </r>
  <r>
    <n v="208"/>
    <s v="48. Piura"/>
    <s v="Primaria"/>
    <x v="0"/>
    <x v="4"/>
    <s v="Rural"/>
    <s v="Femenino"/>
    <x v="0"/>
    <x v="2"/>
  </r>
  <r>
    <n v="209"/>
    <s v="48. Piura"/>
    <s v="Primaria"/>
    <x v="0"/>
    <x v="4"/>
    <s v="Rural"/>
    <s v="Masculino"/>
    <x v="0"/>
    <x v="2"/>
  </r>
  <r>
    <n v="210"/>
    <s v="48. Piura"/>
    <s v="Primaria"/>
    <x v="0"/>
    <x v="4"/>
    <s v="Rural"/>
    <s v="Masculino"/>
    <x v="0"/>
    <x v="2"/>
  </r>
  <r>
    <n v="211"/>
    <s v="48. Piura"/>
    <s v="Primaria"/>
    <x v="0"/>
    <x v="4"/>
    <s v="Rural"/>
    <s v="Masculino"/>
    <x v="1"/>
    <x v="2"/>
  </r>
  <r>
    <n v="212"/>
    <s v="48. Piura"/>
    <s v="Primaria"/>
    <x v="1"/>
    <x v="4"/>
    <s v="Rural"/>
    <s v="Masculino"/>
    <x v="1"/>
    <x v="2"/>
  </r>
  <r>
    <n v="213"/>
    <s v="48. Piura"/>
    <s v="Primaria"/>
    <x v="1"/>
    <x v="4"/>
    <s v="Rural"/>
    <s v="Femenino"/>
    <x v="1"/>
    <x v="2"/>
  </r>
  <r>
    <n v="214"/>
    <s v="48. Piura"/>
    <s v="Primaria"/>
    <x v="1"/>
    <x v="4"/>
    <s v="Rural"/>
    <s v="Masculino"/>
    <x v="1"/>
    <x v="2"/>
  </r>
  <r>
    <n v="215"/>
    <s v="48. Piura"/>
    <s v="Primaria"/>
    <x v="1"/>
    <x v="4"/>
    <s v="Rural"/>
    <s v="Masculino"/>
    <x v="0"/>
    <x v="2"/>
  </r>
  <r>
    <n v="216"/>
    <s v="48. Piura"/>
    <s v="Primaria"/>
    <x v="1"/>
    <x v="4"/>
    <s v="Rural"/>
    <s v="Masculino"/>
    <x v="1"/>
    <x v="2"/>
  </r>
  <r>
    <n v="217"/>
    <s v="48. Piura"/>
    <s v="Primaria"/>
    <x v="1"/>
    <x v="4"/>
    <s v="Rural"/>
    <s v="Femenino"/>
    <x v="1"/>
    <x v="2"/>
  </r>
  <r>
    <n v="218"/>
    <s v="48. Piura"/>
    <s v="Primaria"/>
    <x v="1"/>
    <x v="4"/>
    <s v="Rural"/>
    <s v="Femenino"/>
    <x v="1"/>
    <x v="2"/>
  </r>
  <r>
    <n v="219"/>
    <s v="48. Piura"/>
    <s v="Primaria"/>
    <x v="1"/>
    <x v="4"/>
    <s v="Rural"/>
    <s v="Femenino"/>
    <x v="1"/>
    <x v="2"/>
  </r>
  <r>
    <n v="220"/>
    <s v="48. Piura"/>
    <s v="Primaria"/>
    <x v="1"/>
    <x v="4"/>
    <s v="Rural"/>
    <s v="Femenino"/>
    <x v="2"/>
    <x v="2"/>
  </r>
  <r>
    <n v="221"/>
    <s v="48. Piura"/>
    <s v="Primaria"/>
    <x v="1"/>
    <x v="4"/>
    <s v="Rural"/>
    <s v="Masculino"/>
    <x v="2"/>
    <x v="2"/>
  </r>
  <r>
    <n v="222"/>
    <s v="48. Piura"/>
    <s v="Primaria"/>
    <x v="1"/>
    <x v="4"/>
    <s v="Rural"/>
    <s v="Masculino"/>
    <x v="1"/>
    <x v="2"/>
  </r>
  <r>
    <n v="223"/>
    <s v="48. Piura"/>
    <s v="Primaria"/>
    <x v="1"/>
    <x v="4"/>
    <s v="Rural"/>
    <s v="Femenino"/>
    <x v="1"/>
    <x v="2"/>
  </r>
  <r>
    <n v="224"/>
    <s v="48. Piura"/>
    <s v="Primaria"/>
    <x v="1"/>
    <x v="4"/>
    <s v="Rural"/>
    <s v="Femenino"/>
    <x v="1"/>
    <x v="2"/>
  </r>
  <r>
    <n v="225"/>
    <s v="48. Piura"/>
    <s v="Primaria"/>
    <x v="1"/>
    <x v="4"/>
    <s v="Rural"/>
    <s v="Masculino"/>
    <x v="1"/>
    <x v="2"/>
  </r>
  <r>
    <n v="226"/>
    <s v="48. Piura"/>
    <s v="Primaria"/>
    <x v="1"/>
    <x v="4"/>
    <s v="Rural"/>
    <s v="Masculino"/>
    <x v="2"/>
    <x v="2"/>
  </r>
  <r>
    <n v="227"/>
    <s v="48. Piura"/>
    <s v="Primaria"/>
    <x v="4"/>
    <x v="5"/>
    <s v="Rural"/>
    <s v="Masculino"/>
    <x v="0"/>
    <x v="2"/>
  </r>
  <r>
    <n v="228"/>
    <s v="48. Piura"/>
    <s v="Primaria"/>
    <x v="4"/>
    <x v="5"/>
    <s v="Rural"/>
    <s v="Masculino"/>
    <x v="2"/>
    <x v="2"/>
  </r>
  <r>
    <n v="229"/>
    <s v="48. Piura"/>
    <s v="Primaria"/>
    <x v="4"/>
    <x v="5"/>
    <s v="Rural"/>
    <s v="Femenino"/>
    <x v="1"/>
    <x v="2"/>
  </r>
  <r>
    <n v="230"/>
    <s v="48. Piura"/>
    <s v="Primaria"/>
    <x v="4"/>
    <x v="5"/>
    <s v="Rural"/>
    <s v="Femenino"/>
    <x v="2"/>
    <x v="2"/>
  </r>
  <r>
    <n v="231"/>
    <s v="48. Piura"/>
    <s v="Primaria"/>
    <x v="4"/>
    <x v="5"/>
    <s v="Rural"/>
    <s v="Femenino"/>
    <x v="1"/>
    <x v="2"/>
  </r>
  <r>
    <n v="232"/>
    <s v="48. Piura"/>
    <s v="Primaria"/>
    <x v="4"/>
    <x v="5"/>
    <s v="Rural"/>
    <s v="Masculino"/>
    <x v="0"/>
    <x v="2"/>
  </r>
  <r>
    <n v="233"/>
    <s v="48. Piura"/>
    <s v="Primaria"/>
    <x v="4"/>
    <x v="5"/>
    <s v="Rural"/>
    <s v="Masculino"/>
    <x v="1"/>
    <x v="2"/>
  </r>
  <r>
    <n v="234"/>
    <s v="48. Piura"/>
    <s v="Primaria"/>
    <x v="4"/>
    <x v="5"/>
    <s v="Rural"/>
    <s v="Femenino"/>
    <x v="0"/>
    <x v="2"/>
  </r>
  <r>
    <n v="235"/>
    <s v="48. Piura"/>
    <s v="Primaria"/>
    <x v="4"/>
    <x v="5"/>
    <s v="Rural"/>
    <s v="Femenino"/>
    <x v="2"/>
    <x v="2"/>
  </r>
  <r>
    <n v="236"/>
    <s v="48. Piura"/>
    <s v="Primaria"/>
    <x v="4"/>
    <x v="5"/>
    <s v="Rural"/>
    <s v="Femenino"/>
    <x v="0"/>
    <x v="2"/>
  </r>
  <r>
    <n v="237"/>
    <s v="48. Piura"/>
    <s v="Primaria"/>
    <x v="4"/>
    <x v="5"/>
    <s v="Rural"/>
    <s v="Masculino"/>
    <x v="0"/>
    <x v="2"/>
  </r>
  <r>
    <n v="238"/>
    <s v="48. Piura"/>
    <s v="Primaria"/>
    <x v="4"/>
    <x v="5"/>
    <s v="Rural"/>
    <s v="Masculino"/>
    <x v="0"/>
    <x v="2"/>
  </r>
  <r>
    <n v="239"/>
    <s v="48. Piura"/>
    <s v="Primaria"/>
    <x v="4"/>
    <x v="5"/>
    <s v="Rural"/>
    <s v="Femenino"/>
    <x v="0"/>
    <x v="2"/>
  </r>
  <r>
    <n v="240"/>
    <s v="48. Piura"/>
    <s v="Primaria"/>
    <x v="4"/>
    <x v="5"/>
    <s v="Rural"/>
    <s v="Femenino"/>
    <x v="1"/>
    <x v="2"/>
  </r>
  <r>
    <n v="241"/>
    <s v="48. Piura"/>
    <s v="Primaria"/>
    <x v="4"/>
    <x v="5"/>
    <s v="Rural"/>
    <s v="Masculino"/>
    <x v="1"/>
    <x v="2"/>
  </r>
  <r>
    <n v="242"/>
    <s v="48. Piura"/>
    <s v="Primaria"/>
    <x v="4"/>
    <x v="5"/>
    <s v="Rural"/>
    <s v="Masculino"/>
    <x v="0"/>
    <x v="2"/>
  </r>
  <r>
    <n v="243"/>
    <s v="48. Piura"/>
    <s v="Primaria"/>
    <x v="4"/>
    <x v="5"/>
    <s v="Rural"/>
    <s v="Masculino"/>
    <x v="2"/>
    <x v="2"/>
  </r>
  <r>
    <n v="244"/>
    <s v="48. Piura"/>
    <s v="Primaria"/>
    <x v="4"/>
    <x v="5"/>
    <s v="Rural"/>
    <s v="Masculino"/>
    <x v="1"/>
    <x v="2"/>
  </r>
  <r>
    <n v="245"/>
    <s v="48. Piura"/>
    <s v="Primaria"/>
    <x v="4"/>
    <x v="5"/>
    <s v="Rural"/>
    <s v="Femenino"/>
    <x v="1"/>
    <x v="2"/>
  </r>
  <r>
    <n v="246"/>
    <s v="48. Piura"/>
    <s v="Primaria"/>
    <x v="4"/>
    <x v="5"/>
    <s v="Rural"/>
    <s v="Masculino"/>
    <x v="0"/>
    <x v="2"/>
  </r>
  <r>
    <n v="247"/>
    <s v="48. Piura"/>
    <s v="Primaria"/>
    <x v="4"/>
    <x v="5"/>
    <s v="Rural"/>
    <s v="Femenino"/>
    <x v="2"/>
    <x v="2"/>
  </r>
  <r>
    <n v="248"/>
    <s v="48. Piura"/>
    <s v="Primaria"/>
    <x v="4"/>
    <x v="5"/>
    <s v="Rural"/>
    <s v="Masculino"/>
    <x v="0"/>
    <x v="2"/>
  </r>
  <r>
    <n v="249"/>
    <s v="48. Piura"/>
    <s v="Primaria"/>
    <x v="4"/>
    <x v="5"/>
    <s v="Rural"/>
    <s v="Masculino"/>
    <x v="0"/>
    <x v="2"/>
  </r>
  <r>
    <n v="250"/>
    <s v="48. Piura"/>
    <s v="Primaria"/>
    <x v="4"/>
    <x v="5"/>
    <s v="Rural"/>
    <s v="Femenino"/>
    <x v="2"/>
    <x v="2"/>
  </r>
  <r>
    <n v="251"/>
    <s v="48. Piura"/>
    <s v="Primaria"/>
    <x v="4"/>
    <x v="5"/>
    <s v="Rural"/>
    <s v="Femenino"/>
    <x v="1"/>
    <x v="2"/>
  </r>
  <r>
    <n v="252"/>
    <s v="48. Piura"/>
    <s v="Primaria"/>
    <x v="4"/>
    <x v="5"/>
    <s v="Rural"/>
    <s v="Masculino"/>
    <x v="1"/>
    <x v="2"/>
  </r>
  <r>
    <n v="253"/>
    <s v="48. Piura"/>
    <s v="Primaria"/>
    <x v="4"/>
    <x v="5"/>
    <s v="Rural"/>
    <s v="Masculino"/>
    <x v="0"/>
    <x v="2"/>
  </r>
  <r>
    <n v="254"/>
    <s v="48. Piura"/>
    <s v="Primaria"/>
    <x v="4"/>
    <x v="5"/>
    <s v="Rural"/>
    <s v="Femenino"/>
    <x v="2"/>
    <x v="2"/>
  </r>
  <r>
    <n v="255"/>
    <s v="48. Piura"/>
    <s v="Primaria"/>
    <x v="4"/>
    <x v="5"/>
    <s v="Rural"/>
    <s v="Femenino"/>
    <x v="1"/>
    <x v="2"/>
  </r>
  <r>
    <n v="256"/>
    <s v="48. Piura"/>
    <s v="Primaria"/>
    <x v="4"/>
    <x v="5"/>
    <s v="Rural"/>
    <s v="Femenino"/>
    <x v="2"/>
    <x v="2"/>
  </r>
  <r>
    <n v="257"/>
    <s v="48. Piura"/>
    <s v="Primaria"/>
    <x v="4"/>
    <x v="5"/>
    <s v="Rural"/>
    <s v="Femenino"/>
    <x v="1"/>
    <x v="2"/>
  </r>
  <r>
    <n v="258"/>
    <s v="48. Piura"/>
    <s v="Primaria"/>
    <x v="4"/>
    <x v="5"/>
    <s v="Rural"/>
    <s v="Femenino"/>
    <x v="1"/>
    <x v="2"/>
  </r>
  <r>
    <n v="259"/>
    <s v="48. Piura"/>
    <s v="Primaria"/>
    <x v="4"/>
    <x v="5"/>
    <s v="Rural"/>
    <s v="Masculino"/>
    <x v="1"/>
    <x v="2"/>
  </r>
  <r>
    <n v="260"/>
    <s v="48. Piura"/>
    <s v="Primaria"/>
    <x v="4"/>
    <x v="5"/>
    <s v="Rural"/>
    <s v="Masculino"/>
    <x v="1"/>
    <x v="2"/>
  </r>
  <r>
    <n v="261"/>
    <s v="48. Piura"/>
    <s v="Primaria"/>
    <x v="4"/>
    <x v="5"/>
    <s v="Rural"/>
    <s v="Masculino"/>
    <x v="0"/>
    <x v="2"/>
  </r>
  <r>
    <n v="262"/>
    <s v="48. Piura"/>
    <s v="Primaria"/>
    <x v="4"/>
    <x v="5"/>
    <s v="Rural"/>
    <s v="Femenino"/>
    <x v="0"/>
    <x v="2"/>
  </r>
  <r>
    <n v="263"/>
    <s v="48. Piura"/>
    <s v="Primaria"/>
    <x v="4"/>
    <x v="5"/>
    <s v="Rural"/>
    <s v="Femenino"/>
    <x v="1"/>
    <x v="2"/>
  </r>
  <r>
    <n v="264"/>
    <s v="48. Piura"/>
    <s v="Primaria"/>
    <x v="4"/>
    <x v="5"/>
    <s v="Rural"/>
    <s v="Femenino"/>
    <x v="1"/>
    <x v="2"/>
  </r>
  <r>
    <n v="265"/>
    <s v="48. Piura"/>
    <s v="Primaria"/>
    <x v="4"/>
    <x v="5"/>
    <s v="Rural"/>
    <s v="Femenino"/>
    <x v="1"/>
    <x v="2"/>
  </r>
  <r>
    <n v="266"/>
    <s v="48. Piura"/>
    <s v="Primaria"/>
    <x v="4"/>
    <x v="5"/>
    <s v="Rural"/>
    <s v="Femenino"/>
    <x v="0"/>
    <x v="2"/>
  </r>
  <r>
    <n v="267"/>
    <s v="48. Piura"/>
    <s v="Primaria"/>
    <x v="4"/>
    <x v="5"/>
    <s v="Rural"/>
    <s v="Masculino"/>
    <x v="0"/>
    <x v="2"/>
  </r>
  <r>
    <n v="268"/>
    <s v="48. Piura"/>
    <s v="Primaria"/>
    <x v="4"/>
    <x v="5"/>
    <s v="Rural"/>
    <s v="Masculino"/>
    <x v="1"/>
    <x v="2"/>
  </r>
  <r>
    <n v="269"/>
    <s v="48. Piura"/>
    <s v="Primaria"/>
    <x v="4"/>
    <x v="5"/>
    <s v="Rural"/>
    <s v="Masculino"/>
    <x v="1"/>
    <x v="2"/>
  </r>
  <r>
    <n v="270"/>
    <s v="48. Piura"/>
    <s v="Primaria"/>
    <x v="4"/>
    <x v="5"/>
    <s v="Rural"/>
    <s v="Femenino"/>
    <x v="1"/>
    <x v="2"/>
  </r>
  <r>
    <n v="271"/>
    <s v="48. Piura"/>
    <s v="Primaria"/>
    <x v="4"/>
    <x v="5"/>
    <s v="Rural"/>
    <s v="Masculino"/>
    <x v="1"/>
    <x v="2"/>
  </r>
  <r>
    <n v="272"/>
    <s v="48. Piura"/>
    <s v="Primaria"/>
    <x v="4"/>
    <x v="5"/>
    <s v="Rural"/>
    <s v="Masculino"/>
    <x v="1"/>
    <x v="2"/>
  </r>
  <r>
    <n v="273"/>
    <s v="48. Piura"/>
    <s v="Primaria"/>
    <x v="4"/>
    <x v="5"/>
    <s v="Rural"/>
    <s v="Femenino"/>
    <x v="0"/>
    <x v="2"/>
  </r>
  <r>
    <n v="274"/>
    <s v="48. Piura"/>
    <s v="Primaria"/>
    <x v="4"/>
    <x v="5"/>
    <s v="Rural"/>
    <s v="Masculino"/>
    <x v="0"/>
    <x v="2"/>
  </r>
  <r>
    <n v="275"/>
    <s v="48. Piura"/>
    <s v="Primaria"/>
    <x v="4"/>
    <x v="5"/>
    <s v="Rural"/>
    <s v="Femenino"/>
    <x v="1"/>
    <x v="2"/>
  </r>
  <r>
    <n v="276"/>
    <s v="48. Piura"/>
    <s v="Primaria"/>
    <x v="4"/>
    <x v="5"/>
    <s v="Rural"/>
    <s v="Femenino"/>
    <x v="0"/>
    <x v="2"/>
  </r>
  <r>
    <n v="277"/>
    <s v="48. Piura"/>
    <s v="Primaria"/>
    <x v="4"/>
    <x v="5"/>
    <s v="Rural"/>
    <s v="Masculino"/>
    <x v="1"/>
    <x v="2"/>
  </r>
  <r>
    <n v="278"/>
    <s v="48. Piura"/>
    <s v="Primaria"/>
    <x v="4"/>
    <x v="5"/>
    <s v="Rural"/>
    <s v="Masculino"/>
    <x v="1"/>
    <x v="2"/>
  </r>
  <r>
    <n v="279"/>
    <s v="48. Piura"/>
    <s v="Primaria"/>
    <x v="4"/>
    <x v="5"/>
    <s v="Rural"/>
    <s v="Masculino"/>
    <x v="2"/>
    <x v="2"/>
  </r>
  <r>
    <n v="280"/>
    <s v="48. Piura"/>
    <s v="Primaria"/>
    <x v="4"/>
    <x v="5"/>
    <s v="Rural"/>
    <s v="Femenino"/>
    <x v="2"/>
    <x v="2"/>
  </r>
  <r>
    <n v="281"/>
    <s v="48. Piura"/>
    <s v="Primaria"/>
    <x v="4"/>
    <x v="5"/>
    <s v="Rural"/>
    <s v="Masculino"/>
    <x v="2"/>
    <x v="2"/>
  </r>
  <r>
    <n v="282"/>
    <s v="48. Piura"/>
    <s v="Primaria"/>
    <x v="4"/>
    <x v="5"/>
    <s v="Rural"/>
    <s v="Masculino"/>
    <x v="0"/>
    <x v="2"/>
  </r>
  <r>
    <n v="283"/>
    <s v="48. Piura"/>
    <s v="Primaria"/>
    <x v="4"/>
    <x v="5"/>
    <s v="Rural"/>
    <s v="Femenino"/>
    <x v="1"/>
    <x v="2"/>
  </r>
  <r>
    <n v="284"/>
    <s v="48. Piura"/>
    <s v="Primaria"/>
    <x v="0"/>
    <x v="5"/>
    <s v="Rural"/>
    <s v="Femenino"/>
    <x v="1"/>
    <x v="2"/>
  </r>
  <r>
    <n v="285"/>
    <s v="48. Piura"/>
    <s v="Primaria"/>
    <x v="0"/>
    <x v="5"/>
    <s v="Rural"/>
    <s v="Masculino"/>
    <x v="1"/>
    <x v="2"/>
  </r>
  <r>
    <n v="286"/>
    <s v="48. Piura"/>
    <s v="Primaria"/>
    <x v="0"/>
    <x v="5"/>
    <s v="Rural"/>
    <s v="Femenino"/>
    <x v="0"/>
    <x v="2"/>
  </r>
  <r>
    <n v="287"/>
    <s v="48. Piura"/>
    <s v="Primaria"/>
    <x v="0"/>
    <x v="5"/>
    <s v="Rural"/>
    <s v="Femenino"/>
    <x v="0"/>
    <x v="2"/>
  </r>
  <r>
    <n v="288"/>
    <s v="48. Piura"/>
    <s v="Primaria"/>
    <x v="0"/>
    <x v="5"/>
    <s v="Rural"/>
    <s v="Femenino"/>
    <x v="1"/>
    <x v="2"/>
  </r>
  <r>
    <n v="289"/>
    <s v="48. Piura"/>
    <s v="Primaria"/>
    <x v="0"/>
    <x v="5"/>
    <s v="Rural"/>
    <s v="Femenino"/>
    <x v="0"/>
    <x v="2"/>
  </r>
  <r>
    <n v="290"/>
    <s v="48. Piura"/>
    <s v="Primaria"/>
    <x v="0"/>
    <x v="5"/>
    <s v="Rural"/>
    <s v="Femenino"/>
    <x v="0"/>
    <x v="2"/>
  </r>
  <r>
    <n v="291"/>
    <s v="48. Piura"/>
    <s v="Primaria"/>
    <x v="0"/>
    <x v="5"/>
    <s v="Rural"/>
    <s v="Masculino"/>
    <x v="0"/>
    <x v="2"/>
  </r>
  <r>
    <n v="292"/>
    <s v="48. Piura"/>
    <s v="Primaria"/>
    <x v="0"/>
    <x v="5"/>
    <s v="Rural"/>
    <s v="Masculino"/>
    <x v="1"/>
    <x v="2"/>
  </r>
  <r>
    <n v="293"/>
    <s v="48. Piura"/>
    <s v="Primaria"/>
    <x v="0"/>
    <x v="5"/>
    <s v="Rural"/>
    <s v="Femenino"/>
    <x v="0"/>
    <x v="2"/>
  </r>
  <r>
    <n v="294"/>
    <s v="48. Piura"/>
    <s v="Primaria"/>
    <x v="0"/>
    <x v="5"/>
    <s v="Rural"/>
    <s v="Masculino"/>
    <x v="0"/>
    <x v="2"/>
  </r>
  <r>
    <n v="295"/>
    <s v="48. Piura"/>
    <s v="Primaria"/>
    <x v="0"/>
    <x v="5"/>
    <s v="Rural"/>
    <s v="Femenino"/>
    <x v="2"/>
    <x v="2"/>
  </r>
  <r>
    <n v="296"/>
    <s v="48. Piura"/>
    <s v="Primaria"/>
    <x v="0"/>
    <x v="5"/>
    <s v="Rural"/>
    <s v="Femenino"/>
    <x v="1"/>
    <x v="2"/>
  </r>
  <r>
    <n v="297"/>
    <s v="48. Piura"/>
    <s v="Primaria"/>
    <x v="0"/>
    <x v="5"/>
    <s v="Rural"/>
    <s v="Femenino"/>
    <x v="1"/>
    <x v="2"/>
  </r>
  <r>
    <n v="298"/>
    <s v="48. Piura"/>
    <s v="Primaria"/>
    <x v="0"/>
    <x v="5"/>
    <s v="Rural"/>
    <s v="Femenino"/>
    <x v="1"/>
    <x v="2"/>
  </r>
  <r>
    <n v="299"/>
    <s v="48. Piura"/>
    <s v="Primaria"/>
    <x v="0"/>
    <x v="5"/>
    <s v="Rural"/>
    <s v="Femenino"/>
    <x v="1"/>
    <x v="2"/>
  </r>
  <r>
    <n v="300"/>
    <s v="48. Piura"/>
    <s v="Primaria"/>
    <x v="0"/>
    <x v="5"/>
    <s v="Rural"/>
    <s v="Femenino"/>
    <x v="0"/>
    <x v="2"/>
  </r>
  <r>
    <n v="301"/>
    <s v="48. Piura"/>
    <s v="Primaria"/>
    <x v="0"/>
    <x v="5"/>
    <s v="Rural"/>
    <s v="Femenino"/>
    <x v="0"/>
    <x v="2"/>
  </r>
  <r>
    <n v="302"/>
    <s v="48. Piura"/>
    <s v="Primaria"/>
    <x v="0"/>
    <x v="5"/>
    <s v="Rural"/>
    <s v="Femenino"/>
    <x v="1"/>
    <x v="2"/>
  </r>
  <r>
    <n v="303"/>
    <s v="48. Piura"/>
    <s v="Primaria"/>
    <x v="0"/>
    <x v="5"/>
    <s v="Rural"/>
    <s v="Femenino"/>
    <x v="0"/>
    <x v="2"/>
  </r>
  <r>
    <n v="304"/>
    <s v="48. Piura"/>
    <s v="Primaria"/>
    <x v="0"/>
    <x v="5"/>
    <s v="Rural"/>
    <s v="Masculino"/>
    <x v="1"/>
    <x v="2"/>
  </r>
  <r>
    <n v="305"/>
    <s v="48. Piura"/>
    <s v="Primaria"/>
    <x v="0"/>
    <x v="5"/>
    <s v="Rural"/>
    <s v="Masculino"/>
    <x v="2"/>
    <x v="2"/>
  </r>
  <r>
    <n v="306"/>
    <s v="48. Piura"/>
    <s v="Primaria"/>
    <x v="0"/>
    <x v="5"/>
    <s v="Rural"/>
    <s v="Femenino"/>
    <x v="1"/>
    <x v="2"/>
  </r>
  <r>
    <n v="307"/>
    <s v="48. Piura"/>
    <s v="Primaria"/>
    <x v="0"/>
    <x v="5"/>
    <s v="Rural"/>
    <s v="Femenino"/>
    <x v="0"/>
    <x v="2"/>
  </r>
  <r>
    <n v="308"/>
    <s v="48. Piura"/>
    <s v="Primaria"/>
    <x v="0"/>
    <x v="5"/>
    <s v="Rural"/>
    <s v="Femenino"/>
    <x v="1"/>
    <x v="2"/>
  </r>
  <r>
    <n v="309"/>
    <s v="48. Piura"/>
    <s v="Primaria"/>
    <x v="0"/>
    <x v="5"/>
    <s v="Rural"/>
    <s v="Femenino"/>
    <x v="0"/>
    <x v="2"/>
  </r>
  <r>
    <n v="310"/>
    <s v="48. Piura"/>
    <s v="Primaria"/>
    <x v="0"/>
    <x v="5"/>
    <s v="Rural"/>
    <s v="Femenino"/>
    <x v="1"/>
    <x v="2"/>
  </r>
  <r>
    <n v="311"/>
    <s v="48. Piura"/>
    <s v="Primaria"/>
    <x v="0"/>
    <x v="5"/>
    <s v="Rural"/>
    <s v="Masculino"/>
    <x v="0"/>
    <x v="2"/>
  </r>
  <r>
    <n v="312"/>
    <s v="48. Piura"/>
    <s v="Primaria"/>
    <x v="0"/>
    <x v="5"/>
    <s v="Rural"/>
    <s v="Femenino"/>
    <x v="2"/>
    <x v="2"/>
  </r>
  <r>
    <n v="313"/>
    <s v="48. Piura"/>
    <s v="Primaria"/>
    <x v="0"/>
    <x v="5"/>
    <s v="Rural"/>
    <s v="Masculino"/>
    <x v="1"/>
    <x v="2"/>
  </r>
  <r>
    <n v="314"/>
    <s v="48. Piura"/>
    <s v="Primaria"/>
    <x v="0"/>
    <x v="5"/>
    <s v="Rural"/>
    <s v="Femenino"/>
    <x v="0"/>
    <x v="2"/>
  </r>
  <r>
    <n v="315"/>
    <s v="48. Piura"/>
    <s v="Primaria"/>
    <x v="0"/>
    <x v="5"/>
    <s v="Rural"/>
    <s v="Masculino"/>
    <x v="0"/>
    <x v="2"/>
  </r>
  <r>
    <n v="316"/>
    <s v="48. Piura"/>
    <s v="Primaria"/>
    <x v="0"/>
    <x v="5"/>
    <s v="Rural"/>
    <s v="Masculino"/>
    <x v="0"/>
    <x v="2"/>
  </r>
  <r>
    <n v="317"/>
    <s v="48. Piura"/>
    <s v="Primaria"/>
    <x v="0"/>
    <x v="5"/>
    <s v="Rural"/>
    <s v="Femenino"/>
    <x v="0"/>
    <x v="2"/>
  </r>
  <r>
    <n v="318"/>
    <s v="48. Piura"/>
    <s v="Primaria"/>
    <x v="0"/>
    <x v="5"/>
    <s v="Rural"/>
    <s v="Masculino"/>
    <x v="1"/>
    <x v="2"/>
  </r>
  <r>
    <n v="319"/>
    <s v="48. Piura"/>
    <s v="Primaria"/>
    <x v="0"/>
    <x v="5"/>
    <s v="Rural"/>
    <s v="Femenino"/>
    <x v="0"/>
    <x v="2"/>
  </r>
  <r>
    <n v="320"/>
    <s v="48. Piura"/>
    <s v="Primaria"/>
    <x v="0"/>
    <x v="5"/>
    <s v="Rural"/>
    <s v="Masculino"/>
    <x v="0"/>
    <x v="2"/>
  </r>
  <r>
    <n v="321"/>
    <s v="48. Piura"/>
    <s v="Primaria"/>
    <x v="0"/>
    <x v="5"/>
    <s v="Rural"/>
    <s v="Femenino"/>
    <x v="1"/>
    <x v="2"/>
  </r>
  <r>
    <n v="322"/>
    <s v="48. Piura"/>
    <s v="Primaria"/>
    <x v="0"/>
    <x v="5"/>
    <s v="Rural"/>
    <s v="Masculino"/>
    <x v="0"/>
    <x v="2"/>
  </r>
  <r>
    <n v="323"/>
    <s v="48. Piura"/>
    <s v="Primaria"/>
    <x v="0"/>
    <x v="5"/>
    <s v="Rural"/>
    <s v="Masculino"/>
    <x v="0"/>
    <x v="2"/>
  </r>
  <r>
    <n v="324"/>
    <s v="48. Piura"/>
    <s v="Primaria"/>
    <x v="0"/>
    <x v="5"/>
    <s v="Rural"/>
    <s v="Masculino"/>
    <x v="2"/>
    <x v="2"/>
  </r>
  <r>
    <n v="325"/>
    <s v="48. Piura"/>
    <s v="Primaria"/>
    <x v="0"/>
    <x v="5"/>
    <s v="Rural"/>
    <s v="Femenino"/>
    <x v="0"/>
    <x v="2"/>
  </r>
  <r>
    <n v="326"/>
    <s v="48. Piura"/>
    <s v="Primaria"/>
    <x v="0"/>
    <x v="5"/>
    <s v="Rural"/>
    <s v="Femenino"/>
    <x v="0"/>
    <x v="2"/>
  </r>
  <r>
    <n v="327"/>
    <s v="48. Piura"/>
    <s v="Primaria"/>
    <x v="0"/>
    <x v="5"/>
    <s v="Rural"/>
    <s v="Femenino"/>
    <x v="0"/>
    <x v="2"/>
  </r>
  <r>
    <n v="328"/>
    <s v="48. Piura"/>
    <s v="Primaria"/>
    <x v="0"/>
    <x v="5"/>
    <s v="Rural"/>
    <s v="Masculino"/>
    <x v="2"/>
    <x v="2"/>
  </r>
  <r>
    <n v="329"/>
    <s v="48. Piura"/>
    <s v="Primaria"/>
    <x v="0"/>
    <x v="5"/>
    <s v="Rural"/>
    <s v="Masculino"/>
    <x v="0"/>
    <x v="2"/>
  </r>
  <r>
    <n v="330"/>
    <s v="48. Piura"/>
    <s v="Primaria"/>
    <x v="0"/>
    <x v="5"/>
    <s v="Rural"/>
    <s v="Masculino"/>
    <x v="0"/>
    <x v="2"/>
  </r>
  <r>
    <n v="331"/>
    <s v="48. Piura"/>
    <s v="Primaria"/>
    <x v="0"/>
    <x v="5"/>
    <s v="Rural"/>
    <s v="Masculino"/>
    <x v="0"/>
    <x v="2"/>
  </r>
  <r>
    <n v="332"/>
    <s v="48. Piura"/>
    <s v="Primaria"/>
    <x v="0"/>
    <x v="5"/>
    <s v="Rural"/>
    <s v="Masculino"/>
    <x v="0"/>
    <x v="2"/>
  </r>
  <r>
    <n v="333"/>
    <s v="48. Piura"/>
    <s v="Primaria"/>
    <x v="0"/>
    <x v="5"/>
    <s v="Rural"/>
    <s v="Masculino"/>
    <x v="0"/>
    <x v="2"/>
  </r>
  <r>
    <n v="334"/>
    <s v="48. Piura"/>
    <s v="Primaria"/>
    <x v="0"/>
    <x v="5"/>
    <s v="Rural"/>
    <s v="Femenino"/>
    <x v="0"/>
    <x v="2"/>
  </r>
  <r>
    <n v="335"/>
    <s v="48. Piura"/>
    <s v="Primaria"/>
    <x v="0"/>
    <x v="5"/>
    <s v="Rural"/>
    <s v="Femenino"/>
    <x v="2"/>
    <x v="2"/>
  </r>
  <r>
    <n v="336"/>
    <s v="48. Piura"/>
    <s v="Primaria"/>
    <x v="0"/>
    <x v="5"/>
    <s v="Rural"/>
    <s v="Femenino"/>
    <x v="0"/>
    <x v="2"/>
  </r>
  <r>
    <n v="337"/>
    <s v="48. Piura"/>
    <s v="Primaria"/>
    <x v="0"/>
    <x v="5"/>
    <s v="Rural"/>
    <s v="Masculino"/>
    <x v="0"/>
    <x v="2"/>
  </r>
  <r>
    <n v="338"/>
    <s v="48. Piura"/>
    <s v="Primaria"/>
    <x v="0"/>
    <x v="5"/>
    <s v="Rural"/>
    <s v="Masculino"/>
    <x v="0"/>
    <x v="2"/>
  </r>
  <r>
    <n v="339"/>
    <s v="48. Piura"/>
    <s v="Primaria"/>
    <x v="0"/>
    <x v="5"/>
    <s v="Rural"/>
    <s v="Masculino"/>
    <x v="0"/>
    <x v="2"/>
  </r>
  <r>
    <n v="340"/>
    <s v="48. Piura"/>
    <s v="Primaria"/>
    <x v="0"/>
    <x v="5"/>
    <s v="Rural"/>
    <s v="Femenino"/>
    <x v="0"/>
    <x v="2"/>
  </r>
  <r>
    <n v="341"/>
    <s v="48. Piura"/>
    <s v="Primaria"/>
    <x v="0"/>
    <x v="5"/>
    <s v="Rural"/>
    <s v="Femenino"/>
    <x v="0"/>
    <x v="2"/>
  </r>
  <r>
    <n v="342"/>
    <s v="48. Piura"/>
    <s v="Primaria"/>
    <x v="0"/>
    <x v="5"/>
    <s v="Rural"/>
    <s v="Masculino"/>
    <x v="0"/>
    <x v="2"/>
  </r>
  <r>
    <n v="343"/>
    <s v="48. Piura"/>
    <s v="Primaria"/>
    <x v="0"/>
    <x v="5"/>
    <s v="Rural"/>
    <s v="Masculino"/>
    <x v="0"/>
    <x v="2"/>
  </r>
  <r>
    <n v="344"/>
    <s v="48. Piura"/>
    <s v="Primaria"/>
    <x v="0"/>
    <x v="5"/>
    <s v="Rural"/>
    <s v="Femenino"/>
    <x v="0"/>
    <x v="2"/>
  </r>
  <r>
    <n v="345"/>
    <s v="48. Piura"/>
    <s v="Primaria"/>
    <x v="0"/>
    <x v="5"/>
    <s v="Rural"/>
    <s v="Masculino"/>
    <x v="0"/>
    <x v="2"/>
  </r>
  <r>
    <n v="346"/>
    <s v="48. Piura"/>
    <s v="Primaria"/>
    <x v="0"/>
    <x v="5"/>
    <s v="Rural"/>
    <s v="Femenino"/>
    <x v="0"/>
    <x v="2"/>
  </r>
  <r>
    <n v="347"/>
    <s v="48. Piura"/>
    <s v="Primaria"/>
    <x v="0"/>
    <x v="5"/>
    <s v="Rural"/>
    <s v="Femenino"/>
    <x v="0"/>
    <x v="2"/>
  </r>
  <r>
    <n v="348"/>
    <s v="48. Piura"/>
    <s v="Primaria"/>
    <x v="0"/>
    <x v="5"/>
    <s v="Rural"/>
    <s v="Femenino"/>
    <x v="0"/>
    <x v="2"/>
  </r>
  <r>
    <n v="349"/>
    <s v="48. Piura"/>
    <s v="Primaria"/>
    <x v="0"/>
    <x v="5"/>
    <s v="Rural"/>
    <s v="Femenino"/>
    <x v="0"/>
    <x v="2"/>
  </r>
  <r>
    <n v="350"/>
    <s v="48. Piura"/>
    <s v="Primaria"/>
    <x v="0"/>
    <x v="5"/>
    <s v="Rural"/>
    <s v="Masculino"/>
    <x v="0"/>
    <x v="2"/>
  </r>
  <r>
    <n v="351"/>
    <s v="48. Piura"/>
    <s v="Primaria"/>
    <x v="0"/>
    <x v="5"/>
    <s v="Rural"/>
    <s v="Femenino"/>
    <x v="0"/>
    <x v="2"/>
  </r>
  <r>
    <n v="352"/>
    <s v="48. Piura"/>
    <s v="Primaria"/>
    <x v="0"/>
    <x v="5"/>
    <s v="Rural"/>
    <s v="Masculino"/>
    <x v="0"/>
    <x v="2"/>
  </r>
  <r>
    <n v="353"/>
    <s v="48. Piura"/>
    <s v="Primaria"/>
    <x v="0"/>
    <x v="5"/>
    <s v="Rural"/>
    <s v="Femenino"/>
    <x v="0"/>
    <x v="2"/>
  </r>
  <r>
    <n v="354"/>
    <s v="48. Piura"/>
    <s v="Primaria"/>
    <x v="0"/>
    <x v="5"/>
    <s v="Rural"/>
    <s v="Femenino"/>
    <x v="0"/>
    <x v="2"/>
  </r>
  <r>
    <n v="355"/>
    <s v="48. Piura"/>
    <s v="Primaria"/>
    <x v="0"/>
    <x v="5"/>
    <s v="Rural"/>
    <s v="Femenino"/>
    <x v="0"/>
    <x v="2"/>
  </r>
  <r>
    <n v="356"/>
    <s v="48. Piura"/>
    <s v="Primaria"/>
    <x v="0"/>
    <x v="5"/>
    <s v="Rural"/>
    <s v="Femenino"/>
    <x v="0"/>
    <x v="2"/>
  </r>
  <r>
    <n v="357"/>
    <s v="48. Piura"/>
    <s v="Primaria"/>
    <x v="0"/>
    <x v="5"/>
    <s v="Rural"/>
    <s v="Masculino"/>
    <x v="0"/>
    <x v="2"/>
  </r>
  <r>
    <n v="358"/>
    <s v="48. Piura"/>
    <s v="Primaria"/>
    <x v="0"/>
    <x v="5"/>
    <s v="Rural"/>
    <s v="Masculino"/>
    <x v="0"/>
    <x v="2"/>
  </r>
  <r>
    <n v="359"/>
    <s v="48. Piura"/>
    <s v="Primaria"/>
    <x v="0"/>
    <x v="5"/>
    <s v="Rural"/>
    <s v="Femenino"/>
    <x v="0"/>
    <x v="2"/>
  </r>
  <r>
    <n v="360"/>
    <s v="48. Piura"/>
    <s v="Primaria"/>
    <x v="0"/>
    <x v="5"/>
    <s v="Rural"/>
    <s v="Femenino"/>
    <x v="0"/>
    <x v="2"/>
  </r>
  <r>
    <n v="361"/>
    <s v="48. Piura"/>
    <s v="Primaria"/>
    <x v="0"/>
    <x v="5"/>
    <s v="Rural"/>
    <s v="Masculino"/>
    <x v="0"/>
    <x v="2"/>
  </r>
  <r>
    <n v="362"/>
    <s v="48. Piura"/>
    <s v="Primaria"/>
    <x v="0"/>
    <x v="5"/>
    <s v="Rural"/>
    <s v="Masculino"/>
    <x v="0"/>
    <x v="2"/>
  </r>
  <r>
    <n v="363"/>
    <s v="48. Piura"/>
    <s v="Primaria"/>
    <x v="0"/>
    <x v="5"/>
    <s v="Rural"/>
    <s v="Femenino"/>
    <x v="0"/>
    <x v="2"/>
  </r>
  <r>
    <n v="364"/>
    <s v="48. Piura"/>
    <s v="Primaria"/>
    <x v="1"/>
    <x v="5"/>
    <s v="Rural"/>
    <s v="Femenino"/>
    <x v="0"/>
    <x v="2"/>
  </r>
  <r>
    <n v="365"/>
    <s v="48. Piura"/>
    <s v="Primaria"/>
    <x v="1"/>
    <x v="5"/>
    <s v="Rural"/>
    <s v="Femenino"/>
    <x v="1"/>
    <x v="2"/>
  </r>
  <r>
    <n v="366"/>
    <s v="48. Piura"/>
    <s v="Primaria"/>
    <x v="1"/>
    <x v="5"/>
    <s v="Rural"/>
    <s v="Femenino"/>
    <x v="1"/>
    <x v="2"/>
  </r>
  <r>
    <n v="367"/>
    <s v="48. Piura"/>
    <s v="Primaria"/>
    <x v="1"/>
    <x v="5"/>
    <s v="Rural"/>
    <s v="Femenino"/>
    <x v="1"/>
    <x v="2"/>
  </r>
  <r>
    <n v="368"/>
    <s v="48. Piura"/>
    <s v="Primaria"/>
    <x v="1"/>
    <x v="5"/>
    <s v="Rural"/>
    <s v="Masculino"/>
    <x v="1"/>
    <x v="2"/>
  </r>
  <r>
    <n v="369"/>
    <s v="48. Piura"/>
    <s v="Primaria"/>
    <x v="1"/>
    <x v="5"/>
    <s v="Rural"/>
    <s v="Masculino"/>
    <x v="1"/>
    <x v="2"/>
  </r>
  <r>
    <n v="370"/>
    <s v="48. Piura"/>
    <s v="Primaria"/>
    <x v="1"/>
    <x v="5"/>
    <s v="Rural"/>
    <s v="Masculino"/>
    <x v="2"/>
    <x v="2"/>
  </r>
  <r>
    <n v="371"/>
    <s v="48. Piura"/>
    <s v="Primaria"/>
    <x v="1"/>
    <x v="5"/>
    <s v="Rural"/>
    <s v="Masculino"/>
    <x v="2"/>
    <x v="2"/>
  </r>
  <r>
    <n v="372"/>
    <s v="48. Piura"/>
    <s v="Primaria"/>
    <x v="1"/>
    <x v="5"/>
    <s v="Rural"/>
    <s v="Masculino"/>
    <x v="1"/>
    <x v="2"/>
  </r>
  <r>
    <n v="373"/>
    <s v="48. Piura"/>
    <s v="Primaria"/>
    <x v="1"/>
    <x v="5"/>
    <s v="Rural"/>
    <s v="Masculino"/>
    <x v="2"/>
    <x v="2"/>
  </r>
  <r>
    <n v="374"/>
    <s v="48. Piura"/>
    <s v="Primaria"/>
    <x v="1"/>
    <x v="5"/>
    <s v="Rural"/>
    <s v="Femenino"/>
    <x v="2"/>
    <x v="2"/>
  </r>
  <r>
    <n v="375"/>
    <s v="48. Piura"/>
    <s v="Primaria"/>
    <x v="1"/>
    <x v="5"/>
    <s v="Rural"/>
    <s v="Femenino"/>
    <x v="2"/>
    <x v="2"/>
  </r>
  <r>
    <n v="376"/>
    <s v="48. Piura"/>
    <s v="Primaria"/>
    <x v="1"/>
    <x v="5"/>
    <s v="Rural"/>
    <s v="Masculino"/>
    <x v="1"/>
    <x v="2"/>
  </r>
  <r>
    <n v="377"/>
    <s v="48. Piura"/>
    <s v="Primaria"/>
    <x v="1"/>
    <x v="5"/>
    <s v="Rural"/>
    <s v="Masculino"/>
    <x v="1"/>
    <x v="2"/>
  </r>
  <r>
    <n v="378"/>
    <s v="48. Piura"/>
    <s v="Primaria"/>
    <x v="1"/>
    <x v="5"/>
    <s v="Rural"/>
    <s v="Femenino"/>
    <x v="2"/>
    <x v="2"/>
  </r>
  <r>
    <n v="379"/>
    <s v="48. Piura"/>
    <s v="Primaria"/>
    <x v="1"/>
    <x v="5"/>
    <s v="Rural"/>
    <s v="Masculino"/>
    <x v="2"/>
    <x v="2"/>
  </r>
  <r>
    <n v="380"/>
    <s v="48. Piura"/>
    <s v="Primaria"/>
    <x v="1"/>
    <x v="5"/>
    <s v="Rural"/>
    <s v="Masculino"/>
    <x v="2"/>
    <x v="2"/>
  </r>
  <r>
    <n v="381"/>
    <s v="48. Piura"/>
    <s v="Primaria"/>
    <x v="1"/>
    <x v="5"/>
    <s v="Rural"/>
    <s v="Femenino"/>
    <x v="2"/>
    <x v="2"/>
  </r>
  <r>
    <n v="382"/>
    <s v="48. Piura"/>
    <s v="Primaria"/>
    <x v="1"/>
    <x v="5"/>
    <s v="Rural"/>
    <s v="Femenino"/>
    <x v="2"/>
    <x v="2"/>
  </r>
  <r>
    <n v="383"/>
    <s v="48. Piura"/>
    <s v="Primaria"/>
    <x v="1"/>
    <x v="5"/>
    <s v="Rural"/>
    <s v="Masculino"/>
    <x v="2"/>
    <x v="2"/>
  </r>
  <r>
    <n v="384"/>
    <s v="48. Piura"/>
    <s v="Primaria"/>
    <x v="1"/>
    <x v="5"/>
    <s v="Rural"/>
    <s v="Femenino"/>
    <x v="2"/>
    <x v="2"/>
  </r>
  <r>
    <n v="385"/>
    <s v="48. Piura"/>
    <s v="Primaria"/>
    <x v="1"/>
    <x v="5"/>
    <s v="Rural"/>
    <s v="Masculino"/>
    <x v="2"/>
    <x v="2"/>
  </r>
  <r>
    <n v="386"/>
    <s v="48. Piura"/>
    <s v="Primaria"/>
    <x v="1"/>
    <x v="5"/>
    <s v="Rural"/>
    <s v="Femenino"/>
    <x v="2"/>
    <x v="2"/>
  </r>
  <r>
    <n v="387"/>
    <s v="48. Piura"/>
    <s v="Primaria"/>
    <x v="1"/>
    <x v="5"/>
    <s v="Rural"/>
    <s v="Femenino"/>
    <x v="2"/>
    <x v="2"/>
  </r>
  <r>
    <n v="388"/>
    <s v="48. Piura"/>
    <s v="Primaria"/>
    <x v="4"/>
    <x v="11"/>
    <s v="Rural"/>
    <s v="Femenino"/>
    <x v="2"/>
    <x v="2"/>
  </r>
  <r>
    <n v="389"/>
    <s v="48. Piura"/>
    <s v="Primaria"/>
    <x v="4"/>
    <x v="11"/>
    <s v="Rural"/>
    <s v="Masculino"/>
    <x v="1"/>
    <x v="2"/>
  </r>
  <r>
    <n v="390"/>
    <s v="48. Piura"/>
    <s v="Primaria"/>
    <x v="4"/>
    <x v="11"/>
    <s v="Rural"/>
    <s v="Masculino"/>
    <x v="0"/>
    <x v="2"/>
  </r>
  <r>
    <n v="391"/>
    <s v="48. Piura"/>
    <s v="Primaria"/>
    <x v="4"/>
    <x v="11"/>
    <s v="Rural"/>
    <s v="Masculino"/>
    <x v="0"/>
    <x v="2"/>
  </r>
  <r>
    <n v="392"/>
    <s v="48. Piura"/>
    <s v="Primaria"/>
    <x v="4"/>
    <x v="11"/>
    <s v="Rural"/>
    <s v="Masculino"/>
    <x v="0"/>
    <x v="2"/>
  </r>
  <r>
    <n v="393"/>
    <s v="48. Piura"/>
    <s v="Primaria"/>
    <x v="4"/>
    <x v="11"/>
    <s v="Rural"/>
    <s v="Masculino"/>
    <x v="1"/>
    <x v="2"/>
  </r>
  <r>
    <n v="394"/>
    <s v="48. Piura"/>
    <s v="Primaria"/>
    <x v="4"/>
    <x v="11"/>
    <s v="Rural"/>
    <s v="Femenino"/>
    <x v="1"/>
    <x v="2"/>
  </r>
  <r>
    <n v="395"/>
    <s v="48. Piura"/>
    <s v="Primaria"/>
    <x v="4"/>
    <x v="11"/>
    <s v="Rural"/>
    <s v="Femenino"/>
    <x v="1"/>
    <x v="2"/>
  </r>
  <r>
    <n v="396"/>
    <s v="48. Piura"/>
    <s v="Primaria"/>
    <x v="4"/>
    <x v="11"/>
    <s v="Rural"/>
    <s v="Femenino"/>
    <x v="1"/>
    <x v="2"/>
  </r>
  <r>
    <n v="397"/>
    <s v="48. Piura"/>
    <s v="Primaria"/>
    <x v="4"/>
    <x v="11"/>
    <s v="Rural"/>
    <s v="Masculino"/>
    <x v="1"/>
    <x v="2"/>
  </r>
  <r>
    <n v="398"/>
    <s v="48. Piura"/>
    <s v="Primaria"/>
    <x v="4"/>
    <x v="11"/>
    <s v="Rural"/>
    <s v="Femenino"/>
    <x v="0"/>
    <x v="2"/>
  </r>
  <r>
    <n v="399"/>
    <s v="48. Piura"/>
    <s v="Primaria"/>
    <x v="4"/>
    <x v="11"/>
    <s v="Rural"/>
    <s v="Masculino"/>
    <x v="0"/>
    <x v="2"/>
  </r>
  <r>
    <n v="400"/>
    <s v="48. Piura"/>
    <s v="Primaria"/>
    <x v="4"/>
    <x v="11"/>
    <s v="Rural"/>
    <s v="Femenino"/>
    <x v="1"/>
    <x v="2"/>
  </r>
  <r>
    <n v="401"/>
    <s v="48. Piura"/>
    <s v="Primaria"/>
    <x v="4"/>
    <x v="11"/>
    <s v="Rural"/>
    <s v="Femenino"/>
    <x v="2"/>
    <x v="2"/>
  </r>
  <r>
    <n v="402"/>
    <s v="48. Piura"/>
    <s v="Primaria"/>
    <x v="0"/>
    <x v="11"/>
    <s v="Rural"/>
    <s v="Masculino"/>
    <x v="0"/>
    <x v="2"/>
  </r>
  <r>
    <n v="403"/>
    <s v="48. Piura"/>
    <s v="Primaria"/>
    <x v="0"/>
    <x v="11"/>
    <s v="Rural"/>
    <s v="Femenino"/>
    <x v="0"/>
    <x v="2"/>
  </r>
  <r>
    <n v="404"/>
    <s v="48. Piura"/>
    <s v="Primaria"/>
    <x v="0"/>
    <x v="11"/>
    <s v="Rural"/>
    <s v="Femenino"/>
    <x v="0"/>
    <x v="2"/>
  </r>
  <r>
    <n v="405"/>
    <s v="48. Piura"/>
    <s v="Primaria"/>
    <x v="0"/>
    <x v="11"/>
    <s v="Rural"/>
    <s v="Masculino"/>
    <x v="0"/>
    <x v="2"/>
  </r>
  <r>
    <n v="406"/>
    <s v="48. Piura"/>
    <s v="Primaria"/>
    <x v="0"/>
    <x v="11"/>
    <s v="Rural"/>
    <s v="Masculino"/>
    <x v="0"/>
    <x v="2"/>
  </r>
  <r>
    <n v="407"/>
    <s v="48. Piura"/>
    <s v="Primaria"/>
    <x v="0"/>
    <x v="11"/>
    <s v="Rural"/>
    <s v="Femenino"/>
    <x v="0"/>
    <x v="2"/>
  </r>
  <r>
    <n v="408"/>
    <s v="48. Piura"/>
    <s v="Primaria"/>
    <x v="0"/>
    <x v="11"/>
    <s v="Rural"/>
    <s v="Masculino"/>
    <x v="0"/>
    <x v="2"/>
  </r>
  <r>
    <n v="409"/>
    <s v="48. Piura"/>
    <s v="Primaria"/>
    <x v="0"/>
    <x v="11"/>
    <s v="Rural"/>
    <s v="Femenino"/>
    <x v="0"/>
    <x v="2"/>
  </r>
  <r>
    <n v="410"/>
    <s v="48. Piura"/>
    <s v="Primaria"/>
    <x v="0"/>
    <x v="11"/>
    <s v="Rural"/>
    <s v="Masculino"/>
    <x v="0"/>
    <x v="2"/>
  </r>
  <r>
    <n v="411"/>
    <s v="48. Piura"/>
    <s v="Primaria"/>
    <x v="0"/>
    <x v="11"/>
    <s v="Rural"/>
    <s v="Femenino"/>
    <x v="0"/>
    <x v="2"/>
  </r>
  <r>
    <n v="412"/>
    <s v="48. Piura"/>
    <s v="Primaria"/>
    <x v="0"/>
    <x v="11"/>
    <s v="Rural"/>
    <s v="Masculino"/>
    <x v="0"/>
    <x v="2"/>
  </r>
  <r>
    <n v="413"/>
    <s v="48. Piura"/>
    <s v="Primaria"/>
    <x v="0"/>
    <x v="11"/>
    <s v="Rural"/>
    <s v="Femenino"/>
    <x v="0"/>
    <x v="2"/>
  </r>
  <r>
    <n v="414"/>
    <s v="48. Piura"/>
    <s v="Primaria"/>
    <x v="0"/>
    <x v="11"/>
    <s v="Rural"/>
    <s v="Masculino"/>
    <x v="0"/>
    <x v="2"/>
  </r>
  <r>
    <n v="415"/>
    <s v="48. Piura"/>
    <s v="Primaria"/>
    <x v="0"/>
    <x v="11"/>
    <s v="Rural"/>
    <s v="Femenino"/>
    <x v="0"/>
    <x v="2"/>
  </r>
  <r>
    <n v="416"/>
    <s v="48. Piura"/>
    <s v="Primaria"/>
    <x v="0"/>
    <x v="11"/>
    <s v="Rural"/>
    <s v="Masculino"/>
    <x v="0"/>
    <x v="2"/>
  </r>
  <r>
    <n v="417"/>
    <s v="48. Piura"/>
    <s v="Primaria"/>
    <x v="0"/>
    <x v="11"/>
    <s v="Rural"/>
    <s v="Femenino"/>
    <x v="0"/>
    <x v="2"/>
  </r>
  <r>
    <n v="418"/>
    <s v="48. Piura"/>
    <s v="Primaria"/>
    <x v="0"/>
    <x v="11"/>
    <s v="Rural"/>
    <s v="Femenino"/>
    <x v="0"/>
    <x v="2"/>
  </r>
  <r>
    <n v="419"/>
    <s v="48. Piura"/>
    <s v="Primaria"/>
    <x v="0"/>
    <x v="11"/>
    <s v="Rural"/>
    <s v="Femenino"/>
    <x v="0"/>
    <x v="2"/>
  </r>
  <r>
    <n v="420"/>
    <s v="48. Piura"/>
    <s v="Primaria"/>
    <x v="0"/>
    <x v="11"/>
    <s v="Rural"/>
    <s v="Femenino"/>
    <x v="0"/>
    <x v="2"/>
  </r>
  <r>
    <n v="421"/>
    <s v="48. Piura"/>
    <s v="Primaria"/>
    <x v="0"/>
    <x v="11"/>
    <s v="Rural"/>
    <s v="Masculino"/>
    <x v="0"/>
    <x v="2"/>
  </r>
  <r>
    <n v="422"/>
    <s v="48. Piura"/>
    <s v="Primaria"/>
    <x v="0"/>
    <x v="11"/>
    <s v="Rural"/>
    <s v="Femenino"/>
    <x v="0"/>
    <x v="2"/>
  </r>
  <r>
    <n v="423"/>
    <s v="48. Piura"/>
    <s v="Primaria"/>
    <x v="0"/>
    <x v="11"/>
    <s v="Rural"/>
    <s v="Masculino"/>
    <x v="0"/>
    <x v="2"/>
  </r>
  <r>
    <n v="424"/>
    <s v="48. Piura"/>
    <s v="Primaria"/>
    <x v="0"/>
    <x v="11"/>
    <s v="Rural"/>
    <s v="Masculino"/>
    <x v="0"/>
    <x v="2"/>
  </r>
  <r>
    <n v="425"/>
    <s v="48. Piura"/>
    <s v="Primaria"/>
    <x v="0"/>
    <x v="11"/>
    <s v="Rural"/>
    <s v="Femenino"/>
    <x v="0"/>
    <x v="2"/>
  </r>
  <r>
    <n v="426"/>
    <s v="48. Piura"/>
    <s v="Primaria"/>
    <x v="0"/>
    <x v="11"/>
    <s v="Rural"/>
    <s v="Masculino"/>
    <x v="0"/>
    <x v="2"/>
  </r>
  <r>
    <n v="427"/>
    <s v="48. Piura"/>
    <s v="Primaria"/>
    <x v="0"/>
    <x v="11"/>
    <s v="Rural"/>
    <s v="Masculino"/>
    <x v="0"/>
    <x v="2"/>
  </r>
  <r>
    <n v="428"/>
    <s v="48. Piura"/>
    <s v="Primaria"/>
    <x v="0"/>
    <x v="11"/>
    <s v="Rural"/>
    <s v="Femenino"/>
    <x v="1"/>
    <x v="2"/>
  </r>
  <r>
    <n v="429"/>
    <s v="48. Piura"/>
    <s v="Primaria"/>
    <x v="0"/>
    <x v="11"/>
    <s v="Rural"/>
    <s v="Masculino"/>
    <x v="0"/>
    <x v="2"/>
  </r>
  <r>
    <n v="430"/>
    <s v="48. Piura"/>
    <s v="Primaria"/>
    <x v="1"/>
    <x v="11"/>
    <s v="Rural"/>
    <s v="Femenino"/>
    <x v="1"/>
    <x v="2"/>
  </r>
  <r>
    <n v="431"/>
    <s v="48. Piura"/>
    <s v="Primaria"/>
    <x v="1"/>
    <x v="11"/>
    <s v="Rural"/>
    <s v="Masculino"/>
    <x v="1"/>
    <x v="2"/>
  </r>
  <r>
    <n v="432"/>
    <s v="48. Piura"/>
    <s v="Primaria"/>
    <x v="1"/>
    <x v="11"/>
    <s v="Rural"/>
    <s v="Femenino"/>
    <x v="1"/>
    <x v="2"/>
  </r>
  <r>
    <n v="433"/>
    <s v="48. Piura"/>
    <s v="Primaria"/>
    <x v="1"/>
    <x v="11"/>
    <s v="Rural"/>
    <s v="Femenino"/>
    <x v="2"/>
    <x v="2"/>
  </r>
  <r>
    <n v="434"/>
    <s v="48. Piura"/>
    <s v="Primaria"/>
    <x v="1"/>
    <x v="11"/>
    <s v="Rural"/>
    <s v="Femenino"/>
    <x v="2"/>
    <x v="2"/>
  </r>
  <r>
    <n v="435"/>
    <s v="48. Piura"/>
    <s v="Primaria"/>
    <x v="1"/>
    <x v="11"/>
    <s v="Rural"/>
    <s v="Masculino"/>
    <x v="0"/>
    <x v="2"/>
  </r>
  <r>
    <n v="436"/>
    <s v="48. Piura"/>
    <s v="Primaria"/>
    <x v="1"/>
    <x v="11"/>
    <s v="Rural"/>
    <s v="Femenino"/>
    <x v="1"/>
    <x v="2"/>
  </r>
  <r>
    <n v="437"/>
    <s v="48. Piura"/>
    <s v="Primaria"/>
    <x v="1"/>
    <x v="11"/>
    <s v="Rural"/>
    <s v="Masculino"/>
    <x v="1"/>
    <x v="2"/>
  </r>
  <r>
    <n v="438"/>
    <s v="48. Piura"/>
    <s v="Primaria"/>
    <x v="1"/>
    <x v="11"/>
    <s v="Rural"/>
    <s v="Masculino"/>
    <x v="0"/>
    <x v="2"/>
  </r>
  <r>
    <n v="439"/>
    <s v="48. Piura"/>
    <s v="Primaria"/>
    <x v="1"/>
    <x v="11"/>
    <s v="Rural"/>
    <s v="Femenino"/>
    <x v="0"/>
    <x v="2"/>
  </r>
  <r>
    <n v="440"/>
    <s v="48. Piura"/>
    <s v="Primaria"/>
    <x v="1"/>
    <x v="11"/>
    <s v="Rural"/>
    <s v="Masculino"/>
    <x v="0"/>
    <x v="2"/>
  </r>
  <r>
    <n v="441"/>
    <s v="48. Piura"/>
    <s v="Primaria"/>
    <x v="1"/>
    <x v="11"/>
    <s v="Rural"/>
    <s v="Masculino"/>
    <x v="1"/>
    <x v="2"/>
  </r>
  <r>
    <n v="442"/>
    <s v="48. Piura"/>
    <s v="Primaria"/>
    <x v="1"/>
    <x v="11"/>
    <s v="Rural"/>
    <s v="Masculino"/>
    <x v="1"/>
    <x v="2"/>
  </r>
  <r>
    <n v="443"/>
    <s v="48. Piura"/>
    <s v="Primaria"/>
    <x v="1"/>
    <x v="11"/>
    <s v="Rural"/>
    <s v="Femenino"/>
    <x v="1"/>
    <x v="2"/>
  </r>
  <r>
    <n v="444"/>
    <s v="48. Piura"/>
    <s v="Primaria"/>
    <x v="1"/>
    <x v="11"/>
    <s v="Rural"/>
    <s v="Femenino"/>
    <x v="1"/>
    <x v="2"/>
  </r>
  <r>
    <n v="445"/>
    <s v="48. Piura"/>
    <s v="Primaria"/>
    <x v="1"/>
    <x v="11"/>
    <s v="Rural"/>
    <s v="Masculino"/>
    <x v="0"/>
    <x v="2"/>
  </r>
  <r>
    <n v="446"/>
    <s v="48. Piura"/>
    <s v="Primaria"/>
    <x v="1"/>
    <x v="11"/>
    <s v="Rural"/>
    <s v="Masculino"/>
    <x v="1"/>
    <x v="2"/>
  </r>
  <r>
    <n v="447"/>
    <s v="48. Piura"/>
    <s v="Primaria"/>
    <x v="1"/>
    <x v="11"/>
    <s v="Rural"/>
    <s v="Masculino"/>
    <x v="0"/>
    <x v="2"/>
  </r>
  <r>
    <n v="448"/>
    <s v="48. Piura"/>
    <s v="Primaria"/>
    <x v="1"/>
    <x v="11"/>
    <s v="Rural"/>
    <s v="Femenino"/>
    <x v="1"/>
    <x v="2"/>
  </r>
  <r>
    <n v="449"/>
    <s v="48. Piura"/>
    <s v="Primaria"/>
    <x v="1"/>
    <x v="11"/>
    <s v="Rural"/>
    <s v="Masculino"/>
    <x v="1"/>
    <x v="2"/>
  </r>
  <r>
    <n v="450"/>
    <s v="48. Piura"/>
    <s v="Primaria"/>
    <x v="1"/>
    <x v="11"/>
    <s v="Rural"/>
    <s v="Femenino"/>
    <x v="1"/>
    <x v="2"/>
  </r>
  <r>
    <n v="451"/>
    <s v="48. Piura"/>
    <s v="Primaria"/>
    <x v="1"/>
    <x v="11"/>
    <s v="Rural"/>
    <s v="Masculino"/>
    <x v="1"/>
    <x v="2"/>
  </r>
  <r>
    <n v="452"/>
    <s v="48. Piura"/>
    <s v="Primaria"/>
    <x v="1"/>
    <x v="11"/>
    <s v="Rural"/>
    <s v="Femenino"/>
    <x v="2"/>
    <x v="2"/>
  </r>
  <r>
    <n v="453"/>
    <s v="48. Piura"/>
    <s v="Primaria"/>
    <x v="1"/>
    <x v="11"/>
    <s v="Rural"/>
    <s v="Masculino"/>
    <x v="1"/>
    <x v="2"/>
  </r>
  <r>
    <n v="454"/>
    <s v="48. Piura"/>
    <s v="Primaria"/>
    <x v="1"/>
    <x v="11"/>
    <s v="Rural"/>
    <s v="Masculino"/>
    <x v="0"/>
    <x v="2"/>
  </r>
  <r>
    <n v="455"/>
    <s v="48. Piura"/>
    <s v="Primaria"/>
    <x v="1"/>
    <x v="11"/>
    <s v="Rural"/>
    <s v="Masculino"/>
    <x v="0"/>
    <x v="2"/>
  </r>
  <r>
    <n v="456"/>
    <s v="48. Piura"/>
    <s v="Primaria"/>
    <x v="1"/>
    <x v="11"/>
    <s v="Rural"/>
    <s v="Masculino"/>
    <x v="1"/>
    <x v="2"/>
  </r>
  <r>
    <n v="457"/>
    <s v="48. Piura"/>
    <s v="Primaria"/>
    <x v="1"/>
    <x v="11"/>
    <s v="Rural"/>
    <s v="Masculino"/>
    <x v="0"/>
    <x v="2"/>
  </r>
  <r>
    <n v="458"/>
    <s v="48. Piura"/>
    <s v="Primaria"/>
    <x v="1"/>
    <x v="11"/>
    <s v="Rural"/>
    <s v="Femenino"/>
    <x v="1"/>
    <x v="2"/>
  </r>
  <r>
    <n v="459"/>
    <s v="48. Piura"/>
    <s v="Primaria"/>
    <x v="1"/>
    <x v="11"/>
    <s v="Rural"/>
    <s v="Masculino"/>
    <x v="1"/>
    <x v="2"/>
  </r>
  <r>
    <n v="460"/>
    <s v="48. Piura"/>
    <s v="Primaria"/>
    <x v="4"/>
    <x v="9"/>
    <s v="Rural"/>
    <s v="Masculino"/>
    <x v="2"/>
    <x v="2"/>
  </r>
  <r>
    <n v="461"/>
    <s v="48. Piura"/>
    <s v="Primaria"/>
    <x v="0"/>
    <x v="9"/>
    <s v="Rural"/>
    <s v="Masculino"/>
    <x v="1"/>
    <x v="2"/>
  </r>
  <r>
    <n v="462"/>
    <s v="48. Piura"/>
    <s v="Primaria"/>
    <x v="1"/>
    <x v="9"/>
    <s v="Rural"/>
    <s v="Femenino"/>
    <x v="1"/>
    <x v="2"/>
  </r>
  <r>
    <n v="463"/>
    <s v="48. Piura"/>
    <s v="Primaria"/>
    <x v="1"/>
    <x v="9"/>
    <s v="Rural"/>
    <s v="Masculino"/>
    <x v="0"/>
    <x v="2"/>
  </r>
  <r>
    <n v="464"/>
    <s v="48. Piura"/>
    <s v="Primaria"/>
    <x v="1"/>
    <x v="1"/>
    <s v="Rural"/>
    <s v="Masculino"/>
    <x v="1"/>
    <x v="2"/>
  </r>
  <r>
    <n v="465"/>
    <s v="48. Piura"/>
    <s v="Primaria"/>
    <x v="1"/>
    <x v="1"/>
    <s v="Rural"/>
    <s v="Masculino"/>
    <x v="0"/>
    <x v="2"/>
  </r>
  <r>
    <n v="466"/>
    <s v="48. Piura"/>
    <s v="Primaria"/>
    <x v="1"/>
    <x v="1"/>
    <s v="Rural"/>
    <s v="Masculino"/>
    <x v="1"/>
    <x v="2"/>
  </r>
  <r>
    <n v="467"/>
    <s v="48. Piura"/>
    <s v="Primaria"/>
    <x v="1"/>
    <x v="1"/>
    <s v="Rural"/>
    <s v="Masculino"/>
    <x v="0"/>
    <x v="2"/>
  </r>
  <r>
    <n v="468"/>
    <s v="48. Piura"/>
    <s v="Primaria"/>
    <x v="1"/>
    <x v="1"/>
    <s v="Rural"/>
    <s v="Femenino"/>
    <x v="0"/>
    <x v="2"/>
  </r>
  <r>
    <n v="469"/>
    <s v="48. Piura"/>
    <s v="Primaria"/>
    <x v="1"/>
    <x v="1"/>
    <s v="Rural"/>
    <s v="Femenino"/>
    <x v="0"/>
    <x v="2"/>
  </r>
  <r>
    <n v="470"/>
    <s v="48. Piura"/>
    <s v="Primaria"/>
    <x v="1"/>
    <x v="1"/>
    <s v="Rural"/>
    <s v="Masculino"/>
    <x v="0"/>
    <x v="2"/>
  </r>
  <r>
    <n v="471"/>
    <s v="48. Piura"/>
    <s v="Primaria"/>
    <x v="1"/>
    <x v="1"/>
    <s v="Rural"/>
    <s v="Masculino"/>
    <x v="1"/>
    <x v="2"/>
  </r>
  <r>
    <n v="472"/>
    <s v="48. Piura"/>
    <s v="Primaria"/>
    <x v="1"/>
    <x v="1"/>
    <s v="Rural"/>
    <s v="Masculino"/>
    <x v="0"/>
    <x v="2"/>
  </r>
  <r>
    <n v="473"/>
    <s v="48. Piura"/>
    <s v="Primaria"/>
    <x v="1"/>
    <x v="1"/>
    <s v="Rural"/>
    <s v="Femenino"/>
    <x v="0"/>
    <x v="2"/>
  </r>
  <r>
    <n v="474"/>
    <s v="48. Piura"/>
    <s v="Primaria"/>
    <x v="1"/>
    <x v="1"/>
    <s v="Rural"/>
    <s v="Masculino"/>
    <x v="1"/>
    <x v="2"/>
  </r>
  <r>
    <n v="475"/>
    <s v="48. Piura"/>
    <s v="Primaria"/>
    <x v="1"/>
    <x v="1"/>
    <s v="Rural"/>
    <s v="Femenino"/>
    <x v="1"/>
    <x v="2"/>
  </r>
  <r>
    <n v="476"/>
    <s v="48. Piura"/>
    <s v="Primaria"/>
    <x v="1"/>
    <x v="1"/>
    <s v="Rural"/>
    <s v="Femenino"/>
    <x v="1"/>
    <x v="2"/>
  </r>
  <r>
    <n v="477"/>
    <s v="48. Piura"/>
    <s v="Primaria"/>
    <x v="1"/>
    <x v="1"/>
    <s v="Rural"/>
    <s v="Femenino"/>
    <x v="0"/>
    <x v="2"/>
  </r>
  <r>
    <n v="478"/>
    <s v="48. Piura"/>
    <s v="Primaria"/>
    <x v="1"/>
    <x v="1"/>
    <s v="Rural"/>
    <s v="Masculino"/>
    <x v="1"/>
    <x v="2"/>
  </r>
  <r>
    <n v="479"/>
    <s v="48. Piura"/>
    <s v="Primaria"/>
    <x v="1"/>
    <x v="1"/>
    <s v="Rural"/>
    <s v="Femenino"/>
    <x v="1"/>
    <x v="2"/>
  </r>
  <r>
    <n v="480"/>
    <s v="48. Piura"/>
    <s v="Primaria"/>
    <x v="1"/>
    <x v="1"/>
    <s v="Rural"/>
    <s v="Femenino"/>
    <x v="1"/>
    <x v="2"/>
  </r>
  <r>
    <n v="481"/>
    <s v="48. Piura"/>
    <s v="Primaria"/>
    <x v="1"/>
    <x v="1"/>
    <s v="Rural"/>
    <s v="Masculino"/>
    <x v="0"/>
    <x v="2"/>
  </r>
  <r>
    <n v="482"/>
    <s v="48. Piura"/>
    <s v="Primaria"/>
    <x v="1"/>
    <x v="1"/>
    <s v="Rural"/>
    <s v="Masculino"/>
    <x v="0"/>
    <x v="2"/>
  </r>
  <r>
    <n v="483"/>
    <s v="48. Piura"/>
    <s v="Primaria"/>
    <x v="4"/>
    <x v="1"/>
    <s v="Rural"/>
    <s v="Masculino"/>
    <x v="0"/>
    <x v="2"/>
  </r>
  <r>
    <n v="484"/>
    <s v="48. Piura"/>
    <s v="Primaria"/>
    <x v="4"/>
    <x v="1"/>
    <s v="Rural"/>
    <s v="Femenino"/>
    <x v="0"/>
    <x v="2"/>
  </r>
  <r>
    <n v="485"/>
    <s v="48. Piura"/>
    <s v="Primaria"/>
    <x v="4"/>
    <x v="1"/>
    <s v="Rural"/>
    <s v="Femenino"/>
    <x v="0"/>
    <x v="2"/>
  </r>
  <r>
    <n v="486"/>
    <s v="48. Piura"/>
    <s v="Primaria"/>
    <x v="4"/>
    <x v="1"/>
    <s v="Rural"/>
    <s v="Femenino"/>
    <x v="0"/>
    <x v="2"/>
  </r>
  <r>
    <n v="487"/>
    <s v="48. Piura"/>
    <s v="Primaria"/>
    <x v="4"/>
    <x v="1"/>
    <s v="Rural"/>
    <s v="Masculino"/>
    <x v="0"/>
    <x v="2"/>
  </r>
  <r>
    <n v="488"/>
    <s v="48. Piura"/>
    <s v="Primaria"/>
    <x v="4"/>
    <x v="1"/>
    <s v="Rural"/>
    <s v="Masculino"/>
    <x v="0"/>
    <x v="2"/>
  </r>
  <r>
    <n v="489"/>
    <s v="48. Piura"/>
    <s v="Primaria"/>
    <x v="4"/>
    <x v="1"/>
    <s v="Rural"/>
    <s v="Masculino"/>
    <x v="1"/>
    <x v="2"/>
  </r>
  <r>
    <n v="490"/>
    <s v="48. Piura"/>
    <s v="Primaria"/>
    <x v="4"/>
    <x v="1"/>
    <s v="Rural"/>
    <s v="Femenino"/>
    <x v="1"/>
    <x v="2"/>
  </r>
  <r>
    <n v="491"/>
    <s v="48. Piura"/>
    <s v="Primaria"/>
    <x v="4"/>
    <x v="1"/>
    <s v="Rural"/>
    <s v="Masculino"/>
    <x v="1"/>
    <x v="2"/>
  </r>
  <r>
    <n v="492"/>
    <s v="48. Piura"/>
    <s v="Primaria"/>
    <x v="4"/>
    <x v="0"/>
    <s v="Rural"/>
    <s v="Masculino"/>
    <x v="0"/>
    <x v="2"/>
  </r>
  <r>
    <n v="493"/>
    <s v="48. Piura"/>
    <s v="Primaria"/>
    <x v="4"/>
    <x v="0"/>
    <s v="Rural"/>
    <s v="Femenino"/>
    <x v="1"/>
    <x v="2"/>
  </r>
  <r>
    <n v="494"/>
    <s v="48. Piura"/>
    <s v="Primaria"/>
    <x v="4"/>
    <x v="0"/>
    <s v="Rural"/>
    <s v="Masculino"/>
    <x v="1"/>
    <x v="2"/>
  </r>
  <r>
    <n v="495"/>
    <s v="48. Piura"/>
    <s v="Primaria"/>
    <x v="4"/>
    <x v="0"/>
    <s v="Rural"/>
    <s v="Femenino"/>
    <x v="1"/>
    <x v="2"/>
  </r>
  <r>
    <n v="496"/>
    <s v="48. Piura"/>
    <s v="Primaria"/>
    <x v="4"/>
    <x v="0"/>
    <s v="Rural"/>
    <s v="Femenino"/>
    <x v="1"/>
    <x v="2"/>
  </r>
  <r>
    <n v="497"/>
    <s v="48. Piura"/>
    <s v="Primaria"/>
    <x v="4"/>
    <x v="0"/>
    <s v="Rural"/>
    <s v="Femenino"/>
    <x v="2"/>
    <x v="2"/>
  </r>
  <r>
    <n v="498"/>
    <s v="48. Piura"/>
    <s v="Primaria"/>
    <x v="4"/>
    <x v="0"/>
    <s v="Rural"/>
    <s v="Femenino"/>
    <x v="1"/>
    <x v="2"/>
  </r>
  <r>
    <n v="499"/>
    <s v="48. Piura"/>
    <s v="Primaria"/>
    <x v="4"/>
    <x v="0"/>
    <s v="Rural"/>
    <s v="Masculino"/>
    <x v="0"/>
    <x v="2"/>
  </r>
  <r>
    <n v="500"/>
    <s v="48. Piura"/>
    <s v="Primaria"/>
    <x v="4"/>
    <x v="0"/>
    <s v="Rural"/>
    <s v="Femenino"/>
    <x v="1"/>
    <x v="2"/>
  </r>
  <r>
    <n v="501"/>
    <s v="48. Piura"/>
    <s v="Primaria"/>
    <x v="4"/>
    <x v="0"/>
    <s v="Rural"/>
    <s v="Femenino"/>
    <x v="1"/>
    <x v="2"/>
  </r>
  <r>
    <n v="502"/>
    <s v="48. Piura"/>
    <s v="Primaria"/>
    <x v="4"/>
    <x v="0"/>
    <s v="Rural"/>
    <s v="Masculino"/>
    <x v="1"/>
    <x v="2"/>
  </r>
  <r>
    <n v="503"/>
    <s v="48. Piura"/>
    <s v="Primaria"/>
    <x v="4"/>
    <x v="0"/>
    <s v="Rural"/>
    <s v="Masculino"/>
    <x v="1"/>
    <x v="2"/>
  </r>
  <r>
    <n v="504"/>
    <s v="48. Piura"/>
    <s v="Primaria"/>
    <x v="4"/>
    <x v="0"/>
    <s v="Rural"/>
    <s v="Femenino"/>
    <x v="0"/>
    <x v="2"/>
  </r>
  <r>
    <n v="505"/>
    <s v="48. Piura"/>
    <s v="Primaria"/>
    <x v="4"/>
    <x v="0"/>
    <s v="Rural"/>
    <s v="Femenino"/>
    <x v="1"/>
    <x v="2"/>
  </r>
  <r>
    <n v="506"/>
    <s v="48. Piura"/>
    <s v="Primaria"/>
    <x v="4"/>
    <x v="0"/>
    <s v="Rural"/>
    <s v="Masculino"/>
    <x v="1"/>
    <x v="2"/>
  </r>
  <r>
    <n v="507"/>
    <s v="48. Piura"/>
    <s v="Primaria"/>
    <x v="4"/>
    <x v="0"/>
    <s v="Rural"/>
    <s v="Femenino"/>
    <x v="0"/>
    <x v="2"/>
  </r>
  <r>
    <n v="508"/>
    <s v="48. Piura"/>
    <s v="Primaria"/>
    <x v="4"/>
    <x v="0"/>
    <s v="Rural"/>
    <s v="Femenino"/>
    <x v="1"/>
    <x v="2"/>
  </r>
  <r>
    <n v="509"/>
    <s v="48. Piura"/>
    <s v="Primaria"/>
    <x v="4"/>
    <x v="0"/>
    <s v="Rural"/>
    <s v="Femenino"/>
    <x v="0"/>
    <x v="2"/>
  </r>
  <r>
    <n v="510"/>
    <s v="48. Piura"/>
    <s v="Primaria"/>
    <x v="4"/>
    <x v="0"/>
    <s v="Rural"/>
    <s v="Femenino"/>
    <x v="1"/>
    <x v="2"/>
  </r>
  <r>
    <n v="511"/>
    <s v="48. Piura"/>
    <s v="Primaria"/>
    <x v="4"/>
    <x v="0"/>
    <s v="Rural"/>
    <s v="Masculino"/>
    <x v="0"/>
    <x v="2"/>
  </r>
  <r>
    <n v="512"/>
    <s v="48. Piura"/>
    <s v="Primaria"/>
    <x v="4"/>
    <x v="0"/>
    <s v="Rural"/>
    <s v="Femenino"/>
    <x v="1"/>
    <x v="2"/>
  </r>
  <r>
    <n v="513"/>
    <s v="48. Piura"/>
    <s v="Primaria"/>
    <x v="4"/>
    <x v="0"/>
    <s v="Rural"/>
    <s v="Masculino"/>
    <x v="0"/>
    <x v="2"/>
  </r>
  <r>
    <n v="514"/>
    <s v="48. Piura"/>
    <s v="Primaria"/>
    <x v="4"/>
    <x v="0"/>
    <s v="Rural"/>
    <s v="Femenino"/>
    <x v="0"/>
    <x v="2"/>
  </r>
  <r>
    <n v="515"/>
    <s v="48. Piura"/>
    <s v="Primaria"/>
    <x v="4"/>
    <x v="0"/>
    <s v="Rural"/>
    <s v="Masculino"/>
    <x v="1"/>
    <x v="2"/>
  </r>
  <r>
    <n v="516"/>
    <s v="48. Piura"/>
    <s v="Primaria"/>
    <x v="4"/>
    <x v="0"/>
    <s v="Rural"/>
    <s v="Masculino"/>
    <x v="0"/>
    <x v="2"/>
  </r>
  <r>
    <n v="517"/>
    <s v="48. Piura"/>
    <s v="Primaria"/>
    <x v="4"/>
    <x v="0"/>
    <s v="Rural"/>
    <s v="Femenino"/>
    <x v="1"/>
    <x v="2"/>
  </r>
  <r>
    <n v="518"/>
    <s v="48. Piura"/>
    <s v="Primaria"/>
    <x v="4"/>
    <x v="0"/>
    <s v="Rural"/>
    <s v="Femenino"/>
    <x v="0"/>
    <x v="2"/>
  </r>
  <r>
    <n v="519"/>
    <s v="48. Piura"/>
    <s v="Primaria"/>
    <x v="4"/>
    <x v="0"/>
    <s v="Rural"/>
    <s v="Femenino"/>
    <x v="0"/>
    <x v="2"/>
  </r>
  <r>
    <n v="520"/>
    <s v="48. Piura"/>
    <s v="Primaria"/>
    <x v="4"/>
    <x v="0"/>
    <s v="Rural"/>
    <s v="Masculino"/>
    <x v="0"/>
    <x v="2"/>
  </r>
  <r>
    <n v="521"/>
    <s v="48. Piura"/>
    <s v="Primaria"/>
    <x v="4"/>
    <x v="0"/>
    <s v="Rural"/>
    <s v="Masculino"/>
    <x v="0"/>
    <x v="2"/>
  </r>
  <r>
    <n v="522"/>
    <s v="48. Piura"/>
    <s v="Primaria"/>
    <x v="4"/>
    <x v="0"/>
    <s v="Rural"/>
    <s v="Masculino"/>
    <x v="0"/>
    <x v="2"/>
  </r>
  <r>
    <n v="523"/>
    <s v="48. Piura"/>
    <s v="Primaria"/>
    <x v="4"/>
    <x v="0"/>
    <s v="Rural"/>
    <s v="Femenino"/>
    <x v="1"/>
    <x v="2"/>
  </r>
  <r>
    <n v="524"/>
    <s v="48. Piura"/>
    <s v="Primaria"/>
    <x v="4"/>
    <x v="0"/>
    <s v="Rural"/>
    <s v="Masculino"/>
    <x v="0"/>
    <x v="2"/>
  </r>
  <r>
    <n v="525"/>
    <s v="48. Piura"/>
    <s v="Primaria"/>
    <x v="4"/>
    <x v="0"/>
    <s v="Rural"/>
    <s v="Masculino"/>
    <x v="0"/>
    <x v="2"/>
  </r>
  <r>
    <n v="526"/>
    <s v="48. Piura"/>
    <s v="Primaria"/>
    <x v="4"/>
    <x v="0"/>
    <s v="Rural"/>
    <s v="Femenino"/>
    <x v="0"/>
    <x v="2"/>
  </r>
  <r>
    <n v="527"/>
    <s v="48. Piura"/>
    <s v="Primaria"/>
    <x v="4"/>
    <x v="0"/>
    <s v="Rural"/>
    <s v="Femenino"/>
    <x v="0"/>
    <x v="2"/>
  </r>
  <r>
    <n v="528"/>
    <s v="48. Piura"/>
    <s v="Primaria"/>
    <x v="4"/>
    <x v="0"/>
    <s v="Rural"/>
    <s v="Masculino"/>
    <x v="0"/>
    <x v="2"/>
  </r>
  <r>
    <n v="529"/>
    <s v="48. Piura"/>
    <s v="Primaria"/>
    <x v="4"/>
    <x v="0"/>
    <s v="Rural"/>
    <s v="Femenino"/>
    <x v="1"/>
    <x v="2"/>
  </r>
  <r>
    <n v="530"/>
    <s v="48. Piura"/>
    <s v="Primaria"/>
    <x v="4"/>
    <x v="0"/>
    <s v="Rural"/>
    <s v="Femenino"/>
    <x v="0"/>
    <x v="2"/>
  </r>
  <r>
    <n v="531"/>
    <s v="48. Piura"/>
    <s v="Primaria"/>
    <x v="4"/>
    <x v="0"/>
    <s v="Rural"/>
    <s v="Femenino"/>
    <x v="1"/>
    <x v="2"/>
  </r>
  <r>
    <n v="532"/>
    <s v="48. Piura"/>
    <s v="Primaria"/>
    <x v="4"/>
    <x v="0"/>
    <s v="Rural"/>
    <s v="Femenino"/>
    <x v="0"/>
    <x v="2"/>
  </r>
  <r>
    <n v="533"/>
    <s v="48. Piura"/>
    <s v="Primaria"/>
    <x v="4"/>
    <x v="0"/>
    <s v="Rural"/>
    <s v="Femenino"/>
    <x v="1"/>
    <x v="2"/>
  </r>
  <r>
    <n v="534"/>
    <s v="48. Piura"/>
    <s v="Primaria"/>
    <x v="4"/>
    <x v="0"/>
    <s v="Rural"/>
    <s v="Femenino"/>
    <x v="0"/>
    <x v="2"/>
  </r>
  <r>
    <n v="535"/>
    <s v="48. Piura"/>
    <s v="Primaria"/>
    <x v="4"/>
    <x v="0"/>
    <s v="Rural"/>
    <s v="Femenino"/>
    <x v="0"/>
    <x v="2"/>
  </r>
  <r>
    <n v="536"/>
    <s v="48. Piura"/>
    <s v="Primaria"/>
    <x v="4"/>
    <x v="0"/>
    <s v="Rural"/>
    <s v="Femenino"/>
    <x v="0"/>
    <x v="2"/>
  </r>
  <r>
    <n v="537"/>
    <s v="48. Piura"/>
    <s v="Primaria"/>
    <x v="4"/>
    <x v="0"/>
    <s v="Rural"/>
    <s v="Femenino"/>
    <x v="0"/>
    <x v="2"/>
  </r>
  <r>
    <n v="538"/>
    <s v="48. Piura"/>
    <s v="Primaria"/>
    <x v="4"/>
    <x v="0"/>
    <s v="Rural"/>
    <s v="Femenino"/>
    <x v="0"/>
    <x v="2"/>
  </r>
  <r>
    <n v="539"/>
    <s v="48. Piura"/>
    <s v="Primaria"/>
    <x v="4"/>
    <x v="0"/>
    <s v="Rural"/>
    <s v="Masculino"/>
    <x v="0"/>
    <x v="2"/>
  </r>
  <r>
    <n v="540"/>
    <s v="48. Piura"/>
    <s v="Primaria"/>
    <x v="4"/>
    <x v="0"/>
    <s v="Rural"/>
    <s v="Masculino"/>
    <x v="0"/>
    <x v="2"/>
  </r>
  <r>
    <n v="541"/>
    <s v="48. Piura"/>
    <s v="Primaria"/>
    <x v="4"/>
    <x v="0"/>
    <s v="Rural"/>
    <s v="Masculino"/>
    <x v="1"/>
    <x v="2"/>
  </r>
  <r>
    <n v="542"/>
    <s v="48. Piura"/>
    <s v="Primaria"/>
    <x v="4"/>
    <x v="0"/>
    <s v="Rural"/>
    <s v="Femenino"/>
    <x v="0"/>
    <x v="2"/>
  </r>
  <r>
    <n v="543"/>
    <s v="48. Piura"/>
    <s v="Primaria"/>
    <x v="4"/>
    <x v="0"/>
    <s v="Rural"/>
    <s v="Masculino"/>
    <x v="0"/>
    <x v="2"/>
  </r>
  <r>
    <n v="544"/>
    <s v="48. Piura"/>
    <s v="Primaria"/>
    <x v="4"/>
    <x v="0"/>
    <s v="Rural"/>
    <s v="Masculino"/>
    <x v="0"/>
    <x v="2"/>
  </r>
  <r>
    <n v="545"/>
    <s v="48. Piura"/>
    <s v="Primaria"/>
    <x v="4"/>
    <x v="0"/>
    <s v="Rural"/>
    <s v="Masculino"/>
    <x v="0"/>
    <x v="2"/>
  </r>
  <r>
    <n v="546"/>
    <s v="48. Piura"/>
    <s v="Primaria"/>
    <x v="4"/>
    <x v="0"/>
    <s v="Rural"/>
    <s v="Masculino"/>
    <x v="0"/>
    <x v="2"/>
  </r>
  <r>
    <n v="547"/>
    <s v="48. Piura"/>
    <s v="Primaria"/>
    <x v="1"/>
    <x v="10"/>
    <s v="Rural"/>
    <s v="Femenino"/>
    <x v="0"/>
    <x v="2"/>
  </r>
  <r>
    <n v="548"/>
    <s v="48. Piura"/>
    <s v="Primaria"/>
    <x v="1"/>
    <x v="10"/>
    <s v="Rural"/>
    <s v="Femenino"/>
    <x v="1"/>
    <x v="2"/>
  </r>
  <r>
    <n v="549"/>
    <s v="48. Piura"/>
    <s v="Primaria"/>
    <x v="1"/>
    <x v="10"/>
    <s v="Rural"/>
    <s v="Masculino"/>
    <x v="1"/>
    <x v="2"/>
  </r>
  <r>
    <n v="550"/>
    <s v="48. Piura"/>
    <s v="Primaria"/>
    <x v="1"/>
    <x v="14"/>
    <s v="Rural"/>
    <s v="Masculino"/>
    <x v="1"/>
    <x v="2"/>
  </r>
  <r>
    <n v="551"/>
    <s v="48. Piura"/>
    <s v="Primaria"/>
    <x v="4"/>
    <x v="12"/>
    <s v="Rural"/>
    <s v="Masculino"/>
    <x v="1"/>
    <x v="2"/>
  </r>
  <r>
    <n v="552"/>
    <s v="48. Piura"/>
    <s v="Primaria"/>
    <x v="4"/>
    <x v="12"/>
    <s v="Rural"/>
    <s v="Masculino"/>
    <x v="1"/>
    <x v="2"/>
  </r>
  <r>
    <n v="553"/>
    <s v="48. Piura"/>
    <s v="Primaria"/>
    <x v="4"/>
    <x v="12"/>
    <s v="Rural"/>
    <s v="Femenino"/>
    <x v="1"/>
    <x v="2"/>
  </r>
  <r>
    <n v="554"/>
    <s v="48. Piura"/>
    <s v="Primaria"/>
    <x v="4"/>
    <x v="12"/>
    <s v="Rural"/>
    <s v="Masculino"/>
    <x v="1"/>
    <x v="2"/>
  </r>
  <r>
    <n v="555"/>
    <s v="48. Piura"/>
    <s v="Primaria"/>
    <x v="4"/>
    <x v="12"/>
    <s v="Rural"/>
    <s v="Femenino"/>
    <x v="1"/>
    <x v="2"/>
  </r>
  <r>
    <n v="556"/>
    <s v="48. Piura"/>
    <s v="Primaria"/>
    <x v="4"/>
    <x v="12"/>
    <s v="Rural"/>
    <s v="Femenino"/>
    <x v="0"/>
    <x v="2"/>
  </r>
  <r>
    <n v="557"/>
    <s v="48. Piura"/>
    <s v="Primaria"/>
    <x v="4"/>
    <x v="12"/>
    <s v="Rural"/>
    <s v="Femenino"/>
    <x v="1"/>
    <x v="2"/>
  </r>
  <r>
    <n v="558"/>
    <s v="48. Piura"/>
    <s v="Primaria"/>
    <x v="4"/>
    <x v="8"/>
    <s v="Rural"/>
    <s v="Femenino"/>
    <x v="1"/>
    <x v="2"/>
  </r>
  <r>
    <n v="559"/>
    <s v="48. Piura"/>
    <s v="Primaria"/>
    <x v="4"/>
    <x v="8"/>
    <s v="Rural"/>
    <s v="Femenino"/>
    <x v="1"/>
    <x v="2"/>
  </r>
  <r>
    <n v="560"/>
    <s v="48. Piura"/>
    <s v="Primaria"/>
    <x v="0"/>
    <x v="8"/>
    <s v="Rural"/>
    <s v="Masculino"/>
    <x v="1"/>
    <x v="2"/>
  </r>
  <r>
    <n v="561"/>
    <s v="48. Piura"/>
    <s v="Primaria"/>
    <x v="0"/>
    <x v="8"/>
    <s v="Rural"/>
    <s v="Masculino"/>
    <x v="0"/>
    <x v="2"/>
  </r>
  <r>
    <n v="562"/>
    <s v="48. Piura"/>
    <s v="Primaria"/>
    <x v="0"/>
    <x v="8"/>
    <s v="Rural"/>
    <s v="Masculino"/>
    <x v="0"/>
    <x v="2"/>
  </r>
  <r>
    <n v="563"/>
    <s v="48. Piura"/>
    <s v="Primaria"/>
    <x v="0"/>
    <x v="8"/>
    <s v="Rural"/>
    <s v="Masculino"/>
    <x v="0"/>
    <x v="2"/>
  </r>
  <r>
    <n v="564"/>
    <s v="48. Piura"/>
    <s v="Primaria"/>
    <x v="0"/>
    <x v="8"/>
    <s v="Rural"/>
    <s v="Masculino"/>
    <x v="1"/>
    <x v="2"/>
  </r>
  <r>
    <n v="565"/>
    <s v="48. Piura"/>
    <s v="Primaria"/>
    <x v="0"/>
    <x v="8"/>
    <s v="Rural"/>
    <s v="Masculino"/>
    <x v="1"/>
    <x v="2"/>
  </r>
  <r>
    <n v="566"/>
    <s v="48. Piura"/>
    <s v="Primaria"/>
    <x v="1"/>
    <x v="8"/>
    <s v="Rural"/>
    <s v="Masculino"/>
    <x v="1"/>
    <x v="2"/>
  </r>
  <r>
    <n v="567"/>
    <s v="48. Piura"/>
    <s v="Primaria"/>
    <x v="1"/>
    <x v="8"/>
    <s v="Rural"/>
    <s v="Masculino"/>
    <x v="1"/>
    <x v="2"/>
  </r>
  <r>
    <n v="568"/>
    <s v="48. Piura"/>
    <s v="Primaria"/>
    <x v="1"/>
    <x v="8"/>
    <s v="Rural"/>
    <s v="Masculino"/>
    <x v="1"/>
    <x v="2"/>
  </r>
  <r>
    <n v="569"/>
    <s v="48. Piura"/>
    <s v="Primaria"/>
    <x v="1"/>
    <x v="8"/>
    <s v="Rural"/>
    <s v="Masculino"/>
    <x v="1"/>
    <x v="2"/>
  </r>
  <r>
    <n v="570"/>
    <s v="48. Piura"/>
    <s v="Primaria"/>
    <x v="1"/>
    <x v="8"/>
    <s v="Rural"/>
    <s v="Femenino"/>
    <x v="1"/>
    <x v="2"/>
  </r>
  <r>
    <n v="571"/>
    <s v="48. Piura"/>
    <s v="Primaria"/>
    <x v="4"/>
    <x v="3"/>
    <s v="Rural"/>
    <s v="Masculino"/>
    <x v="0"/>
    <x v="2"/>
  </r>
  <r>
    <n v="572"/>
    <s v="48. Piura"/>
    <s v="Primaria"/>
    <x v="4"/>
    <x v="3"/>
    <s v="Rural"/>
    <s v="Femenino"/>
    <x v="1"/>
    <x v="2"/>
  </r>
  <r>
    <n v="573"/>
    <s v="48. Piura"/>
    <s v="Primaria"/>
    <x v="4"/>
    <x v="3"/>
    <s v="Rural"/>
    <s v="Femenino"/>
    <x v="0"/>
    <x v="2"/>
  </r>
  <r>
    <n v="574"/>
    <s v="48. Piura"/>
    <s v="Primaria"/>
    <x v="4"/>
    <x v="3"/>
    <s v="Rural"/>
    <s v="Masculino"/>
    <x v="1"/>
    <x v="2"/>
  </r>
  <r>
    <n v="575"/>
    <s v="48. Piura"/>
    <s v="Primaria"/>
    <x v="0"/>
    <x v="3"/>
    <s v="Rural"/>
    <s v="Masculino"/>
    <x v="1"/>
    <x v="2"/>
  </r>
  <r>
    <n v="576"/>
    <s v="48. Piura"/>
    <s v="Primaria"/>
    <x v="0"/>
    <x v="3"/>
    <s v="Rural"/>
    <s v="Masculino"/>
    <x v="0"/>
    <x v="2"/>
  </r>
  <r>
    <n v="577"/>
    <s v="48. Piura"/>
    <s v="Primaria"/>
    <x v="0"/>
    <x v="3"/>
    <s v="Rural"/>
    <s v="Femenino"/>
    <x v="0"/>
    <x v="2"/>
  </r>
  <r>
    <n v="578"/>
    <s v="48. Piura"/>
    <s v="Primaria"/>
    <x v="0"/>
    <x v="3"/>
    <s v="Rural"/>
    <s v="Masculino"/>
    <x v="0"/>
    <x v="2"/>
  </r>
  <r>
    <n v="579"/>
    <s v="48. Piura"/>
    <s v="Primaria"/>
    <x v="0"/>
    <x v="3"/>
    <s v="Rural"/>
    <s v="Femenino"/>
    <x v="2"/>
    <x v="2"/>
  </r>
  <r>
    <n v="580"/>
    <s v="48. Piura"/>
    <s v="Primaria"/>
    <x v="0"/>
    <x v="3"/>
    <s v="Rural"/>
    <s v="Masculino"/>
    <x v="1"/>
    <x v="2"/>
  </r>
  <r>
    <n v="581"/>
    <s v="48. Piura"/>
    <s v="Primaria"/>
    <x v="0"/>
    <x v="3"/>
    <s v="Rural"/>
    <s v="Masculino"/>
    <x v="1"/>
    <x v="2"/>
  </r>
  <r>
    <n v="582"/>
    <s v="48. Piura"/>
    <s v="Primaria"/>
    <x v="1"/>
    <x v="3"/>
    <s v="Rural"/>
    <s v="Masculino"/>
    <x v="0"/>
    <x v="2"/>
  </r>
  <r>
    <n v="583"/>
    <s v="48. Piura"/>
    <s v="Primaria"/>
    <x v="1"/>
    <x v="3"/>
    <s v="Rural"/>
    <s v="Masculino"/>
    <x v="1"/>
    <x v="2"/>
  </r>
  <r>
    <n v="584"/>
    <s v="48. Piura"/>
    <s v="Primaria"/>
    <x v="1"/>
    <x v="3"/>
    <s v="Rural"/>
    <s v="Masculino"/>
    <x v="1"/>
    <x v="2"/>
  </r>
  <r>
    <n v="585"/>
    <s v="48. Piura"/>
    <s v="Primaria"/>
    <x v="1"/>
    <x v="3"/>
    <s v="Rural"/>
    <s v="Femenino"/>
    <x v="1"/>
    <x v="2"/>
  </r>
  <r>
    <n v="586"/>
    <s v="48. Piura"/>
    <s v="Primaria"/>
    <x v="1"/>
    <x v="3"/>
    <s v="Rural"/>
    <s v="Femenino"/>
    <x v="1"/>
    <x v="2"/>
  </r>
  <r>
    <n v="587"/>
    <s v="48. Piura"/>
    <s v="Primaria"/>
    <x v="1"/>
    <x v="3"/>
    <s v="Rural"/>
    <s v="Masculino"/>
    <x v="1"/>
    <x v="2"/>
  </r>
  <r>
    <n v="588"/>
    <s v="48. Piura"/>
    <s v="Primaria"/>
    <x v="1"/>
    <x v="3"/>
    <s v="Rural"/>
    <s v="Femenino"/>
    <x v="0"/>
    <x v="2"/>
  </r>
  <r>
    <n v="589"/>
    <s v="48. Piura"/>
    <s v="Primaria"/>
    <x v="1"/>
    <x v="3"/>
    <s v="Rural"/>
    <s v="Femenino"/>
    <x v="0"/>
    <x v="2"/>
  </r>
  <r>
    <n v="590"/>
    <s v="48. Piura"/>
    <s v="Primaria"/>
    <x v="4"/>
    <x v="2"/>
    <s v="Rural"/>
    <s v="Masculino"/>
    <x v="0"/>
    <x v="2"/>
  </r>
  <r>
    <n v="591"/>
    <s v="48. Piura"/>
    <s v="Primaria"/>
    <x v="4"/>
    <x v="2"/>
    <s v="Rural"/>
    <s v="Femenino"/>
    <x v="1"/>
    <x v="2"/>
  </r>
  <r>
    <n v="592"/>
    <s v="48. Piura"/>
    <s v="Primaria"/>
    <x v="4"/>
    <x v="2"/>
    <s v="Rural"/>
    <s v="Masculino"/>
    <x v="1"/>
    <x v="2"/>
  </r>
  <r>
    <n v="593"/>
    <s v="48. Piura"/>
    <s v="Primaria"/>
    <x v="4"/>
    <x v="2"/>
    <s v="Rural"/>
    <s v="Femenino"/>
    <x v="0"/>
    <x v="2"/>
  </r>
  <r>
    <n v="594"/>
    <s v="48. Piura"/>
    <s v="Primaria"/>
    <x v="4"/>
    <x v="2"/>
    <s v="Rural"/>
    <s v="Masculino"/>
    <x v="0"/>
    <x v="2"/>
  </r>
  <r>
    <n v="595"/>
    <s v="48. Piura"/>
    <s v="Primaria"/>
    <x v="4"/>
    <x v="2"/>
    <s v="Rural"/>
    <s v="Masculino"/>
    <x v="0"/>
    <x v="2"/>
  </r>
  <r>
    <n v="596"/>
    <s v="48. Piura"/>
    <s v="Primaria"/>
    <x v="4"/>
    <x v="2"/>
    <s v="Rural"/>
    <s v="Femenino"/>
    <x v="1"/>
    <x v="2"/>
  </r>
  <r>
    <n v="597"/>
    <s v="48. Piura"/>
    <s v="Primaria"/>
    <x v="4"/>
    <x v="2"/>
    <s v="Rural"/>
    <s v="Masculino"/>
    <x v="0"/>
    <x v="2"/>
  </r>
  <r>
    <n v="598"/>
    <s v="48. Piura"/>
    <s v="Primaria"/>
    <x v="4"/>
    <x v="2"/>
    <s v="Rural"/>
    <s v="Femenino"/>
    <x v="1"/>
    <x v="2"/>
  </r>
  <r>
    <n v="599"/>
    <s v="48. Piura"/>
    <s v="Primaria"/>
    <x v="1"/>
    <x v="2"/>
    <s v="Rural"/>
    <s v="Femenino"/>
    <x v="2"/>
    <x v="2"/>
  </r>
  <r>
    <n v="600"/>
    <s v="48. Piura"/>
    <s v="Primaria"/>
    <x v="1"/>
    <x v="2"/>
    <s v="Rural"/>
    <s v="Femenino"/>
    <x v="1"/>
    <x v="2"/>
  </r>
  <r>
    <n v="601"/>
    <s v="48. Piura"/>
    <s v="Primaria"/>
    <x v="1"/>
    <x v="2"/>
    <s v="Rural"/>
    <s v="Femenino"/>
    <x v="0"/>
    <x v="2"/>
  </r>
  <r>
    <n v="602"/>
    <s v="48. Piura"/>
    <s v="Primaria"/>
    <x v="1"/>
    <x v="2"/>
    <s v="Rural"/>
    <s v="Femenino"/>
    <x v="1"/>
    <x v="2"/>
  </r>
  <r>
    <n v="603"/>
    <s v="48. Piura"/>
    <s v="Primaria"/>
    <x v="1"/>
    <x v="2"/>
    <s v="Rural"/>
    <s v="Masculino"/>
    <x v="0"/>
    <x v="2"/>
  </r>
  <r>
    <n v="604"/>
    <s v="48. Piura"/>
    <s v="Primaria"/>
    <x v="1"/>
    <x v="2"/>
    <s v="Rural"/>
    <s v="Femenino"/>
    <x v="2"/>
    <x v="2"/>
  </r>
  <r>
    <n v="605"/>
    <s v="48. Piura"/>
    <s v="Primaria"/>
    <x v="1"/>
    <x v="2"/>
    <s v="Rural"/>
    <s v="Masculino"/>
    <x v="1"/>
    <x v="2"/>
  </r>
  <r>
    <n v="606"/>
    <s v="48. Piura"/>
    <s v="Primaria"/>
    <x v="1"/>
    <x v="2"/>
    <s v="Rural"/>
    <s v="Femenino"/>
    <x v="1"/>
    <x v="2"/>
  </r>
  <r>
    <n v="607"/>
    <s v="48. Piura"/>
    <s v="Primaria"/>
    <x v="1"/>
    <x v="2"/>
    <s v="Rural"/>
    <s v="Masculino"/>
    <x v="0"/>
    <x v="2"/>
  </r>
  <r>
    <n v="608"/>
    <s v="48. Piura"/>
    <s v="Primaria"/>
    <x v="1"/>
    <x v="2"/>
    <s v="Rural"/>
    <s v="Femenino"/>
    <x v="1"/>
    <x v="2"/>
  </r>
  <r>
    <n v="609"/>
    <s v="48. Piura"/>
    <s v="Primaria"/>
    <x v="1"/>
    <x v="2"/>
    <s v="Rural"/>
    <s v="Masculino"/>
    <x v="1"/>
    <x v="2"/>
  </r>
  <r>
    <n v="610"/>
    <s v="48. Piura"/>
    <s v="Primaria"/>
    <x v="1"/>
    <x v="2"/>
    <s v="Rural"/>
    <s v="Masculino"/>
    <x v="1"/>
    <x v="2"/>
  </r>
  <r>
    <n v="611"/>
    <s v="48. Piura"/>
    <s v="Primaria"/>
    <x v="1"/>
    <x v="2"/>
    <s v="Rural"/>
    <s v="Masculino"/>
    <x v="0"/>
    <x v="2"/>
  </r>
  <r>
    <n v="612"/>
    <s v="48. Piura"/>
    <s v="Primaria"/>
    <x v="1"/>
    <x v="2"/>
    <s v="Rural"/>
    <s v="Masculino"/>
    <x v="1"/>
    <x v="2"/>
  </r>
  <r>
    <n v="613"/>
    <s v="48. Piura"/>
    <s v="Primaria"/>
    <x v="1"/>
    <x v="2"/>
    <s v="Rural"/>
    <s v="Femenino"/>
    <x v="1"/>
    <x v="2"/>
  </r>
  <r>
    <n v="614"/>
    <s v="48. Piura"/>
    <s v="Primaria"/>
    <x v="1"/>
    <x v="2"/>
    <s v="Rural"/>
    <s v="Femenino"/>
    <x v="1"/>
    <x v="2"/>
  </r>
  <r>
    <n v="615"/>
    <s v="48. Piura"/>
    <s v="Primaria"/>
    <x v="1"/>
    <x v="2"/>
    <s v="Rural"/>
    <s v="Masculino"/>
    <x v="1"/>
    <x v="2"/>
  </r>
  <r>
    <n v="616"/>
    <s v="48. Piura"/>
    <s v="Primaria"/>
    <x v="1"/>
    <x v="2"/>
    <s v="Rural"/>
    <s v="Masculino"/>
    <x v="1"/>
    <x v="2"/>
  </r>
  <r>
    <n v="617"/>
    <s v="48. Piura"/>
    <s v="Primaria"/>
    <x v="1"/>
    <x v="2"/>
    <s v="Rural"/>
    <s v="Femenino"/>
    <x v="1"/>
    <x v="2"/>
  </r>
  <r>
    <n v="618"/>
    <s v="48. Piura"/>
    <s v="Primaria"/>
    <x v="1"/>
    <x v="2"/>
    <s v="Rural"/>
    <s v="Masculino"/>
    <x v="1"/>
    <x v="2"/>
  </r>
  <r>
    <n v="619"/>
    <s v="48. Piura"/>
    <s v="Primaria"/>
    <x v="1"/>
    <x v="2"/>
    <s v="Rural"/>
    <s v="Femenino"/>
    <x v="0"/>
    <x v="2"/>
  </r>
  <r>
    <n v="620"/>
    <s v="48. Piura"/>
    <s v="Primaria"/>
    <x v="1"/>
    <x v="2"/>
    <s v="Rural"/>
    <s v="Femenino"/>
    <x v="0"/>
    <x v="2"/>
  </r>
  <r>
    <n v="621"/>
    <s v="48. Piura"/>
    <s v="Primaria"/>
    <x v="1"/>
    <x v="2"/>
    <s v="Rural"/>
    <s v="Femenino"/>
    <x v="0"/>
    <x v="2"/>
  </r>
  <r>
    <n v="622"/>
    <s v="47. Loreto"/>
    <s v="Primaria"/>
    <x v="4"/>
    <x v="30"/>
    <s v="Rural"/>
    <s v="Masculino"/>
    <x v="1"/>
    <x v="2"/>
  </r>
  <r>
    <n v="623"/>
    <s v="47. Loreto"/>
    <s v="Primaria"/>
    <x v="4"/>
    <x v="30"/>
    <s v="Rural"/>
    <s v="Femenino"/>
    <x v="2"/>
    <x v="2"/>
  </r>
  <r>
    <n v="624"/>
    <s v="47. Loreto"/>
    <s v="Primaria"/>
    <x v="4"/>
    <x v="30"/>
    <s v="Rural"/>
    <s v="Masculino"/>
    <x v="0"/>
    <x v="2"/>
  </r>
  <r>
    <n v="625"/>
    <s v="47. Loreto"/>
    <s v="Primaria"/>
    <x v="4"/>
    <x v="30"/>
    <s v="Rural"/>
    <s v="Masculino"/>
    <x v="2"/>
    <x v="2"/>
  </r>
  <r>
    <n v="626"/>
    <s v="47. Loreto"/>
    <s v="Primaria"/>
    <x v="4"/>
    <x v="30"/>
    <s v="Rural"/>
    <s v="Masculino"/>
    <x v="0"/>
    <x v="2"/>
  </r>
  <r>
    <n v="627"/>
    <s v="47. Loreto"/>
    <s v="Primaria"/>
    <x v="4"/>
    <x v="30"/>
    <s v="Rural"/>
    <s v="Femenino"/>
    <x v="1"/>
    <x v="2"/>
  </r>
  <r>
    <n v="628"/>
    <s v="47. Loreto"/>
    <s v="Primaria"/>
    <x v="4"/>
    <x v="30"/>
    <s v="Rural"/>
    <s v="Masculino"/>
    <x v="1"/>
    <x v="2"/>
  </r>
  <r>
    <n v="629"/>
    <s v="47. Loreto"/>
    <s v="Primaria"/>
    <x v="4"/>
    <x v="30"/>
    <s v="Rural"/>
    <s v="Femenino"/>
    <x v="1"/>
    <x v="2"/>
  </r>
  <r>
    <n v="630"/>
    <s v="47. Loreto"/>
    <s v="Primaria"/>
    <x v="0"/>
    <x v="30"/>
    <s v="Rural"/>
    <s v="Masculino"/>
    <x v="2"/>
    <x v="2"/>
  </r>
  <r>
    <n v="631"/>
    <s v="47. Loreto"/>
    <s v="Primaria"/>
    <x v="0"/>
    <x v="30"/>
    <s v="Rural"/>
    <s v="Masculino"/>
    <x v="0"/>
    <x v="2"/>
  </r>
  <r>
    <n v="632"/>
    <s v="47. Loreto"/>
    <s v="Primaria"/>
    <x v="0"/>
    <x v="30"/>
    <s v="Rural"/>
    <s v="Masculino"/>
    <x v="1"/>
    <x v="2"/>
  </r>
  <r>
    <n v="633"/>
    <s v="47. Loreto"/>
    <s v="Primaria"/>
    <x v="0"/>
    <x v="30"/>
    <s v="Rural"/>
    <s v="Masculino"/>
    <x v="0"/>
    <x v="2"/>
  </r>
  <r>
    <n v="634"/>
    <s v="47. Loreto"/>
    <s v="Primaria"/>
    <x v="0"/>
    <x v="30"/>
    <s v="Rural"/>
    <s v="Masculino"/>
    <x v="0"/>
    <x v="2"/>
  </r>
  <r>
    <n v="635"/>
    <s v="47. Loreto"/>
    <s v="Primaria"/>
    <x v="0"/>
    <x v="30"/>
    <s v="Rural"/>
    <s v="Masculino"/>
    <x v="1"/>
    <x v="2"/>
  </r>
  <r>
    <n v="636"/>
    <s v="47. Loreto"/>
    <s v="Primaria"/>
    <x v="0"/>
    <x v="30"/>
    <s v="Rural"/>
    <s v="Masculino"/>
    <x v="0"/>
    <x v="2"/>
  </r>
  <r>
    <n v="637"/>
    <s v="47. Loreto"/>
    <s v="Primaria"/>
    <x v="1"/>
    <x v="30"/>
    <s v="Rural"/>
    <s v="Masculino"/>
    <x v="0"/>
    <x v="2"/>
  </r>
  <r>
    <n v="638"/>
    <s v="47. Loreto"/>
    <s v="Primaria"/>
    <x v="1"/>
    <x v="30"/>
    <s v="Rural"/>
    <s v="Masculino"/>
    <x v="2"/>
    <x v="2"/>
  </r>
  <r>
    <n v="639"/>
    <s v="47. Loreto"/>
    <s v="Primaria"/>
    <x v="1"/>
    <x v="30"/>
    <s v="Rural"/>
    <s v="Femenino"/>
    <x v="0"/>
    <x v="2"/>
  </r>
  <r>
    <n v="640"/>
    <s v="47. Loreto"/>
    <s v="Primaria"/>
    <x v="1"/>
    <x v="30"/>
    <s v="Rural"/>
    <s v="Masculino"/>
    <x v="0"/>
    <x v="2"/>
  </r>
  <r>
    <n v="641"/>
    <s v="47. Loreto"/>
    <s v="Primaria"/>
    <x v="1"/>
    <x v="30"/>
    <s v="Rural"/>
    <s v="Masculino"/>
    <x v="1"/>
    <x v="2"/>
  </r>
  <r>
    <n v="642"/>
    <s v="47. Loreto"/>
    <s v="Primaria"/>
    <x v="0"/>
    <x v="32"/>
    <s v="Rural"/>
    <s v="Masculino"/>
    <x v="1"/>
    <x v="2"/>
  </r>
  <r>
    <n v="643"/>
    <s v="47. Loreto"/>
    <s v="Primaria"/>
    <x v="1"/>
    <x v="32"/>
    <s v="Rural"/>
    <s v="Masculino"/>
    <x v="2"/>
    <x v="2"/>
  </r>
  <r>
    <n v="644"/>
    <s v="47. Loreto"/>
    <s v="Primaria"/>
    <x v="1"/>
    <x v="32"/>
    <s v="Rural"/>
    <s v="Femenino"/>
    <x v="1"/>
    <x v="2"/>
  </r>
  <r>
    <n v="645"/>
    <s v="47. Loreto"/>
    <s v="Primaria"/>
    <x v="1"/>
    <x v="32"/>
    <s v="Rural"/>
    <s v="Masculino"/>
    <x v="1"/>
    <x v="2"/>
  </r>
  <r>
    <n v="646"/>
    <s v="47. Loreto"/>
    <s v="Secundaria"/>
    <x v="2"/>
    <x v="31"/>
    <s v="Rural"/>
    <s v="Femenino"/>
    <x v="0"/>
    <x v="2"/>
  </r>
  <r>
    <n v="647"/>
    <s v="47. Loreto"/>
    <s v="Secundaria"/>
    <x v="2"/>
    <x v="31"/>
    <s v="Rural"/>
    <s v="Masculino"/>
    <x v="0"/>
    <x v="2"/>
  </r>
  <r>
    <n v="648"/>
    <s v="47. Loreto"/>
    <s v="Secundaria"/>
    <x v="2"/>
    <x v="31"/>
    <s v="Rural"/>
    <s v="Femenino"/>
    <x v="1"/>
    <x v="2"/>
  </r>
  <r>
    <n v="649"/>
    <s v="47. Loreto"/>
    <s v="Secundaria"/>
    <x v="2"/>
    <x v="31"/>
    <s v="Rural"/>
    <s v="Masculino"/>
    <x v="1"/>
    <x v="2"/>
  </r>
  <r>
    <n v="650"/>
    <s v="47. Loreto"/>
    <s v="Secundaria"/>
    <x v="2"/>
    <x v="31"/>
    <s v="Rural"/>
    <s v="Masculino"/>
    <x v="0"/>
    <x v="2"/>
  </r>
  <r>
    <n v="651"/>
    <s v="47. Loreto"/>
    <s v="Secundaria"/>
    <x v="2"/>
    <x v="31"/>
    <s v="Rural"/>
    <s v="Masculino"/>
    <x v="0"/>
    <x v="2"/>
  </r>
  <r>
    <n v="652"/>
    <s v="47. Loreto"/>
    <s v="Secundaria"/>
    <x v="2"/>
    <x v="31"/>
    <s v="Rural"/>
    <s v="Femenino"/>
    <x v="2"/>
    <x v="2"/>
  </r>
  <r>
    <n v="653"/>
    <s v="47. Loreto"/>
    <s v="Secundaria"/>
    <x v="2"/>
    <x v="31"/>
    <s v="Rural"/>
    <s v="Femenino"/>
    <x v="0"/>
    <x v="2"/>
  </r>
  <r>
    <n v="654"/>
    <s v="47. Loreto"/>
    <s v="Secundaria"/>
    <x v="2"/>
    <x v="31"/>
    <s v="Rural"/>
    <s v="Masculino"/>
    <x v="0"/>
    <x v="2"/>
  </r>
  <r>
    <n v="655"/>
    <s v="47. Loreto"/>
    <s v="Secundaria"/>
    <x v="2"/>
    <x v="31"/>
    <s v="Rural"/>
    <s v="Masculino"/>
    <x v="0"/>
    <x v="2"/>
  </r>
  <r>
    <n v="656"/>
    <s v="47. Loreto"/>
    <s v="Secundaria"/>
    <x v="2"/>
    <x v="31"/>
    <s v="Rural"/>
    <s v="Femenino"/>
    <x v="0"/>
    <x v="2"/>
  </r>
  <r>
    <n v="657"/>
    <s v="47. Loreto"/>
    <s v="Secundaria"/>
    <x v="2"/>
    <x v="31"/>
    <s v="Rural"/>
    <s v="Masculino"/>
    <x v="2"/>
    <x v="2"/>
  </r>
  <r>
    <n v="658"/>
    <s v="47. Loreto"/>
    <s v="Secundaria"/>
    <x v="2"/>
    <x v="31"/>
    <s v="Rural"/>
    <s v="Masculino"/>
    <x v="0"/>
    <x v="2"/>
  </r>
  <r>
    <n v="659"/>
    <s v="47. Loreto"/>
    <s v="Secundaria"/>
    <x v="2"/>
    <x v="31"/>
    <s v="Rural"/>
    <s v="Masculino"/>
    <x v="0"/>
    <x v="2"/>
  </r>
  <r>
    <n v="660"/>
    <s v="47. Loreto"/>
    <s v="Secundaria"/>
    <x v="2"/>
    <x v="31"/>
    <s v="Rural"/>
    <s v="Masculino"/>
    <x v="0"/>
    <x v="2"/>
  </r>
  <r>
    <n v="661"/>
    <s v="47. Loreto"/>
    <s v="Secundaria"/>
    <x v="2"/>
    <x v="31"/>
    <s v="Rural"/>
    <s v="Masculino"/>
    <x v="1"/>
    <x v="2"/>
  </r>
  <r>
    <n v="662"/>
    <s v="47. Loreto"/>
    <s v="Secundaria"/>
    <x v="2"/>
    <x v="31"/>
    <s v="Rural"/>
    <s v="Masculino"/>
    <x v="0"/>
    <x v="2"/>
  </r>
  <r>
    <n v="663"/>
    <s v="47. Loreto"/>
    <s v="Secundaria"/>
    <x v="2"/>
    <x v="31"/>
    <s v="Rural"/>
    <s v="Masculino"/>
    <x v="0"/>
    <x v="2"/>
  </r>
  <r>
    <n v="664"/>
    <s v="47. Loreto"/>
    <s v="Secundaria"/>
    <x v="2"/>
    <x v="31"/>
    <s v="Rural"/>
    <s v="Masculino"/>
    <x v="0"/>
    <x v="2"/>
  </r>
  <r>
    <n v="665"/>
    <s v="47. Loreto"/>
    <s v="Secundaria"/>
    <x v="2"/>
    <x v="31"/>
    <s v="Rural"/>
    <s v="Masculino"/>
    <x v="0"/>
    <x v="2"/>
  </r>
  <r>
    <n v="666"/>
    <s v="47. Loreto"/>
    <s v="Secundaria"/>
    <x v="2"/>
    <x v="31"/>
    <s v="Rural"/>
    <s v="Masculino"/>
    <x v="0"/>
    <x v="2"/>
  </r>
  <r>
    <n v="667"/>
    <s v="47. Loreto"/>
    <s v="Secundaria"/>
    <x v="2"/>
    <x v="31"/>
    <s v="Rural"/>
    <s v="Masculino"/>
    <x v="0"/>
    <x v="2"/>
  </r>
  <r>
    <n v="668"/>
    <s v="47. Loreto"/>
    <s v="Secundaria"/>
    <x v="2"/>
    <x v="31"/>
    <s v="Rural"/>
    <s v="Masculino"/>
    <x v="0"/>
    <x v="2"/>
  </r>
  <r>
    <n v="669"/>
    <s v="47. Loreto"/>
    <s v="Secundaria"/>
    <x v="2"/>
    <x v="31"/>
    <s v="Rural"/>
    <s v="Masculino"/>
    <x v="0"/>
    <x v="2"/>
  </r>
  <r>
    <n v="670"/>
    <s v="47. Loreto"/>
    <s v="Secundaria"/>
    <x v="2"/>
    <x v="31"/>
    <s v="Rural"/>
    <s v="Femenino"/>
    <x v="0"/>
    <x v="2"/>
  </r>
  <r>
    <n v="671"/>
    <s v="47. Loreto"/>
    <s v="Secundaria"/>
    <x v="2"/>
    <x v="31"/>
    <s v="Rural"/>
    <s v="Masculino"/>
    <x v="0"/>
    <x v="2"/>
  </r>
  <r>
    <n v="672"/>
    <s v="47. Loreto"/>
    <s v="Secundaria"/>
    <x v="2"/>
    <x v="31"/>
    <s v="Rural"/>
    <s v="Masculino"/>
    <x v="0"/>
    <x v="2"/>
  </r>
  <r>
    <n v="673"/>
    <s v="47. Loreto"/>
    <s v="Secundaria"/>
    <x v="2"/>
    <x v="31"/>
    <s v="Rural"/>
    <s v="Femenino"/>
    <x v="0"/>
    <x v="2"/>
  </r>
  <r>
    <n v="674"/>
    <s v="47. Loreto"/>
    <s v="Secundaria"/>
    <x v="2"/>
    <x v="31"/>
    <s v="Rural"/>
    <s v="Femenino"/>
    <x v="1"/>
    <x v="2"/>
  </r>
  <r>
    <n v="675"/>
    <s v="47. Loreto"/>
    <s v="Secundaria"/>
    <x v="2"/>
    <x v="31"/>
    <s v="Rural"/>
    <s v="Masculino"/>
    <x v="0"/>
    <x v="2"/>
  </r>
  <r>
    <n v="676"/>
    <s v="47. Loreto"/>
    <s v="Secundaria"/>
    <x v="2"/>
    <x v="31"/>
    <s v="Rural"/>
    <s v="Femenino"/>
    <x v="1"/>
    <x v="2"/>
  </r>
  <r>
    <n v="677"/>
    <s v="47. Loreto"/>
    <s v="Secundaria"/>
    <x v="2"/>
    <x v="31"/>
    <s v="Rural"/>
    <s v="Femenino"/>
    <x v="0"/>
    <x v="2"/>
  </r>
  <r>
    <n v="678"/>
    <s v="47. Loreto"/>
    <s v="Secundaria"/>
    <x v="2"/>
    <x v="31"/>
    <s v="Rural"/>
    <s v="Femenino"/>
    <x v="0"/>
    <x v="2"/>
  </r>
  <r>
    <n v="679"/>
    <s v="47. Loreto"/>
    <s v="Secundaria"/>
    <x v="2"/>
    <x v="31"/>
    <s v="Rural"/>
    <s v="Masculino"/>
    <x v="0"/>
    <x v="2"/>
  </r>
  <r>
    <n v="680"/>
    <s v="47. Loreto"/>
    <s v="Secundaria"/>
    <x v="2"/>
    <x v="31"/>
    <s v="Rural"/>
    <s v="Femenino"/>
    <x v="0"/>
    <x v="2"/>
  </r>
  <r>
    <n v="681"/>
    <s v="47. Loreto"/>
    <s v="Secundaria"/>
    <x v="2"/>
    <x v="31"/>
    <s v="Rural"/>
    <s v="Femenino"/>
    <x v="0"/>
    <x v="2"/>
  </r>
  <r>
    <n v="682"/>
    <s v="47. Loreto"/>
    <s v="Secundaria"/>
    <x v="2"/>
    <x v="31"/>
    <s v="Rural"/>
    <s v="Femenino"/>
    <x v="0"/>
    <x v="2"/>
  </r>
  <r>
    <n v="683"/>
    <s v="47. Loreto"/>
    <s v="Secundaria"/>
    <x v="2"/>
    <x v="31"/>
    <s v="Rural"/>
    <s v="Femenino"/>
    <x v="0"/>
    <x v="2"/>
  </r>
  <r>
    <n v="684"/>
    <s v="47. Loreto"/>
    <s v="Secundaria"/>
    <x v="2"/>
    <x v="31"/>
    <s v="Rural"/>
    <s v="Femenino"/>
    <x v="0"/>
    <x v="2"/>
  </r>
  <r>
    <n v="685"/>
    <s v="47. Loreto"/>
    <s v="Secundaria"/>
    <x v="2"/>
    <x v="31"/>
    <s v="Rural"/>
    <s v="Femenino"/>
    <x v="0"/>
    <x v="2"/>
  </r>
  <r>
    <n v="686"/>
    <s v="47. Loreto"/>
    <s v="Secundaria"/>
    <x v="3"/>
    <x v="31"/>
    <s v="Rural"/>
    <s v="Masculino"/>
    <x v="1"/>
    <x v="2"/>
  </r>
  <r>
    <n v="687"/>
    <s v="47. Loreto"/>
    <s v="Secundaria"/>
    <x v="3"/>
    <x v="31"/>
    <s v="Rural"/>
    <s v="Masculino"/>
    <x v="1"/>
    <x v="2"/>
  </r>
  <r>
    <n v="688"/>
    <s v="47. Loreto"/>
    <s v="Secundaria"/>
    <x v="3"/>
    <x v="31"/>
    <s v="Rural"/>
    <s v="Femenino"/>
    <x v="2"/>
    <x v="2"/>
  </r>
  <r>
    <n v="689"/>
    <s v="47. Loreto"/>
    <s v="Secundaria"/>
    <x v="3"/>
    <x v="31"/>
    <s v="Rural"/>
    <s v="Masculino"/>
    <x v="1"/>
    <x v="2"/>
  </r>
  <r>
    <n v="690"/>
    <s v="47. Loreto"/>
    <s v="Secundaria"/>
    <x v="3"/>
    <x v="31"/>
    <s v="Rural"/>
    <s v="Femenino"/>
    <x v="1"/>
    <x v="2"/>
  </r>
  <r>
    <n v="691"/>
    <s v="47. Loreto"/>
    <s v="Secundaria"/>
    <x v="3"/>
    <x v="31"/>
    <s v="Rural"/>
    <s v="Femenino"/>
    <x v="1"/>
    <x v="2"/>
  </r>
  <r>
    <n v="692"/>
    <s v="47. Loreto"/>
    <s v="Secundaria"/>
    <x v="3"/>
    <x v="31"/>
    <s v="Rural"/>
    <s v="Femenino"/>
    <x v="2"/>
    <x v="2"/>
  </r>
  <r>
    <n v="693"/>
    <s v="47. Loreto"/>
    <s v="Secundaria"/>
    <x v="3"/>
    <x v="31"/>
    <s v="Rural"/>
    <s v="Femenino"/>
    <x v="1"/>
    <x v="2"/>
  </r>
  <r>
    <n v="694"/>
    <s v="47. Loreto"/>
    <s v="Secundaria"/>
    <x v="3"/>
    <x v="31"/>
    <s v="Rural"/>
    <s v="Masculino"/>
    <x v="0"/>
    <x v="2"/>
  </r>
  <r>
    <n v="695"/>
    <s v="47. Loreto"/>
    <s v="Secundaria"/>
    <x v="3"/>
    <x v="31"/>
    <s v="Rural"/>
    <s v="Femenino"/>
    <x v="0"/>
    <x v="2"/>
  </r>
  <r>
    <n v="696"/>
    <s v="47. Loreto"/>
    <s v="Secundaria"/>
    <x v="3"/>
    <x v="31"/>
    <s v="Rural"/>
    <s v="Masculino"/>
    <x v="0"/>
    <x v="2"/>
  </r>
  <r>
    <n v="697"/>
    <s v="47. Loreto"/>
    <s v="Secundaria"/>
    <x v="3"/>
    <x v="31"/>
    <s v="Rural"/>
    <s v="Masculino"/>
    <x v="1"/>
    <x v="2"/>
  </r>
  <r>
    <n v="698"/>
    <s v="47. Loreto"/>
    <s v="Secundaria"/>
    <x v="3"/>
    <x v="31"/>
    <s v="Rural"/>
    <s v="Masculino"/>
    <x v="0"/>
    <x v="2"/>
  </r>
  <r>
    <n v="699"/>
    <s v="47. Loreto"/>
    <s v="Secundaria"/>
    <x v="3"/>
    <x v="31"/>
    <s v="Rural"/>
    <s v="Masculino"/>
    <x v="0"/>
    <x v="2"/>
  </r>
  <r>
    <n v="700"/>
    <s v="47. Loreto"/>
    <s v="Secundaria"/>
    <x v="3"/>
    <x v="31"/>
    <s v="Rural"/>
    <s v="Femenino"/>
    <x v="0"/>
    <x v="2"/>
  </r>
  <r>
    <n v="701"/>
    <s v="47. Loreto"/>
    <s v="Secundaria"/>
    <x v="3"/>
    <x v="31"/>
    <s v="Rural"/>
    <s v="Masculino"/>
    <x v="0"/>
    <x v="2"/>
  </r>
  <r>
    <n v="702"/>
    <s v="47. Loreto"/>
    <s v="Secundaria"/>
    <x v="3"/>
    <x v="31"/>
    <s v="Rural"/>
    <s v="Femenino"/>
    <x v="0"/>
    <x v="2"/>
  </r>
  <r>
    <n v="703"/>
    <s v="47. Loreto"/>
    <s v="Secundaria"/>
    <x v="3"/>
    <x v="31"/>
    <s v="Rural"/>
    <s v="Masculino"/>
    <x v="0"/>
    <x v="2"/>
  </r>
  <r>
    <n v="704"/>
    <s v="47. Loreto"/>
    <s v="Secundaria"/>
    <x v="3"/>
    <x v="31"/>
    <s v="Rural"/>
    <s v="Masculino"/>
    <x v="0"/>
    <x v="2"/>
  </r>
  <r>
    <n v="705"/>
    <s v="47. Loreto"/>
    <s v="Secundaria"/>
    <x v="3"/>
    <x v="31"/>
    <s v="Rural"/>
    <s v="Femenino"/>
    <x v="1"/>
    <x v="2"/>
  </r>
  <r>
    <n v="706"/>
    <s v="47. Loreto"/>
    <s v="Secundaria"/>
    <x v="3"/>
    <x v="31"/>
    <s v="Rural"/>
    <s v="Masculino"/>
    <x v="0"/>
    <x v="2"/>
  </r>
  <r>
    <n v="707"/>
    <s v="47. Loreto"/>
    <s v="Secundaria"/>
    <x v="3"/>
    <x v="31"/>
    <s v="Rural"/>
    <s v="Masculino"/>
    <x v="0"/>
    <x v="2"/>
  </r>
  <r>
    <n v="708"/>
    <s v="47. Loreto"/>
    <s v="Secundaria"/>
    <x v="3"/>
    <x v="31"/>
    <s v="Rural"/>
    <s v="Masculino"/>
    <x v="0"/>
    <x v="2"/>
  </r>
  <r>
    <n v="709"/>
    <s v="47. Loreto"/>
    <s v="Primaria"/>
    <x v="4"/>
    <x v="34"/>
    <s v="Rural"/>
    <s v="Masculino"/>
    <x v="0"/>
    <x v="2"/>
  </r>
  <r>
    <n v="710"/>
    <s v="47. Loreto"/>
    <s v="Primaria"/>
    <x v="4"/>
    <x v="34"/>
    <s v="Rural"/>
    <s v="Femenino"/>
    <x v="1"/>
    <x v="2"/>
  </r>
  <r>
    <n v="711"/>
    <s v="47. Loreto"/>
    <s v="Primaria"/>
    <x v="4"/>
    <x v="34"/>
    <s v="Rural"/>
    <s v="Femenino"/>
    <x v="0"/>
    <x v="2"/>
  </r>
  <r>
    <n v="712"/>
    <s v="47. Loreto"/>
    <s v="Primaria"/>
    <x v="4"/>
    <x v="34"/>
    <s v="Rural"/>
    <s v="Femenino"/>
    <x v="0"/>
    <x v="2"/>
  </r>
  <r>
    <n v="713"/>
    <s v="47. Loreto"/>
    <s v="Primaria"/>
    <x v="0"/>
    <x v="34"/>
    <s v="Rural"/>
    <s v="Femenino"/>
    <x v="1"/>
    <x v="2"/>
  </r>
  <r>
    <n v="714"/>
    <s v="47. Loreto"/>
    <s v="Primaria"/>
    <x v="0"/>
    <x v="34"/>
    <s v="Rural"/>
    <s v="Masculino"/>
    <x v="1"/>
    <x v="2"/>
  </r>
  <r>
    <n v="715"/>
    <s v="47. Loreto"/>
    <s v="Primaria"/>
    <x v="0"/>
    <x v="34"/>
    <s v="Rural"/>
    <s v="Masculino"/>
    <x v="1"/>
    <x v="2"/>
  </r>
  <r>
    <n v="716"/>
    <s v="47. Loreto"/>
    <s v="Primaria"/>
    <x v="0"/>
    <x v="34"/>
    <s v="Rural"/>
    <s v="Femenino"/>
    <x v="0"/>
    <x v="2"/>
  </r>
  <r>
    <n v="717"/>
    <s v="47. Loreto"/>
    <s v="Primaria"/>
    <x v="0"/>
    <x v="34"/>
    <s v="Rural"/>
    <s v="Masculino"/>
    <x v="0"/>
    <x v="2"/>
  </r>
  <r>
    <n v="718"/>
    <s v="47. Loreto"/>
    <s v="Primaria"/>
    <x v="0"/>
    <x v="34"/>
    <s v="Rural"/>
    <s v="Masculino"/>
    <x v="1"/>
    <x v="2"/>
  </r>
  <r>
    <n v="719"/>
    <s v="47. Loreto"/>
    <s v="Primaria"/>
    <x v="0"/>
    <x v="34"/>
    <s v="Rural"/>
    <s v="Femenino"/>
    <x v="1"/>
    <x v="2"/>
  </r>
  <r>
    <n v="720"/>
    <s v="47. Loreto"/>
    <s v="Primaria"/>
    <x v="0"/>
    <x v="34"/>
    <s v="Rural"/>
    <s v="Femenino"/>
    <x v="0"/>
    <x v="2"/>
  </r>
  <r>
    <n v="721"/>
    <s v="47. Loreto"/>
    <s v="Primaria"/>
    <x v="1"/>
    <x v="34"/>
    <s v="Rural"/>
    <s v="Femenino"/>
    <x v="0"/>
    <x v="2"/>
  </r>
  <r>
    <n v="722"/>
    <s v="47. Loreto"/>
    <s v="Primaria"/>
    <x v="1"/>
    <x v="34"/>
    <s v="Rural"/>
    <s v="Masculino"/>
    <x v="1"/>
    <x v="2"/>
  </r>
  <r>
    <n v="723"/>
    <s v="47. Loreto"/>
    <s v="Primaria"/>
    <x v="1"/>
    <x v="34"/>
    <s v="Rural"/>
    <s v="Masculino"/>
    <x v="1"/>
    <x v="2"/>
  </r>
  <r>
    <n v="724"/>
    <s v="47. Loreto"/>
    <s v="Primaria"/>
    <x v="1"/>
    <x v="34"/>
    <s v="Rural"/>
    <s v="Masculino"/>
    <x v="0"/>
    <x v="2"/>
  </r>
  <r>
    <n v="725"/>
    <s v="47. Loreto"/>
    <s v="Primaria"/>
    <x v="1"/>
    <x v="34"/>
    <s v="Rural"/>
    <s v="Masculino"/>
    <x v="0"/>
    <x v="2"/>
  </r>
  <r>
    <n v="726"/>
    <s v="47. Loreto"/>
    <s v="Primaria"/>
    <x v="1"/>
    <x v="34"/>
    <s v="Rural"/>
    <s v="Masculino"/>
    <x v="0"/>
    <x v="2"/>
  </r>
  <r>
    <n v="727"/>
    <s v="47. Loreto"/>
    <s v="Primaria"/>
    <x v="1"/>
    <x v="34"/>
    <s v="Rural"/>
    <s v="Masculino"/>
    <x v="0"/>
    <x v="2"/>
  </r>
  <r>
    <n v="728"/>
    <s v="47. Loreto"/>
    <s v="Primaria"/>
    <x v="1"/>
    <x v="34"/>
    <s v="Rural"/>
    <s v="Masculino"/>
    <x v="0"/>
    <x v="2"/>
  </r>
  <r>
    <n v="729"/>
    <s v="47. Loreto"/>
    <s v="Primaria"/>
    <x v="1"/>
    <x v="34"/>
    <s v="Rural"/>
    <s v="Femenino"/>
    <x v="0"/>
    <x v="2"/>
  </r>
  <r>
    <n v="730"/>
    <s v="47. Loreto"/>
    <s v="Primaria"/>
    <x v="4"/>
    <x v="35"/>
    <s v="Rural"/>
    <s v="Masculino"/>
    <x v="0"/>
    <x v="2"/>
  </r>
  <r>
    <n v="731"/>
    <s v="47. Loreto"/>
    <s v="Primaria"/>
    <x v="4"/>
    <x v="35"/>
    <s v="Rural"/>
    <s v="Masculino"/>
    <x v="1"/>
    <x v="2"/>
  </r>
  <r>
    <n v="732"/>
    <s v="47. Loreto"/>
    <s v="Primaria"/>
    <x v="4"/>
    <x v="35"/>
    <s v="Rural"/>
    <s v="Masculino"/>
    <x v="0"/>
    <x v="2"/>
  </r>
  <r>
    <n v="733"/>
    <s v="47. Loreto"/>
    <s v="Primaria"/>
    <x v="4"/>
    <x v="35"/>
    <s v="Rural"/>
    <s v="Femenino"/>
    <x v="0"/>
    <x v="2"/>
  </r>
  <r>
    <n v="734"/>
    <s v="47. Loreto"/>
    <s v="Primaria"/>
    <x v="4"/>
    <x v="35"/>
    <s v="Rural"/>
    <s v="Masculino"/>
    <x v="0"/>
    <x v="2"/>
  </r>
  <r>
    <n v="735"/>
    <s v="47. Loreto"/>
    <s v="Primaria"/>
    <x v="4"/>
    <x v="35"/>
    <s v="Rural"/>
    <s v="Femenino"/>
    <x v="0"/>
    <x v="2"/>
  </r>
  <r>
    <n v="736"/>
    <s v="47. Loreto"/>
    <s v="Primaria"/>
    <x v="4"/>
    <x v="35"/>
    <s v="Rural"/>
    <s v="Femenino"/>
    <x v="0"/>
    <x v="2"/>
  </r>
  <r>
    <n v="737"/>
    <s v="47. Loreto"/>
    <s v="Primaria"/>
    <x v="4"/>
    <x v="35"/>
    <s v="Rural"/>
    <s v="Masculino"/>
    <x v="0"/>
    <x v="2"/>
  </r>
  <r>
    <n v="738"/>
    <s v="47. Loreto"/>
    <s v="Primaria"/>
    <x v="4"/>
    <x v="35"/>
    <s v="Rural"/>
    <s v="Masculino"/>
    <x v="0"/>
    <x v="2"/>
  </r>
  <r>
    <n v="739"/>
    <s v="47. Loreto"/>
    <s v="Primaria"/>
    <x v="4"/>
    <x v="35"/>
    <s v="Rural"/>
    <s v="Femenino"/>
    <x v="0"/>
    <x v="2"/>
  </r>
  <r>
    <n v="740"/>
    <s v="47. Loreto"/>
    <s v="Primaria"/>
    <x v="4"/>
    <x v="35"/>
    <s v="Rural"/>
    <s v="Masculino"/>
    <x v="0"/>
    <x v="2"/>
  </r>
  <r>
    <n v="741"/>
    <s v="47. Loreto"/>
    <s v="Primaria"/>
    <x v="4"/>
    <x v="35"/>
    <s v="Rural"/>
    <s v="Femenino"/>
    <x v="0"/>
    <x v="2"/>
  </r>
  <r>
    <n v="742"/>
    <s v="47. Loreto"/>
    <s v="Primaria"/>
    <x v="4"/>
    <x v="35"/>
    <s v="Rural"/>
    <s v="Masculino"/>
    <x v="0"/>
    <x v="2"/>
  </r>
  <r>
    <n v="743"/>
    <s v="47. Loreto"/>
    <s v="Primaria"/>
    <x v="4"/>
    <x v="35"/>
    <s v="Rural"/>
    <s v="Masculino"/>
    <x v="0"/>
    <x v="2"/>
  </r>
  <r>
    <n v="744"/>
    <s v="47. Loreto"/>
    <s v="Primaria"/>
    <x v="4"/>
    <x v="35"/>
    <s v="Rural"/>
    <s v="Femenino"/>
    <x v="0"/>
    <x v="2"/>
  </r>
  <r>
    <n v="745"/>
    <s v="47. Loreto"/>
    <s v="Primaria"/>
    <x v="4"/>
    <x v="35"/>
    <s v="Rural"/>
    <s v="Femenino"/>
    <x v="0"/>
    <x v="2"/>
  </r>
  <r>
    <n v="746"/>
    <s v="47. Loreto"/>
    <s v="Primaria"/>
    <x v="4"/>
    <x v="35"/>
    <s v="Rural"/>
    <s v="Femenino"/>
    <x v="0"/>
    <x v="2"/>
  </r>
  <r>
    <n v="747"/>
    <s v="47. Loreto"/>
    <s v="Primaria"/>
    <x v="4"/>
    <x v="35"/>
    <s v="Rural"/>
    <s v="Masculino"/>
    <x v="0"/>
    <x v="2"/>
  </r>
  <r>
    <n v="748"/>
    <s v="47. Loreto"/>
    <s v="Primaria"/>
    <x v="4"/>
    <x v="35"/>
    <s v="Rural"/>
    <s v="Masculino"/>
    <x v="0"/>
    <x v="2"/>
  </r>
  <r>
    <n v="749"/>
    <s v="47. Loreto"/>
    <s v="Primaria"/>
    <x v="4"/>
    <x v="35"/>
    <s v="Rural"/>
    <s v="Masculino"/>
    <x v="0"/>
    <x v="2"/>
  </r>
  <r>
    <n v="750"/>
    <s v="47. Loreto"/>
    <s v="Primaria"/>
    <x v="4"/>
    <x v="35"/>
    <s v="Rural"/>
    <s v="Femenino"/>
    <x v="1"/>
    <x v="2"/>
  </r>
  <r>
    <n v="751"/>
    <s v="47. Loreto"/>
    <s v="Primaria"/>
    <x v="4"/>
    <x v="35"/>
    <s v="Rural"/>
    <s v="Masculino"/>
    <x v="0"/>
    <x v="2"/>
  </r>
  <r>
    <n v="752"/>
    <s v="47. Loreto"/>
    <s v="Primaria"/>
    <x v="0"/>
    <x v="35"/>
    <s v="Rural"/>
    <s v="Femenino"/>
    <x v="0"/>
    <x v="2"/>
  </r>
  <r>
    <n v="753"/>
    <s v="47. Loreto"/>
    <s v="Primaria"/>
    <x v="0"/>
    <x v="35"/>
    <s v="Rural"/>
    <s v="Femenino"/>
    <x v="0"/>
    <x v="2"/>
  </r>
  <r>
    <n v="754"/>
    <s v="47. Loreto"/>
    <s v="Primaria"/>
    <x v="0"/>
    <x v="35"/>
    <s v="Rural"/>
    <s v="Femenino"/>
    <x v="0"/>
    <x v="2"/>
  </r>
  <r>
    <n v="755"/>
    <s v="47. Loreto"/>
    <s v="Primaria"/>
    <x v="0"/>
    <x v="35"/>
    <s v="Rural"/>
    <s v="Masculino"/>
    <x v="0"/>
    <x v="2"/>
  </r>
  <r>
    <n v="756"/>
    <s v="47. Loreto"/>
    <s v="Primaria"/>
    <x v="0"/>
    <x v="35"/>
    <s v="Rural"/>
    <s v="Masculino"/>
    <x v="0"/>
    <x v="2"/>
  </r>
  <r>
    <n v="757"/>
    <s v="47. Loreto"/>
    <s v="Primaria"/>
    <x v="0"/>
    <x v="35"/>
    <s v="Rural"/>
    <s v="Femenino"/>
    <x v="0"/>
    <x v="2"/>
  </r>
  <r>
    <n v="758"/>
    <s v="47. Loreto"/>
    <s v="Primaria"/>
    <x v="0"/>
    <x v="35"/>
    <s v="Rural"/>
    <s v="Masculino"/>
    <x v="1"/>
    <x v="2"/>
  </r>
  <r>
    <n v="759"/>
    <s v="47. Loreto"/>
    <s v="Primaria"/>
    <x v="0"/>
    <x v="35"/>
    <s v="Rural"/>
    <s v="Masculino"/>
    <x v="0"/>
    <x v="2"/>
  </r>
  <r>
    <n v="760"/>
    <s v="47. Loreto"/>
    <s v="Primaria"/>
    <x v="0"/>
    <x v="35"/>
    <s v="Rural"/>
    <s v="Masculino"/>
    <x v="0"/>
    <x v="2"/>
  </r>
  <r>
    <n v="761"/>
    <s v="47. Loreto"/>
    <s v="Primaria"/>
    <x v="0"/>
    <x v="35"/>
    <s v="Rural"/>
    <s v="Femenino"/>
    <x v="0"/>
    <x v="2"/>
  </r>
  <r>
    <n v="762"/>
    <s v="47. Loreto"/>
    <s v="Primaria"/>
    <x v="0"/>
    <x v="35"/>
    <s v="Rural"/>
    <s v="Femenino"/>
    <x v="0"/>
    <x v="2"/>
  </r>
  <r>
    <n v="763"/>
    <s v="47. Loreto"/>
    <s v="Primaria"/>
    <x v="0"/>
    <x v="35"/>
    <s v="Rural"/>
    <s v="Masculino"/>
    <x v="0"/>
    <x v="2"/>
  </r>
  <r>
    <n v="764"/>
    <s v="47. Loreto"/>
    <s v="Primaria"/>
    <x v="0"/>
    <x v="35"/>
    <s v="Rural"/>
    <s v="Femenino"/>
    <x v="0"/>
    <x v="2"/>
  </r>
  <r>
    <n v="765"/>
    <s v="47. Loreto"/>
    <s v="Primaria"/>
    <x v="1"/>
    <x v="35"/>
    <s v="Rural"/>
    <s v="Femenino"/>
    <x v="0"/>
    <x v="2"/>
  </r>
  <r>
    <n v="766"/>
    <s v="47. Loreto"/>
    <s v="Primaria"/>
    <x v="1"/>
    <x v="35"/>
    <s v="Rural"/>
    <s v="Femenino"/>
    <x v="0"/>
    <x v="2"/>
  </r>
  <r>
    <n v="767"/>
    <s v="47. Loreto"/>
    <s v="Primaria"/>
    <x v="1"/>
    <x v="35"/>
    <s v="Rural"/>
    <s v="Masculino"/>
    <x v="0"/>
    <x v="2"/>
  </r>
  <r>
    <n v="768"/>
    <s v="47. Loreto"/>
    <s v="Primaria"/>
    <x v="1"/>
    <x v="35"/>
    <s v="Rural"/>
    <s v="Femenino"/>
    <x v="0"/>
    <x v="2"/>
  </r>
  <r>
    <n v="769"/>
    <s v="47. Loreto"/>
    <s v="Primaria"/>
    <x v="1"/>
    <x v="35"/>
    <s v="Rural"/>
    <s v="Femenino"/>
    <x v="0"/>
    <x v="2"/>
  </r>
  <r>
    <n v="770"/>
    <s v="47. Loreto"/>
    <s v="Primaria"/>
    <x v="1"/>
    <x v="35"/>
    <s v="Rural"/>
    <s v="Femenino"/>
    <x v="0"/>
    <x v="2"/>
  </r>
  <r>
    <n v="771"/>
    <s v="47. Loreto"/>
    <s v="Primaria"/>
    <x v="1"/>
    <x v="35"/>
    <s v="Rural"/>
    <s v="Femenino"/>
    <x v="0"/>
    <x v="2"/>
  </r>
  <r>
    <n v="772"/>
    <s v="47. Loreto"/>
    <s v="Primaria"/>
    <x v="1"/>
    <x v="35"/>
    <s v="Rural"/>
    <s v="Femenino"/>
    <x v="0"/>
    <x v="2"/>
  </r>
  <r>
    <n v="773"/>
    <s v="47. Loreto"/>
    <s v="Primaria"/>
    <x v="1"/>
    <x v="35"/>
    <s v="Rural"/>
    <s v="Masculino"/>
    <x v="0"/>
    <x v="2"/>
  </r>
  <r>
    <n v="774"/>
    <s v="47. Loreto"/>
    <s v="Primaria"/>
    <x v="1"/>
    <x v="35"/>
    <s v="Rural"/>
    <s v="Masculino"/>
    <x v="0"/>
    <x v="2"/>
  </r>
  <r>
    <n v="775"/>
    <s v="47. Loreto"/>
    <s v="Primaria"/>
    <x v="1"/>
    <x v="35"/>
    <s v="Rural"/>
    <s v="Masculino"/>
    <x v="0"/>
    <x v="2"/>
  </r>
  <r>
    <n v="776"/>
    <s v="47. Loreto"/>
    <s v="Primaria"/>
    <x v="1"/>
    <x v="35"/>
    <s v="Rural"/>
    <s v="Masculino"/>
    <x v="0"/>
    <x v="2"/>
  </r>
  <r>
    <n v="777"/>
    <s v="47. Loreto"/>
    <s v="Primaria"/>
    <x v="1"/>
    <x v="35"/>
    <s v="Rural"/>
    <s v="Masculino"/>
    <x v="0"/>
    <x v="2"/>
  </r>
  <r>
    <n v="778"/>
    <s v="47. Loreto"/>
    <s v="Primaria"/>
    <x v="1"/>
    <x v="35"/>
    <s v="Rural"/>
    <s v="Masculino"/>
    <x v="0"/>
    <x v="2"/>
  </r>
  <r>
    <n v="779"/>
    <s v="47. Loreto"/>
    <s v="Primaria"/>
    <x v="1"/>
    <x v="35"/>
    <s v="Rural"/>
    <s v="Masculino"/>
    <x v="0"/>
    <x v="2"/>
  </r>
  <r>
    <n v="780"/>
    <s v="47. Loreto"/>
    <s v="Primaria"/>
    <x v="1"/>
    <x v="35"/>
    <s v="Rural"/>
    <s v="Masculino"/>
    <x v="0"/>
    <x v="2"/>
  </r>
  <r>
    <n v="781"/>
    <s v="47. Loreto"/>
    <s v="Primaria"/>
    <x v="1"/>
    <x v="35"/>
    <s v="Rural"/>
    <s v="Femenino"/>
    <x v="0"/>
    <x v="2"/>
  </r>
  <r>
    <n v="782"/>
    <s v="47. Loreto"/>
    <s v="Primaria"/>
    <x v="1"/>
    <x v="35"/>
    <s v="Rural"/>
    <s v="Masculino"/>
    <x v="1"/>
    <x v="2"/>
  </r>
  <r>
    <n v="783"/>
    <s v="47. Loreto"/>
    <s v="Secundaria"/>
    <x v="2"/>
    <x v="35"/>
    <s v="Rural"/>
    <s v="Masculino"/>
    <x v="1"/>
    <x v="2"/>
  </r>
  <r>
    <n v="784"/>
    <s v="47. Loreto"/>
    <s v="Secundaria"/>
    <x v="2"/>
    <x v="35"/>
    <s v="Rural"/>
    <s v="Masculino"/>
    <x v="1"/>
    <x v="2"/>
  </r>
  <r>
    <n v="785"/>
    <s v="47. Loreto"/>
    <s v="Secundaria"/>
    <x v="2"/>
    <x v="35"/>
    <s v="Rural"/>
    <s v="Femenino"/>
    <x v="0"/>
    <x v="2"/>
  </r>
  <r>
    <n v="786"/>
    <s v="47. Loreto"/>
    <s v="Secundaria"/>
    <x v="2"/>
    <x v="35"/>
    <s v="Rural"/>
    <s v="Femenino"/>
    <x v="0"/>
    <x v="2"/>
  </r>
  <r>
    <n v="787"/>
    <s v="47. Loreto"/>
    <s v="Secundaria"/>
    <x v="2"/>
    <x v="35"/>
    <s v="Rural"/>
    <s v="Femenino"/>
    <x v="1"/>
    <x v="2"/>
  </r>
  <r>
    <n v="788"/>
    <s v="47. Loreto"/>
    <s v="Secundaria"/>
    <x v="2"/>
    <x v="35"/>
    <s v="Rural"/>
    <s v="Femenino"/>
    <x v="1"/>
    <x v="2"/>
  </r>
  <r>
    <n v="789"/>
    <s v="47. Loreto"/>
    <s v="Secundaria"/>
    <x v="2"/>
    <x v="35"/>
    <s v="Rural"/>
    <s v="Femenino"/>
    <x v="0"/>
    <x v="2"/>
  </r>
  <r>
    <n v="790"/>
    <s v="47. Loreto"/>
    <s v="Secundaria"/>
    <x v="2"/>
    <x v="35"/>
    <s v="Rural"/>
    <s v="Masculino"/>
    <x v="0"/>
    <x v="2"/>
  </r>
  <r>
    <n v="791"/>
    <s v="47. Loreto"/>
    <s v="Secundaria"/>
    <x v="2"/>
    <x v="35"/>
    <s v="Rural"/>
    <s v="Femenino"/>
    <x v="0"/>
    <x v="2"/>
  </r>
  <r>
    <n v="792"/>
    <s v="47. Loreto"/>
    <s v="Secundaria"/>
    <x v="2"/>
    <x v="35"/>
    <s v="Rural"/>
    <s v="Masculino"/>
    <x v="0"/>
    <x v="2"/>
  </r>
  <r>
    <n v="793"/>
    <s v="47. Loreto"/>
    <s v="Secundaria"/>
    <x v="2"/>
    <x v="35"/>
    <s v="Rural"/>
    <s v="Masculino"/>
    <x v="0"/>
    <x v="2"/>
  </r>
  <r>
    <n v="794"/>
    <s v="47. Loreto"/>
    <s v="Secundaria"/>
    <x v="2"/>
    <x v="35"/>
    <s v="Rural"/>
    <s v="Femenino"/>
    <x v="0"/>
    <x v="2"/>
  </r>
  <r>
    <n v="795"/>
    <s v="47. Loreto"/>
    <s v="Secundaria"/>
    <x v="2"/>
    <x v="35"/>
    <s v="Rural"/>
    <s v="Masculino"/>
    <x v="0"/>
    <x v="2"/>
  </r>
  <r>
    <n v="796"/>
    <s v="47. Loreto"/>
    <s v="Secundaria"/>
    <x v="2"/>
    <x v="35"/>
    <s v="Rural"/>
    <s v="Masculino"/>
    <x v="0"/>
    <x v="2"/>
  </r>
  <r>
    <n v="797"/>
    <s v="47. Loreto"/>
    <s v="Secundaria"/>
    <x v="3"/>
    <x v="35"/>
    <s v="Rural"/>
    <s v="Masculino"/>
    <x v="0"/>
    <x v="2"/>
  </r>
  <r>
    <n v="798"/>
    <s v="47. Loreto"/>
    <s v="Secundaria"/>
    <x v="3"/>
    <x v="35"/>
    <s v="Rural"/>
    <s v="Femenino"/>
    <x v="0"/>
    <x v="2"/>
  </r>
  <r>
    <n v="799"/>
    <s v="47. Loreto"/>
    <s v="Secundaria"/>
    <x v="3"/>
    <x v="35"/>
    <s v="Rural"/>
    <s v="Femenino"/>
    <x v="0"/>
    <x v="2"/>
  </r>
  <r>
    <n v="800"/>
    <s v="47. Loreto"/>
    <s v="Secundaria"/>
    <x v="3"/>
    <x v="35"/>
    <s v="Rural"/>
    <s v="Femenino"/>
    <x v="0"/>
    <x v="2"/>
  </r>
  <r>
    <n v="801"/>
    <s v="47. Loreto"/>
    <s v="Secundaria"/>
    <x v="3"/>
    <x v="35"/>
    <s v="Rural"/>
    <s v="Masculino"/>
    <x v="0"/>
    <x v="2"/>
  </r>
  <r>
    <n v="802"/>
    <s v="47. Loreto"/>
    <s v="Secundaria"/>
    <x v="3"/>
    <x v="35"/>
    <s v="Rural"/>
    <s v="Femenino"/>
    <x v="0"/>
    <x v="2"/>
  </r>
  <r>
    <n v="803"/>
    <s v="47. Loreto"/>
    <s v="Secundaria"/>
    <x v="3"/>
    <x v="35"/>
    <s v="Rural"/>
    <s v="Masculino"/>
    <x v="0"/>
    <x v="2"/>
  </r>
  <r>
    <n v="804"/>
    <s v="47. Loreto"/>
    <s v="Secundaria"/>
    <x v="3"/>
    <x v="35"/>
    <s v="Rural"/>
    <s v="Masculino"/>
    <x v="0"/>
    <x v="2"/>
  </r>
  <r>
    <n v="805"/>
    <s v="47. Loreto"/>
    <s v="Secundaria"/>
    <x v="3"/>
    <x v="35"/>
    <s v="Rural"/>
    <s v="Femenino"/>
    <x v="0"/>
    <x v="2"/>
  </r>
  <r>
    <n v="806"/>
    <s v="47. Loreto"/>
    <s v="Secundaria"/>
    <x v="3"/>
    <x v="35"/>
    <s v="Rural"/>
    <s v="Femenino"/>
    <x v="0"/>
    <x v="2"/>
  </r>
  <r>
    <n v="807"/>
    <s v="47. Loreto"/>
    <s v="Secundaria"/>
    <x v="3"/>
    <x v="35"/>
    <s v="Rural"/>
    <s v="Femenino"/>
    <x v="0"/>
    <x v="2"/>
  </r>
  <r>
    <n v="808"/>
    <s v="47. Loreto"/>
    <s v="Secundaria"/>
    <x v="3"/>
    <x v="35"/>
    <s v="Rural"/>
    <s v="Femenino"/>
    <x v="0"/>
    <x v="2"/>
  </r>
  <r>
    <n v="809"/>
    <s v="47. Loreto"/>
    <s v="Secundaria"/>
    <x v="3"/>
    <x v="35"/>
    <s v="Rural"/>
    <s v="Masculino"/>
    <x v="0"/>
    <x v="2"/>
  </r>
  <r>
    <n v="810"/>
    <s v="47. Loreto"/>
    <s v="Secundaria"/>
    <x v="3"/>
    <x v="35"/>
    <s v="Rural"/>
    <s v="Femenino"/>
    <x v="0"/>
    <x v="2"/>
  </r>
  <r>
    <n v="811"/>
    <s v="47. Loreto"/>
    <s v="Secundaria"/>
    <x v="3"/>
    <x v="35"/>
    <s v="Rural"/>
    <s v="Femenino"/>
    <x v="0"/>
    <x v="2"/>
  </r>
  <r>
    <n v="812"/>
    <s v="47. Loreto"/>
    <s v="Primaria"/>
    <x v="4"/>
    <x v="39"/>
    <s v="Rural"/>
    <s v="Masculino"/>
    <x v="0"/>
    <x v="2"/>
  </r>
  <r>
    <n v="813"/>
    <s v="47. Loreto"/>
    <s v="Primaria"/>
    <x v="4"/>
    <x v="39"/>
    <s v="Rural"/>
    <s v="Masculino"/>
    <x v="0"/>
    <x v="2"/>
  </r>
  <r>
    <n v="814"/>
    <s v="47. Loreto"/>
    <s v="Primaria"/>
    <x v="4"/>
    <x v="39"/>
    <s v="Rural"/>
    <s v="Masculino"/>
    <x v="0"/>
    <x v="2"/>
  </r>
  <r>
    <n v="815"/>
    <s v="47. Loreto"/>
    <s v="Primaria"/>
    <x v="4"/>
    <x v="39"/>
    <s v="Rural"/>
    <s v="Masculino"/>
    <x v="1"/>
    <x v="2"/>
  </r>
  <r>
    <n v="816"/>
    <s v="47. Loreto"/>
    <s v="Primaria"/>
    <x v="0"/>
    <x v="39"/>
    <s v="Rural"/>
    <s v="Masculino"/>
    <x v="0"/>
    <x v="2"/>
  </r>
  <r>
    <n v="817"/>
    <s v="47. Loreto"/>
    <s v="Primaria"/>
    <x v="0"/>
    <x v="39"/>
    <s v="Rural"/>
    <s v="Femenino"/>
    <x v="0"/>
    <x v="2"/>
  </r>
  <r>
    <n v="818"/>
    <s v="47. Loreto"/>
    <s v="Primaria"/>
    <x v="0"/>
    <x v="39"/>
    <s v="Rural"/>
    <s v="Masculino"/>
    <x v="0"/>
    <x v="2"/>
  </r>
  <r>
    <n v="819"/>
    <s v="47. Loreto"/>
    <s v="Primaria"/>
    <x v="0"/>
    <x v="39"/>
    <s v="Rural"/>
    <s v="Masculino"/>
    <x v="0"/>
    <x v="2"/>
  </r>
  <r>
    <n v="820"/>
    <s v="47. Loreto"/>
    <s v="Primaria"/>
    <x v="0"/>
    <x v="39"/>
    <s v="Rural"/>
    <s v="Femenino"/>
    <x v="0"/>
    <x v="2"/>
  </r>
  <r>
    <n v="821"/>
    <s v="47. Loreto"/>
    <s v="Primaria"/>
    <x v="0"/>
    <x v="39"/>
    <s v="Rural"/>
    <s v="Masculino"/>
    <x v="0"/>
    <x v="2"/>
  </r>
  <r>
    <n v="822"/>
    <s v="47. Loreto"/>
    <s v="Primaria"/>
    <x v="0"/>
    <x v="39"/>
    <s v="Rural"/>
    <s v="Masculino"/>
    <x v="0"/>
    <x v="2"/>
  </r>
  <r>
    <n v="823"/>
    <s v="47. Loreto"/>
    <s v="Primaria"/>
    <x v="0"/>
    <x v="39"/>
    <s v="Rural"/>
    <s v="Masculino"/>
    <x v="0"/>
    <x v="2"/>
  </r>
  <r>
    <n v="824"/>
    <s v="47. Loreto"/>
    <s v="Primaria"/>
    <x v="1"/>
    <x v="39"/>
    <s v="Rural"/>
    <s v="Femenino"/>
    <x v="0"/>
    <x v="2"/>
  </r>
  <r>
    <n v="825"/>
    <s v="47. Loreto"/>
    <s v="Primaria"/>
    <x v="1"/>
    <x v="39"/>
    <s v="Rural"/>
    <s v="Femenino"/>
    <x v="1"/>
    <x v="2"/>
  </r>
  <r>
    <n v="826"/>
    <s v="47. Loreto"/>
    <s v="Primaria"/>
    <x v="1"/>
    <x v="39"/>
    <s v="Rural"/>
    <s v="Femenino"/>
    <x v="1"/>
    <x v="2"/>
  </r>
  <r>
    <n v="827"/>
    <s v="47. Loreto"/>
    <s v="Primaria"/>
    <x v="1"/>
    <x v="39"/>
    <s v="Rural"/>
    <s v="Masculino"/>
    <x v="0"/>
    <x v="2"/>
  </r>
  <r>
    <n v="828"/>
    <s v="47. Loreto"/>
    <s v="Primaria"/>
    <x v="1"/>
    <x v="39"/>
    <s v="Rural"/>
    <s v="Femenino"/>
    <x v="0"/>
    <x v="2"/>
  </r>
  <r>
    <n v="829"/>
    <s v="47. Loreto"/>
    <s v="Secundaria"/>
    <x v="2"/>
    <x v="39"/>
    <s v="Rural"/>
    <s v="Masculino"/>
    <x v="1"/>
    <x v="2"/>
  </r>
  <r>
    <n v="830"/>
    <s v="47. Loreto"/>
    <s v="Secundaria"/>
    <x v="2"/>
    <x v="39"/>
    <s v="Rural"/>
    <s v="Femenino"/>
    <x v="1"/>
    <x v="2"/>
  </r>
  <r>
    <n v="831"/>
    <s v="47. Loreto"/>
    <s v="Secundaria"/>
    <x v="2"/>
    <x v="39"/>
    <s v="Rural"/>
    <s v="Femenino"/>
    <x v="1"/>
    <x v="2"/>
  </r>
  <r>
    <n v="832"/>
    <s v="47. Loreto"/>
    <s v="Secundaria"/>
    <x v="2"/>
    <x v="39"/>
    <s v="Rural"/>
    <s v="Masculino"/>
    <x v="1"/>
    <x v="2"/>
  </r>
  <r>
    <n v="833"/>
    <s v="47. Loreto"/>
    <s v="Secundaria"/>
    <x v="2"/>
    <x v="39"/>
    <s v="Rural"/>
    <s v="Masculino"/>
    <x v="0"/>
    <x v="2"/>
  </r>
  <r>
    <n v="834"/>
    <s v="47. Loreto"/>
    <s v="Secundaria"/>
    <x v="2"/>
    <x v="39"/>
    <s v="Rural"/>
    <s v="Femenino"/>
    <x v="1"/>
    <x v="2"/>
  </r>
  <r>
    <n v="835"/>
    <s v="47. Loreto"/>
    <s v="Secundaria"/>
    <x v="2"/>
    <x v="39"/>
    <s v="Rural"/>
    <s v="Masculino"/>
    <x v="0"/>
    <x v="2"/>
  </r>
  <r>
    <n v="836"/>
    <s v="47. Loreto"/>
    <s v="Secundaria"/>
    <x v="2"/>
    <x v="39"/>
    <s v="Rural"/>
    <s v="Femenino"/>
    <x v="1"/>
    <x v="2"/>
  </r>
  <r>
    <n v="837"/>
    <s v="47. Loreto"/>
    <s v="Secundaria"/>
    <x v="2"/>
    <x v="39"/>
    <s v="Rural"/>
    <s v="Femenino"/>
    <x v="1"/>
    <x v="2"/>
  </r>
  <r>
    <n v="838"/>
    <s v="47. Loreto"/>
    <s v="Secundaria"/>
    <x v="3"/>
    <x v="39"/>
    <s v="Rural"/>
    <s v="Femenino"/>
    <x v="1"/>
    <x v="2"/>
  </r>
  <r>
    <n v="839"/>
    <s v="47. Loreto"/>
    <s v="Secundaria"/>
    <x v="3"/>
    <x v="39"/>
    <s v="Rural"/>
    <s v="Masculino"/>
    <x v="1"/>
    <x v="2"/>
  </r>
  <r>
    <n v="840"/>
    <s v="47. Loreto"/>
    <s v="Secundaria"/>
    <x v="3"/>
    <x v="39"/>
    <s v="Rural"/>
    <s v="Masculino"/>
    <x v="0"/>
    <x v="2"/>
  </r>
  <r>
    <n v="841"/>
    <s v="47. Loreto"/>
    <s v="Secundaria"/>
    <x v="3"/>
    <x v="39"/>
    <s v="Rural"/>
    <s v="Femenino"/>
    <x v="0"/>
    <x v="2"/>
  </r>
  <r>
    <n v="842"/>
    <s v="47. Loreto"/>
    <s v="Secundaria"/>
    <x v="3"/>
    <x v="39"/>
    <s v="Rural"/>
    <s v="Femenino"/>
    <x v="1"/>
    <x v="2"/>
  </r>
  <r>
    <n v="843"/>
    <s v="47. Loreto"/>
    <s v="Primaria"/>
    <x v="4"/>
    <x v="47"/>
    <s v="Rural"/>
    <s v="Femenino"/>
    <x v="1"/>
    <x v="2"/>
  </r>
  <r>
    <n v="844"/>
    <s v="47. Loreto"/>
    <s v="Primaria"/>
    <x v="4"/>
    <x v="47"/>
    <s v="Rural"/>
    <s v="Femenino"/>
    <x v="1"/>
    <x v="2"/>
  </r>
  <r>
    <n v="845"/>
    <s v="47. Loreto"/>
    <s v="Primaria"/>
    <x v="4"/>
    <x v="47"/>
    <s v="Rural"/>
    <s v="Femenino"/>
    <x v="0"/>
    <x v="2"/>
  </r>
  <r>
    <n v="846"/>
    <s v="47. Loreto"/>
    <s v="Primaria"/>
    <x v="4"/>
    <x v="47"/>
    <s v="Rural"/>
    <s v="Masculino"/>
    <x v="0"/>
    <x v="2"/>
  </r>
  <r>
    <n v="847"/>
    <s v="47. Loreto"/>
    <s v="Primaria"/>
    <x v="4"/>
    <x v="47"/>
    <s v="Rural"/>
    <s v="Femenino"/>
    <x v="0"/>
    <x v="2"/>
  </r>
  <r>
    <n v="848"/>
    <s v="47. Loreto"/>
    <s v="Primaria"/>
    <x v="4"/>
    <x v="47"/>
    <s v="Rural"/>
    <s v="Femenino"/>
    <x v="1"/>
    <x v="2"/>
  </r>
  <r>
    <n v="849"/>
    <s v="47. Loreto"/>
    <s v="Primaria"/>
    <x v="4"/>
    <x v="47"/>
    <s v="Rural"/>
    <s v="Masculino"/>
    <x v="0"/>
    <x v="2"/>
  </r>
  <r>
    <n v="850"/>
    <s v="47. Loreto"/>
    <s v="Primaria"/>
    <x v="4"/>
    <x v="47"/>
    <s v="Rural"/>
    <s v="Masculino"/>
    <x v="0"/>
    <x v="2"/>
  </r>
  <r>
    <n v="851"/>
    <s v="47. Loreto"/>
    <s v="Primaria"/>
    <x v="4"/>
    <x v="47"/>
    <s v="Rural"/>
    <s v="Masculino"/>
    <x v="1"/>
    <x v="2"/>
  </r>
  <r>
    <n v="852"/>
    <s v="47. Loreto"/>
    <s v="Primaria"/>
    <x v="4"/>
    <x v="47"/>
    <s v="Rural"/>
    <s v="Masculino"/>
    <x v="1"/>
    <x v="2"/>
  </r>
  <r>
    <n v="853"/>
    <s v="47. Loreto"/>
    <s v="Primaria"/>
    <x v="4"/>
    <x v="47"/>
    <s v="Rural"/>
    <s v="Femenino"/>
    <x v="0"/>
    <x v="2"/>
  </r>
  <r>
    <n v="854"/>
    <s v="47. Loreto"/>
    <s v="Primaria"/>
    <x v="4"/>
    <x v="47"/>
    <s v="Rural"/>
    <s v="Masculino"/>
    <x v="0"/>
    <x v="2"/>
  </r>
  <r>
    <n v="855"/>
    <s v="47. Loreto"/>
    <s v="Primaria"/>
    <x v="4"/>
    <x v="47"/>
    <s v="Rural"/>
    <s v="Femenino"/>
    <x v="0"/>
    <x v="2"/>
  </r>
  <r>
    <n v="856"/>
    <s v="47. Loreto"/>
    <s v="Primaria"/>
    <x v="4"/>
    <x v="47"/>
    <s v="Rural"/>
    <s v="Masculino"/>
    <x v="0"/>
    <x v="2"/>
  </r>
  <r>
    <n v="857"/>
    <s v="47. Loreto"/>
    <s v="Primaria"/>
    <x v="0"/>
    <x v="47"/>
    <s v="Rural"/>
    <s v="Femenino"/>
    <x v="0"/>
    <x v="2"/>
  </r>
  <r>
    <n v="858"/>
    <s v="47. Loreto"/>
    <s v="Primaria"/>
    <x v="0"/>
    <x v="47"/>
    <s v="Rural"/>
    <s v="Masculino"/>
    <x v="0"/>
    <x v="2"/>
  </r>
  <r>
    <n v="859"/>
    <s v="47. Loreto"/>
    <s v="Primaria"/>
    <x v="0"/>
    <x v="47"/>
    <s v="Rural"/>
    <s v="Masculino"/>
    <x v="0"/>
    <x v="2"/>
  </r>
  <r>
    <n v="860"/>
    <s v="47. Loreto"/>
    <s v="Primaria"/>
    <x v="0"/>
    <x v="47"/>
    <s v="Rural"/>
    <s v="Masculino"/>
    <x v="0"/>
    <x v="2"/>
  </r>
  <r>
    <n v="861"/>
    <s v="47. Loreto"/>
    <s v="Primaria"/>
    <x v="0"/>
    <x v="47"/>
    <s v="Rural"/>
    <s v="Femenino"/>
    <x v="0"/>
    <x v="2"/>
  </r>
  <r>
    <n v="862"/>
    <s v="47. Loreto"/>
    <s v="Primaria"/>
    <x v="0"/>
    <x v="47"/>
    <s v="Rural"/>
    <s v="Femenino"/>
    <x v="0"/>
    <x v="2"/>
  </r>
  <r>
    <n v="863"/>
    <s v="47. Loreto"/>
    <s v="Primaria"/>
    <x v="0"/>
    <x v="47"/>
    <s v="Rural"/>
    <s v="Femenino"/>
    <x v="0"/>
    <x v="2"/>
  </r>
  <r>
    <n v="864"/>
    <s v="47. Loreto"/>
    <s v="Primaria"/>
    <x v="0"/>
    <x v="47"/>
    <s v="Rural"/>
    <s v="Femenino"/>
    <x v="0"/>
    <x v="2"/>
  </r>
  <r>
    <n v="865"/>
    <s v="47. Loreto"/>
    <s v="Primaria"/>
    <x v="0"/>
    <x v="47"/>
    <s v="Rural"/>
    <s v="Femenino"/>
    <x v="0"/>
    <x v="2"/>
  </r>
  <r>
    <n v="866"/>
    <s v="47. Loreto"/>
    <s v="Primaria"/>
    <x v="0"/>
    <x v="47"/>
    <s v="Rural"/>
    <s v="Femenino"/>
    <x v="0"/>
    <x v="2"/>
  </r>
  <r>
    <n v="867"/>
    <s v="47. Loreto"/>
    <s v="Primaria"/>
    <x v="0"/>
    <x v="47"/>
    <s v="Rural"/>
    <s v="Femenino"/>
    <x v="0"/>
    <x v="2"/>
  </r>
  <r>
    <n v="868"/>
    <s v="47. Loreto"/>
    <s v="Primaria"/>
    <x v="0"/>
    <x v="47"/>
    <s v="Rural"/>
    <s v="Femenino"/>
    <x v="0"/>
    <x v="2"/>
  </r>
  <r>
    <n v="869"/>
    <s v="47. Loreto"/>
    <s v="Primaria"/>
    <x v="0"/>
    <x v="47"/>
    <s v="Rural"/>
    <s v="Masculino"/>
    <x v="0"/>
    <x v="2"/>
  </r>
  <r>
    <n v="870"/>
    <s v="47. Loreto"/>
    <s v="Primaria"/>
    <x v="0"/>
    <x v="47"/>
    <s v="Rural"/>
    <s v="Masculino"/>
    <x v="0"/>
    <x v="2"/>
  </r>
  <r>
    <n v="871"/>
    <s v="47. Loreto"/>
    <s v="Primaria"/>
    <x v="0"/>
    <x v="47"/>
    <s v="Rural"/>
    <s v="Femenino"/>
    <x v="0"/>
    <x v="2"/>
  </r>
  <r>
    <n v="872"/>
    <s v="47. Loreto"/>
    <s v="Primaria"/>
    <x v="0"/>
    <x v="47"/>
    <s v="Rural"/>
    <s v="Masculino"/>
    <x v="0"/>
    <x v="2"/>
  </r>
  <r>
    <n v="873"/>
    <s v="47. Loreto"/>
    <s v="Primaria"/>
    <x v="1"/>
    <x v="47"/>
    <s v="Rural"/>
    <s v="Masculino"/>
    <x v="0"/>
    <x v="2"/>
  </r>
  <r>
    <n v="874"/>
    <s v="47. Loreto"/>
    <s v="Primaria"/>
    <x v="1"/>
    <x v="47"/>
    <s v="Rural"/>
    <s v="Femenino"/>
    <x v="0"/>
    <x v="2"/>
  </r>
  <r>
    <n v="875"/>
    <s v="47. Loreto"/>
    <s v="Primaria"/>
    <x v="1"/>
    <x v="47"/>
    <s v="Rural"/>
    <s v="Masculino"/>
    <x v="0"/>
    <x v="2"/>
  </r>
  <r>
    <n v="876"/>
    <s v="47. Loreto"/>
    <s v="Primaria"/>
    <x v="1"/>
    <x v="47"/>
    <s v="Rural"/>
    <s v="Masculino"/>
    <x v="0"/>
    <x v="2"/>
  </r>
  <r>
    <n v="877"/>
    <s v="47. Loreto"/>
    <s v="Primaria"/>
    <x v="1"/>
    <x v="47"/>
    <s v="Rural"/>
    <s v="Masculino"/>
    <x v="0"/>
    <x v="2"/>
  </r>
  <r>
    <n v="878"/>
    <s v="47. Loreto"/>
    <s v="Primaria"/>
    <x v="1"/>
    <x v="47"/>
    <s v="Rural"/>
    <s v="Femenino"/>
    <x v="0"/>
    <x v="2"/>
  </r>
  <r>
    <n v="879"/>
    <s v="47. Loreto"/>
    <s v="Primaria"/>
    <x v="1"/>
    <x v="47"/>
    <s v="Rural"/>
    <s v="Femenino"/>
    <x v="0"/>
    <x v="2"/>
  </r>
  <r>
    <n v="880"/>
    <s v="47. Loreto"/>
    <s v="Primaria"/>
    <x v="1"/>
    <x v="47"/>
    <s v="Rural"/>
    <s v="Femenino"/>
    <x v="0"/>
    <x v="2"/>
  </r>
  <r>
    <n v="881"/>
    <s v="47. Loreto"/>
    <s v="Primaria"/>
    <x v="1"/>
    <x v="47"/>
    <s v="Rural"/>
    <s v="Masculino"/>
    <x v="0"/>
    <x v="2"/>
  </r>
  <r>
    <n v="882"/>
    <s v="47. Loreto"/>
    <s v="Primaria"/>
    <x v="1"/>
    <x v="47"/>
    <s v="Rural"/>
    <s v="Masculino"/>
    <x v="0"/>
    <x v="2"/>
  </r>
  <r>
    <n v="883"/>
    <s v="47. Loreto"/>
    <s v="Primaria"/>
    <x v="1"/>
    <x v="47"/>
    <s v="Rural"/>
    <s v="Masculino"/>
    <x v="0"/>
    <x v="2"/>
  </r>
  <r>
    <n v="884"/>
    <s v="47. Loreto"/>
    <s v="Primaria"/>
    <x v="1"/>
    <x v="47"/>
    <s v="Rural"/>
    <s v="Femenino"/>
    <x v="0"/>
    <x v="2"/>
  </r>
  <r>
    <n v="885"/>
    <s v="47. Loreto"/>
    <s v="Primaria"/>
    <x v="1"/>
    <x v="47"/>
    <s v="Rural"/>
    <s v="Masculino"/>
    <x v="0"/>
    <x v="2"/>
  </r>
  <r>
    <n v="886"/>
    <s v="47. Loreto"/>
    <s v="Primaria"/>
    <x v="1"/>
    <x v="47"/>
    <s v="Rural"/>
    <s v="Masculino"/>
    <x v="0"/>
    <x v="2"/>
  </r>
  <r>
    <n v="887"/>
    <s v="47. Loreto"/>
    <s v="Primaria"/>
    <x v="1"/>
    <x v="47"/>
    <s v="Rural"/>
    <s v="Femenino"/>
    <x v="0"/>
    <x v="2"/>
  </r>
  <r>
    <n v="888"/>
    <s v="47. Loreto"/>
    <s v="Primaria"/>
    <x v="1"/>
    <x v="47"/>
    <s v="Rural"/>
    <s v="Femenino"/>
    <x v="0"/>
    <x v="2"/>
  </r>
  <r>
    <n v="889"/>
    <s v="47. Loreto"/>
    <s v="Primaria"/>
    <x v="1"/>
    <x v="47"/>
    <s v="Rural"/>
    <s v="Femenino"/>
    <x v="0"/>
    <x v="2"/>
  </r>
  <r>
    <n v="890"/>
    <s v="47. Loreto"/>
    <s v="Primaria"/>
    <x v="1"/>
    <x v="47"/>
    <s v="Rural"/>
    <s v="Masculino"/>
    <x v="0"/>
    <x v="2"/>
  </r>
  <r>
    <n v="891"/>
    <s v="47. Loreto"/>
    <s v="Primaria"/>
    <x v="1"/>
    <x v="47"/>
    <s v="Rural"/>
    <s v="Masculino"/>
    <x v="0"/>
    <x v="2"/>
  </r>
  <r>
    <n v="892"/>
    <s v="47. Loreto"/>
    <s v="Primaria"/>
    <x v="1"/>
    <x v="47"/>
    <s v="Rural"/>
    <s v="Masculino"/>
    <x v="0"/>
    <x v="2"/>
  </r>
  <r>
    <n v="893"/>
    <s v="47. Loreto"/>
    <s v="Primaria"/>
    <x v="1"/>
    <x v="47"/>
    <s v="Rural"/>
    <s v="Masculino"/>
    <x v="0"/>
    <x v="2"/>
  </r>
  <r>
    <n v="894"/>
    <s v="47. Loreto"/>
    <s v="Primaria"/>
    <x v="1"/>
    <x v="47"/>
    <s v="Rural"/>
    <s v="Masculino"/>
    <x v="0"/>
    <x v="2"/>
  </r>
  <r>
    <n v="895"/>
    <s v="47. Loreto"/>
    <s v="Primaria"/>
    <x v="1"/>
    <x v="47"/>
    <s v="Rural"/>
    <s v="Masculino"/>
    <x v="1"/>
    <x v="2"/>
  </r>
  <r>
    <n v="896"/>
    <s v="47. Loreto"/>
    <s v="Primaria"/>
    <x v="1"/>
    <x v="47"/>
    <s v="Rural"/>
    <s v="Masculino"/>
    <x v="1"/>
    <x v="2"/>
  </r>
  <r>
    <n v="897"/>
    <s v="47. Loreto"/>
    <s v="Secundaria"/>
    <x v="2"/>
    <x v="47"/>
    <s v="Rural"/>
    <s v="Femenino"/>
    <x v="1"/>
    <x v="2"/>
  </r>
  <r>
    <n v="898"/>
    <s v="47. Loreto"/>
    <s v="Secundaria"/>
    <x v="2"/>
    <x v="47"/>
    <s v="Rural"/>
    <s v="Femenino"/>
    <x v="1"/>
    <x v="2"/>
  </r>
  <r>
    <n v="899"/>
    <s v="47. Loreto"/>
    <s v="Secundaria"/>
    <x v="2"/>
    <x v="47"/>
    <s v="Rural"/>
    <s v="Femenino"/>
    <x v="1"/>
    <x v="2"/>
  </r>
  <r>
    <n v="900"/>
    <s v="47. Loreto"/>
    <s v="Secundaria"/>
    <x v="2"/>
    <x v="47"/>
    <s v="Rural"/>
    <s v="Masculino"/>
    <x v="1"/>
    <x v="2"/>
  </r>
  <r>
    <n v="901"/>
    <s v="47. Loreto"/>
    <s v="Secundaria"/>
    <x v="2"/>
    <x v="47"/>
    <s v="Rural"/>
    <s v="Femenino"/>
    <x v="1"/>
    <x v="2"/>
  </r>
  <r>
    <n v="902"/>
    <s v="47. Loreto"/>
    <s v="Secundaria"/>
    <x v="2"/>
    <x v="47"/>
    <s v="Rural"/>
    <s v="Masculino"/>
    <x v="1"/>
    <x v="2"/>
  </r>
  <r>
    <n v="903"/>
    <s v="47. Loreto"/>
    <s v="Secundaria"/>
    <x v="2"/>
    <x v="47"/>
    <s v="Rural"/>
    <s v="Femenino"/>
    <x v="1"/>
    <x v="2"/>
  </r>
  <r>
    <n v="904"/>
    <s v="47. Loreto"/>
    <s v="Secundaria"/>
    <x v="2"/>
    <x v="47"/>
    <s v="Rural"/>
    <s v="Masculino"/>
    <x v="1"/>
    <x v="2"/>
  </r>
  <r>
    <n v="905"/>
    <s v="47. Loreto"/>
    <s v="Secundaria"/>
    <x v="2"/>
    <x v="47"/>
    <s v="Rural"/>
    <s v="Femenino"/>
    <x v="1"/>
    <x v="2"/>
  </r>
  <r>
    <n v="906"/>
    <s v="47. Loreto"/>
    <s v="Secundaria"/>
    <x v="2"/>
    <x v="47"/>
    <s v="Rural"/>
    <s v="Femenino"/>
    <x v="1"/>
    <x v="2"/>
  </r>
  <r>
    <n v="907"/>
    <s v="47. Loreto"/>
    <s v="Secundaria"/>
    <x v="2"/>
    <x v="47"/>
    <s v="Rural"/>
    <s v="Femenino"/>
    <x v="1"/>
    <x v="2"/>
  </r>
  <r>
    <n v="908"/>
    <s v="47. Loreto"/>
    <s v="Secundaria"/>
    <x v="2"/>
    <x v="47"/>
    <s v="Rural"/>
    <s v="Femenino"/>
    <x v="1"/>
    <x v="2"/>
  </r>
  <r>
    <n v="909"/>
    <s v="47. Loreto"/>
    <s v="Secundaria"/>
    <x v="2"/>
    <x v="47"/>
    <s v="Rural"/>
    <s v="Masculino"/>
    <x v="1"/>
    <x v="2"/>
  </r>
  <r>
    <n v="910"/>
    <s v="47. Loreto"/>
    <s v="Secundaria"/>
    <x v="2"/>
    <x v="47"/>
    <s v="Rural"/>
    <s v="Masculino"/>
    <x v="1"/>
    <x v="2"/>
  </r>
  <r>
    <n v="911"/>
    <s v="47. Loreto"/>
    <s v="Secundaria"/>
    <x v="2"/>
    <x v="47"/>
    <s v="Rural"/>
    <s v="Femenino"/>
    <x v="1"/>
    <x v="2"/>
  </r>
  <r>
    <n v="912"/>
    <s v="47. Loreto"/>
    <s v="Secundaria"/>
    <x v="2"/>
    <x v="47"/>
    <s v="Rural"/>
    <s v="Masculino"/>
    <x v="1"/>
    <x v="2"/>
  </r>
  <r>
    <n v="913"/>
    <s v="47. Loreto"/>
    <s v="Secundaria"/>
    <x v="2"/>
    <x v="47"/>
    <s v="Rural"/>
    <s v="Femenino"/>
    <x v="1"/>
    <x v="2"/>
  </r>
  <r>
    <n v="914"/>
    <s v="47. Loreto"/>
    <s v="Secundaria"/>
    <x v="2"/>
    <x v="47"/>
    <s v="Rural"/>
    <s v="Femenino"/>
    <x v="1"/>
    <x v="2"/>
  </r>
  <r>
    <n v="915"/>
    <s v="47. Loreto"/>
    <s v="Secundaria"/>
    <x v="2"/>
    <x v="47"/>
    <s v="Rural"/>
    <s v="Masculino"/>
    <x v="1"/>
    <x v="2"/>
  </r>
  <r>
    <n v="916"/>
    <s v="47. Loreto"/>
    <s v="Secundaria"/>
    <x v="2"/>
    <x v="47"/>
    <s v="Rural"/>
    <s v="Femenino"/>
    <x v="1"/>
    <x v="2"/>
  </r>
  <r>
    <n v="917"/>
    <s v="47. Loreto"/>
    <s v="Secundaria"/>
    <x v="2"/>
    <x v="47"/>
    <s v="Rural"/>
    <s v="Masculino"/>
    <x v="1"/>
    <x v="2"/>
  </r>
  <r>
    <n v="918"/>
    <s v="47. Loreto"/>
    <s v="Secundaria"/>
    <x v="2"/>
    <x v="47"/>
    <s v="Rural"/>
    <s v="Masculino"/>
    <x v="1"/>
    <x v="2"/>
  </r>
  <r>
    <n v="919"/>
    <s v="47. Loreto"/>
    <s v="Secundaria"/>
    <x v="3"/>
    <x v="47"/>
    <s v="Rural"/>
    <s v="Masculino"/>
    <x v="1"/>
    <x v="2"/>
  </r>
  <r>
    <n v="920"/>
    <s v="47. Loreto"/>
    <s v="Secundaria"/>
    <x v="3"/>
    <x v="47"/>
    <s v="Rural"/>
    <s v="Femenino"/>
    <x v="1"/>
    <x v="2"/>
  </r>
  <r>
    <n v="921"/>
    <s v="47. Loreto"/>
    <s v="Secundaria"/>
    <x v="3"/>
    <x v="47"/>
    <s v="Rural"/>
    <s v="Masculino"/>
    <x v="1"/>
    <x v="2"/>
  </r>
  <r>
    <n v="922"/>
    <s v="47. Loreto"/>
    <s v="Secundaria"/>
    <x v="3"/>
    <x v="47"/>
    <s v="Rural"/>
    <s v="Masculino"/>
    <x v="1"/>
    <x v="2"/>
  </r>
  <r>
    <n v="923"/>
    <s v="47. Loreto"/>
    <s v="Secundaria"/>
    <x v="3"/>
    <x v="47"/>
    <s v="Rural"/>
    <s v="Masculino"/>
    <x v="1"/>
    <x v="2"/>
  </r>
  <r>
    <n v="924"/>
    <s v="47. Loreto"/>
    <s v="Secundaria"/>
    <x v="3"/>
    <x v="47"/>
    <s v="Rural"/>
    <s v="Masculino"/>
    <x v="1"/>
    <x v="2"/>
  </r>
  <r>
    <n v="925"/>
    <s v="47. Loreto"/>
    <s v="Secundaria"/>
    <x v="3"/>
    <x v="47"/>
    <s v="Rural"/>
    <s v="Femenino"/>
    <x v="1"/>
    <x v="2"/>
  </r>
  <r>
    <n v="926"/>
    <s v="47. Loreto"/>
    <s v="Secundaria"/>
    <x v="3"/>
    <x v="47"/>
    <s v="Rural"/>
    <s v="Femenino"/>
    <x v="0"/>
    <x v="2"/>
  </r>
  <r>
    <n v="927"/>
    <s v="47. Loreto"/>
    <s v="Secundaria"/>
    <x v="3"/>
    <x v="47"/>
    <s v="Rural"/>
    <s v="Femenino"/>
    <x v="1"/>
    <x v="2"/>
  </r>
  <r>
    <n v="928"/>
    <s v="47. Loreto"/>
    <s v="Secundaria"/>
    <x v="3"/>
    <x v="47"/>
    <s v="Rural"/>
    <s v="Femenino"/>
    <x v="1"/>
    <x v="2"/>
  </r>
  <r>
    <n v="929"/>
    <s v="47. Loreto"/>
    <s v="Secundaria"/>
    <x v="3"/>
    <x v="47"/>
    <s v="Rural"/>
    <s v="Femenino"/>
    <x v="1"/>
    <x v="2"/>
  </r>
  <r>
    <n v="930"/>
    <s v="47. Loreto"/>
    <s v="Secundaria"/>
    <x v="3"/>
    <x v="47"/>
    <s v="Rural"/>
    <s v="Femenino"/>
    <x v="1"/>
    <x v="2"/>
  </r>
  <r>
    <n v="931"/>
    <s v="47. Loreto"/>
    <s v="Secundaria"/>
    <x v="3"/>
    <x v="47"/>
    <s v="Rural"/>
    <s v="Femenino"/>
    <x v="1"/>
    <x v="2"/>
  </r>
  <r>
    <n v="932"/>
    <s v="47. Loreto"/>
    <s v="Secundaria"/>
    <x v="3"/>
    <x v="47"/>
    <s v="Rural"/>
    <s v="Femenino"/>
    <x v="1"/>
    <x v="2"/>
  </r>
  <r>
    <n v="1"/>
    <s v="79. Huancavelica"/>
    <s v="Primaria"/>
    <x v="5"/>
    <x v="25"/>
    <s v="Rural"/>
    <s v="Femenino"/>
    <x v="0"/>
    <x v="0"/>
  </r>
  <r>
    <n v="2"/>
    <s v="79. Huancavelica"/>
    <s v="Primaria"/>
    <x v="5"/>
    <x v="25"/>
    <s v="Rural"/>
    <s v="Masculino"/>
    <x v="0"/>
    <x v="0"/>
  </r>
  <r>
    <n v="3"/>
    <s v="79. Huancavelica"/>
    <s v="Primaria"/>
    <x v="5"/>
    <x v="25"/>
    <s v="Rural"/>
    <s v="Femenino"/>
    <x v="1"/>
    <x v="0"/>
  </r>
  <r>
    <n v="4"/>
    <s v="79. Huancavelica"/>
    <s v="Primaria"/>
    <x v="5"/>
    <x v="25"/>
    <s v="Rural"/>
    <s v="Masculino"/>
    <x v="0"/>
    <x v="0"/>
  </r>
  <r>
    <n v="5"/>
    <s v="79. Huancavelica"/>
    <s v="Primaria"/>
    <x v="5"/>
    <x v="25"/>
    <s v="Rural"/>
    <s v="Masculino"/>
    <x v="0"/>
    <x v="0"/>
  </r>
  <r>
    <n v="6"/>
    <s v="79. Huancavelica"/>
    <s v="Primaria"/>
    <x v="5"/>
    <x v="25"/>
    <s v="Rural"/>
    <s v="Femenino"/>
    <x v="0"/>
    <x v="0"/>
  </r>
  <r>
    <n v="7"/>
    <s v="79. Huancavelica"/>
    <s v="Primaria"/>
    <x v="5"/>
    <x v="25"/>
    <s v="Rural"/>
    <s v="Masculino"/>
    <x v="0"/>
    <x v="0"/>
  </r>
  <r>
    <n v="8"/>
    <s v="79. Huancavelica"/>
    <s v="Primaria"/>
    <x v="5"/>
    <x v="25"/>
    <s v="Rural"/>
    <s v="Femenino"/>
    <x v="0"/>
    <x v="0"/>
  </r>
  <r>
    <n v="1"/>
    <s v="79. Huancavelica"/>
    <s v="Primaria"/>
    <x v="5"/>
    <x v="27"/>
    <s v="Rural"/>
    <s v="Masculino"/>
    <x v="1"/>
    <x v="0"/>
  </r>
  <r>
    <n v="2"/>
    <s v="79. Huancavelica"/>
    <s v="Primaria"/>
    <x v="5"/>
    <x v="27"/>
    <s v="Rural"/>
    <s v="Masculino"/>
    <x v="0"/>
    <x v="0"/>
  </r>
  <r>
    <n v="3"/>
    <s v="79. Huancavelica"/>
    <s v="Primaria"/>
    <x v="5"/>
    <x v="27"/>
    <s v="Rural"/>
    <s v="Femenino"/>
    <x v="0"/>
    <x v="0"/>
  </r>
  <r>
    <n v="4"/>
    <s v="79. Huancavelica"/>
    <s v="Primaria"/>
    <x v="5"/>
    <x v="27"/>
    <s v="Rural"/>
    <s v="Femenino"/>
    <x v="0"/>
    <x v="0"/>
  </r>
  <r>
    <n v="5"/>
    <s v="79. Huancavelica"/>
    <s v="Primaria"/>
    <x v="5"/>
    <x v="27"/>
    <s v="Rural"/>
    <s v="Femenino"/>
    <x v="0"/>
    <x v="0"/>
  </r>
  <r>
    <n v="6"/>
    <s v="79. Huancavelica"/>
    <s v="Primaria"/>
    <x v="5"/>
    <x v="27"/>
    <s v="Rural"/>
    <s v="Femenino"/>
    <x v="0"/>
    <x v="0"/>
  </r>
  <r>
    <n v="7"/>
    <s v="79. Huancavelica"/>
    <s v="Primaria"/>
    <x v="5"/>
    <x v="27"/>
    <s v="Rural"/>
    <s v="Masculino"/>
    <x v="0"/>
    <x v="0"/>
  </r>
  <r>
    <n v="8"/>
    <s v="79. Huancavelica"/>
    <s v="Primaria"/>
    <x v="5"/>
    <x v="27"/>
    <s v="Rural"/>
    <s v="Femenino"/>
    <x v="0"/>
    <x v="0"/>
  </r>
  <r>
    <n v="9"/>
    <s v="79. Huancavelica"/>
    <s v="Primaria"/>
    <x v="5"/>
    <x v="27"/>
    <s v="Rural"/>
    <s v="Masculino"/>
    <x v="0"/>
    <x v="0"/>
  </r>
  <r>
    <n v="10"/>
    <s v="79. Huancavelica"/>
    <s v="Primaria"/>
    <x v="5"/>
    <x v="27"/>
    <s v="Rural"/>
    <s v="Masculino"/>
    <x v="0"/>
    <x v="0"/>
  </r>
  <r>
    <n v="2005"/>
    <s v="47. Loreto"/>
    <s v="Primaria"/>
    <x v="5"/>
    <x v="47"/>
    <s v="Rural"/>
    <s v="Masculino"/>
    <x v="1"/>
    <x v="1"/>
  </r>
  <r>
    <n v="2006"/>
    <s v="47. Loreto"/>
    <s v="Primaria"/>
    <x v="5"/>
    <x v="47"/>
    <s v="Rural"/>
    <s v="Femenino"/>
    <x v="0"/>
    <x v="1"/>
  </r>
  <r>
    <n v="2007"/>
    <s v="47. Loreto"/>
    <s v="Primaria"/>
    <x v="5"/>
    <x v="47"/>
    <s v="Rural"/>
    <s v="Femenino"/>
    <x v="0"/>
    <x v="1"/>
  </r>
  <r>
    <n v="2728"/>
    <s v="54. Ancash"/>
    <s v="Primaria"/>
    <x v="5"/>
    <x v="54"/>
    <s v="Rural"/>
    <s v="Masculino"/>
    <x v="0"/>
    <x v="1"/>
  </r>
  <r>
    <n v="2729"/>
    <s v="54. Ancash"/>
    <s v="Primaria"/>
    <x v="5"/>
    <x v="54"/>
    <s v="Rural"/>
    <s v="Femenino"/>
    <x v="0"/>
    <x v="1"/>
  </r>
  <r>
    <n v="2730"/>
    <s v="54. Ancash"/>
    <s v="Primaria"/>
    <x v="5"/>
    <x v="48"/>
    <s v="Rural"/>
    <s v="Masculino"/>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6">
  <r>
    <n v="1"/>
    <x v="0"/>
    <s v="Primaria"/>
    <s v="4 Primaria"/>
    <s v="14924 DANIEL ALCIDES CARRION"/>
    <s v="Rural"/>
    <s v="Masculino"/>
    <x v="0"/>
  </r>
  <r>
    <n v="2"/>
    <x v="0"/>
    <s v="Primaria"/>
    <s v="4 Primaria"/>
    <s v="14924 DANIEL ALCIDES CARRION"/>
    <s v="Rural"/>
    <s v="Masculino"/>
    <x v="0"/>
  </r>
  <r>
    <n v="3"/>
    <x v="0"/>
    <s v="Primaria"/>
    <s v="4 Primaria"/>
    <s v="14924 DANIEL ALCIDES CARRION"/>
    <s v="Rural"/>
    <s v="Masculino"/>
    <x v="1"/>
  </r>
  <r>
    <n v="4"/>
    <x v="0"/>
    <s v="Primaria"/>
    <s v="4 Primaria"/>
    <s v="14924 DANIEL ALCIDES CARRION"/>
    <s v="Rural"/>
    <s v="Femenino"/>
    <x v="1"/>
  </r>
  <r>
    <n v="5"/>
    <x v="0"/>
    <s v="Primaria"/>
    <s v="4 Primaria"/>
    <s v="14924 DANIEL ALCIDES CARRION"/>
    <s v="Rural"/>
    <s v="Masculino"/>
    <x v="1"/>
  </r>
  <r>
    <n v="6"/>
    <x v="0"/>
    <s v="Primaria"/>
    <s v="4 Primaria"/>
    <s v="14924 DANIEL ALCIDES CARRION"/>
    <s v="Rural"/>
    <s v="Femenino"/>
    <x v="0"/>
  </r>
  <r>
    <n v="7"/>
    <x v="0"/>
    <s v="Primaria"/>
    <s v="4 Primaria"/>
    <s v="14924 DANIEL ALCIDES CARRION"/>
    <s v="Rural"/>
    <s v="Femenino"/>
    <x v="0"/>
  </r>
  <r>
    <n v="8"/>
    <x v="0"/>
    <s v="Primaria"/>
    <s v="4 Primaria"/>
    <s v="14924 DANIEL ALCIDES CARRION"/>
    <s v="Rural"/>
    <s v="Femenino"/>
    <x v="0"/>
  </r>
  <r>
    <n v="9"/>
    <x v="0"/>
    <s v="Primaria"/>
    <s v="4 Primaria"/>
    <s v="14924 DANIEL ALCIDES CARRION"/>
    <s v="Rural"/>
    <s v="Masculino"/>
    <x v="1"/>
  </r>
  <r>
    <n v="10"/>
    <x v="0"/>
    <s v="Primaria"/>
    <s v="4 Primaria"/>
    <s v="14924 DANIEL ALCIDES CARRION"/>
    <s v="Rural"/>
    <s v="Femenino"/>
    <x v="2"/>
  </r>
  <r>
    <n v="11"/>
    <x v="0"/>
    <s v="Primaria"/>
    <s v="4 Primaria"/>
    <s v="14924 DANIEL ALCIDES CARRION"/>
    <s v="Rural"/>
    <s v="Masculino"/>
    <x v="1"/>
  </r>
  <r>
    <n v="12"/>
    <x v="0"/>
    <s v="Primaria"/>
    <s v="4 Primaria"/>
    <s v="14924 DANIEL ALCIDES CARRION"/>
    <s v="Rural"/>
    <s v="Femenino"/>
    <x v="0"/>
  </r>
  <r>
    <n v="13"/>
    <x v="0"/>
    <s v="Primaria"/>
    <s v="4 Primaria"/>
    <s v="14924 DANIEL ALCIDES CARRION"/>
    <s v="Rural"/>
    <s v="Femenino"/>
    <x v="0"/>
  </r>
  <r>
    <n v="14"/>
    <x v="0"/>
    <s v="Primaria"/>
    <s v="4 Primaria"/>
    <s v="14924 DANIEL ALCIDES CARRION"/>
    <s v="Rural"/>
    <s v="Femenino"/>
    <x v="1"/>
  </r>
  <r>
    <n v="15"/>
    <x v="0"/>
    <s v="Primaria"/>
    <s v="4 Primaria"/>
    <s v="14924 DANIEL ALCIDES CARRION"/>
    <s v="Rural"/>
    <s v="Masculino"/>
    <x v="0"/>
  </r>
  <r>
    <n v="16"/>
    <x v="0"/>
    <s v="Primaria"/>
    <s v="4 Primaria"/>
    <s v="14924 DANIEL ALCIDES CARRION"/>
    <s v="Rural"/>
    <s v="Masculino"/>
    <x v="0"/>
  </r>
  <r>
    <n v="17"/>
    <x v="0"/>
    <s v="Primaria"/>
    <s v="4 Primaria"/>
    <s v="14924 DANIEL ALCIDES CARRION"/>
    <s v="Rural"/>
    <s v="Femenino"/>
    <x v="0"/>
  </r>
  <r>
    <n v="18"/>
    <x v="0"/>
    <s v="Primaria"/>
    <s v="4 Primaria"/>
    <s v="14924 DANIEL ALCIDES CARRION"/>
    <s v="Rural"/>
    <s v="Femenino"/>
    <x v="2"/>
  </r>
  <r>
    <n v="19"/>
    <x v="0"/>
    <s v="Primaria"/>
    <s v="4 Primaria"/>
    <s v="14924 DANIEL ALCIDES CARRION"/>
    <s v="Rural"/>
    <s v="Femenino"/>
    <x v="0"/>
  </r>
  <r>
    <n v="20"/>
    <x v="0"/>
    <s v="Primaria"/>
    <s v="4 Primaria"/>
    <s v="14924 DANIEL ALCIDES CARRION"/>
    <s v="Rural"/>
    <s v="Masculino"/>
    <x v="0"/>
  </r>
  <r>
    <n v="21"/>
    <x v="0"/>
    <s v="Primaria"/>
    <s v="4 Primaria"/>
    <s v="14924 DANIEL ALCIDES CARRION"/>
    <s v="Rural"/>
    <s v="Masculino"/>
    <x v="0"/>
  </r>
  <r>
    <n v="22"/>
    <x v="0"/>
    <s v="Primaria"/>
    <s v="4 Primaria"/>
    <s v="14924 DANIEL ALCIDES CARRION"/>
    <s v="Rural"/>
    <s v="Masculino"/>
    <x v="0"/>
  </r>
  <r>
    <n v="23"/>
    <x v="0"/>
    <s v="Primaria"/>
    <s v="4 Primaria"/>
    <s v="20104"/>
    <s v="Rural"/>
    <s v="Masculino"/>
    <x v="0"/>
  </r>
  <r>
    <n v="24"/>
    <x v="0"/>
    <s v="Primaria"/>
    <s v="4 Primaria"/>
    <s v="20104"/>
    <s v="Rural"/>
    <s v="Masculino"/>
    <x v="0"/>
  </r>
  <r>
    <n v="25"/>
    <x v="0"/>
    <s v="Primaria"/>
    <s v="4 Primaria"/>
    <s v="20104"/>
    <s v="Rural"/>
    <s v="Masculino"/>
    <x v="0"/>
  </r>
  <r>
    <n v="26"/>
    <x v="0"/>
    <s v="Primaria"/>
    <s v="4 Primaria"/>
    <s v="20104"/>
    <s v="Rural"/>
    <s v="Masculino"/>
    <x v="0"/>
  </r>
  <r>
    <n v="27"/>
    <x v="0"/>
    <s v="Primaria"/>
    <s v="4 Primaria"/>
    <s v="20104"/>
    <s v="Rural"/>
    <s v="Femenino"/>
    <x v="0"/>
  </r>
  <r>
    <n v="28"/>
    <x v="0"/>
    <s v="Primaria"/>
    <s v="4 Primaria"/>
    <s v="20104"/>
    <s v="Rural"/>
    <s v="Femenino"/>
    <x v="0"/>
  </r>
  <r>
    <n v="29"/>
    <x v="0"/>
    <s v="Primaria"/>
    <s v="4 Primaria"/>
    <s v="20104"/>
    <s v="Rural"/>
    <s v="Femenino"/>
    <x v="0"/>
  </r>
  <r>
    <n v="30"/>
    <x v="0"/>
    <s v="Primaria"/>
    <s v="4 Primaria"/>
    <s v="14975"/>
    <s v="Rural"/>
    <s v="Masculino"/>
    <x v="0"/>
  </r>
  <r>
    <n v="31"/>
    <x v="0"/>
    <s v="Primaria"/>
    <s v="4 Primaria"/>
    <s v="14975"/>
    <s v="Rural"/>
    <s v="Masculino"/>
    <x v="0"/>
  </r>
  <r>
    <n v="32"/>
    <x v="0"/>
    <s v="Primaria"/>
    <s v="4 Primaria"/>
    <s v="14975"/>
    <s v="Rural"/>
    <s v="Masculino"/>
    <x v="1"/>
  </r>
  <r>
    <n v="33"/>
    <x v="0"/>
    <s v="Primaria"/>
    <s v="4 Primaria"/>
    <s v="14975"/>
    <s v="Rural"/>
    <s v="Femenino"/>
    <x v="0"/>
  </r>
  <r>
    <n v="34"/>
    <x v="0"/>
    <s v="Primaria"/>
    <s v="4 Primaria"/>
    <s v="14975"/>
    <s v="Rural"/>
    <s v="Femenino"/>
    <x v="0"/>
  </r>
  <r>
    <n v="35"/>
    <x v="0"/>
    <s v="Primaria"/>
    <s v="4 Primaria"/>
    <s v="14975"/>
    <s v="Rural"/>
    <s v="Femenino"/>
    <x v="1"/>
  </r>
  <r>
    <n v="36"/>
    <x v="0"/>
    <s v="Primaria"/>
    <s v="4 Primaria"/>
    <s v="15304"/>
    <s v="Rural"/>
    <s v="Masculino"/>
    <x v="0"/>
  </r>
  <r>
    <n v="37"/>
    <x v="0"/>
    <s v="Primaria"/>
    <s v="4 Primaria"/>
    <s v="15304"/>
    <s v="Rural"/>
    <s v="Masculino"/>
    <x v="0"/>
  </r>
  <r>
    <n v="38"/>
    <x v="0"/>
    <s v="Primaria"/>
    <s v="4 Primaria"/>
    <s v="SAGRADO CORAZON DE JESUS"/>
    <s v="Rural"/>
    <s v="Masculino"/>
    <x v="0"/>
  </r>
  <r>
    <n v="39"/>
    <x v="0"/>
    <s v="Primaria"/>
    <s v="4 Primaria"/>
    <s v="SAGRADO CORAZON DE JESUS"/>
    <s v="Rural"/>
    <s v="Masculino"/>
    <x v="0"/>
  </r>
  <r>
    <n v="40"/>
    <x v="0"/>
    <s v="Primaria"/>
    <s v="4 Primaria"/>
    <s v="SAGRADO CORAZON DE JESUS"/>
    <s v="Rural"/>
    <s v="Masculino"/>
    <x v="0"/>
  </r>
  <r>
    <n v="41"/>
    <x v="0"/>
    <s v="Primaria"/>
    <s v="4 Primaria"/>
    <s v="SAGRADO CORAZON DE JESUS"/>
    <s v="Rural"/>
    <s v="Masculino"/>
    <x v="0"/>
  </r>
  <r>
    <n v="42"/>
    <x v="0"/>
    <s v="Primaria"/>
    <s v="4 Primaria"/>
    <s v="SAGRADO CORAZON DE JESUS"/>
    <s v="Rural"/>
    <s v="Femenino"/>
    <x v="0"/>
  </r>
  <r>
    <n v="43"/>
    <x v="0"/>
    <s v="Primaria"/>
    <s v="4 Primaria"/>
    <s v="SAGRADO CORAZON DE JESUS"/>
    <s v="Rural"/>
    <s v="Femenino"/>
    <x v="0"/>
  </r>
  <r>
    <n v="44"/>
    <x v="0"/>
    <s v="Primaria"/>
    <s v="4 Primaria"/>
    <s v="SAGRADO CORAZON DE JESUS"/>
    <s v="Rural"/>
    <s v="Femenino"/>
    <x v="0"/>
  </r>
  <r>
    <n v="45"/>
    <x v="0"/>
    <s v="Primaria"/>
    <s v="4 Primaria"/>
    <s v="14144 SANTA ROSA"/>
    <s v="Rural"/>
    <s v="Femenino"/>
    <x v="1"/>
  </r>
  <r>
    <n v="46"/>
    <x v="0"/>
    <s v="Primaria"/>
    <s v="4 Primaria"/>
    <s v="14144 SANTA ROSA"/>
    <s v="Rural"/>
    <s v="Femenino"/>
    <x v="0"/>
  </r>
  <r>
    <n v="47"/>
    <x v="0"/>
    <s v="Primaria"/>
    <s v="4 Primaria"/>
    <s v="14144 SANTA ROSA"/>
    <s v="Rural"/>
    <s v="Femenino"/>
    <x v="0"/>
  </r>
  <r>
    <n v="48"/>
    <x v="0"/>
    <s v="Primaria"/>
    <s v="4 Primaria"/>
    <s v="14144 SANTA ROSA"/>
    <s v="Rural"/>
    <s v="Femenino"/>
    <x v="1"/>
  </r>
  <r>
    <n v="49"/>
    <x v="0"/>
    <s v="Primaria"/>
    <s v="4 Primaria"/>
    <s v="14144 SANTA ROSA"/>
    <s v="Rural"/>
    <s v="Masculino"/>
    <x v="0"/>
  </r>
  <r>
    <n v="50"/>
    <x v="0"/>
    <s v="Primaria"/>
    <s v="4 Primaria"/>
    <s v="14144 SANTA ROSA"/>
    <s v="Rural"/>
    <s v="Masculino"/>
    <x v="0"/>
  </r>
  <r>
    <n v="51"/>
    <x v="0"/>
    <s v="Primaria"/>
    <s v="4 Primaria"/>
    <s v="14144 SANTA ROSA"/>
    <s v="Rural"/>
    <s v="Masculino"/>
    <x v="0"/>
  </r>
  <r>
    <n v="52"/>
    <x v="0"/>
    <s v="Primaria"/>
    <s v="4 Primaria"/>
    <s v="14144 SANTA ROSA"/>
    <s v="Rural"/>
    <s v="Masculino"/>
    <x v="0"/>
  </r>
  <r>
    <n v="53"/>
    <x v="0"/>
    <s v="Primaria"/>
    <s v="4 Primaria"/>
    <s v="14144 SANTA ROSA"/>
    <s v="Rural"/>
    <s v="Masculino"/>
    <x v="0"/>
  </r>
  <r>
    <n v="54"/>
    <x v="0"/>
    <s v="Primaria"/>
    <s v="4 Primaria"/>
    <s v="14144 SANTA ROSA"/>
    <s v="Rural"/>
    <s v="Masculino"/>
    <x v="0"/>
  </r>
  <r>
    <n v="55"/>
    <x v="0"/>
    <s v="Primaria"/>
    <s v="4 Primaria"/>
    <s v="14144 SANTA ROSA"/>
    <s v="Rural"/>
    <s v="Masculino"/>
    <x v="0"/>
  </r>
  <r>
    <n v="56"/>
    <x v="0"/>
    <s v="Primaria"/>
    <s v="4 Primaria"/>
    <s v="14144 SANTA ROSA"/>
    <s v="Rural"/>
    <s v="Masculino"/>
    <x v="1"/>
  </r>
  <r>
    <n v="57"/>
    <x v="0"/>
    <s v="Primaria"/>
    <s v="4 Primaria"/>
    <s v="14144 SANTA ROSA"/>
    <s v="Rural"/>
    <s v="Masculino"/>
    <x v="1"/>
  </r>
  <r>
    <n v="58"/>
    <x v="0"/>
    <s v="Primaria"/>
    <s v="4 Primaria"/>
    <s v="14144 SANTA ROSA"/>
    <s v="Rural"/>
    <s v="Masculino"/>
    <x v="1"/>
  </r>
  <r>
    <n v="59"/>
    <x v="0"/>
    <s v="Primaria"/>
    <s v="4 Primaria"/>
    <s v="14144 SANTA ROSA"/>
    <s v="Rural"/>
    <s v="Masculino"/>
    <x v="2"/>
  </r>
  <r>
    <n v="60"/>
    <x v="0"/>
    <s v="Primaria"/>
    <s v="4 Primaria"/>
    <s v="14144 SANTA ROSA"/>
    <s v="Rural"/>
    <s v="Femenino"/>
    <x v="2"/>
  </r>
  <r>
    <n v="61"/>
    <x v="0"/>
    <s v="Primaria"/>
    <s v="4 Primaria"/>
    <s v="14144 SANTA ROSA"/>
    <s v="Rural"/>
    <s v="Femenino"/>
    <x v="1"/>
  </r>
  <r>
    <n v="62"/>
    <x v="0"/>
    <s v="Primaria"/>
    <s v="4 Primaria"/>
    <s v="14144 SANTA ROSA"/>
    <s v="Rural"/>
    <s v="Femenino"/>
    <x v="1"/>
  </r>
  <r>
    <n v="63"/>
    <x v="0"/>
    <s v="Primaria"/>
    <s v="4 Primaria"/>
    <s v="14144 SANTA ROSA"/>
    <s v="Rural"/>
    <s v="Femenino"/>
    <x v="1"/>
  </r>
  <r>
    <n v="64"/>
    <x v="0"/>
    <s v="Primaria"/>
    <s v="4 Primaria"/>
    <s v="14144 SANTA ROSA"/>
    <s v="Rural"/>
    <s v="Femenino"/>
    <x v="1"/>
  </r>
  <r>
    <n v="65"/>
    <x v="0"/>
    <s v="Primaria"/>
    <s v="4 Primaria"/>
    <s v="14894"/>
    <s v="Rural"/>
    <s v="Femenino"/>
    <x v="0"/>
  </r>
  <r>
    <n v="66"/>
    <x v="0"/>
    <s v="Primaria"/>
    <s v="4 Primaria"/>
    <s v="15383"/>
    <s v="Rural"/>
    <s v="Masculino"/>
    <x v="0"/>
  </r>
  <r>
    <n v="67"/>
    <x v="0"/>
    <s v="Primaria"/>
    <s v="4 Primaria"/>
    <s v="14141"/>
    <s v="Rural"/>
    <s v="Masculino"/>
    <x v="0"/>
  </r>
  <r>
    <n v="68"/>
    <x v="0"/>
    <s v="Primaria"/>
    <s v="4 Primaria"/>
    <s v="15478"/>
    <s v="Rural"/>
    <s v="Masculino"/>
    <x v="0"/>
  </r>
  <r>
    <n v="69"/>
    <x v="0"/>
    <s v="Primaria"/>
    <s v="4 Primaria"/>
    <s v="14045"/>
    <s v="Rural"/>
    <s v="Masculino"/>
    <x v="0"/>
  </r>
  <r>
    <n v="70"/>
    <x v="0"/>
    <s v="Primaria"/>
    <s v="4 Primaria"/>
    <s v="14045"/>
    <s v="Rural"/>
    <s v="Femenino"/>
    <x v="0"/>
  </r>
  <r>
    <n v="71"/>
    <x v="0"/>
    <s v="Primaria"/>
    <s v="4 Primaria"/>
    <s v="14145 SANTA JULIA BILLIART"/>
    <s v="Rural"/>
    <s v="Masculino"/>
    <x v="1"/>
  </r>
  <r>
    <n v="72"/>
    <x v="0"/>
    <s v="Primaria"/>
    <s v="4 Primaria"/>
    <s v="14145 SANTA JULIA BILLIART"/>
    <s v="Rural"/>
    <s v="Masculino"/>
    <x v="0"/>
  </r>
  <r>
    <n v="73"/>
    <x v="0"/>
    <s v="Primaria"/>
    <s v="4 Primaria"/>
    <s v="14145 SANTA JULIA BILLIART"/>
    <s v="Rural"/>
    <s v="Masculino"/>
    <x v="0"/>
  </r>
  <r>
    <n v="74"/>
    <x v="0"/>
    <s v="Primaria"/>
    <s v="4 Primaria"/>
    <s v="14145 SANTA JULIA BILLIART"/>
    <s v="Rural"/>
    <s v="Masculino"/>
    <x v="0"/>
  </r>
  <r>
    <n v="75"/>
    <x v="0"/>
    <s v="Primaria"/>
    <s v="4 Primaria"/>
    <s v="14145 SANTA JULIA BILLIART"/>
    <s v="Rural"/>
    <s v="Masculino"/>
    <x v="0"/>
  </r>
  <r>
    <n v="76"/>
    <x v="0"/>
    <s v="Primaria"/>
    <s v="4 Primaria"/>
    <s v="14145 SANTA JULIA BILLIART"/>
    <s v="Rural"/>
    <s v="Masculino"/>
    <x v="0"/>
  </r>
  <r>
    <n v="77"/>
    <x v="0"/>
    <s v="Primaria"/>
    <s v="4 Primaria"/>
    <s v="14145 SANTA JULIA BILLIART"/>
    <s v="Rural"/>
    <s v="Femenino"/>
    <x v="0"/>
  </r>
  <r>
    <n v="78"/>
    <x v="0"/>
    <s v="Primaria"/>
    <s v="4 Primaria"/>
    <s v="14145 SANTA JULIA BILLIART"/>
    <s v="Rural"/>
    <s v="Femenino"/>
    <x v="0"/>
  </r>
  <r>
    <n v="79"/>
    <x v="0"/>
    <s v="Primaria"/>
    <s v="4 Primaria"/>
    <s v="14145 SANTA JULIA BILLIART"/>
    <s v="Rural"/>
    <s v="Femenino"/>
    <x v="1"/>
  </r>
  <r>
    <n v="80"/>
    <x v="0"/>
    <s v="Primaria"/>
    <s v="4 Primaria"/>
    <s v="14145 SANTA JULIA BILLIART"/>
    <s v="Rural"/>
    <s v="Femenino"/>
    <x v="0"/>
  </r>
  <r>
    <n v="1"/>
    <x v="0"/>
    <s v="Primaria"/>
    <s v="6 Primaria"/>
    <s v="14924 DANIEL ALCIDES CARRION"/>
    <s v="Rural"/>
    <s v="Femenino"/>
    <x v="0"/>
  </r>
  <r>
    <n v="2"/>
    <x v="0"/>
    <s v="Primaria"/>
    <s v="6 Primaria"/>
    <s v="14924 DANIEL ALCIDES CARRION"/>
    <s v="Rural"/>
    <s v="Femenino"/>
    <x v="0"/>
  </r>
  <r>
    <n v="3"/>
    <x v="0"/>
    <s v="Primaria"/>
    <s v="6 Primaria"/>
    <s v="14924 DANIEL ALCIDES CARRION"/>
    <s v="Rural"/>
    <s v="Femenino"/>
    <x v="1"/>
  </r>
  <r>
    <n v="4"/>
    <x v="0"/>
    <s v="Primaria"/>
    <s v="6 Primaria"/>
    <s v="14924 DANIEL ALCIDES CARRION"/>
    <s v="Rural"/>
    <s v="Femenino"/>
    <x v="2"/>
  </r>
  <r>
    <n v="5"/>
    <x v="0"/>
    <s v="Primaria"/>
    <s v="6 Primaria"/>
    <s v="14924 DANIEL ALCIDES CARRION"/>
    <s v="Rural"/>
    <s v="Femenino"/>
    <x v="2"/>
  </r>
  <r>
    <n v="6"/>
    <x v="0"/>
    <s v="Primaria"/>
    <s v="6 Primaria"/>
    <s v="14924 DANIEL ALCIDES CARRION"/>
    <s v="Rural"/>
    <s v="Femenino"/>
    <x v="0"/>
  </r>
  <r>
    <n v="7"/>
    <x v="0"/>
    <s v="Primaria"/>
    <s v="6 Primaria"/>
    <s v="14924 DANIEL ALCIDES CARRION"/>
    <s v="Rural"/>
    <s v="Femenino"/>
    <x v="1"/>
  </r>
  <r>
    <n v="8"/>
    <x v="0"/>
    <s v="Primaria"/>
    <s v="6 Primaria"/>
    <s v="14924 DANIEL ALCIDES CARRION"/>
    <s v="Rural"/>
    <s v="Femenino"/>
    <x v="0"/>
  </r>
  <r>
    <n v="9"/>
    <x v="0"/>
    <s v="Primaria"/>
    <s v="6 Primaria"/>
    <s v="14924 DANIEL ALCIDES CARRION"/>
    <s v="Rural"/>
    <s v="Masculino"/>
    <x v="0"/>
  </r>
  <r>
    <n v="10"/>
    <x v="0"/>
    <s v="Primaria"/>
    <s v="6 Primaria"/>
    <s v="14924 DANIEL ALCIDES CARRION"/>
    <s v="Rural"/>
    <s v="Masculino"/>
    <x v="0"/>
  </r>
  <r>
    <n v="11"/>
    <x v="0"/>
    <s v="Primaria"/>
    <s v="6 Primaria"/>
    <s v="14924 DANIEL ALCIDES CARRION"/>
    <s v="Rural"/>
    <s v="Masculino"/>
    <x v="0"/>
  </r>
  <r>
    <n v="12"/>
    <x v="0"/>
    <s v="Primaria"/>
    <s v="6 Primaria"/>
    <s v="14924 DANIEL ALCIDES CARRION"/>
    <s v="Rural"/>
    <s v="Masculino"/>
    <x v="0"/>
  </r>
  <r>
    <n v="13"/>
    <x v="0"/>
    <s v="Primaria"/>
    <s v="6 Primaria"/>
    <s v="14924 DANIEL ALCIDES CARRION"/>
    <s v="Rural"/>
    <s v="Masculino"/>
    <x v="0"/>
  </r>
  <r>
    <n v="14"/>
    <x v="0"/>
    <s v="Primaria"/>
    <s v="6 Primaria"/>
    <s v="14924 DANIEL ALCIDES CARRION"/>
    <s v="Rural"/>
    <s v="Masculino"/>
    <x v="1"/>
  </r>
  <r>
    <n v="15"/>
    <x v="0"/>
    <s v="Primaria"/>
    <s v="6 Primaria"/>
    <s v="14924 DANIEL ALCIDES CARRION"/>
    <s v="Rural"/>
    <s v="Femenino"/>
    <x v="0"/>
  </r>
  <r>
    <n v="16"/>
    <x v="0"/>
    <s v="Primaria"/>
    <s v="6 Primaria"/>
    <s v="14924 DANIEL ALCIDES CARRION"/>
    <s v="Rural"/>
    <s v="Femenino"/>
    <x v="0"/>
  </r>
  <r>
    <n v="17"/>
    <x v="0"/>
    <s v="Primaria"/>
    <s v="6 Primaria"/>
    <s v="14924 DANIEL ALCIDES CARRION"/>
    <s v="Rural"/>
    <s v="Femenino"/>
    <x v="0"/>
  </r>
  <r>
    <n v="18"/>
    <x v="0"/>
    <s v="Primaria"/>
    <s v="6 Primaria"/>
    <s v="14924 DANIEL ALCIDES CARRION"/>
    <s v="Rural"/>
    <s v="Femenino"/>
    <x v="0"/>
  </r>
  <r>
    <n v="19"/>
    <x v="0"/>
    <s v="Primaria"/>
    <s v="6 Primaria"/>
    <s v="14924 DANIEL ALCIDES CARRION"/>
    <s v="Rural"/>
    <s v="Femenino"/>
    <x v="0"/>
  </r>
  <r>
    <n v="20"/>
    <x v="0"/>
    <s v="Primaria"/>
    <s v="6 Primaria"/>
    <s v="14924 DANIEL ALCIDES CARRION"/>
    <s v="Rural"/>
    <s v="Masculino"/>
    <x v="0"/>
  </r>
  <r>
    <n v="21"/>
    <x v="0"/>
    <s v="Primaria"/>
    <s v="6 Primaria"/>
    <s v="14924 DANIEL ALCIDES CARRION"/>
    <s v="Rural"/>
    <s v="Masculino"/>
    <x v="0"/>
  </r>
  <r>
    <n v="22"/>
    <x v="0"/>
    <s v="Primaria"/>
    <s v="6 Primaria"/>
    <s v="14924 DANIEL ALCIDES CARRION"/>
    <s v="Rural"/>
    <s v="Masculino"/>
    <x v="0"/>
  </r>
  <r>
    <n v="23"/>
    <x v="0"/>
    <s v="Primaria"/>
    <s v="6 Primaria"/>
    <s v="14924 DANIEL ALCIDES CARRION"/>
    <s v="Rural"/>
    <s v="Masculino"/>
    <x v="0"/>
  </r>
  <r>
    <n v="24"/>
    <x v="0"/>
    <s v="Primaria"/>
    <s v="6 Primaria"/>
    <s v="14924 DANIEL ALCIDES CARRION"/>
    <s v="Rural"/>
    <s v="Masculino"/>
    <x v="0"/>
  </r>
  <r>
    <n v="25"/>
    <x v="0"/>
    <s v="Primaria"/>
    <s v="6 Primaria"/>
    <s v="20104"/>
    <s v="Rural"/>
    <s v="Masculino"/>
    <x v="0"/>
  </r>
  <r>
    <n v="26"/>
    <x v="0"/>
    <s v="Primaria"/>
    <s v="6 Primaria"/>
    <s v="20104"/>
    <s v="Rural"/>
    <s v="Masculino"/>
    <x v="0"/>
  </r>
  <r>
    <n v="27"/>
    <x v="0"/>
    <s v="Primaria"/>
    <s v="6 Primaria"/>
    <s v="20104"/>
    <s v="Rural"/>
    <s v="Masculino"/>
    <x v="0"/>
  </r>
  <r>
    <n v="28"/>
    <x v="0"/>
    <s v="Primaria"/>
    <s v="6 Primaria"/>
    <s v="20104"/>
    <s v="Rural"/>
    <s v="Femenino"/>
    <x v="0"/>
  </r>
  <r>
    <n v="29"/>
    <x v="0"/>
    <s v="Primaria"/>
    <s v="6 Primaria"/>
    <s v="14975"/>
    <s v="Rural"/>
    <s v="Masculino"/>
    <x v="0"/>
  </r>
  <r>
    <n v="30"/>
    <x v="0"/>
    <s v="Primaria"/>
    <s v="6 Primaria"/>
    <s v="14975"/>
    <s v="Rural"/>
    <s v="Masculino"/>
    <x v="0"/>
  </r>
  <r>
    <n v="31"/>
    <x v="0"/>
    <s v="Primaria"/>
    <s v="6 Primaria"/>
    <s v="14975"/>
    <s v="Rural"/>
    <s v="Femenino"/>
    <x v="0"/>
  </r>
  <r>
    <n v="32"/>
    <x v="0"/>
    <s v="Primaria"/>
    <s v="6 Primaria"/>
    <s v="14975"/>
    <s v="Rural"/>
    <s v="Femenino"/>
    <x v="0"/>
  </r>
  <r>
    <n v="33"/>
    <x v="0"/>
    <s v="Primaria"/>
    <s v="6 Primaria"/>
    <s v="14975"/>
    <s v="Rural"/>
    <s v="Femenino"/>
    <x v="0"/>
  </r>
  <r>
    <n v="34"/>
    <x v="0"/>
    <s v="Primaria"/>
    <s v="6 Primaria"/>
    <s v="15304"/>
    <s v="Rural"/>
    <s v="Masculino"/>
    <x v="1"/>
  </r>
  <r>
    <n v="35"/>
    <x v="0"/>
    <s v="Primaria"/>
    <s v="6 Primaria"/>
    <s v="15304"/>
    <s v="Rural"/>
    <s v="Femenino"/>
    <x v="0"/>
  </r>
  <r>
    <n v="36"/>
    <x v="0"/>
    <s v="Primaria"/>
    <s v="6 Primaria"/>
    <s v="15304"/>
    <s v="Rural"/>
    <s v="Femenino"/>
    <x v="0"/>
  </r>
  <r>
    <n v="37"/>
    <x v="0"/>
    <s v="Primaria"/>
    <s v="6 Primaria"/>
    <s v="SAGRADO CORAZON DE JESUS"/>
    <s v="Rural"/>
    <s v="Masculino"/>
    <x v="0"/>
  </r>
  <r>
    <n v="38"/>
    <x v="0"/>
    <s v="Primaria"/>
    <s v="6 Primaria"/>
    <s v="SAGRADO CORAZON DE JESUS"/>
    <s v="Rural"/>
    <s v="Masculino"/>
    <x v="0"/>
  </r>
  <r>
    <n v="39"/>
    <x v="0"/>
    <s v="Primaria"/>
    <s v="6 Primaria"/>
    <s v="SAGRADO CORAZON DE JESUS"/>
    <s v="Rural"/>
    <s v="Masculino"/>
    <x v="0"/>
  </r>
  <r>
    <n v="40"/>
    <x v="0"/>
    <s v="Primaria"/>
    <s v="6 Primaria"/>
    <s v="SAGRADO CORAZON DE JESUS"/>
    <s v="Rural"/>
    <s v="Masculino"/>
    <x v="0"/>
  </r>
  <r>
    <n v="41"/>
    <x v="0"/>
    <s v="Primaria"/>
    <s v="6 Primaria"/>
    <s v="SAGRADO CORAZON DE JESUS"/>
    <s v="Rural"/>
    <s v="Femenino"/>
    <x v="0"/>
  </r>
  <r>
    <n v="42"/>
    <x v="0"/>
    <s v="Primaria"/>
    <s v="6 Primaria"/>
    <s v="SAGRADO CORAZON DE JESUS"/>
    <s v="Rural"/>
    <s v="Femenino"/>
    <x v="0"/>
  </r>
  <r>
    <n v="43"/>
    <x v="0"/>
    <s v="Primaria"/>
    <s v="6 Primaria"/>
    <s v="SAGRADO CORAZON DE JESUS"/>
    <s v="Rural"/>
    <s v="Femenino"/>
    <x v="0"/>
  </r>
  <r>
    <n v="44"/>
    <x v="0"/>
    <s v="Primaria"/>
    <s v="6 Primaria"/>
    <s v="SAGRADO CORAZON DE JESUS"/>
    <s v="Rural"/>
    <s v="Femenino"/>
    <x v="0"/>
  </r>
  <r>
    <n v="45"/>
    <x v="0"/>
    <s v="Primaria"/>
    <s v="6 Primaria"/>
    <s v="SAGRADO CORAZON DE JESUS"/>
    <s v="Rural"/>
    <s v="Femenino"/>
    <x v="0"/>
  </r>
  <r>
    <n v="46"/>
    <x v="0"/>
    <s v="Primaria"/>
    <s v="6 Primaria"/>
    <s v="20123"/>
    <s v="Rural"/>
    <s v="Femenino"/>
    <x v="1"/>
  </r>
  <r>
    <n v="47"/>
    <x v="0"/>
    <s v="Primaria"/>
    <s v="6 Primaria"/>
    <s v="20123"/>
    <s v="Rural"/>
    <s v="Masculino"/>
    <x v="1"/>
  </r>
  <r>
    <n v="48"/>
    <x v="0"/>
    <s v="Primaria"/>
    <s v="6 Primaria"/>
    <s v="14144 SANTA ROSA"/>
    <s v="Rural"/>
    <s v="Femenino"/>
    <x v="0"/>
  </r>
  <r>
    <n v="49"/>
    <x v="0"/>
    <s v="Primaria"/>
    <s v="6 Primaria"/>
    <s v="14144 SANTA ROSA"/>
    <s v="Rural"/>
    <s v="Femenino"/>
    <x v="0"/>
  </r>
  <r>
    <n v="50"/>
    <x v="0"/>
    <s v="Primaria"/>
    <s v="6 Primaria"/>
    <s v="14144 SANTA ROSA"/>
    <s v="Rural"/>
    <s v="Femenino"/>
    <x v="0"/>
  </r>
  <r>
    <n v="51"/>
    <x v="0"/>
    <s v="Primaria"/>
    <s v="6 Primaria"/>
    <s v="14144 SANTA ROSA"/>
    <s v="Rural"/>
    <s v="Femenino"/>
    <x v="1"/>
  </r>
  <r>
    <n v="52"/>
    <x v="0"/>
    <s v="Primaria"/>
    <s v="6 Primaria"/>
    <s v="14144 SANTA ROSA"/>
    <s v="Rural"/>
    <s v="Masculino"/>
    <x v="0"/>
  </r>
  <r>
    <n v="53"/>
    <x v="0"/>
    <s v="Primaria"/>
    <s v="6 Primaria"/>
    <s v="14144 SANTA ROSA"/>
    <s v="Rural"/>
    <s v="Masculino"/>
    <x v="0"/>
  </r>
  <r>
    <n v="54"/>
    <x v="0"/>
    <s v="Primaria"/>
    <s v="6 Primaria"/>
    <s v="14144 SANTA ROSA"/>
    <s v="Rural"/>
    <s v="Masculino"/>
    <x v="0"/>
  </r>
  <r>
    <n v="55"/>
    <x v="0"/>
    <s v="Primaria"/>
    <s v="6 Primaria"/>
    <s v="14144 SANTA ROSA"/>
    <s v="Rural"/>
    <s v="Masculino"/>
    <x v="1"/>
  </r>
  <r>
    <n v="56"/>
    <x v="0"/>
    <s v="Primaria"/>
    <s v="6 Primaria"/>
    <s v="14144 SANTA ROSA"/>
    <s v="Rural"/>
    <s v="Masculino"/>
    <x v="0"/>
  </r>
  <r>
    <n v="57"/>
    <x v="0"/>
    <s v="Primaria"/>
    <s v="6 Primaria"/>
    <s v="14144 SANTA ROSA"/>
    <s v="Rural"/>
    <s v="Masculino"/>
    <x v="0"/>
  </r>
  <r>
    <n v="58"/>
    <x v="0"/>
    <s v="Primaria"/>
    <s v="6 Primaria"/>
    <s v="14144 SANTA ROSA"/>
    <s v="Rural"/>
    <s v="Masculino"/>
    <x v="2"/>
  </r>
  <r>
    <n v="59"/>
    <x v="0"/>
    <s v="Primaria"/>
    <s v="6 Primaria"/>
    <s v="14144 SANTA ROSA"/>
    <s v="Rural"/>
    <s v="Masculino"/>
    <x v="0"/>
  </r>
  <r>
    <n v="60"/>
    <x v="0"/>
    <s v="Primaria"/>
    <s v="6 Primaria"/>
    <s v="14144 SANTA ROSA"/>
    <s v="Rural"/>
    <s v="Femenino"/>
    <x v="0"/>
  </r>
  <r>
    <n v="61"/>
    <x v="0"/>
    <s v="Primaria"/>
    <s v="6 Primaria"/>
    <s v="14144 SANTA ROSA"/>
    <s v="Rural"/>
    <s v="Femenino"/>
    <x v="0"/>
  </r>
  <r>
    <n v="62"/>
    <x v="0"/>
    <s v="Primaria"/>
    <s v="6 Primaria"/>
    <s v="14144 SANTA ROSA"/>
    <s v="Rural"/>
    <s v="Femenino"/>
    <x v="0"/>
  </r>
  <r>
    <n v="63"/>
    <x v="0"/>
    <s v="Primaria"/>
    <s v="6 Primaria"/>
    <s v="14144 SANTA ROSA"/>
    <s v="Rural"/>
    <s v="Femenino"/>
    <x v="0"/>
  </r>
  <r>
    <n v="64"/>
    <x v="0"/>
    <s v="Primaria"/>
    <s v="6 Primaria"/>
    <s v="14144 SANTA ROSA"/>
    <s v="Rural"/>
    <s v="Femenino"/>
    <x v="2"/>
  </r>
  <r>
    <n v="65"/>
    <x v="0"/>
    <s v="Primaria"/>
    <s v="6 Primaria"/>
    <s v="14144 SANTA ROSA"/>
    <s v="Rural"/>
    <s v="Femenino"/>
    <x v="0"/>
  </r>
  <r>
    <n v="66"/>
    <x v="0"/>
    <s v="Primaria"/>
    <s v="6 Primaria"/>
    <s v="14144 SANTA ROSA"/>
    <s v="Rural"/>
    <s v="Femenino"/>
    <x v="0"/>
  </r>
  <r>
    <n v="67"/>
    <x v="0"/>
    <s v="Primaria"/>
    <s v="6 Primaria"/>
    <s v="14144 SANTA ROSA"/>
    <s v="Rural"/>
    <s v="Masculino"/>
    <x v="1"/>
  </r>
  <r>
    <n v="68"/>
    <x v="0"/>
    <s v="Primaria"/>
    <s v="6 Primaria"/>
    <s v="14144 SANTA ROSA"/>
    <s v="Rural"/>
    <s v="Masculino"/>
    <x v="0"/>
  </r>
  <r>
    <n v="69"/>
    <x v="0"/>
    <s v="Primaria"/>
    <s v="6 Primaria"/>
    <s v="14144 SANTA ROSA"/>
    <s v="Rural"/>
    <s v="Masculino"/>
    <x v="0"/>
  </r>
  <r>
    <n v="70"/>
    <x v="0"/>
    <s v="Primaria"/>
    <s v="6 Primaria"/>
    <s v="14144 SANTA ROSA"/>
    <s v="Rural"/>
    <s v="Masculino"/>
    <x v="0"/>
  </r>
  <r>
    <n v="71"/>
    <x v="0"/>
    <s v="Primaria"/>
    <s v="6 Primaria"/>
    <s v="14144 SANTA ROSA"/>
    <s v="Rural"/>
    <s v="Masculino"/>
    <x v="0"/>
  </r>
  <r>
    <n v="72"/>
    <x v="0"/>
    <s v="Primaria"/>
    <s v="6 Primaria"/>
    <s v="15219"/>
    <s v="Rural"/>
    <s v="Femenino"/>
    <x v="1"/>
  </r>
  <r>
    <n v="73"/>
    <x v="0"/>
    <s v="Primaria"/>
    <s v="6 Primaria"/>
    <s v="14141"/>
    <s v="Rural"/>
    <s v="Masculino"/>
    <x v="0"/>
  </r>
  <r>
    <n v="74"/>
    <x v="0"/>
    <s v="Primaria"/>
    <s v="6 Primaria"/>
    <s v="15478"/>
    <s v="Rural"/>
    <s v="Femenino"/>
    <x v="1"/>
  </r>
  <r>
    <n v="75"/>
    <x v="0"/>
    <s v="Primaria"/>
    <s v="6 Primaria"/>
    <s v="15478"/>
    <s v="Rural"/>
    <s v="Femenino"/>
    <x v="1"/>
  </r>
  <r>
    <n v="76"/>
    <x v="0"/>
    <s v="Primaria"/>
    <s v="6 Primaria"/>
    <s v="15220"/>
    <s v="Rural"/>
    <s v="Masculino"/>
    <x v="2"/>
  </r>
  <r>
    <n v="77"/>
    <x v="0"/>
    <s v="Primaria"/>
    <s v="6 Primaria"/>
    <s v="14045"/>
    <s v="Rural"/>
    <s v="Masculino"/>
    <x v="1"/>
  </r>
  <r>
    <n v="78"/>
    <x v="0"/>
    <s v="Primaria"/>
    <s v="6 Primaria"/>
    <s v="14145 SANTA JULIA BILLIART"/>
    <s v="Rural"/>
    <s v="Masculino"/>
    <x v="1"/>
  </r>
  <r>
    <n v="79"/>
    <x v="0"/>
    <s v="Primaria"/>
    <s v="6 Primaria"/>
    <s v="14145 SANTA JULIA BILLIART"/>
    <s v="Rural"/>
    <s v="Masculino"/>
    <x v="0"/>
  </r>
  <r>
    <n v="80"/>
    <x v="0"/>
    <s v="Primaria"/>
    <s v="6 Primaria"/>
    <s v="14145 SANTA JULIA BILLIART"/>
    <s v="Rural"/>
    <s v="Masculino"/>
    <x v="0"/>
  </r>
  <r>
    <n v="81"/>
    <x v="0"/>
    <s v="Primaria"/>
    <s v="6 Primaria"/>
    <s v="14145 SANTA JULIA BILLIART"/>
    <s v="Rural"/>
    <s v="Masculino"/>
    <x v="1"/>
  </r>
  <r>
    <n v="82"/>
    <x v="0"/>
    <s v="Primaria"/>
    <s v="6 Primaria"/>
    <s v="14145 SANTA JULIA BILLIART"/>
    <s v="Rural"/>
    <s v="Masculino"/>
    <x v="0"/>
  </r>
  <r>
    <n v="83"/>
    <x v="0"/>
    <s v="Primaria"/>
    <s v="6 Primaria"/>
    <s v="14145 SANTA JULIA BILLIART"/>
    <s v="Rural"/>
    <s v="Femenino"/>
    <x v="0"/>
  </r>
  <r>
    <n v="84"/>
    <x v="0"/>
    <s v="Primaria"/>
    <s v="6 Primaria"/>
    <s v="14145 SANTA JULIA BILLIART"/>
    <s v="Rural"/>
    <s v="Femenino"/>
    <x v="0"/>
  </r>
  <r>
    <n v="85"/>
    <x v="0"/>
    <s v="Primaria"/>
    <s v="6 Primaria"/>
    <s v="14145 SANTA JULIA BILLIART"/>
    <s v="Rural"/>
    <s v="Femenino"/>
    <x v="0"/>
  </r>
  <r>
    <n v="86"/>
    <x v="0"/>
    <s v="Primaria"/>
    <s v="6 Primaria"/>
    <s v="14145 SANTA JULIA BILLIART"/>
    <s v="Rural"/>
    <s v="Femenino"/>
    <x v="0"/>
  </r>
  <r>
    <n v="87"/>
    <x v="0"/>
    <s v="Primaria"/>
    <s v="6 Primaria"/>
    <s v="14145 SANTA JULIA BILLIART"/>
    <s v="Rural"/>
    <s v="Femenino"/>
    <x v="1"/>
  </r>
  <r>
    <n v="1"/>
    <x v="0"/>
    <s v="Secundaria"/>
    <s v="2 Secundaria"/>
    <s v="14144 SANTA ROSA"/>
    <s v="Rural"/>
    <s v="Masculino"/>
    <x v="0"/>
  </r>
  <r>
    <n v="2"/>
    <x v="0"/>
    <s v="Secundaria"/>
    <s v="2 Secundaria"/>
    <s v="14144 SANTA ROSA"/>
    <s v="Rural"/>
    <s v="Masculino"/>
    <x v="1"/>
  </r>
  <r>
    <n v="3"/>
    <x v="0"/>
    <s v="Secundaria"/>
    <s v="2 Secundaria"/>
    <s v="14144 SANTA ROSA"/>
    <s v="Rural"/>
    <s v="Masculino"/>
    <x v="0"/>
  </r>
  <r>
    <n v="4"/>
    <x v="0"/>
    <s v="Secundaria"/>
    <s v="2 Secundaria"/>
    <s v="14144 SANTA ROSA"/>
    <s v="Rural"/>
    <s v="Masculino"/>
    <x v="0"/>
  </r>
  <r>
    <n v="5"/>
    <x v="0"/>
    <s v="Secundaria"/>
    <s v="2 Secundaria"/>
    <s v="14144 SANTA ROSA"/>
    <s v="Rural"/>
    <s v="Masculino"/>
    <x v="0"/>
  </r>
  <r>
    <n v="6"/>
    <x v="0"/>
    <s v="Secundaria"/>
    <s v="2 Secundaria"/>
    <s v="14144 SANTA ROSA"/>
    <s v="Rural"/>
    <s v="Masculino"/>
    <x v="0"/>
  </r>
  <r>
    <n v="7"/>
    <x v="0"/>
    <s v="Secundaria"/>
    <s v="2 Secundaria"/>
    <s v="14144 SANTA ROSA"/>
    <s v="Rural"/>
    <s v="Masculino"/>
    <x v="0"/>
  </r>
  <r>
    <n v="8"/>
    <x v="0"/>
    <s v="Secundaria"/>
    <s v="2 Secundaria"/>
    <s v="14144 SANTA ROSA"/>
    <s v="Rural"/>
    <s v="Masculino"/>
    <x v="0"/>
  </r>
  <r>
    <n v="9"/>
    <x v="0"/>
    <s v="Secundaria"/>
    <s v="2 Secundaria"/>
    <s v="14144 SANTA ROSA"/>
    <s v="Rural"/>
    <s v="Masculino"/>
    <x v="0"/>
  </r>
  <r>
    <n v="10"/>
    <x v="0"/>
    <s v="Secundaria"/>
    <s v="2 Secundaria"/>
    <s v="14144 SANTA ROSA"/>
    <s v="Rural"/>
    <s v="Masculino"/>
    <x v="0"/>
  </r>
  <r>
    <n v="11"/>
    <x v="0"/>
    <s v="Secundaria"/>
    <s v="2 Secundaria"/>
    <s v="14144 SANTA ROSA"/>
    <s v="Rural"/>
    <s v="Masculino"/>
    <x v="0"/>
  </r>
  <r>
    <n v="12"/>
    <x v="0"/>
    <s v="Secundaria"/>
    <s v="2 Secundaria"/>
    <s v="14144 SANTA ROSA"/>
    <s v="Rural"/>
    <s v="Masculino"/>
    <x v="0"/>
  </r>
  <r>
    <n v="13"/>
    <x v="0"/>
    <s v="Secundaria"/>
    <s v="2 Secundaria"/>
    <s v="14144 SANTA ROSA"/>
    <s v="Rural"/>
    <s v="Masculino"/>
    <x v="0"/>
  </r>
  <r>
    <n v="14"/>
    <x v="0"/>
    <s v="Secundaria"/>
    <s v="2 Secundaria"/>
    <s v="14144 SANTA ROSA"/>
    <s v="Rural"/>
    <s v="Masculino"/>
    <x v="0"/>
  </r>
  <r>
    <n v="15"/>
    <x v="0"/>
    <s v="Secundaria"/>
    <s v="2 Secundaria"/>
    <s v="14144 SANTA ROSA"/>
    <s v="Rural"/>
    <s v="Masculino"/>
    <x v="1"/>
  </r>
  <r>
    <n v="16"/>
    <x v="0"/>
    <s v="Secundaria"/>
    <s v="2 Secundaria"/>
    <s v="14144 SANTA ROSA"/>
    <s v="Rural"/>
    <s v="Masculino"/>
    <x v="0"/>
  </r>
  <r>
    <n v="17"/>
    <x v="0"/>
    <s v="Secundaria"/>
    <s v="2 Secundaria"/>
    <s v="14144 SANTA ROSA"/>
    <s v="Rural"/>
    <s v="Masculino"/>
    <x v="0"/>
  </r>
  <r>
    <n v="18"/>
    <x v="0"/>
    <s v="Secundaria"/>
    <s v="2 Secundaria"/>
    <s v="14144 SANTA ROSA"/>
    <s v="Rural"/>
    <s v="Masculino"/>
    <x v="0"/>
  </r>
  <r>
    <n v="19"/>
    <x v="0"/>
    <s v="Secundaria"/>
    <s v="2 Secundaria"/>
    <s v="14144 SANTA ROSA"/>
    <s v="Rural"/>
    <s v="Masculino"/>
    <x v="0"/>
  </r>
  <r>
    <n v="20"/>
    <x v="0"/>
    <s v="Secundaria"/>
    <s v="2 Secundaria"/>
    <s v="14144 SANTA ROSA"/>
    <s v="Rural"/>
    <s v="Masculino"/>
    <x v="0"/>
  </r>
  <r>
    <n v="21"/>
    <x v="0"/>
    <s v="Secundaria"/>
    <s v="2 Secundaria"/>
    <s v="14144 SANTA ROSA"/>
    <s v="Rural"/>
    <s v="Femenino"/>
    <x v="0"/>
  </r>
  <r>
    <n v="22"/>
    <x v="0"/>
    <s v="Secundaria"/>
    <s v="2 Secundaria"/>
    <s v="14144 SANTA ROSA"/>
    <s v="Rural"/>
    <s v="Femenino"/>
    <x v="0"/>
  </r>
  <r>
    <n v="23"/>
    <x v="0"/>
    <s v="Secundaria"/>
    <s v="2 Secundaria"/>
    <s v="14144 SANTA ROSA"/>
    <s v="Rural"/>
    <s v="Femenino"/>
    <x v="0"/>
  </r>
  <r>
    <n v="24"/>
    <x v="0"/>
    <s v="Secundaria"/>
    <s v="2 Secundaria"/>
    <s v="14144 SANTA ROSA"/>
    <s v="Rural"/>
    <s v="Femenino"/>
    <x v="1"/>
  </r>
  <r>
    <n v="25"/>
    <x v="0"/>
    <s v="Secundaria"/>
    <s v="2 Secundaria"/>
    <s v="14144 SANTA ROSA"/>
    <s v="Rural"/>
    <s v="Femenino"/>
    <x v="0"/>
  </r>
  <r>
    <n v="26"/>
    <x v="0"/>
    <s v="Secundaria"/>
    <s v="2 Secundaria"/>
    <s v="14144 SANTA ROSA"/>
    <s v="Rural"/>
    <s v="Femenino"/>
    <x v="0"/>
  </r>
  <r>
    <n v="27"/>
    <x v="0"/>
    <s v="Secundaria"/>
    <s v="2 Secundaria"/>
    <s v="14144 SANTA ROSA"/>
    <s v="Rural"/>
    <s v="Femenino"/>
    <x v="1"/>
  </r>
  <r>
    <n v="28"/>
    <x v="0"/>
    <s v="Secundaria"/>
    <s v="2 Secundaria"/>
    <s v="14144 SANTA ROSA"/>
    <s v="Rural"/>
    <s v="Femenino"/>
    <x v="1"/>
  </r>
  <r>
    <n v="29"/>
    <x v="0"/>
    <s v="Secundaria"/>
    <s v="2 Secundaria"/>
    <s v="14144 SANTA ROSA"/>
    <s v="Rural"/>
    <s v="Femenino"/>
    <x v="0"/>
  </r>
  <r>
    <n v="30"/>
    <x v="0"/>
    <s v="Secundaria"/>
    <s v="2 Secundaria"/>
    <s v="14144 SANTA ROSA"/>
    <s v="Rural"/>
    <s v="Femenino"/>
    <x v="1"/>
  </r>
  <r>
    <n v="31"/>
    <x v="0"/>
    <s v="Secundaria"/>
    <s v="2 Secundaria"/>
    <s v="14144 SANTA ROSA"/>
    <s v="Rural"/>
    <s v="Femenino"/>
    <x v="1"/>
  </r>
  <r>
    <n v="32"/>
    <x v="0"/>
    <s v="Secundaria"/>
    <s v="2 Secundaria"/>
    <s v="14144 SANTA ROSA"/>
    <s v="Rural"/>
    <s v="Femenino"/>
    <x v="0"/>
  </r>
  <r>
    <n v="33"/>
    <x v="0"/>
    <s v="Secundaria"/>
    <s v="2 Secundaria"/>
    <s v="14144 SANTA ROSA"/>
    <s v="Rural"/>
    <s v="Femenino"/>
    <x v="0"/>
  </r>
  <r>
    <n v="34"/>
    <x v="0"/>
    <s v="Secundaria"/>
    <s v="2 Secundaria"/>
    <s v="14144 SANTA ROSA"/>
    <s v="Rural"/>
    <s v="Femenino"/>
    <x v="0"/>
  </r>
  <r>
    <n v="35"/>
    <x v="0"/>
    <s v="Secundaria"/>
    <s v="2 Secundaria"/>
    <s v="14144 SANTA ROSA"/>
    <s v="Rural"/>
    <s v="Femenino"/>
    <x v="0"/>
  </r>
  <r>
    <n v="36"/>
    <x v="0"/>
    <s v="Secundaria"/>
    <s v="2 Secundaria"/>
    <s v="14144 SANTA ROSA"/>
    <s v="Rural"/>
    <s v="Femenino"/>
    <x v="0"/>
  </r>
  <r>
    <n v="37"/>
    <x v="0"/>
    <s v="Secundaria"/>
    <s v="2 Secundaria"/>
    <s v="14144 SANTA ROSA"/>
    <s v="Rural"/>
    <s v="Femenino"/>
    <x v="0"/>
  </r>
  <r>
    <n v="1"/>
    <x v="0"/>
    <s v="Secundaria"/>
    <s v="4 Secundaria"/>
    <s v="14144 SANTA ROSA"/>
    <s v="Rural"/>
    <s v="Masculino"/>
    <x v="0"/>
  </r>
  <r>
    <n v="2"/>
    <x v="0"/>
    <s v="Secundaria"/>
    <s v="4 Secundaria"/>
    <s v="14144 SANTA ROSA"/>
    <s v="Rural"/>
    <s v="Masculino"/>
    <x v="0"/>
  </r>
  <r>
    <n v="3"/>
    <x v="0"/>
    <s v="Secundaria"/>
    <s v="4 Secundaria"/>
    <s v="14144 SANTA ROSA"/>
    <s v="Rural"/>
    <s v="Masculino"/>
    <x v="0"/>
  </r>
  <r>
    <n v="4"/>
    <x v="0"/>
    <s v="Secundaria"/>
    <s v="4 Secundaria"/>
    <s v="14144 SANTA ROSA"/>
    <s v="Rural"/>
    <s v="Masculino"/>
    <x v="0"/>
  </r>
  <r>
    <n v="5"/>
    <x v="0"/>
    <s v="Secundaria"/>
    <s v="4 Secundaria"/>
    <s v="14144 SANTA ROSA"/>
    <s v="Rural"/>
    <s v="Masculino"/>
    <x v="0"/>
  </r>
  <r>
    <n v="6"/>
    <x v="0"/>
    <s v="Secundaria"/>
    <s v="4 Secundaria"/>
    <s v="14144 SANTA ROSA"/>
    <s v="Rural"/>
    <s v="Masculino"/>
    <x v="0"/>
  </r>
  <r>
    <n v="7"/>
    <x v="0"/>
    <s v="Secundaria"/>
    <s v="4 Secundaria"/>
    <s v="14144 SANTA ROSA"/>
    <s v="Rural"/>
    <s v="Masculino"/>
    <x v="0"/>
  </r>
  <r>
    <n v="8"/>
    <x v="0"/>
    <s v="Secundaria"/>
    <s v="4 Secundaria"/>
    <s v="14144 SANTA ROSA"/>
    <s v="Rural"/>
    <s v="Masculino"/>
    <x v="0"/>
  </r>
  <r>
    <n v="9"/>
    <x v="0"/>
    <s v="Secundaria"/>
    <s v="4 Secundaria"/>
    <s v="14144 SANTA ROSA"/>
    <s v="Rural"/>
    <s v="Masculino"/>
    <x v="1"/>
  </r>
  <r>
    <n v="10"/>
    <x v="0"/>
    <s v="Secundaria"/>
    <s v="4 Secundaria"/>
    <s v="14144 SANTA ROSA"/>
    <s v="Rural"/>
    <s v="Masculino"/>
    <x v="1"/>
  </r>
  <r>
    <n v="11"/>
    <x v="0"/>
    <s v="Secundaria"/>
    <s v="4 Secundaria"/>
    <s v="14144 SANTA ROSA"/>
    <s v="Rural"/>
    <s v="Masculino"/>
    <x v="1"/>
  </r>
  <r>
    <n v="12"/>
    <x v="0"/>
    <s v="Secundaria"/>
    <s v="4 Secundaria"/>
    <s v="14144 SANTA ROSA"/>
    <s v="Rural"/>
    <s v="Masculino"/>
    <x v="0"/>
  </r>
  <r>
    <n v="13"/>
    <x v="0"/>
    <s v="Secundaria"/>
    <s v="4 Secundaria"/>
    <s v="14144 SANTA ROSA"/>
    <s v="Rural"/>
    <s v="Masculino"/>
    <x v="0"/>
  </r>
  <r>
    <n v="14"/>
    <x v="0"/>
    <s v="Secundaria"/>
    <s v="4 Secundaria"/>
    <s v="14144 SANTA ROSA"/>
    <s v="Rural"/>
    <s v="Masculino"/>
    <x v="0"/>
  </r>
  <r>
    <n v="15"/>
    <x v="0"/>
    <s v="Secundaria"/>
    <s v="4 Secundaria"/>
    <s v="14144 SANTA ROSA"/>
    <s v="Rural"/>
    <s v="Masculino"/>
    <x v="0"/>
  </r>
  <r>
    <n v="16"/>
    <x v="0"/>
    <s v="Secundaria"/>
    <s v="4 Secundaria"/>
    <s v="14144 SANTA ROSA"/>
    <s v="Rural"/>
    <s v="Femenino"/>
    <x v="0"/>
  </r>
  <r>
    <n v="17"/>
    <x v="0"/>
    <s v="Secundaria"/>
    <s v="4 Secundaria"/>
    <s v="14144 SANTA ROSA"/>
    <s v="Rural"/>
    <s v="Femenino"/>
    <x v="0"/>
  </r>
  <r>
    <n v="18"/>
    <x v="0"/>
    <s v="Secundaria"/>
    <s v="4 Secundaria"/>
    <s v="14144 SANTA ROSA"/>
    <s v="Rural"/>
    <s v="Femenino"/>
    <x v="1"/>
  </r>
  <r>
    <n v="19"/>
    <x v="0"/>
    <s v="Secundaria"/>
    <s v="4 Secundaria"/>
    <s v="14144 SANTA ROSA"/>
    <s v="Rural"/>
    <s v="Femenino"/>
    <x v="0"/>
  </r>
  <r>
    <n v="20"/>
    <x v="0"/>
    <s v="Secundaria"/>
    <s v="4 Secundaria"/>
    <s v="14144 SANTA ROSA"/>
    <s v="Rural"/>
    <s v="Femenino"/>
    <x v="0"/>
  </r>
  <r>
    <n v="21"/>
    <x v="0"/>
    <s v="Secundaria"/>
    <s v="4 Secundaria"/>
    <s v="14144 SANTA ROSA"/>
    <s v="Rural"/>
    <s v="Femenino"/>
    <x v="0"/>
  </r>
  <r>
    <n v="22"/>
    <x v="0"/>
    <s v="Secundaria"/>
    <s v="4 Secundaria"/>
    <s v="14144 SANTA ROSA"/>
    <s v="Rural"/>
    <s v="Femenino"/>
    <x v="0"/>
  </r>
  <r>
    <n v="23"/>
    <x v="0"/>
    <s v="Secundaria"/>
    <s v="4 Secundaria"/>
    <s v="14144 SANTA ROSA"/>
    <s v="Rural"/>
    <s v="Femenino"/>
    <x v="1"/>
  </r>
  <r>
    <n v="24"/>
    <x v="0"/>
    <s v="Secundaria"/>
    <s v="4 Secundaria"/>
    <s v="14144 SANTA ROSA"/>
    <s v="Rural"/>
    <s v="Femenino"/>
    <x v="0"/>
  </r>
  <r>
    <n v="25"/>
    <x v="0"/>
    <s v="Secundaria"/>
    <s v="4 Secundaria"/>
    <s v="14144 SANTA ROSA"/>
    <s v="Rural"/>
    <s v="Femenino"/>
    <x v="1"/>
  </r>
  <r>
    <n v="26"/>
    <x v="0"/>
    <s v="Secundaria"/>
    <s v="4 Secundaria"/>
    <s v="14144 SANTA ROSA"/>
    <s v="Rural"/>
    <s v="Femenino"/>
    <x v="0"/>
  </r>
  <r>
    <n v="27"/>
    <x v="0"/>
    <s v="Secundaria"/>
    <s v="4 Secundaria"/>
    <s v="14144 SANTA ROSA"/>
    <s v="Rural"/>
    <s v="Femenino"/>
    <x v="0"/>
  </r>
  <r>
    <n v="28"/>
    <x v="0"/>
    <s v="Secundaria"/>
    <s v="4 Secundaria"/>
    <s v="14144 SANTA ROSA"/>
    <s v="Rural"/>
    <s v="Femenino"/>
    <x v="0"/>
  </r>
  <r>
    <n v="29"/>
    <x v="0"/>
    <s v="Secundaria"/>
    <s v="4 Secundaria"/>
    <s v="14144 SANTA ROSA"/>
    <s v="Rural"/>
    <s v="Femenino"/>
    <x v="0"/>
  </r>
  <r>
    <n v="1"/>
    <x v="1"/>
    <s v="Primaria"/>
    <s v="2 Primaria"/>
    <s v="64048"/>
    <s v="Rural"/>
    <s v="Masculino"/>
    <x v="1"/>
  </r>
  <r>
    <n v="2"/>
    <x v="1"/>
    <s v="Primaria"/>
    <s v="2 Primaria"/>
    <s v="64048"/>
    <s v="Rural"/>
    <s v="Femenino"/>
    <x v="0"/>
  </r>
  <r>
    <n v="3"/>
    <x v="1"/>
    <s v="Primaria"/>
    <s v="4 Primaria"/>
    <s v="64048"/>
    <s v="Rural"/>
    <s v="Masculino"/>
    <x v="0"/>
  </r>
  <r>
    <n v="4"/>
    <x v="1"/>
    <s v="Primaria"/>
    <s v="4 Primaria"/>
    <s v="64048"/>
    <s v="Rural"/>
    <s v="Femenino"/>
    <x v="0"/>
  </r>
  <r>
    <n v="5"/>
    <x v="1"/>
    <s v="Primaria"/>
    <s v="6 Primaria"/>
    <s v="64048"/>
    <s v="Rural"/>
    <s v="Masculino"/>
    <x v="0"/>
  </r>
  <r>
    <n v="6"/>
    <x v="1"/>
    <s v="Primaria"/>
    <s v="6 Primaria"/>
    <s v="64048"/>
    <s v="Rural"/>
    <s v="Femenino"/>
    <x v="0"/>
  </r>
  <r>
    <n v="7"/>
    <x v="1"/>
    <s v="Primaria"/>
    <s v="6 Primaria"/>
    <s v="64048"/>
    <s v="Rural"/>
    <s v="Femenino"/>
    <x v="0"/>
  </r>
  <r>
    <n v="1"/>
    <x v="1"/>
    <s v="Primaria"/>
    <s v="2 Primaria"/>
    <s v="64115"/>
    <s v="Rural"/>
    <s v="Masculino"/>
    <x v="0"/>
  </r>
  <r>
    <n v="2"/>
    <x v="1"/>
    <s v="Primaria"/>
    <s v="2 Primaria"/>
    <s v="64115"/>
    <s v="Rural"/>
    <s v="Masculino"/>
    <x v="0"/>
  </r>
  <r>
    <n v="3"/>
    <x v="1"/>
    <s v="Primaria"/>
    <s v="2 Primaria"/>
    <s v="64115"/>
    <s v="Rural"/>
    <s v="Femenino"/>
    <x v="1"/>
  </r>
  <r>
    <n v="4"/>
    <x v="1"/>
    <s v="Primaria"/>
    <s v="4 Primaria"/>
    <s v="64115"/>
    <s v="Rural"/>
    <s v="Masculino"/>
    <x v="0"/>
  </r>
  <r>
    <n v="5"/>
    <x v="1"/>
    <s v="Primaria"/>
    <s v="4 Primaria"/>
    <s v="64115"/>
    <s v="Rural"/>
    <s v="Masculino"/>
    <x v="1"/>
  </r>
  <r>
    <n v="6"/>
    <x v="1"/>
    <s v="Primaria"/>
    <s v="6 Primaria"/>
    <s v="64115"/>
    <s v="Rural"/>
    <s v="Masculino"/>
    <x v="0"/>
  </r>
  <r>
    <n v="7"/>
    <x v="1"/>
    <s v="Primaria"/>
    <s v="6 Primaria"/>
    <s v="64115"/>
    <s v="Rural"/>
    <s v="Femenino"/>
    <x v="0"/>
  </r>
  <r>
    <n v="1"/>
    <x v="1"/>
    <s v="Primaria"/>
    <s v="2 Primaria"/>
    <s v="64508-B"/>
    <s v="Rural"/>
    <s v="Masculino"/>
    <x v="0"/>
  </r>
  <r>
    <n v="2"/>
    <x v="1"/>
    <s v="Primaria"/>
    <s v="2 Primaria"/>
    <s v="64508-B"/>
    <s v="Rural"/>
    <s v="Masculino"/>
    <x v="0"/>
  </r>
  <r>
    <n v="3"/>
    <x v="1"/>
    <s v="Primaria"/>
    <s v="2 Primaria"/>
    <s v="64508-B"/>
    <s v="Rural"/>
    <s v="Masculino"/>
    <x v="0"/>
  </r>
  <r>
    <n v="4"/>
    <x v="1"/>
    <s v="Primaria"/>
    <s v="2 Primaria"/>
    <s v="64508-B"/>
    <s v="Rural"/>
    <s v="Masculino"/>
    <x v="0"/>
  </r>
  <r>
    <n v="5"/>
    <x v="1"/>
    <s v="Primaria"/>
    <s v="2 Primaria"/>
    <s v="64508-B"/>
    <s v="Rural"/>
    <s v="Masculino"/>
    <x v="0"/>
  </r>
  <r>
    <n v="6"/>
    <x v="1"/>
    <s v="Primaria"/>
    <s v="2 Primaria"/>
    <s v="64508-B"/>
    <s v="Rural"/>
    <s v="Femenino"/>
    <x v="0"/>
  </r>
  <r>
    <n v="7"/>
    <x v="1"/>
    <s v="Primaria"/>
    <s v="2 Primaria"/>
    <s v="64508-B"/>
    <s v="Rural"/>
    <s v="Femenino"/>
    <x v="0"/>
  </r>
  <r>
    <n v="8"/>
    <x v="1"/>
    <s v="Primaria"/>
    <s v="2 Primaria"/>
    <s v="64508-B"/>
    <s v="Rural"/>
    <s v="Femenino"/>
    <x v="0"/>
  </r>
  <r>
    <n v="9"/>
    <x v="1"/>
    <s v="Primaria"/>
    <s v="4 Primaria"/>
    <s v="64508-B"/>
    <s v="Rural"/>
    <s v="Masculino"/>
    <x v="0"/>
  </r>
  <r>
    <n v="10"/>
    <x v="1"/>
    <s v="Primaria"/>
    <s v="4 Primaria"/>
    <s v="64508-B"/>
    <s v="Rural"/>
    <s v="Masculino"/>
    <x v="0"/>
  </r>
  <r>
    <n v="11"/>
    <x v="1"/>
    <s v="Primaria"/>
    <s v="4 Primaria"/>
    <s v="64508-B"/>
    <s v="Rural"/>
    <s v="Masculino"/>
    <x v="0"/>
  </r>
  <r>
    <n v="12"/>
    <x v="1"/>
    <s v="Primaria"/>
    <s v="4 Primaria"/>
    <s v="64508-B"/>
    <s v="Rural"/>
    <s v="Masculino"/>
    <x v="0"/>
  </r>
  <r>
    <n v="13"/>
    <x v="1"/>
    <s v="Primaria"/>
    <s v="4 Primaria"/>
    <s v="64508-B"/>
    <s v="Rural"/>
    <s v="Femenino"/>
    <x v="0"/>
  </r>
  <r>
    <n v="14"/>
    <x v="1"/>
    <s v="Primaria"/>
    <s v="4 Primaria"/>
    <s v="64508-B"/>
    <s v="Rural"/>
    <s v="Femenino"/>
    <x v="0"/>
  </r>
  <r>
    <n v="15"/>
    <x v="1"/>
    <s v="Primaria"/>
    <s v="4 Primaria"/>
    <s v="64508-B"/>
    <s v="Rural"/>
    <s v="Femenino"/>
    <x v="0"/>
  </r>
  <r>
    <n v="16"/>
    <x v="1"/>
    <s v="Primaria"/>
    <s v="4 Primaria"/>
    <s v="64508-B"/>
    <s v="Rural"/>
    <s v="Femenino"/>
    <x v="0"/>
  </r>
  <r>
    <n v="17"/>
    <x v="1"/>
    <s v="Primaria"/>
    <s v="4 Primaria"/>
    <s v="64508-B"/>
    <s v="Rural"/>
    <s v="Femenino"/>
    <x v="0"/>
  </r>
  <r>
    <n v="18"/>
    <x v="1"/>
    <s v="Primaria"/>
    <s v="6 Primaria"/>
    <s v="64508-B"/>
    <s v="Rural"/>
    <s v="Masculino"/>
    <x v="0"/>
  </r>
  <r>
    <n v="19"/>
    <x v="1"/>
    <s v="Primaria"/>
    <s v="6 Primaria"/>
    <s v="64508-B"/>
    <s v="Rural"/>
    <s v="Masculino"/>
    <x v="0"/>
  </r>
  <r>
    <n v="20"/>
    <x v="1"/>
    <s v="Primaria"/>
    <s v="6 Primaria"/>
    <s v="64508-B"/>
    <s v="Rural"/>
    <s v="Masculino"/>
    <x v="0"/>
  </r>
  <r>
    <n v="21"/>
    <x v="1"/>
    <s v="Primaria"/>
    <s v="6 Primaria"/>
    <s v="64508-B"/>
    <s v="Rural"/>
    <s v="Masculino"/>
    <x v="0"/>
  </r>
  <r>
    <n v="22"/>
    <x v="1"/>
    <s v="Primaria"/>
    <s v="6 Primaria"/>
    <s v="64508-B"/>
    <s v="Rural"/>
    <s v="Femenino"/>
    <x v="0"/>
  </r>
  <r>
    <n v="23"/>
    <x v="1"/>
    <s v="Primaria"/>
    <s v="6 Primaria"/>
    <s v="64508-B"/>
    <s v="Rural"/>
    <s v="Femenino"/>
    <x v="0"/>
  </r>
  <r>
    <n v="24"/>
    <x v="1"/>
    <s v="Primaria"/>
    <s v="6 Primaria"/>
    <s v="64508-B"/>
    <s v="Rural"/>
    <s v="Femenino"/>
    <x v="0"/>
  </r>
  <r>
    <n v="25"/>
    <x v="1"/>
    <s v="Primaria"/>
    <s v="6 Primaria"/>
    <s v="64508-B"/>
    <s v="Rural"/>
    <s v="Femenino"/>
    <x v="0"/>
  </r>
  <r>
    <n v="1"/>
    <x v="1"/>
    <s v="Primaria"/>
    <s v="2 Primaria"/>
    <s v="64873-B"/>
    <s v="Rural"/>
    <s v="Masculino"/>
    <x v="0"/>
  </r>
  <r>
    <n v="2"/>
    <x v="1"/>
    <s v="Primaria"/>
    <s v="2 Primaria"/>
    <s v="64873-B"/>
    <s v="Rural"/>
    <s v="Masculino"/>
    <x v="0"/>
  </r>
  <r>
    <n v="3"/>
    <x v="1"/>
    <s v="Primaria"/>
    <s v="2 Primaria"/>
    <s v="64873-B"/>
    <s v="Rural"/>
    <s v="Masculino"/>
    <x v="0"/>
  </r>
  <r>
    <n v="4"/>
    <x v="1"/>
    <s v="Primaria"/>
    <s v="2 Primaria"/>
    <s v="64873-B"/>
    <s v="Rural"/>
    <s v="Masculino"/>
    <x v="0"/>
  </r>
  <r>
    <n v="5"/>
    <x v="1"/>
    <s v="Primaria"/>
    <s v="2 Primaria"/>
    <s v="64873-B"/>
    <s v="Rural"/>
    <s v="Femenino"/>
    <x v="0"/>
  </r>
  <r>
    <n v="6"/>
    <x v="1"/>
    <s v="Primaria"/>
    <s v="2 Primaria"/>
    <s v="64873-B"/>
    <s v="Rural"/>
    <s v="Femenino"/>
    <x v="0"/>
  </r>
  <r>
    <n v="7"/>
    <x v="1"/>
    <s v="Primaria"/>
    <s v="2 Primaria"/>
    <s v="64873-B"/>
    <s v="Rural"/>
    <s v="Femenino"/>
    <x v="0"/>
  </r>
  <r>
    <n v="8"/>
    <x v="1"/>
    <s v="Primaria"/>
    <s v="4 Primaria"/>
    <s v="64873-B"/>
    <s v="Rural"/>
    <s v="Masculino"/>
    <x v="0"/>
  </r>
  <r>
    <n v="9"/>
    <x v="1"/>
    <s v="Primaria"/>
    <s v="4 Primaria"/>
    <s v="64873-B"/>
    <s v="Rural"/>
    <s v="Masculino"/>
    <x v="0"/>
  </r>
  <r>
    <n v="10"/>
    <x v="1"/>
    <s v="Primaria"/>
    <s v="4 Primaria"/>
    <s v="64873-B"/>
    <s v="Rural"/>
    <s v="Femenino"/>
    <x v="0"/>
  </r>
  <r>
    <n v="11"/>
    <x v="1"/>
    <s v="Primaria"/>
    <s v="4 Primaria"/>
    <s v="64873-B"/>
    <s v="Rural"/>
    <s v="Femenino"/>
    <x v="0"/>
  </r>
  <r>
    <n v="12"/>
    <x v="1"/>
    <s v="Primaria"/>
    <s v="6 Primaria"/>
    <s v="64873-B"/>
    <s v="Rural"/>
    <s v="Masculino"/>
    <x v="0"/>
  </r>
  <r>
    <n v="13"/>
    <x v="1"/>
    <s v="Primaria"/>
    <s v="6 Primaria"/>
    <s v="64873-B"/>
    <s v="Rural"/>
    <s v="Masculino"/>
    <x v="0"/>
  </r>
  <r>
    <n v="14"/>
    <x v="1"/>
    <s v="Primaria"/>
    <s v="6 Primaria"/>
    <s v="64873-B"/>
    <s v="Rural"/>
    <s v="Femenino"/>
    <x v="0"/>
  </r>
  <r>
    <n v="15"/>
    <x v="1"/>
    <s v="Primaria"/>
    <s v="6 Primaria"/>
    <s v="64873-B"/>
    <s v="Rural"/>
    <s v="Femenino"/>
    <x v="0"/>
  </r>
  <r>
    <n v="1"/>
    <x v="1"/>
    <s v="Primaria"/>
    <s v="2 Primaria"/>
    <s v="64545-B"/>
    <s v="Rural"/>
    <s v="Masculino"/>
    <x v="0"/>
  </r>
  <r>
    <n v="2"/>
    <x v="1"/>
    <s v="Primaria"/>
    <s v="2 Primaria"/>
    <s v="64545-B"/>
    <s v="Rural"/>
    <s v="Masculino"/>
    <x v="0"/>
  </r>
  <r>
    <n v="3"/>
    <x v="1"/>
    <s v="Primaria"/>
    <s v="4 Primaria"/>
    <s v="64545-B"/>
    <s v="Rural"/>
    <s v="Femenino"/>
    <x v="0"/>
  </r>
  <r>
    <n v="4"/>
    <x v="1"/>
    <s v="Primaria"/>
    <s v="6 Primaria"/>
    <s v="64545-B"/>
    <s v="Rural"/>
    <s v="Femenino"/>
    <x v="0"/>
  </r>
  <r>
    <n v="1"/>
    <x v="1"/>
    <s v="Primaria"/>
    <s v="2 Primaria"/>
    <s v="64949"/>
    <s v="Rural"/>
    <s v="Femenino"/>
    <x v="0"/>
  </r>
  <r>
    <n v="3"/>
    <x v="1"/>
    <s v="Primaria"/>
    <s v="6 Primaria"/>
    <s v="64949"/>
    <s v="Rural"/>
    <s v="Masculino"/>
    <x v="1"/>
  </r>
  <r>
    <n v="1"/>
    <x v="1"/>
    <s v="Primaria"/>
    <s v="2 Primaria"/>
    <s v="64871-B"/>
    <s v="Rural"/>
    <s v="Masculino"/>
    <x v="0"/>
  </r>
  <r>
    <n v="2"/>
    <x v="1"/>
    <s v="Primaria"/>
    <s v="2 Primaria"/>
    <s v="64871-B"/>
    <s v="Rural"/>
    <s v="Masculino"/>
    <x v="0"/>
  </r>
  <r>
    <n v="3"/>
    <x v="1"/>
    <s v="Primaria"/>
    <s v="2 Primaria"/>
    <s v="64871-B"/>
    <s v="Rural"/>
    <s v="Masculino"/>
    <x v="0"/>
  </r>
  <r>
    <n v="4"/>
    <x v="1"/>
    <s v="Primaria"/>
    <s v="2 Primaria"/>
    <s v="64871-B"/>
    <s v="Rural"/>
    <s v="Masculino"/>
    <x v="0"/>
  </r>
  <r>
    <n v="5"/>
    <x v="1"/>
    <s v="Primaria"/>
    <s v="2 Primaria"/>
    <s v="64871-B"/>
    <s v="Rural"/>
    <s v="Masculino"/>
    <x v="0"/>
  </r>
  <r>
    <n v="6"/>
    <x v="1"/>
    <s v="Primaria"/>
    <s v="2 Primaria"/>
    <s v="64871-B"/>
    <s v="Rural"/>
    <s v="Femenino"/>
    <x v="0"/>
  </r>
  <r>
    <n v="7"/>
    <x v="1"/>
    <s v="Primaria"/>
    <s v="2 Primaria"/>
    <s v="64871-B"/>
    <s v="Rural"/>
    <s v="Femenino"/>
    <x v="0"/>
  </r>
  <r>
    <n v="8"/>
    <x v="1"/>
    <s v="Primaria"/>
    <s v="2 Primaria"/>
    <s v="64871-B"/>
    <s v="Rural"/>
    <s v="Femenino"/>
    <x v="0"/>
  </r>
  <r>
    <n v="9"/>
    <x v="1"/>
    <s v="Primaria"/>
    <s v="2 Primaria"/>
    <s v="64871-B"/>
    <s v="Rural"/>
    <s v="Femenino"/>
    <x v="0"/>
  </r>
  <r>
    <n v="10"/>
    <x v="1"/>
    <s v="Primaria"/>
    <s v="4 Primaria"/>
    <s v="64871-B"/>
    <s v="Rural"/>
    <s v="Masculino"/>
    <x v="0"/>
  </r>
  <r>
    <n v="11"/>
    <x v="1"/>
    <s v="Primaria"/>
    <s v="4 Primaria"/>
    <s v="64871-B"/>
    <s v="Rural"/>
    <s v="Masculino"/>
    <x v="0"/>
  </r>
  <r>
    <n v="12"/>
    <x v="1"/>
    <s v="Primaria"/>
    <s v="4 Primaria"/>
    <s v="64871-B"/>
    <s v="Rural"/>
    <s v="Masculino"/>
    <x v="0"/>
  </r>
  <r>
    <n v="13"/>
    <x v="1"/>
    <s v="Primaria"/>
    <s v="4 Primaria"/>
    <s v="64871-B"/>
    <s v="Rural"/>
    <s v="Masculino"/>
    <x v="0"/>
  </r>
  <r>
    <n v="14"/>
    <x v="1"/>
    <s v="Primaria"/>
    <s v="4 Primaria"/>
    <s v="64871-B"/>
    <s v="Rural"/>
    <s v="Masculino"/>
    <x v="0"/>
  </r>
  <r>
    <n v="15"/>
    <x v="1"/>
    <s v="Primaria"/>
    <s v="4 Primaria"/>
    <s v="64871-B"/>
    <s v="Rural"/>
    <s v="Masculino"/>
    <x v="0"/>
  </r>
  <r>
    <n v="16"/>
    <x v="1"/>
    <s v="Primaria"/>
    <s v="4 Primaria"/>
    <s v="64871-B"/>
    <s v="Rural"/>
    <s v="Femenino"/>
    <x v="0"/>
  </r>
  <r>
    <n v="17"/>
    <x v="1"/>
    <s v="Primaria"/>
    <s v="4 Primaria"/>
    <s v="64871-B"/>
    <s v="Rural"/>
    <s v="Femenino"/>
    <x v="0"/>
  </r>
  <r>
    <n v="18"/>
    <x v="1"/>
    <s v="Primaria"/>
    <s v="4 Primaria"/>
    <s v="64871-B"/>
    <s v="Rural"/>
    <s v="Femenino"/>
    <x v="0"/>
  </r>
  <r>
    <n v="19"/>
    <x v="1"/>
    <s v="Primaria"/>
    <s v="4 Primaria"/>
    <s v="64871-B"/>
    <s v="Rural"/>
    <s v="Femenino"/>
    <x v="0"/>
  </r>
  <r>
    <n v="20"/>
    <x v="1"/>
    <s v="Primaria"/>
    <s v="6 Primaria"/>
    <s v="64871-B"/>
    <s v="Rural"/>
    <s v="Masculino"/>
    <x v="0"/>
  </r>
  <r>
    <n v="21"/>
    <x v="1"/>
    <s v="Primaria"/>
    <s v="6 Primaria"/>
    <s v="64871-B"/>
    <s v="Rural"/>
    <s v="Masculino"/>
    <x v="0"/>
  </r>
  <r>
    <n v="22"/>
    <x v="1"/>
    <s v="Primaria"/>
    <s v="6 Primaria"/>
    <s v="64871-B"/>
    <s v="Rural"/>
    <s v="Masculino"/>
    <x v="0"/>
  </r>
  <r>
    <n v="23"/>
    <x v="1"/>
    <s v="Primaria"/>
    <s v="6 Primaria"/>
    <s v="64871-B"/>
    <s v="Rural"/>
    <s v="Masculino"/>
    <x v="0"/>
  </r>
  <r>
    <n v="24"/>
    <x v="1"/>
    <s v="Primaria"/>
    <s v="6 Primaria"/>
    <s v="64871-B"/>
    <s v="Rural"/>
    <s v="Femenino"/>
    <x v="0"/>
  </r>
  <r>
    <n v="25"/>
    <x v="1"/>
    <s v="Primaria"/>
    <s v="6 Primaria"/>
    <s v="64871-B"/>
    <s v="Rural"/>
    <s v="Femenino"/>
    <x v="0"/>
  </r>
  <r>
    <n v="26"/>
    <x v="1"/>
    <s v="Primaria"/>
    <s v="6 Primaria"/>
    <s v="64871-B"/>
    <s v="Rural"/>
    <s v="Femenino"/>
    <x v="0"/>
  </r>
  <r>
    <n v="27"/>
    <x v="1"/>
    <s v="Primaria"/>
    <s v="6 Primaria"/>
    <s v="64871-B"/>
    <s v="Rural"/>
    <s v="Femenino"/>
    <x v="0"/>
  </r>
  <r>
    <n v="28"/>
    <x v="1"/>
    <s v="Primaria"/>
    <s v="6 Primaria"/>
    <s v="64871-B"/>
    <s v="Rural"/>
    <s v="Femenino"/>
    <x v="0"/>
  </r>
  <r>
    <n v="29"/>
    <x v="1"/>
    <s v="Primaria"/>
    <s v="6 Primaria"/>
    <s v="64871-B"/>
    <s v="Rural"/>
    <s v="Femenino"/>
    <x v="0"/>
  </r>
  <r>
    <n v="1"/>
    <x v="1"/>
    <s v="Primaria"/>
    <s v="2 Primaria"/>
    <s v="64028"/>
    <s v="Rural"/>
    <s v="Masculino"/>
    <x v="0"/>
  </r>
  <r>
    <n v="2"/>
    <x v="1"/>
    <s v="Primaria"/>
    <s v="2 Primaria"/>
    <s v="64028"/>
    <s v="Rural"/>
    <s v="Femenino"/>
    <x v="0"/>
  </r>
  <r>
    <n v="3"/>
    <x v="1"/>
    <s v="Primaria"/>
    <s v="2 Primaria"/>
    <s v="64028"/>
    <s v="Rural"/>
    <s v="Femenino"/>
    <x v="0"/>
  </r>
  <r>
    <n v="4"/>
    <x v="1"/>
    <s v="Primaria"/>
    <s v="4 Primaria"/>
    <s v="64028"/>
    <s v="Rural"/>
    <s v="Masculino"/>
    <x v="0"/>
  </r>
  <r>
    <n v="5"/>
    <x v="1"/>
    <s v="Primaria"/>
    <s v="4 Primaria"/>
    <s v="64028"/>
    <s v="Rural"/>
    <s v="Masculino"/>
    <x v="0"/>
  </r>
  <r>
    <n v="6"/>
    <x v="1"/>
    <s v="Primaria"/>
    <s v="4 Primaria"/>
    <s v="64028"/>
    <s v="Rural"/>
    <s v="Femenino"/>
    <x v="1"/>
  </r>
  <r>
    <n v="7"/>
    <x v="1"/>
    <s v="Primaria"/>
    <s v="4 Primaria"/>
    <s v="64028"/>
    <s v="Rural"/>
    <s v="Femenino"/>
    <x v="1"/>
  </r>
  <r>
    <n v="8"/>
    <x v="1"/>
    <s v="Primaria"/>
    <s v="6 Primaria"/>
    <s v="64028"/>
    <s v="Rural"/>
    <s v="Masculino"/>
    <x v="1"/>
  </r>
  <r>
    <n v="9"/>
    <x v="1"/>
    <s v="Primaria"/>
    <s v="6 Primaria"/>
    <s v="64028"/>
    <s v="Rural"/>
    <s v="Masculino"/>
    <x v="1"/>
  </r>
  <r>
    <n v="10"/>
    <x v="1"/>
    <s v="Primaria"/>
    <s v="6 Primaria"/>
    <s v="64028"/>
    <s v="Rural"/>
    <s v="Femenino"/>
    <x v="1"/>
  </r>
  <r>
    <n v="11"/>
    <x v="1"/>
    <s v="Primaria"/>
    <s v="6 Primaria"/>
    <s v="64028"/>
    <s v="Rural"/>
    <s v="Femenino"/>
    <x v="0"/>
  </r>
  <r>
    <n v="1"/>
    <x v="2"/>
    <s v="Secundaria"/>
    <s v="2 Secundaria"/>
    <s v="NUESTRA SEÑORA DE LA CANDELARIA"/>
    <s v="Rural"/>
    <s v="Femenino"/>
    <x v="0"/>
  </r>
  <r>
    <n v="5"/>
    <x v="2"/>
    <s v="Secundaria"/>
    <s v="2 Secundaria"/>
    <s v="NUESTRA SEÑORA DE LA CANDELARIA"/>
    <s v="Rural"/>
    <s v="Femenino"/>
    <x v="0"/>
  </r>
  <r>
    <n v="6"/>
    <x v="2"/>
    <s v="Secundaria"/>
    <s v="2 Secundaria"/>
    <s v="NUESTRA SEÑORA DE LA CANDELARIA"/>
    <s v="Rural"/>
    <s v="Masculino"/>
    <x v="0"/>
  </r>
  <r>
    <n v="7"/>
    <x v="2"/>
    <s v="Secundaria"/>
    <s v="2 Secundaria"/>
    <s v="NUESTRA SEÑORA DE LA CANDELARIA"/>
    <s v="Rural"/>
    <s v="Femenino"/>
    <x v="0"/>
  </r>
  <r>
    <n v="8"/>
    <x v="2"/>
    <s v="Secundaria"/>
    <s v="2 Secundaria"/>
    <s v="NUESTRA SEÑORA DE LA CANDELARIA"/>
    <s v="Rural"/>
    <s v="Femenino"/>
    <x v="0"/>
  </r>
  <r>
    <n v="9"/>
    <x v="2"/>
    <s v="Secundaria"/>
    <s v="2 Secundaria"/>
    <s v="NUESTRA SEÑORA DE LA CANDELARIA"/>
    <s v="Rural"/>
    <s v="Masculino"/>
    <x v="0"/>
  </r>
  <r>
    <n v="10"/>
    <x v="2"/>
    <s v="Secundaria"/>
    <s v="2 Secundaria"/>
    <s v="NUESTRA SEÑORA DE LA CANDELARIA"/>
    <s v="Rural"/>
    <s v="Femenino"/>
    <x v="0"/>
  </r>
  <r>
    <n v="11"/>
    <x v="2"/>
    <s v="Secundaria"/>
    <s v="2 Secundaria"/>
    <s v="NUESTRA SEÑORA DE LA CANDELARIA"/>
    <s v="Rural"/>
    <s v="Masculino"/>
    <x v="0"/>
  </r>
  <r>
    <n v="12"/>
    <x v="2"/>
    <s v="Secundaria"/>
    <s v="2 Secundaria"/>
    <s v="NUESTRA SEÑORA DE LA CANDELARIA"/>
    <s v="Rural"/>
    <s v="Masculino"/>
    <x v="0"/>
  </r>
  <r>
    <n v="13"/>
    <x v="2"/>
    <s v="Secundaria"/>
    <s v="2 Secundaria"/>
    <s v="NUESTRA SEÑORA DE LA CANDELARIA"/>
    <s v="Rural"/>
    <s v="Femenino"/>
    <x v="0"/>
  </r>
  <r>
    <n v="14"/>
    <x v="2"/>
    <s v="Secundaria"/>
    <s v="2 Secundaria"/>
    <s v="NUESTRA SEÑORA DE LA CANDELARIA"/>
    <s v="Rural"/>
    <s v="Masculino"/>
    <x v="1"/>
  </r>
  <r>
    <n v="15"/>
    <x v="2"/>
    <s v="Secundaria"/>
    <s v="2 Secundaria"/>
    <s v="NUESTRA SEÑORA DE LA CANDELARIA"/>
    <s v="Rural"/>
    <s v="Masculino"/>
    <x v="0"/>
  </r>
  <r>
    <n v="16"/>
    <x v="2"/>
    <s v="Secundaria"/>
    <s v="2 Secundaria"/>
    <s v="NUESTRA SEÑORA DE LA CANDELARIA"/>
    <s v="Rural"/>
    <s v="Masculino"/>
    <x v="0"/>
  </r>
  <r>
    <n v="17"/>
    <x v="2"/>
    <s v="Secundaria"/>
    <s v="2 Secundaria"/>
    <s v="NUESTRA SEÑORA DE LA CANDELARIA"/>
    <s v="Rural"/>
    <s v="Femenino"/>
    <x v="0"/>
  </r>
  <r>
    <n v="18"/>
    <x v="2"/>
    <s v="Secundaria"/>
    <s v="2 Secundaria"/>
    <s v="NUESTRA SEÑORA DE LA CANDELARIA"/>
    <s v="Rural"/>
    <s v="Masculino"/>
    <x v="0"/>
  </r>
  <r>
    <n v="19"/>
    <x v="2"/>
    <s v="Secundaria"/>
    <s v="2 Secundaria"/>
    <s v="NUESTRA SEÑORA DE LA CANDELARIA"/>
    <s v="Rural"/>
    <s v="Masculino"/>
    <x v="0"/>
  </r>
  <r>
    <n v="20"/>
    <x v="2"/>
    <s v="Secundaria"/>
    <s v="2 Secundaria"/>
    <s v="NUESTRA SEÑORA DE LA CANDELARIA"/>
    <s v="Rural"/>
    <s v="Femenino"/>
    <x v="0"/>
  </r>
  <r>
    <n v="21"/>
    <x v="2"/>
    <s v="Secundaria"/>
    <s v="2 Secundaria"/>
    <s v="NUESTRA SEÑORA DE LA CANDELARIA"/>
    <s v="Rural"/>
    <s v="Masculino"/>
    <x v="0"/>
  </r>
  <r>
    <n v="22"/>
    <x v="2"/>
    <s v="Secundaria"/>
    <s v="2 Secundaria"/>
    <s v="NUESTRA SEÑORA DE LA CANDELARIA"/>
    <s v="Rural"/>
    <s v="Femenino"/>
    <x v="0"/>
  </r>
  <r>
    <n v="23"/>
    <x v="2"/>
    <s v="Secundaria"/>
    <s v="2 Secundaria"/>
    <s v="NUESTRA SEÑORA DE LA CANDELARIA"/>
    <s v="Rural"/>
    <s v="Femenino"/>
    <x v="1"/>
  </r>
  <r>
    <n v="24"/>
    <x v="2"/>
    <s v="Secundaria"/>
    <s v="2 Secundaria"/>
    <s v="NUESTRA SEÑORA DE LA CANDELARIA"/>
    <s v="Rural"/>
    <s v="Femenino"/>
    <x v="0"/>
  </r>
  <r>
    <n v="25"/>
    <x v="2"/>
    <s v="Secundaria"/>
    <s v="2 Secundaria"/>
    <s v="NUESTRA SEÑORA DE LA CANDELARIA"/>
    <s v="Rural"/>
    <s v="Femenino"/>
    <x v="0"/>
  </r>
  <r>
    <n v="26"/>
    <x v="2"/>
    <s v="Secundaria"/>
    <s v="2 Secundaria"/>
    <s v="NUESTRA SEÑORA DE LA CANDELARIA"/>
    <s v="Rural"/>
    <s v="Femenino"/>
    <x v="0"/>
  </r>
  <r>
    <n v="27"/>
    <x v="2"/>
    <s v="Secundaria"/>
    <s v="2 Secundaria"/>
    <s v="NUESTRA SEÑORA DE LA CANDELARIA"/>
    <s v="Rural"/>
    <s v="Femenino"/>
    <x v="0"/>
  </r>
  <r>
    <n v="28"/>
    <x v="2"/>
    <s v="Secundaria"/>
    <s v="2 Secundaria"/>
    <s v="NUESTRA SEÑORA DE LA CANDELARIA"/>
    <s v="Rural"/>
    <s v="Femenino"/>
    <x v="1"/>
  </r>
  <r>
    <n v="29"/>
    <x v="2"/>
    <s v="Secundaria"/>
    <s v="2 Secundaria"/>
    <s v="NUESTRA SEÑORA DE LA CANDELARIA"/>
    <s v="Rural"/>
    <s v="Femenino"/>
    <x v="1"/>
  </r>
  <r>
    <n v="30"/>
    <x v="2"/>
    <s v="Secundaria"/>
    <s v="2 Secundaria"/>
    <s v="NUESTRA SEÑORA DE LA CANDELARIA"/>
    <s v="Rural"/>
    <s v="Masculino"/>
    <x v="0"/>
  </r>
  <r>
    <n v="31"/>
    <x v="2"/>
    <s v="Secundaria"/>
    <s v="2 Secundaria"/>
    <s v="NUESTRA SEÑORA DE LA CANDELARIA"/>
    <s v="Rural"/>
    <s v="Femenino"/>
    <x v="0"/>
  </r>
  <r>
    <n v="32"/>
    <x v="2"/>
    <s v="Secundaria"/>
    <s v="2 Secundaria"/>
    <s v="NUESTRA SEÑORA DE LA CANDELARIA"/>
    <s v="Rural"/>
    <s v="Femenino"/>
    <x v="0"/>
  </r>
  <r>
    <n v="33"/>
    <x v="2"/>
    <s v="Secundaria"/>
    <s v="2 Secundaria"/>
    <s v="NUESTRA SEÑORA DE LA CANDELARIA"/>
    <s v="Rural"/>
    <s v="Femenino"/>
    <x v="0"/>
  </r>
  <r>
    <n v="34"/>
    <x v="2"/>
    <s v="Secundaria"/>
    <s v="2 Secundaria"/>
    <s v="NUESTRA SEÑORA DE LA CANDELARIA"/>
    <s v="Rural"/>
    <s v="Femenino"/>
    <x v="0"/>
  </r>
  <r>
    <n v="36"/>
    <x v="2"/>
    <s v="Secundaria"/>
    <s v="2 Secundaria"/>
    <s v="NUESTRA SEÑORA DE LA CANDELARIA"/>
    <s v="Rural"/>
    <s v="Femenino"/>
    <x v="1"/>
  </r>
  <r>
    <n v="37"/>
    <x v="2"/>
    <s v="Secundaria"/>
    <s v="2 Secundaria"/>
    <s v="NUESTRA SEÑORA DE LA CANDELARIA"/>
    <s v="Rural"/>
    <s v="Femenino"/>
    <x v="1"/>
  </r>
  <r>
    <n v="38"/>
    <x v="2"/>
    <s v="Secundaria"/>
    <s v="2 Secundaria"/>
    <s v="NUESTRA SEÑORA DE LA CANDELARIA"/>
    <s v="Rural"/>
    <s v="Femenino"/>
    <x v="0"/>
  </r>
  <r>
    <n v="39"/>
    <x v="2"/>
    <s v="Secundaria"/>
    <s v="2 Secundaria"/>
    <s v="NUESTRA SEÑORA DE LA CANDELARIA"/>
    <s v="Rural"/>
    <s v="Femenino"/>
    <x v="1"/>
  </r>
  <r>
    <n v="40"/>
    <x v="2"/>
    <s v="Secundaria"/>
    <s v="2 Secundaria"/>
    <s v="NUESTRA SEÑORA DE LA CANDELARIA"/>
    <s v="Rural"/>
    <s v="Femenino"/>
    <x v="0"/>
  </r>
  <r>
    <n v="41"/>
    <x v="2"/>
    <s v="Secundaria"/>
    <s v="2 Secundaria"/>
    <s v="NUESTRA SEÑORA DE LA CANDELARIA"/>
    <s v="Rural"/>
    <s v="Femenino"/>
    <x v="1"/>
  </r>
  <r>
    <n v="42"/>
    <x v="2"/>
    <s v="Secundaria"/>
    <s v="2 Secundaria"/>
    <s v="NUESTRA SEÑORA DE LA CANDELARIA"/>
    <s v="Rural"/>
    <s v="Femenino"/>
    <x v="0"/>
  </r>
  <r>
    <n v="43"/>
    <x v="2"/>
    <s v="Secundaria"/>
    <s v="2 Secundaria"/>
    <s v="NUESTRA SEÑORA DE LA CANDELARIA"/>
    <s v="Rural"/>
    <s v="Femenino"/>
    <x v="0"/>
  </r>
  <r>
    <n v="1"/>
    <x v="2"/>
    <s v="Secundaria"/>
    <s v="4 Secundaria"/>
    <s v="NUESTRA SEÑORA DE LA CANDELARIA"/>
    <s v="Rural"/>
    <s v="Femenino"/>
    <x v="0"/>
  </r>
  <r>
    <n v="2"/>
    <x v="2"/>
    <s v="Secundaria"/>
    <s v="4 Secundaria"/>
    <s v="NUESTRA SEÑORA DE LA CANDELARIA"/>
    <s v="Rural"/>
    <s v="Femenino"/>
    <x v="1"/>
  </r>
  <r>
    <n v="3"/>
    <x v="2"/>
    <s v="Secundaria"/>
    <s v="4 Secundaria"/>
    <s v="NUESTRA SEÑORA DE LA CANDELARIA"/>
    <s v="Rural"/>
    <s v="Masculino"/>
    <x v="0"/>
  </r>
  <r>
    <n v="4"/>
    <x v="2"/>
    <s v="Secundaria"/>
    <s v="4 Secundaria"/>
    <s v="NUESTRA SEÑORA DE LA CANDELARIA"/>
    <s v="Rural"/>
    <s v="Masculino"/>
    <x v="0"/>
  </r>
  <r>
    <n v="5"/>
    <x v="2"/>
    <s v="Secundaria"/>
    <s v="4 Secundaria"/>
    <s v="NUESTRA SEÑORA DE LA CANDELARIA"/>
    <s v="Rural"/>
    <s v="Masculino"/>
    <x v="0"/>
  </r>
  <r>
    <n v="6"/>
    <x v="2"/>
    <s v="Secundaria"/>
    <s v="4 Secundaria"/>
    <s v="NUESTRA SEÑORA DE LA CANDELARIA"/>
    <s v="Rural"/>
    <s v="Masculino"/>
    <x v="0"/>
  </r>
  <r>
    <n v="7"/>
    <x v="2"/>
    <s v="Secundaria"/>
    <s v="4 Secundaria"/>
    <s v="NUESTRA SEÑORA DE LA CANDELARIA"/>
    <s v="Rural"/>
    <s v="Masculino"/>
    <x v="0"/>
  </r>
  <r>
    <n v="8"/>
    <x v="2"/>
    <s v="Secundaria"/>
    <s v="4 Secundaria"/>
    <s v="NUESTRA SEÑORA DE LA CANDELARIA"/>
    <s v="Rural"/>
    <s v="Femenino"/>
    <x v="0"/>
  </r>
  <r>
    <n v="9"/>
    <x v="2"/>
    <s v="Secundaria"/>
    <s v="4 Secundaria"/>
    <s v="NUESTRA SEÑORA DE LA CANDELARIA"/>
    <s v="Rural"/>
    <s v="Femenino"/>
    <x v="0"/>
  </r>
  <r>
    <n v="10"/>
    <x v="2"/>
    <s v="Secundaria"/>
    <s v="4 Secundaria"/>
    <s v="NUESTRA SEÑORA DE LA CANDELARIA"/>
    <s v="Rural"/>
    <s v="Masculino"/>
    <x v="0"/>
  </r>
  <r>
    <n v="13"/>
    <x v="2"/>
    <s v="Secundaria"/>
    <s v="4 Secundaria"/>
    <s v="NUESTRA SEÑORA DE LA CANDELARIA"/>
    <s v="Rural"/>
    <s v="Femenino"/>
    <x v="0"/>
  </r>
  <r>
    <n v="14"/>
    <x v="2"/>
    <s v="Secundaria"/>
    <s v="4 Secundaria"/>
    <s v="NUESTRA SEÑORA DE LA CANDELARIA"/>
    <s v="Rural"/>
    <s v="Femenino"/>
    <x v="0"/>
  </r>
  <r>
    <n v="17"/>
    <x v="2"/>
    <s v="Secundaria"/>
    <s v="4 Secundaria"/>
    <s v="NUESTRA SEÑORA DE LA CANDELARIA"/>
    <s v="Rural"/>
    <s v="Femenino"/>
    <x v="0"/>
  </r>
  <r>
    <n v="18"/>
    <x v="2"/>
    <s v="Secundaria"/>
    <s v="4 Secundaria"/>
    <s v="NUESTRA SEÑORA DE LA CANDELARIA"/>
    <s v="Rural"/>
    <s v="Masculino"/>
    <x v="0"/>
  </r>
  <r>
    <n v="20"/>
    <x v="2"/>
    <s v="Secundaria"/>
    <s v="4 Secundaria"/>
    <s v="NUESTRA SEÑORA DE LA CANDELARIA"/>
    <s v="Rural"/>
    <s v="Femenino"/>
    <x v="0"/>
  </r>
  <r>
    <n v="21"/>
    <x v="2"/>
    <s v="Secundaria"/>
    <s v="4 Secundaria"/>
    <s v="NUESTRA SEÑORA DE LA CANDELARIA"/>
    <s v="Rural"/>
    <s v="Masculino"/>
    <x v="0"/>
  </r>
  <r>
    <n v="23"/>
    <x v="2"/>
    <s v="Secundaria"/>
    <s v="4 Secundaria"/>
    <s v="NUESTRA SEÑORA DE LA CANDELARIA"/>
    <s v="Rural"/>
    <s v="Masculino"/>
    <x v="0"/>
  </r>
  <r>
    <n v="24"/>
    <x v="2"/>
    <s v="Secundaria"/>
    <s v="4 Secundaria"/>
    <s v="NUESTRA SEÑORA DE LA CANDELARIA"/>
    <s v="Rural"/>
    <s v="Femenino"/>
    <x v="1"/>
  </r>
  <r>
    <n v="26"/>
    <x v="2"/>
    <s v="Secundaria"/>
    <s v="4 Secundaria"/>
    <s v="NUESTRA SEÑORA DE LA CANDELARIA"/>
    <s v="Rural"/>
    <s v="Masculino"/>
    <x v="1"/>
  </r>
  <r>
    <n v="27"/>
    <x v="2"/>
    <s v="Secundaria"/>
    <s v="4 Secundaria"/>
    <s v="NUESTRA SEÑORA DE LA CANDELARIA"/>
    <s v="Rural"/>
    <s v="Femenino"/>
    <x v="0"/>
  </r>
  <r>
    <n v="28"/>
    <x v="2"/>
    <s v="Secundaria"/>
    <s v="4 Secundaria"/>
    <s v="NUESTRA SEÑORA DE LA CANDELARIA"/>
    <s v="Rural"/>
    <s v="Masculino"/>
    <x v="0"/>
  </r>
  <r>
    <n v="32"/>
    <x v="2"/>
    <s v="Secundaria"/>
    <s v="4 Secundaria"/>
    <s v="NUESTRA SEÑORA DE LA CANDELARIA"/>
    <s v="Rural"/>
    <s v="Masculino"/>
    <x v="0"/>
  </r>
  <r>
    <n v="33"/>
    <x v="2"/>
    <s v="Secundaria"/>
    <s v="4 Secundaria"/>
    <s v="NUESTRA SEÑORA DE LA CANDELARIA"/>
    <s v="Rural"/>
    <s v="Femenino"/>
    <x v="1"/>
  </r>
  <r>
    <n v="34"/>
    <x v="2"/>
    <s v="Secundaria"/>
    <s v="4 Secundaria"/>
    <s v="NUESTRA SEÑORA DE LA CANDELARIA"/>
    <s v="Rural"/>
    <s v="Masculino"/>
    <x v="0"/>
  </r>
  <r>
    <n v="37"/>
    <x v="2"/>
    <s v="Secundaria"/>
    <s v="4 Secundaria"/>
    <s v="NUESTRA SEÑORA DE LA CANDELARIA"/>
    <s v="Rural"/>
    <s v="Masculino"/>
    <x v="0"/>
  </r>
  <r>
    <n v="38"/>
    <x v="2"/>
    <s v="Secundaria"/>
    <s v="4 Secundaria"/>
    <s v="NUESTRA SEÑORA DE LA CANDELARIA"/>
    <s v="Rural"/>
    <s v="Masculino"/>
    <x v="0"/>
  </r>
  <r>
    <n v="39"/>
    <x v="2"/>
    <s v="Secundaria"/>
    <s v="4 Secundaria"/>
    <s v="NUESTRA SEÑORA DE LA CANDELARIA"/>
    <s v="Rural"/>
    <s v="Femenino"/>
    <x v="1"/>
  </r>
  <r>
    <n v="40"/>
    <x v="2"/>
    <s v="Secundaria"/>
    <s v="4 Secundaria"/>
    <s v="NUESTRA SEÑORA DE LA CANDELARIA"/>
    <s v="Rural"/>
    <s v="Masculino"/>
    <x v="0"/>
  </r>
  <r>
    <n v="41"/>
    <x v="2"/>
    <s v="Secundaria"/>
    <s v="4 Secundaria"/>
    <s v="NUESTRA SEÑORA DE LA CANDELARIA"/>
    <s v="Rural"/>
    <s v="Masculino"/>
    <x v="0"/>
  </r>
  <r>
    <n v="42"/>
    <x v="2"/>
    <s v="Secundaria"/>
    <s v="4 Secundaria"/>
    <s v="NUESTRA SEÑORA DE LA CANDELARIA"/>
    <s v="Rural"/>
    <s v="Masculino"/>
    <x v="0"/>
  </r>
  <r>
    <n v="43"/>
    <x v="2"/>
    <s v="Secundaria"/>
    <s v="4 Secundaria"/>
    <s v="NUESTRA SEÑORA DE LA CANDELARIA"/>
    <s v="Rural"/>
    <s v="Masculino"/>
    <x v="0"/>
  </r>
  <r>
    <n v="45"/>
    <x v="2"/>
    <s v="Secundaria"/>
    <s v="4 Secundaria"/>
    <s v="NUESTRA SEÑORA DE LA CANDELARIA"/>
    <s v="Rural"/>
    <s v="Femenino"/>
    <x v="1"/>
  </r>
  <r>
    <n v="46"/>
    <x v="2"/>
    <s v="Secundaria"/>
    <s v="4 Secundaria"/>
    <s v="NUESTRA SEÑORA DE LA CANDELARIA"/>
    <s v="Rural"/>
    <s v="Masculino"/>
    <x v="0"/>
  </r>
  <r>
    <n v="47"/>
    <x v="2"/>
    <s v="Secundaria"/>
    <s v="4 Secundaria"/>
    <s v="NUESTRA SEÑORA DE LA CANDELARIA"/>
    <s v="Rural"/>
    <s v="Femenino"/>
    <x v="0"/>
  </r>
  <r>
    <n v="49"/>
    <x v="2"/>
    <s v="Secundaria"/>
    <s v="4 Secundaria"/>
    <s v="NUESTRA SEÑORA DE LA CANDELARIA"/>
    <s v="Rural"/>
    <s v="Femenino"/>
    <x v="0"/>
  </r>
  <r>
    <n v="50"/>
    <x v="2"/>
    <s v="Secundaria"/>
    <s v="4 Secundaria"/>
    <s v="NUESTRA SEÑORA DE LA CANDELARIA"/>
    <s v="Rural"/>
    <s v="Masculino"/>
    <x v="0"/>
  </r>
  <r>
    <n v="51"/>
    <x v="2"/>
    <s v="Secundaria"/>
    <s v="4 Secundaria"/>
    <s v="NUESTRA SEÑORA DE LA CANDELARIA"/>
    <s v="Rural"/>
    <s v="Femenino"/>
    <x v="0"/>
  </r>
  <r>
    <n v="52"/>
    <x v="2"/>
    <s v="Secundaria"/>
    <s v="4 Secundaria"/>
    <s v="NUESTRA SEÑORA DE LA CANDELARIA"/>
    <s v="Rural"/>
    <s v="Masculino"/>
    <x v="1"/>
  </r>
  <r>
    <n v="54"/>
    <x v="2"/>
    <s v="Secundaria"/>
    <s v="4 Secundaria"/>
    <s v="NUESTRA SEÑORA DE LA CANDELARIA"/>
    <s v="Rural"/>
    <s v="Femenino"/>
    <x v="0"/>
  </r>
  <r>
    <n v="57"/>
    <x v="2"/>
    <s v="Secundaria"/>
    <s v="4 Secundaria"/>
    <s v="NUESTRA SEÑORA DE LA CANDELARIA"/>
    <s v="Rural"/>
    <s v="Femenino"/>
    <x v="0"/>
  </r>
  <r>
    <n v="58"/>
    <x v="2"/>
    <s v="Secundaria"/>
    <s v="4 Secundaria"/>
    <s v="NUESTRA SEÑORA DE LA CANDELARIA"/>
    <s v="Rural"/>
    <s v="Femenino"/>
    <x v="1"/>
  </r>
  <r>
    <n v="61"/>
    <x v="2"/>
    <s v="Secundaria"/>
    <s v="4 Secundaria"/>
    <s v="NUESTRA SEÑORA DE LA CANDELARIA"/>
    <s v="Rural"/>
    <s v="Femenino"/>
    <x v="0"/>
  </r>
  <r>
    <n v="62"/>
    <x v="2"/>
    <s v="Secundaria"/>
    <s v="4 Secundaria"/>
    <s v="NUESTRA SEÑORA DE LA CANDELARIA"/>
    <s v="Rural"/>
    <s v="Femenino"/>
    <x v="0"/>
  </r>
  <r>
    <n v="63"/>
    <x v="2"/>
    <s v="Secundaria"/>
    <s v="4 Secundaria"/>
    <s v="NUESTRA SEÑORA DE LA CANDELARIA"/>
    <s v="Rural"/>
    <s v="Femenino"/>
    <x v="0"/>
  </r>
  <r>
    <n v="64"/>
    <x v="2"/>
    <s v="Secundaria"/>
    <s v="4 Secundaria"/>
    <s v="NUESTRA SEÑORA DE LA CANDELARIA"/>
    <s v="Rural"/>
    <s v="Femenino"/>
    <x v="0"/>
  </r>
  <r>
    <n v="65"/>
    <x v="2"/>
    <s v="Secundaria"/>
    <s v="4 Secundaria"/>
    <s v="NUESTRA SEÑORA DE LA CANDELARIA"/>
    <s v="Rural"/>
    <s v="Femenino"/>
    <x v="0"/>
  </r>
  <r>
    <n v="1"/>
    <x v="2"/>
    <s v="Primaria"/>
    <s v="2 Primaria"/>
    <s v="36789 NUESTRA SEÑORA DEL CARMEN"/>
    <s v="Rural"/>
    <s v="Masculino"/>
    <x v="0"/>
  </r>
  <r>
    <n v="2"/>
    <x v="2"/>
    <s v="Primaria"/>
    <s v="2 Primaria"/>
    <s v="36789 NUESTRA SEÑORA DEL CARMEN"/>
    <s v="Rural"/>
    <s v="Femenino"/>
    <x v="0"/>
  </r>
  <r>
    <n v="3"/>
    <x v="2"/>
    <s v="Primaria"/>
    <s v="4 Primaria"/>
    <s v="36789 NUESTRA SEÑORA DEL CARMEN"/>
    <s v="Rural"/>
    <s v="Femenino"/>
    <x v="0"/>
  </r>
  <r>
    <n v="4"/>
    <x v="2"/>
    <s v="Primaria"/>
    <s v="6 Primaria"/>
    <s v="36789 NUESTRA SEÑORA DEL CARMEN"/>
    <s v="Rural"/>
    <s v="Masculino"/>
    <x v="0"/>
  </r>
  <r>
    <n v="5"/>
    <x v="2"/>
    <s v="Primaria"/>
    <s v="6 Primaria"/>
    <s v="36789 NUESTRA SEÑORA DEL CARMEN"/>
    <s v="Rural"/>
    <s v="Masculino"/>
    <x v="0"/>
  </r>
  <r>
    <n v="6"/>
    <x v="2"/>
    <s v="Primaria"/>
    <s v="6 Primaria"/>
    <s v="36789 NUESTRA SEÑORA DEL CARMEN"/>
    <s v="Rural"/>
    <s v="Masculino"/>
    <x v="0"/>
  </r>
  <r>
    <n v="7"/>
    <x v="2"/>
    <s v="Primaria"/>
    <s v="6 Primaria"/>
    <s v="36789 NUESTRA SEÑORA DEL CARMEN"/>
    <s v="Rural"/>
    <s v="Masculino"/>
    <x v="0"/>
  </r>
  <r>
    <n v="9"/>
    <x v="2"/>
    <s v="Primaria"/>
    <s v="2 Primaria"/>
    <s v="36207"/>
    <s v="Rural"/>
    <s v="Femenino"/>
    <x v="1"/>
  </r>
  <r>
    <n v="10"/>
    <x v="2"/>
    <s v="Primaria"/>
    <s v="2 Primaria"/>
    <s v="36207"/>
    <s v="Rural"/>
    <s v="Masculino"/>
    <x v="0"/>
  </r>
  <r>
    <n v="11"/>
    <x v="2"/>
    <s v="Primaria"/>
    <s v="2 Primaria"/>
    <s v="36207"/>
    <s v="Rural"/>
    <s v="Femenino"/>
    <x v="1"/>
  </r>
  <r>
    <n v="12"/>
    <x v="2"/>
    <s v="Primaria"/>
    <s v="2 Primaria"/>
    <s v="36207"/>
    <s v="Rural"/>
    <s v="Masculino"/>
    <x v="1"/>
  </r>
  <r>
    <n v="13"/>
    <x v="2"/>
    <s v="Primaria"/>
    <s v="2 Primaria"/>
    <s v="36207"/>
    <s v="Rural"/>
    <s v="Femenino"/>
    <x v="1"/>
  </r>
  <r>
    <n v="14"/>
    <x v="2"/>
    <s v="Primaria"/>
    <s v="2 Primaria"/>
    <s v="36207"/>
    <s v="Rural"/>
    <s v="Masculino"/>
    <x v="0"/>
  </r>
  <r>
    <n v="15"/>
    <x v="2"/>
    <s v="Primaria"/>
    <s v="2 Primaria"/>
    <s v="36207"/>
    <s v="Rural"/>
    <s v="Masculino"/>
    <x v="0"/>
  </r>
  <r>
    <n v="16"/>
    <x v="2"/>
    <s v="Primaria"/>
    <s v="2 Primaria"/>
    <s v="36207"/>
    <s v="Rural"/>
    <s v="Masculino"/>
    <x v="0"/>
  </r>
  <r>
    <n v="17"/>
    <x v="2"/>
    <s v="Primaria"/>
    <s v="4 Primaria"/>
    <s v="36207"/>
    <s v="Rural"/>
    <s v="Femenino"/>
    <x v="1"/>
  </r>
  <r>
    <n v="18"/>
    <x v="2"/>
    <s v="Primaria"/>
    <s v="4 Primaria"/>
    <s v="36207"/>
    <s v="Rural"/>
    <s v="Masculino"/>
    <x v="2"/>
  </r>
  <r>
    <n v="19"/>
    <x v="2"/>
    <s v="Primaria"/>
    <s v="4 Primaria"/>
    <s v="36207"/>
    <s v="Rural"/>
    <s v="Femenino"/>
    <x v="1"/>
  </r>
  <r>
    <n v="20"/>
    <x v="2"/>
    <s v="Primaria"/>
    <s v="4 Primaria"/>
    <s v="36207"/>
    <s v="Rural"/>
    <s v="Femenino"/>
    <x v="1"/>
  </r>
  <r>
    <n v="21"/>
    <x v="2"/>
    <s v="Primaria"/>
    <s v="6 Primaria"/>
    <s v="36207"/>
    <s v="Rural"/>
    <s v="Femenino"/>
    <x v="1"/>
  </r>
  <r>
    <n v="22"/>
    <x v="2"/>
    <s v="Primaria"/>
    <s v="6 Primaria"/>
    <s v="36207"/>
    <s v="Rural"/>
    <s v="Femenino"/>
    <x v="2"/>
  </r>
  <r>
    <n v="23"/>
    <x v="2"/>
    <s v="Primaria"/>
    <s v="6 Primaria"/>
    <s v="36207"/>
    <s v="Rural"/>
    <s v="Masculino"/>
    <x v="2"/>
  </r>
  <r>
    <n v="24"/>
    <x v="2"/>
    <s v="Primaria"/>
    <s v="6 Primaria"/>
    <s v="36207"/>
    <s v="Rural"/>
    <s v="Femenino"/>
    <x v="2"/>
  </r>
  <r>
    <n v="1"/>
    <x v="2"/>
    <s v="Secundaria"/>
    <s v="2 Secundaria"/>
    <s v="CORAS"/>
    <s v="Rural"/>
    <s v="Masculino"/>
    <x v="1"/>
  </r>
  <r>
    <n v="2"/>
    <x v="2"/>
    <s v="Secundaria"/>
    <s v="2 Secundaria"/>
    <s v="CORAS"/>
    <s v="Rural"/>
    <s v="Femenino"/>
    <x v="0"/>
  </r>
  <r>
    <n v="3"/>
    <x v="2"/>
    <s v="Secundaria"/>
    <s v="2 Secundaria"/>
    <s v="CORAS"/>
    <s v="Rural"/>
    <s v="Femenino"/>
    <x v="0"/>
  </r>
  <r>
    <n v="4"/>
    <x v="2"/>
    <s v="Secundaria"/>
    <s v="2 Secundaria"/>
    <s v="CORAS"/>
    <s v="Rural"/>
    <s v="Masculino"/>
    <x v="0"/>
  </r>
  <r>
    <n v="5"/>
    <x v="2"/>
    <s v="Secundaria"/>
    <s v="2 Secundaria"/>
    <s v="CORAS"/>
    <s v="Rural"/>
    <s v="Femenino"/>
    <x v="0"/>
  </r>
  <r>
    <n v="6"/>
    <x v="2"/>
    <s v="Secundaria"/>
    <s v="2 Secundaria"/>
    <s v="CORAS"/>
    <s v="Rural"/>
    <s v="Masculino"/>
    <x v="0"/>
  </r>
  <r>
    <n v="7"/>
    <x v="2"/>
    <s v="Secundaria"/>
    <s v="2 Secundaria"/>
    <s v="CORAS"/>
    <s v="Rural"/>
    <s v="Femenino"/>
    <x v="0"/>
  </r>
  <r>
    <n v="8"/>
    <x v="2"/>
    <s v="Secundaria"/>
    <s v="2 Secundaria"/>
    <s v="CORAS"/>
    <s v="Rural"/>
    <s v="Masculino"/>
    <x v="0"/>
  </r>
  <r>
    <n v="9"/>
    <x v="2"/>
    <s v="Secundaria"/>
    <s v="2 Secundaria"/>
    <s v="CORAS"/>
    <s v="Rural"/>
    <s v="Masculino"/>
    <x v="0"/>
  </r>
  <r>
    <n v="10"/>
    <x v="2"/>
    <s v="Secundaria"/>
    <s v="2 Secundaria"/>
    <s v="CORAS"/>
    <s v="Rural"/>
    <s v="Femenino"/>
    <x v="0"/>
  </r>
  <r>
    <n v="11"/>
    <x v="2"/>
    <s v="Secundaria"/>
    <s v="2 Secundaria"/>
    <s v="CORAS"/>
    <s v="Rural"/>
    <s v="Masculino"/>
    <x v="0"/>
  </r>
  <r>
    <n v="12"/>
    <x v="2"/>
    <s v="Secundaria"/>
    <s v="2 Secundaria"/>
    <s v="CORAS"/>
    <s v="Rural"/>
    <s v="Femenino"/>
    <x v="0"/>
  </r>
  <r>
    <n v="13"/>
    <x v="2"/>
    <s v="Secundaria"/>
    <s v="2 Secundaria"/>
    <s v="CORAS"/>
    <s v="Rural"/>
    <s v="Femenino"/>
    <x v="0"/>
  </r>
  <r>
    <n v="14"/>
    <x v="2"/>
    <s v="Secundaria"/>
    <s v="2 Secundaria"/>
    <s v="CORAS"/>
    <s v="Rural"/>
    <s v="Femenino"/>
    <x v="0"/>
  </r>
  <r>
    <n v="15"/>
    <x v="2"/>
    <s v="Secundaria"/>
    <s v="2 Secundaria"/>
    <s v="CORAS"/>
    <s v="Rural"/>
    <s v="Masculino"/>
    <x v="0"/>
  </r>
  <r>
    <n v="16"/>
    <x v="2"/>
    <s v="Secundaria"/>
    <s v="2 Secundaria"/>
    <s v="CORAS"/>
    <s v="Rural"/>
    <s v="Masculino"/>
    <x v="0"/>
  </r>
  <r>
    <n v="17"/>
    <x v="2"/>
    <s v="Secundaria"/>
    <s v="2 Secundaria"/>
    <s v="CORAS"/>
    <s v="Rural"/>
    <s v="Femenino"/>
    <x v="0"/>
  </r>
  <r>
    <n v="18"/>
    <x v="2"/>
    <s v="Secundaria"/>
    <s v="2 Secundaria"/>
    <s v="CORAS"/>
    <s v="Rural"/>
    <s v="Femenino"/>
    <x v="0"/>
  </r>
  <r>
    <n v="19"/>
    <x v="2"/>
    <s v="Secundaria"/>
    <s v="2 Secundaria"/>
    <s v="CORAS"/>
    <s v="Rural"/>
    <s v="Femenino"/>
    <x v="0"/>
  </r>
  <r>
    <n v="20"/>
    <x v="2"/>
    <s v="Secundaria"/>
    <s v="2 Secundaria"/>
    <s v="CORAS"/>
    <s v="Rural"/>
    <s v="Masculino"/>
    <x v="0"/>
  </r>
  <r>
    <n v="21"/>
    <x v="2"/>
    <s v="Secundaria"/>
    <s v="2 Secundaria"/>
    <s v="CORAS"/>
    <s v="Rural"/>
    <s v="Femenino"/>
    <x v="0"/>
  </r>
  <r>
    <n v="22"/>
    <x v="2"/>
    <s v="Secundaria"/>
    <s v="2 Secundaria"/>
    <s v="CORAS"/>
    <s v="Rural"/>
    <s v="Femenino"/>
    <x v="0"/>
  </r>
  <r>
    <n v="23"/>
    <x v="2"/>
    <s v="Secundaria"/>
    <s v="2 Secundaria"/>
    <s v="CORAS"/>
    <s v="Rural"/>
    <s v="Femenino"/>
    <x v="0"/>
  </r>
  <r>
    <n v="24"/>
    <x v="2"/>
    <s v="Secundaria"/>
    <s v="2 Secundaria"/>
    <s v="CORAS"/>
    <s v="Rural"/>
    <s v="Masculino"/>
    <x v="0"/>
  </r>
  <r>
    <n v="25"/>
    <x v="2"/>
    <s v="Secundaria"/>
    <s v="2 Secundaria"/>
    <s v="CORAS"/>
    <s v="Rural"/>
    <s v="Masculino"/>
    <x v="0"/>
  </r>
  <r>
    <n v="26"/>
    <x v="2"/>
    <s v="Secundaria"/>
    <s v="4 Secundaria"/>
    <s v="CORAS"/>
    <s v="Rural"/>
    <s v="Femenino"/>
    <x v="1"/>
  </r>
  <r>
    <n v="27"/>
    <x v="2"/>
    <s v="Secundaria"/>
    <s v="4 Secundaria"/>
    <s v="CORAS"/>
    <s v="Rural"/>
    <s v="Masculino"/>
    <x v="0"/>
  </r>
  <r>
    <n v="28"/>
    <x v="2"/>
    <s v="Secundaria"/>
    <s v="4 Secundaria"/>
    <s v="CORAS"/>
    <s v="Rural"/>
    <s v="Femenino"/>
    <x v="1"/>
  </r>
  <r>
    <n v="29"/>
    <x v="2"/>
    <s v="Secundaria"/>
    <s v="4 Secundaria"/>
    <s v="CORAS"/>
    <s v="Rural"/>
    <s v="Femenino"/>
    <x v="2"/>
  </r>
  <r>
    <n v="30"/>
    <x v="2"/>
    <s v="Secundaria"/>
    <s v="4 Secundaria"/>
    <s v="CORAS"/>
    <s v="Rural"/>
    <s v="Femenino"/>
    <x v="0"/>
  </r>
  <r>
    <n v="31"/>
    <x v="2"/>
    <s v="Secundaria"/>
    <s v="4 Secundaria"/>
    <s v="CORAS"/>
    <s v="Rural"/>
    <s v="Masculino"/>
    <x v="0"/>
  </r>
  <r>
    <n v="32"/>
    <x v="2"/>
    <s v="Secundaria"/>
    <s v="4 Secundaria"/>
    <s v="CORAS"/>
    <s v="Rural"/>
    <s v="Masculino"/>
    <x v="0"/>
  </r>
  <r>
    <n v="33"/>
    <x v="2"/>
    <s v="Secundaria"/>
    <s v="4 Secundaria"/>
    <s v="CORAS"/>
    <s v="Rural"/>
    <s v="Masculino"/>
    <x v="0"/>
  </r>
  <r>
    <n v="34"/>
    <x v="2"/>
    <s v="Secundaria"/>
    <s v="4 Secundaria"/>
    <s v="CORAS"/>
    <s v="Rural"/>
    <s v="Masculino"/>
    <x v="0"/>
  </r>
  <r>
    <n v="35"/>
    <x v="2"/>
    <s v="Secundaria"/>
    <s v="4 Secundaria"/>
    <s v="CORAS"/>
    <s v="Rural"/>
    <s v="Masculino"/>
    <x v="0"/>
  </r>
  <r>
    <n v="36"/>
    <x v="2"/>
    <s v="Secundaria"/>
    <s v="4 Secundaria"/>
    <s v="CORAS"/>
    <s v="Rural"/>
    <s v="Masculino"/>
    <x v="0"/>
  </r>
  <r>
    <n v="37"/>
    <x v="2"/>
    <s v="Secundaria"/>
    <s v="4 Secundaria"/>
    <s v="CORAS"/>
    <s v="Rural"/>
    <s v="Femenino"/>
    <x v="0"/>
  </r>
  <r>
    <n v="38"/>
    <x v="2"/>
    <s v="Secundaria"/>
    <s v="4 Secundaria"/>
    <s v="CORAS"/>
    <s v="Rural"/>
    <s v="Femenino"/>
    <x v="0"/>
  </r>
  <r>
    <n v="39"/>
    <x v="2"/>
    <s v="Secundaria"/>
    <s v="4 Secundaria"/>
    <s v="CORAS"/>
    <s v="Rural"/>
    <s v="Masculino"/>
    <x v="0"/>
  </r>
  <r>
    <n v="40"/>
    <x v="2"/>
    <s v="Secundaria"/>
    <s v="4 Secundaria"/>
    <s v="CORAS"/>
    <s v="Rural"/>
    <s v="Femenino"/>
    <x v="0"/>
  </r>
  <r>
    <n v="41"/>
    <x v="2"/>
    <s v="Secundaria"/>
    <s v="4 Secundaria"/>
    <s v="CORAS"/>
    <s v="Rural"/>
    <s v="Femenino"/>
    <x v="0"/>
  </r>
  <r>
    <n v="42"/>
    <x v="2"/>
    <s v="Secundaria"/>
    <s v="4 Secundaria"/>
    <s v="CORAS"/>
    <s v="Rural"/>
    <s v="Masculino"/>
    <x v="0"/>
  </r>
  <r>
    <n v="43"/>
    <x v="2"/>
    <s v="Secundaria"/>
    <s v="4 Secundaria"/>
    <s v="CORAS"/>
    <s v="Rural"/>
    <s v="Femenino"/>
    <x v="0"/>
  </r>
  <r>
    <n v="44"/>
    <x v="2"/>
    <s v="Secundaria"/>
    <s v="4 Secundaria"/>
    <s v="CORAS"/>
    <s v="Rural"/>
    <s v="Masculino"/>
    <x v="0"/>
  </r>
  <r>
    <n v="45"/>
    <x v="2"/>
    <s v="Secundaria"/>
    <s v="4 Secundaria"/>
    <s v="CORAS"/>
    <s v="Rural"/>
    <s v="Femenino"/>
    <x v="0"/>
  </r>
  <r>
    <n v="46"/>
    <x v="2"/>
    <s v="Secundaria"/>
    <s v="4 Secundaria"/>
    <s v="CORAS"/>
    <s v="Rural"/>
    <s v="Masculino"/>
    <x v="0"/>
  </r>
  <r>
    <n v="47"/>
    <x v="2"/>
    <s v="Secundaria"/>
    <s v="4 Secundaria"/>
    <s v="CORAS"/>
    <s v="Rural"/>
    <s v="Femenino"/>
    <x v="0"/>
  </r>
  <r>
    <n v="48"/>
    <x v="2"/>
    <s v="Secundaria"/>
    <s v="4 Secundaria"/>
    <s v="CORAS"/>
    <s v="Rural"/>
    <s v="Femenino"/>
    <x v="0"/>
  </r>
  <r>
    <n v="49"/>
    <x v="2"/>
    <s v="Secundaria"/>
    <s v="4 Secundaria"/>
    <s v="CORAS"/>
    <s v="Rural"/>
    <s v="Femenino"/>
    <x v="0"/>
  </r>
  <r>
    <n v="50"/>
    <x v="2"/>
    <s v="Secundaria"/>
    <s v="4 Secundaria"/>
    <s v="CORAS"/>
    <s v="Rural"/>
    <s v="Masculino"/>
    <x v="0"/>
  </r>
  <r>
    <n v="51"/>
    <x v="2"/>
    <s v="Secundaria"/>
    <s v="4 Secundaria"/>
    <s v="CORAS"/>
    <s v="Rural"/>
    <s v="Masculino"/>
    <x v="0"/>
  </r>
  <r>
    <n v="11"/>
    <x v="2"/>
    <s v="Primaria"/>
    <s v="2 Primaria"/>
    <s v="36173"/>
    <s v="Rural"/>
    <s v="Femenino"/>
    <x v="0"/>
  </r>
  <r>
    <n v="12"/>
    <x v="2"/>
    <s v="Primaria"/>
    <s v="2 Primaria"/>
    <s v="36173"/>
    <s v="Rural"/>
    <s v="Masculino"/>
    <x v="0"/>
  </r>
  <r>
    <n v="13"/>
    <x v="2"/>
    <s v="Primaria"/>
    <s v="2 Primaria"/>
    <s v="36173"/>
    <s v="Rural"/>
    <s v="Femenino"/>
    <x v="0"/>
  </r>
  <r>
    <n v="14"/>
    <x v="2"/>
    <s v="Primaria"/>
    <s v="2 Primaria"/>
    <s v="36173"/>
    <s v="Rural"/>
    <s v="Masculino"/>
    <x v="1"/>
  </r>
  <r>
    <n v="15"/>
    <x v="2"/>
    <s v="Primaria"/>
    <s v="2 Primaria"/>
    <s v="36173"/>
    <s v="Rural"/>
    <s v="Masculino"/>
    <x v="1"/>
  </r>
  <r>
    <n v="16"/>
    <x v="2"/>
    <s v="Primaria"/>
    <s v="2 Primaria"/>
    <s v="36173"/>
    <s v="Rural"/>
    <s v="Masculino"/>
    <x v="1"/>
  </r>
  <r>
    <n v="17"/>
    <x v="2"/>
    <s v="Primaria"/>
    <s v="2 Primaria"/>
    <s v="36173"/>
    <s v="Rural"/>
    <s v="Masculino"/>
    <x v="1"/>
  </r>
  <r>
    <n v="18"/>
    <x v="2"/>
    <s v="Primaria"/>
    <s v="2 Primaria"/>
    <s v="36173"/>
    <s v="Rural"/>
    <s v="Masculino"/>
    <x v="1"/>
  </r>
  <r>
    <n v="19"/>
    <x v="2"/>
    <s v="Primaria"/>
    <s v="2 Primaria"/>
    <s v="36173"/>
    <s v="Rural"/>
    <s v="Femenino"/>
    <x v="1"/>
  </r>
  <r>
    <n v="20"/>
    <x v="2"/>
    <s v="Primaria"/>
    <s v="2 Primaria"/>
    <s v="36173"/>
    <s v="Rural"/>
    <s v="Femenino"/>
    <x v="1"/>
  </r>
  <r>
    <n v="21"/>
    <x v="2"/>
    <s v="Primaria"/>
    <s v="2 Primaria"/>
    <s v="36173"/>
    <s v="Rural"/>
    <s v="Femenino"/>
    <x v="0"/>
  </r>
  <r>
    <n v="22"/>
    <x v="2"/>
    <s v="Primaria"/>
    <s v="2 Primaria"/>
    <s v="36173"/>
    <s v="Rural"/>
    <s v="Femenino"/>
    <x v="1"/>
  </r>
  <r>
    <n v="23"/>
    <x v="2"/>
    <s v="Primaria"/>
    <s v="4 Primaria"/>
    <s v="36173"/>
    <s v="Rural"/>
    <s v="Masculino"/>
    <x v="1"/>
  </r>
  <r>
    <n v="24"/>
    <x v="2"/>
    <s v="Primaria"/>
    <s v="4 Primaria"/>
    <s v="36173"/>
    <s v="Rural"/>
    <s v="Femenino"/>
    <x v="1"/>
  </r>
  <r>
    <n v="25"/>
    <x v="2"/>
    <s v="Primaria"/>
    <s v="4 Primaria"/>
    <s v="36173"/>
    <s v="Rural"/>
    <s v="Masculino"/>
    <x v="0"/>
  </r>
  <r>
    <n v="26"/>
    <x v="2"/>
    <s v="Primaria"/>
    <s v="4 Primaria"/>
    <s v="36173"/>
    <s v="Rural"/>
    <s v="Masculino"/>
    <x v="0"/>
  </r>
  <r>
    <n v="27"/>
    <x v="2"/>
    <s v="Primaria"/>
    <s v="4 Primaria"/>
    <s v="36173"/>
    <s v="Rural"/>
    <s v="Masculino"/>
    <x v="1"/>
  </r>
  <r>
    <n v="28"/>
    <x v="2"/>
    <s v="Primaria"/>
    <s v="4 Primaria"/>
    <s v="36173"/>
    <s v="Rural"/>
    <s v="Femenino"/>
    <x v="0"/>
  </r>
  <r>
    <n v="29"/>
    <x v="2"/>
    <s v="Primaria"/>
    <s v="4 Primaria"/>
    <s v="36173"/>
    <s v="Rural"/>
    <s v="Femenino"/>
    <x v="1"/>
  </r>
  <r>
    <n v="30"/>
    <x v="2"/>
    <s v="Primaria"/>
    <s v="6 Primaria"/>
    <s v="36173"/>
    <s v="Rural"/>
    <s v="Masculino"/>
    <x v="1"/>
  </r>
  <r>
    <n v="31"/>
    <x v="2"/>
    <s v="Primaria"/>
    <s v="6 Primaria"/>
    <s v="36173"/>
    <s v="Rural"/>
    <s v="Femenino"/>
    <x v="1"/>
  </r>
  <r>
    <n v="32"/>
    <x v="2"/>
    <s v="Primaria"/>
    <s v="6 Primaria"/>
    <s v="36173"/>
    <s v="Rural"/>
    <s v="Masculino"/>
    <x v="1"/>
  </r>
  <r>
    <n v="33"/>
    <x v="2"/>
    <s v="Primaria"/>
    <s v="6 Primaria"/>
    <s v="36173"/>
    <s v="Rural"/>
    <s v="Femenino"/>
    <x v="1"/>
  </r>
  <r>
    <n v="34"/>
    <x v="2"/>
    <s v="Primaria"/>
    <s v="6 Primaria"/>
    <s v="36173"/>
    <s v="Rural"/>
    <s v="Femenino"/>
    <x v="1"/>
  </r>
  <r>
    <n v="35"/>
    <x v="2"/>
    <s v="Primaria"/>
    <s v="6 Primaria"/>
    <s v="36173"/>
    <s v="Rural"/>
    <s v="Femenino"/>
    <x v="1"/>
  </r>
  <r>
    <n v="36"/>
    <x v="2"/>
    <s v="Primaria"/>
    <s v="6 Primaria"/>
    <s v="36173"/>
    <s v="Rural"/>
    <s v="Masculino"/>
    <x v="1"/>
  </r>
  <r>
    <n v="37"/>
    <x v="2"/>
    <s v="Primaria"/>
    <s v="6 Primaria"/>
    <s v="36173"/>
    <s v="Rural"/>
    <s v="Masculino"/>
    <x v="1"/>
  </r>
  <r>
    <n v="1"/>
    <x v="3"/>
    <s v="Primaria"/>
    <s v="2 Primaria"/>
    <s v="60136"/>
    <s v="Rural"/>
    <s v="Femenino"/>
    <x v="0"/>
  </r>
  <r>
    <n v="2"/>
    <x v="3"/>
    <s v="Primaria"/>
    <s v="4 Primaria"/>
    <s v="60136"/>
    <s v="Rural"/>
    <s v="Masculino"/>
    <x v="0"/>
  </r>
  <r>
    <n v="3"/>
    <x v="3"/>
    <s v="Primaria"/>
    <s v="4 Primaria"/>
    <s v="60136"/>
    <s v="Rural"/>
    <s v="Femenino"/>
    <x v="0"/>
  </r>
  <r>
    <n v="4"/>
    <x v="3"/>
    <s v="Primaria"/>
    <s v="6 Primaria"/>
    <s v="60136"/>
    <s v="Rural"/>
    <s v="Masculino"/>
    <x v="0"/>
  </r>
  <r>
    <n v="5"/>
    <x v="3"/>
    <s v="Primaria"/>
    <s v="6 Primaria"/>
    <s v="60136"/>
    <s v="Rural"/>
    <s v="Femenino"/>
    <x v="1"/>
  </r>
  <r>
    <n v="6"/>
    <x v="3"/>
    <s v="Primaria"/>
    <s v="2 Primaria"/>
    <s v="6010102"/>
    <s v="Rural"/>
    <s v="Masculino"/>
    <x v="1"/>
  </r>
  <r>
    <n v="7"/>
    <x v="3"/>
    <s v="Primaria"/>
    <s v="2 Primaria"/>
    <s v="6010102"/>
    <s v="Rural"/>
    <s v="Femenino"/>
    <x v="1"/>
  </r>
  <r>
    <n v="8"/>
    <x v="3"/>
    <s v="Primaria"/>
    <s v="2 Primaria"/>
    <s v="6010102"/>
    <s v="Rural"/>
    <s v="Masculino"/>
    <x v="0"/>
  </r>
  <r>
    <n v="9"/>
    <x v="3"/>
    <s v="Primaria"/>
    <s v="4 Primaria"/>
    <s v="6010102"/>
    <s v="Rural"/>
    <s v="Masculino"/>
    <x v="0"/>
  </r>
  <r>
    <n v="10"/>
    <x v="3"/>
    <s v="Primaria"/>
    <s v="4 Primaria"/>
    <s v="6010102"/>
    <s v="Rural"/>
    <s v="Femenino"/>
    <x v="0"/>
  </r>
  <r>
    <n v="11"/>
    <x v="3"/>
    <s v="Primaria"/>
    <s v="4 Primaria"/>
    <s v="6010102"/>
    <s v="Rural"/>
    <s v="Femenino"/>
    <x v="0"/>
  </r>
  <r>
    <n v="12"/>
    <x v="3"/>
    <s v="Primaria"/>
    <s v="4 Primaria"/>
    <s v="6010102"/>
    <s v="Rural"/>
    <s v="Masculino"/>
    <x v="1"/>
  </r>
  <r>
    <n v="13"/>
    <x v="3"/>
    <s v="Primaria"/>
    <s v="4 Primaria"/>
    <s v="6010102"/>
    <s v="Rural"/>
    <s v="Masculino"/>
    <x v="0"/>
  </r>
  <r>
    <n v="14"/>
    <x v="3"/>
    <s v="Primaria"/>
    <s v="6 Primaria"/>
    <s v="6010102"/>
    <s v="Rural"/>
    <s v="Femenino"/>
    <x v="0"/>
  </r>
  <r>
    <n v="15"/>
    <x v="3"/>
    <s v="Primaria"/>
    <s v="6 Primaria"/>
    <s v="6010102"/>
    <s v="Rural"/>
    <s v="Femenino"/>
    <x v="1"/>
  </r>
  <r>
    <n v="16"/>
    <x v="3"/>
    <s v="Primaria"/>
    <s v="2 Primaria"/>
    <s v="601448"/>
    <s v="Rural"/>
    <s v="Femenino"/>
    <x v="1"/>
  </r>
  <r>
    <n v="17"/>
    <x v="3"/>
    <s v="Primaria"/>
    <s v="2 Primaria"/>
    <s v="601448"/>
    <s v="Rural"/>
    <s v="Masculino"/>
    <x v="0"/>
  </r>
  <r>
    <n v="18"/>
    <x v="3"/>
    <s v="Primaria"/>
    <s v="2 Primaria"/>
    <s v="601448"/>
    <s v="Rural"/>
    <s v="Masculino"/>
    <x v="0"/>
  </r>
  <r>
    <n v="19"/>
    <x v="3"/>
    <s v="Primaria"/>
    <s v="4 Primaria"/>
    <s v="601448"/>
    <s v="Rural"/>
    <s v="Masculino"/>
    <x v="0"/>
  </r>
  <r>
    <n v="20"/>
    <x v="3"/>
    <s v="Primaria"/>
    <s v="4 Primaria"/>
    <s v="601448"/>
    <s v="Rural"/>
    <s v="Femenino"/>
    <x v="0"/>
  </r>
  <r>
    <n v="21"/>
    <x v="3"/>
    <s v="Primaria"/>
    <s v="6 Primaria"/>
    <s v="601448"/>
    <s v="Rural"/>
    <s v="Masculino"/>
    <x v="0"/>
  </r>
  <r>
    <n v="22"/>
    <x v="3"/>
    <s v="Primaria"/>
    <s v="6 Primaria"/>
    <s v="601448"/>
    <s v="Rural"/>
    <s v="Femenino"/>
    <x v="0"/>
  </r>
  <r>
    <n v="23"/>
    <x v="3"/>
    <s v="Secundaria"/>
    <s v="2 Secundaria"/>
    <s v="EL MILAGRO"/>
    <s v="Rural"/>
    <s v="Masculino"/>
    <x v="1"/>
  </r>
  <r>
    <n v="24"/>
    <x v="3"/>
    <s v="Secundaria"/>
    <s v="2 Secundaria"/>
    <s v="EL MILAGRO"/>
    <s v="Rural"/>
    <s v="Femenino"/>
    <x v="0"/>
  </r>
  <r>
    <n v="25"/>
    <x v="3"/>
    <s v="Secundaria"/>
    <s v="2 Secundaria"/>
    <s v="EL MILAGRO"/>
    <s v="Rural"/>
    <s v="Femenino"/>
    <x v="0"/>
  </r>
  <r>
    <n v="26"/>
    <x v="3"/>
    <s v="Secundaria"/>
    <s v="2 Secundaria"/>
    <s v="EL MILAGRO"/>
    <s v="Rural"/>
    <s v="Femenino"/>
    <x v="0"/>
  </r>
  <r>
    <n v="27"/>
    <x v="3"/>
    <s v="Secundaria"/>
    <s v="2 Secundaria"/>
    <s v="EL MILAGRO"/>
    <s v="Rural"/>
    <s v="Masculino"/>
    <x v="0"/>
  </r>
  <r>
    <n v="28"/>
    <x v="3"/>
    <s v="Secundaria"/>
    <s v="2 Secundaria"/>
    <s v="EL MILAGRO"/>
    <s v="Rural"/>
    <s v="Femenino"/>
    <x v="0"/>
  </r>
  <r>
    <n v="29"/>
    <x v="3"/>
    <s v="Secundaria"/>
    <s v="2 Secundaria"/>
    <s v="EL MILAGRO"/>
    <s v="Rural"/>
    <s v="Masculino"/>
    <x v="1"/>
  </r>
  <r>
    <n v="30"/>
    <x v="3"/>
    <s v="Secundaria"/>
    <s v="2 Secundaria"/>
    <s v="EL MILAGRO"/>
    <s v="Rural"/>
    <s v="Femenino"/>
    <x v="0"/>
  </r>
  <r>
    <n v="31"/>
    <x v="3"/>
    <s v="Secundaria"/>
    <s v="2 Secundaria"/>
    <s v="EL MILAGRO"/>
    <s v="Rural"/>
    <s v="Femenino"/>
    <x v="0"/>
  </r>
  <r>
    <n v="32"/>
    <x v="3"/>
    <s v="Secundaria"/>
    <s v="2 Secundaria"/>
    <s v="EL MILAGRO"/>
    <s v="Rural"/>
    <s v="Femenino"/>
    <x v="0"/>
  </r>
  <r>
    <n v="33"/>
    <x v="3"/>
    <s v="Secundaria"/>
    <s v="2 Secundaria"/>
    <s v="EL MILAGRO"/>
    <s v="Rural"/>
    <s v="Femenino"/>
    <x v="0"/>
  </r>
  <r>
    <n v="34"/>
    <x v="3"/>
    <s v="Secundaria"/>
    <s v="2 Secundaria"/>
    <s v="EL MILAGRO"/>
    <s v="Rural"/>
    <s v="Femenino"/>
    <x v="0"/>
  </r>
  <r>
    <n v="35"/>
    <x v="3"/>
    <s v="Secundaria"/>
    <s v="2 Secundaria"/>
    <s v="EL MILAGRO"/>
    <s v="Rural"/>
    <s v="Femenino"/>
    <x v="0"/>
  </r>
  <r>
    <n v="36"/>
    <x v="3"/>
    <s v="Secundaria"/>
    <s v="2 Secundaria"/>
    <s v="EL MILAGRO"/>
    <s v="Rural"/>
    <s v="Masculino"/>
    <x v="0"/>
  </r>
  <r>
    <n v="37"/>
    <x v="3"/>
    <s v="Secundaria"/>
    <s v="2 Secundaria"/>
    <s v="EL MILAGRO"/>
    <s v="Rural"/>
    <s v="Femenino"/>
    <x v="1"/>
  </r>
  <r>
    <n v="38"/>
    <x v="3"/>
    <s v="Secundaria"/>
    <s v="2 Secundaria"/>
    <s v="EL MILAGRO"/>
    <s v="Rural"/>
    <s v="Femenino"/>
    <x v="0"/>
  </r>
  <r>
    <n v="39"/>
    <x v="3"/>
    <s v="Secundaria"/>
    <s v="2 Secundaria"/>
    <s v="EL MILAGRO"/>
    <s v="Rural"/>
    <s v="Masculino"/>
    <x v="0"/>
  </r>
  <r>
    <n v="40"/>
    <x v="3"/>
    <s v="Secundaria"/>
    <s v="2 Secundaria"/>
    <s v="EL MILAGRO"/>
    <s v="Rural"/>
    <s v="Masculino"/>
    <x v="0"/>
  </r>
  <r>
    <n v="41"/>
    <x v="3"/>
    <s v="Secundaria"/>
    <s v="2 Secundaria"/>
    <s v="EL MILAGRO"/>
    <s v="Rural"/>
    <s v="Femenino"/>
    <x v="0"/>
  </r>
  <r>
    <n v="42"/>
    <x v="3"/>
    <s v="Secundaria"/>
    <s v="2 Secundaria"/>
    <s v="EL MILAGRO"/>
    <s v="Rural"/>
    <s v="Masculino"/>
    <x v="0"/>
  </r>
  <r>
    <n v="43"/>
    <x v="3"/>
    <s v="Secundaria"/>
    <s v="2 Secundaria"/>
    <s v="EL MILAGRO"/>
    <s v="Rural"/>
    <s v="Femenino"/>
    <x v="0"/>
  </r>
  <r>
    <n v="44"/>
    <x v="3"/>
    <s v="Secundaria"/>
    <s v="2 Secundaria"/>
    <s v="EL MILAGRO"/>
    <s v="Rural"/>
    <s v="Femenino"/>
    <x v="0"/>
  </r>
  <r>
    <n v="45"/>
    <x v="3"/>
    <s v="Secundaria"/>
    <s v="2 Secundaria"/>
    <s v="EL MILAGRO"/>
    <s v="Rural"/>
    <s v="Femenino"/>
    <x v="0"/>
  </r>
  <r>
    <n v="46"/>
    <x v="3"/>
    <s v="Secundaria"/>
    <s v="2 Secundaria"/>
    <s v="EL MILAGRO"/>
    <s v="Rural"/>
    <s v="Masculino"/>
    <x v="0"/>
  </r>
  <r>
    <n v="47"/>
    <x v="3"/>
    <s v="Secundaria"/>
    <s v="2 Secundaria"/>
    <s v="EL MILAGRO"/>
    <s v="Rural"/>
    <s v="Masculino"/>
    <x v="0"/>
  </r>
  <r>
    <n v="48"/>
    <x v="3"/>
    <s v="Secundaria"/>
    <s v="2 Secundaria"/>
    <s v="EL MILAGRO"/>
    <s v="Rural"/>
    <s v="Femenino"/>
    <x v="1"/>
  </r>
  <r>
    <n v="49"/>
    <x v="3"/>
    <s v="Secundaria"/>
    <s v="4 Secundaria"/>
    <s v="EL MILAGRO"/>
    <s v="Rural"/>
    <s v="Masculino"/>
    <x v="0"/>
  </r>
  <r>
    <n v="50"/>
    <x v="3"/>
    <s v="Secundaria"/>
    <s v="4 Secundaria"/>
    <s v="EL MILAGRO"/>
    <s v="Rural"/>
    <s v="Masculino"/>
    <x v="0"/>
  </r>
  <r>
    <n v="51"/>
    <x v="3"/>
    <s v="Secundaria"/>
    <s v="4 Secundaria"/>
    <s v="EL MILAGRO"/>
    <s v="Rural"/>
    <s v="Femenino"/>
    <x v="0"/>
  </r>
  <r>
    <n v="52"/>
    <x v="3"/>
    <s v="Secundaria"/>
    <s v="4 Secundaria"/>
    <s v="EL MILAGRO"/>
    <s v="Rural"/>
    <s v="Masculino"/>
    <x v="0"/>
  </r>
  <r>
    <n v="53"/>
    <x v="3"/>
    <s v="Secundaria"/>
    <s v="4 Secundaria"/>
    <s v="EL MILAGRO"/>
    <s v="Rural"/>
    <s v="Masculino"/>
    <x v="0"/>
  </r>
  <r>
    <n v="54"/>
    <x v="3"/>
    <s v="Secundaria"/>
    <s v="4 Secundaria"/>
    <s v="EL MILAGRO"/>
    <s v="Rural"/>
    <s v="Masculino"/>
    <x v="0"/>
  </r>
  <r>
    <n v="55"/>
    <x v="3"/>
    <s v="Secundaria"/>
    <s v="4 Secundaria"/>
    <s v="EL MILAGRO"/>
    <s v="Rural"/>
    <s v="Masculino"/>
    <x v="1"/>
  </r>
  <r>
    <n v="56"/>
    <x v="3"/>
    <s v="Secundaria"/>
    <s v="4 Secundaria"/>
    <s v="EL MILAGRO"/>
    <s v="Rural"/>
    <s v="Masculino"/>
    <x v="0"/>
  </r>
  <r>
    <n v="57"/>
    <x v="3"/>
    <s v="Secundaria"/>
    <s v="4 Secundaria"/>
    <s v="EL MILAGRO"/>
    <s v="Rural"/>
    <s v="Masculino"/>
    <x v="0"/>
  </r>
  <r>
    <n v="58"/>
    <x v="3"/>
    <s v="Secundaria"/>
    <s v="4 Secundaria"/>
    <s v="EL MILAGRO"/>
    <s v="Rural"/>
    <s v="Femenino"/>
    <x v="0"/>
  </r>
  <r>
    <n v="59"/>
    <x v="3"/>
    <s v="Secundaria"/>
    <s v="4 Secundaria"/>
    <s v="EL MILAGRO"/>
    <s v="Rural"/>
    <s v="Masculino"/>
    <x v="0"/>
  </r>
  <r>
    <n v="60"/>
    <x v="3"/>
    <s v="Secundaria"/>
    <s v="4 Secundaria"/>
    <s v="EL MILAGRO"/>
    <s v="Rural"/>
    <s v="Masculino"/>
    <x v="0"/>
  </r>
  <r>
    <n v="61"/>
    <x v="3"/>
    <s v="Secundaria"/>
    <s v="4 Secundaria"/>
    <s v="EL MILAGRO"/>
    <s v="Rural"/>
    <s v="Masculino"/>
    <x v="0"/>
  </r>
  <r>
    <n v="62"/>
    <x v="3"/>
    <s v="Secundaria"/>
    <s v="4 Secundaria"/>
    <s v="EL MILAGRO"/>
    <s v="Rural"/>
    <s v="Masculino"/>
    <x v="0"/>
  </r>
  <r>
    <n v="63"/>
    <x v="3"/>
    <s v="Secundaria"/>
    <s v="4 Secundaria"/>
    <s v="EL MILAGRO"/>
    <s v="Rural"/>
    <s v="Masculino"/>
    <x v="0"/>
  </r>
  <r>
    <n v="64"/>
    <x v="3"/>
    <s v="Secundaria"/>
    <s v="4 Secundaria"/>
    <s v="EL MILAGRO"/>
    <s v="Rural"/>
    <s v="Femenino"/>
    <x v="0"/>
  </r>
  <r>
    <n v="65"/>
    <x v="3"/>
    <s v="Secundaria"/>
    <s v="4 Secundaria"/>
    <s v="EL MILAGRO"/>
    <s v="Rural"/>
    <s v="Femenino"/>
    <x v="0"/>
  </r>
  <r>
    <n v="66"/>
    <x v="3"/>
    <s v="Secundaria"/>
    <s v="4 Secundaria"/>
    <s v="EL MILAGRO"/>
    <s v="Rural"/>
    <s v="Femenino"/>
    <x v="0"/>
  </r>
  <r>
    <n v="67"/>
    <x v="3"/>
    <s v="Secundaria"/>
    <s v="4 Secundaria"/>
    <s v="EL MILAGRO"/>
    <s v="Rural"/>
    <s v="Masculino"/>
    <x v="0"/>
  </r>
  <r>
    <n v="68"/>
    <x v="3"/>
    <s v="Secundaria"/>
    <s v="4 Secundaria"/>
    <s v="EL MILAGRO"/>
    <s v="Rural"/>
    <s v="Femenino"/>
    <x v="0"/>
  </r>
  <r>
    <n v="69"/>
    <x v="3"/>
    <s v="Secundaria"/>
    <s v="4 Secundaria"/>
    <s v="EL MILAGRO"/>
    <s v="Rural"/>
    <s v="Femenino"/>
    <x v="0"/>
  </r>
  <r>
    <n v="70"/>
    <x v="3"/>
    <s v="Secundaria"/>
    <s v="4 Secundaria"/>
    <s v="EL MILAGRO"/>
    <s v="Rural"/>
    <s v="Femenino"/>
    <x v="0"/>
  </r>
  <r>
    <n v="71"/>
    <x v="3"/>
    <s v="Secundaria"/>
    <s v="4 Secundaria"/>
    <s v="EL MILAGRO"/>
    <s v="Rural"/>
    <s v="Masculino"/>
    <x v="0"/>
  </r>
  <r>
    <n v="72"/>
    <x v="3"/>
    <s v="Secundaria"/>
    <s v="4 Secundaria"/>
    <s v="EL MILAGRO"/>
    <s v="Rural"/>
    <s v="Masculino"/>
    <x v="0"/>
  </r>
  <r>
    <n v="73"/>
    <x v="3"/>
    <s v="Primaria"/>
    <s v="2 Primaria"/>
    <s v="601614"/>
    <s v="Rural"/>
    <s v="Masculino"/>
    <x v="0"/>
  </r>
  <r>
    <n v="74"/>
    <x v="3"/>
    <s v="Primaria"/>
    <s v="4 Primaria"/>
    <s v="601614"/>
    <s v="Rural"/>
    <s v="Femenino"/>
    <x v="1"/>
  </r>
  <r>
    <n v="75"/>
    <x v="3"/>
    <s v="Primaria"/>
    <s v="2 Primaria"/>
    <s v="6010178"/>
    <s v="Rural"/>
    <s v="Masculino"/>
    <x v="0"/>
  </r>
  <r>
    <n v="76"/>
    <x v="3"/>
    <s v="Primaria"/>
    <s v="6 Primaria"/>
    <s v="6010178"/>
    <s v="Rural"/>
    <s v="Femenino"/>
    <x v="2"/>
  </r>
  <r>
    <n v="77"/>
    <x v="3"/>
    <s v="Primaria"/>
    <s v="2 Primaria"/>
    <s v="601514"/>
    <s v="Rural"/>
    <s v="Femenino"/>
    <x v="0"/>
  </r>
  <r>
    <n v="78"/>
    <x v="3"/>
    <s v="Primaria"/>
    <s v="4 Primaria"/>
    <s v="601514"/>
    <s v="Rural"/>
    <s v="Femenino"/>
    <x v="0"/>
  </r>
  <r>
    <n v="79"/>
    <x v="3"/>
    <s v="Primaria"/>
    <s v="6 Primaria"/>
    <s v="601514"/>
    <s v="Rural"/>
    <s v="Masculino"/>
    <x v="0"/>
  </r>
  <r>
    <n v="80"/>
    <x v="3"/>
    <s v="Primaria"/>
    <s v="6 Primaria"/>
    <s v="601514"/>
    <s v="Rural"/>
    <s v="Femenino"/>
    <x v="0"/>
  </r>
  <r>
    <n v="81"/>
    <x v="3"/>
    <s v="Primaria"/>
    <s v="2 Primaria"/>
    <s v="601331"/>
    <s v="Rural"/>
    <s v="Masculino"/>
    <x v="0"/>
  </r>
  <r>
    <n v="82"/>
    <x v="3"/>
    <s v="Primaria"/>
    <s v="2 Primaria"/>
    <s v="601331"/>
    <s v="Rural"/>
    <s v="Masculino"/>
    <x v="0"/>
  </r>
  <r>
    <n v="83"/>
    <x v="3"/>
    <s v="Primaria"/>
    <s v="2 Primaria"/>
    <s v="601331"/>
    <s v="Rural"/>
    <s v="Masculino"/>
    <x v="0"/>
  </r>
  <r>
    <n v="84"/>
    <x v="3"/>
    <s v="Primaria"/>
    <s v="2 Primaria"/>
    <s v="601331"/>
    <s v="Rural"/>
    <s v="Femenino"/>
    <x v="0"/>
  </r>
  <r>
    <n v="85"/>
    <x v="3"/>
    <s v="Primaria"/>
    <s v="2 Primaria"/>
    <s v="601331"/>
    <s v="Rural"/>
    <s v="Masculino"/>
    <x v="0"/>
  </r>
  <r>
    <n v="86"/>
    <x v="3"/>
    <s v="Primaria"/>
    <s v="2 Primaria"/>
    <s v="601331"/>
    <s v="Rural"/>
    <s v="Femenino"/>
    <x v="0"/>
  </r>
  <r>
    <n v="87"/>
    <x v="3"/>
    <s v="Primaria"/>
    <s v="2 Primaria"/>
    <s v="601331"/>
    <s v="Rural"/>
    <s v="Femenino"/>
    <x v="0"/>
  </r>
  <r>
    <n v="88"/>
    <x v="3"/>
    <s v="Primaria"/>
    <s v="2 Primaria"/>
    <s v="601331"/>
    <s v="Rural"/>
    <s v="Masculino"/>
    <x v="0"/>
  </r>
  <r>
    <n v="89"/>
    <x v="3"/>
    <s v="Primaria"/>
    <s v="2 Primaria"/>
    <s v="601331"/>
    <s v="Rural"/>
    <s v="Femenino"/>
    <x v="0"/>
  </r>
  <r>
    <n v="90"/>
    <x v="3"/>
    <s v="Primaria"/>
    <s v="4 Primaria"/>
    <s v="601331"/>
    <s v="Rural"/>
    <s v="Masculino"/>
    <x v="0"/>
  </r>
  <r>
    <n v="91"/>
    <x v="3"/>
    <s v="Primaria"/>
    <s v="4 Primaria"/>
    <s v="601331"/>
    <s v="Rural"/>
    <s v="Femenino"/>
    <x v="0"/>
  </r>
  <r>
    <n v="92"/>
    <x v="3"/>
    <s v="Primaria"/>
    <s v="4 Primaria"/>
    <s v="601331"/>
    <s v="Rural"/>
    <s v="Femenino"/>
    <x v="1"/>
  </r>
  <r>
    <n v="93"/>
    <x v="3"/>
    <s v="Primaria"/>
    <s v="4 Primaria"/>
    <s v="601331"/>
    <s v="Rural"/>
    <s v="Masculino"/>
    <x v="0"/>
  </r>
  <r>
    <n v="94"/>
    <x v="3"/>
    <s v="Primaria"/>
    <s v="4 Primaria"/>
    <s v="601331"/>
    <s v="Rural"/>
    <s v="Masculino"/>
    <x v="0"/>
  </r>
  <r>
    <n v="95"/>
    <x v="3"/>
    <s v="Primaria"/>
    <s v="4 Primaria"/>
    <s v="601331"/>
    <s v="Rural"/>
    <s v="Masculino"/>
    <x v="0"/>
  </r>
  <r>
    <n v="96"/>
    <x v="3"/>
    <s v="Primaria"/>
    <s v="4 Primaria"/>
    <s v="601331"/>
    <s v="Rural"/>
    <s v="Femenino"/>
    <x v="1"/>
  </r>
  <r>
    <n v="97"/>
    <x v="3"/>
    <s v="Primaria"/>
    <s v="6 Primaria"/>
    <s v="601331"/>
    <s v="Rural"/>
    <s v="Masculino"/>
    <x v="1"/>
  </r>
  <r>
    <n v="98"/>
    <x v="3"/>
    <s v="Primaria"/>
    <s v="6 Primaria"/>
    <s v="601331"/>
    <s v="Rural"/>
    <s v="Femenino"/>
    <x v="1"/>
  </r>
  <r>
    <n v="99"/>
    <x v="3"/>
    <s v="Primaria"/>
    <s v="6 Primaria"/>
    <s v="601331"/>
    <s v="Rural"/>
    <s v="Femenino"/>
    <x v="1"/>
  </r>
  <r>
    <n v="100"/>
    <x v="3"/>
    <s v="Primaria"/>
    <s v="6 Primaria"/>
    <s v="601331"/>
    <s v="Rural"/>
    <s v="Masculino"/>
    <x v="1"/>
  </r>
  <r>
    <n v="101"/>
    <x v="3"/>
    <s v="Primaria"/>
    <s v="6 Primaria"/>
    <s v="601331"/>
    <s v="Rural"/>
    <s v="Masculino"/>
    <x v="1"/>
  </r>
  <r>
    <n v="102"/>
    <x v="3"/>
    <s v="Primaria"/>
    <s v="6 Primaria"/>
    <s v="601331"/>
    <s v="Rural"/>
    <s v="Femenino"/>
    <x v="1"/>
  </r>
  <r>
    <n v="103"/>
    <x v="3"/>
    <s v="Primaria"/>
    <s v="6 Primaria"/>
    <s v="601331"/>
    <s v="Rural"/>
    <s v="Femenino"/>
    <x v="1"/>
  </r>
  <r>
    <n v="104"/>
    <x v="3"/>
    <s v="Primaria"/>
    <s v="6 Primaria"/>
    <s v="601331"/>
    <s v="Rural"/>
    <s v="Femenino"/>
    <x v="2"/>
  </r>
  <r>
    <n v="105"/>
    <x v="3"/>
    <s v="Primaria"/>
    <s v="6 Primaria"/>
    <s v="601331"/>
    <s v="Rural"/>
    <s v="Masculino"/>
    <x v="1"/>
  </r>
  <r>
    <n v="106"/>
    <x v="3"/>
    <s v="Secundaria"/>
    <s v="2 Secundaria"/>
    <s v="601331"/>
    <s v="Rural"/>
    <s v="Femenino"/>
    <x v="1"/>
  </r>
  <r>
    <n v="107"/>
    <x v="3"/>
    <s v="Secundaria"/>
    <s v="2 Secundaria"/>
    <s v="601331"/>
    <s v="Rural"/>
    <s v="Femenino"/>
    <x v="1"/>
  </r>
  <r>
    <n v="108"/>
    <x v="3"/>
    <s v="Secundaria"/>
    <s v="2 Secundaria"/>
    <s v="601331"/>
    <s v="Rural"/>
    <s v="Masculino"/>
    <x v="0"/>
  </r>
  <r>
    <n v="109"/>
    <x v="3"/>
    <s v="Secundaria"/>
    <s v="2 Secundaria"/>
    <s v="601331"/>
    <s v="Rural"/>
    <s v="Femenino"/>
    <x v="1"/>
  </r>
  <r>
    <n v="110"/>
    <x v="3"/>
    <s v="Secundaria"/>
    <s v="2 Secundaria"/>
    <s v="601331"/>
    <s v="Rural"/>
    <s v="Masculino"/>
    <x v="1"/>
  </r>
  <r>
    <n v="111"/>
    <x v="3"/>
    <s v="Secundaria"/>
    <s v="2 Secundaria"/>
    <s v="601331"/>
    <s v="Rural"/>
    <s v="Masculino"/>
    <x v="0"/>
  </r>
  <r>
    <n v="112"/>
    <x v="3"/>
    <s v="Secundaria"/>
    <s v="2 Secundaria"/>
    <s v="601331"/>
    <s v="Rural"/>
    <s v="Masculino"/>
    <x v="0"/>
  </r>
  <r>
    <n v="113"/>
    <x v="3"/>
    <s v="Secundaria"/>
    <s v="2 Secundaria"/>
    <s v="601331"/>
    <s v="Rural"/>
    <s v="Femenino"/>
    <x v="1"/>
  </r>
  <r>
    <n v="114"/>
    <x v="3"/>
    <s v="Secundaria"/>
    <s v="2 Secundaria"/>
    <s v="601331"/>
    <s v="Rural"/>
    <s v="Masculino"/>
    <x v="1"/>
  </r>
  <r>
    <n v="115"/>
    <x v="3"/>
    <s v="Secundaria"/>
    <s v="2 Secundaria"/>
    <s v="601331"/>
    <s v="Rural"/>
    <s v="Masculino"/>
    <x v="1"/>
  </r>
  <r>
    <n v="116"/>
    <x v="3"/>
    <s v="Secundaria"/>
    <s v="2 Secundaria"/>
    <s v="601331"/>
    <s v="Rural"/>
    <s v="Masculino"/>
    <x v="0"/>
  </r>
  <r>
    <n v="117"/>
    <x v="3"/>
    <s v="Secundaria"/>
    <s v="2 Secundaria"/>
    <s v="601331"/>
    <s v="Rural"/>
    <s v="Femenino"/>
    <x v="1"/>
  </r>
  <r>
    <n v="118"/>
    <x v="3"/>
    <s v="Secundaria"/>
    <s v="4 Secundaria"/>
    <s v="601331"/>
    <s v="Rural"/>
    <s v="Femenino"/>
    <x v="0"/>
  </r>
  <r>
    <n v="119"/>
    <x v="3"/>
    <s v="Secundaria"/>
    <s v="4 Secundaria"/>
    <s v="601331"/>
    <s v="Rural"/>
    <s v="Masculino"/>
    <x v="1"/>
  </r>
  <r>
    <n v="120"/>
    <x v="3"/>
    <s v="Secundaria"/>
    <s v="4 Secundaria"/>
    <s v="601331"/>
    <s v="Rural"/>
    <s v="Masculino"/>
    <x v="1"/>
  </r>
  <r>
    <n v="121"/>
    <x v="3"/>
    <s v="Secundaria"/>
    <s v="4 Secundaria"/>
    <s v="601331"/>
    <s v="Rural"/>
    <s v="Masculino"/>
    <x v="0"/>
  </r>
  <r>
    <n v="122"/>
    <x v="3"/>
    <s v="Secundaria"/>
    <s v="4 Secundaria"/>
    <s v="601331"/>
    <s v="Rural"/>
    <s v="Masculino"/>
    <x v="1"/>
  </r>
  <r>
    <n v="123"/>
    <x v="3"/>
    <s v="Secundaria"/>
    <s v="4 Secundaria"/>
    <s v="601331"/>
    <s v="Rural"/>
    <s v="Masculino"/>
    <x v="1"/>
  </r>
  <r>
    <n v="124"/>
    <x v="3"/>
    <s v="Secundaria"/>
    <s v="4 Secundaria"/>
    <s v="601331"/>
    <s v="Rural"/>
    <s v="Femenino"/>
    <x v="1"/>
  </r>
  <r>
    <n v="125"/>
    <x v="3"/>
    <s v="Secundaria"/>
    <s v="4 Secundaria"/>
    <s v="601331"/>
    <s v="Rural"/>
    <s v="Femenino"/>
    <x v="1"/>
  </r>
  <r>
    <n v="126"/>
    <x v="3"/>
    <s v="Secundaria"/>
    <s v="4 Secundaria"/>
    <s v="601331"/>
    <s v="Rural"/>
    <s v="Masculino"/>
    <x v="1"/>
  </r>
  <r>
    <n v="127"/>
    <x v="3"/>
    <s v="Secundaria"/>
    <s v="4 Secundaria"/>
    <s v="601331"/>
    <s v="Rural"/>
    <s v="Femenino"/>
    <x v="1"/>
  </r>
  <r>
    <n v="128"/>
    <x v="3"/>
    <s v="Secundaria"/>
    <s v="4 Secundaria"/>
    <s v="601331"/>
    <s v="Rural"/>
    <s v="Masculino"/>
    <x v="1"/>
  </r>
  <r>
    <n v="129"/>
    <x v="3"/>
    <s v="Primaria"/>
    <s v="2 Primaria"/>
    <s v="601391"/>
    <s v="Rural"/>
    <s v="Femenino"/>
    <x v="1"/>
  </r>
  <r>
    <n v="130"/>
    <x v="3"/>
    <s v="Primaria"/>
    <s v="6 Primaria"/>
    <s v="601391"/>
    <s v="Rural"/>
    <s v="Masculino"/>
    <x v="0"/>
  </r>
  <r>
    <n v="131"/>
    <x v="3"/>
    <s v="Primaria"/>
    <s v="2 Primaria"/>
    <s v="601570"/>
    <s v="Rural"/>
    <s v="Femenino"/>
    <x v="0"/>
  </r>
  <r>
    <n v="132"/>
    <x v="3"/>
    <s v="Primaria"/>
    <s v="2 Primaria"/>
    <s v="601570"/>
    <s v="Rural"/>
    <s v="Masculino"/>
    <x v="0"/>
  </r>
  <r>
    <n v="133"/>
    <x v="3"/>
    <s v="Primaria"/>
    <s v="6 Primaria"/>
    <s v="601570"/>
    <s v="Rural"/>
    <s v="Masculino"/>
    <x v="0"/>
  </r>
  <r>
    <n v="134"/>
    <x v="3"/>
    <s v="Primaria"/>
    <s v="4 Primaria"/>
    <s v="601678"/>
    <s v="Rural"/>
    <s v="Femenino"/>
    <x v="0"/>
  </r>
  <r>
    <n v="135"/>
    <x v="3"/>
    <s v="Primaria"/>
    <s v="6 Primaria"/>
    <s v="601678"/>
    <s v="Rural"/>
    <s v="Masculino"/>
    <x v="0"/>
  </r>
  <r>
    <n v="136"/>
    <x v="3"/>
    <s v="Primaria"/>
    <s v="2 Primaria"/>
    <s v="6010230 BARBARA D'ACHILLE"/>
    <s v="Rural"/>
    <s v="Masculino"/>
    <x v="0"/>
  </r>
  <r>
    <n v="137"/>
    <x v="3"/>
    <s v="Primaria"/>
    <s v="2 Primaria"/>
    <s v="6010230 BARBARA D'ACHILLE"/>
    <s v="Rural"/>
    <s v="Femenino"/>
    <x v="0"/>
  </r>
  <r>
    <n v="138"/>
    <x v="3"/>
    <s v="Primaria"/>
    <s v="4 Primaria"/>
    <s v="6010230 BARBARA D'ACHILLE"/>
    <s v="Rural"/>
    <s v="Masculino"/>
    <x v="0"/>
  </r>
  <r>
    <n v="139"/>
    <x v="3"/>
    <s v="Primaria"/>
    <s v="4 Primaria"/>
    <s v="6010230 BARBARA D'ACHILLE"/>
    <s v="Rural"/>
    <s v="Masculino"/>
    <x v="0"/>
  </r>
  <r>
    <n v="140"/>
    <x v="3"/>
    <s v="Primaria"/>
    <s v="6 Primaria"/>
    <s v="6010230 BARBARA D'ACHILLE"/>
    <s v="Rural"/>
    <s v="Femenino"/>
    <x v="0"/>
  </r>
  <r>
    <n v="141"/>
    <x v="3"/>
    <s v="Primaria"/>
    <s v="6 Primaria"/>
    <s v="6010230 BARBARA D'ACHILLE"/>
    <s v="Rural"/>
    <s v="Masculino"/>
    <x v="0"/>
  </r>
  <r>
    <n v="142"/>
    <x v="3"/>
    <s v="Primaria"/>
    <s v="6 Primaria"/>
    <s v="6010230 BARBARA D'ACHILLE"/>
    <s v="Rural"/>
    <s v="Masculino"/>
    <x v="0"/>
  </r>
  <r>
    <n v="143"/>
    <x v="3"/>
    <s v="Primaria"/>
    <s v="6 Primaria"/>
    <s v="6010230 BARBARA D'ACHILLE"/>
    <s v="Rural"/>
    <s v="Masculino"/>
    <x v="0"/>
  </r>
  <r>
    <n v="144"/>
    <x v="3"/>
    <s v="Secundaria"/>
    <s v="2 Secundaria"/>
    <s v="6010230 BARBARA D'ACHILLE"/>
    <s v="Rural"/>
    <s v="Masculino"/>
    <x v="0"/>
  </r>
  <r>
    <n v="145"/>
    <x v="3"/>
    <s v="Secundaria"/>
    <s v="2 Secundaria"/>
    <s v="6010230 BARBARA D'ACHILLE"/>
    <s v="Rural"/>
    <s v="Femenino"/>
    <x v="0"/>
  </r>
  <r>
    <n v="146"/>
    <x v="3"/>
    <s v="Secundaria"/>
    <s v="2 Secundaria"/>
    <s v="6010230 BARBARA D'ACHILLE"/>
    <s v="Rural"/>
    <s v="Masculino"/>
    <x v="0"/>
  </r>
  <r>
    <n v="147"/>
    <x v="3"/>
    <s v="Secundaria"/>
    <s v="2 Secundaria"/>
    <s v="6010230 BARBARA D'ACHILLE"/>
    <s v="Rural"/>
    <s v="Femenino"/>
    <x v="0"/>
  </r>
  <r>
    <n v="148"/>
    <x v="3"/>
    <s v="Secundaria"/>
    <s v="2 Secundaria"/>
    <s v="6010230 BARBARA D'ACHILLE"/>
    <s v="Rural"/>
    <s v="Masculino"/>
    <x v="0"/>
  </r>
  <r>
    <n v="149"/>
    <x v="3"/>
    <s v="Secundaria"/>
    <s v="2 Secundaria"/>
    <s v="6010230 BARBARA D'ACHILLE"/>
    <s v="Rural"/>
    <s v="Masculino"/>
    <x v="0"/>
  </r>
  <r>
    <n v="150"/>
    <x v="3"/>
    <s v="Secundaria"/>
    <s v="2 Secundaria"/>
    <s v="6010230 BARBARA D'ACHILLE"/>
    <s v="Rural"/>
    <s v="Masculino"/>
    <x v="0"/>
  </r>
  <r>
    <n v="151"/>
    <x v="3"/>
    <s v="Secundaria"/>
    <s v="2 Secundaria"/>
    <s v="6010230 BARBARA D'ACHILLE"/>
    <s v="Rural"/>
    <s v="Masculino"/>
    <x v="0"/>
  </r>
  <r>
    <n v="152"/>
    <x v="3"/>
    <s v="Secundaria"/>
    <s v="4 Secundaria"/>
    <s v="6010230 BARBARA D'ACHILLE"/>
    <s v="Rural"/>
    <s v="Femenino"/>
    <x v="0"/>
  </r>
  <r>
    <n v="153"/>
    <x v="3"/>
    <s v="Secundaria"/>
    <s v="4 Secundaria"/>
    <s v="6010230 BARBARA D'ACHILLE"/>
    <s v="Rural"/>
    <s v="Masculino"/>
    <x v="0"/>
  </r>
  <r>
    <n v="154"/>
    <x v="3"/>
    <s v="Secundaria"/>
    <s v="4 Secundaria"/>
    <s v="6010230 BARBARA D'ACHILLE"/>
    <s v="Rural"/>
    <s v="Femenino"/>
    <x v="0"/>
  </r>
  <r>
    <n v="155"/>
    <x v="3"/>
    <s v="Primaria"/>
    <s v="2 Primaria"/>
    <s v="60181"/>
    <s v="Rural"/>
    <s v="Masculino"/>
    <x v="0"/>
  </r>
  <r>
    <n v="156"/>
    <x v="3"/>
    <s v="Primaria"/>
    <s v="2 Primaria"/>
    <s v="6010231"/>
    <s v="Rural"/>
    <s v="Masculino"/>
    <x v="0"/>
  </r>
  <r>
    <n v="157"/>
    <x v="3"/>
    <s v="Primaria"/>
    <s v="2 Primaria"/>
    <s v="6010231"/>
    <s v="Rural"/>
    <s v="Femenino"/>
    <x v="0"/>
  </r>
  <r>
    <n v="158"/>
    <x v="3"/>
    <s v="Primaria"/>
    <s v="2 Primaria"/>
    <s v="6010231"/>
    <s v="Rural"/>
    <s v="Femenino"/>
    <x v="0"/>
  </r>
  <r>
    <n v="159"/>
    <x v="3"/>
    <s v="Primaria"/>
    <s v="2 Primaria"/>
    <s v="6010231"/>
    <s v="Rural"/>
    <s v="Masculino"/>
    <x v="0"/>
  </r>
  <r>
    <n v="160"/>
    <x v="3"/>
    <s v="Primaria"/>
    <s v="2 Primaria"/>
    <s v="6010231"/>
    <s v="Rural"/>
    <s v="Masculino"/>
    <x v="0"/>
  </r>
  <r>
    <n v="161"/>
    <x v="3"/>
    <s v="Primaria"/>
    <s v="2 Primaria"/>
    <s v="6010231"/>
    <s v="Rural"/>
    <s v="Femenino"/>
    <x v="0"/>
  </r>
  <r>
    <n v="162"/>
    <x v="3"/>
    <s v="Primaria"/>
    <s v="2 Primaria"/>
    <s v="6010231"/>
    <s v="Rural"/>
    <s v="Masculino"/>
    <x v="0"/>
  </r>
  <r>
    <n v="163"/>
    <x v="3"/>
    <s v="Primaria"/>
    <s v="2 Primaria"/>
    <s v="6010231"/>
    <s v="Rural"/>
    <s v="Femenino"/>
    <x v="0"/>
  </r>
  <r>
    <n v="164"/>
    <x v="3"/>
    <s v="Primaria"/>
    <s v="2 Primaria"/>
    <s v="6010231"/>
    <s v="Rural"/>
    <s v="Femenino"/>
    <x v="0"/>
  </r>
  <r>
    <n v="165"/>
    <x v="3"/>
    <s v="Primaria"/>
    <s v="2 Primaria"/>
    <s v="6010231"/>
    <s v="Rural"/>
    <s v="Femenino"/>
    <x v="0"/>
  </r>
  <r>
    <n v="166"/>
    <x v="3"/>
    <s v="Primaria"/>
    <s v="4 Primaria"/>
    <s v="6010231"/>
    <s v="Rural"/>
    <s v="Masculino"/>
    <x v="0"/>
  </r>
  <r>
    <n v="167"/>
    <x v="3"/>
    <s v="Primaria"/>
    <s v="4 Primaria"/>
    <s v="6010231"/>
    <s v="Rural"/>
    <s v="Masculino"/>
    <x v="0"/>
  </r>
  <r>
    <n v="168"/>
    <x v="3"/>
    <s v="Primaria"/>
    <s v="4 Primaria"/>
    <s v="6010231"/>
    <s v="Rural"/>
    <s v="Femenino"/>
    <x v="0"/>
  </r>
  <r>
    <n v="169"/>
    <x v="3"/>
    <s v="Primaria"/>
    <s v="4 Primaria"/>
    <s v="6010231"/>
    <s v="Rural"/>
    <s v="Masculino"/>
    <x v="0"/>
  </r>
  <r>
    <n v="170"/>
    <x v="3"/>
    <s v="Primaria"/>
    <s v="4 Primaria"/>
    <s v="6010231"/>
    <s v="Rural"/>
    <s v="Femenino"/>
    <x v="0"/>
  </r>
  <r>
    <n v="171"/>
    <x v="3"/>
    <s v="Primaria"/>
    <s v="4 Primaria"/>
    <s v="6010231"/>
    <s v="Rural"/>
    <s v="Femenino"/>
    <x v="0"/>
  </r>
  <r>
    <n v="172"/>
    <x v="3"/>
    <s v="Primaria"/>
    <s v="4 Primaria"/>
    <s v="6010231"/>
    <s v="Rural"/>
    <s v="Femenino"/>
    <x v="0"/>
  </r>
  <r>
    <n v="173"/>
    <x v="3"/>
    <s v="Primaria"/>
    <s v="4 Primaria"/>
    <s v="6010231"/>
    <s v="Rural"/>
    <s v="Masculino"/>
    <x v="0"/>
  </r>
  <r>
    <n v="174"/>
    <x v="3"/>
    <s v="Primaria"/>
    <s v="4 Primaria"/>
    <s v="6010231"/>
    <s v="Rural"/>
    <s v="Femenino"/>
    <x v="0"/>
  </r>
  <r>
    <n v="175"/>
    <x v="3"/>
    <s v="Primaria"/>
    <s v="4 Primaria"/>
    <s v="6010231"/>
    <s v="Rural"/>
    <s v="Femenino"/>
    <x v="0"/>
  </r>
  <r>
    <n v="176"/>
    <x v="3"/>
    <s v="Primaria"/>
    <s v="4 Primaria"/>
    <s v="6010231"/>
    <s v="Rural"/>
    <s v="Femenino"/>
    <x v="0"/>
  </r>
  <r>
    <n v="177"/>
    <x v="3"/>
    <s v="Primaria"/>
    <s v="4 Primaria"/>
    <s v="6010231"/>
    <s v="Rural"/>
    <s v="Masculino"/>
    <x v="0"/>
  </r>
  <r>
    <n v="178"/>
    <x v="3"/>
    <s v="Primaria"/>
    <s v="4 Primaria"/>
    <s v="6010231"/>
    <s v="Rural"/>
    <s v="Femenino"/>
    <x v="0"/>
  </r>
  <r>
    <n v="179"/>
    <x v="3"/>
    <s v="Primaria"/>
    <s v="4 Primaria"/>
    <s v="6010231"/>
    <s v="Rural"/>
    <s v="Masculino"/>
    <x v="0"/>
  </r>
  <r>
    <n v="180"/>
    <x v="3"/>
    <s v="Primaria"/>
    <s v="4 Primaria"/>
    <s v="6010231"/>
    <s v="Rural"/>
    <s v="Masculino"/>
    <x v="0"/>
  </r>
  <r>
    <n v="181"/>
    <x v="3"/>
    <s v="Primaria"/>
    <s v="6 Primaria"/>
    <s v="6010231"/>
    <s v="Rural"/>
    <s v="Femenino"/>
    <x v="0"/>
  </r>
  <r>
    <n v="182"/>
    <x v="3"/>
    <s v="Primaria"/>
    <s v="6 Primaria"/>
    <s v="6010231"/>
    <s v="Rural"/>
    <s v="Femenino"/>
    <x v="0"/>
  </r>
  <r>
    <n v="183"/>
    <x v="3"/>
    <s v="Primaria"/>
    <s v="6 Primaria"/>
    <s v="6010231"/>
    <s v="Rural"/>
    <s v="Masculino"/>
    <x v="0"/>
  </r>
  <r>
    <n v="184"/>
    <x v="3"/>
    <s v="Primaria"/>
    <s v="6 Primaria"/>
    <s v="6010231"/>
    <s v="Rural"/>
    <s v="Masculino"/>
    <x v="0"/>
  </r>
  <r>
    <n v="185"/>
    <x v="3"/>
    <s v="Primaria"/>
    <s v="6 Primaria"/>
    <s v="6010231"/>
    <s v="Rural"/>
    <s v="Femenino"/>
    <x v="0"/>
  </r>
  <r>
    <n v="186"/>
    <x v="3"/>
    <s v="Primaria"/>
    <s v="6 Primaria"/>
    <s v="6010231"/>
    <s v="Rural"/>
    <s v="Femenino"/>
    <x v="0"/>
  </r>
  <r>
    <n v="187"/>
    <x v="3"/>
    <s v="Primaria"/>
    <s v="6 Primaria"/>
    <s v="6010231"/>
    <s v="Rural"/>
    <s v="Masculino"/>
    <x v="0"/>
  </r>
  <r>
    <n v="188"/>
    <x v="3"/>
    <s v="Primaria"/>
    <s v="6 Primaria"/>
    <s v="6010231"/>
    <s v="Rural"/>
    <s v="Femenino"/>
    <x v="0"/>
  </r>
  <r>
    <n v="189"/>
    <x v="3"/>
    <s v="Primaria"/>
    <s v="6 Primaria"/>
    <s v="6010231"/>
    <s v="Rural"/>
    <s v="Masculino"/>
    <x v="0"/>
  </r>
  <r>
    <n v="190"/>
    <x v="3"/>
    <s v="Primaria"/>
    <s v="6 Primaria"/>
    <s v="6010231"/>
    <s v="Rural"/>
    <s v="Masculino"/>
    <x v="0"/>
  </r>
  <r>
    <n v="191"/>
    <x v="3"/>
    <s v="Primaria"/>
    <s v="6 Primaria"/>
    <s v="6010231"/>
    <s v="Rural"/>
    <s v="Femenino"/>
    <x v="0"/>
  </r>
  <r>
    <n v="192"/>
    <x v="3"/>
    <s v="Primaria"/>
    <s v="6 Primaria"/>
    <s v="6010231"/>
    <s v="Rural"/>
    <s v="Femenino"/>
    <x v="0"/>
  </r>
  <r>
    <n v="193"/>
    <x v="3"/>
    <s v="Primaria"/>
    <s v="6 Primaria"/>
    <s v="6010231"/>
    <s v="Rural"/>
    <s v="Femenino"/>
    <x v="0"/>
  </r>
  <r>
    <n v="194"/>
    <x v="3"/>
    <s v="Secundaria"/>
    <s v="2 Secundaria"/>
    <s v="6010231"/>
    <s v="Rural"/>
    <s v="Femenino"/>
    <x v="0"/>
  </r>
  <r>
    <n v="195"/>
    <x v="3"/>
    <s v="Secundaria"/>
    <s v="2 Secundaria"/>
    <s v="6010231"/>
    <s v="Rural"/>
    <s v="Masculino"/>
    <x v="0"/>
  </r>
  <r>
    <n v="196"/>
    <x v="3"/>
    <s v="Secundaria"/>
    <s v="2 Secundaria"/>
    <s v="6010231"/>
    <s v="Rural"/>
    <s v="Masculino"/>
    <x v="0"/>
  </r>
  <r>
    <n v="197"/>
    <x v="3"/>
    <s v="Secundaria"/>
    <s v="2 Secundaria"/>
    <s v="6010231"/>
    <s v="Rural"/>
    <s v="Masculino"/>
    <x v="0"/>
  </r>
  <r>
    <n v="198"/>
    <x v="3"/>
    <s v="Secundaria"/>
    <s v="2 Secundaria"/>
    <s v="6010231"/>
    <s v="Rural"/>
    <s v="Femenino"/>
    <x v="0"/>
  </r>
  <r>
    <n v="199"/>
    <x v="3"/>
    <s v="Secundaria"/>
    <s v="2 Secundaria"/>
    <s v="6010231"/>
    <s v="Rural"/>
    <s v="Femenino"/>
    <x v="0"/>
  </r>
  <r>
    <n v="200"/>
    <x v="3"/>
    <s v="Secundaria"/>
    <s v="2 Secundaria"/>
    <s v="6010231"/>
    <s v="Rural"/>
    <s v="Masculino"/>
    <x v="0"/>
  </r>
  <r>
    <n v="201"/>
    <x v="3"/>
    <s v="Secundaria"/>
    <s v="2 Secundaria"/>
    <s v="6010231"/>
    <s v="Rural"/>
    <s v="Masculino"/>
    <x v="0"/>
  </r>
  <r>
    <n v="202"/>
    <x v="3"/>
    <s v="Secundaria"/>
    <s v="2 Secundaria"/>
    <s v="6010231"/>
    <s v="Rural"/>
    <s v="Masculino"/>
    <x v="0"/>
  </r>
  <r>
    <n v="203"/>
    <x v="3"/>
    <s v="Secundaria"/>
    <s v="2 Secundaria"/>
    <s v="6010231"/>
    <s v="Rural"/>
    <s v="Masculino"/>
    <x v="0"/>
  </r>
  <r>
    <n v="204"/>
    <x v="3"/>
    <s v="Secundaria"/>
    <s v="2 Secundaria"/>
    <s v="6010231"/>
    <s v="Rural"/>
    <s v="Femenino"/>
    <x v="0"/>
  </r>
  <r>
    <n v="205"/>
    <x v="3"/>
    <s v="Secundaria"/>
    <s v="2 Secundaria"/>
    <s v="6010231"/>
    <s v="Rural"/>
    <s v="Femenino"/>
    <x v="0"/>
  </r>
  <r>
    <n v="206"/>
    <x v="3"/>
    <s v="Secundaria"/>
    <s v="2 Secundaria"/>
    <s v="6010231"/>
    <s v="Rural"/>
    <s v="Femenino"/>
    <x v="0"/>
  </r>
  <r>
    <n v="207"/>
    <x v="3"/>
    <s v="Secundaria"/>
    <s v="2 Secundaria"/>
    <s v="6010231"/>
    <s v="Rural"/>
    <s v="Masculino"/>
    <x v="0"/>
  </r>
  <r>
    <n v="208"/>
    <x v="3"/>
    <s v="Secundaria"/>
    <s v="2 Secundaria"/>
    <s v="6010231"/>
    <s v="Rural"/>
    <s v="Masculino"/>
    <x v="0"/>
  </r>
  <r>
    <n v="209"/>
    <x v="3"/>
    <s v="Secundaria"/>
    <s v="2 Secundaria"/>
    <s v="6010231"/>
    <s v="Rural"/>
    <s v="Femenino"/>
    <x v="0"/>
  </r>
  <r>
    <n v="210"/>
    <x v="3"/>
    <s v="Secundaria"/>
    <s v="2 Secundaria"/>
    <s v="6010231"/>
    <s v="Rural"/>
    <s v="Femenino"/>
    <x v="0"/>
  </r>
  <r>
    <n v="211"/>
    <x v="3"/>
    <s v="Secundaria"/>
    <s v="2 Secundaria"/>
    <s v="6010231"/>
    <s v="Rural"/>
    <s v="Femenino"/>
    <x v="0"/>
  </r>
  <r>
    <n v="212"/>
    <x v="3"/>
    <s v="Secundaria"/>
    <s v="2 Secundaria"/>
    <s v="6010231"/>
    <s v="Rural"/>
    <s v="Femenino"/>
    <x v="0"/>
  </r>
  <r>
    <n v="213"/>
    <x v="3"/>
    <s v="Secundaria"/>
    <s v="2 Secundaria"/>
    <s v="6010231"/>
    <s v="Rural"/>
    <s v="Femenino"/>
    <x v="0"/>
  </r>
  <r>
    <n v="214"/>
    <x v="3"/>
    <s v="Secundaria"/>
    <s v="2 Secundaria"/>
    <s v="6010231"/>
    <s v="Rural"/>
    <s v="Femenino"/>
    <x v="0"/>
  </r>
  <r>
    <n v="215"/>
    <x v="3"/>
    <s v="Secundaria"/>
    <s v="2 Secundaria"/>
    <s v="6010231"/>
    <s v="Rural"/>
    <s v="Masculino"/>
    <x v="0"/>
  </r>
  <r>
    <n v="216"/>
    <x v="3"/>
    <s v="Secundaria"/>
    <s v="2 Secundaria"/>
    <s v="6010231"/>
    <s v="Rural"/>
    <s v="Masculino"/>
    <x v="0"/>
  </r>
  <r>
    <n v="217"/>
    <x v="3"/>
    <s v="Secundaria"/>
    <s v="4 Secundaria"/>
    <s v="6010231"/>
    <s v="Rural"/>
    <s v="Femenino"/>
    <x v="0"/>
  </r>
  <r>
    <n v="218"/>
    <x v="3"/>
    <s v="Secundaria"/>
    <s v="4 Secundaria"/>
    <s v="6010231"/>
    <s v="Rural"/>
    <s v="Femenino"/>
    <x v="0"/>
  </r>
  <r>
    <n v="219"/>
    <x v="3"/>
    <s v="Secundaria"/>
    <s v="4 Secundaria"/>
    <s v="6010231"/>
    <s v="Rural"/>
    <s v="Femenino"/>
    <x v="0"/>
  </r>
  <r>
    <n v="220"/>
    <x v="3"/>
    <s v="Secundaria"/>
    <s v="4 Secundaria"/>
    <s v="6010231"/>
    <s v="Rural"/>
    <s v="Femenino"/>
    <x v="0"/>
  </r>
  <r>
    <n v="221"/>
    <x v="3"/>
    <s v="Secundaria"/>
    <s v="4 Secundaria"/>
    <s v="6010231"/>
    <s v="Rural"/>
    <s v="Femenino"/>
    <x v="0"/>
  </r>
  <r>
    <n v="222"/>
    <x v="3"/>
    <s v="Secundaria"/>
    <s v="4 Secundaria"/>
    <s v="6010231"/>
    <s v="Rural"/>
    <s v="Masculino"/>
    <x v="0"/>
  </r>
  <r>
    <n v="223"/>
    <x v="3"/>
    <s v="Secundaria"/>
    <s v="4 Secundaria"/>
    <s v="6010231"/>
    <s v="Rural"/>
    <s v="Masculino"/>
    <x v="0"/>
  </r>
  <r>
    <n v="224"/>
    <x v="3"/>
    <s v="Secundaria"/>
    <s v="4 Secundaria"/>
    <s v="6010231"/>
    <s v="Rural"/>
    <s v="Femenino"/>
    <x v="0"/>
  </r>
  <r>
    <n v="229"/>
    <x v="3"/>
    <s v="Primaria"/>
    <s v="4 Primaria"/>
    <s v="601511"/>
    <s v="Rural"/>
    <s v="Femenino"/>
    <x v="0"/>
  </r>
  <r>
    <n v="230"/>
    <x v="3"/>
    <s v="Primaria"/>
    <s v="6 Primaria"/>
    <s v="601511"/>
    <s v="Rural"/>
    <s v="Masculino"/>
    <x v="0"/>
  </r>
  <r>
    <n v="231"/>
    <x v="3"/>
    <s v="Primaria"/>
    <s v="6 Primaria"/>
    <s v="601511"/>
    <s v="Rural"/>
    <s v="Masculino"/>
    <x v="0"/>
  </r>
  <r>
    <n v="232"/>
    <x v="3"/>
    <s v="Primaria"/>
    <s v="6 Primaria"/>
    <s v="601580"/>
    <s v="Rural"/>
    <s v="Masculino"/>
    <x v="0"/>
  </r>
  <r>
    <n v="233"/>
    <x v="3"/>
    <s v="Primaria"/>
    <s v="6 Primaria"/>
    <s v="601580"/>
    <s v="Rural"/>
    <s v="Femenino"/>
    <x v="0"/>
  </r>
  <r>
    <n v="234"/>
    <x v="3"/>
    <s v="Primaria"/>
    <s v="2 Primaria"/>
    <s v="601444"/>
    <s v="Rural"/>
    <s v="Femenino"/>
    <x v="0"/>
  </r>
  <r>
    <n v="235"/>
    <x v="3"/>
    <s v="Primaria"/>
    <s v="2 Primaria"/>
    <s v="601444"/>
    <s v="Rural"/>
    <s v="Masculino"/>
    <x v="0"/>
  </r>
  <r>
    <n v="236"/>
    <x v="3"/>
    <s v="Primaria"/>
    <s v="4 Primaria"/>
    <s v="601444"/>
    <s v="Rural"/>
    <s v="Masculino"/>
    <x v="0"/>
  </r>
  <r>
    <n v="237"/>
    <x v="3"/>
    <s v="Primaria"/>
    <s v="4 Primaria"/>
    <s v="601444"/>
    <s v="Rural"/>
    <s v="Masculino"/>
    <x v="0"/>
  </r>
  <r>
    <n v="238"/>
    <x v="3"/>
    <s v="Primaria"/>
    <s v="6 Primaria"/>
    <s v="601444"/>
    <s v="Rural"/>
    <s v="Masculino"/>
    <x v="0"/>
  </r>
  <r>
    <n v="239"/>
    <x v="3"/>
    <s v="Primaria"/>
    <s v="2 Primaria"/>
    <s v="601571"/>
    <s v="Rural"/>
    <s v="Femenino"/>
    <x v="0"/>
  </r>
  <r>
    <n v="240"/>
    <x v="3"/>
    <s v="Primaria"/>
    <s v="2 Primaria"/>
    <s v="601571"/>
    <s v="Rural"/>
    <s v="Masculino"/>
    <x v="0"/>
  </r>
  <r>
    <n v="241"/>
    <x v="3"/>
    <s v="Primaria"/>
    <s v="4 Primaria"/>
    <s v="601571"/>
    <s v="Rural"/>
    <s v="Masculino"/>
    <x v="0"/>
  </r>
  <r>
    <n v="242"/>
    <x v="3"/>
    <s v="Primaria"/>
    <s v="6 Primaria"/>
    <s v="601571"/>
    <s v="Rural"/>
    <s v="Femenino"/>
    <x v="0"/>
  </r>
  <r>
    <n v="243"/>
    <x v="3"/>
    <s v="Primaria"/>
    <s v="2 Primaria"/>
    <s v="601563"/>
    <s v="Rural"/>
    <s v="Femenino"/>
    <x v="0"/>
  </r>
  <r>
    <n v="244"/>
    <x v="3"/>
    <s v="Primaria"/>
    <s v="4 Primaria"/>
    <s v="601563"/>
    <s v="Rural"/>
    <s v="Masculino"/>
    <x v="0"/>
  </r>
  <r>
    <n v="246"/>
    <x v="3"/>
    <s v="Primaria"/>
    <s v="2 Primaria"/>
    <s v="60133"/>
    <s v="Rural"/>
    <s v="Femenino"/>
    <x v="0"/>
  </r>
  <r>
    <n v="247"/>
    <x v="3"/>
    <s v="Primaria"/>
    <s v="2 Primaria"/>
    <s v="60133"/>
    <s v="Rural"/>
    <s v="Femenino"/>
    <x v="0"/>
  </r>
  <r>
    <n v="248"/>
    <x v="3"/>
    <s v="Primaria"/>
    <s v="2 Primaria"/>
    <s v="60133"/>
    <s v="Rural"/>
    <s v="Femenino"/>
    <x v="0"/>
  </r>
  <r>
    <n v="249"/>
    <x v="3"/>
    <s v="Primaria"/>
    <s v="2 Primaria"/>
    <s v="60133"/>
    <s v="Rural"/>
    <s v="Masculino"/>
    <x v="0"/>
  </r>
  <r>
    <n v="250"/>
    <x v="3"/>
    <s v="Primaria"/>
    <s v="2 Primaria"/>
    <s v="60133"/>
    <s v="Rural"/>
    <s v="Masculino"/>
    <x v="0"/>
  </r>
  <r>
    <n v="251"/>
    <x v="3"/>
    <s v="Primaria"/>
    <s v="2 Primaria"/>
    <s v="60133"/>
    <s v="Rural"/>
    <s v="Femenino"/>
    <x v="0"/>
  </r>
  <r>
    <n v="252"/>
    <x v="3"/>
    <s v="Primaria"/>
    <s v="2 Primaria"/>
    <s v="60133"/>
    <s v="Rural"/>
    <s v="Femenino"/>
    <x v="1"/>
  </r>
  <r>
    <n v="253"/>
    <x v="3"/>
    <s v="Primaria"/>
    <s v="2 Primaria"/>
    <s v="60133"/>
    <s v="Rural"/>
    <s v="Masculino"/>
    <x v="0"/>
  </r>
  <r>
    <n v="254"/>
    <x v="3"/>
    <s v="Primaria"/>
    <s v="2 Primaria"/>
    <s v="60133"/>
    <s v="Rural"/>
    <s v="Masculino"/>
    <x v="0"/>
  </r>
  <r>
    <n v="255"/>
    <x v="3"/>
    <s v="Primaria"/>
    <s v="2 Primaria"/>
    <s v="60133"/>
    <s v="Rural"/>
    <s v="Masculino"/>
    <x v="0"/>
  </r>
  <r>
    <n v="257"/>
    <x v="3"/>
    <s v="Primaria"/>
    <s v="2 Primaria"/>
    <s v="60133"/>
    <s v="Rural"/>
    <s v="Femenino"/>
    <x v="0"/>
  </r>
  <r>
    <n v="258"/>
    <x v="3"/>
    <s v="Primaria"/>
    <s v="4 Primaria"/>
    <s v="60133"/>
    <s v="Rural"/>
    <s v="Masculino"/>
    <x v="0"/>
  </r>
  <r>
    <n v="259"/>
    <x v="3"/>
    <s v="Primaria"/>
    <s v="4 Primaria"/>
    <s v="60133"/>
    <s v="Rural"/>
    <s v="Femenino"/>
    <x v="1"/>
  </r>
  <r>
    <n v="260"/>
    <x v="3"/>
    <s v="Primaria"/>
    <s v="4 Primaria"/>
    <s v="60133"/>
    <s v="Rural"/>
    <s v="Masculino"/>
    <x v="0"/>
  </r>
  <r>
    <n v="261"/>
    <x v="3"/>
    <s v="Primaria"/>
    <s v="4 Primaria"/>
    <s v="60133"/>
    <s v="Rural"/>
    <s v="Masculino"/>
    <x v="0"/>
  </r>
  <r>
    <n v="263"/>
    <x v="3"/>
    <s v="Primaria"/>
    <s v="4 Primaria"/>
    <s v="60133"/>
    <s v="Rural"/>
    <s v="Masculino"/>
    <x v="0"/>
  </r>
  <r>
    <n v="264"/>
    <x v="3"/>
    <s v="Primaria"/>
    <s v="4 Primaria"/>
    <s v="60133"/>
    <s v="Rural"/>
    <s v="Femenino"/>
    <x v="0"/>
  </r>
  <r>
    <n v="265"/>
    <x v="3"/>
    <s v="Primaria"/>
    <s v="4 Primaria"/>
    <s v="60133"/>
    <s v="Rural"/>
    <s v="Masculino"/>
    <x v="0"/>
  </r>
  <r>
    <n v="266"/>
    <x v="3"/>
    <s v="Primaria"/>
    <s v="4 Primaria"/>
    <s v="60133"/>
    <s v="Rural"/>
    <s v="Femenino"/>
    <x v="0"/>
  </r>
  <r>
    <n v="267"/>
    <x v="3"/>
    <s v="Primaria"/>
    <s v="4 Primaria"/>
    <s v="60133"/>
    <s v="Rural"/>
    <s v="Masculino"/>
    <x v="0"/>
  </r>
  <r>
    <n v="268"/>
    <x v="3"/>
    <s v="Primaria"/>
    <s v="4 Primaria"/>
    <s v="60133"/>
    <s v="Rural"/>
    <s v="Femenino"/>
    <x v="0"/>
  </r>
  <r>
    <n v="269"/>
    <x v="3"/>
    <s v="Primaria"/>
    <s v="4 Primaria"/>
    <s v="60133"/>
    <s v="Rural"/>
    <s v="Femenino"/>
    <x v="1"/>
  </r>
  <r>
    <n v="270"/>
    <x v="3"/>
    <s v="Primaria"/>
    <s v="6 Primaria"/>
    <s v="60133"/>
    <s v="Rural"/>
    <s v="Femenino"/>
    <x v="0"/>
  </r>
  <r>
    <n v="271"/>
    <x v="3"/>
    <s v="Primaria"/>
    <s v="6 Primaria"/>
    <s v="60133"/>
    <s v="Rural"/>
    <s v="Femenino"/>
    <x v="0"/>
  </r>
  <r>
    <n v="272"/>
    <x v="3"/>
    <s v="Primaria"/>
    <s v="6 Primaria"/>
    <s v="60133"/>
    <s v="Rural"/>
    <s v="Femenino"/>
    <x v="0"/>
  </r>
  <r>
    <n v="273"/>
    <x v="3"/>
    <s v="Primaria"/>
    <s v="6 Primaria"/>
    <s v="60133"/>
    <s v="Rural"/>
    <s v="Femenino"/>
    <x v="0"/>
  </r>
  <r>
    <n v="275"/>
    <x v="3"/>
    <s v="Primaria"/>
    <s v="6 Primaria"/>
    <s v="60133"/>
    <s v="Rural"/>
    <s v="Femenino"/>
    <x v="0"/>
  </r>
  <r>
    <n v="276"/>
    <x v="3"/>
    <s v="Primaria"/>
    <s v="6 Primaria"/>
    <s v="60133"/>
    <s v="Rural"/>
    <s v="Masculino"/>
    <x v="0"/>
  </r>
  <r>
    <n v="277"/>
    <x v="3"/>
    <s v="Primaria"/>
    <s v="6 Primaria"/>
    <s v="60133"/>
    <s v="Rural"/>
    <s v="Masculino"/>
    <x v="0"/>
  </r>
  <r>
    <n v="279"/>
    <x v="3"/>
    <s v="Primaria"/>
    <s v="6 Primaria"/>
    <s v="60133"/>
    <s v="Rural"/>
    <s v="Femenino"/>
    <x v="0"/>
  </r>
  <r>
    <n v="280"/>
    <x v="3"/>
    <s v="Primaria"/>
    <s v="6 Primaria"/>
    <s v="60133"/>
    <s v="Rural"/>
    <s v="Masculino"/>
    <x v="0"/>
  </r>
  <r>
    <n v="281"/>
    <x v="3"/>
    <s v="Primaria"/>
    <s v="6 Primaria"/>
    <s v="60133"/>
    <s v="Rural"/>
    <s v="Femenino"/>
    <x v="0"/>
  </r>
  <r>
    <n v="282"/>
    <x v="3"/>
    <s v="Primaria"/>
    <s v="6 Primaria"/>
    <s v="60133"/>
    <s v="Rural"/>
    <s v="Masculino"/>
    <x v="0"/>
  </r>
  <r>
    <n v="283"/>
    <x v="3"/>
    <s v="Primaria"/>
    <s v="6 Primaria"/>
    <s v="60133"/>
    <s v="Rural"/>
    <s v="Femenino"/>
    <x v="0"/>
  </r>
  <r>
    <n v="284"/>
    <x v="3"/>
    <s v="Secundaria"/>
    <s v="2 Secundaria"/>
    <s v="60133"/>
    <s v="Rural"/>
    <s v="Femenino"/>
    <x v="0"/>
  </r>
  <r>
    <n v="285"/>
    <x v="3"/>
    <s v="Secundaria"/>
    <s v="2 Secundaria"/>
    <s v="60133"/>
    <s v="Rural"/>
    <s v="Femenino"/>
    <x v="0"/>
  </r>
  <r>
    <n v="286"/>
    <x v="3"/>
    <s v="Secundaria"/>
    <s v="2 Secundaria"/>
    <s v="60133"/>
    <s v="Rural"/>
    <s v="Masculino"/>
    <x v="0"/>
  </r>
  <r>
    <n v="287"/>
    <x v="3"/>
    <s v="Secundaria"/>
    <s v="2 Secundaria"/>
    <s v="60133"/>
    <s v="Rural"/>
    <s v="Masculino"/>
    <x v="0"/>
  </r>
  <r>
    <n v="288"/>
    <x v="3"/>
    <s v="Secundaria"/>
    <s v="2 Secundaria"/>
    <s v="60133"/>
    <s v="Rural"/>
    <s v="Masculino"/>
    <x v="0"/>
  </r>
  <r>
    <n v="290"/>
    <x v="3"/>
    <s v="Secundaria"/>
    <s v="2 Secundaria"/>
    <s v="60133"/>
    <s v="Rural"/>
    <s v="Masculino"/>
    <x v="0"/>
  </r>
  <r>
    <n v="291"/>
    <x v="3"/>
    <s v="Secundaria"/>
    <s v="2 Secundaria"/>
    <s v="60133"/>
    <s v="Rural"/>
    <s v="Masculino"/>
    <x v="0"/>
  </r>
  <r>
    <n v="292"/>
    <x v="3"/>
    <s v="Secundaria"/>
    <s v="2 Secundaria"/>
    <s v="60133"/>
    <s v="Rural"/>
    <s v="Femenino"/>
    <x v="0"/>
  </r>
  <r>
    <n v="293"/>
    <x v="3"/>
    <s v="Secundaria"/>
    <s v="2 Secundaria"/>
    <s v="60133"/>
    <s v="Rural"/>
    <s v="Femenino"/>
    <x v="0"/>
  </r>
  <r>
    <n v="294"/>
    <x v="3"/>
    <s v="Secundaria"/>
    <s v="2 Secundaria"/>
    <s v="60133"/>
    <s v="Rural"/>
    <s v="Femenino"/>
    <x v="0"/>
  </r>
  <r>
    <n v="295"/>
    <x v="3"/>
    <s v="Secundaria"/>
    <s v="2 Secundaria"/>
    <s v="60133"/>
    <s v="Rural"/>
    <s v="Masculino"/>
    <x v="0"/>
  </r>
  <r>
    <n v="297"/>
    <x v="3"/>
    <s v="Secundaria"/>
    <s v="2 Secundaria"/>
    <s v="60133"/>
    <s v="Rural"/>
    <s v="Femenino"/>
    <x v="0"/>
  </r>
  <r>
    <n v="298"/>
    <x v="3"/>
    <s v="Secundaria"/>
    <s v="2 Secundaria"/>
    <s v="60133"/>
    <s v="Rural"/>
    <s v="Femenino"/>
    <x v="0"/>
  </r>
  <r>
    <n v="299"/>
    <x v="3"/>
    <s v="Secundaria"/>
    <s v="2 Secundaria"/>
    <s v="60133"/>
    <s v="Rural"/>
    <s v="Masculino"/>
    <x v="0"/>
  </r>
  <r>
    <n v="300"/>
    <x v="3"/>
    <s v="Secundaria"/>
    <s v="2 Secundaria"/>
    <s v="60133"/>
    <s v="Rural"/>
    <s v="Masculino"/>
    <x v="0"/>
  </r>
  <r>
    <n v="302"/>
    <x v="3"/>
    <s v="Secundaria"/>
    <s v="2 Secundaria"/>
    <s v="60133"/>
    <s v="Rural"/>
    <s v="Masculino"/>
    <x v="0"/>
  </r>
  <r>
    <n v="303"/>
    <x v="3"/>
    <s v="Secundaria"/>
    <s v="2 Secundaria"/>
    <s v="60133"/>
    <s v="Rural"/>
    <s v="Masculino"/>
    <x v="0"/>
  </r>
  <r>
    <n v="304"/>
    <x v="3"/>
    <s v="Secundaria"/>
    <s v="2 Secundaria"/>
    <s v="60133"/>
    <s v="Rural"/>
    <s v="Femenino"/>
    <x v="0"/>
  </r>
  <r>
    <n v="305"/>
    <x v="3"/>
    <s v="Secundaria"/>
    <s v="2 Secundaria"/>
    <s v="60133"/>
    <s v="Rural"/>
    <s v="Femenino"/>
    <x v="0"/>
  </r>
  <r>
    <n v="306"/>
    <x v="3"/>
    <s v="Secundaria"/>
    <s v="2 Secundaria"/>
    <s v="60133"/>
    <s v="Rural"/>
    <s v="Femenino"/>
    <x v="0"/>
  </r>
  <r>
    <n v="307"/>
    <x v="3"/>
    <s v="Secundaria"/>
    <s v="2 Secundaria"/>
    <s v="60133"/>
    <s v="Rural"/>
    <s v="Masculino"/>
    <x v="0"/>
  </r>
  <r>
    <n v="308"/>
    <x v="3"/>
    <s v="Secundaria"/>
    <s v="2 Secundaria"/>
    <s v="60133"/>
    <s v="Rural"/>
    <s v="Masculino"/>
    <x v="0"/>
  </r>
  <r>
    <n v="310"/>
    <x v="3"/>
    <s v="Secundaria"/>
    <s v="2 Secundaria"/>
    <s v="60133"/>
    <s v="Rural"/>
    <s v="Masculino"/>
    <x v="0"/>
  </r>
  <r>
    <n v="311"/>
    <x v="3"/>
    <s v="Secundaria"/>
    <s v="2 Secundaria"/>
    <s v="60133"/>
    <s v="Rural"/>
    <s v="Femenino"/>
    <x v="0"/>
  </r>
  <r>
    <n v="312"/>
    <x v="3"/>
    <s v="Secundaria"/>
    <s v="2 Secundaria"/>
    <s v="60133"/>
    <s v="Rural"/>
    <s v="Femenino"/>
    <x v="0"/>
  </r>
  <r>
    <n v="313"/>
    <x v="3"/>
    <s v="Secundaria"/>
    <s v="4 Secundaria"/>
    <s v="60133"/>
    <s v="Rural"/>
    <s v="Femenino"/>
    <x v="0"/>
  </r>
  <r>
    <n v="314"/>
    <x v="3"/>
    <s v="Secundaria"/>
    <s v="4 Secundaria"/>
    <s v="60133"/>
    <s v="Rural"/>
    <s v="Femenino"/>
    <x v="0"/>
  </r>
  <r>
    <n v="315"/>
    <x v="3"/>
    <s v="Secundaria"/>
    <s v="4 Secundaria"/>
    <s v="60133"/>
    <s v="Rural"/>
    <s v="Femenino"/>
    <x v="0"/>
  </r>
  <r>
    <n v="316"/>
    <x v="3"/>
    <s v="Secundaria"/>
    <s v="4 Secundaria"/>
    <s v="60133"/>
    <s v="Rural"/>
    <s v="Masculino"/>
    <x v="1"/>
  </r>
  <r>
    <n v="317"/>
    <x v="3"/>
    <s v="Secundaria"/>
    <s v="4 Secundaria"/>
    <s v="60133"/>
    <s v="Rural"/>
    <s v="Masculino"/>
    <x v="0"/>
  </r>
  <r>
    <n v="318"/>
    <x v="3"/>
    <s v="Secundaria"/>
    <s v="4 Secundaria"/>
    <s v="60133"/>
    <s v="Rural"/>
    <s v="Femenino"/>
    <x v="0"/>
  </r>
  <r>
    <n v="319"/>
    <x v="3"/>
    <s v="Secundaria"/>
    <s v="4 Secundaria"/>
    <s v="60133"/>
    <s v="Rural"/>
    <s v="Femenino"/>
    <x v="0"/>
  </r>
  <r>
    <n v="320"/>
    <x v="3"/>
    <s v="Secundaria"/>
    <s v="4 Secundaria"/>
    <s v="60133"/>
    <s v="Rural"/>
    <s v="Femenino"/>
    <x v="0"/>
  </r>
  <r>
    <n v="321"/>
    <x v="3"/>
    <s v="Secundaria"/>
    <s v="4 Secundaria"/>
    <s v="60133"/>
    <s v="Rural"/>
    <s v="Masculino"/>
    <x v="0"/>
  </r>
  <r>
    <n v="322"/>
    <x v="3"/>
    <s v="Secundaria"/>
    <s v="4 Secundaria"/>
    <s v="60133"/>
    <s v="Rural"/>
    <s v="Masculino"/>
    <x v="0"/>
  </r>
  <r>
    <n v="323"/>
    <x v="3"/>
    <s v="Secundaria"/>
    <s v="4 Secundaria"/>
    <s v="60133"/>
    <s v="Rural"/>
    <s v="Femenino"/>
    <x v="0"/>
  </r>
  <r>
    <n v="324"/>
    <x v="3"/>
    <s v="Secundaria"/>
    <s v="4 Secundaria"/>
    <s v="60133"/>
    <s v="Rural"/>
    <s v="Masculino"/>
    <x v="0"/>
  </r>
  <r>
    <n v="326"/>
    <x v="3"/>
    <s v="Secundaria"/>
    <s v="4 Secundaria"/>
    <s v="60133"/>
    <s v="Rural"/>
    <s v="Masculino"/>
    <x v="0"/>
  </r>
  <r>
    <n v="327"/>
    <x v="3"/>
    <s v="Secundaria"/>
    <s v="4 Secundaria"/>
    <s v="60133"/>
    <s v="Rural"/>
    <s v="Masculino"/>
    <x v="0"/>
  </r>
  <r>
    <n v="328"/>
    <x v="3"/>
    <s v="Secundaria"/>
    <s v="4 Secundaria"/>
    <s v="60133"/>
    <s v="Rural"/>
    <s v="Masculino"/>
    <x v="0"/>
  </r>
  <r>
    <n v="329"/>
    <x v="3"/>
    <s v="Secundaria"/>
    <s v="4 Secundaria"/>
    <s v="60133"/>
    <s v="Rural"/>
    <s v="Femenino"/>
    <x v="0"/>
  </r>
  <r>
    <n v="330"/>
    <x v="3"/>
    <s v="Secundaria"/>
    <s v="4 Secundaria"/>
    <s v="60133"/>
    <s v="Rural"/>
    <s v="Masculino"/>
    <x v="0"/>
  </r>
  <r>
    <n v="331"/>
    <x v="3"/>
    <s v="Secundaria"/>
    <s v="4 Secundaria"/>
    <s v="60133"/>
    <s v="Rural"/>
    <s v="Femenino"/>
    <x v="0"/>
  </r>
  <r>
    <n v="332"/>
    <x v="3"/>
    <s v="Secundaria"/>
    <s v="4 Secundaria"/>
    <s v="60133"/>
    <s v="Rural"/>
    <s v="Masculino"/>
    <x v="0"/>
  </r>
  <r>
    <n v="333"/>
    <x v="3"/>
    <s v="Secundaria"/>
    <s v="4 Secundaria"/>
    <s v="60133"/>
    <s v="Rural"/>
    <s v="Masculino"/>
    <x v="0"/>
  </r>
  <r>
    <n v="334"/>
    <x v="3"/>
    <s v="Secundaria"/>
    <s v="4 Secundaria"/>
    <s v="60133"/>
    <s v="Rural"/>
    <s v="Masculino"/>
    <x v="1"/>
  </r>
  <r>
    <n v="335"/>
    <x v="3"/>
    <s v="Secundaria"/>
    <s v="4 Secundaria"/>
    <s v="60133"/>
    <s v="Rural"/>
    <s v="Femenino"/>
    <x v="0"/>
  </r>
  <r>
    <n v="1"/>
    <x v="4"/>
    <s v="Primaria"/>
    <s v="2 Primaria"/>
    <s v="86809"/>
    <s v="Rural"/>
    <s v="Masculino"/>
    <x v="0"/>
  </r>
  <r>
    <n v="2"/>
    <x v="4"/>
    <s v="Primaria"/>
    <s v="4 Primaria"/>
    <s v="86809"/>
    <s v="Rural"/>
    <s v="Masculino"/>
    <x v="0"/>
  </r>
  <r>
    <n v="3"/>
    <x v="4"/>
    <s v="Primaria"/>
    <s v="4 Primaria"/>
    <s v="86809"/>
    <s v="Rural"/>
    <s v="Masculino"/>
    <x v="0"/>
  </r>
  <r>
    <n v="4"/>
    <x v="4"/>
    <s v="Primaria"/>
    <s v="4 Primaria"/>
    <s v="86809"/>
    <s v="Rural"/>
    <s v="Femenino"/>
    <x v="0"/>
  </r>
  <r>
    <n v="5"/>
    <x v="4"/>
    <s v="Primaria"/>
    <s v="4 Primaria"/>
    <s v="86809"/>
    <s v="Rural"/>
    <s v="Femenino"/>
    <x v="0"/>
  </r>
  <r>
    <n v="6"/>
    <x v="4"/>
    <s v="Primaria"/>
    <s v="6 Primaria"/>
    <s v="86809"/>
    <s v="Rural"/>
    <s v="Femenino"/>
    <x v="0"/>
  </r>
  <r>
    <n v="7"/>
    <x v="4"/>
    <s v="Primaria"/>
    <s v="6 Primaria"/>
    <s v="86809"/>
    <s v="Rural"/>
    <s v="Femenino"/>
    <x v="0"/>
  </r>
  <r>
    <n v="8"/>
    <x v="4"/>
    <s v="Primaria"/>
    <s v="2 Primaria"/>
    <s v="86548 JOSE MARIA VELAZ"/>
    <s v="Rural"/>
    <s v="Masculino"/>
    <x v="0"/>
  </r>
  <r>
    <n v="9"/>
    <x v="4"/>
    <s v="Primaria"/>
    <s v="2 Primaria"/>
    <s v="86548 JOSE MARIA VELAZ"/>
    <s v="Rural"/>
    <s v="Femenino"/>
    <x v="0"/>
  </r>
  <r>
    <n v="10"/>
    <x v="4"/>
    <s v="Primaria"/>
    <s v="2 Primaria"/>
    <s v="86548 JOSE MARIA VELAZ"/>
    <s v="Rural"/>
    <s v="Femenino"/>
    <x v="0"/>
  </r>
  <r>
    <n v="12"/>
    <x v="4"/>
    <s v="Primaria"/>
    <s v="2 Primaria"/>
    <s v="86548 JOSE MARIA VELAZ"/>
    <s v="Rural"/>
    <s v="Masculino"/>
    <x v="0"/>
  </r>
  <r>
    <n v="13"/>
    <x v="4"/>
    <s v="Primaria"/>
    <s v="2 Primaria"/>
    <s v="86548 JOSE MARIA VELAZ"/>
    <s v="Rural"/>
    <s v="Masculino"/>
    <x v="0"/>
  </r>
  <r>
    <n v="14"/>
    <x v="4"/>
    <s v="Primaria"/>
    <s v="2 Primaria"/>
    <s v="86548 JOSE MARIA VELAZ"/>
    <s v="Rural"/>
    <s v="Masculino"/>
    <x v="0"/>
  </r>
  <r>
    <n v="15"/>
    <x v="4"/>
    <s v="Primaria"/>
    <s v="2 Primaria"/>
    <s v="86548 JOSE MARIA VELAZ"/>
    <s v="Rural"/>
    <s v="Femenino"/>
    <x v="0"/>
  </r>
  <r>
    <n v="16"/>
    <x v="4"/>
    <s v="Primaria"/>
    <s v="2 Primaria"/>
    <s v="86548 JOSE MARIA VELAZ"/>
    <s v="Rural"/>
    <s v="Femenino"/>
    <x v="0"/>
  </r>
  <r>
    <n v="17"/>
    <x v="4"/>
    <s v="Primaria"/>
    <s v="2 Primaria"/>
    <s v="86548 JOSE MARIA VELAZ"/>
    <s v="Rural"/>
    <s v="Femenino"/>
    <x v="0"/>
  </r>
  <r>
    <n v="18"/>
    <x v="4"/>
    <s v="Primaria"/>
    <s v="2 Primaria"/>
    <s v="86548 JOSE MARIA VELAZ"/>
    <s v="Rural"/>
    <s v="Masculino"/>
    <x v="0"/>
  </r>
  <r>
    <n v="19"/>
    <x v="4"/>
    <s v="Primaria"/>
    <s v="2 Primaria"/>
    <s v="86548 JOSE MARIA VELAZ"/>
    <s v="Rural"/>
    <s v="Masculino"/>
    <x v="0"/>
  </r>
  <r>
    <n v="20"/>
    <x v="4"/>
    <s v="Primaria"/>
    <s v="2 Primaria"/>
    <s v="86548 JOSE MARIA VELAZ"/>
    <s v="Rural"/>
    <s v="Masculino"/>
    <x v="0"/>
  </r>
  <r>
    <n v="21"/>
    <x v="4"/>
    <s v="Primaria"/>
    <s v="2 Primaria"/>
    <s v="86548 JOSE MARIA VELAZ"/>
    <s v="Rural"/>
    <s v="Masculino"/>
    <x v="0"/>
  </r>
  <r>
    <n v="22"/>
    <x v="4"/>
    <s v="Primaria"/>
    <s v="2 Primaria"/>
    <s v="86548 JOSE MARIA VELAZ"/>
    <s v="Rural"/>
    <s v="Femenino"/>
    <x v="0"/>
  </r>
  <r>
    <n v="23"/>
    <x v="4"/>
    <s v="Primaria"/>
    <s v="2 Primaria"/>
    <s v="86548 JOSE MARIA VELAZ"/>
    <s v="Rural"/>
    <s v="Masculino"/>
    <x v="0"/>
  </r>
  <r>
    <n v="24"/>
    <x v="4"/>
    <s v="Primaria"/>
    <s v="4 Primaria"/>
    <s v="86548 JOSE MARIA VELAZ"/>
    <s v="Rural"/>
    <s v="Masculino"/>
    <x v="0"/>
  </r>
  <r>
    <n v="25"/>
    <x v="4"/>
    <s v="Primaria"/>
    <s v="4 Primaria"/>
    <s v="86548 JOSE MARIA VELAZ"/>
    <s v="Rural"/>
    <s v="Femenino"/>
    <x v="0"/>
  </r>
  <r>
    <n v="26"/>
    <x v="4"/>
    <s v="Primaria"/>
    <s v="4 Primaria"/>
    <s v="86548 JOSE MARIA VELAZ"/>
    <s v="Rural"/>
    <s v="Femenino"/>
    <x v="0"/>
  </r>
  <r>
    <n v="27"/>
    <x v="4"/>
    <s v="Primaria"/>
    <s v="4 Primaria"/>
    <s v="86548 JOSE MARIA VELAZ"/>
    <s v="Rural"/>
    <s v="Masculino"/>
    <x v="0"/>
  </r>
  <r>
    <n v="28"/>
    <x v="4"/>
    <s v="Primaria"/>
    <s v="4 Primaria"/>
    <s v="86548 JOSE MARIA VELAZ"/>
    <s v="Rural"/>
    <s v="Masculino"/>
    <x v="0"/>
  </r>
  <r>
    <n v="29"/>
    <x v="4"/>
    <s v="Primaria"/>
    <s v="4 Primaria"/>
    <s v="86548 JOSE MARIA VELAZ"/>
    <s v="Rural"/>
    <s v="Masculino"/>
    <x v="0"/>
  </r>
  <r>
    <n v="30"/>
    <x v="4"/>
    <s v="Primaria"/>
    <s v="6 Primaria"/>
    <s v="86548 JOSE MARIA VELAZ"/>
    <s v="Rural"/>
    <s v="Femenino"/>
    <x v="0"/>
  </r>
  <r>
    <n v="31"/>
    <x v="4"/>
    <s v="Primaria"/>
    <s v="6 Primaria"/>
    <s v="86548 JOSE MARIA VELAZ"/>
    <s v="Rural"/>
    <s v="Femenino"/>
    <x v="0"/>
  </r>
  <r>
    <n v="32"/>
    <x v="4"/>
    <s v="Primaria"/>
    <s v="6 Primaria"/>
    <s v="86548 JOSE MARIA VELAZ"/>
    <s v="Rural"/>
    <s v="Femenino"/>
    <x v="0"/>
  </r>
  <r>
    <n v="33"/>
    <x v="4"/>
    <s v="Primaria"/>
    <s v="6 Primaria"/>
    <s v="86548 JOSE MARIA VELAZ"/>
    <s v="Rural"/>
    <s v="Masculino"/>
    <x v="0"/>
  </r>
  <r>
    <n v="34"/>
    <x v="4"/>
    <s v="Primaria"/>
    <s v="6 Primaria"/>
    <s v="86548 JOSE MARIA VELAZ"/>
    <s v="Rural"/>
    <s v="Masculino"/>
    <x v="0"/>
  </r>
  <r>
    <n v="35"/>
    <x v="4"/>
    <s v="Primaria"/>
    <s v="6 Primaria"/>
    <s v="86548 JOSE MARIA VELAZ"/>
    <s v="Rural"/>
    <s v="Masculino"/>
    <x v="0"/>
  </r>
  <r>
    <n v="36"/>
    <x v="4"/>
    <s v="Primaria"/>
    <s v="6 Primaria"/>
    <s v="86548 JOSE MARIA VELAZ"/>
    <s v="Rural"/>
    <s v="Femenino"/>
    <x v="0"/>
  </r>
  <r>
    <n v="37"/>
    <x v="4"/>
    <s v="Primaria"/>
    <s v="6 Primaria"/>
    <s v="86548 JOSE MARIA VELAZ"/>
    <s v="Rural"/>
    <s v="Masculino"/>
    <x v="0"/>
  </r>
  <r>
    <n v="38"/>
    <x v="4"/>
    <s v="Primaria"/>
    <s v="6 Primaria"/>
    <s v="86548 JOSE MARIA VELAZ"/>
    <s v="Rural"/>
    <s v="Femenino"/>
    <x v="0"/>
  </r>
  <r>
    <n v="39"/>
    <x v="4"/>
    <s v="Primaria"/>
    <s v="6 Primaria"/>
    <s v="86548 JOSE MARIA VELAZ"/>
    <s v="Rural"/>
    <s v="Femenino"/>
    <x v="0"/>
  </r>
  <r>
    <n v="40"/>
    <x v="4"/>
    <s v="Primaria"/>
    <s v="6 Primaria"/>
    <s v="86548 JOSE MARIA VELAZ"/>
    <s v="Rural"/>
    <s v="Femenino"/>
    <x v="0"/>
  </r>
  <r>
    <n v="41"/>
    <x v="4"/>
    <s v="Primaria"/>
    <s v="6 Primaria"/>
    <s v="86548 JOSE MARIA VELAZ"/>
    <s v="Rural"/>
    <s v="Masculino"/>
    <x v="0"/>
  </r>
  <r>
    <n v="42"/>
    <x v="4"/>
    <s v="Secundaria"/>
    <s v="2 Secundaria"/>
    <s v="86548 JOSE MARIA VELAZ"/>
    <s v="Rural"/>
    <s v="Masculino"/>
    <x v="0"/>
  </r>
  <r>
    <n v="43"/>
    <x v="4"/>
    <s v="Secundaria"/>
    <s v="2 Secundaria"/>
    <s v="86548 JOSE MARIA VELAZ"/>
    <s v="Rural"/>
    <s v="Masculino"/>
    <x v="0"/>
  </r>
  <r>
    <n v="44"/>
    <x v="4"/>
    <s v="Secundaria"/>
    <s v="2 Secundaria"/>
    <s v="86548 JOSE MARIA VELAZ"/>
    <s v="Rural"/>
    <s v="Femenino"/>
    <x v="0"/>
  </r>
  <r>
    <n v="45"/>
    <x v="4"/>
    <s v="Secundaria"/>
    <s v="2 Secundaria"/>
    <s v="86548 JOSE MARIA VELAZ"/>
    <s v="Rural"/>
    <s v="Masculino"/>
    <x v="0"/>
  </r>
  <r>
    <n v="46"/>
    <x v="4"/>
    <s v="Secundaria"/>
    <s v="2 Secundaria"/>
    <s v="86548 JOSE MARIA VELAZ"/>
    <s v="Rural"/>
    <s v="Femenino"/>
    <x v="0"/>
  </r>
  <r>
    <n v="47"/>
    <x v="4"/>
    <s v="Secundaria"/>
    <s v="2 Secundaria"/>
    <s v="86548 JOSE MARIA VELAZ"/>
    <s v="Rural"/>
    <s v="Femenino"/>
    <x v="0"/>
  </r>
  <r>
    <n v="50"/>
    <x v="4"/>
    <s v="Secundaria"/>
    <s v="2 Secundaria"/>
    <s v="86548 JOSE MARIA VELAZ"/>
    <s v="Rural"/>
    <s v="Masculino"/>
    <x v="0"/>
  </r>
  <r>
    <n v="51"/>
    <x v="4"/>
    <s v="Secundaria"/>
    <s v="2 Secundaria"/>
    <s v="86548 JOSE MARIA VELAZ"/>
    <s v="Rural"/>
    <s v="Masculino"/>
    <x v="0"/>
  </r>
  <r>
    <n v="52"/>
    <x v="4"/>
    <s v="Secundaria"/>
    <s v="2 Secundaria"/>
    <s v="86548 JOSE MARIA VELAZ"/>
    <s v="Rural"/>
    <s v="Masculino"/>
    <x v="0"/>
  </r>
  <r>
    <n v="53"/>
    <x v="4"/>
    <s v="Secundaria"/>
    <s v="2 Secundaria"/>
    <s v="86548 JOSE MARIA VELAZ"/>
    <s v="Rural"/>
    <s v="Femenino"/>
    <x v="0"/>
  </r>
  <r>
    <n v="55"/>
    <x v="4"/>
    <s v="Secundaria"/>
    <s v="2 Secundaria"/>
    <s v="86548 JOSE MARIA VELAZ"/>
    <s v="Rural"/>
    <s v="Masculino"/>
    <x v="0"/>
  </r>
  <r>
    <n v="57"/>
    <x v="4"/>
    <s v="Secundaria"/>
    <s v="2 Secundaria"/>
    <s v="86548 JOSE MARIA VELAZ"/>
    <s v="Rural"/>
    <s v="Masculino"/>
    <x v="0"/>
  </r>
  <r>
    <n v="59"/>
    <x v="4"/>
    <s v="Secundaria"/>
    <s v="2 Secundaria"/>
    <s v="86548 JOSE MARIA VELAZ"/>
    <s v="Rural"/>
    <s v="Masculino"/>
    <x v="0"/>
  </r>
  <r>
    <n v="60"/>
    <x v="4"/>
    <s v="Secundaria"/>
    <s v="2 Secundaria"/>
    <s v="86548 JOSE MARIA VELAZ"/>
    <s v="Rural"/>
    <s v="Femenino"/>
    <x v="0"/>
  </r>
  <r>
    <n v="61"/>
    <x v="4"/>
    <s v="Secundaria"/>
    <s v="2 Secundaria"/>
    <s v="86548 JOSE MARIA VELAZ"/>
    <s v="Rural"/>
    <s v="Femenino"/>
    <x v="0"/>
  </r>
  <r>
    <n v="62"/>
    <x v="4"/>
    <s v="Secundaria"/>
    <s v="2 Secundaria"/>
    <s v="86548 JOSE MARIA VELAZ"/>
    <s v="Rural"/>
    <s v="Femenino"/>
    <x v="0"/>
  </r>
  <r>
    <n v="63"/>
    <x v="4"/>
    <s v="Secundaria"/>
    <s v="2 Secundaria"/>
    <s v="86548 JOSE MARIA VELAZ"/>
    <s v="Rural"/>
    <s v="Masculino"/>
    <x v="0"/>
  </r>
  <r>
    <n v="64"/>
    <x v="4"/>
    <s v="Secundaria"/>
    <s v="2 Secundaria"/>
    <s v="86548 JOSE MARIA VELAZ"/>
    <s v="Rural"/>
    <s v="Masculino"/>
    <x v="0"/>
  </r>
  <r>
    <n v="65"/>
    <x v="4"/>
    <s v="Secundaria"/>
    <s v="2 Secundaria"/>
    <s v="86548 JOSE MARIA VELAZ"/>
    <s v="Rural"/>
    <s v="Femenino"/>
    <x v="0"/>
  </r>
  <r>
    <n v="66"/>
    <x v="4"/>
    <s v="Secundaria"/>
    <s v="2 Secundaria"/>
    <s v="86548 JOSE MARIA VELAZ"/>
    <s v="Rural"/>
    <s v="Masculino"/>
    <x v="0"/>
  </r>
  <r>
    <n v="67"/>
    <x v="4"/>
    <s v="Secundaria"/>
    <s v="4 Secundaria"/>
    <s v="86548 JOSE MARIA VELAZ"/>
    <s v="Rural"/>
    <s v="Femenino"/>
    <x v="0"/>
  </r>
  <r>
    <n v="68"/>
    <x v="4"/>
    <s v="Secundaria"/>
    <s v="4 Secundaria"/>
    <s v="86548 JOSE MARIA VELAZ"/>
    <s v="Rural"/>
    <s v="Femenino"/>
    <x v="0"/>
  </r>
  <r>
    <n v="69"/>
    <x v="4"/>
    <s v="Secundaria"/>
    <s v="4 Secundaria"/>
    <s v="86548 JOSE MARIA VELAZ"/>
    <s v="Rural"/>
    <s v="Masculino"/>
    <x v="0"/>
  </r>
  <r>
    <n v="70"/>
    <x v="4"/>
    <s v="Secundaria"/>
    <s v="4 Secundaria"/>
    <s v="86548 JOSE MARIA VELAZ"/>
    <s v="Rural"/>
    <s v="Femenino"/>
    <x v="0"/>
  </r>
  <r>
    <n v="72"/>
    <x v="4"/>
    <s v="Secundaria"/>
    <s v="4 Secundaria"/>
    <s v="86548 JOSE MARIA VELAZ"/>
    <s v="Rural"/>
    <s v="Femenino"/>
    <x v="0"/>
  </r>
  <r>
    <n v="73"/>
    <x v="4"/>
    <s v="Secundaria"/>
    <s v="4 Secundaria"/>
    <s v="86548 JOSE MARIA VELAZ"/>
    <s v="Rural"/>
    <s v="Masculino"/>
    <x v="0"/>
  </r>
  <r>
    <n v="74"/>
    <x v="4"/>
    <s v="Secundaria"/>
    <s v="4 Secundaria"/>
    <s v="86548 JOSE MARIA VELAZ"/>
    <s v="Rural"/>
    <s v="Masculino"/>
    <x v="0"/>
  </r>
  <r>
    <n v="75"/>
    <x v="4"/>
    <s v="Secundaria"/>
    <s v="4 Secundaria"/>
    <s v="86548 JOSE MARIA VELAZ"/>
    <s v="Rural"/>
    <s v="Femenino"/>
    <x v="0"/>
  </r>
  <r>
    <n v="77"/>
    <x v="4"/>
    <s v="Secundaria"/>
    <s v="4 Secundaria"/>
    <s v="86548 JOSE MARIA VELAZ"/>
    <s v="Rural"/>
    <s v="Femenino"/>
    <x v="0"/>
  </r>
  <r>
    <n v="78"/>
    <x v="4"/>
    <s v="Secundaria"/>
    <s v="4 Secundaria"/>
    <s v="86548 JOSE MARIA VELAZ"/>
    <s v="Rural"/>
    <s v="Masculino"/>
    <x v="0"/>
  </r>
  <r>
    <n v="80"/>
    <x v="4"/>
    <s v="Secundaria"/>
    <s v="4 Secundaria"/>
    <s v="86548 JOSE MARIA VELAZ"/>
    <s v="Rural"/>
    <s v="Masculino"/>
    <x v="0"/>
  </r>
  <r>
    <n v="81"/>
    <x v="4"/>
    <s v="Secundaria"/>
    <s v="4 Secundaria"/>
    <s v="86548 JOSE MARIA VELAZ"/>
    <s v="Rural"/>
    <s v="Masculino"/>
    <x v="0"/>
  </r>
  <r>
    <n v="82"/>
    <x v="4"/>
    <s v="Secundaria"/>
    <s v="4 Secundaria"/>
    <s v="86548 JOSE MARIA VELAZ"/>
    <s v="Rural"/>
    <s v="Femenino"/>
    <x v="0"/>
  </r>
  <r>
    <n v="84"/>
    <x v="4"/>
    <s v="Secundaria"/>
    <s v="4 Secundaria"/>
    <s v="86548 JOSE MARIA VELAZ"/>
    <s v="Rural"/>
    <s v="Femenino"/>
    <x v="0"/>
  </r>
  <r>
    <n v="85"/>
    <x v="4"/>
    <s v="Secundaria"/>
    <s v="4 Secundaria"/>
    <s v="86548 JOSE MARIA VELAZ"/>
    <s v="Rural"/>
    <s v="Masculino"/>
    <x v="0"/>
  </r>
  <r>
    <n v="87"/>
    <x v="4"/>
    <s v="Secundaria"/>
    <s v="4 Secundaria"/>
    <s v="86548 JOSE MARIA VELAZ"/>
    <s v="Rural"/>
    <s v="Femenino"/>
    <x v="0"/>
  </r>
  <r>
    <n v="88"/>
    <x v="4"/>
    <s v="Secundaria"/>
    <s v="4 Secundaria"/>
    <s v="86548 JOSE MARIA VELAZ"/>
    <s v="Rural"/>
    <s v="Masculino"/>
    <x v="0"/>
  </r>
  <r>
    <n v="89"/>
    <x v="4"/>
    <s v="Secundaria"/>
    <s v="4 Secundaria"/>
    <s v="86548 JOSE MARIA VELAZ"/>
    <s v="Rural"/>
    <s v="Masculino"/>
    <x v="0"/>
  </r>
  <r>
    <n v="90"/>
    <x v="4"/>
    <s v="Secundaria"/>
    <s v="4 Secundaria"/>
    <s v="86548 JOSE MARIA VELAZ"/>
    <s v="Rural"/>
    <s v="Femenino"/>
    <x v="0"/>
  </r>
  <r>
    <n v="91"/>
    <x v="4"/>
    <s v="Secundaria"/>
    <s v="4 Secundaria"/>
    <s v="86548 JOSE MARIA VELAZ"/>
    <s v="Rural"/>
    <s v="Masculino"/>
    <x v="0"/>
  </r>
  <r>
    <n v="92"/>
    <x v="4"/>
    <s v="Secundaria"/>
    <s v="4 Secundaria"/>
    <s v="86548 JOSE MARIA VELAZ"/>
    <s v="Rural"/>
    <s v="Femenino"/>
    <x v="0"/>
  </r>
  <r>
    <n v="94"/>
    <x v="4"/>
    <s v="Primaria"/>
    <s v="2 Primaria"/>
    <s v="88327"/>
    <s v="Rural"/>
    <s v="Masculino"/>
    <x v="0"/>
  </r>
  <r>
    <n v="95"/>
    <x v="4"/>
    <s v="Primaria"/>
    <s v="2 Primaria"/>
    <s v="88327"/>
    <s v="Rural"/>
    <s v="Femenino"/>
    <x v="0"/>
  </r>
  <r>
    <n v="96"/>
    <x v="4"/>
    <s v="Primaria"/>
    <s v="2 Primaria"/>
    <s v="88327"/>
    <s v="Rural"/>
    <s v="Masculino"/>
    <x v="0"/>
  </r>
  <r>
    <n v="97"/>
    <x v="4"/>
    <s v="Primaria"/>
    <s v="2 Primaria"/>
    <s v="88327"/>
    <s v="Rural"/>
    <s v="Femenino"/>
    <x v="0"/>
  </r>
  <r>
    <n v="98"/>
    <x v="4"/>
    <s v="Primaria"/>
    <s v="4 Primaria"/>
    <s v="88327"/>
    <s v="Rural"/>
    <s v="Masculino"/>
    <x v="0"/>
  </r>
  <r>
    <n v="99"/>
    <x v="4"/>
    <s v="Primaria"/>
    <s v="4 Primaria"/>
    <s v="88327"/>
    <s v="Rural"/>
    <s v="Masculino"/>
    <x v="0"/>
  </r>
  <r>
    <n v="100"/>
    <x v="4"/>
    <s v="Primaria"/>
    <s v="4 Primaria"/>
    <s v="88327"/>
    <s v="Rural"/>
    <s v="Femenino"/>
    <x v="0"/>
  </r>
  <r>
    <n v="101"/>
    <x v="4"/>
    <s v="Primaria"/>
    <s v="4 Primaria"/>
    <s v="88327"/>
    <s v="Rural"/>
    <s v="Masculino"/>
    <x v="0"/>
  </r>
  <r>
    <n v="102"/>
    <x v="4"/>
    <s v="Primaria"/>
    <s v="4 Primaria"/>
    <s v="88327"/>
    <s v="Rural"/>
    <s v="Masculino"/>
    <x v="0"/>
  </r>
  <r>
    <n v="103"/>
    <x v="4"/>
    <s v="Primaria"/>
    <s v="4 Primaria"/>
    <s v="88327"/>
    <s v="Rural"/>
    <s v="Masculino"/>
    <x v="0"/>
  </r>
  <r>
    <n v="104"/>
    <x v="4"/>
    <s v="Primaria"/>
    <s v="4 Primaria"/>
    <s v="88327"/>
    <s v="Rural"/>
    <s v="Femenino"/>
    <x v="0"/>
  </r>
  <r>
    <n v="105"/>
    <x v="4"/>
    <s v="Primaria"/>
    <s v="6 Primaria"/>
    <s v="88327"/>
    <s v="Rural"/>
    <s v="Femenino"/>
    <x v="0"/>
  </r>
  <r>
    <n v="106"/>
    <x v="4"/>
    <s v="Primaria"/>
    <s v="6 Primaria"/>
    <s v="88327"/>
    <s v="Rural"/>
    <s v="Masculino"/>
    <x v="0"/>
  </r>
  <r>
    <n v="107"/>
    <x v="4"/>
    <s v="Primaria"/>
    <s v="6 Primaria"/>
    <s v="88327"/>
    <s v="Rural"/>
    <s v="Femenino"/>
    <x v="0"/>
  </r>
  <r>
    <n v="108"/>
    <x v="4"/>
    <s v="Primaria"/>
    <s v="2 Primaria"/>
    <s v="88247 SAN ENRIQUE"/>
    <s v="Rural"/>
    <s v="Masculino"/>
    <x v="0"/>
  </r>
  <r>
    <n v="109"/>
    <x v="4"/>
    <s v="Primaria"/>
    <s v="2 Primaria"/>
    <s v="88247 SAN ENRIQUE"/>
    <s v="Rural"/>
    <s v="Femenino"/>
    <x v="0"/>
  </r>
  <r>
    <n v="110"/>
    <x v="4"/>
    <s v="Primaria"/>
    <s v="2 Primaria"/>
    <s v="88247 SAN ENRIQUE"/>
    <s v="Rural"/>
    <s v="Masculino"/>
    <x v="0"/>
  </r>
  <r>
    <n v="111"/>
    <x v="4"/>
    <s v="Primaria"/>
    <s v="2 Primaria"/>
    <s v="88247 SAN ENRIQUE"/>
    <s v="Rural"/>
    <s v="Femenino"/>
    <x v="0"/>
  </r>
  <r>
    <n v="112"/>
    <x v="4"/>
    <s v="Primaria"/>
    <s v="2 Primaria"/>
    <s v="88247 SAN ENRIQUE"/>
    <s v="Rural"/>
    <s v="Masculino"/>
    <x v="0"/>
  </r>
  <r>
    <n v="113"/>
    <x v="4"/>
    <s v="Primaria"/>
    <s v="2 Primaria"/>
    <s v="88247 SAN ENRIQUE"/>
    <s v="Rural"/>
    <s v="Femenino"/>
    <x v="0"/>
  </r>
  <r>
    <n v="114"/>
    <x v="4"/>
    <s v="Primaria"/>
    <s v="4 Primaria"/>
    <s v="88247 SAN ENRIQUE"/>
    <s v="Rural"/>
    <s v="Femenino"/>
    <x v="0"/>
  </r>
  <r>
    <n v="115"/>
    <x v="4"/>
    <s v="Primaria"/>
    <s v="4 Primaria"/>
    <s v="88247 SAN ENRIQUE"/>
    <s v="Rural"/>
    <s v="Femenino"/>
    <x v="0"/>
  </r>
  <r>
    <n v="116"/>
    <x v="4"/>
    <s v="Primaria"/>
    <s v="4 Primaria"/>
    <s v="88247 SAN ENRIQUE"/>
    <s v="Rural"/>
    <s v="Femenino"/>
    <x v="0"/>
  </r>
  <r>
    <n v="117"/>
    <x v="4"/>
    <s v="Primaria"/>
    <s v="4 Primaria"/>
    <s v="88247 SAN ENRIQUE"/>
    <s v="Rural"/>
    <s v="Masculino"/>
    <x v="0"/>
  </r>
  <r>
    <n v="118"/>
    <x v="4"/>
    <s v="Primaria"/>
    <s v="4 Primaria"/>
    <s v="88247 SAN ENRIQUE"/>
    <s v="Rural"/>
    <s v="Femenino"/>
    <x v="0"/>
  </r>
  <r>
    <n v="119"/>
    <x v="4"/>
    <s v="Primaria"/>
    <s v="4 Primaria"/>
    <s v="88247 SAN ENRIQUE"/>
    <s v="Rural"/>
    <s v="Femenino"/>
    <x v="0"/>
  </r>
  <r>
    <n v="120"/>
    <x v="4"/>
    <s v="Primaria"/>
    <s v="4 Primaria"/>
    <s v="88247 SAN ENRIQUE"/>
    <s v="Rural"/>
    <s v="Femenino"/>
    <x v="0"/>
  </r>
  <r>
    <n v="121"/>
    <x v="4"/>
    <s v="Primaria"/>
    <s v="4 Primaria"/>
    <s v="88247 SAN ENRIQUE"/>
    <s v="Rural"/>
    <s v="Femenino"/>
    <x v="0"/>
  </r>
  <r>
    <n v="123"/>
    <x v="4"/>
    <s v="Primaria"/>
    <s v="6 Primaria"/>
    <s v="88247 SAN ENRIQUE"/>
    <s v="Rural"/>
    <s v="Femenino"/>
    <x v="0"/>
  </r>
  <r>
    <n v="124"/>
    <x v="4"/>
    <s v="Primaria"/>
    <s v="6 Primaria"/>
    <s v="88247 SAN ENRIQUE"/>
    <s v="Rural"/>
    <s v="Femenino"/>
    <x v="0"/>
  </r>
  <r>
    <n v="125"/>
    <x v="4"/>
    <s v="Primaria"/>
    <s v="6 Primaria"/>
    <s v="88247 SAN ENRIQUE"/>
    <s v="Rural"/>
    <s v="Femenino"/>
    <x v="0"/>
  </r>
  <r>
    <n v="126"/>
    <x v="4"/>
    <s v="Primaria"/>
    <s v="6 Primaria"/>
    <s v="88247 SAN ENRIQUE"/>
    <s v="Rural"/>
    <s v="Femenino"/>
    <x v="0"/>
  </r>
  <r>
    <n v="127"/>
    <x v="4"/>
    <s v="Primaria"/>
    <s v="6 Primaria"/>
    <s v="88247 SAN ENRIQUE"/>
    <s v="Rural"/>
    <s v="Masculino"/>
    <x v="0"/>
  </r>
  <r>
    <n v="128"/>
    <x v="4"/>
    <s v="Primaria"/>
    <s v="2 Primaria"/>
    <s v="86769 ABRAHAM VALDELOMAR"/>
    <s v="Rural"/>
    <s v="Femenino"/>
    <x v="0"/>
  </r>
  <r>
    <n v="129"/>
    <x v="4"/>
    <s v="Primaria"/>
    <s v="2 Primaria"/>
    <s v="86769 ABRAHAM VALDELOMAR"/>
    <s v="Rural"/>
    <s v="Femenino"/>
    <x v="0"/>
  </r>
  <r>
    <n v="130"/>
    <x v="4"/>
    <s v="Primaria"/>
    <s v="2 Primaria"/>
    <s v="86769 ABRAHAM VALDELOMAR"/>
    <s v="Rural"/>
    <s v="Femenino"/>
    <x v="0"/>
  </r>
  <r>
    <n v="131"/>
    <x v="4"/>
    <s v="Primaria"/>
    <s v="2 Primaria"/>
    <s v="86769 ABRAHAM VALDELOMAR"/>
    <s v="Rural"/>
    <s v="Femenino"/>
    <x v="0"/>
  </r>
  <r>
    <n v="132"/>
    <x v="4"/>
    <s v="Primaria"/>
    <s v="2 Primaria"/>
    <s v="86769 ABRAHAM VALDELOMAR"/>
    <s v="Rural"/>
    <s v="Masculino"/>
    <x v="0"/>
  </r>
  <r>
    <n v="133"/>
    <x v="4"/>
    <s v="Primaria"/>
    <s v="2 Primaria"/>
    <s v="86769 ABRAHAM VALDELOMAR"/>
    <s v="Rural"/>
    <s v="Masculino"/>
    <x v="0"/>
  </r>
  <r>
    <n v="134"/>
    <x v="4"/>
    <s v="Primaria"/>
    <s v="2 Primaria"/>
    <s v="86769 ABRAHAM VALDELOMAR"/>
    <s v="Rural"/>
    <s v="Masculino"/>
    <x v="0"/>
  </r>
  <r>
    <n v="135"/>
    <x v="4"/>
    <s v="Primaria"/>
    <s v="4 Primaria"/>
    <s v="86769 ABRAHAM VALDELOMAR"/>
    <s v="Rural"/>
    <s v="Femenino"/>
    <x v="0"/>
  </r>
  <r>
    <n v="136"/>
    <x v="4"/>
    <s v="Primaria"/>
    <s v="4 Primaria"/>
    <s v="86769 ABRAHAM VALDELOMAR"/>
    <s v="Rural"/>
    <s v="Masculino"/>
    <x v="0"/>
  </r>
  <r>
    <n v="137"/>
    <x v="4"/>
    <s v="Primaria"/>
    <s v="4 Primaria"/>
    <s v="86769 ABRAHAM VALDELOMAR"/>
    <s v="Rural"/>
    <s v="Masculino"/>
    <x v="0"/>
  </r>
  <r>
    <n v="138"/>
    <x v="4"/>
    <s v="Primaria"/>
    <s v="4 Primaria"/>
    <s v="86769 ABRAHAM VALDELOMAR"/>
    <s v="Rural"/>
    <s v="Femenino"/>
    <x v="0"/>
  </r>
  <r>
    <n v="139"/>
    <x v="4"/>
    <s v="Primaria"/>
    <s v="4 Primaria"/>
    <s v="86769 ABRAHAM VALDELOMAR"/>
    <s v="Rural"/>
    <s v="Femenino"/>
    <x v="0"/>
  </r>
  <r>
    <n v="140"/>
    <x v="4"/>
    <s v="Primaria"/>
    <s v="6 Primaria"/>
    <s v="86769 ABRAHAM VALDELOMAR"/>
    <s v="Rural"/>
    <s v="Masculino"/>
    <x v="0"/>
  </r>
  <r>
    <n v="141"/>
    <x v="4"/>
    <s v="Primaria"/>
    <s v="6 Primaria"/>
    <s v="86769 ABRAHAM VALDELOMAR"/>
    <s v="Rural"/>
    <s v="Masculino"/>
    <x v="0"/>
  </r>
  <r>
    <n v="142"/>
    <x v="4"/>
    <s v="Primaria"/>
    <s v="6 Primaria"/>
    <s v="86769 ABRAHAM VALDELOMAR"/>
    <s v="Rural"/>
    <s v="Masculino"/>
    <x v="0"/>
  </r>
  <r>
    <n v="143"/>
    <x v="4"/>
    <s v="Primaria"/>
    <s v="6 Primaria"/>
    <s v="86769 ABRAHAM VALDELOMAR"/>
    <s v="Rural"/>
    <s v="Masculino"/>
    <x v="0"/>
  </r>
  <r>
    <n v="144"/>
    <x v="4"/>
    <s v="Primaria"/>
    <s v="6 Primaria"/>
    <s v="86769 ABRAHAM VALDELOMAR"/>
    <s v="Rural"/>
    <s v="Femenino"/>
    <x v="0"/>
  </r>
  <r>
    <n v="145"/>
    <x v="4"/>
    <s v="Secundaria"/>
    <s v="2 Secundaria"/>
    <s v="86769 ABRAHAM VALDELOMAR"/>
    <s v="Rural"/>
    <s v="Femenino"/>
    <x v="0"/>
  </r>
  <r>
    <n v="146"/>
    <x v="4"/>
    <s v="Secundaria"/>
    <s v="2 Secundaria"/>
    <s v="86769 ABRAHAM VALDELOMAR"/>
    <s v="Rural"/>
    <s v="Masculino"/>
    <x v="0"/>
  </r>
  <r>
    <n v="147"/>
    <x v="4"/>
    <s v="Secundaria"/>
    <s v="2 Secundaria"/>
    <s v="86769 ABRAHAM VALDELOMAR"/>
    <s v="Rural"/>
    <s v="Femenino"/>
    <x v="0"/>
  </r>
  <r>
    <n v="148"/>
    <x v="4"/>
    <s v="Secundaria"/>
    <s v="2 Secundaria"/>
    <s v="86769 ABRAHAM VALDELOMAR"/>
    <s v="Rural"/>
    <s v="Femenino"/>
    <x v="0"/>
  </r>
  <r>
    <n v="150"/>
    <x v="4"/>
    <s v="Secundaria"/>
    <s v="4 Secundaria"/>
    <s v="86769 ABRAHAM VALDELOMAR"/>
    <s v="Rural"/>
    <s v="Femenino"/>
    <x v="0"/>
  </r>
  <r>
    <n v="151"/>
    <x v="4"/>
    <s v="Secundaria"/>
    <s v="4 Secundaria"/>
    <s v="86769 ABRAHAM VALDELOMAR"/>
    <s v="Rural"/>
    <s v="Femenino"/>
    <x v="0"/>
  </r>
  <r>
    <n v="152"/>
    <x v="4"/>
    <s v="Secundaria"/>
    <s v="4 Secundaria"/>
    <s v="86769 ABRAHAM VALDELOMAR"/>
    <s v="Rural"/>
    <s v="Masculino"/>
    <x v="0"/>
  </r>
  <r>
    <n v="153"/>
    <x v="4"/>
    <s v="Secundaria"/>
    <s v="4 Secundaria"/>
    <s v="86769 ABRAHAM VALDELOMAR"/>
    <s v="Rural"/>
    <s v="Femenino"/>
    <x v="0"/>
  </r>
  <r>
    <n v="154"/>
    <x v="4"/>
    <s v="Secundaria"/>
    <s v="4 Secundaria"/>
    <s v="86769 ABRAHAM VALDELOMAR"/>
    <s v="Rural"/>
    <s v="Masculino"/>
    <x v="0"/>
  </r>
  <r>
    <n v="1"/>
    <x v="5"/>
    <s v="Secundaria"/>
    <s v="2 Secundaria"/>
    <s v="501432 PAPA FRANCISCO I"/>
    <s v="Rural"/>
    <s v="Femenino"/>
    <x v="1"/>
  </r>
  <r>
    <n v="2"/>
    <x v="5"/>
    <s v="Secundaria"/>
    <s v="2 Secundaria"/>
    <s v="501432 PAPA FRANCISCO I"/>
    <s v="Rural"/>
    <s v="Masculino"/>
    <x v="1"/>
  </r>
  <r>
    <n v="3"/>
    <x v="5"/>
    <s v="Secundaria"/>
    <s v="2 Secundaria"/>
    <s v="501432 PAPA FRANCISCO I"/>
    <s v="Rural"/>
    <s v="Femenino"/>
    <x v="0"/>
  </r>
  <r>
    <n v="4"/>
    <x v="5"/>
    <s v="Secundaria"/>
    <s v="2 Secundaria"/>
    <s v="501432 PAPA FRANCISCO I"/>
    <s v="Rural"/>
    <s v="Masculino"/>
    <x v="1"/>
  </r>
  <r>
    <n v="5"/>
    <x v="5"/>
    <s v="Secundaria"/>
    <s v="2 Secundaria"/>
    <s v="501432 PAPA FRANCISCO I"/>
    <s v="Rural"/>
    <s v="Femenino"/>
    <x v="0"/>
  </r>
  <r>
    <n v="6"/>
    <x v="5"/>
    <s v="Secundaria"/>
    <s v="2 Secundaria"/>
    <s v="501432 PAPA FRANCISCO I"/>
    <s v="Rural"/>
    <s v="Femenino"/>
    <x v="1"/>
  </r>
  <r>
    <n v="7"/>
    <x v="5"/>
    <s v="Secundaria"/>
    <s v="2 Secundaria"/>
    <s v="501432 PAPA FRANCISCO I"/>
    <s v="Rural"/>
    <s v="Femenino"/>
    <x v="1"/>
  </r>
  <r>
    <n v="8"/>
    <x v="5"/>
    <s v="Secundaria"/>
    <s v="2 Secundaria"/>
    <s v="501432 PAPA FRANCISCO I"/>
    <s v="Rural"/>
    <s v="Masculino"/>
    <x v="0"/>
  </r>
  <r>
    <n v="9"/>
    <x v="5"/>
    <s v="Secundaria"/>
    <s v="2 Secundaria"/>
    <s v="501432 PAPA FRANCISCO I"/>
    <s v="Rural"/>
    <s v="Femenino"/>
    <x v="1"/>
  </r>
  <r>
    <n v="10"/>
    <x v="5"/>
    <s v="Secundaria"/>
    <s v="2 Secundaria"/>
    <s v="501432 PAPA FRANCISCO I"/>
    <s v="Rural"/>
    <s v="Masculino"/>
    <x v="1"/>
  </r>
  <r>
    <n v="11"/>
    <x v="5"/>
    <s v="Secundaria"/>
    <s v="2 Secundaria"/>
    <s v="501432 PAPA FRANCISCO I"/>
    <s v="Rural"/>
    <s v="Femenino"/>
    <x v="1"/>
  </r>
  <r>
    <n v="12"/>
    <x v="5"/>
    <s v="Secundaria"/>
    <s v="4 Secundaria"/>
    <s v="501432 PAPA FRANCISCO I"/>
    <s v="Rural"/>
    <s v="Femenino"/>
    <x v="2"/>
  </r>
  <r>
    <n v="13"/>
    <x v="5"/>
    <s v="Secundaria"/>
    <s v="4 Secundaria"/>
    <s v="501432 PAPA FRANCISCO I"/>
    <s v="Rural"/>
    <s v="Femenino"/>
    <x v="2"/>
  </r>
  <r>
    <n v="14"/>
    <x v="5"/>
    <s v="Secundaria"/>
    <s v="4 Secundaria"/>
    <s v="501432 PAPA FRANCISCO I"/>
    <s v="Rural"/>
    <s v="Femenino"/>
    <x v="2"/>
  </r>
  <r>
    <n v="15"/>
    <x v="5"/>
    <s v="Secundaria"/>
    <s v="4 Secundaria"/>
    <s v="501432 PAPA FRANCISCO I"/>
    <s v="Rural"/>
    <s v="Femenino"/>
    <x v="2"/>
  </r>
  <r>
    <n v="16"/>
    <x v="5"/>
    <s v="Secundaria"/>
    <s v="4 Secundaria"/>
    <s v="501432 PAPA FRANCISCO I"/>
    <s v="Rural"/>
    <s v="Masculino"/>
    <x v="1"/>
  </r>
  <r>
    <n v="17"/>
    <x v="5"/>
    <s v="Secundaria"/>
    <s v="4 Secundaria"/>
    <s v="501432 PAPA FRANCISCO I"/>
    <s v="Rural"/>
    <s v="Masculino"/>
    <x v="1"/>
  </r>
  <r>
    <n v="18"/>
    <x v="5"/>
    <s v="Secundaria"/>
    <s v="4 Secundaria"/>
    <s v="501432 PAPA FRANCISCO I"/>
    <s v="Rural"/>
    <s v="Masculino"/>
    <x v="0"/>
  </r>
  <r>
    <n v="19"/>
    <x v="5"/>
    <s v="Secundaria"/>
    <s v="4 Secundaria"/>
    <s v="501432 PAPA FRANCISCO I"/>
    <s v="Rural"/>
    <s v="Masculino"/>
    <x v="2"/>
  </r>
  <r>
    <n v="20"/>
    <x v="5"/>
    <s v="Secundaria"/>
    <s v="4 Secundaria"/>
    <s v="501432 PAPA FRANCISCO I"/>
    <s v="Rural"/>
    <s v="Femenino"/>
    <x v="1"/>
  </r>
  <r>
    <n v="21"/>
    <x v="5"/>
    <s v="Secundaria"/>
    <s v="4 Secundaria"/>
    <s v="501432 PAPA FRANCISCO I"/>
    <s v="Rural"/>
    <s v="Masculino"/>
    <x v="1"/>
  </r>
  <r>
    <n v="22"/>
    <x v="5"/>
    <s v="Secundaria"/>
    <s v="4 Secundaria"/>
    <s v="501432 PAPA FRANCISCO I"/>
    <s v="Rural"/>
    <s v="Masculino"/>
    <x v="2"/>
  </r>
  <r>
    <n v="23"/>
    <x v="5"/>
    <s v="Secundaria"/>
    <s v="4 Secundaria"/>
    <s v="501432 PAPA FRANCISCO I"/>
    <s v="Rural"/>
    <s v="Masculino"/>
    <x v="1"/>
  </r>
  <r>
    <n v="24"/>
    <x v="5"/>
    <s v="Secundaria"/>
    <s v="4 Secundaria"/>
    <s v="501432 PAPA FRANCISCO I"/>
    <s v="Rural"/>
    <s v="Femenino"/>
    <x v="2"/>
  </r>
  <r>
    <n v="25"/>
    <x v="5"/>
    <s v="Secundaria"/>
    <s v="4 Secundaria"/>
    <s v="501432 PAPA FRANCISCO I"/>
    <s v="Rural"/>
    <s v="Femenino"/>
    <x v="1"/>
  </r>
  <r>
    <n v="26"/>
    <x v="5"/>
    <s v="Secundaria"/>
    <s v="4 Secundaria"/>
    <s v="501432 PAPA FRANCISCO I"/>
    <s v="Rural"/>
    <s v="Femenino"/>
    <x v="0"/>
  </r>
  <r>
    <n v="27"/>
    <x v="5"/>
    <s v="Secundaria"/>
    <s v="4 Secundaria"/>
    <s v="501432 PAPA FRANCISCO I"/>
    <s v="Rural"/>
    <s v="Masculino"/>
    <x v="2"/>
  </r>
  <r>
    <n v="1"/>
    <x v="5"/>
    <s v="Secundaria"/>
    <s v="2 Secundaria"/>
    <s v="501432 PAPA FRANCISCO I"/>
    <s v="Rural"/>
    <s v="Femenino"/>
    <x v="1"/>
  </r>
  <r>
    <n v="2"/>
    <x v="5"/>
    <s v="Secundaria"/>
    <s v="2 Secundaria"/>
    <s v="501432 PAPA FRANCISCO I"/>
    <s v="Rural"/>
    <s v="Masculino"/>
    <x v="1"/>
  </r>
  <r>
    <n v="3"/>
    <x v="5"/>
    <s v="Secundaria"/>
    <s v="2 Secundaria"/>
    <s v="501432 PAPA FRANCISCO I"/>
    <s v="Rural"/>
    <s v="Femenino"/>
    <x v="0"/>
  </r>
  <r>
    <n v="4"/>
    <x v="5"/>
    <s v="Secundaria"/>
    <s v="2 Secundaria"/>
    <s v="501432 PAPA FRANCISCO I"/>
    <s v="Rural"/>
    <s v="Masculino"/>
    <x v="1"/>
  </r>
  <r>
    <n v="5"/>
    <x v="5"/>
    <s v="Secundaria"/>
    <s v="2 Secundaria"/>
    <s v="501432 PAPA FRANCISCO I"/>
    <s v="Rural"/>
    <s v="Femenino"/>
    <x v="0"/>
  </r>
  <r>
    <n v="6"/>
    <x v="5"/>
    <s v="Secundaria"/>
    <s v="2 Secundaria"/>
    <s v="501432 PAPA FRANCISCO I"/>
    <s v="Rural"/>
    <s v="Femenino"/>
    <x v="1"/>
  </r>
  <r>
    <n v="7"/>
    <x v="5"/>
    <s v="Secundaria"/>
    <s v="4 Secundaria"/>
    <s v="501432 PAPA FRANCISCO I"/>
    <s v="Rural"/>
    <s v="Femenino"/>
    <x v="2"/>
  </r>
  <r>
    <n v="8"/>
    <x v="5"/>
    <s v="Secundaria"/>
    <s v="4 Secundaria"/>
    <s v="501432 PAPA FRANCISCO I"/>
    <s v="Rural"/>
    <s v="Femenino"/>
    <x v="2"/>
  </r>
  <r>
    <n v="9"/>
    <x v="5"/>
    <s v="Secundaria"/>
    <s v="4 Secundaria"/>
    <s v="501432 PAPA FRANCISCO I"/>
    <s v="Rural"/>
    <s v="Femenino"/>
    <x v="2"/>
  </r>
  <r>
    <n v="10"/>
    <x v="5"/>
    <s v="Secundaria"/>
    <s v="4 Secundaria"/>
    <s v="501432 PAPA FRANCISCO I"/>
    <s v="Rural"/>
    <s v="Femenino"/>
    <x v="2"/>
  </r>
  <r>
    <n v="11"/>
    <x v="5"/>
    <s v="Secundaria"/>
    <s v="4 Secundaria"/>
    <s v="501432 PAPA FRANCISCO I"/>
    <s v="Rural"/>
    <s v="Masculino"/>
    <x v="1"/>
  </r>
  <r>
    <n v="12"/>
    <x v="5"/>
    <s v="Secundaria"/>
    <s v="4 Secundaria"/>
    <s v="501432 PAPA FRANCISCO I"/>
    <s v="Rural"/>
    <s v="Masculino"/>
    <x v="1"/>
  </r>
  <r>
    <n v="13"/>
    <x v="5"/>
    <s v="Secundaria"/>
    <s v="4 Secundaria"/>
    <s v="501432 PAPA FRANCISCO I"/>
    <s v="Rural"/>
    <s v="Masculino"/>
    <x v="0"/>
  </r>
  <r>
    <n v="14"/>
    <x v="5"/>
    <s v="Secundaria"/>
    <s v="4 Secundaria"/>
    <s v="501432 PAPA FRANCISCO I"/>
    <s v="Rural"/>
    <s v="Masculino"/>
    <x v="2"/>
  </r>
  <r>
    <n v="2008"/>
    <x v="3"/>
    <s v="Primaria"/>
    <s v="2 Primaria"/>
    <s v="601331"/>
    <s v="Rural"/>
    <s v="Femenino"/>
    <x v="1"/>
  </r>
  <r>
    <n v="2009"/>
    <x v="3"/>
    <s v="Primaria"/>
    <s v="2 Primaria"/>
    <s v="60133"/>
    <s v="Rural"/>
    <s v="Femenino"/>
    <x v="0"/>
  </r>
  <r>
    <n v="2010"/>
    <x v="3"/>
    <s v="Secundaria"/>
    <s v="2 Secundaria"/>
    <s v="EL MILAGRO"/>
    <s v="Rural"/>
    <s v="Masculino"/>
    <x v="0"/>
  </r>
  <r>
    <n v="2011"/>
    <x v="3"/>
    <s v="Secundaria"/>
    <s v="2 Secundaria"/>
    <s v="EL MILAGRO"/>
    <s v="Rural"/>
    <s v="Masculino"/>
    <x v="0"/>
  </r>
  <r>
    <n v="2012"/>
    <x v="3"/>
    <s v="Secundaria"/>
    <s v="2 Secundaria"/>
    <s v="EL MILAGRO"/>
    <s v="Rural"/>
    <s v="Masculino"/>
    <x v="0"/>
  </r>
  <r>
    <n v="2013"/>
    <x v="3"/>
    <s v="Secundaria"/>
    <s v="2 Secundaria"/>
    <s v="EL MILAGRO"/>
    <s v="Rural"/>
    <s v="Masculino"/>
    <x v="0"/>
  </r>
  <r>
    <n v="2014"/>
    <x v="3"/>
    <s v="Secundaria"/>
    <s v="2 Secundaria"/>
    <s v="EL MILAGRO"/>
    <s v="Rural"/>
    <s v="Masculino"/>
    <x v="0"/>
  </r>
  <r>
    <n v="2015"/>
    <x v="3"/>
    <s v="Secundaria"/>
    <s v="2 Secundaria"/>
    <s v="EL MILAGRO"/>
    <s v="Rural"/>
    <s v="Masculino"/>
    <x v="0"/>
  </r>
  <r>
    <n v="2016"/>
    <x v="3"/>
    <s v="Secundaria"/>
    <s v="2 Secundaria"/>
    <s v="EL MILAGRO"/>
    <s v="Rural"/>
    <s v="Femenino"/>
    <x v="0"/>
  </r>
  <r>
    <n v="2017"/>
    <x v="3"/>
    <s v="Secundaria"/>
    <s v="2 Secundaria"/>
    <s v="EL MILAGRO"/>
    <s v="Rural"/>
    <s v="Masculino"/>
    <x v="0"/>
  </r>
  <r>
    <n v="2018"/>
    <x v="3"/>
    <s v="Secundaria"/>
    <s v="2 Secundaria"/>
    <s v="EL MILAGRO"/>
    <s v="Rural"/>
    <s v="Masculino"/>
    <x v="0"/>
  </r>
  <r>
    <n v="2019"/>
    <x v="3"/>
    <s v="Secundaria"/>
    <s v="2 Secundaria"/>
    <s v="EL MILAGRO"/>
    <s v="Rural"/>
    <s v="Masculino"/>
    <x v="0"/>
  </r>
  <r>
    <n v="2020"/>
    <x v="3"/>
    <s v="Secundaria"/>
    <s v="2 Secundaria"/>
    <s v="EL MILAGRO"/>
    <s v="Rural"/>
    <s v="Masculino"/>
    <x v="0"/>
  </r>
  <r>
    <n v="2021"/>
    <x v="3"/>
    <s v="Secundaria"/>
    <s v="2 Secundaria"/>
    <s v="EL MILAGRO"/>
    <s v="Rural"/>
    <s v="Masculino"/>
    <x v="0"/>
  </r>
  <r>
    <n v="2022"/>
    <x v="3"/>
    <s v="Secundaria"/>
    <s v="2 Secundaria"/>
    <s v="EL MILAGRO"/>
    <s v="Rural"/>
    <s v="Femenino"/>
    <x v="0"/>
  </r>
  <r>
    <n v="2023"/>
    <x v="3"/>
    <s v="Secundaria"/>
    <s v="2 Secundaria"/>
    <s v="EL MILAGRO"/>
    <s v="Rural"/>
    <s v="Masculino"/>
    <x v="0"/>
  </r>
  <r>
    <n v="2024"/>
    <x v="3"/>
    <s v="Secundaria"/>
    <s v="2 Secundaria"/>
    <s v="EL MILAGRO"/>
    <s v="Rural"/>
    <s v="Masculino"/>
    <x v="0"/>
  </r>
  <r>
    <n v="2025"/>
    <x v="3"/>
    <s v="Secundaria"/>
    <s v="2 Secundaria"/>
    <s v="601331"/>
    <s v="Rural"/>
    <s v="Femenino"/>
    <x v="2"/>
  </r>
  <r>
    <n v="2026"/>
    <x v="3"/>
    <s v="Secundaria"/>
    <s v="2 Secundaria"/>
    <s v="601331"/>
    <s v="Rural"/>
    <s v="Femenino"/>
    <x v="0"/>
  </r>
  <r>
    <n v="2027"/>
    <x v="3"/>
    <s v="Secundaria"/>
    <s v="2 Secundaria"/>
    <s v="601331"/>
    <s v="Rural"/>
    <s v="Masculino"/>
    <x v="0"/>
  </r>
  <r>
    <n v="2028"/>
    <x v="3"/>
    <s v="Secundaria"/>
    <s v="2 Secundaria"/>
    <s v="601331"/>
    <s v="Rural"/>
    <s v="Femenino"/>
    <x v="0"/>
  </r>
  <r>
    <n v="2029"/>
    <x v="3"/>
    <s v="Secundaria"/>
    <s v="2 Secundaria"/>
    <s v="601331"/>
    <s v="Rural"/>
    <s v="Masculino"/>
    <x v="0"/>
  </r>
  <r>
    <n v="2030"/>
    <x v="3"/>
    <s v="Secundaria"/>
    <s v="2 Secundaria"/>
    <s v="601331"/>
    <s v="Rural"/>
    <s v="Femenino"/>
    <x v="0"/>
  </r>
  <r>
    <n v="2031"/>
    <x v="3"/>
    <s v="Secundaria"/>
    <s v="2 Secundaria"/>
    <s v="601331"/>
    <s v="Rural"/>
    <s v="Masculino"/>
    <x v="0"/>
  </r>
  <r>
    <n v="2032"/>
    <x v="3"/>
    <s v="Secundaria"/>
    <s v="2 Secundaria"/>
    <s v="601331"/>
    <s v="Rural"/>
    <s v="Masculino"/>
    <x v="0"/>
  </r>
  <r>
    <n v="2033"/>
    <x v="3"/>
    <s v="Secundaria"/>
    <s v="2 Secundaria"/>
    <s v="601331"/>
    <s v="Rural"/>
    <s v="Masculino"/>
    <x v="0"/>
  </r>
  <r>
    <n v="2034"/>
    <x v="3"/>
    <s v="Secundaria"/>
    <s v="2 Secundaria"/>
    <s v="601331"/>
    <s v="Rural"/>
    <s v="Masculino"/>
    <x v="0"/>
  </r>
  <r>
    <n v="2035"/>
    <x v="3"/>
    <s v="Secundaria"/>
    <s v="2 Secundaria"/>
    <s v="601331"/>
    <s v="Rural"/>
    <s v="Masculino"/>
    <x v="0"/>
  </r>
  <r>
    <n v="2036"/>
    <x v="3"/>
    <s v="Secundaria"/>
    <s v="2 Secundaria"/>
    <s v="601331"/>
    <s v="Rural"/>
    <s v="Femenino"/>
    <x v="0"/>
  </r>
  <r>
    <n v="2037"/>
    <x v="3"/>
    <s v="Secundaria"/>
    <s v="2 Secundaria"/>
    <s v="601331"/>
    <s v="Rural"/>
    <s v="Masculino"/>
    <x v="0"/>
  </r>
  <r>
    <n v="2038"/>
    <x v="3"/>
    <s v="Secundaria"/>
    <s v="2 Secundaria"/>
    <s v="601331"/>
    <s v="Rural"/>
    <s v="Femenino"/>
    <x v="0"/>
  </r>
  <r>
    <n v="2039"/>
    <x v="3"/>
    <s v="Secundaria"/>
    <s v="2 Secundaria"/>
    <s v="6010230 BARBARA D'ACHILLE"/>
    <s v="Rural"/>
    <s v="Femenino"/>
    <x v="0"/>
  </r>
  <r>
    <n v="2040"/>
    <x v="3"/>
    <s v="Secundaria"/>
    <s v="2 Secundaria"/>
    <s v="6010230 BARBARA D'ACHILLE"/>
    <s v="Rural"/>
    <s v="Femenino"/>
    <x v="0"/>
  </r>
  <r>
    <n v="2041"/>
    <x v="3"/>
    <s v="Secundaria"/>
    <s v="2 Secundaria"/>
    <s v="6010230 BARBARA D'ACHILLE"/>
    <s v="Rural"/>
    <s v="Masculino"/>
    <x v="0"/>
  </r>
  <r>
    <n v="2042"/>
    <x v="3"/>
    <s v="Secundaria"/>
    <s v="2 Secundaria"/>
    <s v="6010230 BARBARA D'ACHILLE"/>
    <s v="Rural"/>
    <s v="Masculino"/>
    <x v="0"/>
  </r>
  <r>
    <n v="2043"/>
    <x v="3"/>
    <s v="Secundaria"/>
    <s v="2 Secundaria"/>
    <s v="6010230 BARBARA D'ACHILLE"/>
    <s v="Rural"/>
    <s v="Femenino"/>
    <x v="0"/>
  </r>
  <r>
    <n v="2044"/>
    <x v="3"/>
    <s v="Secundaria"/>
    <s v="2 Secundaria"/>
    <s v="6010230 BARBARA D'ACHILLE"/>
    <s v="Rural"/>
    <s v="Masculino"/>
    <x v="0"/>
  </r>
  <r>
    <n v="2045"/>
    <x v="3"/>
    <s v="Secundaria"/>
    <s v="2 Secundaria"/>
    <s v="6010230 BARBARA D'ACHILLE"/>
    <s v="Rural"/>
    <s v="Femenino"/>
    <x v="0"/>
  </r>
  <r>
    <n v="2046"/>
    <x v="3"/>
    <s v="Secundaria"/>
    <s v="2 Secundaria"/>
    <s v="60133"/>
    <s v="Rural"/>
    <s v="Femenino"/>
    <x v="0"/>
  </r>
  <r>
    <n v="2047"/>
    <x v="3"/>
    <s v="Secundaria"/>
    <s v="2 Secundaria"/>
    <s v="60133"/>
    <s v="Rural"/>
    <s v="Femenino"/>
    <x v="0"/>
  </r>
  <r>
    <n v="2048"/>
    <x v="3"/>
    <s v="Secundaria"/>
    <s v="2 Secundaria"/>
    <s v="60133"/>
    <s v="Rural"/>
    <s v="Femenino"/>
    <x v="0"/>
  </r>
  <r>
    <n v="2049"/>
    <x v="3"/>
    <s v="Secundaria"/>
    <s v="2 Secundaria"/>
    <s v="60133"/>
    <s v="Rural"/>
    <s v="Femenino"/>
    <x v="0"/>
  </r>
  <r>
    <n v="2050"/>
    <x v="3"/>
    <s v="Secundaria"/>
    <s v="2 Secundaria"/>
    <s v="60133"/>
    <s v="Rural"/>
    <s v="Masculino"/>
    <x v="0"/>
  </r>
  <r>
    <n v="2051"/>
    <x v="3"/>
    <s v="Secundaria"/>
    <s v="2 Secundaria"/>
    <s v="60133"/>
    <s v="Rural"/>
    <s v="Masculino"/>
    <x v="0"/>
  </r>
  <r>
    <n v="2052"/>
    <x v="3"/>
    <s v="Secundaria"/>
    <s v="2 Secundaria"/>
    <s v="60133"/>
    <s v="Rural"/>
    <s v="Femenino"/>
    <x v="0"/>
  </r>
  <r>
    <n v="2053"/>
    <x v="3"/>
    <s v="Secundaria"/>
    <s v="2 Secundaria"/>
    <s v="60133"/>
    <s v="Rural"/>
    <s v="Masculino"/>
    <x v="0"/>
  </r>
  <r>
    <n v="2054"/>
    <x v="3"/>
    <s v="Secundaria"/>
    <s v="2 Secundaria"/>
    <s v="60133"/>
    <s v="Rural"/>
    <s v="Femenino"/>
    <x v="0"/>
  </r>
  <r>
    <n v="2055"/>
    <x v="3"/>
    <s v="Secundaria"/>
    <s v="2 Secundaria"/>
    <s v="60133"/>
    <s v="Rural"/>
    <s v="Femenino"/>
    <x v="0"/>
  </r>
  <r>
    <n v="2056"/>
    <x v="3"/>
    <s v="Secundaria"/>
    <s v="2 Secundaria"/>
    <s v="60133"/>
    <s v="Rural"/>
    <s v="Femenino"/>
    <x v="0"/>
  </r>
  <r>
    <n v="2057"/>
    <x v="3"/>
    <s v="Secundaria"/>
    <s v="2 Secundaria"/>
    <s v="60133"/>
    <s v="Rural"/>
    <s v="Femenino"/>
    <x v="0"/>
  </r>
  <r>
    <n v="2058"/>
    <x v="3"/>
    <s v="Secundaria"/>
    <s v="2 Secundaria"/>
    <s v="60133"/>
    <s v="Rural"/>
    <s v="Femenino"/>
    <x v="0"/>
  </r>
  <r>
    <n v="2059"/>
    <x v="3"/>
    <s v="Secundaria"/>
    <s v="2 Secundaria"/>
    <s v="60133"/>
    <s v="Rural"/>
    <s v="Femenino"/>
    <x v="0"/>
  </r>
  <r>
    <n v="2060"/>
    <x v="3"/>
    <s v="Secundaria"/>
    <s v="2 Secundaria"/>
    <s v="60133"/>
    <s v="Rural"/>
    <s v="Masculino"/>
    <x v="0"/>
  </r>
  <r>
    <n v="2061"/>
    <x v="3"/>
    <s v="Secundaria"/>
    <s v="2 Secundaria"/>
    <s v="60133"/>
    <s v="Rural"/>
    <s v="Masculino"/>
    <x v="0"/>
  </r>
  <r>
    <n v="2062"/>
    <x v="3"/>
    <s v="Secundaria"/>
    <s v="2 Secundaria"/>
    <s v="60133"/>
    <s v="Rural"/>
    <s v="Femenino"/>
    <x v="0"/>
  </r>
  <r>
    <n v="2063"/>
    <x v="3"/>
    <s v="Secundaria"/>
    <s v="2 Secundaria"/>
    <s v="60133"/>
    <s v="Rural"/>
    <s v="Masculino"/>
    <x v="0"/>
  </r>
  <r>
    <n v="2064"/>
    <x v="3"/>
    <s v="Secundaria"/>
    <s v="2 Secundaria"/>
    <s v="60133"/>
    <s v="Rural"/>
    <s v="Masculino"/>
    <x v="0"/>
  </r>
  <r>
    <n v="2065"/>
    <x v="3"/>
    <s v="Secundaria"/>
    <s v="2 Secundaria"/>
    <s v="60133"/>
    <s v="Rural"/>
    <s v="Femenino"/>
    <x v="0"/>
  </r>
  <r>
    <n v="2066"/>
    <x v="3"/>
    <s v="Secundaria"/>
    <s v="2 Secundaria"/>
    <s v="60133"/>
    <s v="Rural"/>
    <s v="Femenino"/>
    <x v="0"/>
  </r>
  <r>
    <n v="2067"/>
    <x v="3"/>
    <s v="Secundaria"/>
    <s v="2 Secundaria"/>
    <s v="60133"/>
    <s v="Rural"/>
    <s v="Masculino"/>
    <x v="0"/>
  </r>
  <r>
    <n v="2068"/>
    <x v="3"/>
    <s v="Secundaria"/>
    <s v="2 Secundaria"/>
    <s v="60133"/>
    <s v="Rural"/>
    <s v="Masculino"/>
    <x v="0"/>
  </r>
  <r>
    <n v="2069"/>
    <x v="3"/>
    <s v="Secundaria"/>
    <s v="2 Secundaria"/>
    <s v="60133"/>
    <s v="Rural"/>
    <s v="Femenino"/>
    <x v="0"/>
  </r>
  <r>
    <n v="2070"/>
    <x v="3"/>
    <s v="Secundaria"/>
    <s v="2 Secundaria"/>
    <s v="60133"/>
    <s v="Rural"/>
    <s v="Masculino"/>
    <x v="0"/>
  </r>
  <r>
    <n v="2071"/>
    <x v="3"/>
    <s v="Secundaria"/>
    <s v="2 Secundaria"/>
    <s v="60133"/>
    <s v="Rural"/>
    <s v="Femenino"/>
    <x v="0"/>
  </r>
  <r>
    <n v="2072"/>
    <x v="3"/>
    <s v="Secundaria"/>
    <s v="2 Secundaria"/>
    <s v="60133"/>
    <s v="Rural"/>
    <s v="Femenino"/>
    <x v="0"/>
  </r>
  <r>
    <n v="2073"/>
    <x v="3"/>
    <s v="Secundaria"/>
    <s v="2 Secundaria"/>
    <s v="60133"/>
    <s v="Rural"/>
    <s v="Masculino"/>
    <x v="0"/>
  </r>
  <r>
    <n v="2074"/>
    <x v="3"/>
    <s v="Secundaria"/>
    <s v="2 Secundaria"/>
    <s v="60133"/>
    <s v="Rural"/>
    <s v="Masculino"/>
    <x v="0"/>
  </r>
  <r>
    <n v="2075"/>
    <x v="3"/>
    <s v="Secundaria"/>
    <s v="2 Secundaria"/>
    <s v="60133"/>
    <s v="Rural"/>
    <s v="Masculino"/>
    <x v="0"/>
  </r>
  <r>
    <n v="2076"/>
    <x v="3"/>
    <s v="Secundaria"/>
    <s v="2 Secundaria"/>
    <s v="60133"/>
    <s v="Rural"/>
    <s v="Femenino"/>
    <x v="0"/>
  </r>
  <r>
    <n v="2077"/>
    <x v="3"/>
    <s v="Primaria"/>
    <s v="4 Primaria"/>
    <s v="601448"/>
    <s v="Rural"/>
    <s v="Femenino"/>
    <x v="0"/>
  </r>
  <r>
    <n v="2078"/>
    <x v="3"/>
    <s v="Primaria"/>
    <s v="4 Primaria"/>
    <s v="601448"/>
    <s v="Rural"/>
    <s v="Femenino"/>
    <x v="0"/>
  </r>
  <r>
    <n v="2079"/>
    <x v="3"/>
    <s v="Primaria"/>
    <s v="4 Primaria"/>
    <s v="601448"/>
    <s v="Rural"/>
    <s v="Masculino"/>
    <x v="0"/>
  </r>
  <r>
    <n v="2080"/>
    <x v="3"/>
    <s v="Primaria"/>
    <s v="4 Primaria"/>
    <s v="601331"/>
    <s v="Rural"/>
    <s v="Femenino"/>
    <x v="2"/>
  </r>
  <r>
    <n v="2081"/>
    <x v="3"/>
    <s v="Primaria"/>
    <s v="4 Primaria"/>
    <s v="6010230 BARBARA D'ACHILLE"/>
    <s v="Rural"/>
    <s v="Masculino"/>
    <x v="0"/>
  </r>
  <r>
    <n v="2082"/>
    <x v="3"/>
    <s v="Primaria"/>
    <s v="4 Primaria"/>
    <s v="6010230 BARBARA D'ACHILLE"/>
    <s v="Rural"/>
    <s v="Masculino"/>
    <x v="0"/>
  </r>
  <r>
    <n v="2083"/>
    <x v="3"/>
    <s v="Primaria"/>
    <s v="4 Primaria"/>
    <s v="6010230 BARBARA D'ACHILLE"/>
    <s v="Rural"/>
    <s v="Masculino"/>
    <x v="0"/>
  </r>
  <r>
    <n v="2084"/>
    <x v="3"/>
    <s v="Primaria"/>
    <s v="4 Primaria"/>
    <s v="6010230 BARBARA D'ACHILLE"/>
    <s v="Rural"/>
    <s v="Masculino"/>
    <x v="0"/>
  </r>
  <r>
    <n v="2085"/>
    <x v="3"/>
    <s v="Primaria"/>
    <s v="4 Primaria"/>
    <s v="6010230 BARBARA D'ACHILLE"/>
    <s v="Rural"/>
    <s v="Femenino"/>
    <x v="0"/>
  </r>
  <r>
    <n v="2086"/>
    <x v="3"/>
    <s v="Primaria"/>
    <s v="4 Primaria"/>
    <s v="6010230 BARBARA D'ACHILLE"/>
    <s v="Rural"/>
    <s v="Masculino"/>
    <x v="0"/>
  </r>
  <r>
    <n v="2087"/>
    <x v="3"/>
    <s v="Primaria"/>
    <s v="4 Primaria"/>
    <s v="6010230 BARBARA D'ACHILLE"/>
    <s v="Rural"/>
    <s v="Femenino"/>
    <x v="0"/>
  </r>
  <r>
    <n v="2088"/>
    <x v="3"/>
    <s v="Primaria"/>
    <s v="4 Primaria"/>
    <s v="6010230 BARBARA D'ACHILLE"/>
    <s v="Rural"/>
    <s v="Masculino"/>
    <x v="0"/>
  </r>
  <r>
    <n v="2089"/>
    <x v="3"/>
    <s v="Primaria"/>
    <s v="4 Primaria"/>
    <s v="6010230 BARBARA D'ACHILLE"/>
    <s v="Rural"/>
    <s v="Femenino"/>
    <x v="0"/>
  </r>
  <r>
    <n v="2090"/>
    <x v="3"/>
    <s v="Secundaria"/>
    <s v="4 Secundaria"/>
    <s v="EL MILAGRO"/>
    <s v="Rural"/>
    <s v="Masculino"/>
    <x v="0"/>
  </r>
  <r>
    <n v="2091"/>
    <x v="3"/>
    <s v="Secundaria"/>
    <s v="4 Secundaria"/>
    <s v="EL MILAGRO"/>
    <s v="Rural"/>
    <s v="Femenino"/>
    <x v="0"/>
  </r>
  <r>
    <n v="2092"/>
    <x v="3"/>
    <s v="Secundaria"/>
    <s v="4 Secundaria"/>
    <s v="EL MILAGRO"/>
    <s v="Rural"/>
    <s v="Masculino"/>
    <x v="1"/>
  </r>
  <r>
    <n v="2093"/>
    <x v="3"/>
    <s v="Secundaria"/>
    <s v="4 Secundaria"/>
    <s v="EL MILAGRO"/>
    <s v="Rural"/>
    <s v="Masculino"/>
    <x v="0"/>
  </r>
  <r>
    <n v="2094"/>
    <x v="3"/>
    <s v="Secundaria"/>
    <s v="4 Secundaria"/>
    <s v="EL MILAGRO"/>
    <s v="Rural"/>
    <s v="Femenino"/>
    <x v="0"/>
  </r>
  <r>
    <n v="2095"/>
    <x v="3"/>
    <s v="Secundaria"/>
    <s v="4 Secundaria"/>
    <s v="EL MILAGRO"/>
    <s v="Rural"/>
    <s v="Femenino"/>
    <x v="0"/>
  </r>
  <r>
    <n v="2096"/>
    <x v="3"/>
    <s v="Secundaria"/>
    <s v="4 Secundaria"/>
    <s v="EL MILAGRO"/>
    <s v="Rural"/>
    <s v="Femenino"/>
    <x v="0"/>
  </r>
  <r>
    <n v="2097"/>
    <x v="3"/>
    <s v="Secundaria"/>
    <s v="4 Secundaria"/>
    <s v="EL MILAGRO"/>
    <s v="Rural"/>
    <s v="Masculino"/>
    <x v="0"/>
  </r>
  <r>
    <n v="2098"/>
    <x v="3"/>
    <s v="Secundaria"/>
    <s v="4 Secundaria"/>
    <s v="EL MILAGRO"/>
    <s v="Rural"/>
    <s v="Masculino"/>
    <x v="0"/>
  </r>
  <r>
    <n v="2099"/>
    <x v="3"/>
    <s v="Secundaria"/>
    <s v="4 Secundaria"/>
    <s v="EL MILAGRO"/>
    <s v="Rural"/>
    <s v="Masculino"/>
    <x v="0"/>
  </r>
  <r>
    <n v="2100"/>
    <x v="3"/>
    <s v="Secundaria"/>
    <s v="4 Secundaria"/>
    <s v="EL MILAGRO"/>
    <s v="Rural"/>
    <s v="Masculino"/>
    <x v="0"/>
  </r>
  <r>
    <n v="2101"/>
    <x v="3"/>
    <s v="Secundaria"/>
    <s v="4 Secundaria"/>
    <s v="EL MILAGRO"/>
    <s v="Rural"/>
    <s v="Femenino"/>
    <x v="0"/>
  </r>
  <r>
    <n v="2102"/>
    <x v="3"/>
    <s v="Secundaria"/>
    <s v="4 Secundaria"/>
    <s v="EL MILAGRO"/>
    <s v="Rural"/>
    <s v="Femenino"/>
    <x v="0"/>
  </r>
  <r>
    <n v="2103"/>
    <x v="3"/>
    <s v="Secundaria"/>
    <s v="4 Secundaria"/>
    <s v="EL MILAGRO"/>
    <s v="Rural"/>
    <s v="Femenino"/>
    <x v="0"/>
  </r>
  <r>
    <n v="2104"/>
    <x v="3"/>
    <s v="Secundaria"/>
    <s v="4 Secundaria"/>
    <s v="EL MILAGRO"/>
    <s v="Rural"/>
    <s v="Masculino"/>
    <x v="0"/>
  </r>
  <r>
    <n v="2105"/>
    <x v="3"/>
    <s v="Secundaria"/>
    <s v="4 Secundaria"/>
    <s v="EL MILAGRO"/>
    <s v="Rural"/>
    <s v="Masculino"/>
    <x v="0"/>
  </r>
  <r>
    <n v="2106"/>
    <x v="3"/>
    <s v="Secundaria"/>
    <s v="4 Secundaria"/>
    <s v="EL MILAGRO"/>
    <s v="Rural"/>
    <s v="Masculino"/>
    <x v="0"/>
  </r>
  <r>
    <n v="2107"/>
    <x v="3"/>
    <s v="Secundaria"/>
    <s v="4 Secundaria"/>
    <s v="EL MILAGRO"/>
    <s v="Rural"/>
    <s v="Masculino"/>
    <x v="0"/>
  </r>
  <r>
    <n v="2108"/>
    <x v="3"/>
    <s v="Secundaria"/>
    <s v="4 Secundaria"/>
    <s v="EL MILAGRO"/>
    <s v="Rural"/>
    <s v="Masculino"/>
    <x v="0"/>
  </r>
  <r>
    <n v="2109"/>
    <x v="3"/>
    <s v="Secundaria"/>
    <s v="4 Secundaria"/>
    <s v="EL MILAGRO"/>
    <s v="Rural"/>
    <s v="Masculino"/>
    <x v="0"/>
  </r>
  <r>
    <n v="2110"/>
    <x v="3"/>
    <s v="Secundaria"/>
    <s v="4 Secundaria"/>
    <s v="EL MILAGRO"/>
    <s v="Rural"/>
    <s v="Femenino"/>
    <x v="0"/>
  </r>
  <r>
    <n v="2111"/>
    <x v="3"/>
    <s v="Secundaria"/>
    <s v="4 Secundaria"/>
    <s v="EL MILAGRO"/>
    <s v="Rural"/>
    <s v="Masculino"/>
    <x v="0"/>
  </r>
  <r>
    <n v="2112"/>
    <x v="3"/>
    <s v="Secundaria"/>
    <s v="4 Secundaria"/>
    <s v="EL MILAGRO"/>
    <s v="Rural"/>
    <s v="Masculino"/>
    <x v="0"/>
  </r>
  <r>
    <n v="2113"/>
    <x v="3"/>
    <s v="Secundaria"/>
    <s v="4 Secundaria"/>
    <s v="EL MILAGRO"/>
    <s v="Rural"/>
    <s v="Femenino"/>
    <x v="0"/>
  </r>
  <r>
    <n v="2114"/>
    <x v="3"/>
    <s v="Secundaria"/>
    <s v="4 Secundaria"/>
    <s v="601331"/>
    <s v="Rural"/>
    <s v="Femenino"/>
    <x v="2"/>
  </r>
  <r>
    <n v="2115"/>
    <x v="3"/>
    <s v="Secundaria"/>
    <s v="4 Secundaria"/>
    <s v="601331"/>
    <s v="Rural"/>
    <s v="Masculino"/>
    <x v="0"/>
  </r>
  <r>
    <n v="2116"/>
    <x v="3"/>
    <s v="Secundaria"/>
    <s v="4 Secundaria"/>
    <s v="601331"/>
    <s v="Rural"/>
    <s v="Femenino"/>
    <x v="0"/>
  </r>
  <r>
    <n v="2117"/>
    <x v="3"/>
    <s v="Secundaria"/>
    <s v="4 Secundaria"/>
    <s v="601331"/>
    <s v="Rural"/>
    <s v="Masculino"/>
    <x v="1"/>
  </r>
  <r>
    <n v="2118"/>
    <x v="3"/>
    <s v="Secundaria"/>
    <s v="4 Secundaria"/>
    <s v="601331"/>
    <s v="Rural"/>
    <s v="Masculino"/>
    <x v="2"/>
  </r>
  <r>
    <n v="2119"/>
    <x v="3"/>
    <s v="Secundaria"/>
    <s v="4 Secundaria"/>
    <s v="601331"/>
    <s v="Rural"/>
    <s v="Masculino"/>
    <x v="0"/>
  </r>
  <r>
    <n v="2120"/>
    <x v="3"/>
    <s v="Secundaria"/>
    <s v="4 Secundaria"/>
    <s v="601331"/>
    <s v="Rural"/>
    <s v="Masculino"/>
    <x v="1"/>
  </r>
  <r>
    <n v="2121"/>
    <x v="3"/>
    <s v="Secundaria"/>
    <s v="4 Secundaria"/>
    <s v="601331"/>
    <s v="Rural"/>
    <s v="Femenino"/>
    <x v="0"/>
  </r>
  <r>
    <n v="2122"/>
    <x v="3"/>
    <s v="Secundaria"/>
    <s v="4 Secundaria"/>
    <s v="601331"/>
    <s v="Rural"/>
    <s v="Masculino"/>
    <x v="0"/>
  </r>
  <r>
    <n v="2123"/>
    <x v="3"/>
    <s v="Secundaria"/>
    <s v="4 Secundaria"/>
    <s v="601331"/>
    <s v="Rural"/>
    <s v="Masculino"/>
    <x v="0"/>
  </r>
  <r>
    <n v="2124"/>
    <x v="3"/>
    <s v="Secundaria"/>
    <s v="4 Secundaria"/>
    <s v="601331"/>
    <s v="Rural"/>
    <s v="Femenino"/>
    <x v="2"/>
  </r>
  <r>
    <n v="2125"/>
    <x v="3"/>
    <s v="Secundaria"/>
    <s v="4 Secundaria"/>
    <s v="601331"/>
    <s v="Rural"/>
    <s v="Femenino"/>
    <x v="0"/>
  </r>
  <r>
    <n v="2126"/>
    <x v="3"/>
    <s v="Secundaria"/>
    <s v="4 Secundaria"/>
    <s v="601331"/>
    <s v="Rural"/>
    <s v="Femenino"/>
    <x v="0"/>
  </r>
  <r>
    <n v="2127"/>
    <x v="3"/>
    <s v="Secundaria"/>
    <s v="4 Secundaria"/>
    <s v="601331"/>
    <s v="Rural"/>
    <s v="Femenino"/>
    <x v="0"/>
  </r>
  <r>
    <n v="2128"/>
    <x v="3"/>
    <s v="Secundaria"/>
    <s v="4 Secundaria"/>
    <s v="601331"/>
    <s v="Rural"/>
    <s v="Masculino"/>
    <x v="0"/>
  </r>
  <r>
    <n v="2129"/>
    <x v="3"/>
    <s v="Secundaria"/>
    <s v="4 Secundaria"/>
    <s v="601331"/>
    <s v="Rural"/>
    <s v="Femenino"/>
    <x v="2"/>
  </r>
  <r>
    <n v="2130"/>
    <x v="3"/>
    <s v="Secundaria"/>
    <s v="4 Secundaria"/>
    <s v="6010230 BARBARA D'ACHILLE"/>
    <s v="Rural"/>
    <s v="Masculino"/>
    <x v="0"/>
  </r>
  <r>
    <n v="2131"/>
    <x v="3"/>
    <s v="Secundaria"/>
    <s v="4 Secundaria"/>
    <s v="6010230 BARBARA D'ACHILLE"/>
    <s v="Rural"/>
    <s v="Masculino"/>
    <x v="0"/>
  </r>
  <r>
    <n v="2132"/>
    <x v="3"/>
    <s v="Secundaria"/>
    <s v="4 Secundaria"/>
    <s v="6010230 BARBARA D'ACHILLE"/>
    <s v="Rural"/>
    <s v="Masculino"/>
    <x v="0"/>
  </r>
  <r>
    <n v="2133"/>
    <x v="3"/>
    <s v="Secundaria"/>
    <s v="4 Secundaria"/>
    <s v="6010230 BARBARA D'ACHILLE"/>
    <s v="Rural"/>
    <s v="Femenino"/>
    <x v="0"/>
  </r>
  <r>
    <n v="2134"/>
    <x v="3"/>
    <s v="Secundaria"/>
    <s v="4 Secundaria"/>
    <s v="6010230 BARBARA D'ACHILLE"/>
    <s v="Rural"/>
    <s v="Femenino"/>
    <x v="0"/>
  </r>
  <r>
    <n v="2135"/>
    <x v="3"/>
    <s v="Secundaria"/>
    <s v="4 Secundaria"/>
    <s v="6010230 BARBARA D'ACHILLE"/>
    <s v="Rural"/>
    <s v="Femenino"/>
    <x v="0"/>
  </r>
  <r>
    <n v="2136"/>
    <x v="3"/>
    <s v="Secundaria"/>
    <s v="4 Secundaria"/>
    <s v="6010230 BARBARA D'ACHILLE"/>
    <s v="Rural"/>
    <s v="Femenino"/>
    <x v="0"/>
  </r>
  <r>
    <n v="2137"/>
    <x v="3"/>
    <s v="Secundaria"/>
    <s v="4 Secundaria"/>
    <s v="6010230 BARBARA D'ACHILLE"/>
    <s v="Rural"/>
    <s v="Masculino"/>
    <x v="0"/>
  </r>
  <r>
    <n v="2138"/>
    <x v="3"/>
    <s v="Secundaria"/>
    <s v="4 Secundaria"/>
    <s v="6010230 BARBARA D'ACHILLE"/>
    <s v="Rural"/>
    <s v="Masculino"/>
    <x v="0"/>
  </r>
  <r>
    <n v="2139"/>
    <x v="3"/>
    <s v="Secundaria"/>
    <s v="4 Secundaria"/>
    <s v="60133"/>
    <s v="Rural"/>
    <s v="Femenino"/>
    <x v="0"/>
  </r>
  <r>
    <n v="2140"/>
    <x v="3"/>
    <s v="Secundaria"/>
    <s v="4 Secundaria"/>
    <s v="60133"/>
    <s v="Rural"/>
    <s v="Masculino"/>
    <x v="0"/>
  </r>
  <r>
    <n v="2141"/>
    <x v="3"/>
    <s v="Secundaria"/>
    <s v="4 Secundaria"/>
    <s v="60133"/>
    <s v="Rural"/>
    <s v="Masculino"/>
    <x v="0"/>
  </r>
  <r>
    <n v="2142"/>
    <x v="3"/>
    <s v="Secundaria"/>
    <s v="4 Secundaria"/>
    <s v="60133"/>
    <s v="Rural"/>
    <s v="Masculino"/>
    <x v="0"/>
  </r>
  <r>
    <n v="2143"/>
    <x v="3"/>
    <s v="Secundaria"/>
    <s v="4 Secundaria"/>
    <s v="60133"/>
    <s v="Rural"/>
    <s v="Femenino"/>
    <x v="0"/>
  </r>
  <r>
    <n v="2144"/>
    <x v="3"/>
    <s v="Secundaria"/>
    <s v="4 Secundaria"/>
    <s v="60133"/>
    <s v="Rural"/>
    <s v="Femenino"/>
    <x v="0"/>
  </r>
  <r>
    <n v="2145"/>
    <x v="3"/>
    <s v="Secundaria"/>
    <s v="4 Secundaria"/>
    <s v="60133"/>
    <s v="Rural"/>
    <s v="Femenino"/>
    <x v="0"/>
  </r>
  <r>
    <n v="2146"/>
    <x v="3"/>
    <s v="Secundaria"/>
    <s v="4 Secundaria"/>
    <s v="60133"/>
    <s v="Rural"/>
    <s v="Femenino"/>
    <x v="0"/>
  </r>
  <r>
    <n v="2147"/>
    <x v="3"/>
    <s v="Secundaria"/>
    <s v="4 Secundaria"/>
    <s v="60133"/>
    <s v="Rural"/>
    <s v="Masculino"/>
    <x v="0"/>
  </r>
  <r>
    <n v="2148"/>
    <x v="3"/>
    <s v="Secundaria"/>
    <s v="4 Secundaria"/>
    <s v="60133"/>
    <s v="Rural"/>
    <s v="Masculino"/>
    <x v="0"/>
  </r>
  <r>
    <n v="2149"/>
    <x v="3"/>
    <s v="Secundaria"/>
    <s v="4 Secundaria"/>
    <s v="60133"/>
    <s v="Rural"/>
    <s v="Femenino"/>
    <x v="0"/>
  </r>
  <r>
    <n v="2150"/>
    <x v="3"/>
    <s v="Secundaria"/>
    <s v="4 Secundaria"/>
    <s v="60133"/>
    <s v="Rural"/>
    <s v="Masculino"/>
    <x v="0"/>
  </r>
  <r>
    <n v="2151"/>
    <x v="3"/>
    <s v="Secundaria"/>
    <s v="4 Secundaria"/>
    <s v="60133"/>
    <s v="Rural"/>
    <s v="Femenino"/>
    <x v="0"/>
  </r>
  <r>
    <n v="2152"/>
    <x v="3"/>
    <s v="Secundaria"/>
    <s v="4 Secundaria"/>
    <s v="60133"/>
    <s v="Rural"/>
    <s v="Femenino"/>
    <x v="0"/>
  </r>
  <r>
    <n v="2153"/>
    <x v="3"/>
    <s v="Secundaria"/>
    <s v="4 Secundaria"/>
    <s v="60133"/>
    <s v="Rural"/>
    <s v="Femenino"/>
    <x v="0"/>
  </r>
  <r>
    <n v="2154"/>
    <x v="3"/>
    <s v="Secundaria"/>
    <s v="4 Secundaria"/>
    <s v="60133"/>
    <s v="Rural"/>
    <s v="Masculino"/>
    <x v="0"/>
  </r>
  <r>
    <n v="2155"/>
    <x v="3"/>
    <s v="Secundaria"/>
    <s v="4 Secundaria"/>
    <s v="60133"/>
    <s v="Rural"/>
    <s v="Masculino"/>
    <x v="0"/>
  </r>
  <r>
    <n v="2156"/>
    <x v="3"/>
    <s v="Secundaria"/>
    <s v="4 Secundaria"/>
    <s v="60133"/>
    <s v="Rural"/>
    <s v="Masculino"/>
    <x v="0"/>
  </r>
  <r>
    <n v="2157"/>
    <x v="3"/>
    <s v="Primaria"/>
    <s v="6 Primaria"/>
    <s v="601331"/>
    <s v="Rural"/>
    <s v="Femenino"/>
    <x v="0"/>
  </r>
  <r>
    <n v="2158"/>
    <x v="3"/>
    <s v="Primaria"/>
    <s v="6 Primaria"/>
    <s v="601331"/>
    <s v="Rural"/>
    <s v="Masculino"/>
    <x v="0"/>
  </r>
  <r>
    <n v="2159"/>
    <x v="3"/>
    <s v="Primaria"/>
    <s v="6 Primaria"/>
    <s v="601331"/>
    <s v="Rural"/>
    <s v="Masculino"/>
    <x v="0"/>
  </r>
  <r>
    <n v="2160"/>
    <x v="3"/>
    <s v="Primaria"/>
    <s v="6 Primaria"/>
    <s v="601331"/>
    <s v="Rural"/>
    <s v="Masculino"/>
    <x v="0"/>
  </r>
  <r>
    <n v="2161"/>
    <x v="3"/>
    <s v="Primaria"/>
    <s v="6 Primaria"/>
    <s v="601331"/>
    <s v="Rural"/>
    <s v="Femenino"/>
    <x v="0"/>
  </r>
  <r>
    <n v="2162"/>
    <x v="3"/>
    <s v="Primaria"/>
    <s v="6 Primaria"/>
    <s v="601331"/>
    <s v="Rural"/>
    <s v="Femenino"/>
    <x v="0"/>
  </r>
  <r>
    <n v="2163"/>
    <x v="3"/>
    <s v="Primaria"/>
    <s v="6 Primaria"/>
    <s v="601331"/>
    <s v="Rural"/>
    <s v="Femenino"/>
    <x v="0"/>
  </r>
  <r>
    <n v="2164"/>
    <x v="3"/>
    <s v="Primaria"/>
    <s v="6 Primaria"/>
    <s v="601331"/>
    <s v="Rural"/>
    <s v="Masculino"/>
    <x v="0"/>
  </r>
  <r>
    <n v="2165"/>
    <x v="3"/>
    <s v="Primaria"/>
    <s v="6 Primaria"/>
    <s v="601331"/>
    <s v="Rural"/>
    <s v="Femenino"/>
    <x v="0"/>
  </r>
  <r>
    <n v="2166"/>
    <x v="3"/>
    <s v="Primaria"/>
    <s v="6 Primaria"/>
    <s v="6010230 BARBARA D'ACHILLE"/>
    <s v="Rural"/>
    <s v="Masculino"/>
    <x v="0"/>
  </r>
  <r>
    <n v="2167"/>
    <x v="3"/>
    <s v="Primaria"/>
    <s v="6 Primaria"/>
    <s v="6010230 BARBARA D'ACHILLE"/>
    <s v="Rural"/>
    <s v="Femenino"/>
    <x v="0"/>
  </r>
  <r>
    <n v="2168"/>
    <x v="3"/>
    <s v="Primaria"/>
    <s v="6 Primaria"/>
    <s v="6010230 BARBARA D'ACHILLE"/>
    <s v="Rural"/>
    <s v="Masculino"/>
    <x v="0"/>
  </r>
  <r>
    <n v="2169"/>
    <x v="3"/>
    <s v="Primaria"/>
    <s v="6 Primaria"/>
    <s v="6010230 BARBARA D'ACHILLE"/>
    <s v="Rural"/>
    <s v="Masculino"/>
    <x v="0"/>
  </r>
  <r>
    <n v="2170"/>
    <x v="3"/>
    <s v="Primaria"/>
    <s v="6 Primaria"/>
    <s v="60133"/>
    <s v="Rural"/>
    <s v="Masculino"/>
    <x v="0"/>
  </r>
  <r>
    <n v="2171"/>
    <x v="3"/>
    <s v="Primaria"/>
    <s v="6 Primaria"/>
    <s v="60133"/>
    <s v="Rural"/>
    <s v="Masculino"/>
    <x v="0"/>
  </r>
  <r>
    <n v="2172"/>
    <x v="3"/>
    <s v="Primaria"/>
    <s v="6 Primaria"/>
    <s v="60133"/>
    <s v="Rural"/>
    <s v="Masculino"/>
    <x v="1"/>
  </r>
  <r>
    <n v="2731"/>
    <x v="4"/>
    <s v="Primaria"/>
    <s v="2 Primaria"/>
    <s v="88225 CAPTUY"/>
    <s v="Rural"/>
    <s v="Femenino"/>
    <x v="0"/>
  </r>
  <r>
    <n v="2732"/>
    <x v="4"/>
    <s v="Primaria"/>
    <s v="2 Primaria"/>
    <s v="86809"/>
    <s v="Rural"/>
    <s v="Masculino"/>
    <x v="0"/>
  </r>
  <r>
    <n v="2733"/>
    <x v="4"/>
    <s v="Primaria"/>
    <s v="2 Primaria"/>
    <s v="88327"/>
    <s v="Rural"/>
    <s v="Masculino"/>
    <x v="0"/>
  </r>
  <r>
    <n v="2734"/>
    <x v="4"/>
    <s v="Secundaria"/>
    <s v="2 Secundaria"/>
    <s v="86548 JOSE MARIA VELAZ"/>
    <s v="Rural"/>
    <s v="Femenino"/>
    <x v="0"/>
  </r>
  <r>
    <n v="2735"/>
    <x v="4"/>
    <s v="Secundaria"/>
    <s v="2 Secundaria"/>
    <s v="86548 JOSE MARIA VELAZ"/>
    <s v="Rural"/>
    <s v="Femenino"/>
    <x v="0"/>
  </r>
  <r>
    <n v="2736"/>
    <x v="4"/>
    <s v="Secundaria"/>
    <s v="2 Secundaria"/>
    <s v="86548 JOSE MARIA VELAZ"/>
    <s v="Rural"/>
    <s v="Femenino"/>
    <x v="0"/>
  </r>
  <r>
    <n v="2737"/>
    <x v="4"/>
    <s v="Secundaria"/>
    <s v="2 Secundaria"/>
    <s v="86548 JOSE MARIA VELAZ"/>
    <s v="Rural"/>
    <s v="Masculino"/>
    <x v="0"/>
  </r>
  <r>
    <n v="2738"/>
    <x v="4"/>
    <s v="Secundaria"/>
    <s v="2 Secundaria"/>
    <s v="86548 JOSE MARIA VELAZ"/>
    <s v="Rural"/>
    <s v="Femenino"/>
    <x v="0"/>
  </r>
  <r>
    <n v="2739"/>
    <x v="4"/>
    <s v="Secundaria"/>
    <s v="2 Secundaria"/>
    <s v="86769 ABRAHAM VALDELOMAR"/>
    <s v="Rural"/>
    <s v="Femenino"/>
    <x v="0"/>
  </r>
  <r>
    <n v="2740"/>
    <x v="4"/>
    <s v="Secundaria"/>
    <s v="2 Secundaria"/>
    <s v="86769 ABRAHAM VALDELOMAR"/>
    <s v="Rural"/>
    <s v="Femenino"/>
    <x v="0"/>
  </r>
  <r>
    <n v="2741"/>
    <x v="4"/>
    <s v="Secundaria"/>
    <s v="2 Secundaria"/>
    <s v="86769 ABRAHAM VALDELOMAR"/>
    <s v="Rural"/>
    <s v="Masculino"/>
    <x v="0"/>
  </r>
  <r>
    <n v="2742"/>
    <x v="4"/>
    <s v="Primaria"/>
    <s v="4 Primaria"/>
    <s v="88225 CAPTUY"/>
    <s v="Rural"/>
    <s v="Masculino"/>
    <x v="0"/>
  </r>
  <r>
    <n v="2743"/>
    <x v="4"/>
    <s v="Primaria"/>
    <s v="4 Primaria"/>
    <s v="88225 CAPTUY"/>
    <s v="Rural"/>
    <s v="Femenino"/>
    <x v="0"/>
  </r>
  <r>
    <n v="2744"/>
    <x v="4"/>
    <s v="Primaria"/>
    <s v="4 Primaria"/>
    <s v="88225 CAPTUY"/>
    <s v="Rural"/>
    <s v="Masculino"/>
    <x v="0"/>
  </r>
  <r>
    <n v="2745"/>
    <x v="4"/>
    <s v="Primaria"/>
    <s v="4 Primaria"/>
    <s v="86809"/>
    <s v="Rural"/>
    <s v="Masculino"/>
    <x v="0"/>
  </r>
  <r>
    <n v="2746"/>
    <x v="4"/>
    <s v="Primaria"/>
    <s v="4 Primaria"/>
    <s v="86769 ABRAHAM VALDELOMAR"/>
    <s v="Rural"/>
    <s v="Masculino"/>
    <x v="0"/>
  </r>
  <r>
    <n v="2747"/>
    <x v="4"/>
    <s v="Primaria"/>
    <s v="4 Primaria"/>
    <s v="86769 ABRAHAM VALDELOMAR"/>
    <s v="Rural"/>
    <s v="Masculino"/>
    <x v="0"/>
  </r>
  <r>
    <n v="2748"/>
    <x v="4"/>
    <s v="Primaria"/>
    <s v="4 Primaria"/>
    <s v="86769 ABRAHAM VALDELOMAR"/>
    <s v="Rural"/>
    <s v="Masculino"/>
    <x v="0"/>
  </r>
  <r>
    <n v="2749"/>
    <x v="4"/>
    <s v="Secundaria"/>
    <s v="4 Secundaria"/>
    <s v="86548 JOSE MARIA VELAZ"/>
    <s v="Rural"/>
    <s v="Femenino"/>
    <x v="0"/>
  </r>
  <r>
    <n v="2750"/>
    <x v="4"/>
    <s v="Secundaria"/>
    <s v="4 Secundaria"/>
    <s v="86548 JOSE MARIA VELAZ"/>
    <s v="Rural"/>
    <s v="Femenino"/>
    <x v="0"/>
  </r>
  <r>
    <n v="2751"/>
    <x v="4"/>
    <s v="Primaria"/>
    <s v="6 Primaria"/>
    <s v="88225 CAPTUY"/>
    <s v="Rural"/>
    <s v="Femenino"/>
    <x v="1"/>
  </r>
  <r>
    <n v="2752"/>
    <x v="4"/>
    <s v="Primaria"/>
    <s v="6 Primaria"/>
    <s v="88225 CAPTUY"/>
    <s v="Rural"/>
    <s v="Femenino"/>
    <x v="1"/>
  </r>
  <r>
    <n v="2753"/>
    <x v="4"/>
    <s v="Primaria"/>
    <s v="6 Primaria"/>
    <s v="88225 CAPTUY"/>
    <s v="Rural"/>
    <s v="Femenino"/>
    <x v="1"/>
  </r>
  <r>
    <n v="2754"/>
    <x v="4"/>
    <s v="Primaria"/>
    <s v="6 Primaria"/>
    <s v="88225 CAPTUY"/>
    <s v="Rural"/>
    <s v="Masculino"/>
    <x v="1"/>
  </r>
  <r>
    <n v="2755"/>
    <x v="4"/>
    <s v="Primaria"/>
    <s v="6 Primaria"/>
    <s v="88225 CAPTUY"/>
    <s v="Rural"/>
    <s v="Masculino"/>
    <x v="1"/>
  </r>
  <r>
    <n v="2756"/>
    <x v="4"/>
    <s v="Primaria"/>
    <s v="6 Primaria"/>
    <s v="88225 CAPTUY"/>
    <s v="Rural"/>
    <s v="Masculino"/>
    <x v="1"/>
  </r>
  <r>
    <n v="2757"/>
    <x v="4"/>
    <s v="Primaria"/>
    <s v="6 Primaria"/>
    <s v="88225 CAPTUY"/>
    <s v="Rural"/>
    <s v="Masculino"/>
    <x v="1"/>
  </r>
  <r>
    <n v="2758"/>
    <x v="4"/>
    <s v="Primaria"/>
    <s v="6 Primaria"/>
    <s v="88225 CAPTUY"/>
    <s v="Rural"/>
    <s v="Masculino"/>
    <x v="1"/>
  </r>
  <r>
    <n v="2759"/>
    <x v="4"/>
    <s v="Primaria"/>
    <s v="6 Primaria"/>
    <s v="88225 CAPTUY"/>
    <s v="Rural"/>
    <s v="Femenino"/>
    <x v="1"/>
  </r>
  <r>
    <n v="2760"/>
    <x v="4"/>
    <s v="Primaria"/>
    <s v="6 Primaria"/>
    <s v="88225 CAPTUY"/>
    <s v="Rural"/>
    <s v="Masculino"/>
    <x v="1"/>
  </r>
  <r>
    <n v="2761"/>
    <x v="4"/>
    <s v="Primaria"/>
    <s v="6 Primaria"/>
    <s v="86809"/>
    <s v="Rural"/>
    <s v="Masculino"/>
    <x v="1"/>
  </r>
  <r>
    <n v="2762"/>
    <x v="4"/>
    <s v="Primaria"/>
    <s v="6 Primaria"/>
    <s v="86809"/>
    <s v="Rural"/>
    <s v="Femenino"/>
    <x v="0"/>
  </r>
  <r>
    <n v="2763"/>
    <x v="4"/>
    <s v="Primaria"/>
    <s v="6 Primaria"/>
    <s v="86809"/>
    <s v="Rural"/>
    <s v="Masculino"/>
    <x v="1"/>
  </r>
  <r>
    <n v="2764"/>
    <x v="4"/>
    <s v="Primaria"/>
    <s v="6 Primaria"/>
    <s v="86809"/>
    <s v="Rural"/>
    <s v="Masculino"/>
    <x v="1"/>
  </r>
  <r>
    <n v="2765"/>
    <x v="4"/>
    <s v="Primaria"/>
    <s v="6 Primaria"/>
    <s v="88327"/>
    <s v="Rural"/>
    <s v="Masculino"/>
    <x v="0"/>
  </r>
  <r>
    <n v="2766"/>
    <x v="4"/>
    <s v="Primaria"/>
    <s v="6 Primaria"/>
    <s v="88327"/>
    <s v="Rural"/>
    <s v="Masculino"/>
    <x v="1"/>
  </r>
  <r>
    <n v="2767"/>
    <x v="4"/>
    <s v="Primaria"/>
    <s v="6 Primaria"/>
    <s v="86769 ABRAHAM VALDELOMAR"/>
    <s v="Rural"/>
    <s v="Masculino"/>
    <x v="0"/>
  </r>
  <r>
    <n v="3349"/>
    <x v="1"/>
    <s v="Primaria"/>
    <s v="2 Primaria"/>
    <s v="64346"/>
    <s v="Rural"/>
    <s v="Masculino"/>
    <x v="1"/>
  </r>
  <r>
    <n v="3350"/>
    <x v="1"/>
    <s v="Primaria"/>
    <s v="2 Primaria"/>
    <s v="64115"/>
    <s v="Rural"/>
    <s v="Masculino"/>
    <x v="1"/>
  </r>
  <r>
    <n v="3351"/>
    <x v="1"/>
    <s v="Primaria"/>
    <s v="2 Primaria"/>
    <s v="64115"/>
    <s v="Rural"/>
    <s v="Masculino"/>
    <x v="1"/>
  </r>
  <r>
    <n v="3352"/>
    <x v="1"/>
    <s v="Primaria"/>
    <s v="2 Primaria"/>
    <s v="64115"/>
    <s v="Rural"/>
    <s v="Femenino"/>
    <x v="1"/>
  </r>
  <r>
    <n v="3353"/>
    <x v="1"/>
    <s v="Primaria"/>
    <s v="2 Primaria"/>
    <s v="64115"/>
    <s v="Rural"/>
    <s v="Masculino"/>
    <x v="1"/>
  </r>
  <r>
    <n v="3354"/>
    <x v="1"/>
    <s v="Primaria"/>
    <s v="2 Primaria"/>
    <s v="64028"/>
    <s v="Rural"/>
    <s v="Masculino"/>
    <x v="1"/>
  </r>
  <r>
    <n v="3355"/>
    <x v="1"/>
    <s v="Primaria"/>
    <s v="2 Primaria"/>
    <s v="64028"/>
    <s v="Rural"/>
    <s v="Femenino"/>
    <x v="1"/>
  </r>
  <r>
    <n v="3356"/>
    <x v="1"/>
    <s v="Primaria"/>
    <s v="2 Primaria"/>
    <s v="64028"/>
    <s v="Rural"/>
    <s v="Femenino"/>
    <x v="1"/>
  </r>
  <r>
    <n v="3357"/>
    <x v="1"/>
    <s v="Primaria"/>
    <s v="2 Primaria"/>
    <s v="64028"/>
    <s v="Rural"/>
    <s v="Femenino"/>
    <x v="2"/>
  </r>
  <r>
    <n v="3358"/>
    <x v="1"/>
    <s v="Primaria"/>
    <s v="4 Primaria"/>
    <s v="65199"/>
    <s v="Rural"/>
    <s v="Masculino"/>
    <x v="2"/>
  </r>
  <r>
    <n v="3359"/>
    <x v="1"/>
    <s v="Primaria"/>
    <s v="4 Primaria"/>
    <s v="64829"/>
    <s v="Rural"/>
    <s v="Masculino"/>
    <x v="1"/>
  </r>
  <r>
    <n v="3360"/>
    <x v="1"/>
    <s v="Primaria"/>
    <s v="4 Primaria"/>
    <s v="65199"/>
    <s v="Rural"/>
    <s v="Femenino"/>
    <x v="2"/>
  </r>
  <r>
    <n v="3361"/>
    <x v="1"/>
    <s v="Primaria"/>
    <s v="4 Primaria"/>
    <s v="64115"/>
    <s v="Rural"/>
    <s v="Masculino"/>
    <x v="2"/>
  </r>
  <r>
    <n v="3362"/>
    <x v="1"/>
    <s v="Primaria"/>
    <s v="4 Primaria"/>
    <s v="65199"/>
    <s v="Rural"/>
    <s v="Femenino"/>
    <x v="2"/>
  </r>
  <r>
    <n v="3363"/>
    <x v="1"/>
    <s v="Primaria"/>
    <s v="4 Primaria"/>
    <s v="65199"/>
    <s v="Rural"/>
    <s v="Femenino"/>
    <x v="2"/>
  </r>
  <r>
    <n v="3364"/>
    <x v="1"/>
    <s v="Primaria"/>
    <s v="4 Primaria"/>
    <s v="64048"/>
    <s v="Rural"/>
    <s v="Masculino"/>
    <x v="1"/>
  </r>
  <r>
    <n v="3365"/>
    <x v="1"/>
    <s v="Primaria"/>
    <s v="4 Primaria"/>
    <s v="64048"/>
    <s v="Rural"/>
    <s v="Masculino"/>
    <x v="1"/>
  </r>
  <r>
    <n v="3366"/>
    <x v="1"/>
    <s v="Primaria"/>
    <s v="4 Primaria"/>
    <s v="64028"/>
    <s v="Rural"/>
    <s v="Masculino"/>
    <x v="1"/>
  </r>
  <r>
    <n v="3367"/>
    <x v="1"/>
    <s v="Primaria"/>
    <s v="4 Primaria"/>
    <s v="64028"/>
    <s v="Rural"/>
    <s v="Masculino"/>
    <x v="1"/>
  </r>
  <r>
    <n v="3368"/>
    <x v="1"/>
    <s v="Primaria"/>
    <s v="4 Primaria"/>
    <s v="64028"/>
    <s v="Rural"/>
    <s v="Masculino"/>
    <x v="2"/>
  </r>
  <r>
    <n v="3369"/>
    <x v="1"/>
    <s v="Primaria"/>
    <s v="4 Primaria"/>
    <s v="64028"/>
    <s v="Rural"/>
    <s v="Femenino"/>
    <x v="1"/>
  </r>
  <r>
    <n v="3370"/>
    <x v="1"/>
    <s v="Primaria"/>
    <s v="4 Primaria"/>
    <s v="64028"/>
    <s v="Rural"/>
    <s v="Femenino"/>
    <x v="2"/>
  </r>
  <r>
    <n v="3371"/>
    <x v="1"/>
    <s v="Primaria"/>
    <s v="4 Primaria"/>
    <s v="64028"/>
    <s v="Rural"/>
    <s v="Femenino"/>
    <x v="1"/>
  </r>
  <r>
    <n v="3372"/>
    <x v="1"/>
    <s v="Primaria"/>
    <s v="4 Primaria"/>
    <s v="64028"/>
    <s v="Rural"/>
    <s v="Femenino"/>
    <x v="1"/>
  </r>
  <r>
    <n v="3373"/>
    <x v="1"/>
    <s v="Primaria"/>
    <s v="4 Primaria"/>
    <s v="64028"/>
    <s v="Rural"/>
    <s v="Femenino"/>
    <x v="2"/>
  </r>
  <r>
    <n v="3374"/>
    <x v="1"/>
    <s v="Primaria"/>
    <s v="4 Primaria"/>
    <s v="64028"/>
    <s v="Rural"/>
    <s v="Femenino"/>
    <x v="2"/>
  </r>
  <r>
    <n v="3375"/>
    <x v="1"/>
    <s v="Primaria"/>
    <s v="4 Primaria"/>
    <s v="64028"/>
    <s v="Rural"/>
    <s v="Femenino"/>
    <x v="1"/>
  </r>
  <r>
    <n v="3376"/>
    <x v="1"/>
    <s v="Primaria"/>
    <s v="4 Primaria"/>
    <s v="64028"/>
    <s v="Rural"/>
    <s v="Femenino"/>
    <x v="2"/>
  </r>
  <r>
    <n v="3377"/>
    <x v="1"/>
    <s v="Primaria"/>
    <s v="4 Primaria"/>
    <s v="64028"/>
    <s v="Rural"/>
    <s v="Masculino"/>
    <x v="2"/>
  </r>
  <r>
    <n v="3378"/>
    <x v="1"/>
    <s v="Primaria"/>
    <s v="6 Primaria"/>
    <s v="64346"/>
    <s v="Rural"/>
    <s v="Masculino"/>
    <x v="2"/>
  </r>
  <r>
    <n v="3379"/>
    <x v="1"/>
    <s v="Primaria"/>
    <s v="6 Primaria"/>
    <s v="64829"/>
    <s v="Rural"/>
    <s v="Masculino"/>
    <x v="2"/>
  </r>
  <r>
    <n v="3380"/>
    <x v="1"/>
    <s v="Primaria"/>
    <s v="6 Primaria"/>
    <s v="65199"/>
    <s v="Rural"/>
    <s v="Masculino"/>
    <x v="2"/>
  </r>
  <r>
    <n v="3381"/>
    <x v="1"/>
    <s v="Primaria"/>
    <s v="6 Primaria"/>
    <s v="65199"/>
    <s v="Rural"/>
    <s v="Masculino"/>
    <x v="2"/>
  </r>
  <r>
    <n v="3382"/>
    <x v="1"/>
    <s v="Primaria"/>
    <s v="6 Primaria"/>
    <s v="65199"/>
    <s v="Rural"/>
    <s v="Masculino"/>
    <x v="2"/>
  </r>
  <r>
    <n v="3383"/>
    <x v="1"/>
    <s v="Primaria"/>
    <s v="6 Primaria"/>
    <s v="64115"/>
    <s v="Rural"/>
    <s v="Masculino"/>
    <x v="2"/>
  </r>
  <r>
    <n v="3384"/>
    <x v="1"/>
    <s v="Primaria"/>
    <s v="6 Primaria"/>
    <s v="64115"/>
    <s v="Rural"/>
    <s v="Femenino"/>
    <x v="1"/>
  </r>
  <r>
    <n v="3385"/>
    <x v="1"/>
    <s v="Primaria"/>
    <s v="6 Primaria"/>
    <s v="64048"/>
    <s v="Rural"/>
    <s v="Masculino"/>
    <x v="1"/>
  </r>
  <r>
    <n v="3386"/>
    <x v="1"/>
    <s v="Primaria"/>
    <s v="6 Primaria"/>
    <s v="64048"/>
    <s v="Rural"/>
    <s v="Masculino"/>
    <x v="1"/>
  </r>
  <r>
    <n v="3387"/>
    <x v="1"/>
    <s v="Primaria"/>
    <s v="6 Primaria"/>
    <s v="64115"/>
    <s v="Rural"/>
    <s v="Femenino"/>
    <x v="1"/>
  </r>
  <r>
    <n v="3388"/>
    <x v="1"/>
    <s v="Primaria"/>
    <s v="6 Primaria"/>
    <s v="64048"/>
    <s v="Rural"/>
    <s v="Femenino"/>
    <x v="2"/>
  </r>
  <r>
    <n v="3389"/>
    <x v="1"/>
    <s v="Primaria"/>
    <s v="6 Primaria"/>
    <s v="64048"/>
    <s v="Rural"/>
    <s v="Femenino"/>
    <x v="2"/>
  </r>
  <r>
    <n v="3390"/>
    <x v="1"/>
    <s v="Primaria"/>
    <s v="6 Primaria"/>
    <s v="64028"/>
    <s v="Rural"/>
    <s v="Masculino"/>
    <x v="1"/>
  </r>
  <r>
    <n v="3391"/>
    <x v="1"/>
    <s v="Primaria"/>
    <s v="6 Primaria"/>
    <s v="64028"/>
    <s v="Rural"/>
    <s v="Femenino"/>
    <x v="2"/>
  </r>
  <r>
    <n v="3392"/>
    <x v="1"/>
    <s v="Primaria"/>
    <s v="6 Primaria"/>
    <s v="64028"/>
    <s v="Rural"/>
    <s v="Femenino"/>
    <x v="2"/>
  </r>
  <r>
    <n v="3393"/>
    <x v="1"/>
    <s v="Primaria"/>
    <s v="6 Primaria"/>
    <s v="64028"/>
    <s v="Rural"/>
    <s v="Masculino"/>
    <x v="2"/>
  </r>
  <r>
    <n v="3394"/>
    <x v="1"/>
    <s v="Primaria"/>
    <s v="6 Primaria"/>
    <s v="64028"/>
    <s v="Rural"/>
    <s v="Masculino"/>
    <x v="2"/>
  </r>
  <r>
    <n v="3395"/>
    <x v="1"/>
    <s v="Primaria"/>
    <s v="6 Primaria"/>
    <s v="64028"/>
    <s v="Rural"/>
    <s v="Masculino"/>
    <x v="2"/>
  </r>
  <r>
    <n v="3396"/>
    <x v="1"/>
    <s v="Primaria"/>
    <s v="6 Primaria"/>
    <s v="64028"/>
    <s v="Rural"/>
    <s v="Femenino"/>
    <x v="2"/>
  </r>
  <r>
    <n v="3540"/>
    <x v="2"/>
    <s v="Primaria"/>
    <s v="2 Primaria"/>
    <s v="36161 SAN VICENTE DE PAUL"/>
    <s v="Rural"/>
    <s v="Femenino"/>
    <x v="0"/>
  </r>
  <r>
    <n v="3541"/>
    <x v="2"/>
    <s v="Primaria"/>
    <s v="2 Primaria"/>
    <s v="36161 SAN VICENTE DE PAUL"/>
    <s v="Rural"/>
    <s v="Femenino"/>
    <x v="0"/>
  </r>
  <r>
    <n v="3542"/>
    <x v="2"/>
    <s v="Primaria"/>
    <s v="2 Primaria"/>
    <s v="36161 SAN VICENTE DE PAUL"/>
    <s v="Rural"/>
    <s v="Masculino"/>
    <x v="0"/>
  </r>
  <r>
    <n v="3543"/>
    <x v="2"/>
    <s v="Primaria"/>
    <s v="2 Primaria"/>
    <s v="36161 SAN VICENTE DE PAUL"/>
    <s v="Rural"/>
    <s v="Femenino"/>
    <x v="0"/>
  </r>
  <r>
    <n v="3544"/>
    <x v="2"/>
    <s v="Primaria"/>
    <s v="2 Primaria"/>
    <s v="36166 HEROES 29 DE AGOSTO"/>
    <s v="Rural"/>
    <s v="Femenino"/>
    <x v="0"/>
  </r>
  <r>
    <n v="3545"/>
    <x v="2"/>
    <s v="Primaria"/>
    <s v="2 Primaria"/>
    <s v="36166 HEROES 29 DE AGOSTO"/>
    <s v="Rural"/>
    <s v="Femenino"/>
    <x v="1"/>
  </r>
  <r>
    <n v="3546"/>
    <x v="2"/>
    <s v="Primaria"/>
    <s v="2 Primaria"/>
    <s v="36166 HEROES 29 DE AGOSTO"/>
    <s v="Rural"/>
    <s v="Femenino"/>
    <x v="0"/>
  </r>
  <r>
    <n v="3547"/>
    <x v="2"/>
    <s v="Primaria"/>
    <s v="2 Primaria"/>
    <s v="36166 HEROES 29 DE AGOSTO"/>
    <s v="Rural"/>
    <s v="Masculino"/>
    <x v="0"/>
  </r>
  <r>
    <n v="3548"/>
    <x v="2"/>
    <s v="Primaria"/>
    <s v="2 Primaria"/>
    <s v="36166 HEROES 29 DE AGOSTO"/>
    <s v="Rural"/>
    <s v="Femenino"/>
    <x v="0"/>
  </r>
  <r>
    <n v="3549"/>
    <x v="2"/>
    <s v="Primaria"/>
    <s v="2 Primaria"/>
    <s v="36207"/>
    <s v="Rural"/>
    <s v="Femenino"/>
    <x v="0"/>
  </r>
  <r>
    <n v="3550"/>
    <x v="2"/>
    <s v="Secundaria"/>
    <s v="2 Secundaria"/>
    <s v="JORGE CHAVEZ"/>
    <s v="Rural"/>
    <s v="Masculino"/>
    <x v="1"/>
  </r>
  <r>
    <n v="3551"/>
    <x v="2"/>
    <s v="Secundaria"/>
    <s v="2 Secundaria"/>
    <s v="JORGE CHAVEZ"/>
    <s v="Rural"/>
    <s v="Femenino"/>
    <x v="2"/>
  </r>
  <r>
    <n v="3552"/>
    <x v="2"/>
    <s v="Secundaria"/>
    <s v="2 Secundaria"/>
    <s v="JORGE CHAVEZ"/>
    <s v="Rural"/>
    <s v="Masculino"/>
    <x v="0"/>
  </r>
  <r>
    <n v="3553"/>
    <x v="2"/>
    <s v="Secundaria"/>
    <s v="2 Secundaria"/>
    <s v="JORGE CHAVEZ"/>
    <s v="Rural"/>
    <s v="Masculino"/>
    <x v="0"/>
  </r>
  <r>
    <n v="3554"/>
    <x v="2"/>
    <s v="Secundaria"/>
    <s v="2 Secundaria"/>
    <s v="JORGE CHAVEZ"/>
    <s v="Rural"/>
    <s v="Femenino"/>
    <x v="0"/>
  </r>
  <r>
    <n v="3555"/>
    <x v="2"/>
    <s v="Secundaria"/>
    <s v="2 Secundaria"/>
    <s v="JORGE CHAVEZ"/>
    <s v="Rural"/>
    <s v="Femenino"/>
    <x v="2"/>
  </r>
  <r>
    <n v="3556"/>
    <x v="2"/>
    <s v="Secundaria"/>
    <s v="2 Secundaria"/>
    <s v="JORGE CHAVEZ"/>
    <s v="Rural"/>
    <s v="Masculino"/>
    <x v="2"/>
  </r>
  <r>
    <n v="3557"/>
    <x v="2"/>
    <s v="Secundaria"/>
    <s v="2 Secundaria"/>
    <s v="JORGE CHAVEZ"/>
    <s v="Rural"/>
    <s v="Masculino"/>
    <x v="0"/>
  </r>
  <r>
    <n v="3558"/>
    <x v="2"/>
    <s v="Secundaria"/>
    <s v="2 Secundaria"/>
    <s v="JORGE CHAVEZ"/>
    <s v="Rural"/>
    <s v="Masculino"/>
    <x v="1"/>
  </r>
  <r>
    <n v="3559"/>
    <x v="2"/>
    <s v="Secundaria"/>
    <s v="2 Secundaria"/>
    <s v="JORGE CHAVEZ"/>
    <s v="Rural"/>
    <s v="Masculino"/>
    <x v="0"/>
  </r>
  <r>
    <n v="3560"/>
    <x v="2"/>
    <s v="Secundaria"/>
    <s v="2 Secundaria"/>
    <s v="JORGE CHAVEZ"/>
    <s v="Rural"/>
    <s v="Masculino"/>
    <x v="2"/>
  </r>
  <r>
    <n v="3561"/>
    <x v="2"/>
    <s v="Secundaria"/>
    <s v="2 Secundaria"/>
    <s v="JORGE CHAVEZ"/>
    <s v="Rural"/>
    <s v="Masculino"/>
    <x v="0"/>
  </r>
  <r>
    <n v="3562"/>
    <x v="2"/>
    <s v="Secundaria"/>
    <s v="2 Secundaria"/>
    <s v="JORGE CHAVEZ"/>
    <s v="Rural"/>
    <s v="Femenino"/>
    <x v="2"/>
  </r>
  <r>
    <n v="3563"/>
    <x v="2"/>
    <s v="Secundaria"/>
    <s v="2 Secundaria"/>
    <s v="JORGE CHAVEZ"/>
    <s v="Rural"/>
    <s v="Femenino"/>
    <x v="0"/>
  </r>
  <r>
    <n v="3564"/>
    <x v="2"/>
    <s v="Secundaria"/>
    <s v="2 Secundaria"/>
    <s v="JORGE CHAVEZ"/>
    <s v="Rural"/>
    <s v="Femenino"/>
    <x v="0"/>
  </r>
  <r>
    <n v="3565"/>
    <x v="2"/>
    <s v="Secundaria"/>
    <s v="2 Secundaria"/>
    <s v="JORGE CHAVEZ"/>
    <s v="Rural"/>
    <s v="Femenino"/>
    <x v="2"/>
  </r>
  <r>
    <n v="3566"/>
    <x v="2"/>
    <s v="Secundaria"/>
    <s v="2 Secundaria"/>
    <s v="JOSE CARLOS MARIATEGUI"/>
    <s v="Rural"/>
    <s v="Femenino"/>
    <x v="0"/>
  </r>
  <r>
    <n v="3567"/>
    <x v="2"/>
    <s v="Secundaria"/>
    <s v="2 Secundaria"/>
    <s v="RAMON CASTILLA MARQUEZADO"/>
    <s v="Rural"/>
    <s v="Masculino"/>
    <x v="1"/>
  </r>
  <r>
    <n v="3568"/>
    <x v="2"/>
    <s v="Secundaria"/>
    <s v="2 Secundaria"/>
    <s v="RAMON CASTILLA MARQUEZADO"/>
    <s v="Rural"/>
    <s v="Masculino"/>
    <x v="2"/>
  </r>
  <r>
    <n v="3569"/>
    <x v="2"/>
    <s v="Secundaria"/>
    <s v="2 Secundaria"/>
    <s v="RAMON CASTILLA MARQUEZADO"/>
    <s v="Rural"/>
    <s v="Masculino"/>
    <x v="0"/>
  </r>
  <r>
    <n v="3570"/>
    <x v="2"/>
    <s v="Secundaria"/>
    <s v="2 Secundaria"/>
    <s v="RAMON CASTILLA MARQUEZADO"/>
    <s v="Rural"/>
    <s v="Femenino"/>
    <x v="2"/>
  </r>
  <r>
    <n v="3571"/>
    <x v="2"/>
    <s v="Secundaria"/>
    <s v="2 Secundaria"/>
    <s v="RAMON CASTILLA MARQUEZADO"/>
    <s v="Rural"/>
    <s v="Femenino"/>
    <x v="2"/>
  </r>
  <r>
    <n v="3572"/>
    <x v="2"/>
    <s v="Secundaria"/>
    <s v="2 Secundaria"/>
    <s v="RAMON CASTILLA MARQUEZADO"/>
    <s v="Rural"/>
    <s v="Femenino"/>
    <x v="0"/>
  </r>
  <r>
    <n v="3573"/>
    <x v="2"/>
    <s v="Secundaria"/>
    <s v="2 Secundaria"/>
    <s v="RAMON CASTILLA MARQUEZADO"/>
    <s v="Rural"/>
    <s v="Femenino"/>
    <x v="1"/>
  </r>
  <r>
    <n v="3574"/>
    <x v="2"/>
    <s v="Secundaria"/>
    <s v="2 Secundaria"/>
    <s v="RAMON CASTILLA MARQUEZADO"/>
    <s v="Rural"/>
    <s v="Femenino"/>
    <x v="0"/>
  </r>
  <r>
    <n v="3575"/>
    <x v="2"/>
    <s v="Secundaria"/>
    <s v="2 Secundaria"/>
    <s v="RAMON CASTILLA MARQUEZADO"/>
    <s v="Rural"/>
    <s v="Femenino"/>
    <x v="0"/>
  </r>
  <r>
    <n v="3576"/>
    <x v="2"/>
    <s v="Secundaria"/>
    <s v="2 Secundaria"/>
    <s v="RAMON CASTILLA MARQUEZADO"/>
    <s v="Rural"/>
    <s v="Femenino"/>
    <x v="1"/>
  </r>
  <r>
    <n v="3577"/>
    <x v="2"/>
    <s v="Secundaria"/>
    <s v="2 Secundaria"/>
    <s v="RAMON CASTILLA MARQUEZADO"/>
    <s v="Rural"/>
    <s v="Masculino"/>
    <x v="2"/>
  </r>
  <r>
    <n v="3578"/>
    <x v="2"/>
    <s v="Secundaria"/>
    <s v="2 Secundaria"/>
    <s v="RAMON CASTILLA MARQUEZADO"/>
    <s v="Rural"/>
    <s v="Masculino"/>
    <x v="2"/>
  </r>
  <r>
    <n v="3579"/>
    <x v="2"/>
    <s v="Secundaria"/>
    <s v="2 Secundaria"/>
    <s v="RAMON CASTILLA MARQUEZADO"/>
    <s v="Rural"/>
    <s v="Masculino"/>
    <x v="1"/>
  </r>
  <r>
    <n v="3580"/>
    <x v="2"/>
    <s v="Secundaria"/>
    <s v="2 Secundaria"/>
    <s v="RAMON CASTILLA MARQUEZADO"/>
    <s v="Rural"/>
    <s v="Masculino"/>
    <x v="0"/>
  </r>
  <r>
    <n v="3581"/>
    <x v="2"/>
    <s v="Secundaria"/>
    <s v="2 Secundaria"/>
    <s v="RAMON CASTILLA MARQUEZADO"/>
    <s v="Rural"/>
    <s v="Femenino"/>
    <x v="0"/>
  </r>
  <r>
    <n v="3582"/>
    <x v="2"/>
    <s v="Secundaria"/>
    <s v="2 Secundaria"/>
    <s v="RAMON CASTILLA MARQUEZADO"/>
    <s v="Rural"/>
    <s v="Masculino"/>
    <x v="2"/>
  </r>
  <r>
    <n v="3583"/>
    <x v="2"/>
    <s v="Primaria"/>
    <s v="4 Primaria"/>
    <s v="36207"/>
    <s v="Rural"/>
    <s v="Femenino"/>
    <x v="0"/>
  </r>
  <r>
    <n v="3584"/>
    <x v="2"/>
    <s v="Primaria"/>
    <s v="4 Primaria"/>
    <s v="36207"/>
    <s v="Rural"/>
    <s v="Femenino"/>
    <x v="2"/>
  </r>
  <r>
    <n v="3585"/>
    <x v="2"/>
    <s v="Secundaria"/>
    <s v="4 Secundaria"/>
    <s v="JORGE CHAVEZ"/>
    <s v="Rural"/>
    <s v="Femenino"/>
    <x v="0"/>
  </r>
  <r>
    <n v="3586"/>
    <x v="2"/>
    <s v="Secundaria"/>
    <s v="4 Secundaria"/>
    <s v="JORGE CHAVEZ"/>
    <s v="Rural"/>
    <s v="Masculino"/>
    <x v="0"/>
  </r>
  <r>
    <n v="3587"/>
    <x v="2"/>
    <s v="Secundaria"/>
    <s v="4 Secundaria"/>
    <s v="JORGE CHAVEZ"/>
    <s v="Rural"/>
    <s v="Masculino"/>
    <x v="0"/>
  </r>
  <r>
    <n v="3588"/>
    <x v="2"/>
    <s v="Secundaria"/>
    <s v="4 Secundaria"/>
    <s v="JORGE CHAVEZ"/>
    <s v="Rural"/>
    <s v="Masculino"/>
    <x v="0"/>
  </r>
  <r>
    <n v="3589"/>
    <x v="2"/>
    <s v="Secundaria"/>
    <s v="4 Secundaria"/>
    <s v="JORGE CHAVEZ"/>
    <s v="Rural"/>
    <s v="Masculino"/>
    <x v="1"/>
  </r>
  <r>
    <n v="3590"/>
    <x v="2"/>
    <s v="Secundaria"/>
    <s v="4 Secundaria"/>
    <s v="JORGE CHAVEZ"/>
    <s v="Rural"/>
    <s v="Femenino"/>
    <x v="0"/>
  </r>
  <r>
    <n v="3591"/>
    <x v="2"/>
    <s v="Secundaria"/>
    <s v="4 Secundaria"/>
    <s v="JORGE CHAVEZ"/>
    <s v="Rural"/>
    <s v="Masculino"/>
    <x v="0"/>
  </r>
  <r>
    <n v="3592"/>
    <x v="2"/>
    <s v="Secundaria"/>
    <s v="4 Secundaria"/>
    <s v="JORGE CHAVEZ"/>
    <s v="Rural"/>
    <s v="Femenino"/>
    <x v="0"/>
  </r>
  <r>
    <n v="3593"/>
    <x v="2"/>
    <s v="Secundaria"/>
    <s v="4 Secundaria"/>
    <s v="JORGE CHAVEZ"/>
    <s v="Rural"/>
    <s v="Masculino"/>
    <x v="0"/>
  </r>
  <r>
    <n v="3594"/>
    <x v="2"/>
    <s v="Secundaria"/>
    <s v="4 Secundaria"/>
    <s v="JORGE CHAVEZ"/>
    <s v="Rural"/>
    <s v="Masculino"/>
    <x v="0"/>
  </r>
  <r>
    <n v="3595"/>
    <x v="2"/>
    <s v="Secundaria"/>
    <s v="4 Secundaria"/>
    <s v="JORGE CHAVEZ"/>
    <s v="Rural"/>
    <s v="Femenino"/>
    <x v="0"/>
  </r>
  <r>
    <n v="3596"/>
    <x v="2"/>
    <s v="Secundaria"/>
    <s v="4 Secundaria"/>
    <s v="JORGE CHAVEZ"/>
    <s v="Rural"/>
    <s v="Femenino"/>
    <x v="1"/>
  </r>
  <r>
    <n v="3597"/>
    <x v="2"/>
    <s v="Secundaria"/>
    <s v="4 Secundaria"/>
    <s v="JORGE CHAVEZ"/>
    <s v="Rural"/>
    <s v="Masculino"/>
    <x v="2"/>
  </r>
  <r>
    <n v="3598"/>
    <x v="2"/>
    <s v="Secundaria"/>
    <s v="4 Secundaria"/>
    <s v="JORGE CHAVEZ"/>
    <s v="Rural"/>
    <s v="Femenino"/>
    <x v="1"/>
  </r>
  <r>
    <n v="3599"/>
    <x v="2"/>
    <s v="Secundaria"/>
    <s v="4 Secundaria"/>
    <s v="JORGE CHAVEZ"/>
    <s v="Rural"/>
    <s v="Masculino"/>
    <x v="0"/>
  </r>
  <r>
    <n v="3600"/>
    <x v="2"/>
    <s v="Secundaria"/>
    <s v="4 Secundaria"/>
    <s v="JORGE CHAVEZ"/>
    <s v="Rural"/>
    <s v="Masculino"/>
    <x v="0"/>
  </r>
  <r>
    <n v="3601"/>
    <x v="2"/>
    <s v="Secundaria"/>
    <s v="4 Secundaria"/>
    <s v="JORGE CHAVEZ"/>
    <s v="Rural"/>
    <s v="Masculino"/>
    <x v="0"/>
  </r>
  <r>
    <n v="3602"/>
    <x v="2"/>
    <s v="Secundaria"/>
    <s v="4 Secundaria"/>
    <s v="JORGE CHAVEZ"/>
    <s v="Rural"/>
    <s v="Masculino"/>
    <x v="1"/>
  </r>
  <r>
    <n v="3603"/>
    <x v="2"/>
    <s v="Secundaria"/>
    <s v="4 Secundaria"/>
    <s v="JORGE CHAVEZ"/>
    <s v="Rural"/>
    <s v="Femenino"/>
    <x v="0"/>
  </r>
  <r>
    <n v="3604"/>
    <x v="2"/>
    <s v="Secundaria"/>
    <s v="4 Secundaria"/>
    <s v="JORGE CHAVEZ"/>
    <s v="Rural"/>
    <s v="Masculino"/>
    <x v="0"/>
  </r>
  <r>
    <n v="3605"/>
    <x v="2"/>
    <s v="Secundaria"/>
    <s v="4 Secundaria"/>
    <s v="JORGE CHAVEZ"/>
    <s v="Rural"/>
    <s v="Femenino"/>
    <x v="1"/>
  </r>
  <r>
    <n v="3606"/>
    <x v="2"/>
    <s v="Secundaria"/>
    <s v="4 Secundaria"/>
    <s v="JORGE CHAVEZ"/>
    <s v="Rural"/>
    <s v="Femenino"/>
    <x v="1"/>
  </r>
  <r>
    <n v="3607"/>
    <x v="2"/>
    <s v="Secundaria"/>
    <s v="4 Secundaria"/>
    <s v="JOSE CARLOS MARIATEGUI"/>
    <s v="Rural"/>
    <s v="Masculino"/>
    <x v="1"/>
  </r>
  <r>
    <n v="3608"/>
    <x v="2"/>
    <s v="Secundaria"/>
    <s v="4 Secundaria"/>
    <s v="JOSE CARLOS MARIATEGUI"/>
    <s v="Rural"/>
    <s v="Masculino"/>
    <x v="0"/>
  </r>
  <r>
    <n v="3609"/>
    <x v="2"/>
    <s v="Secundaria"/>
    <s v="4 Secundaria"/>
    <s v="JOSE CARLOS MARIATEGUI"/>
    <s v="Rural"/>
    <s v="Femenino"/>
    <x v="1"/>
  </r>
  <r>
    <n v="3610"/>
    <x v="2"/>
    <s v="Secundaria"/>
    <s v="4 Secundaria"/>
    <s v="JOSE CARLOS MARIATEGUI"/>
    <s v="Rural"/>
    <s v="Masculino"/>
    <x v="1"/>
  </r>
  <r>
    <n v="3611"/>
    <x v="2"/>
    <s v="Secundaria"/>
    <s v="4 Secundaria"/>
    <s v="JOSE CARLOS MARIATEGUI"/>
    <s v="Rural"/>
    <s v="Masculino"/>
    <x v="0"/>
  </r>
  <r>
    <n v="3612"/>
    <x v="2"/>
    <s v="Secundaria"/>
    <s v="4 Secundaria"/>
    <s v="JOSE CARLOS MARIATEGUI"/>
    <s v="Rural"/>
    <s v="Femenino"/>
    <x v="2"/>
  </r>
  <r>
    <n v="3613"/>
    <x v="2"/>
    <s v="Secundaria"/>
    <s v="4 Secundaria"/>
    <s v="JOSE CARLOS MARIATEGUI"/>
    <s v="Rural"/>
    <s v="Masculino"/>
    <x v="0"/>
  </r>
  <r>
    <n v="3614"/>
    <x v="2"/>
    <s v="Secundaria"/>
    <s v="4 Secundaria"/>
    <s v="JOSE CARLOS MARIATEGUI"/>
    <s v="Rural"/>
    <s v="Femenino"/>
    <x v="0"/>
  </r>
  <r>
    <n v="3615"/>
    <x v="2"/>
    <s v="Secundaria"/>
    <s v="4 Secundaria"/>
    <s v="JOSE CARLOS MARIATEGUI"/>
    <s v="Rural"/>
    <s v="Femenino"/>
    <x v="1"/>
  </r>
  <r>
    <n v="3616"/>
    <x v="2"/>
    <s v="Secundaria"/>
    <s v="4 Secundaria"/>
    <s v="JOSE CARLOS MARIATEGUI"/>
    <s v="Rural"/>
    <s v="Masculino"/>
    <x v="0"/>
  </r>
  <r>
    <n v="3617"/>
    <x v="2"/>
    <s v="Secundaria"/>
    <s v="4 Secundaria"/>
    <s v="JOSE CARLOS MARIATEGUI"/>
    <s v="Rural"/>
    <s v="Femenino"/>
    <x v="0"/>
  </r>
  <r>
    <n v="3618"/>
    <x v="2"/>
    <s v="Secundaria"/>
    <s v="4 Secundaria"/>
    <s v="JOSE CARLOS MARIATEGUI"/>
    <s v="Rural"/>
    <s v="Femenino"/>
    <x v="0"/>
  </r>
  <r>
    <n v="3619"/>
    <x v="2"/>
    <s v="Secundaria"/>
    <s v="4 Secundaria"/>
    <s v="JOSE CARLOS MARIATEGUI"/>
    <s v="Rural"/>
    <s v="Femenino"/>
    <x v="0"/>
  </r>
  <r>
    <n v="3620"/>
    <x v="2"/>
    <s v="Secundaria"/>
    <s v="4 Secundaria"/>
    <s v="JOSE CARLOS MARIATEGUI"/>
    <s v="Rural"/>
    <s v="Masculino"/>
    <x v="1"/>
  </r>
  <r>
    <n v="3621"/>
    <x v="2"/>
    <s v="Secundaria"/>
    <s v="4 Secundaria"/>
    <s v="RAMON CASTILLA MARQUEZADO"/>
    <s v="Rural"/>
    <s v="Femenino"/>
    <x v="0"/>
  </r>
  <r>
    <n v="3622"/>
    <x v="2"/>
    <s v="Secundaria"/>
    <s v="4 Secundaria"/>
    <s v="RAMON CASTILLA MARQUEZADO"/>
    <s v="Rural"/>
    <s v="Masculino"/>
    <x v="0"/>
  </r>
  <r>
    <n v="3623"/>
    <x v="2"/>
    <s v="Secundaria"/>
    <s v="4 Secundaria"/>
    <s v="RAMON CASTILLA MARQUEZADO"/>
    <s v="Rural"/>
    <s v="Masculino"/>
    <x v="1"/>
  </r>
  <r>
    <n v="3624"/>
    <x v="2"/>
    <s v="Secundaria"/>
    <s v="4 Secundaria"/>
    <s v="RAMON CASTILLA MARQUEZADO"/>
    <s v="Rural"/>
    <s v="Femenino"/>
    <x v="1"/>
  </r>
  <r>
    <n v="3625"/>
    <x v="2"/>
    <s v="Secundaria"/>
    <s v="4 Secundaria"/>
    <s v="RAMON CASTILLA MARQUEZADO"/>
    <s v="Rural"/>
    <s v="Femenino"/>
    <x v="1"/>
  </r>
  <r>
    <n v="3626"/>
    <x v="2"/>
    <s v="Secundaria"/>
    <s v="4 Secundaria"/>
    <s v="RAMON CASTILLA MARQUEZADO"/>
    <s v="Rural"/>
    <s v="Masculino"/>
    <x v="0"/>
  </r>
  <r>
    <n v="3627"/>
    <x v="2"/>
    <s v="Secundaria"/>
    <s v="4 Secundaria"/>
    <s v="RAMON CASTILLA MARQUEZADO"/>
    <s v="Rural"/>
    <s v="Femenino"/>
    <x v="1"/>
  </r>
  <r>
    <n v="3628"/>
    <x v="2"/>
    <s v="Primaria"/>
    <s v="6 Primaria"/>
    <s v="36166 HEROES 29 DE AGOSTO"/>
    <s v="Rural"/>
    <s v="Masculino"/>
    <x v="0"/>
  </r>
  <r>
    <n v="3629"/>
    <x v="2"/>
    <s v="Primaria"/>
    <s v="6 Primaria"/>
    <s v="36166 HEROES 29 DE AGOSTO"/>
    <s v="Rural"/>
    <s v="Femenino"/>
    <x v="1"/>
  </r>
  <r>
    <n v="3630"/>
    <x v="2"/>
    <s v="Primaria"/>
    <s v="6 Primaria"/>
    <s v="36166 HEROES 29 DE AGOSTO"/>
    <s v="Rural"/>
    <s v="Masculino"/>
    <x v="1"/>
  </r>
  <r>
    <n v="3631"/>
    <x v="2"/>
    <s v="Primaria"/>
    <s v="6 Primaria"/>
    <s v="36166 HEROES 29 DE AGOSTO"/>
    <s v="Rural"/>
    <s v="Masculino"/>
    <x v="1"/>
  </r>
  <r>
    <n v="3632"/>
    <x v="2"/>
    <s v="Primaria"/>
    <s v="6 Primaria"/>
    <s v="36166 HEROES 29 DE AGOSTO"/>
    <s v="Rural"/>
    <s v="Masculino"/>
    <x v="1"/>
  </r>
  <r>
    <n v="3633"/>
    <x v="2"/>
    <s v="Primaria"/>
    <s v="6 Primaria"/>
    <s v="36166 HEROES 29 DE AGOSTO"/>
    <s v="Rural"/>
    <s v="Masculino"/>
    <x v="1"/>
  </r>
  <r>
    <n v="3634"/>
    <x v="2"/>
    <s v="Primaria"/>
    <s v="6 Primaria"/>
    <s v="36166 HEROES 29 DE AGOSTO"/>
    <s v="Rural"/>
    <s v="Masculino"/>
    <x v="1"/>
  </r>
  <r>
    <n v="3635"/>
    <x v="2"/>
    <s v="Primaria"/>
    <s v="6 Primaria"/>
    <s v="36166 HEROES 29 DE AGOSTO"/>
    <s v="Rural"/>
    <s v="Masculino"/>
    <x v="1"/>
  </r>
  <r>
    <n v="3636"/>
    <x v="2"/>
    <s v="Primaria"/>
    <s v="6 Primaria"/>
    <s v="36166 HEROES 29 DE AGOSTO"/>
    <s v="Rural"/>
    <s v="Masculino"/>
    <x v="1"/>
  </r>
  <r>
    <n v="3637"/>
    <x v="2"/>
    <s v="Primaria"/>
    <s v="6 Primaria"/>
    <s v="36207"/>
    <s v="Rural"/>
    <s v="Masculino"/>
    <x v="1"/>
  </r>
  <r>
    <n v="3638"/>
    <x v="2"/>
    <s v="Primaria"/>
    <s v="6 Primaria"/>
    <s v="36207"/>
    <s v="Rural"/>
    <s v="Femenino"/>
    <x v="1"/>
  </r>
  <r>
    <n v="3639"/>
    <x v="2"/>
    <s v="Primaria"/>
    <s v="6 Primaria"/>
    <s v="36207"/>
    <s v="Rural"/>
    <s v="Masculino"/>
    <x v="1"/>
  </r>
  <r>
    <n v="3640"/>
    <x v="2"/>
    <s v="Primaria"/>
    <s v="6 Primaria"/>
    <s v="36207"/>
    <s v="Rural"/>
    <s v="Femenino"/>
    <x v="1"/>
  </r>
  <r>
    <n v="3641"/>
    <x v="2"/>
    <s v="Primaria"/>
    <s v="6 Primaria"/>
    <s v="36207"/>
    <s v="Rural"/>
    <s v="Masculino"/>
    <x v="1"/>
  </r>
  <r>
    <n v="3642"/>
    <x v="2"/>
    <s v="Primaria"/>
    <s v="6 Primaria"/>
    <s v="36161 SAN VICENTE DE PAUL"/>
    <s v="Rural"/>
    <s v="Femenino"/>
    <x v="2"/>
  </r>
  <r>
    <n v="3643"/>
    <x v="2"/>
    <s v="Primaria"/>
    <s v="6 Primaria"/>
    <s v="36161 SAN VICENTE DE PAUL"/>
    <s v="Rural"/>
    <s v="Femenino"/>
    <x v="1"/>
  </r>
  <r>
    <n v="3644"/>
    <x v="2"/>
    <s v="Primaria"/>
    <s v="6 Primaria"/>
    <s v="36161 SAN VICENTE DE PAUL"/>
    <s v="Rural"/>
    <s v="Femenino"/>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8">
  <r>
    <n v="1"/>
    <x v="0"/>
    <x v="0"/>
    <x v="0"/>
    <x v="0"/>
    <s v="Rural"/>
    <s v="Masculino"/>
    <x v="0"/>
    <x v="0"/>
  </r>
  <r>
    <n v="2"/>
    <x v="0"/>
    <x v="0"/>
    <x v="0"/>
    <x v="0"/>
    <s v="Rural"/>
    <s v="Masculino"/>
    <x v="0"/>
    <x v="0"/>
  </r>
  <r>
    <n v="3"/>
    <x v="0"/>
    <x v="0"/>
    <x v="0"/>
    <x v="0"/>
    <s v="Rural"/>
    <s v="Masculino"/>
    <x v="1"/>
    <x v="0"/>
  </r>
  <r>
    <n v="4"/>
    <x v="0"/>
    <x v="0"/>
    <x v="0"/>
    <x v="0"/>
    <s v="Rural"/>
    <s v="Femenino"/>
    <x v="1"/>
    <x v="0"/>
  </r>
  <r>
    <n v="5"/>
    <x v="0"/>
    <x v="0"/>
    <x v="0"/>
    <x v="0"/>
    <s v="Rural"/>
    <s v="Masculino"/>
    <x v="1"/>
    <x v="0"/>
  </r>
  <r>
    <n v="6"/>
    <x v="0"/>
    <x v="0"/>
    <x v="0"/>
    <x v="0"/>
    <s v="Rural"/>
    <s v="Femenino"/>
    <x v="0"/>
    <x v="0"/>
  </r>
  <r>
    <n v="7"/>
    <x v="0"/>
    <x v="0"/>
    <x v="0"/>
    <x v="0"/>
    <s v="Rural"/>
    <s v="Femenino"/>
    <x v="0"/>
    <x v="0"/>
  </r>
  <r>
    <n v="8"/>
    <x v="0"/>
    <x v="0"/>
    <x v="0"/>
    <x v="0"/>
    <s v="Rural"/>
    <s v="Femenino"/>
    <x v="0"/>
    <x v="0"/>
  </r>
  <r>
    <n v="9"/>
    <x v="0"/>
    <x v="0"/>
    <x v="0"/>
    <x v="0"/>
    <s v="Rural"/>
    <s v="Masculino"/>
    <x v="1"/>
    <x v="0"/>
  </r>
  <r>
    <n v="10"/>
    <x v="0"/>
    <x v="0"/>
    <x v="0"/>
    <x v="0"/>
    <s v="Rural"/>
    <s v="Femenino"/>
    <x v="2"/>
    <x v="0"/>
  </r>
  <r>
    <n v="11"/>
    <x v="0"/>
    <x v="0"/>
    <x v="0"/>
    <x v="0"/>
    <s v="Rural"/>
    <s v="Masculino"/>
    <x v="1"/>
    <x v="0"/>
  </r>
  <r>
    <n v="12"/>
    <x v="0"/>
    <x v="0"/>
    <x v="0"/>
    <x v="0"/>
    <s v="Rural"/>
    <s v="Femenino"/>
    <x v="0"/>
    <x v="0"/>
  </r>
  <r>
    <n v="13"/>
    <x v="0"/>
    <x v="0"/>
    <x v="0"/>
    <x v="0"/>
    <s v="Rural"/>
    <s v="Femenino"/>
    <x v="0"/>
    <x v="0"/>
  </r>
  <r>
    <n v="14"/>
    <x v="0"/>
    <x v="0"/>
    <x v="0"/>
    <x v="0"/>
    <s v="Rural"/>
    <s v="Femenino"/>
    <x v="1"/>
    <x v="0"/>
  </r>
  <r>
    <n v="15"/>
    <x v="0"/>
    <x v="0"/>
    <x v="0"/>
    <x v="0"/>
    <s v="Rural"/>
    <s v="Masculino"/>
    <x v="0"/>
    <x v="0"/>
  </r>
  <r>
    <n v="16"/>
    <x v="0"/>
    <x v="0"/>
    <x v="0"/>
    <x v="0"/>
    <s v="Rural"/>
    <s v="Masculino"/>
    <x v="0"/>
    <x v="0"/>
  </r>
  <r>
    <n v="17"/>
    <x v="0"/>
    <x v="0"/>
    <x v="0"/>
    <x v="0"/>
    <s v="Rural"/>
    <s v="Femenino"/>
    <x v="0"/>
    <x v="0"/>
  </r>
  <r>
    <n v="18"/>
    <x v="0"/>
    <x v="0"/>
    <x v="0"/>
    <x v="0"/>
    <s v="Rural"/>
    <s v="Femenino"/>
    <x v="2"/>
    <x v="0"/>
  </r>
  <r>
    <n v="19"/>
    <x v="0"/>
    <x v="0"/>
    <x v="0"/>
    <x v="0"/>
    <s v="Rural"/>
    <s v="Femenino"/>
    <x v="0"/>
    <x v="0"/>
  </r>
  <r>
    <n v="20"/>
    <x v="0"/>
    <x v="0"/>
    <x v="0"/>
    <x v="0"/>
    <s v="Rural"/>
    <s v="Masculino"/>
    <x v="0"/>
    <x v="0"/>
  </r>
  <r>
    <n v="21"/>
    <x v="0"/>
    <x v="0"/>
    <x v="0"/>
    <x v="0"/>
    <s v="Rural"/>
    <s v="Masculino"/>
    <x v="0"/>
    <x v="0"/>
  </r>
  <r>
    <n v="22"/>
    <x v="0"/>
    <x v="0"/>
    <x v="0"/>
    <x v="0"/>
    <s v="Rural"/>
    <s v="Masculino"/>
    <x v="0"/>
    <x v="0"/>
  </r>
  <r>
    <n v="23"/>
    <x v="0"/>
    <x v="0"/>
    <x v="0"/>
    <x v="1"/>
    <s v="Rural"/>
    <s v="Masculino"/>
    <x v="0"/>
    <x v="0"/>
  </r>
  <r>
    <n v="24"/>
    <x v="0"/>
    <x v="0"/>
    <x v="0"/>
    <x v="1"/>
    <s v="Rural"/>
    <s v="Masculino"/>
    <x v="0"/>
    <x v="0"/>
  </r>
  <r>
    <n v="25"/>
    <x v="0"/>
    <x v="0"/>
    <x v="0"/>
    <x v="1"/>
    <s v="Rural"/>
    <s v="Masculino"/>
    <x v="0"/>
    <x v="0"/>
  </r>
  <r>
    <n v="26"/>
    <x v="0"/>
    <x v="0"/>
    <x v="0"/>
    <x v="1"/>
    <s v="Rural"/>
    <s v="Masculino"/>
    <x v="0"/>
    <x v="0"/>
  </r>
  <r>
    <n v="27"/>
    <x v="0"/>
    <x v="0"/>
    <x v="0"/>
    <x v="1"/>
    <s v="Rural"/>
    <s v="Femenino"/>
    <x v="0"/>
    <x v="0"/>
  </r>
  <r>
    <n v="28"/>
    <x v="0"/>
    <x v="0"/>
    <x v="0"/>
    <x v="1"/>
    <s v="Rural"/>
    <s v="Femenino"/>
    <x v="0"/>
    <x v="0"/>
  </r>
  <r>
    <n v="29"/>
    <x v="0"/>
    <x v="0"/>
    <x v="0"/>
    <x v="1"/>
    <s v="Rural"/>
    <s v="Femenino"/>
    <x v="0"/>
    <x v="0"/>
  </r>
  <r>
    <n v="30"/>
    <x v="0"/>
    <x v="0"/>
    <x v="0"/>
    <x v="2"/>
    <s v="Rural"/>
    <s v="Masculino"/>
    <x v="0"/>
    <x v="0"/>
  </r>
  <r>
    <n v="31"/>
    <x v="0"/>
    <x v="0"/>
    <x v="0"/>
    <x v="2"/>
    <s v="Rural"/>
    <s v="Masculino"/>
    <x v="0"/>
    <x v="0"/>
  </r>
  <r>
    <n v="32"/>
    <x v="0"/>
    <x v="0"/>
    <x v="0"/>
    <x v="2"/>
    <s v="Rural"/>
    <s v="Masculino"/>
    <x v="1"/>
    <x v="0"/>
  </r>
  <r>
    <n v="33"/>
    <x v="0"/>
    <x v="0"/>
    <x v="0"/>
    <x v="2"/>
    <s v="Rural"/>
    <s v="Femenino"/>
    <x v="0"/>
    <x v="0"/>
  </r>
  <r>
    <n v="34"/>
    <x v="0"/>
    <x v="0"/>
    <x v="0"/>
    <x v="2"/>
    <s v="Rural"/>
    <s v="Femenino"/>
    <x v="0"/>
    <x v="0"/>
  </r>
  <r>
    <n v="35"/>
    <x v="0"/>
    <x v="0"/>
    <x v="0"/>
    <x v="2"/>
    <s v="Rural"/>
    <s v="Femenino"/>
    <x v="1"/>
    <x v="0"/>
  </r>
  <r>
    <n v="36"/>
    <x v="0"/>
    <x v="0"/>
    <x v="0"/>
    <x v="3"/>
    <s v="Rural"/>
    <s v="Masculino"/>
    <x v="0"/>
    <x v="0"/>
  </r>
  <r>
    <n v="37"/>
    <x v="0"/>
    <x v="0"/>
    <x v="0"/>
    <x v="3"/>
    <s v="Rural"/>
    <s v="Masculino"/>
    <x v="0"/>
    <x v="0"/>
  </r>
  <r>
    <n v="38"/>
    <x v="0"/>
    <x v="0"/>
    <x v="0"/>
    <x v="4"/>
    <s v="Rural"/>
    <s v="Masculino"/>
    <x v="0"/>
    <x v="0"/>
  </r>
  <r>
    <n v="39"/>
    <x v="0"/>
    <x v="0"/>
    <x v="0"/>
    <x v="4"/>
    <s v="Rural"/>
    <s v="Masculino"/>
    <x v="0"/>
    <x v="0"/>
  </r>
  <r>
    <n v="40"/>
    <x v="0"/>
    <x v="0"/>
    <x v="0"/>
    <x v="4"/>
    <s v="Rural"/>
    <s v="Masculino"/>
    <x v="0"/>
    <x v="0"/>
  </r>
  <r>
    <n v="41"/>
    <x v="0"/>
    <x v="0"/>
    <x v="0"/>
    <x v="4"/>
    <s v="Rural"/>
    <s v="Masculino"/>
    <x v="0"/>
    <x v="0"/>
  </r>
  <r>
    <n v="42"/>
    <x v="0"/>
    <x v="0"/>
    <x v="0"/>
    <x v="4"/>
    <s v="Rural"/>
    <s v="Femenino"/>
    <x v="0"/>
    <x v="0"/>
  </r>
  <r>
    <n v="43"/>
    <x v="0"/>
    <x v="0"/>
    <x v="0"/>
    <x v="4"/>
    <s v="Rural"/>
    <s v="Femenino"/>
    <x v="0"/>
    <x v="0"/>
  </r>
  <r>
    <n v="44"/>
    <x v="0"/>
    <x v="0"/>
    <x v="0"/>
    <x v="4"/>
    <s v="Rural"/>
    <s v="Femenino"/>
    <x v="0"/>
    <x v="0"/>
  </r>
  <r>
    <n v="45"/>
    <x v="0"/>
    <x v="0"/>
    <x v="0"/>
    <x v="5"/>
    <s v="Rural"/>
    <s v="Femenino"/>
    <x v="1"/>
    <x v="0"/>
  </r>
  <r>
    <n v="46"/>
    <x v="0"/>
    <x v="0"/>
    <x v="0"/>
    <x v="5"/>
    <s v="Rural"/>
    <s v="Femenino"/>
    <x v="0"/>
    <x v="0"/>
  </r>
  <r>
    <n v="47"/>
    <x v="0"/>
    <x v="0"/>
    <x v="0"/>
    <x v="5"/>
    <s v="Rural"/>
    <s v="Femenino"/>
    <x v="0"/>
    <x v="0"/>
  </r>
  <r>
    <n v="48"/>
    <x v="0"/>
    <x v="0"/>
    <x v="0"/>
    <x v="5"/>
    <s v="Rural"/>
    <s v="Femenino"/>
    <x v="1"/>
    <x v="0"/>
  </r>
  <r>
    <n v="49"/>
    <x v="0"/>
    <x v="0"/>
    <x v="0"/>
    <x v="5"/>
    <s v="Rural"/>
    <s v="Masculino"/>
    <x v="0"/>
    <x v="0"/>
  </r>
  <r>
    <n v="50"/>
    <x v="0"/>
    <x v="0"/>
    <x v="0"/>
    <x v="5"/>
    <s v="Rural"/>
    <s v="Masculino"/>
    <x v="0"/>
    <x v="0"/>
  </r>
  <r>
    <n v="51"/>
    <x v="0"/>
    <x v="0"/>
    <x v="0"/>
    <x v="5"/>
    <s v="Rural"/>
    <s v="Masculino"/>
    <x v="0"/>
    <x v="0"/>
  </r>
  <r>
    <n v="52"/>
    <x v="0"/>
    <x v="0"/>
    <x v="0"/>
    <x v="5"/>
    <s v="Rural"/>
    <s v="Masculino"/>
    <x v="0"/>
    <x v="0"/>
  </r>
  <r>
    <n v="53"/>
    <x v="0"/>
    <x v="0"/>
    <x v="0"/>
    <x v="5"/>
    <s v="Rural"/>
    <s v="Masculino"/>
    <x v="0"/>
    <x v="0"/>
  </r>
  <r>
    <n v="54"/>
    <x v="0"/>
    <x v="0"/>
    <x v="0"/>
    <x v="5"/>
    <s v="Rural"/>
    <s v="Masculino"/>
    <x v="0"/>
    <x v="0"/>
  </r>
  <r>
    <n v="55"/>
    <x v="0"/>
    <x v="0"/>
    <x v="0"/>
    <x v="5"/>
    <s v="Rural"/>
    <s v="Masculino"/>
    <x v="0"/>
    <x v="0"/>
  </r>
  <r>
    <n v="56"/>
    <x v="0"/>
    <x v="0"/>
    <x v="0"/>
    <x v="5"/>
    <s v="Rural"/>
    <s v="Masculino"/>
    <x v="1"/>
    <x v="0"/>
  </r>
  <r>
    <n v="57"/>
    <x v="0"/>
    <x v="0"/>
    <x v="0"/>
    <x v="5"/>
    <s v="Rural"/>
    <s v="Masculino"/>
    <x v="1"/>
    <x v="0"/>
  </r>
  <r>
    <n v="58"/>
    <x v="0"/>
    <x v="0"/>
    <x v="0"/>
    <x v="5"/>
    <s v="Rural"/>
    <s v="Masculino"/>
    <x v="1"/>
    <x v="0"/>
  </r>
  <r>
    <n v="59"/>
    <x v="0"/>
    <x v="0"/>
    <x v="0"/>
    <x v="5"/>
    <s v="Rural"/>
    <s v="Masculino"/>
    <x v="2"/>
    <x v="0"/>
  </r>
  <r>
    <n v="60"/>
    <x v="0"/>
    <x v="0"/>
    <x v="0"/>
    <x v="5"/>
    <s v="Rural"/>
    <s v="Femenino"/>
    <x v="2"/>
    <x v="0"/>
  </r>
  <r>
    <n v="61"/>
    <x v="0"/>
    <x v="0"/>
    <x v="0"/>
    <x v="5"/>
    <s v="Rural"/>
    <s v="Femenino"/>
    <x v="1"/>
    <x v="0"/>
  </r>
  <r>
    <n v="62"/>
    <x v="0"/>
    <x v="0"/>
    <x v="0"/>
    <x v="5"/>
    <s v="Rural"/>
    <s v="Femenino"/>
    <x v="1"/>
    <x v="0"/>
  </r>
  <r>
    <n v="63"/>
    <x v="0"/>
    <x v="0"/>
    <x v="0"/>
    <x v="5"/>
    <s v="Rural"/>
    <s v="Femenino"/>
    <x v="1"/>
    <x v="0"/>
  </r>
  <r>
    <n v="64"/>
    <x v="0"/>
    <x v="0"/>
    <x v="0"/>
    <x v="5"/>
    <s v="Rural"/>
    <s v="Femenino"/>
    <x v="1"/>
    <x v="0"/>
  </r>
  <r>
    <n v="65"/>
    <x v="0"/>
    <x v="0"/>
    <x v="0"/>
    <x v="6"/>
    <s v="Rural"/>
    <s v="Femenino"/>
    <x v="0"/>
    <x v="0"/>
  </r>
  <r>
    <n v="66"/>
    <x v="0"/>
    <x v="0"/>
    <x v="0"/>
    <x v="7"/>
    <s v="Rural"/>
    <s v="Masculino"/>
    <x v="0"/>
    <x v="0"/>
  </r>
  <r>
    <n v="67"/>
    <x v="0"/>
    <x v="0"/>
    <x v="0"/>
    <x v="8"/>
    <s v="Rural"/>
    <s v="Masculino"/>
    <x v="0"/>
    <x v="0"/>
  </r>
  <r>
    <n v="68"/>
    <x v="0"/>
    <x v="0"/>
    <x v="0"/>
    <x v="9"/>
    <s v="Rural"/>
    <s v="Masculino"/>
    <x v="0"/>
    <x v="0"/>
  </r>
  <r>
    <n v="69"/>
    <x v="0"/>
    <x v="0"/>
    <x v="0"/>
    <x v="10"/>
    <s v="Rural"/>
    <s v="Masculino"/>
    <x v="0"/>
    <x v="0"/>
  </r>
  <r>
    <n v="70"/>
    <x v="0"/>
    <x v="0"/>
    <x v="0"/>
    <x v="10"/>
    <s v="Rural"/>
    <s v="Femenino"/>
    <x v="0"/>
    <x v="0"/>
  </r>
  <r>
    <n v="71"/>
    <x v="0"/>
    <x v="0"/>
    <x v="0"/>
    <x v="11"/>
    <s v="Rural"/>
    <s v="Masculino"/>
    <x v="1"/>
    <x v="0"/>
  </r>
  <r>
    <n v="72"/>
    <x v="0"/>
    <x v="0"/>
    <x v="0"/>
    <x v="11"/>
    <s v="Rural"/>
    <s v="Masculino"/>
    <x v="0"/>
    <x v="0"/>
  </r>
  <r>
    <n v="73"/>
    <x v="0"/>
    <x v="0"/>
    <x v="0"/>
    <x v="11"/>
    <s v="Rural"/>
    <s v="Masculino"/>
    <x v="0"/>
    <x v="0"/>
  </r>
  <r>
    <n v="74"/>
    <x v="0"/>
    <x v="0"/>
    <x v="0"/>
    <x v="11"/>
    <s v="Rural"/>
    <s v="Masculino"/>
    <x v="0"/>
    <x v="0"/>
  </r>
  <r>
    <n v="75"/>
    <x v="0"/>
    <x v="0"/>
    <x v="0"/>
    <x v="11"/>
    <s v="Rural"/>
    <s v="Masculino"/>
    <x v="0"/>
    <x v="0"/>
  </r>
  <r>
    <n v="76"/>
    <x v="0"/>
    <x v="0"/>
    <x v="0"/>
    <x v="11"/>
    <s v="Rural"/>
    <s v="Masculino"/>
    <x v="0"/>
    <x v="0"/>
  </r>
  <r>
    <n v="77"/>
    <x v="0"/>
    <x v="0"/>
    <x v="0"/>
    <x v="11"/>
    <s v="Rural"/>
    <s v="Femenino"/>
    <x v="0"/>
    <x v="0"/>
  </r>
  <r>
    <n v="78"/>
    <x v="0"/>
    <x v="0"/>
    <x v="0"/>
    <x v="11"/>
    <s v="Rural"/>
    <s v="Femenino"/>
    <x v="0"/>
    <x v="0"/>
  </r>
  <r>
    <n v="79"/>
    <x v="0"/>
    <x v="0"/>
    <x v="0"/>
    <x v="11"/>
    <s v="Rural"/>
    <s v="Femenino"/>
    <x v="1"/>
    <x v="0"/>
  </r>
  <r>
    <n v="80"/>
    <x v="0"/>
    <x v="0"/>
    <x v="0"/>
    <x v="11"/>
    <s v="Rural"/>
    <s v="Femenino"/>
    <x v="0"/>
    <x v="0"/>
  </r>
  <r>
    <n v="1"/>
    <x v="0"/>
    <x v="0"/>
    <x v="1"/>
    <x v="0"/>
    <s v="Rural"/>
    <s v="Femenino"/>
    <x v="0"/>
    <x v="0"/>
  </r>
  <r>
    <n v="2"/>
    <x v="0"/>
    <x v="0"/>
    <x v="1"/>
    <x v="0"/>
    <s v="Rural"/>
    <s v="Femenino"/>
    <x v="0"/>
    <x v="0"/>
  </r>
  <r>
    <n v="3"/>
    <x v="0"/>
    <x v="0"/>
    <x v="1"/>
    <x v="0"/>
    <s v="Rural"/>
    <s v="Femenino"/>
    <x v="1"/>
    <x v="0"/>
  </r>
  <r>
    <n v="4"/>
    <x v="0"/>
    <x v="0"/>
    <x v="1"/>
    <x v="0"/>
    <s v="Rural"/>
    <s v="Femenino"/>
    <x v="2"/>
    <x v="0"/>
  </r>
  <r>
    <n v="5"/>
    <x v="0"/>
    <x v="0"/>
    <x v="1"/>
    <x v="0"/>
    <s v="Rural"/>
    <s v="Femenino"/>
    <x v="2"/>
    <x v="0"/>
  </r>
  <r>
    <n v="6"/>
    <x v="0"/>
    <x v="0"/>
    <x v="1"/>
    <x v="0"/>
    <s v="Rural"/>
    <s v="Femenino"/>
    <x v="0"/>
    <x v="0"/>
  </r>
  <r>
    <n v="7"/>
    <x v="0"/>
    <x v="0"/>
    <x v="1"/>
    <x v="0"/>
    <s v="Rural"/>
    <s v="Femenino"/>
    <x v="1"/>
    <x v="0"/>
  </r>
  <r>
    <n v="8"/>
    <x v="0"/>
    <x v="0"/>
    <x v="1"/>
    <x v="0"/>
    <s v="Rural"/>
    <s v="Femenino"/>
    <x v="0"/>
    <x v="0"/>
  </r>
  <r>
    <n v="9"/>
    <x v="0"/>
    <x v="0"/>
    <x v="1"/>
    <x v="0"/>
    <s v="Rural"/>
    <s v="Masculino"/>
    <x v="0"/>
    <x v="0"/>
  </r>
  <r>
    <n v="10"/>
    <x v="0"/>
    <x v="0"/>
    <x v="1"/>
    <x v="0"/>
    <s v="Rural"/>
    <s v="Masculino"/>
    <x v="0"/>
    <x v="0"/>
  </r>
  <r>
    <n v="11"/>
    <x v="0"/>
    <x v="0"/>
    <x v="1"/>
    <x v="0"/>
    <s v="Rural"/>
    <s v="Masculino"/>
    <x v="0"/>
    <x v="0"/>
  </r>
  <r>
    <n v="12"/>
    <x v="0"/>
    <x v="0"/>
    <x v="1"/>
    <x v="0"/>
    <s v="Rural"/>
    <s v="Masculino"/>
    <x v="0"/>
    <x v="0"/>
  </r>
  <r>
    <n v="13"/>
    <x v="0"/>
    <x v="0"/>
    <x v="1"/>
    <x v="0"/>
    <s v="Rural"/>
    <s v="Masculino"/>
    <x v="0"/>
    <x v="0"/>
  </r>
  <r>
    <n v="14"/>
    <x v="0"/>
    <x v="0"/>
    <x v="1"/>
    <x v="0"/>
    <s v="Rural"/>
    <s v="Masculino"/>
    <x v="1"/>
    <x v="0"/>
  </r>
  <r>
    <n v="15"/>
    <x v="0"/>
    <x v="0"/>
    <x v="1"/>
    <x v="0"/>
    <s v="Rural"/>
    <s v="Femenino"/>
    <x v="0"/>
    <x v="0"/>
  </r>
  <r>
    <n v="16"/>
    <x v="0"/>
    <x v="0"/>
    <x v="1"/>
    <x v="0"/>
    <s v="Rural"/>
    <s v="Femenino"/>
    <x v="0"/>
    <x v="0"/>
  </r>
  <r>
    <n v="17"/>
    <x v="0"/>
    <x v="0"/>
    <x v="1"/>
    <x v="0"/>
    <s v="Rural"/>
    <s v="Femenino"/>
    <x v="0"/>
    <x v="0"/>
  </r>
  <r>
    <n v="18"/>
    <x v="0"/>
    <x v="0"/>
    <x v="1"/>
    <x v="0"/>
    <s v="Rural"/>
    <s v="Femenino"/>
    <x v="0"/>
    <x v="0"/>
  </r>
  <r>
    <n v="19"/>
    <x v="0"/>
    <x v="0"/>
    <x v="1"/>
    <x v="0"/>
    <s v="Rural"/>
    <s v="Femenino"/>
    <x v="0"/>
    <x v="0"/>
  </r>
  <r>
    <n v="20"/>
    <x v="0"/>
    <x v="0"/>
    <x v="1"/>
    <x v="0"/>
    <s v="Rural"/>
    <s v="Masculino"/>
    <x v="0"/>
    <x v="0"/>
  </r>
  <r>
    <n v="21"/>
    <x v="0"/>
    <x v="0"/>
    <x v="1"/>
    <x v="0"/>
    <s v="Rural"/>
    <s v="Masculino"/>
    <x v="0"/>
    <x v="0"/>
  </r>
  <r>
    <n v="22"/>
    <x v="0"/>
    <x v="0"/>
    <x v="1"/>
    <x v="0"/>
    <s v="Rural"/>
    <s v="Masculino"/>
    <x v="0"/>
    <x v="0"/>
  </r>
  <r>
    <n v="23"/>
    <x v="0"/>
    <x v="0"/>
    <x v="1"/>
    <x v="0"/>
    <s v="Rural"/>
    <s v="Masculino"/>
    <x v="0"/>
    <x v="0"/>
  </r>
  <r>
    <n v="24"/>
    <x v="0"/>
    <x v="0"/>
    <x v="1"/>
    <x v="0"/>
    <s v="Rural"/>
    <s v="Masculino"/>
    <x v="0"/>
    <x v="0"/>
  </r>
  <r>
    <n v="25"/>
    <x v="0"/>
    <x v="0"/>
    <x v="1"/>
    <x v="1"/>
    <s v="Rural"/>
    <s v="Masculino"/>
    <x v="0"/>
    <x v="0"/>
  </r>
  <r>
    <n v="26"/>
    <x v="0"/>
    <x v="0"/>
    <x v="1"/>
    <x v="1"/>
    <s v="Rural"/>
    <s v="Masculino"/>
    <x v="0"/>
    <x v="0"/>
  </r>
  <r>
    <n v="27"/>
    <x v="0"/>
    <x v="0"/>
    <x v="1"/>
    <x v="1"/>
    <s v="Rural"/>
    <s v="Masculino"/>
    <x v="0"/>
    <x v="0"/>
  </r>
  <r>
    <n v="28"/>
    <x v="0"/>
    <x v="0"/>
    <x v="1"/>
    <x v="1"/>
    <s v="Rural"/>
    <s v="Femenino"/>
    <x v="0"/>
    <x v="0"/>
  </r>
  <r>
    <n v="29"/>
    <x v="0"/>
    <x v="0"/>
    <x v="1"/>
    <x v="2"/>
    <s v="Rural"/>
    <s v="Masculino"/>
    <x v="0"/>
    <x v="0"/>
  </r>
  <r>
    <n v="30"/>
    <x v="0"/>
    <x v="0"/>
    <x v="1"/>
    <x v="2"/>
    <s v="Rural"/>
    <s v="Masculino"/>
    <x v="0"/>
    <x v="0"/>
  </r>
  <r>
    <n v="31"/>
    <x v="0"/>
    <x v="0"/>
    <x v="1"/>
    <x v="2"/>
    <s v="Rural"/>
    <s v="Femenino"/>
    <x v="0"/>
    <x v="0"/>
  </r>
  <r>
    <n v="32"/>
    <x v="0"/>
    <x v="0"/>
    <x v="1"/>
    <x v="2"/>
    <s v="Rural"/>
    <s v="Femenino"/>
    <x v="0"/>
    <x v="0"/>
  </r>
  <r>
    <n v="33"/>
    <x v="0"/>
    <x v="0"/>
    <x v="1"/>
    <x v="2"/>
    <s v="Rural"/>
    <s v="Femenino"/>
    <x v="0"/>
    <x v="0"/>
  </r>
  <r>
    <n v="34"/>
    <x v="0"/>
    <x v="0"/>
    <x v="1"/>
    <x v="3"/>
    <s v="Rural"/>
    <s v="Masculino"/>
    <x v="1"/>
    <x v="0"/>
  </r>
  <r>
    <n v="35"/>
    <x v="0"/>
    <x v="0"/>
    <x v="1"/>
    <x v="3"/>
    <s v="Rural"/>
    <s v="Femenino"/>
    <x v="0"/>
    <x v="0"/>
  </r>
  <r>
    <n v="36"/>
    <x v="0"/>
    <x v="0"/>
    <x v="1"/>
    <x v="3"/>
    <s v="Rural"/>
    <s v="Femenino"/>
    <x v="0"/>
    <x v="0"/>
  </r>
  <r>
    <n v="37"/>
    <x v="0"/>
    <x v="0"/>
    <x v="1"/>
    <x v="4"/>
    <s v="Rural"/>
    <s v="Masculino"/>
    <x v="0"/>
    <x v="0"/>
  </r>
  <r>
    <n v="38"/>
    <x v="0"/>
    <x v="0"/>
    <x v="1"/>
    <x v="4"/>
    <s v="Rural"/>
    <s v="Masculino"/>
    <x v="0"/>
    <x v="0"/>
  </r>
  <r>
    <n v="39"/>
    <x v="0"/>
    <x v="0"/>
    <x v="1"/>
    <x v="4"/>
    <s v="Rural"/>
    <s v="Masculino"/>
    <x v="0"/>
    <x v="0"/>
  </r>
  <r>
    <n v="40"/>
    <x v="0"/>
    <x v="0"/>
    <x v="1"/>
    <x v="4"/>
    <s v="Rural"/>
    <s v="Masculino"/>
    <x v="0"/>
    <x v="0"/>
  </r>
  <r>
    <n v="41"/>
    <x v="0"/>
    <x v="0"/>
    <x v="1"/>
    <x v="4"/>
    <s v="Rural"/>
    <s v="Femenino"/>
    <x v="0"/>
    <x v="0"/>
  </r>
  <r>
    <n v="42"/>
    <x v="0"/>
    <x v="0"/>
    <x v="1"/>
    <x v="4"/>
    <s v="Rural"/>
    <s v="Femenino"/>
    <x v="0"/>
    <x v="0"/>
  </r>
  <r>
    <n v="43"/>
    <x v="0"/>
    <x v="0"/>
    <x v="1"/>
    <x v="4"/>
    <s v="Rural"/>
    <s v="Femenino"/>
    <x v="0"/>
    <x v="0"/>
  </r>
  <r>
    <n v="44"/>
    <x v="0"/>
    <x v="0"/>
    <x v="1"/>
    <x v="4"/>
    <s v="Rural"/>
    <s v="Femenino"/>
    <x v="0"/>
    <x v="0"/>
  </r>
  <r>
    <n v="45"/>
    <x v="0"/>
    <x v="0"/>
    <x v="1"/>
    <x v="4"/>
    <s v="Rural"/>
    <s v="Femenino"/>
    <x v="0"/>
    <x v="0"/>
  </r>
  <r>
    <n v="46"/>
    <x v="0"/>
    <x v="0"/>
    <x v="1"/>
    <x v="12"/>
    <s v="Rural"/>
    <s v="Femenino"/>
    <x v="1"/>
    <x v="0"/>
  </r>
  <r>
    <n v="47"/>
    <x v="0"/>
    <x v="0"/>
    <x v="1"/>
    <x v="12"/>
    <s v="Rural"/>
    <s v="Masculino"/>
    <x v="1"/>
    <x v="0"/>
  </r>
  <r>
    <n v="48"/>
    <x v="0"/>
    <x v="0"/>
    <x v="1"/>
    <x v="5"/>
    <s v="Rural"/>
    <s v="Femenino"/>
    <x v="0"/>
    <x v="0"/>
  </r>
  <r>
    <n v="49"/>
    <x v="0"/>
    <x v="0"/>
    <x v="1"/>
    <x v="5"/>
    <s v="Rural"/>
    <s v="Femenino"/>
    <x v="0"/>
    <x v="0"/>
  </r>
  <r>
    <n v="50"/>
    <x v="0"/>
    <x v="0"/>
    <x v="1"/>
    <x v="5"/>
    <s v="Rural"/>
    <s v="Femenino"/>
    <x v="0"/>
    <x v="0"/>
  </r>
  <r>
    <n v="51"/>
    <x v="0"/>
    <x v="0"/>
    <x v="1"/>
    <x v="5"/>
    <s v="Rural"/>
    <s v="Femenino"/>
    <x v="1"/>
    <x v="0"/>
  </r>
  <r>
    <n v="52"/>
    <x v="0"/>
    <x v="0"/>
    <x v="1"/>
    <x v="5"/>
    <s v="Rural"/>
    <s v="Masculino"/>
    <x v="0"/>
    <x v="0"/>
  </r>
  <r>
    <n v="53"/>
    <x v="0"/>
    <x v="0"/>
    <x v="1"/>
    <x v="5"/>
    <s v="Rural"/>
    <s v="Masculino"/>
    <x v="0"/>
    <x v="0"/>
  </r>
  <r>
    <n v="54"/>
    <x v="0"/>
    <x v="0"/>
    <x v="1"/>
    <x v="5"/>
    <s v="Rural"/>
    <s v="Masculino"/>
    <x v="0"/>
    <x v="0"/>
  </r>
  <r>
    <n v="55"/>
    <x v="0"/>
    <x v="0"/>
    <x v="1"/>
    <x v="5"/>
    <s v="Rural"/>
    <s v="Masculino"/>
    <x v="1"/>
    <x v="0"/>
  </r>
  <r>
    <n v="56"/>
    <x v="0"/>
    <x v="0"/>
    <x v="1"/>
    <x v="5"/>
    <s v="Rural"/>
    <s v="Masculino"/>
    <x v="0"/>
    <x v="0"/>
  </r>
  <r>
    <n v="57"/>
    <x v="0"/>
    <x v="0"/>
    <x v="1"/>
    <x v="5"/>
    <s v="Rural"/>
    <s v="Masculino"/>
    <x v="0"/>
    <x v="0"/>
  </r>
  <r>
    <n v="58"/>
    <x v="0"/>
    <x v="0"/>
    <x v="1"/>
    <x v="5"/>
    <s v="Rural"/>
    <s v="Masculino"/>
    <x v="2"/>
    <x v="0"/>
  </r>
  <r>
    <n v="59"/>
    <x v="0"/>
    <x v="0"/>
    <x v="1"/>
    <x v="5"/>
    <s v="Rural"/>
    <s v="Masculino"/>
    <x v="0"/>
    <x v="0"/>
  </r>
  <r>
    <n v="60"/>
    <x v="0"/>
    <x v="0"/>
    <x v="1"/>
    <x v="5"/>
    <s v="Rural"/>
    <s v="Femenino"/>
    <x v="0"/>
    <x v="0"/>
  </r>
  <r>
    <n v="61"/>
    <x v="0"/>
    <x v="0"/>
    <x v="1"/>
    <x v="5"/>
    <s v="Rural"/>
    <s v="Femenino"/>
    <x v="0"/>
    <x v="0"/>
  </r>
  <r>
    <n v="62"/>
    <x v="0"/>
    <x v="0"/>
    <x v="1"/>
    <x v="5"/>
    <s v="Rural"/>
    <s v="Femenino"/>
    <x v="0"/>
    <x v="0"/>
  </r>
  <r>
    <n v="63"/>
    <x v="0"/>
    <x v="0"/>
    <x v="1"/>
    <x v="5"/>
    <s v="Rural"/>
    <s v="Femenino"/>
    <x v="0"/>
    <x v="0"/>
  </r>
  <r>
    <n v="64"/>
    <x v="0"/>
    <x v="0"/>
    <x v="1"/>
    <x v="5"/>
    <s v="Rural"/>
    <s v="Femenino"/>
    <x v="2"/>
    <x v="0"/>
  </r>
  <r>
    <n v="65"/>
    <x v="0"/>
    <x v="0"/>
    <x v="1"/>
    <x v="5"/>
    <s v="Rural"/>
    <s v="Femenino"/>
    <x v="0"/>
    <x v="0"/>
  </r>
  <r>
    <n v="66"/>
    <x v="0"/>
    <x v="0"/>
    <x v="1"/>
    <x v="5"/>
    <s v="Rural"/>
    <s v="Femenino"/>
    <x v="0"/>
    <x v="0"/>
  </r>
  <r>
    <n v="67"/>
    <x v="0"/>
    <x v="0"/>
    <x v="1"/>
    <x v="5"/>
    <s v="Rural"/>
    <s v="Masculino"/>
    <x v="1"/>
    <x v="0"/>
  </r>
  <r>
    <n v="68"/>
    <x v="0"/>
    <x v="0"/>
    <x v="1"/>
    <x v="5"/>
    <s v="Rural"/>
    <s v="Masculino"/>
    <x v="0"/>
    <x v="0"/>
  </r>
  <r>
    <n v="69"/>
    <x v="0"/>
    <x v="0"/>
    <x v="1"/>
    <x v="5"/>
    <s v="Rural"/>
    <s v="Masculino"/>
    <x v="0"/>
    <x v="0"/>
  </r>
  <r>
    <n v="70"/>
    <x v="0"/>
    <x v="0"/>
    <x v="1"/>
    <x v="5"/>
    <s v="Rural"/>
    <s v="Masculino"/>
    <x v="0"/>
    <x v="0"/>
  </r>
  <r>
    <n v="71"/>
    <x v="0"/>
    <x v="0"/>
    <x v="1"/>
    <x v="5"/>
    <s v="Rural"/>
    <s v="Masculino"/>
    <x v="0"/>
    <x v="0"/>
  </r>
  <r>
    <n v="72"/>
    <x v="0"/>
    <x v="0"/>
    <x v="1"/>
    <x v="13"/>
    <s v="Rural"/>
    <s v="Femenino"/>
    <x v="1"/>
    <x v="0"/>
  </r>
  <r>
    <n v="73"/>
    <x v="0"/>
    <x v="0"/>
    <x v="1"/>
    <x v="8"/>
    <s v="Rural"/>
    <s v="Masculino"/>
    <x v="0"/>
    <x v="0"/>
  </r>
  <r>
    <n v="74"/>
    <x v="0"/>
    <x v="0"/>
    <x v="1"/>
    <x v="9"/>
    <s v="Rural"/>
    <s v="Femenino"/>
    <x v="1"/>
    <x v="0"/>
  </r>
  <r>
    <n v="75"/>
    <x v="0"/>
    <x v="0"/>
    <x v="1"/>
    <x v="9"/>
    <s v="Rural"/>
    <s v="Femenino"/>
    <x v="1"/>
    <x v="0"/>
  </r>
  <r>
    <n v="76"/>
    <x v="0"/>
    <x v="0"/>
    <x v="1"/>
    <x v="14"/>
    <s v="Rural"/>
    <s v="Masculino"/>
    <x v="2"/>
    <x v="0"/>
  </r>
  <r>
    <n v="77"/>
    <x v="0"/>
    <x v="0"/>
    <x v="1"/>
    <x v="10"/>
    <s v="Rural"/>
    <s v="Masculino"/>
    <x v="1"/>
    <x v="0"/>
  </r>
  <r>
    <n v="78"/>
    <x v="0"/>
    <x v="0"/>
    <x v="1"/>
    <x v="11"/>
    <s v="Rural"/>
    <s v="Masculino"/>
    <x v="1"/>
    <x v="0"/>
  </r>
  <r>
    <n v="79"/>
    <x v="0"/>
    <x v="0"/>
    <x v="1"/>
    <x v="11"/>
    <s v="Rural"/>
    <s v="Masculino"/>
    <x v="0"/>
    <x v="0"/>
  </r>
  <r>
    <n v="80"/>
    <x v="0"/>
    <x v="0"/>
    <x v="1"/>
    <x v="11"/>
    <s v="Rural"/>
    <s v="Masculino"/>
    <x v="0"/>
    <x v="0"/>
  </r>
  <r>
    <n v="81"/>
    <x v="0"/>
    <x v="0"/>
    <x v="1"/>
    <x v="11"/>
    <s v="Rural"/>
    <s v="Masculino"/>
    <x v="1"/>
    <x v="0"/>
  </r>
  <r>
    <n v="82"/>
    <x v="0"/>
    <x v="0"/>
    <x v="1"/>
    <x v="11"/>
    <s v="Rural"/>
    <s v="Masculino"/>
    <x v="0"/>
    <x v="0"/>
  </r>
  <r>
    <n v="83"/>
    <x v="0"/>
    <x v="0"/>
    <x v="1"/>
    <x v="11"/>
    <s v="Rural"/>
    <s v="Femenino"/>
    <x v="0"/>
    <x v="0"/>
  </r>
  <r>
    <n v="84"/>
    <x v="0"/>
    <x v="0"/>
    <x v="1"/>
    <x v="11"/>
    <s v="Rural"/>
    <s v="Femenino"/>
    <x v="0"/>
    <x v="0"/>
  </r>
  <r>
    <n v="85"/>
    <x v="0"/>
    <x v="0"/>
    <x v="1"/>
    <x v="11"/>
    <s v="Rural"/>
    <s v="Femenino"/>
    <x v="0"/>
    <x v="0"/>
  </r>
  <r>
    <n v="86"/>
    <x v="0"/>
    <x v="0"/>
    <x v="1"/>
    <x v="11"/>
    <s v="Rural"/>
    <s v="Femenino"/>
    <x v="0"/>
    <x v="0"/>
  </r>
  <r>
    <n v="87"/>
    <x v="0"/>
    <x v="0"/>
    <x v="1"/>
    <x v="11"/>
    <s v="Rural"/>
    <s v="Femenino"/>
    <x v="1"/>
    <x v="0"/>
  </r>
  <r>
    <n v="1"/>
    <x v="0"/>
    <x v="1"/>
    <x v="2"/>
    <x v="5"/>
    <s v="Rural"/>
    <s v="Masculino"/>
    <x v="0"/>
    <x v="0"/>
  </r>
  <r>
    <n v="2"/>
    <x v="0"/>
    <x v="1"/>
    <x v="2"/>
    <x v="5"/>
    <s v="Rural"/>
    <s v="Masculino"/>
    <x v="1"/>
    <x v="0"/>
  </r>
  <r>
    <n v="3"/>
    <x v="0"/>
    <x v="1"/>
    <x v="2"/>
    <x v="5"/>
    <s v="Rural"/>
    <s v="Masculino"/>
    <x v="0"/>
    <x v="0"/>
  </r>
  <r>
    <n v="4"/>
    <x v="0"/>
    <x v="1"/>
    <x v="2"/>
    <x v="5"/>
    <s v="Rural"/>
    <s v="Masculino"/>
    <x v="0"/>
    <x v="0"/>
  </r>
  <r>
    <n v="5"/>
    <x v="0"/>
    <x v="1"/>
    <x v="2"/>
    <x v="5"/>
    <s v="Rural"/>
    <s v="Masculino"/>
    <x v="0"/>
    <x v="0"/>
  </r>
  <r>
    <n v="6"/>
    <x v="0"/>
    <x v="1"/>
    <x v="2"/>
    <x v="5"/>
    <s v="Rural"/>
    <s v="Masculino"/>
    <x v="0"/>
    <x v="0"/>
  </r>
  <r>
    <n v="7"/>
    <x v="0"/>
    <x v="1"/>
    <x v="2"/>
    <x v="5"/>
    <s v="Rural"/>
    <s v="Masculino"/>
    <x v="0"/>
    <x v="0"/>
  </r>
  <r>
    <n v="8"/>
    <x v="0"/>
    <x v="1"/>
    <x v="2"/>
    <x v="5"/>
    <s v="Rural"/>
    <s v="Masculino"/>
    <x v="0"/>
    <x v="0"/>
  </r>
  <r>
    <n v="9"/>
    <x v="0"/>
    <x v="1"/>
    <x v="2"/>
    <x v="5"/>
    <s v="Rural"/>
    <s v="Masculino"/>
    <x v="0"/>
    <x v="0"/>
  </r>
  <r>
    <n v="10"/>
    <x v="0"/>
    <x v="1"/>
    <x v="2"/>
    <x v="5"/>
    <s v="Rural"/>
    <s v="Masculino"/>
    <x v="0"/>
    <x v="0"/>
  </r>
  <r>
    <n v="11"/>
    <x v="0"/>
    <x v="1"/>
    <x v="2"/>
    <x v="5"/>
    <s v="Rural"/>
    <s v="Masculino"/>
    <x v="0"/>
    <x v="0"/>
  </r>
  <r>
    <n v="12"/>
    <x v="0"/>
    <x v="1"/>
    <x v="2"/>
    <x v="5"/>
    <s v="Rural"/>
    <s v="Masculino"/>
    <x v="0"/>
    <x v="0"/>
  </r>
  <r>
    <n v="13"/>
    <x v="0"/>
    <x v="1"/>
    <x v="2"/>
    <x v="5"/>
    <s v="Rural"/>
    <s v="Masculino"/>
    <x v="0"/>
    <x v="0"/>
  </r>
  <r>
    <n v="14"/>
    <x v="0"/>
    <x v="1"/>
    <x v="2"/>
    <x v="5"/>
    <s v="Rural"/>
    <s v="Masculino"/>
    <x v="0"/>
    <x v="0"/>
  </r>
  <r>
    <n v="15"/>
    <x v="0"/>
    <x v="1"/>
    <x v="2"/>
    <x v="5"/>
    <s v="Rural"/>
    <s v="Masculino"/>
    <x v="1"/>
    <x v="0"/>
  </r>
  <r>
    <n v="16"/>
    <x v="0"/>
    <x v="1"/>
    <x v="2"/>
    <x v="5"/>
    <s v="Rural"/>
    <s v="Masculino"/>
    <x v="0"/>
    <x v="0"/>
  </r>
  <r>
    <n v="17"/>
    <x v="0"/>
    <x v="1"/>
    <x v="2"/>
    <x v="5"/>
    <s v="Rural"/>
    <s v="Masculino"/>
    <x v="0"/>
    <x v="0"/>
  </r>
  <r>
    <n v="18"/>
    <x v="0"/>
    <x v="1"/>
    <x v="2"/>
    <x v="5"/>
    <s v="Rural"/>
    <s v="Masculino"/>
    <x v="0"/>
    <x v="0"/>
  </r>
  <r>
    <n v="19"/>
    <x v="0"/>
    <x v="1"/>
    <x v="2"/>
    <x v="5"/>
    <s v="Rural"/>
    <s v="Masculino"/>
    <x v="0"/>
    <x v="0"/>
  </r>
  <r>
    <n v="20"/>
    <x v="0"/>
    <x v="1"/>
    <x v="2"/>
    <x v="5"/>
    <s v="Rural"/>
    <s v="Masculino"/>
    <x v="0"/>
    <x v="0"/>
  </r>
  <r>
    <n v="21"/>
    <x v="0"/>
    <x v="1"/>
    <x v="2"/>
    <x v="5"/>
    <s v="Rural"/>
    <s v="Femenino"/>
    <x v="0"/>
    <x v="0"/>
  </r>
  <r>
    <n v="22"/>
    <x v="0"/>
    <x v="1"/>
    <x v="2"/>
    <x v="5"/>
    <s v="Rural"/>
    <s v="Femenino"/>
    <x v="0"/>
    <x v="0"/>
  </r>
  <r>
    <n v="23"/>
    <x v="0"/>
    <x v="1"/>
    <x v="2"/>
    <x v="5"/>
    <s v="Rural"/>
    <s v="Femenino"/>
    <x v="0"/>
    <x v="0"/>
  </r>
  <r>
    <n v="24"/>
    <x v="0"/>
    <x v="1"/>
    <x v="2"/>
    <x v="5"/>
    <s v="Rural"/>
    <s v="Femenino"/>
    <x v="1"/>
    <x v="0"/>
  </r>
  <r>
    <n v="25"/>
    <x v="0"/>
    <x v="1"/>
    <x v="2"/>
    <x v="5"/>
    <s v="Rural"/>
    <s v="Femenino"/>
    <x v="0"/>
    <x v="0"/>
  </r>
  <r>
    <n v="26"/>
    <x v="0"/>
    <x v="1"/>
    <x v="2"/>
    <x v="5"/>
    <s v="Rural"/>
    <s v="Femenino"/>
    <x v="0"/>
    <x v="0"/>
  </r>
  <r>
    <n v="27"/>
    <x v="0"/>
    <x v="1"/>
    <x v="2"/>
    <x v="5"/>
    <s v="Rural"/>
    <s v="Femenino"/>
    <x v="1"/>
    <x v="0"/>
  </r>
  <r>
    <n v="28"/>
    <x v="0"/>
    <x v="1"/>
    <x v="2"/>
    <x v="5"/>
    <s v="Rural"/>
    <s v="Femenino"/>
    <x v="1"/>
    <x v="0"/>
  </r>
  <r>
    <n v="29"/>
    <x v="0"/>
    <x v="1"/>
    <x v="2"/>
    <x v="5"/>
    <s v="Rural"/>
    <s v="Femenino"/>
    <x v="0"/>
    <x v="0"/>
  </r>
  <r>
    <n v="30"/>
    <x v="0"/>
    <x v="1"/>
    <x v="2"/>
    <x v="5"/>
    <s v="Rural"/>
    <s v="Femenino"/>
    <x v="1"/>
    <x v="0"/>
  </r>
  <r>
    <n v="31"/>
    <x v="0"/>
    <x v="1"/>
    <x v="2"/>
    <x v="5"/>
    <s v="Rural"/>
    <s v="Femenino"/>
    <x v="1"/>
    <x v="0"/>
  </r>
  <r>
    <n v="32"/>
    <x v="0"/>
    <x v="1"/>
    <x v="2"/>
    <x v="5"/>
    <s v="Rural"/>
    <s v="Femenino"/>
    <x v="0"/>
    <x v="0"/>
  </r>
  <r>
    <n v="33"/>
    <x v="0"/>
    <x v="1"/>
    <x v="2"/>
    <x v="5"/>
    <s v="Rural"/>
    <s v="Femenino"/>
    <x v="0"/>
    <x v="0"/>
  </r>
  <r>
    <n v="34"/>
    <x v="0"/>
    <x v="1"/>
    <x v="2"/>
    <x v="5"/>
    <s v="Rural"/>
    <s v="Femenino"/>
    <x v="0"/>
    <x v="0"/>
  </r>
  <r>
    <n v="35"/>
    <x v="0"/>
    <x v="1"/>
    <x v="2"/>
    <x v="5"/>
    <s v="Rural"/>
    <s v="Femenino"/>
    <x v="0"/>
    <x v="0"/>
  </r>
  <r>
    <n v="36"/>
    <x v="0"/>
    <x v="1"/>
    <x v="2"/>
    <x v="5"/>
    <s v="Rural"/>
    <s v="Femenino"/>
    <x v="0"/>
    <x v="0"/>
  </r>
  <r>
    <n v="37"/>
    <x v="0"/>
    <x v="1"/>
    <x v="2"/>
    <x v="5"/>
    <s v="Rural"/>
    <s v="Femenino"/>
    <x v="0"/>
    <x v="0"/>
  </r>
  <r>
    <n v="1"/>
    <x v="0"/>
    <x v="1"/>
    <x v="3"/>
    <x v="5"/>
    <s v="Rural"/>
    <s v="Masculino"/>
    <x v="0"/>
    <x v="0"/>
  </r>
  <r>
    <n v="2"/>
    <x v="0"/>
    <x v="1"/>
    <x v="3"/>
    <x v="5"/>
    <s v="Rural"/>
    <s v="Masculino"/>
    <x v="0"/>
    <x v="0"/>
  </r>
  <r>
    <n v="3"/>
    <x v="0"/>
    <x v="1"/>
    <x v="3"/>
    <x v="5"/>
    <s v="Rural"/>
    <s v="Masculino"/>
    <x v="0"/>
    <x v="0"/>
  </r>
  <r>
    <n v="4"/>
    <x v="0"/>
    <x v="1"/>
    <x v="3"/>
    <x v="5"/>
    <s v="Rural"/>
    <s v="Masculino"/>
    <x v="0"/>
    <x v="0"/>
  </r>
  <r>
    <n v="5"/>
    <x v="0"/>
    <x v="1"/>
    <x v="3"/>
    <x v="5"/>
    <s v="Rural"/>
    <s v="Masculino"/>
    <x v="0"/>
    <x v="0"/>
  </r>
  <r>
    <n v="6"/>
    <x v="0"/>
    <x v="1"/>
    <x v="3"/>
    <x v="5"/>
    <s v="Rural"/>
    <s v="Masculino"/>
    <x v="0"/>
    <x v="0"/>
  </r>
  <r>
    <n v="7"/>
    <x v="0"/>
    <x v="1"/>
    <x v="3"/>
    <x v="5"/>
    <s v="Rural"/>
    <s v="Masculino"/>
    <x v="0"/>
    <x v="0"/>
  </r>
  <r>
    <n v="8"/>
    <x v="0"/>
    <x v="1"/>
    <x v="3"/>
    <x v="5"/>
    <s v="Rural"/>
    <s v="Masculino"/>
    <x v="0"/>
    <x v="0"/>
  </r>
  <r>
    <n v="9"/>
    <x v="0"/>
    <x v="1"/>
    <x v="3"/>
    <x v="5"/>
    <s v="Rural"/>
    <s v="Masculino"/>
    <x v="1"/>
    <x v="0"/>
  </r>
  <r>
    <n v="10"/>
    <x v="0"/>
    <x v="1"/>
    <x v="3"/>
    <x v="5"/>
    <s v="Rural"/>
    <s v="Masculino"/>
    <x v="1"/>
    <x v="0"/>
  </r>
  <r>
    <n v="11"/>
    <x v="0"/>
    <x v="1"/>
    <x v="3"/>
    <x v="5"/>
    <s v="Rural"/>
    <s v="Masculino"/>
    <x v="1"/>
    <x v="0"/>
  </r>
  <r>
    <n v="12"/>
    <x v="0"/>
    <x v="1"/>
    <x v="3"/>
    <x v="5"/>
    <s v="Rural"/>
    <s v="Masculino"/>
    <x v="0"/>
    <x v="0"/>
  </r>
  <r>
    <n v="13"/>
    <x v="0"/>
    <x v="1"/>
    <x v="3"/>
    <x v="5"/>
    <s v="Rural"/>
    <s v="Masculino"/>
    <x v="0"/>
    <x v="0"/>
  </r>
  <r>
    <n v="14"/>
    <x v="0"/>
    <x v="1"/>
    <x v="3"/>
    <x v="5"/>
    <s v="Rural"/>
    <s v="Masculino"/>
    <x v="0"/>
    <x v="0"/>
  </r>
  <r>
    <n v="15"/>
    <x v="0"/>
    <x v="1"/>
    <x v="3"/>
    <x v="5"/>
    <s v="Rural"/>
    <s v="Masculino"/>
    <x v="0"/>
    <x v="0"/>
  </r>
  <r>
    <n v="16"/>
    <x v="0"/>
    <x v="1"/>
    <x v="3"/>
    <x v="5"/>
    <s v="Rural"/>
    <s v="Femenino"/>
    <x v="0"/>
    <x v="0"/>
  </r>
  <r>
    <n v="17"/>
    <x v="0"/>
    <x v="1"/>
    <x v="3"/>
    <x v="5"/>
    <s v="Rural"/>
    <s v="Femenino"/>
    <x v="0"/>
    <x v="0"/>
  </r>
  <r>
    <n v="18"/>
    <x v="0"/>
    <x v="1"/>
    <x v="3"/>
    <x v="5"/>
    <s v="Rural"/>
    <s v="Femenino"/>
    <x v="1"/>
    <x v="0"/>
  </r>
  <r>
    <n v="19"/>
    <x v="0"/>
    <x v="1"/>
    <x v="3"/>
    <x v="5"/>
    <s v="Rural"/>
    <s v="Femenino"/>
    <x v="0"/>
    <x v="0"/>
  </r>
  <r>
    <n v="20"/>
    <x v="0"/>
    <x v="1"/>
    <x v="3"/>
    <x v="5"/>
    <s v="Rural"/>
    <s v="Femenino"/>
    <x v="0"/>
    <x v="0"/>
  </r>
  <r>
    <n v="21"/>
    <x v="0"/>
    <x v="1"/>
    <x v="3"/>
    <x v="5"/>
    <s v="Rural"/>
    <s v="Femenino"/>
    <x v="0"/>
    <x v="0"/>
  </r>
  <r>
    <n v="22"/>
    <x v="0"/>
    <x v="1"/>
    <x v="3"/>
    <x v="5"/>
    <s v="Rural"/>
    <s v="Femenino"/>
    <x v="0"/>
    <x v="0"/>
  </r>
  <r>
    <n v="23"/>
    <x v="0"/>
    <x v="1"/>
    <x v="3"/>
    <x v="5"/>
    <s v="Rural"/>
    <s v="Femenino"/>
    <x v="1"/>
    <x v="0"/>
  </r>
  <r>
    <n v="24"/>
    <x v="0"/>
    <x v="1"/>
    <x v="3"/>
    <x v="5"/>
    <s v="Rural"/>
    <s v="Femenino"/>
    <x v="0"/>
    <x v="0"/>
  </r>
  <r>
    <n v="25"/>
    <x v="0"/>
    <x v="1"/>
    <x v="3"/>
    <x v="5"/>
    <s v="Rural"/>
    <s v="Femenino"/>
    <x v="1"/>
    <x v="0"/>
  </r>
  <r>
    <n v="26"/>
    <x v="0"/>
    <x v="1"/>
    <x v="3"/>
    <x v="5"/>
    <s v="Rural"/>
    <s v="Femenino"/>
    <x v="0"/>
    <x v="0"/>
  </r>
  <r>
    <n v="27"/>
    <x v="0"/>
    <x v="1"/>
    <x v="3"/>
    <x v="5"/>
    <s v="Rural"/>
    <s v="Femenino"/>
    <x v="0"/>
    <x v="0"/>
  </r>
  <r>
    <n v="28"/>
    <x v="0"/>
    <x v="1"/>
    <x v="3"/>
    <x v="5"/>
    <s v="Rural"/>
    <s v="Femenino"/>
    <x v="0"/>
    <x v="0"/>
  </r>
  <r>
    <n v="29"/>
    <x v="0"/>
    <x v="1"/>
    <x v="3"/>
    <x v="5"/>
    <s v="Rural"/>
    <s v="Femenino"/>
    <x v="0"/>
    <x v="0"/>
  </r>
  <r>
    <n v="1"/>
    <x v="1"/>
    <x v="0"/>
    <x v="4"/>
    <x v="15"/>
    <s v="Rural"/>
    <s v="Masculino"/>
    <x v="1"/>
    <x v="0"/>
  </r>
  <r>
    <n v="2"/>
    <x v="1"/>
    <x v="0"/>
    <x v="4"/>
    <x v="15"/>
    <s v="Rural"/>
    <s v="Femenino"/>
    <x v="0"/>
    <x v="0"/>
  </r>
  <r>
    <n v="3"/>
    <x v="1"/>
    <x v="0"/>
    <x v="0"/>
    <x v="15"/>
    <s v="Rural"/>
    <s v="Masculino"/>
    <x v="0"/>
    <x v="0"/>
  </r>
  <r>
    <n v="4"/>
    <x v="1"/>
    <x v="0"/>
    <x v="0"/>
    <x v="15"/>
    <s v="Rural"/>
    <s v="Femenino"/>
    <x v="0"/>
    <x v="0"/>
  </r>
  <r>
    <n v="5"/>
    <x v="1"/>
    <x v="0"/>
    <x v="1"/>
    <x v="15"/>
    <s v="Rural"/>
    <s v="Masculino"/>
    <x v="0"/>
    <x v="0"/>
  </r>
  <r>
    <n v="6"/>
    <x v="1"/>
    <x v="0"/>
    <x v="1"/>
    <x v="15"/>
    <s v="Rural"/>
    <s v="Femenino"/>
    <x v="0"/>
    <x v="0"/>
  </r>
  <r>
    <n v="7"/>
    <x v="1"/>
    <x v="0"/>
    <x v="1"/>
    <x v="15"/>
    <s v="Rural"/>
    <s v="Femenino"/>
    <x v="0"/>
    <x v="0"/>
  </r>
  <r>
    <n v="1"/>
    <x v="1"/>
    <x v="0"/>
    <x v="4"/>
    <x v="16"/>
    <s v="Rural"/>
    <s v="Masculino"/>
    <x v="0"/>
    <x v="0"/>
  </r>
  <r>
    <n v="2"/>
    <x v="1"/>
    <x v="0"/>
    <x v="4"/>
    <x v="16"/>
    <s v="Rural"/>
    <s v="Masculino"/>
    <x v="0"/>
    <x v="0"/>
  </r>
  <r>
    <n v="3"/>
    <x v="1"/>
    <x v="0"/>
    <x v="4"/>
    <x v="16"/>
    <s v="Rural"/>
    <s v="Femenino"/>
    <x v="1"/>
    <x v="0"/>
  </r>
  <r>
    <n v="4"/>
    <x v="1"/>
    <x v="0"/>
    <x v="0"/>
    <x v="16"/>
    <s v="Rural"/>
    <s v="Masculino"/>
    <x v="0"/>
    <x v="0"/>
  </r>
  <r>
    <n v="5"/>
    <x v="1"/>
    <x v="0"/>
    <x v="0"/>
    <x v="16"/>
    <s v="Rural"/>
    <s v="Masculino"/>
    <x v="1"/>
    <x v="0"/>
  </r>
  <r>
    <n v="6"/>
    <x v="1"/>
    <x v="0"/>
    <x v="1"/>
    <x v="16"/>
    <s v="Rural"/>
    <s v="Masculino"/>
    <x v="0"/>
    <x v="0"/>
  </r>
  <r>
    <n v="7"/>
    <x v="1"/>
    <x v="0"/>
    <x v="1"/>
    <x v="16"/>
    <s v="Rural"/>
    <s v="Femenino"/>
    <x v="0"/>
    <x v="0"/>
  </r>
  <r>
    <n v="1"/>
    <x v="1"/>
    <x v="0"/>
    <x v="4"/>
    <x v="17"/>
    <s v="Rural"/>
    <s v="Masculino"/>
    <x v="0"/>
    <x v="0"/>
  </r>
  <r>
    <n v="2"/>
    <x v="1"/>
    <x v="0"/>
    <x v="4"/>
    <x v="17"/>
    <s v="Rural"/>
    <s v="Masculino"/>
    <x v="0"/>
    <x v="0"/>
  </r>
  <r>
    <n v="3"/>
    <x v="1"/>
    <x v="0"/>
    <x v="4"/>
    <x v="17"/>
    <s v="Rural"/>
    <s v="Masculino"/>
    <x v="0"/>
    <x v="0"/>
  </r>
  <r>
    <n v="4"/>
    <x v="1"/>
    <x v="0"/>
    <x v="4"/>
    <x v="17"/>
    <s v="Rural"/>
    <s v="Masculino"/>
    <x v="0"/>
    <x v="0"/>
  </r>
  <r>
    <n v="5"/>
    <x v="1"/>
    <x v="0"/>
    <x v="4"/>
    <x v="17"/>
    <s v="Rural"/>
    <s v="Masculino"/>
    <x v="0"/>
    <x v="0"/>
  </r>
  <r>
    <n v="6"/>
    <x v="1"/>
    <x v="0"/>
    <x v="4"/>
    <x v="17"/>
    <s v="Rural"/>
    <s v="Femenino"/>
    <x v="0"/>
    <x v="0"/>
  </r>
  <r>
    <n v="7"/>
    <x v="1"/>
    <x v="0"/>
    <x v="4"/>
    <x v="17"/>
    <s v="Rural"/>
    <s v="Femenino"/>
    <x v="0"/>
    <x v="0"/>
  </r>
  <r>
    <n v="8"/>
    <x v="1"/>
    <x v="0"/>
    <x v="4"/>
    <x v="17"/>
    <s v="Rural"/>
    <s v="Femenino"/>
    <x v="0"/>
    <x v="0"/>
  </r>
  <r>
    <n v="9"/>
    <x v="1"/>
    <x v="0"/>
    <x v="0"/>
    <x v="17"/>
    <s v="Rural"/>
    <s v="Masculino"/>
    <x v="0"/>
    <x v="0"/>
  </r>
  <r>
    <n v="10"/>
    <x v="1"/>
    <x v="0"/>
    <x v="0"/>
    <x v="17"/>
    <s v="Rural"/>
    <s v="Masculino"/>
    <x v="0"/>
    <x v="0"/>
  </r>
  <r>
    <n v="11"/>
    <x v="1"/>
    <x v="0"/>
    <x v="0"/>
    <x v="17"/>
    <s v="Rural"/>
    <s v="Masculino"/>
    <x v="0"/>
    <x v="0"/>
  </r>
  <r>
    <n v="12"/>
    <x v="1"/>
    <x v="0"/>
    <x v="0"/>
    <x v="17"/>
    <s v="Rural"/>
    <s v="Masculino"/>
    <x v="0"/>
    <x v="0"/>
  </r>
  <r>
    <n v="13"/>
    <x v="1"/>
    <x v="0"/>
    <x v="0"/>
    <x v="17"/>
    <s v="Rural"/>
    <s v="Femenino"/>
    <x v="0"/>
    <x v="0"/>
  </r>
  <r>
    <n v="14"/>
    <x v="1"/>
    <x v="0"/>
    <x v="0"/>
    <x v="17"/>
    <s v="Rural"/>
    <s v="Femenino"/>
    <x v="0"/>
    <x v="0"/>
  </r>
  <r>
    <n v="15"/>
    <x v="1"/>
    <x v="0"/>
    <x v="0"/>
    <x v="17"/>
    <s v="Rural"/>
    <s v="Femenino"/>
    <x v="0"/>
    <x v="0"/>
  </r>
  <r>
    <n v="16"/>
    <x v="1"/>
    <x v="0"/>
    <x v="0"/>
    <x v="17"/>
    <s v="Rural"/>
    <s v="Femenino"/>
    <x v="0"/>
    <x v="0"/>
  </r>
  <r>
    <n v="17"/>
    <x v="1"/>
    <x v="0"/>
    <x v="0"/>
    <x v="17"/>
    <s v="Rural"/>
    <s v="Femenino"/>
    <x v="0"/>
    <x v="0"/>
  </r>
  <r>
    <n v="18"/>
    <x v="1"/>
    <x v="0"/>
    <x v="1"/>
    <x v="17"/>
    <s v="Rural"/>
    <s v="Masculino"/>
    <x v="0"/>
    <x v="0"/>
  </r>
  <r>
    <n v="19"/>
    <x v="1"/>
    <x v="0"/>
    <x v="1"/>
    <x v="17"/>
    <s v="Rural"/>
    <s v="Masculino"/>
    <x v="0"/>
    <x v="0"/>
  </r>
  <r>
    <n v="20"/>
    <x v="1"/>
    <x v="0"/>
    <x v="1"/>
    <x v="17"/>
    <s v="Rural"/>
    <s v="Masculino"/>
    <x v="0"/>
    <x v="0"/>
  </r>
  <r>
    <n v="21"/>
    <x v="1"/>
    <x v="0"/>
    <x v="1"/>
    <x v="17"/>
    <s v="Rural"/>
    <s v="Masculino"/>
    <x v="0"/>
    <x v="0"/>
  </r>
  <r>
    <n v="22"/>
    <x v="1"/>
    <x v="0"/>
    <x v="1"/>
    <x v="17"/>
    <s v="Rural"/>
    <s v="Femenino"/>
    <x v="0"/>
    <x v="0"/>
  </r>
  <r>
    <n v="23"/>
    <x v="1"/>
    <x v="0"/>
    <x v="1"/>
    <x v="17"/>
    <s v="Rural"/>
    <s v="Femenino"/>
    <x v="0"/>
    <x v="0"/>
  </r>
  <r>
    <n v="24"/>
    <x v="1"/>
    <x v="0"/>
    <x v="1"/>
    <x v="17"/>
    <s v="Rural"/>
    <s v="Femenino"/>
    <x v="0"/>
    <x v="0"/>
  </r>
  <r>
    <n v="25"/>
    <x v="1"/>
    <x v="0"/>
    <x v="1"/>
    <x v="17"/>
    <s v="Rural"/>
    <s v="Femenino"/>
    <x v="0"/>
    <x v="0"/>
  </r>
  <r>
    <n v="1"/>
    <x v="1"/>
    <x v="0"/>
    <x v="4"/>
    <x v="18"/>
    <s v="Rural"/>
    <s v="Masculino"/>
    <x v="0"/>
    <x v="0"/>
  </r>
  <r>
    <n v="2"/>
    <x v="1"/>
    <x v="0"/>
    <x v="4"/>
    <x v="18"/>
    <s v="Rural"/>
    <s v="Masculino"/>
    <x v="0"/>
    <x v="0"/>
  </r>
  <r>
    <n v="3"/>
    <x v="1"/>
    <x v="0"/>
    <x v="4"/>
    <x v="18"/>
    <s v="Rural"/>
    <s v="Masculino"/>
    <x v="0"/>
    <x v="0"/>
  </r>
  <r>
    <n v="4"/>
    <x v="1"/>
    <x v="0"/>
    <x v="4"/>
    <x v="18"/>
    <s v="Rural"/>
    <s v="Masculino"/>
    <x v="0"/>
    <x v="0"/>
  </r>
  <r>
    <n v="5"/>
    <x v="1"/>
    <x v="0"/>
    <x v="4"/>
    <x v="18"/>
    <s v="Rural"/>
    <s v="Femenino"/>
    <x v="0"/>
    <x v="0"/>
  </r>
  <r>
    <n v="6"/>
    <x v="1"/>
    <x v="0"/>
    <x v="4"/>
    <x v="18"/>
    <s v="Rural"/>
    <s v="Femenino"/>
    <x v="0"/>
    <x v="0"/>
  </r>
  <r>
    <n v="7"/>
    <x v="1"/>
    <x v="0"/>
    <x v="4"/>
    <x v="18"/>
    <s v="Rural"/>
    <s v="Femenino"/>
    <x v="0"/>
    <x v="0"/>
  </r>
  <r>
    <n v="8"/>
    <x v="1"/>
    <x v="0"/>
    <x v="0"/>
    <x v="18"/>
    <s v="Rural"/>
    <s v="Masculino"/>
    <x v="0"/>
    <x v="0"/>
  </r>
  <r>
    <n v="9"/>
    <x v="1"/>
    <x v="0"/>
    <x v="0"/>
    <x v="18"/>
    <s v="Rural"/>
    <s v="Masculino"/>
    <x v="0"/>
    <x v="0"/>
  </r>
  <r>
    <n v="10"/>
    <x v="1"/>
    <x v="0"/>
    <x v="0"/>
    <x v="18"/>
    <s v="Rural"/>
    <s v="Femenino"/>
    <x v="0"/>
    <x v="0"/>
  </r>
  <r>
    <n v="11"/>
    <x v="1"/>
    <x v="0"/>
    <x v="0"/>
    <x v="18"/>
    <s v="Rural"/>
    <s v="Femenino"/>
    <x v="0"/>
    <x v="0"/>
  </r>
  <r>
    <n v="12"/>
    <x v="1"/>
    <x v="0"/>
    <x v="1"/>
    <x v="18"/>
    <s v="Rural"/>
    <s v="Masculino"/>
    <x v="0"/>
    <x v="0"/>
  </r>
  <r>
    <n v="13"/>
    <x v="1"/>
    <x v="0"/>
    <x v="1"/>
    <x v="18"/>
    <s v="Rural"/>
    <s v="Masculino"/>
    <x v="0"/>
    <x v="0"/>
  </r>
  <r>
    <n v="14"/>
    <x v="1"/>
    <x v="0"/>
    <x v="1"/>
    <x v="18"/>
    <s v="Rural"/>
    <s v="Femenino"/>
    <x v="0"/>
    <x v="0"/>
  </r>
  <r>
    <n v="15"/>
    <x v="1"/>
    <x v="0"/>
    <x v="1"/>
    <x v="18"/>
    <s v="Rural"/>
    <s v="Femenino"/>
    <x v="0"/>
    <x v="0"/>
  </r>
  <r>
    <n v="1"/>
    <x v="1"/>
    <x v="0"/>
    <x v="4"/>
    <x v="19"/>
    <s v="Rural"/>
    <s v="Masculino"/>
    <x v="0"/>
    <x v="0"/>
  </r>
  <r>
    <n v="2"/>
    <x v="1"/>
    <x v="0"/>
    <x v="4"/>
    <x v="19"/>
    <s v="Rural"/>
    <s v="Masculino"/>
    <x v="0"/>
    <x v="0"/>
  </r>
  <r>
    <n v="3"/>
    <x v="1"/>
    <x v="0"/>
    <x v="0"/>
    <x v="19"/>
    <s v="Rural"/>
    <s v="Femenino"/>
    <x v="0"/>
    <x v="0"/>
  </r>
  <r>
    <n v="4"/>
    <x v="1"/>
    <x v="0"/>
    <x v="1"/>
    <x v="19"/>
    <s v="Rural"/>
    <s v="Femenino"/>
    <x v="0"/>
    <x v="0"/>
  </r>
  <r>
    <n v="1"/>
    <x v="1"/>
    <x v="0"/>
    <x v="4"/>
    <x v="20"/>
    <s v="Rural"/>
    <s v="Femenino"/>
    <x v="0"/>
    <x v="0"/>
  </r>
  <r>
    <n v="3"/>
    <x v="1"/>
    <x v="0"/>
    <x v="1"/>
    <x v="20"/>
    <s v="Rural"/>
    <s v="Masculino"/>
    <x v="1"/>
    <x v="0"/>
  </r>
  <r>
    <n v="1"/>
    <x v="1"/>
    <x v="0"/>
    <x v="4"/>
    <x v="21"/>
    <s v="Rural"/>
    <s v="Masculino"/>
    <x v="0"/>
    <x v="0"/>
  </r>
  <r>
    <n v="2"/>
    <x v="1"/>
    <x v="0"/>
    <x v="4"/>
    <x v="21"/>
    <s v="Rural"/>
    <s v="Masculino"/>
    <x v="0"/>
    <x v="0"/>
  </r>
  <r>
    <n v="3"/>
    <x v="1"/>
    <x v="0"/>
    <x v="4"/>
    <x v="21"/>
    <s v="Rural"/>
    <s v="Masculino"/>
    <x v="0"/>
    <x v="0"/>
  </r>
  <r>
    <n v="4"/>
    <x v="1"/>
    <x v="0"/>
    <x v="4"/>
    <x v="21"/>
    <s v="Rural"/>
    <s v="Masculino"/>
    <x v="0"/>
    <x v="0"/>
  </r>
  <r>
    <n v="5"/>
    <x v="1"/>
    <x v="0"/>
    <x v="4"/>
    <x v="21"/>
    <s v="Rural"/>
    <s v="Masculino"/>
    <x v="0"/>
    <x v="0"/>
  </r>
  <r>
    <n v="6"/>
    <x v="1"/>
    <x v="0"/>
    <x v="4"/>
    <x v="21"/>
    <s v="Rural"/>
    <s v="Femenino"/>
    <x v="0"/>
    <x v="0"/>
  </r>
  <r>
    <n v="7"/>
    <x v="1"/>
    <x v="0"/>
    <x v="4"/>
    <x v="21"/>
    <s v="Rural"/>
    <s v="Femenino"/>
    <x v="0"/>
    <x v="0"/>
  </r>
  <r>
    <n v="8"/>
    <x v="1"/>
    <x v="0"/>
    <x v="4"/>
    <x v="21"/>
    <s v="Rural"/>
    <s v="Femenino"/>
    <x v="0"/>
    <x v="0"/>
  </r>
  <r>
    <n v="9"/>
    <x v="1"/>
    <x v="0"/>
    <x v="4"/>
    <x v="21"/>
    <s v="Rural"/>
    <s v="Femenino"/>
    <x v="0"/>
    <x v="0"/>
  </r>
  <r>
    <n v="10"/>
    <x v="1"/>
    <x v="0"/>
    <x v="0"/>
    <x v="21"/>
    <s v="Rural"/>
    <s v="Masculino"/>
    <x v="0"/>
    <x v="0"/>
  </r>
  <r>
    <n v="11"/>
    <x v="1"/>
    <x v="0"/>
    <x v="0"/>
    <x v="21"/>
    <s v="Rural"/>
    <s v="Masculino"/>
    <x v="0"/>
    <x v="0"/>
  </r>
  <r>
    <n v="12"/>
    <x v="1"/>
    <x v="0"/>
    <x v="0"/>
    <x v="21"/>
    <s v="Rural"/>
    <s v="Masculino"/>
    <x v="0"/>
    <x v="0"/>
  </r>
  <r>
    <n v="13"/>
    <x v="1"/>
    <x v="0"/>
    <x v="0"/>
    <x v="21"/>
    <s v="Rural"/>
    <s v="Masculino"/>
    <x v="0"/>
    <x v="0"/>
  </r>
  <r>
    <n v="14"/>
    <x v="1"/>
    <x v="0"/>
    <x v="0"/>
    <x v="21"/>
    <s v="Rural"/>
    <s v="Masculino"/>
    <x v="0"/>
    <x v="0"/>
  </r>
  <r>
    <n v="15"/>
    <x v="1"/>
    <x v="0"/>
    <x v="0"/>
    <x v="21"/>
    <s v="Rural"/>
    <s v="Masculino"/>
    <x v="0"/>
    <x v="0"/>
  </r>
  <r>
    <n v="16"/>
    <x v="1"/>
    <x v="0"/>
    <x v="0"/>
    <x v="21"/>
    <s v="Rural"/>
    <s v="Femenino"/>
    <x v="0"/>
    <x v="0"/>
  </r>
  <r>
    <n v="17"/>
    <x v="1"/>
    <x v="0"/>
    <x v="0"/>
    <x v="21"/>
    <s v="Rural"/>
    <s v="Femenino"/>
    <x v="0"/>
    <x v="0"/>
  </r>
  <r>
    <n v="18"/>
    <x v="1"/>
    <x v="0"/>
    <x v="0"/>
    <x v="21"/>
    <s v="Rural"/>
    <s v="Femenino"/>
    <x v="0"/>
    <x v="0"/>
  </r>
  <r>
    <n v="19"/>
    <x v="1"/>
    <x v="0"/>
    <x v="0"/>
    <x v="21"/>
    <s v="Rural"/>
    <s v="Femenino"/>
    <x v="0"/>
    <x v="0"/>
  </r>
  <r>
    <n v="20"/>
    <x v="1"/>
    <x v="0"/>
    <x v="1"/>
    <x v="21"/>
    <s v="Rural"/>
    <s v="Masculino"/>
    <x v="0"/>
    <x v="0"/>
  </r>
  <r>
    <n v="21"/>
    <x v="1"/>
    <x v="0"/>
    <x v="1"/>
    <x v="21"/>
    <s v="Rural"/>
    <s v="Masculino"/>
    <x v="0"/>
    <x v="0"/>
  </r>
  <r>
    <n v="22"/>
    <x v="1"/>
    <x v="0"/>
    <x v="1"/>
    <x v="21"/>
    <s v="Rural"/>
    <s v="Masculino"/>
    <x v="0"/>
    <x v="0"/>
  </r>
  <r>
    <n v="23"/>
    <x v="1"/>
    <x v="0"/>
    <x v="1"/>
    <x v="21"/>
    <s v="Rural"/>
    <s v="Masculino"/>
    <x v="0"/>
    <x v="0"/>
  </r>
  <r>
    <n v="24"/>
    <x v="1"/>
    <x v="0"/>
    <x v="1"/>
    <x v="21"/>
    <s v="Rural"/>
    <s v="Femenino"/>
    <x v="0"/>
    <x v="0"/>
  </r>
  <r>
    <n v="25"/>
    <x v="1"/>
    <x v="0"/>
    <x v="1"/>
    <x v="21"/>
    <s v="Rural"/>
    <s v="Femenino"/>
    <x v="0"/>
    <x v="0"/>
  </r>
  <r>
    <n v="26"/>
    <x v="1"/>
    <x v="0"/>
    <x v="1"/>
    <x v="21"/>
    <s v="Rural"/>
    <s v="Femenino"/>
    <x v="0"/>
    <x v="0"/>
  </r>
  <r>
    <n v="27"/>
    <x v="1"/>
    <x v="0"/>
    <x v="1"/>
    <x v="21"/>
    <s v="Rural"/>
    <s v="Femenino"/>
    <x v="0"/>
    <x v="0"/>
  </r>
  <r>
    <n v="28"/>
    <x v="1"/>
    <x v="0"/>
    <x v="1"/>
    <x v="21"/>
    <s v="Rural"/>
    <s v="Femenino"/>
    <x v="0"/>
    <x v="0"/>
  </r>
  <r>
    <n v="29"/>
    <x v="1"/>
    <x v="0"/>
    <x v="1"/>
    <x v="21"/>
    <s v="Rural"/>
    <s v="Femenino"/>
    <x v="0"/>
    <x v="0"/>
  </r>
  <r>
    <n v="1"/>
    <x v="1"/>
    <x v="0"/>
    <x v="4"/>
    <x v="22"/>
    <s v="Rural"/>
    <s v="Masculino"/>
    <x v="0"/>
    <x v="0"/>
  </r>
  <r>
    <n v="2"/>
    <x v="1"/>
    <x v="0"/>
    <x v="4"/>
    <x v="22"/>
    <s v="Rural"/>
    <s v="Femenino"/>
    <x v="0"/>
    <x v="0"/>
  </r>
  <r>
    <n v="3"/>
    <x v="1"/>
    <x v="0"/>
    <x v="4"/>
    <x v="22"/>
    <s v="Rural"/>
    <s v="Femenino"/>
    <x v="0"/>
    <x v="0"/>
  </r>
  <r>
    <n v="4"/>
    <x v="1"/>
    <x v="0"/>
    <x v="0"/>
    <x v="22"/>
    <s v="Rural"/>
    <s v="Masculino"/>
    <x v="0"/>
    <x v="0"/>
  </r>
  <r>
    <n v="5"/>
    <x v="1"/>
    <x v="0"/>
    <x v="0"/>
    <x v="22"/>
    <s v="Rural"/>
    <s v="Masculino"/>
    <x v="0"/>
    <x v="0"/>
  </r>
  <r>
    <n v="6"/>
    <x v="1"/>
    <x v="0"/>
    <x v="0"/>
    <x v="22"/>
    <s v="Rural"/>
    <s v="Femenino"/>
    <x v="1"/>
    <x v="0"/>
  </r>
  <r>
    <n v="7"/>
    <x v="1"/>
    <x v="0"/>
    <x v="0"/>
    <x v="22"/>
    <s v="Rural"/>
    <s v="Femenino"/>
    <x v="1"/>
    <x v="0"/>
  </r>
  <r>
    <n v="8"/>
    <x v="1"/>
    <x v="0"/>
    <x v="1"/>
    <x v="22"/>
    <s v="Rural"/>
    <s v="Masculino"/>
    <x v="1"/>
    <x v="0"/>
  </r>
  <r>
    <n v="9"/>
    <x v="1"/>
    <x v="0"/>
    <x v="1"/>
    <x v="22"/>
    <s v="Rural"/>
    <s v="Masculino"/>
    <x v="1"/>
    <x v="0"/>
  </r>
  <r>
    <n v="10"/>
    <x v="1"/>
    <x v="0"/>
    <x v="1"/>
    <x v="22"/>
    <s v="Rural"/>
    <s v="Femenino"/>
    <x v="1"/>
    <x v="0"/>
  </r>
  <r>
    <n v="11"/>
    <x v="1"/>
    <x v="0"/>
    <x v="1"/>
    <x v="22"/>
    <s v="Rural"/>
    <s v="Femenino"/>
    <x v="0"/>
    <x v="0"/>
  </r>
  <r>
    <n v="1"/>
    <x v="2"/>
    <x v="1"/>
    <x v="2"/>
    <x v="23"/>
    <s v="Rural"/>
    <s v="Femenino"/>
    <x v="0"/>
    <x v="0"/>
  </r>
  <r>
    <n v="5"/>
    <x v="2"/>
    <x v="1"/>
    <x v="2"/>
    <x v="23"/>
    <s v="Rural"/>
    <s v="Femenino"/>
    <x v="0"/>
    <x v="0"/>
  </r>
  <r>
    <n v="6"/>
    <x v="2"/>
    <x v="1"/>
    <x v="2"/>
    <x v="23"/>
    <s v="Rural"/>
    <s v="Masculino"/>
    <x v="0"/>
    <x v="0"/>
  </r>
  <r>
    <n v="7"/>
    <x v="2"/>
    <x v="1"/>
    <x v="2"/>
    <x v="23"/>
    <s v="Rural"/>
    <s v="Femenino"/>
    <x v="0"/>
    <x v="0"/>
  </r>
  <r>
    <n v="8"/>
    <x v="2"/>
    <x v="1"/>
    <x v="2"/>
    <x v="23"/>
    <s v="Rural"/>
    <s v="Femenino"/>
    <x v="0"/>
    <x v="0"/>
  </r>
  <r>
    <n v="9"/>
    <x v="2"/>
    <x v="1"/>
    <x v="2"/>
    <x v="23"/>
    <s v="Rural"/>
    <s v="Masculino"/>
    <x v="0"/>
    <x v="0"/>
  </r>
  <r>
    <n v="10"/>
    <x v="2"/>
    <x v="1"/>
    <x v="2"/>
    <x v="23"/>
    <s v="Rural"/>
    <s v="Femenino"/>
    <x v="0"/>
    <x v="0"/>
  </r>
  <r>
    <n v="11"/>
    <x v="2"/>
    <x v="1"/>
    <x v="2"/>
    <x v="23"/>
    <s v="Rural"/>
    <s v="Masculino"/>
    <x v="0"/>
    <x v="0"/>
  </r>
  <r>
    <n v="12"/>
    <x v="2"/>
    <x v="1"/>
    <x v="2"/>
    <x v="23"/>
    <s v="Rural"/>
    <s v="Masculino"/>
    <x v="0"/>
    <x v="0"/>
  </r>
  <r>
    <n v="13"/>
    <x v="2"/>
    <x v="1"/>
    <x v="2"/>
    <x v="23"/>
    <s v="Rural"/>
    <s v="Femenino"/>
    <x v="0"/>
    <x v="0"/>
  </r>
  <r>
    <n v="14"/>
    <x v="2"/>
    <x v="1"/>
    <x v="2"/>
    <x v="23"/>
    <s v="Rural"/>
    <s v="Masculino"/>
    <x v="1"/>
    <x v="0"/>
  </r>
  <r>
    <n v="15"/>
    <x v="2"/>
    <x v="1"/>
    <x v="2"/>
    <x v="23"/>
    <s v="Rural"/>
    <s v="Masculino"/>
    <x v="0"/>
    <x v="0"/>
  </r>
  <r>
    <n v="16"/>
    <x v="2"/>
    <x v="1"/>
    <x v="2"/>
    <x v="23"/>
    <s v="Rural"/>
    <s v="Masculino"/>
    <x v="0"/>
    <x v="0"/>
  </r>
  <r>
    <n v="17"/>
    <x v="2"/>
    <x v="1"/>
    <x v="2"/>
    <x v="23"/>
    <s v="Rural"/>
    <s v="Femenino"/>
    <x v="0"/>
    <x v="0"/>
  </r>
  <r>
    <n v="18"/>
    <x v="2"/>
    <x v="1"/>
    <x v="2"/>
    <x v="23"/>
    <s v="Rural"/>
    <s v="Masculino"/>
    <x v="0"/>
    <x v="0"/>
  </r>
  <r>
    <n v="19"/>
    <x v="2"/>
    <x v="1"/>
    <x v="2"/>
    <x v="23"/>
    <s v="Rural"/>
    <s v="Masculino"/>
    <x v="0"/>
    <x v="0"/>
  </r>
  <r>
    <n v="20"/>
    <x v="2"/>
    <x v="1"/>
    <x v="2"/>
    <x v="23"/>
    <s v="Rural"/>
    <s v="Femenino"/>
    <x v="0"/>
    <x v="0"/>
  </r>
  <r>
    <n v="21"/>
    <x v="2"/>
    <x v="1"/>
    <x v="2"/>
    <x v="23"/>
    <s v="Rural"/>
    <s v="Masculino"/>
    <x v="0"/>
    <x v="0"/>
  </r>
  <r>
    <n v="22"/>
    <x v="2"/>
    <x v="1"/>
    <x v="2"/>
    <x v="23"/>
    <s v="Rural"/>
    <s v="Femenino"/>
    <x v="0"/>
    <x v="0"/>
  </r>
  <r>
    <n v="23"/>
    <x v="2"/>
    <x v="1"/>
    <x v="2"/>
    <x v="23"/>
    <s v="Rural"/>
    <s v="Femenino"/>
    <x v="1"/>
    <x v="0"/>
  </r>
  <r>
    <n v="24"/>
    <x v="2"/>
    <x v="1"/>
    <x v="2"/>
    <x v="23"/>
    <s v="Rural"/>
    <s v="Femenino"/>
    <x v="0"/>
    <x v="0"/>
  </r>
  <r>
    <n v="25"/>
    <x v="2"/>
    <x v="1"/>
    <x v="2"/>
    <x v="23"/>
    <s v="Rural"/>
    <s v="Femenino"/>
    <x v="0"/>
    <x v="0"/>
  </r>
  <r>
    <n v="26"/>
    <x v="2"/>
    <x v="1"/>
    <x v="2"/>
    <x v="23"/>
    <s v="Rural"/>
    <s v="Femenino"/>
    <x v="0"/>
    <x v="0"/>
  </r>
  <r>
    <n v="27"/>
    <x v="2"/>
    <x v="1"/>
    <x v="2"/>
    <x v="23"/>
    <s v="Rural"/>
    <s v="Femenino"/>
    <x v="0"/>
    <x v="0"/>
  </r>
  <r>
    <n v="28"/>
    <x v="2"/>
    <x v="1"/>
    <x v="2"/>
    <x v="23"/>
    <s v="Rural"/>
    <s v="Femenino"/>
    <x v="1"/>
    <x v="0"/>
  </r>
  <r>
    <n v="29"/>
    <x v="2"/>
    <x v="1"/>
    <x v="2"/>
    <x v="23"/>
    <s v="Rural"/>
    <s v="Femenino"/>
    <x v="1"/>
    <x v="0"/>
  </r>
  <r>
    <n v="30"/>
    <x v="2"/>
    <x v="1"/>
    <x v="2"/>
    <x v="23"/>
    <s v="Rural"/>
    <s v="Masculino"/>
    <x v="0"/>
    <x v="0"/>
  </r>
  <r>
    <n v="31"/>
    <x v="2"/>
    <x v="1"/>
    <x v="2"/>
    <x v="23"/>
    <s v="Rural"/>
    <s v="Femenino"/>
    <x v="0"/>
    <x v="0"/>
  </r>
  <r>
    <n v="32"/>
    <x v="2"/>
    <x v="1"/>
    <x v="2"/>
    <x v="23"/>
    <s v="Rural"/>
    <s v="Femenino"/>
    <x v="0"/>
    <x v="0"/>
  </r>
  <r>
    <n v="33"/>
    <x v="2"/>
    <x v="1"/>
    <x v="2"/>
    <x v="23"/>
    <s v="Rural"/>
    <s v="Femenino"/>
    <x v="0"/>
    <x v="0"/>
  </r>
  <r>
    <n v="34"/>
    <x v="2"/>
    <x v="1"/>
    <x v="2"/>
    <x v="23"/>
    <s v="Rural"/>
    <s v="Femenino"/>
    <x v="0"/>
    <x v="0"/>
  </r>
  <r>
    <n v="36"/>
    <x v="2"/>
    <x v="1"/>
    <x v="2"/>
    <x v="23"/>
    <s v="Rural"/>
    <s v="Femenino"/>
    <x v="1"/>
    <x v="0"/>
  </r>
  <r>
    <n v="37"/>
    <x v="2"/>
    <x v="1"/>
    <x v="2"/>
    <x v="23"/>
    <s v="Rural"/>
    <s v="Femenino"/>
    <x v="1"/>
    <x v="0"/>
  </r>
  <r>
    <n v="38"/>
    <x v="2"/>
    <x v="1"/>
    <x v="2"/>
    <x v="23"/>
    <s v="Rural"/>
    <s v="Femenino"/>
    <x v="0"/>
    <x v="0"/>
  </r>
  <r>
    <n v="39"/>
    <x v="2"/>
    <x v="1"/>
    <x v="2"/>
    <x v="23"/>
    <s v="Rural"/>
    <s v="Femenino"/>
    <x v="1"/>
    <x v="0"/>
  </r>
  <r>
    <n v="40"/>
    <x v="2"/>
    <x v="1"/>
    <x v="2"/>
    <x v="23"/>
    <s v="Rural"/>
    <s v="Femenino"/>
    <x v="0"/>
    <x v="0"/>
  </r>
  <r>
    <n v="41"/>
    <x v="2"/>
    <x v="1"/>
    <x v="2"/>
    <x v="23"/>
    <s v="Rural"/>
    <s v="Femenino"/>
    <x v="1"/>
    <x v="0"/>
  </r>
  <r>
    <n v="42"/>
    <x v="2"/>
    <x v="1"/>
    <x v="2"/>
    <x v="23"/>
    <s v="Rural"/>
    <s v="Femenino"/>
    <x v="0"/>
    <x v="0"/>
  </r>
  <r>
    <n v="43"/>
    <x v="2"/>
    <x v="1"/>
    <x v="2"/>
    <x v="23"/>
    <s v="Rural"/>
    <s v="Femenino"/>
    <x v="0"/>
    <x v="0"/>
  </r>
  <r>
    <n v="1"/>
    <x v="2"/>
    <x v="1"/>
    <x v="3"/>
    <x v="23"/>
    <s v="Rural"/>
    <s v="Femenino"/>
    <x v="0"/>
    <x v="0"/>
  </r>
  <r>
    <n v="2"/>
    <x v="2"/>
    <x v="1"/>
    <x v="3"/>
    <x v="23"/>
    <s v="Rural"/>
    <s v="Femenino"/>
    <x v="1"/>
    <x v="0"/>
  </r>
  <r>
    <n v="3"/>
    <x v="2"/>
    <x v="1"/>
    <x v="3"/>
    <x v="23"/>
    <s v="Rural"/>
    <s v="Masculino"/>
    <x v="0"/>
    <x v="0"/>
  </r>
  <r>
    <n v="4"/>
    <x v="2"/>
    <x v="1"/>
    <x v="3"/>
    <x v="23"/>
    <s v="Rural"/>
    <s v="Masculino"/>
    <x v="0"/>
    <x v="0"/>
  </r>
  <r>
    <n v="5"/>
    <x v="2"/>
    <x v="1"/>
    <x v="3"/>
    <x v="23"/>
    <s v="Rural"/>
    <s v="Masculino"/>
    <x v="0"/>
    <x v="0"/>
  </r>
  <r>
    <n v="6"/>
    <x v="2"/>
    <x v="1"/>
    <x v="3"/>
    <x v="23"/>
    <s v="Rural"/>
    <s v="Masculino"/>
    <x v="0"/>
    <x v="0"/>
  </r>
  <r>
    <n v="7"/>
    <x v="2"/>
    <x v="1"/>
    <x v="3"/>
    <x v="23"/>
    <s v="Rural"/>
    <s v="Masculino"/>
    <x v="0"/>
    <x v="0"/>
  </r>
  <r>
    <n v="8"/>
    <x v="2"/>
    <x v="1"/>
    <x v="3"/>
    <x v="23"/>
    <s v="Rural"/>
    <s v="Femenino"/>
    <x v="0"/>
    <x v="0"/>
  </r>
  <r>
    <n v="9"/>
    <x v="2"/>
    <x v="1"/>
    <x v="3"/>
    <x v="23"/>
    <s v="Rural"/>
    <s v="Femenino"/>
    <x v="0"/>
    <x v="0"/>
  </r>
  <r>
    <n v="10"/>
    <x v="2"/>
    <x v="1"/>
    <x v="3"/>
    <x v="23"/>
    <s v="Rural"/>
    <s v="Masculino"/>
    <x v="0"/>
    <x v="0"/>
  </r>
  <r>
    <n v="13"/>
    <x v="2"/>
    <x v="1"/>
    <x v="3"/>
    <x v="23"/>
    <s v="Rural"/>
    <s v="Femenino"/>
    <x v="0"/>
    <x v="0"/>
  </r>
  <r>
    <n v="14"/>
    <x v="2"/>
    <x v="1"/>
    <x v="3"/>
    <x v="23"/>
    <s v="Rural"/>
    <s v="Femenino"/>
    <x v="0"/>
    <x v="0"/>
  </r>
  <r>
    <n v="17"/>
    <x v="2"/>
    <x v="1"/>
    <x v="3"/>
    <x v="23"/>
    <s v="Rural"/>
    <s v="Femenino"/>
    <x v="0"/>
    <x v="0"/>
  </r>
  <r>
    <n v="18"/>
    <x v="2"/>
    <x v="1"/>
    <x v="3"/>
    <x v="23"/>
    <s v="Rural"/>
    <s v="Masculino"/>
    <x v="0"/>
    <x v="0"/>
  </r>
  <r>
    <n v="20"/>
    <x v="2"/>
    <x v="1"/>
    <x v="3"/>
    <x v="23"/>
    <s v="Rural"/>
    <s v="Femenino"/>
    <x v="0"/>
    <x v="0"/>
  </r>
  <r>
    <n v="21"/>
    <x v="2"/>
    <x v="1"/>
    <x v="3"/>
    <x v="23"/>
    <s v="Rural"/>
    <s v="Masculino"/>
    <x v="0"/>
    <x v="0"/>
  </r>
  <r>
    <n v="23"/>
    <x v="2"/>
    <x v="1"/>
    <x v="3"/>
    <x v="23"/>
    <s v="Rural"/>
    <s v="Masculino"/>
    <x v="0"/>
    <x v="0"/>
  </r>
  <r>
    <n v="24"/>
    <x v="2"/>
    <x v="1"/>
    <x v="3"/>
    <x v="23"/>
    <s v="Rural"/>
    <s v="Femenino"/>
    <x v="1"/>
    <x v="0"/>
  </r>
  <r>
    <n v="26"/>
    <x v="2"/>
    <x v="1"/>
    <x v="3"/>
    <x v="23"/>
    <s v="Rural"/>
    <s v="Masculino"/>
    <x v="1"/>
    <x v="0"/>
  </r>
  <r>
    <n v="27"/>
    <x v="2"/>
    <x v="1"/>
    <x v="3"/>
    <x v="23"/>
    <s v="Rural"/>
    <s v="Femenino"/>
    <x v="0"/>
    <x v="0"/>
  </r>
  <r>
    <n v="28"/>
    <x v="2"/>
    <x v="1"/>
    <x v="3"/>
    <x v="23"/>
    <s v="Rural"/>
    <s v="Masculino"/>
    <x v="0"/>
    <x v="0"/>
  </r>
  <r>
    <n v="32"/>
    <x v="2"/>
    <x v="1"/>
    <x v="3"/>
    <x v="23"/>
    <s v="Rural"/>
    <s v="Masculino"/>
    <x v="0"/>
    <x v="0"/>
  </r>
  <r>
    <n v="33"/>
    <x v="2"/>
    <x v="1"/>
    <x v="3"/>
    <x v="23"/>
    <s v="Rural"/>
    <s v="Femenino"/>
    <x v="1"/>
    <x v="0"/>
  </r>
  <r>
    <n v="34"/>
    <x v="2"/>
    <x v="1"/>
    <x v="3"/>
    <x v="23"/>
    <s v="Rural"/>
    <s v="Masculino"/>
    <x v="0"/>
    <x v="0"/>
  </r>
  <r>
    <n v="37"/>
    <x v="2"/>
    <x v="1"/>
    <x v="3"/>
    <x v="23"/>
    <s v="Rural"/>
    <s v="Masculino"/>
    <x v="0"/>
    <x v="0"/>
  </r>
  <r>
    <n v="38"/>
    <x v="2"/>
    <x v="1"/>
    <x v="3"/>
    <x v="23"/>
    <s v="Rural"/>
    <s v="Masculino"/>
    <x v="0"/>
    <x v="0"/>
  </r>
  <r>
    <n v="39"/>
    <x v="2"/>
    <x v="1"/>
    <x v="3"/>
    <x v="23"/>
    <s v="Rural"/>
    <s v="Femenino"/>
    <x v="1"/>
    <x v="0"/>
  </r>
  <r>
    <n v="40"/>
    <x v="2"/>
    <x v="1"/>
    <x v="3"/>
    <x v="23"/>
    <s v="Rural"/>
    <s v="Masculino"/>
    <x v="0"/>
    <x v="0"/>
  </r>
  <r>
    <n v="41"/>
    <x v="2"/>
    <x v="1"/>
    <x v="3"/>
    <x v="23"/>
    <s v="Rural"/>
    <s v="Masculino"/>
    <x v="0"/>
    <x v="0"/>
  </r>
  <r>
    <n v="42"/>
    <x v="2"/>
    <x v="1"/>
    <x v="3"/>
    <x v="23"/>
    <s v="Rural"/>
    <s v="Masculino"/>
    <x v="0"/>
    <x v="0"/>
  </r>
  <r>
    <n v="43"/>
    <x v="2"/>
    <x v="1"/>
    <x v="3"/>
    <x v="23"/>
    <s v="Rural"/>
    <s v="Masculino"/>
    <x v="0"/>
    <x v="0"/>
  </r>
  <r>
    <n v="45"/>
    <x v="2"/>
    <x v="1"/>
    <x v="3"/>
    <x v="23"/>
    <s v="Rural"/>
    <s v="Femenino"/>
    <x v="1"/>
    <x v="0"/>
  </r>
  <r>
    <n v="46"/>
    <x v="2"/>
    <x v="1"/>
    <x v="3"/>
    <x v="23"/>
    <s v="Rural"/>
    <s v="Masculino"/>
    <x v="0"/>
    <x v="0"/>
  </r>
  <r>
    <n v="47"/>
    <x v="2"/>
    <x v="1"/>
    <x v="3"/>
    <x v="23"/>
    <s v="Rural"/>
    <s v="Femenino"/>
    <x v="0"/>
    <x v="0"/>
  </r>
  <r>
    <n v="49"/>
    <x v="2"/>
    <x v="1"/>
    <x v="3"/>
    <x v="23"/>
    <s v="Rural"/>
    <s v="Femenino"/>
    <x v="0"/>
    <x v="0"/>
  </r>
  <r>
    <n v="50"/>
    <x v="2"/>
    <x v="1"/>
    <x v="3"/>
    <x v="23"/>
    <s v="Rural"/>
    <s v="Masculino"/>
    <x v="0"/>
    <x v="0"/>
  </r>
  <r>
    <n v="51"/>
    <x v="2"/>
    <x v="1"/>
    <x v="3"/>
    <x v="23"/>
    <s v="Rural"/>
    <s v="Femenino"/>
    <x v="0"/>
    <x v="0"/>
  </r>
  <r>
    <n v="52"/>
    <x v="2"/>
    <x v="1"/>
    <x v="3"/>
    <x v="23"/>
    <s v="Rural"/>
    <s v="Masculino"/>
    <x v="1"/>
    <x v="0"/>
  </r>
  <r>
    <n v="54"/>
    <x v="2"/>
    <x v="1"/>
    <x v="3"/>
    <x v="23"/>
    <s v="Rural"/>
    <s v="Femenino"/>
    <x v="0"/>
    <x v="0"/>
  </r>
  <r>
    <n v="57"/>
    <x v="2"/>
    <x v="1"/>
    <x v="3"/>
    <x v="23"/>
    <s v="Rural"/>
    <s v="Femenino"/>
    <x v="0"/>
    <x v="0"/>
  </r>
  <r>
    <n v="58"/>
    <x v="2"/>
    <x v="1"/>
    <x v="3"/>
    <x v="23"/>
    <s v="Rural"/>
    <s v="Femenino"/>
    <x v="1"/>
    <x v="0"/>
  </r>
  <r>
    <n v="61"/>
    <x v="2"/>
    <x v="1"/>
    <x v="3"/>
    <x v="23"/>
    <s v="Rural"/>
    <s v="Femenino"/>
    <x v="0"/>
    <x v="0"/>
  </r>
  <r>
    <n v="62"/>
    <x v="2"/>
    <x v="1"/>
    <x v="3"/>
    <x v="23"/>
    <s v="Rural"/>
    <s v="Femenino"/>
    <x v="0"/>
    <x v="0"/>
  </r>
  <r>
    <n v="63"/>
    <x v="2"/>
    <x v="1"/>
    <x v="3"/>
    <x v="23"/>
    <s v="Rural"/>
    <s v="Femenino"/>
    <x v="0"/>
    <x v="0"/>
  </r>
  <r>
    <n v="64"/>
    <x v="2"/>
    <x v="1"/>
    <x v="3"/>
    <x v="23"/>
    <s v="Rural"/>
    <s v="Femenino"/>
    <x v="0"/>
    <x v="0"/>
  </r>
  <r>
    <n v="65"/>
    <x v="2"/>
    <x v="1"/>
    <x v="3"/>
    <x v="23"/>
    <s v="Rural"/>
    <s v="Femenino"/>
    <x v="0"/>
    <x v="0"/>
  </r>
  <r>
    <n v="1"/>
    <x v="2"/>
    <x v="0"/>
    <x v="4"/>
    <x v="24"/>
    <s v="Rural"/>
    <s v="Masculino"/>
    <x v="0"/>
    <x v="0"/>
  </r>
  <r>
    <n v="2"/>
    <x v="2"/>
    <x v="0"/>
    <x v="4"/>
    <x v="24"/>
    <s v="Rural"/>
    <s v="Femenino"/>
    <x v="0"/>
    <x v="0"/>
  </r>
  <r>
    <n v="3"/>
    <x v="2"/>
    <x v="0"/>
    <x v="0"/>
    <x v="24"/>
    <s v="Rural"/>
    <s v="Femenino"/>
    <x v="0"/>
    <x v="0"/>
  </r>
  <r>
    <n v="4"/>
    <x v="2"/>
    <x v="0"/>
    <x v="1"/>
    <x v="24"/>
    <s v="Rural"/>
    <s v="Masculino"/>
    <x v="0"/>
    <x v="0"/>
  </r>
  <r>
    <n v="5"/>
    <x v="2"/>
    <x v="0"/>
    <x v="1"/>
    <x v="24"/>
    <s v="Rural"/>
    <s v="Masculino"/>
    <x v="0"/>
    <x v="0"/>
  </r>
  <r>
    <n v="6"/>
    <x v="2"/>
    <x v="0"/>
    <x v="1"/>
    <x v="24"/>
    <s v="Rural"/>
    <s v="Masculino"/>
    <x v="0"/>
    <x v="0"/>
  </r>
  <r>
    <n v="7"/>
    <x v="2"/>
    <x v="0"/>
    <x v="1"/>
    <x v="24"/>
    <s v="Rural"/>
    <s v="Masculino"/>
    <x v="0"/>
    <x v="0"/>
  </r>
  <r>
    <n v="9"/>
    <x v="2"/>
    <x v="0"/>
    <x v="4"/>
    <x v="25"/>
    <s v="Rural"/>
    <s v="Femenino"/>
    <x v="1"/>
    <x v="0"/>
  </r>
  <r>
    <n v="10"/>
    <x v="2"/>
    <x v="0"/>
    <x v="4"/>
    <x v="25"/>
    <s v="Rural"/>
    <s v="Masculino"/>
    <x v="0"/>
    <x v="0"/>
  </r>
  <r>
    <n v="11"/>
    <x v="2"/>
    <x v="0"/>
    <x v="4"/>
    <x v="25"/>
    <s v="Rural"/>
    <s v="Femenino"/>
    <x v="1"/>
    <x v="0"/>
  </r>
  <r>
    <n v="12"/>
    <x v="2"/>
    <x v="0"/>
    <x v="4"/>
    <x v="25"/>
    <s v="Rural"/>
    <s v="Masculino"/>
    <x v="1"/>
    <x v="0"/>
  </r>
  <r>
    <n v="13"/>
    <x v="2"/>
    <x v="0"/>
    <x v="4"/>
    <x v="25"/>
    <s v="Rural"/>
    <s v="Femenino"/>
    <x v="1"/>
    <x v="0"/>
  </r>
  <r>
    <n v="14"/>
    <x v="2"/>
    <x v="0"/>
    <x v="4"/>
    <x v="25"/>
    <s v="Rural"/>
    <s v="Masculino"/>
    <x v="0"/>
    <x v="0"/>
  </r>
  <r>
    <n v="15"/>
    <x v="2"/>
    <x v="0"/>
    <x v="4"/>
    <x v="25"/>
    <s v="Rural"/>
    <s v="Masculino"/>
    <x v="0"/>
    <x v="0"/>
  </r>
  <r>
    <n v="16"/>
    <x v="2"/>
    <x v="0"/>
    <x v="4"/>
    <x v="25"/>
    <s v="Rural"/>
    <s v="Masculino"/>
    <x v="0"/>
    <x v="0"/>
  </r>
  <r>
    <n v="17"/>
    <x v="2"/>
    <x v="0"/>
    <x v="0"/>
    <x v="25"/>
    <s v="Rural"/>
    <s v="Femenino"/>
    <x v="1"/>
    <x v="0"/>
  </r>
  <r>
    <n v="18"/>
    <x v="2"/>
    <x v="0"/>
    <x v="0"/>
    <x v="25"/>
    <s v="Rural"/>
    <s v="Masculino"/>
    <x v="2"/>
    <x v="0"/>
  </r>
  <r>
    <n v="19"/>
    <x v="2"/>
    <x v="0"/>
    <x v="0"/>
    <x v="25"/>
    <s v="Rural"/>
    <s v="Femenino"/>
    <x v="1"/>
    <x v="0"/>
  </r>
  <r>
    <n v="20"/>
    <x v="2"/>
    <x v="0"/>
    <x v="0"/>
    <x v="25"/>
    <s v="Rural"/>
    <s v="Femenino"/>
    <x v="1"/>
    <x v="0"/>
  </r>
  <r>
    <n v="21"/>
    <x v="2"/>
    <x v="0"/>
    <x v="1"/>
    <x v="25"/>
    <s v="Rural"/>
    <s v="Femenino"/>
    <x v="1"/>
    <x v="0"/>
  </r>
  <r>
    <n v="22"/>
    <x v="2"/>
    <x v="0"/>
    <x v="1"/>
    <x v="25"/>
    <s v="Rural"/>
    <s v="Femenino"/>
    <x v="2"/>
    <x v="0"/>
  </r>
  <r>
    <n v="23"/>
    <x v="2"/>
    <x v="0"/>
    <x v="1"/>
    <x v="25"/>
    <s v="Rural"/>
    <s v="Masculino"/>
    <x v="2"/>
    <x v="0"/>
  </r>
  <r>
    <n v="24"/>
    <x v="2"/>
    <x v="0"/>
    <x v="1"/>
    <x v="25"/>
    <s v="Rural"/>
    <s v="Femenino"/>
    <x v="2"/>
    <x v="0"/>
  </r>
  <r>
    <n v="1"/>
    <x v="2"/>
    <x v="1"/>
    <x v="2"/>
    <x v="26"/>
    <s v="Rural"/>
    <s v="Masculino"/>
    <x v="1"/>
    <x v="0"/>
  </r>
  <r>
    <n v="2"/>
    <x v="2"/>
    <x v="1"/>
    <x v="2"/>
    <x v="26"/>
    <s v="Rural"/>
    <s v="Femenino"/>
    <x v="0"/>
    <x v="0"/>
  </r>
  <r>
    <n v="3"/>
    <x v="2"/>
    <x v="1"/>
    <x v="2"/>
    <x v="26"/>
    <s v="Rural"/>
    <s v="Femenino"/>
    <x v="0"/>
    <x v="0"/>
  </r>
  <r>
    <n v="4"/>
    <x v="2"/>
    <x v="1"/>
    <x v="2"/>
    <x v="26"/>
    <s v="Rural"/>
    <s v="Masculino"/>
    <x v="0"/>
    <x v="0"/>
  </r>
  <r>
    <n v="5"/>
    <x v="2"/>
    <x v="1"/>
    <x v="2"/>
    <x v="26"/>
    <s v="Rural"/>
    <s v="Femenino"/>
    <x v="0"/>
    <x v="0"/>
  </r>
  <r>
    <n v="6"/>
    <x v="2"/>
    <x v="1"/>
    <x v="2"/>
    <x v="26"/>
    <s v="Rural"/>
    <s v="Masculino"/>
    <x v="0"/>
    <x v="0"/>
  </r>
  <r>
    <n v="7"/>
    <x v="2"/>
    <x v="1"/>
    <x v="2"/>
    <x v="26"/>
    <s v="Rural"/>
    <s v="Femenino"/>
    <x v="0"/>
    <x v="0"/>
  </r>
  <r>
    <n v="8"/>
    <x v="2"/>
    <x v="1"/>
    <x v="2"/>
    <x v="26"/>
    <s v="Rural"/>
    <s v="Masculino"/>
    <x v="0"/>
    <x v="0"/>
  </r>
  <r>
    <n v="9"/>
    <x v="2"/>
    <x v="1"/>
    <x v="2"/>
    <x v="26"/>
    <s v="Rural"/>
    <s v="Masculino"/>
    <x v="0"/>
    <x v="0"/>
  </r>
  <r>
    <n v="10"/>
    <x v="2"/>
    <x v="1"/>
    <x v="2"/>
    <x v="26"/>
    <s v="Rural"/>
    <s v="Femenino"/>
    <x v="0"/>
    <x v="0"/>
  </r>
  <r>
    <n v="11"/>
    <x v="2"/>
    <x v="1"/>
    <x v="2"/>
    <x v="26"/>
    <s v="Rural"/>
    <s v="Masculino"/>
    <x v="0"/>
    <x v="0"/>
  </r>
  <r>
    <n v="12"/>
    <x v="2"/>
    <x v="1"/>
    <x v="2"/>
    <x v="26"/>
    <s v="Rural"/>
    <s v="Femenino"/>
    <x v="0"/>
    <x v="0"/>
  </r>
  <r>
    <n v="13"/>
    <x v="2"/>
    <x v="1"/>
    <x v="2"/>
    <x v="26"/>
    <s v="Rural"/>
    <s v="Femenino"/>
    <x v="0"/>
    <x v="0"/>
  </r>
  <r>
    <n v="14"/>
    <x v="2"/>
    <x v="1"/>
    <x v="2"/>
    <x v="26"/>
    <s v="Rural"/>
    <s v="Femenino"/>
    <x v="0"/>
    <x v="0"/>
  </r>
  <r>
    <n v="15"/>
    <x v="2"/>
    <x v="1"/>
    <x v="2"/>
    <x v="26"/>
    <s v="Rural"/>
    <s v="Masculino"/>
    <x v="0"/>
    <x v="0"/>
  </r>
  <r>
    <n v="16"/>
    <x v="2"/>
    <x v="1"/>
    <x v="2"/>
    <x v="26"/>
    <s v="Rural"/>
    <s v="Masculino"/>
    <x v="0"/>
    <x v="0"/>
  </r>
  <r>
    <n v="17"/>
    <x v="2"/>
    <x v="1"/>
    <x v="2"/>
    <x v="26"/>
    <s v="Rural"/>
    <s v="Femenino"/>
    <x v="0"/>
    <x v="0"/>
  </r>
  <r>
    <n v="18"/>
    <x v="2"/>
    <x v="1"/>
    <x v="2"/>
    <x v="26"/>
    <s v="Rural"/>
    <s v="Femenino"/>
    <x v="0"/>
    <x v="0"/>
  </r>
  <r>
    <n v="19"/>
    <x v="2"/>
    <x v="1"/>
    <x v="2"/>
    <x v="26"/>
    <s v="Rural"/>
    <s v="Femenino"/>
    <x v="0"/>
    <x v="0"/>
  </r>
  <r>
    <n v="20"/>
    <x v="2"/>
    <x v="1"/>
    <x v="2"/>
    <x v="26"/>
    <s v="Rural"/>
    <s v="Masculino"/>
    <x v="0"/>
    <x v="0"/>
  </r>
  <r>
    <n v="21"/>
    <x v="2"/>
    <x v="1"/>
    <x v="2"/>
    <x v="26"/>
    <s v="Rural"/>
    <s v="Femenino"/>
    <x v="0"/>
    <x v="0"/>
  </r>
  <r>
    <n v="22"/>
    <x v="2"/>
    <x v="1"/>
    <x v="2"/>
    <x v="26"/>
    <s v="Rural"/>
    <s v="Femenino"/>
    <x v="0"/>
    <x v="0"/>
  </r>
  <r>
    <n v="23"/>
    <x v="2"/>
    <x v="1"/>
    <x v="2"/>
    <x v="26"/>
    <s v="Rural"/>
    <s v="Femenino"/>
    <x v="0"/>
    <x v="0"/>
  </r>
  <r>
    <n v="24"/>
    <x v="2"/>
    <x v="1"/>
    <x v="2"/>
    <x v="26"/>
    <s v="Rural"/>
    <s v="Masculino"/>
    <x v="0"/>
    <x v="0"/>
  </r>
  <r>
    <n v="25"/>
    <x v="2"/>
    <x v="1"/>
    <x v="2"/>
    <x v="26"/>
    <s v="Rural"/>
    <s v="Masculino"/>
    <x v="0"/>
    <x v="0"/>
  </r>
  <r>
    <n v="26"/>
    <x v="2"/>
    <x v="1"/>
    <x v="3"/>
    <x v="26"/>
    <s v="Rural"/>
    <s v="Femenino"/>
    <x v="1"/>
    <x v="0"/>
  </r>
  <r>
    <n v="27"/>
    <x v="2"/>
    <x v="1"/>
    <x v="3"/>
    <x v="26"/>
    <s v="Rural"/>
    <s v="Masculino"/>
    <x v="0"/>
    <x v="0"/>
  </r>
  <r>
    <n v="28"/>
    <x v="2"/>
    <x v="1"/>
    <x v="3"/>
    <x v="26"/>
    <s v="Rural"/>
    <s v="Femenino"/>
    <x v="1"/>
    <x v="0"/>
  </r>
  <r>
    <n v="29"/>
    <x v="2"/>
    <x v="1"/>
    <x v="3"/>
    <x v="26"/>
    <s v="Rural"/>
    <s v="Femenino"/>
    <x v="2"/>
    <x v="0"/>
  </r>
  <r>
    <n v="30"/>
    <x v="2"/>
    <x v="1"/>
    <x v="3"/>
    <x v="26"/>
    <s v="Rural"/>
    <s v="Femenino"/>
    <x v="0"/>
    <x v="0"/>
  </r>
  <r>
    <n v="31"/>
    <x v="2"/>
    <x v="1"/>
    <x v="3"/>
    <x v="26"/>
    <s v="Rural"/>
    <s v="Masculino"/>
    <x v="0"/>
    <x v="0"/>
  </r>
  <r>
    <n v="32"/>
    <x v="2"/>
    <x v="1"/>
    <x v="3"/>
    <x v="26"/>
    <s v="Rural"/>
    <s v="Masculino"/>
    <x v="0"/>
    <x v="0"/>
  </r>
  <r>
    <n v="33"/>
    <x v="2"/>
    <x v="1"/>
    <x v="3"/>
    <x v="26"/>
    <s v="Rural"/>
    <s v="Masculino"/>
    <x v="0"/>
    <x v="0"/>
  </r>
  <r>
    <n v="34"/>
    <x v="2"/>
    <x v="1"/>
    <x v="3"/>
    <x v="26"/>
    <s v="Rural"/>
    <s v="Masculino"/>
    <x v="0"/>
    <x v="0"/>
  </r>
  <r>
    <n v="35"/>
    <x v="2"/>
    <x v="1"/>
    <x v="3"/>
    <x v="26"/>
    <s v="Rural"/>
    <s v="Masculino"/>
    <x v="0"/>
    <x v="0"/>
  </r>
  <r>
    <n v="36"/>
    <x v="2"/>
    <x v="1"/>
    <x v="3"/>
    <x v="26"/>
    <s v="Rural"/>
    <s v="Masculino"/>
    <x v="0"/>
    <x v="0"/>
  </r>
  <r>
    <n v="37"/>
    <x v="2"/>
    <x v="1"/>
    <x v="3"/>
    <x v="26"/>
    <s v="Rural"/>
    <s v="Femenino"/>
    <x v="0"/>
    <x v="0"/>
  </r>
  <r>
    <n v="38"/>
    <x v="2"/>
    <x v="1"/>
    <x v="3"/>
    <x v="26"/>
    <s v="Rural"/>
    <s v="Femenino"/>
    <x v="0"/>
    <x v="0"/>
  </r>
  <r>
    <n v="39"/>
    <x v="2"/>
    <x v="1"/>
    <x v="3"/>
    <x v="26"/>
    <s v="Rural"/>
    <s v="Masculino"/>
    <x v="0"/>
    <x v="0"/>
  </r>
  <r>
    <n v="40"/>
    <x v="2"/>
    <x v="1"/>
    <x v="3"/>
    <x v="26"/>
    <s v="Rural"/>
    <s v="Femenino"/>
    <x v="0"/>
    <x v="0"/>
  </r>
  <r>
    <n v="41"/>
    <x v="2"/>
    <x v="1"/>
    <x v="3"/>
    <x v="26"/>
    <s v="Rural"/>
    <s v="Femenino"/>
    <x v="0"/>
    <x v="0"/>
  </r>
  <r>
    <n v="42"/>
    <x v="2"/>
    <x v="1"/>
    <x v="3"/>
    <x v="26"/>
    <s v="Rural"/>
    <s v="Masculino"/>
    <x v="0"/>
    <x v="0"/>
  </r>
  <r>
    <n v="43"/>
    <x v="2"/>
    <x v="1"/>
    <x v="3"/>
    <x v="26"/>
    <s v="Rural"/>
    <s v="Femenino"/>
    <x v="0"/>
    <x v="0"/>
  </r>
  <r>
    <n v="44"/>
    <x v="2"/>
    <x v="1"/>
    <x v="3"/>
    <x v="26"/>
    <s v="Rural"/>
    <s v="Masculino"/>
    <x v="0"/>
    <x v="0"/>
  </r>
  <r>
    <n v="45"/>
    <x v="2"/>
    <x v="1"/>
    <x v="3"/>
    <x v="26"/>
    <s v="Rural"/>
    <s v="Femenino"/>
    <x v="0"/>
    <x v="0"/>
  </r>
  <r>
    <n v="46"/>
    <x v="2"/>
    <x v="1"/>
    <x v="3"/>
    <x v="26"/>
    <s v="Rural"/>
    <s v="Masculino"/>
    <x v="0"/>
    <x v="0"/>
  </r>
  <r>
    <n v="47"/>
    <x v="2"/>
    <x v="1"/>
    <x v="3"/>
    <x v="26"/>
    <s v="Rural"/>
    <s v="Femenino"/>
    <x v="0"/>
    <x v="0"/>
  </r>
  <r>
    <n v="48"/>
    <x v="2"/>
    <x v="1"/>
    <x v="3"/>
    <x v="26"/>
    <s v="Rural"/>
    <s v="Femenino"/>
    <x v="0"/>
    <x v="0"/>
  </r>
  <r>
    <n v="49"/>
    <x v="2"/>
    <x v="1"/>
    <x v="3"/>
    <x v="26"/>
    <s v="Rural"/>
    <s v="Femenino"/>
    <x v="0"/>
    <x v="0"/>
  </r>
  <r>
    <n v="50"/>
    <x v="2"/>
    <x v="1"/>
    <x v="3"/>
    <x v="26"/>
    <s v="Rural"/>
    <s v="Masculino"/>
    <x v="0"/>
    <x v="0"/>
  </r>
  <r>
    <n v="51"/>
    <x v="2"/>
    <x v="1"/>
    <x v="3"/>
    <x v="26"/>
    <s v="Rural"/>
    <s v="Masculino"/>
    <x v="0"/>
    <x v="0"/>
  </r>
  <r>
    <n v="11"/>
    <x v="2"/>
    <x v="0"/>
    <x v="4"/>
    <x v="27"/>
    <s v="Rural"/>
    <s v="Femenino"/>
    <x v="0"/>
    <x v="0"/>
  </r>
  <r>
    <n v="12"/>
    <x v="2"/>
    <x v="0"/>
    <x v="4"/>
    <x v="27"/>
    <s v="Rural"/>
    <s v="Masculino"/>
    <x v="0"/>
    <x v="0"/>
  </r>
  <r>
    <n v="13"/>
    <x v="2"/>
    <x v="0"/>
    <x v="4"/>
    <x v="27"/>
    <s v="Rural"/>
    <s v="Femenino"/>
    <x v="0"/>
    <x v="0"/>
  </r>
  <r>
    <n v="14"/>
    <x v="2"/>
    <x v="0"/>
    <x v="4"/>
    <x v="27"/>
    <s v="Rural"/>
    <s v="Masculino"/>
    <x v="1"/>
    <x v="0"/>
  </r>
  <r>
    <n v="15"/>
    <x v="2"/>
    <x v="0"/>
    <x v="4"/>
    <x v="27"/>
    <s v="Rural"/>
    <s v="Masculino"/>
    <x v="1"/>
    <x v="0"/>
  </r>
  <r>
    <n v="16"/>
    <x v="2"/>
    <x v="0"/>
    <x v="4"/>
    <x v="27"/>
    <s v="Rural"/>
    <s v="Masculino"/>
    <x v="1"/>
    <x v="0"/>
  </r>
  <r>
    <n v="17"/>
    <x v="2"/>
    <x v="0"/>
    <x v="4"/>
    <x v="27"/>
    <s v="Rural"/>
    <s v="Masculino"/>
    <x v="1"/>
    <x v="0"/>
  </r>
  <r>
    <n v="18"/>
    <x v="2"/>
    <x v="0"/>
    <x v="4"/>
    <x v="27"/>
    <s v="Rural"/>
    <s v="Masculino"/>
    <x v="1"/>
    <x v="0"/>
  </r>
  <r>
    <n v="19"/>
    <x v="2"/>
    <x v="0"/>
    <x v="4"/>
    <x v="27"/>
    <s v="Rural"/>
    <s v="Femenino"/>
    <x v="1"/>
    <x v="0"/>
  </r>
  <r>
    <n v="20"/>
    <x v="2"/>
    <x v="0"/>
    <x v="4"/>
    <x v="27"/>
    <s v="Rural"/>
    <s v="Femenino"/>
    <x v="1"/>
    <x v="0"/>
  </r>
  <r>
    <n v="21"/>
    <x v="2"/>
    <x v="0"/>
    <x v="4"/>
    <x v="27"/>
    <s v="Rural"/>
    <s v="Femenino"/>
    <x v="0"/>
    <x v="0"/>
  </r>
  <r>
    <n v="22"/>
    <x v="2"/>
    <x v="0"/>
    <x v="4"/>
    <x v="27"/>
    <s v="Rural"/>
    <s v="Femenino"/>
    <x v="1"/>
    <x v="0"/>
  </r>
  <r>
    <n v="23"/>
    <x v="2"/>
    <x v="0"/>
    <x v="0"/>
    <x v="27"/>
    <s v="Rural"/>
    <s v="Masculino"/>
    <x v="1"/>
    <x v="0"/>
  </r>
  <r>
    <n v="24"/>
    <x v="2"/>
    <x v="0"/>
    <x v="0"/>
    <x v="27"/>
    <s v="Rural"/>
    <s v="Femenino"/>
    <x v="1"/>
    <x v="0"/>
  </r>
  <r>
    <n v="25"/>
    <x v="2"/>
    <x v="0"/>
    <x v="0"/>
    <x v="27"/>
    <s v="Rural"/>
    <s v="Masculino"/>
    <x v="0"/>
    <x v="0"/>
  </r>
  <r>
    <n v="26"/>
    <x v="2"/>
    <x v="0"/>
    <x v="0"/>
    <x v="27"/>
    <s v="Rural"/>
    <s v="Masculino"/>
    <x v="0"/>
    <x v="0"/>
  </r>
  <r>
    <n v="27"/>
    <x v="2"/>
    <x v="0"/>
    <x v="0"/>
    <x v="27"/>
    <s v="Rural"/>
    <s v="Masculino"/>
    <x v="1"/>
    <x v="0"/>
  </r>
  <r>
    <n v="28"/>
    <x v="2"/>
    <x v="0"/>
    <x v="0"/>
    <x v="27"/>
    <s v="Rural"/>
    <s v="Femenino"/>
    <x v="0"/>
    <x v="0"/>
  </r>
  <r>
    <n v="29"/>
    <x v="2"/>
    <x v="0"/>
    <x v="0"/>
    <x v="27"/>
    <s v="Rural"/>
    <s v="Femenino"/>
    <x v="1"/>
    <x v="0"/>
  </r>
  <r>
    <n v="30"/>
    <x v="2"/>
    <x v="0"/>
    <x v="1"/>
    <x v="27"/>
    <s v="Rural"/>
    <s v="Masculino"/>
    <x v="1"/>
    <x v="0"/>
  </r>
  <r>
    <n v="31"/>
    <x v="2"/>
    <x v="0"/>
    <x v="1"/>
    <x v="27"/>
    <s v="Rural"/>
    <s v="Femenino"/>
    <x v="1"/>
    <x v="0"/>
  </r>
  <r>
    <n v="32"/>
    <x v="2"/>
    <x v="0"/>
    <x v="1"/>
    <x v="27"/>
    <s v="Rural"/>
    <s v="Masculino"/>
    <x v="1"/>
    <x v="0"/>
  </r>
  <r>
    <n v="33"/>
    <x v="2"/>
    <x v="0"/>
    <x v="1"/>
    <x v="27"/>
    <s v="Rural"/>
    <s v="Femenino"/>
    <x v="1"/>
    <x v="0"/>
  </r>
  <r>
    <n v="34"/>
    <x v="2"/>
    <x v="0"/>
    <x v="1"/>
    <x v="27"/>
    <s v="Rural"/>
    <s v="Femenino"/>
    <x v="1"/>
    <x v="0"/>
  </r>
  <r>
    <n v="35"/>
    <x v="2"/>
    <x v="0"/>
    <x v="1"/>
    <x v="27"/>
    <s v="Rural"/>
    <s v="Femenino"/>
    <x v="1"/>
    <x v="0"/>
  </r>
  <r>
    <n v="36"/>
    <x v="2"/>
    <x v="0"/>
    <x v="1"/>
    <x v="27"/>
    <s v="Rural"/>
    <s v="Masculino"/>
    <x v="1"/>
    <x v="0"/>
  </r>
  <r>
    <n v="37"/>
    <x v="2"/>
    <x v="0"/>
    <x v="1"/>
    <x v="27"/>
    <s v="Rural"/>
    <s v="Masculino"/>
    <x v="1"/>
    <x v="0"/>
  </r>
  <r>
    <n v="1"/>
    <x v="3"/>
    <x v="0"/>
    <x v="4"/>
    <x v="28"/>
    <s v="Rural"/>
    <s v="Femenino"/>
    <x v="0"/>
    <x v="0"/>
  </r>
  <r>
    <n v="2"/>
    <x v="3"/>
    <x v="0"/>
    <x v="0"/>
    <x v="28"/>
    <s v="Rural"/>
    <s v="Masculino"/>
    <x v="0"/>
    <x v="0"/>
  </r>
  <r>
    <n v="3"/>
    <x v="3"/>
    <x v="0"/>
    <x v="0"/>
    <x v="28"/>
    <s v="Rural"/>
    <s v="Femenino"/>
    <x v="0"/>
    <x v="0"/>
  </r>
  <r>
    <n v="4"/>
    <x v="3"/>
    <x v="0"/>
    <x v="1"/>
    <x v="28"/>
    <s v="Rural"/>
    <s v="Masculino"/>
    <x v="0"/>
    <x v="0"/>
  </r>
  <r>
    <n v="5"/>
    <x v="3"/>
    <x v="0"/>
    <x v="1"/>
    <x v="28"/>
    <s v="Rural"/>
    <s v="Femenino"/>
    <x v="1"/>
    <x v="0"/>
  </r>
  <r>
    <n v="6"/>
    <x v="3"/>
    <x v="0"/>
    <x v="4"/>
    <x v="29"/>
    <s v="Rural"/>
    <s v="Masculino"/>
    <x v="1"/>
    <x v="0"/>
  </r>
  <r>
    <n v="7"/>
    <x v="3"/>
    <x v="0"/>
    <x v="4"/>
    <x v="29"/>
    <s v="Rural"/>
    <s v="Femenino"/>
    <x v="1"/>
    <x v="0"/>
  </r>
  <r>
    <n v="8"/>
    <x v="3"/>
    <x v="0"/>
    <x v="4"/>
    <x v="29"/>
    <s v="Rural"/>
    <s v="Masculino"/>
    <x v="0"/>
    <x v="0"/>
  </r>
  <r>
    <n v="9"/>
    <x v="3"/>
    <x v="0"/>
    <x v="0"/>
    <x v="29"/>
    <s v="Rural"/>
    <s v="Masculino"/>
    <x v="0"/>
    <x v="0"/>
  </r>
  <r>
    <n v="10"/>
    <x v="3"/>
    <x v="0"/>
    <x v="0"/>
    <x v="29"/>
    <s v="Rural"/>
    <s v="Femenino"/>
    <x v="0"/>
    <x v="0"/>
  </r>
  <r>
    <n v="11"/>
    <x v="3"/>
    <x v="0"/>
    <x v="0"/>
    <x v="29"/>
    <s v="Rural"/>
    <s v="Femenino"/>
    <x v="0"/>
    <x v="0"/>
  </r>
  <r>
    <n v="12"/>
    <x v="3"/>
    <x v="0"/>
    <x v="0"/>
    <x v="29"/>
    <s v="Rural"/>
    <s v="Masculino"/>
    <x v="1"/>
    <x v="0"/>
  </r>
  <r>
    <n v="13"/>
    <x v="3"/>
    <x v="0"/>
    <x v="0"/>
    <x v="29"/>
    <s v="Rural"/>
    <s v="Masculino"/>
    <x v="0"/>
    <x v="0"/>
  </r>
  <r>
    <n v="14"/>
    <x v="3"/>
    <x v="0"/>
    <x v="1"/>
    <x v="29"/>
    <s v="Rural"/>
    <s v="Femenino"/>
    <x v="0"/>
    <x v="0"/>
  </r>
  <r>
    <n v="15"/>
    <x v="3"/>
    <x v="0"/>
    <x v="1"/>
    <x v="29"/>
    <s v="Rural"/>
    <s v="Femenino"/>
    <x v="1"/>
    <x v="0"/>
  </r>
  <r>
    <n v="16"/>
    <x v="3"/>
    <x v="0"/>
    <x v="4"/>
    <x v="30"/>
    <s v="Rural"/>
    <s v="Femenino"/>
    <x v="1"/>
    <x v="0"/>
  </r>
  <r>
    <n v="17"/>
    <x v="3"/>
    <x v="0"/>
    <x v="4"/>
    <x v="30"/>
    <s v="Rural"/>
    <s v="Masculino"/>
    <x v="0"/>
    <x v="0"/>
  </r>
  <r>
    <n v="18"/>
    <x v="3"/>
    <x v="0"/>
    <x v="4"/>
    <x v="30"/>
    <s v="Rural"/>
    <s v="Masculino"/>
    <x v="0"/>
    <x v="0"/>
  </r>
  <r>
    <n v="19"/>
    <x v="3"/>
    <x v="0"/>
    <x v="0"/>
    <x v="30"/>
    <s v="Rural"/>
    <s v="Masculino"/>
    <x v="0"/>
    <x v="0"/>
  </r>
  <r>
    <n v="20"/>
    <x v="3"/>
    <x v="0"/>
    <x v="0"/>
    <x v="30"/>
    <s v="Rural"/>
    <s v="Femenino"/>
    <x v="0"/>
    <x v="0"/>
  </r>
  <r>
    <n v="21"/>
    <x v="3"/>
    <x v="0"/>
    <x v="1"/>
    <x v="30"/>
    <s v="Rural"/>
    <s v="Masculino"/>
    <x v="0"/>
    <x v="0"/>
  </r>
  <r>
    <n v="22"/>
    <x v="3"/>
    <x v="0"/>
    <x v="1"/>
    <x v="30"/>
    <s v="Rural"/>
    <s v="Femenino"/>
    <x v="0"/>
    <x v="0"/>
  </r>
  <r>
    <n v="23"/>
    <x v="3"/>
    <x v="1"/>
    <x v="2"/>
    <x v="31"/>
    <s v="Rural"/>
    <s v="Masculino"/>
    <x v="1"/>
    <x v="0"/>
  </r>
  <r>
    <n v="24"/>
    <x v="3"/>
    <x v="1"/>
    <x v="2"/>
    <x v="31"/>
    <s v="Rural"/>
    <s v="Femenino"/>
    <x v="0"/>
    <x v="0"/>
  </r>
  <r>
    <n v="25"/>
    <x v="3"/>
    <x v="1"/>
    <x v="2"/>
    <x v="31"/>
    <s v="Rural"/>
    <s v="Femenino"/>
    <x v="0"/>
    <x v="0"/>
  </r>
  <r>
    <n v="26"/>
    <x v="3"/>
    <x v="1"/>
    <x v="2"/>
    <x v="31"/>
    <s v="Rural"/>
    <s v="Femenino"/>
    <x v="0"/>
    <x v="0"/>
  </r>
  <r>
    <n v="27"/>
    <x v="3"/>
    <x v="1"/>
    <x v="2"/>
    <x v="31"/>
    <s v="Rural"/>
    <s v="Masculino"/>
    <x v="0"/>
    <x v="0"/>
  </r>
  <r>
    <n v="28"/>
    <x v="3"/>
    <x v="1"/>
    <x v="2"/>
    <x v="31"/>
    <s v="Rural"/>
    <s v="Femenino"/>
    <x v="0"/>
    <x v="0"/>
  </r>
  <r>
    <n v="29"/>
    <x v="3"/>
    <x v="1"/>
    <x v="2"/>
    <x v="31"/>
    <s v="Rural"/>
    <s v="Masculino"/>
    <x v="1"/>
    <x v="0"/>
  </r>
  <r>
    <n v="30"/>
    <x v="3"/>
    <x v="1"/>
    <x v="2"/>
    <x v="31"/>
    <s v="Rural"/>
    <s v="Femenino"/>
    <x v="0"/>
    <x v="0"/>
  </r>
  <r>
    <n v="31"/>
    <x v="3"/>
    <x v="1"/>
    <x v="2"/>
    <x v="31"/>
    <s v="Rural"/>
    <s v="Femenino"/>
    <x v="0"/>
    <x v="0"/>
  </r>
  <r>
    <n v="32"/>
    <x v="3"/>
    <x v="1"/>
    <x v="2"/>
    <x v="31"/>
    <s v="Rural"/>
    <s v="Femenino"/>
    <x v="0"/>
    <x v="0"/>
  </r>
  <r>
    <n v="33"/>
    <x v="3"/>
    <x v="1"/>
    <x v="2"/>
    <x v="31"/>
    <s v="Rural"/>
    <s v="Femenino"/>
    <x v="0"/>
    <x v="0"/>
  </r>
  <r>
    <n v="34"/>
    <x v="3"/>
    <x v="1"/>
    <x v="2"/>
    <x v="31"/>
    <s v="Rural"/>
    <s v="Femenino"/>
    <x v="0"/>
    <x v="0"/>
  </r>
  <r>
    <n v="35"/>
    <x v="3"/>
    <x v="1"/>
    <x v="2"/>
    <x v="31"/>
    <s v="Rural"/>
    <s v="Femenino"/>
    <x v="0"/>
    <x v="0"/>
  </r>
  <r>
    <n v="36"/>
    <x v="3"/>
    <x v="1"/>
    <x v="2"/>
    <x v="31"/>
    <s v="Rural"/>
    <s v="Masculino"/>
    <x v="0"/>
    <x v="0"/>
  </r>
  <r>
    <n v="37"/>
    <x v="3"/>
    <x v="1"/>
    <x v="2"/>
    <x v="31"/>
    <s v="Rural"/>
    <s v="Femenino"/>
    <x v="1"/>
    <x v="0"/>
  </r>
  <r>
    <n v="38"/>
    <x v="3"/>
    <x v="1"/>
    <x v="2"/>
    <x v="31"/>
    <s v="Rural"/>
    <s v="Femenino"/>
    <x v="0"/>
    <x v="0"/>
  </r>
  <r>
    <n v="39"/>
    <x v="3"/>
    <x v="1"/>
    <x v="2"/>
    <x v="31"/>
    <s v="Rural"/>
    <s v="Masculino"/>
    <x v="0"/>
    <x v="0"/>
  </r>
  <r>
    <n v="40"/>
    <x v="3"/>
    <x v="1"/>
    <x v="2"/>
    <x v="31"/>
    <s v="Rural"/>
    <s v="Masculino"/>
    <x v="0"/>
    <x v="0"/>
  </r>
  <r>
    <n v="41"/>
    <x v="3"/>
    <x v="1"/>
    <x v="2"/>
    <x v="31"/>
    <s v="Rural"/>
    <s v="Femenino"/>
    <x v="0"/>
    <x v="0"/>
  </r>
  <r>
    <n v="42"/>
    <x v="3"/>
    <x v="1"/>
    <x v="2"/>
    <x v="31"/>
    <s v="Rural"/>
    <s v="Masculino"/>
    <x v="0"/>
    <x v="0"/>
  </r>
  <r>
    <n v="43"/>
    <x v="3"/>
    <x v="1"/>
    <x v="2"/>
    <x v="31"/>
    <s v="Rural"/>
    <s v="Femenino"/>
    <x v="0"/>
    <x v="0"/>
  </r>
  <r>
    <n v="44"/>
    <x v="3"/>
    <x v="1"/>
    <x v="2"/>
    <x v="31"/>
    <s v="Rural"/>
    <s v="Femenino"/>
    <x v="0"/>
    <x v="0"/>
  </r>
  <r>
    <n v="45"/>
    <x v="3"/>
    <x v="1"/>
    <x v="2"/>
    <x v="31"/>
    <s v="Rural"/>
    <s v="Femenino"/>
    <x v="0"/>
    <x v="0"/>
  </r>
  <r>
    <n v="46"/>
    <x v="3"/>
    <x v="1"/>
    <x v="2"/>
    <x v="31"/>
    <s v="Rural"/>
    <s v="Masculino"/>
    <x v="0"/>
    <x v="0"/>
  </r>
  <r>
    <n v="47"/>
    <x v="3"/>
    <x v="1"/>
    <x v="2"/>
    <x v="31"/>
    <s v="Rural"/>
    <s v="Masculino"/>
    <x v="0"/>
    <x v="0"/>
  </r>
  <r>
    <n v="48"/>
    <x v="3"/>
    <x v="1"/>
    <x v="2"/>
    <x v="31"/>
    <s v="Rural"/>
    <s v="Femenino"/>
    <x v="1"/>
    <x v="0"/>
  </r>
  <r>
    <n v="49"/>
    <x v="3"/>
    <x v="1"/>
    <x v="3"/>
    <x v="31"/>
    <s v="Rural"/>
    <s v="Masculino"/>
    <x v="0"/>
    <x v="0"/>
  </r>
  <r>
    <n v="50"/>
    <x v="3"/>
    <x v="1"/>
    <x v="3"/>
    <x v="31"/>
    <s v="Rural"/>
    <s v="Masculino"/>
    <x v="0"/>
    <x v="0"/>
  </r>
  <r>
    <n v="51"/>
    <x v="3"/>
    <x v="1"/>
    <x v="3"/>
    <x v="31"/>
    <s v="Rural"/>
    <s v="Femenino"/>
    <x v="0"/>
    <x v="0"/>
  </r>
  <r>
    <n v="52"/>
    <x v="3"/>
    <x v="1"/>
    <x v="3"/>
    <x v="31"/>
    <s v="Rural"/>
    <s v="Masculino"/>
    <x v="0"/>
    <x v="0"/>
  </r>
  <r>
    <n v="53"/>
    <x v="3"/>
    <x v="1"/>
    <x v="3"/>
    <x v="31"/>
    <s v="Rural"/>
    <s v="Masculino"/>
    <x v="0"/>
    <x v="0"/>
  </r>
  <r>
    <n v="54"/>
    <x v="3"/>
    <x v="1"/>
    <x v="3"/>
    <x v="31"/>
    <s v="Rural"/>
    <s v="Masculino"/>
    <x v="0"/>
    <x v="0"/>
  </r>
  <r>
    <n v="55"/>
    <x v="3"/>
    <x v="1"/>
    <x v="3"/>
    <x v="31"/>
    <s v="Rural"/>
    <s v="Masculino"/>
    <x v="1"/>
    <x v="0"/>
  </r>
  <r>
    <n v="56"/>
    <x v="3"/>
    <x v="1"/>
    <x v="3"/>
    <x v="31"/>
    <s v="Rural"/>
    <s v="Masculino"/>
    <x v="0"/>
    <x v="0"/>
  </r>
  <r>
    <n v="57"/>
    <x v="3"/>
    <x v="1"/>
    <x v="3"/>
    <x v="31"/>
    <s v="Rural"/>
    <s v="Masculino"/>
    <x v="0"/>
    <x v="0"/>
  </r>
  <r>
    <n v="58"/>
    <x v="3"/>
    <x v="1"/>
    <x v="3"/>
    <x v="31"/>
    <s v="Rural"/>
    <s v="Femenino"/>
    <x v="0"/>
    <x v="0"/>
  </r>
  <r>
    <n v="59"/>
    <x v="3"/>
    <x v="1"/>
    <x v="3"/>
    <x v="31"/>
    <s v="Rural"/>
    <s v="Masculino"/>
    <x v="0"/>
    <x v="0"/>
  </r>
  <r>
    <n v="60"/>
    <x v="3"/>
    <x v="1"/>
    <x v="3"/>
    <x v="31"/>
    <s v="Rural"/>
    <s v="Masculino"/>
    <x v="0"/>
    <x v="0"/>
  </r>
  <r>
    <n v="61"/>
    <x v="3"/>
    <x v="1"/>
    <x v="3"/>
    <x v="31"/>
    <s v="Rural"/>
    <s v="Masculino"/>
    <x v="0"/>
    <x v="0"/>
  </r>
  <r>
    <n v="62"/>
    <x v="3"/>
    <x v="1"/>
    <x v="3"/>
    <x v="31"/>
    <s v="Rural"/>
    <s v="Masculino"/>
    <x v="0"/>
    <x v="0"/>
  </r>
  <r>
    <n v="63"/>
    <x v="3"/>
    <x v="1"/>
    <x v="3"/>
    <x v="31"/>
    <s v="Rural"/>
    <s v="Masculino"/>
    <x v="0"/>
    <x v="0"/>
  </r>
  <r>
    <n v="64"/>
    <x v="3"/>
    <x v="1"/>
    <x v="3"/>
    <x v="31"/>
    <s v="Rural"/>
    <s v="Femenino"/>
    <x v="0"/>
    <x v="0"/>
  </r>
  <r>
    <n v="65"/>
    <x v="3"/>
    <x v="1"/>
    <x v="3"/>
    <x v="31"/>
    <s v="Rural"/>
    <s v="Femenino"/>
    <x v="0"/>
    <x v="0"/>
  </r>
  <r>
    <n v="66"/>
    <x v="3"/>
    <x v="1"/>
    <x v="3"/>
    <x v="31"/>
    <s v="Rural"/>
    <s v="Femenino"/>
    <x v="0"/>
    <x v="0"/>
  </r>
  <r>
    <n v="67"/>
    <x v="3"/>
    <x v="1"/>
    <x v="3"/>
    <x v="31"/>
    <s v="Rural"/>
    <s v="Masculino"/>
    <x v="0"/>
    <x v="0"/>
  </r>
  <r>
    <n v="68"/>
    <x v="3"/>
    <x v="1"/>
    <x v="3"/>
    <x v="31"/>
    <s v="Rural"/>
    <s v="Femenino"/>
    <x v="0"/>
    <x v="0"/>
  </r>
  <r>
    <n v="69"/>
    <x v="3"/>
    <x v="1"/>
    <x v="3"/>
    <x v="31"/>
    <s v="Rural"/>
    <s v="Femenino"/>
    <x v="0"/>
    <x v="0"/>
  </r>
  <r>
    <n v="70"/>
    <x v="3"/>
    <x v="1"/>
    <x v="3"/>
    <x v="31"/>
    <s v="Rural"/>
    <s v="Femenino"/>
    <x v="0"/>
    <x v="0"/>
  </r>
  <r>
    <n v="71"/>
    <x v="3"/>
    <x v="1"/>
    <x v="3"/>
    <x v="31"/>
    <s v="Rural"/>
    <s v="Masculino"/>
    <x v="0"/>
    <x v="0"/>
  </r>
  <r>
    <n v="72"/>
    <x v="3"/>
    <x v="1"/>
    <x v="3"/>
    <x v="31"/>
    <s v="Rural"/>
    <s v="Masculino"/>
    <x v="0"/>
    <x v="0"/>
  </r>
  <r>
    <n v="73"/>
    <x v="3"/>
    <x v="0"/>
    <x v="4"/>
    <x v="32"/>
    <s v="Rural"/>
    <s v="Masculino"/>
    <x v="0"/>
    <x v="0"/>
  </r>
  <r>
    <n v="74"/>
    <x v="3"/>
    <x v="0"/>
    <x v="0"/>
    <x v="32"/>
    <s v="Rural"/>
    <s v="Femenino"/>
    <x v="1"/>
    <x v="0"/>
  </r>
  <r>
    <n v="75"/>
    <x v="3"/>
    <x v="0"/>
    <x v="4"/>
    <x v="33"/>
    <s v="Rural"/>
    <s v="Masculino"/>
    <x v="0"/>
    <x v="0"/>
  </r>
  <r>
    <n v="76"/>
    <x v="3"/>
    <x v="0"/>
    <x v="1"/>
    <x v="33"/>
    <s v="Rural"/>
    <s v="Femenino"/>
    <x v="2"/>
    <x v="0"/>
  </r>
  <r>
    <n v="77"/>
    <x v="3"/>
    <x v="0"/>
    <x v="4"/>
    <x v="34"/>
    <s v="Rural"/>
    <s v="Femenino"/>
    <x v="0"/>
    <x v="0"/>
  </r>
  <r>
    <n v="78"/>
    <x v="3"/>
    <x v="0"/>
    <x v="0"/>
    <x v="34"/>
    <s v="Rural"/>
    <s v="Femenino"/>
    <x v="0"/>
    <x v="0"/>
  </r>
  <r>
    <n v="79"/>
    <x v="3"/>
    <x v="0"/>
    <x v="1"/>
    <x v="34"/>
    <s v="Rural"/>
    <s v="Masculino"/>
    <x v="0"/>
    <x v="0"/>
  </r>
  <r>
    <n v="80"/>
    <x v="3"/>
    <x v="0"/>
    <x v="1"/>
    <x v="34"/>
    <s v="Rural"/>
    <s v="Femenino"/>
    <x v="0"/>
    <x v="0"/>
  </r>
  <r>
    <n v="81"/>
    <x v="3"/>
    <x v="0"/>
    <x v="4"/>
    <x v="35"/>
    <s v="Rural"/>
    <s v="Masculino"/>
    <x v="0"/>
    <x v="0"/>
  </r>
  <r>
    <n v="82"/>
    <x v="3"/>
    <x v="0"/>
    <x v="4"/>
    <x v="35"/>
    <s v="Rural"/>
    <s v="Masculino"/>
    <x v="0"/>
    <x v="0"/>
  </r>
  <r>
    <n v="83"/>
    <x v="3"/>
    <x v="0"/>
    <x v="4"/>
    <x v="35"/>
    <s v="Rural"/>
    <s v="Masculino"/>
    <x v="0"/>
    <x v="0"/>
  </r>
  <r>
    <n v="84"/>
    <x v="3"/>
    <x v="0"/>
    <x v="4"/>
    <x v="35"/>
    <s v="Rural"/>
    <s v="Femenino"/>
    <x v="0"/>
    <x v="0"/>
  </r>
  <r>
    <n v="85"/>
    <x v="3"/>
    <x v="0"/>
    <x v="4"/>
    <x v="35"/>
    <s v="Rural"/>
    <s v="Masculino"/>
    <x v="0"/>
    <x v="0"/>
  </r>
  <r>
    <n v="86"/>
    <x v="3"/>
    <x v="0"/>
    <x v="4"/>
    <x v="35"/>
    <s v="Rural"/>
    <s v="Femenino"/>
    <x v="0"/>
    <x v="0"/>
  </r>
  <r>
    <n v="87"/>
    <x v="3"/>
    <x v="0"/>
    <x v="4"/>
    <x v="35"/>
    <s v="Rural"/>
    <s v="Femenino"/>
    <x v="0"/>
    <x v="0"/>
  </r>
  <r>
    <n v="88"/>
    <x v="3"/>
    <x v="0"/>
    <x v="4"/>
    <x v="35"/>
    <s v="Rural"/>
    <s v="Masculino"/>
    <x v="0"/>
    <x v="0"/>
  </r>
  <r>
    <n v="89"/>
    <x v="3"/>
    <x v="0"/>
    <x v="4"/>
    <x v="35"/>
    <s v="Rural"/>
    <s v="Femenino"/>
    <x v="0"/>
    <x v="0"/>
  </r>
  <r>
    <n v="90"/>
    <x v="3"/>
    <x v="0"/>
    <x v="0"/>
    <x v="35"/>
    <s v="Rural"/>
    <s v="Masculino"/>
    <x v="0"/>
    <x v="0"/>
  </r>
  <r>
    <n v="91"/>
    <x v="3"/>
    <x v="0"/>
    <x v="0"/>
    <x v="35"/>
    <s v="Rural"/>
    <s v="Femenino"/>
    <x v="0"/>
    <x v="0"/>
  </r>
  <r>
    <n v="92"/>
    <x v="3"/>
    <x v="0"/>
    <x v="0"/>
    <x v="35"/>
    <s v="Rural"/>
    <s v="Femenino"/>
    <x v="1"/>
    <x v="0"/>
  </r>
  <r>
    <n v="93"/>
    <x v="3"/>
    <x v="0"/>
    <x v="0"/>
    <x v="35"/>
    <s v="Rural"/>
    <s v="Masculino"/>
    <x v="0"/>
    <x v="0"/>
  </r>
  <r>
    <n v="94"/>
    <x v="3"/>
    <x v="0"/>
    <x v="0"/>
    <x v="35"/>
    <s v="Rural"/>
    <s v="Masculino"/>
    <x v="0"/>
    <x v="0"/>
  </r>
  <r>
    <n v="95"/>
    <x v="3"/>
    <x v="0"/>
    <x v="0"/>
    <x v="35"/>
    <s v="Rural"/>
    <s v="Masculino"/>
    <x v="0"/>
    <x v="0"/>
  </r>
  <r>
    <n v="96"/>
    <x v="3"/>
    <x v="0"/>
    <x v="0"/>
    <x v="35"/>
    <s v="Rural"/>
    <s v="Femenino"/>
    <x v="1"/>
    <x v="0"/>
  </r>
  <r>
    <n v="97"/>
    <x v="3"/>
    <x v="0"/>
    <x v="1"/>
    <x v="35"/>
    <s v="Rural"/>
    <s v="Masculino"/>
    <x v="1"/>
    <x v="0"/>
  </r>
  <r>
    <n v="98"/>
    <x v="3"/>
    <x v="0"/>
    <x v="1"/>
    <x v="35"/>
    <s v="Rural"/>
    <s v="Femenino"/>
    <x v="1"/>
    <x v="0"/>
  </r>
  <r>
    <n v="99"/>
    <x v="3"/>
    <x v="0"/>
    <x v="1"/>
    <x v="35"/>
    <s v="Rural"/>
    <s v="Femenino"/>
    <x v="1"/>
    <x v="0"/>
  </r>
  <r>
    <n v="100"/>
    <x v="3"/>
    <x v="0"/>
    <x v="1"/>
    <x v="35"/>
    <s v="Rural"/>
    <s v="Masculino"/>
    <x v="1"/>
    <x v="0"/>
  </r>
  <r>
    <n v="101"/>
    <x v="3"/>
    <x v="0"/>
    <x v="1"/>
    <x v="35"/>
    <s v="Rural"/>
    <s v="Masculino"/>
    <x v="1"/>
    <x v="0"/>
  </r>
  <r>
    <n v="102"/>
    <x v="3"/>
    <x v="0"/>
    <x v="1"/>
    <x v="35"/>
    <s v="Rural"/>
    <s v="Femenino"/>
    <x v="1"/>
    <x v="0"/>
  </r>
  <r>
    <n v="103"/>
    <x v="3"/>
    <x v="0"/>
    <x v="1"/>
    <x v="35"/>
    <s v="Rural"/>
    <s v="Femenino"/>
    <x v="1"/>
    <x v="0"/>
  </r>
  <r>
    <n v="104"/>
    <x v="3"/>
    <x v="0"/>
    <x v="1"/>
    <x v="35"/>
    <s v="Rural"/>
    <s v="Femenino"/>
    <x v="2"/>
    <x v="0"/>
  </r>
  <r>
    <n v="105"/>
    <x v="3"/>
    <x v="0"/>
    <x v="1"/>
    <x v="35"/>
    <s v="Rural"/>
    <s v="Masculino"/>
    <x v="1"/>
    <x v="0"/>
  </r>
  <r>
    <n v="106"/>
    <x v="3"/>
    <x v="1"/>
    <x v="2"/>
    <x v="35"/>
    <s v="Rural"/>
    <s v="Femenino"/>
    <x v="1"/>
    <x v="0"/>
  </r>
  <r>
    <n v="107"/>
    <x v="3"/>
    <x v="1"/>
    <x v="2"/>
    <x v="35"/>
    <s v="Rural"/>
    <s v="Femenino"/>
    <x v="1"/>
    <x v="0"/>
  </r>
  <r>
    <n v="108"/>
    <x v="3"/>
    <x v="1"/>
    <x v="2"/>
    <x v="35"/>
    <s v="Rural"/>
    <s v="Masculino"/>
    <x v="0"/>
    <x v="0"/>
  </r>
  <r>
    <n v="109"/>
    <x v="3"/>
    <x v="1"/>
    <x v="2"/>
    <x v="35"/>
    <s v="Rural"/>
    <s v="Femenino"/>
    <x v="1"/>
    <x v="0"/>
  </r>
  <r>
    <n v="110"/>
    <x v="3"/>
    <x v="1"/>
    <x v="2"/>
    <x v="35"/>
    <s v="Rural"/>
    <s v="Masculino"/>
    <x v="1"/>
    <x v="0"/>
  </r>
  <r>
    <n v="111"/>
    <x v="3"/>
    <x v="1"/>
    <x v="2"/>
    <x v="35"/>
    <s v="Rural"/>
    <s v="Masculino"/>
    <x v="0"/>
    <x v="0"/>
  </r>
  <r>
    <n v="112"/>
    <x v="3"/>
    <x v="1"/>
    <x v="2"/>
    <x v="35"/>
    <s v="Rural"/>
    <s v="Masculino"/>
    <x v="0"/>
    <x v="0"/>
  </r>
  <r>
    <n v="113"/>
    <x v="3"/>
    <x v="1"/>
    <x v="2"/>
    <x v="35"/>
    <s v="Rural"/>
    <s v="Femenino"/>
    <x v="1"/>
    <x v="0"/>
  </r>
  <r>
    <n v="114"/>
    <x v="3"/>
    <x v="1"/>
    <x v="2"/>
    <x v="35"/>
    <s v="Rural"/>
    <s v="Masculino"/>
    <x v="1"/>
    <x v="0"/>
  </r>
  <r>
    <n v="115"/>
    <x v="3"/>
    <x v="1"/>
    <x v="2"/>
    <x v="35"/>
    <s v="Rural"/>
    <s v="Masculino"/>
    <x v="1"/>
    <x v="0"/>
  </r>
  <r>
    <n v="116"/>
    <x v="3"/>
    <x v="1"/>
    <x v="2"/>
    <x v="35"/>
    <s v="Rural"/>
    <s v="Masculino"/>
    <x v="0"/>
    <x v="0"/>
  </r>
  <r>
    <n v="117"/>
    <x v="3"/>
    <x v="1"/>
    <x v="2"/>
    <x v="35"/>
    <s v="Rural"/>
    <s v="Femenino"/>
    <x v="1"/>
    <x v="0"/>
  </r>
  <r>
    <n v="118"/>
    <x v="3"/>
    <x v="1"/>
    <x v="3"/>
    <x v="35"/>
    <s v="Rural"/>
    <s v="Femenino"/>
    <x v="0"/>
    <x v="0"/>
  </r>
  <r>
    <n v="119"/>
    <x v="3"/>
    <x v="1"/>
    <x v="3"/>
    <x v="35"/>
    <s v="Rural"/>
    <s v="Masculino"/>
    <x v="1"/>
    <x v="0"/>
  </r>
  <r>
    <n v="120"/>
    <x v="3"/>
    <x v="1"/>
    <x v="3"/>
    <x v="35"/>
    <s v="Rural"/>
    <s v="Masculino"/>
    <x v="1"/>
    <x v="0"/>
  </r>
  <r>
    <n v="121"/>
    <x v="3"/>
    <x v="1"/>
    <x v="3"/>
    <x v="35"/>
    <s v="Rural"/>
    <s v="Masculino"/>
    <x v="0"/>
    <x v="0"/>
  </r>
  <r>
    <n v="122"/>
    <x v="3"/>
    <x v="1"/>
    <x v="3"/>
    <x v="35"/>
    <s v="Rural"/>
    <s v="Masculino"/>
    <x v="1"/>
    <x v="0"/>
  </r>
  <r>
    <n v="123"/>
    <x v="3"/>
    <x v="1"/>
    <x v="3"/>
    <x v="35"/>
    <s v="Rural"/>
    <s v="Masculino"/>
    <x v="1"/>
    <x v="0"/>
  </r>
  <r>
    <n v="124"/>
    <x v="3"/>
    <x v="1"/>
    <x v="3"/>
    <x v="35"/>
    <s v="Rural"/>
    <s v="Femenino"/>
    <x v="1"/>
    <x v="0"/>
  </r>
  <r>
    <n v="125"/>
    <x v="3"/>
    <x v="1"/>
    <x v="3"/>
    <x v="35"/>
    <s v="Rural"/>
    <s v="Femenino"/>
    <x v="1"/>
    <x v="0"/>
  </r>
  <r>
    <n v="126"/>
    <x v="3"/>
    <x v="1"/>
    <x v="3"/>
    <x v="35"/>
    <s v="Rural"/>
    <s v="Masculino"/>
    <x v="1"/>
    <x v="0"/>
  </r>
  <r>
    <n v="127"/>
    <x v="3"/>
    <x v="1"/>
    <x v="3"/>
    <x v="35"/>
    <s v="Rural"/>
    <s v="Femenino"/>
    <x v="1"/>
    <x v="0"/>
  </r>
  <r>
    <n v="128"/>
    <x v="3"/>
    <x v="1"/>
    <x v="3"/>
    <x v="35"/>
    <s v="Rural"/>
    <s v="Masculino"/>
    <x v="1"/>
    <x v="0"/>
  </r>
  <r>
    <n v="129"/>
    <x v="3"/>
    <x v="0"/>
    <x v="4"/>
    <x v="36"/>
    <s v="Rural"/>
    <s v="Femenino"/>
    <x v="1"/>
    <x v="0"/>
  </r>
  <r>
    <n v="130"/>
    <x v="3"/>
    <x v="0"/>
    <x v="1"/>
    <x v="36"/>
    <s v="Rural"/>
    <s v="Masculino"/>
    <x v="0"/>
    <x v="0"/>
  </r>
  <r>
    <n v="131"/>
    <x v="3"/>
    <x v="0"/>
    <x v="4"/>
    <x v="37"/>
    <s v="Rural"/>
    <s v="Femenino"/>
    <x v="0"/>
    <x v="0"/>
  </r>
  <r>
    <n v="132"/>
    <x v="3"/>
    <x v="0"/>
    <x v="4"/>
    <x v="37"/>
    <s v="Rural"/>
    <s v="Masculino"/>
    <x v="0"/>
    <x v="0"/>
  </r>
  <r>
    <n v="133"/>
    <x v="3"/>
    <x v="0"/>
    <x v="1"/>
    <x v="37"/>
    <s v="Rural"/>
    <s v="Masculino"/>
    <x v="0"/>
    <x v="0"/>
  </r>
  <r>
    <n v="134"/>
    <x v="3"/>
    <x v="0"/>
    <x v="0"/>
    <x v="38"/>
    <s v="Rural"/>
    <s v="Femenino"/>
    <x v="0"/>
    <x v="0"/>
  </r>
  <r>
    <n v="135"/>
    <x v="3"/>
    <x v="0"/>
    <x v="1"/>
    <x v="38"/>
    <s v="Rural"/>
    <s v="Masculino"/>
    <x v="0"/>
    <x v="0"/>
  </r>
  <r>
    <n v="136"/>
    <x v="3"/>
    <x v="0"/>
    <x v="4"/>
    <x v="39"/>
    <s v="Rural"/>
    <s v="Masculino"/>
    <x v="0"/>
    <x v="0"/>
  </r>
  <r>
    <n v="137"/>
    <x v="3"/>
    <x v="0"/>
    <x v="4"/>
    <x v="39"/>
    <s v="Rural"/>
    <s v="Femenino"/>
    <x v="0"/>
    <x v="0"/>
  </r>
  <r>
    <n v="138"/>
    <x v="3"/>
    <x v="0"/>
    <x v="0"/>
    <x v="39"/>
    <s v="Rural"/>
    <s v="Masculino"/>
    <x v="0"/>
    <x v="0"/>
  </r>
  <r>
    <n v="139"/>
    <x v="3"/>
    <x v="0"/>
    <x v="0"/>
    <x v="39"/>
    <s v="Rural"/>
    <s v="Masculino"/>
    <x v="0"/>
    <x v="0"/>
  </r>
  <r>
    <n v="140"/>
    <x v="3"/>
    <x v="0"/>
    <x v="1"/>
    <x v="39"/>
    <s v="Rural"/>
    <s v="Femenino"/>
    <x v="0"/>
    <x v="0"/>
  </r>
  <r>
    <n v="141"/>
    <x v="3"/>
    <x v="0"/>
    <x v="1"/>
    <x v="39"/>
    <s v="Rural"/>
    <s v="Masculino"/>
    <x v="0"/>
    <x v="0"/>
  </r>
  <r>
    <n v="142"/>
    <x v="3"/>
    <x v="0"/>
    <x v="1"/>
    <x v="39"/>
    <s v="Rural"/>
    <s v="Masculino"/>
    <x v="0"/>
    <x v="0"/>
  </r>
  <r>
    <n v="143"/>
    <x v="3"/>
    <x v="0"/>
    <x v="1"/>
    <x v="39"/>
    <s v="Rural"/>
    <s v="Masculino"/>
    <x v="0"/>
    <x v="0"/>
  </r>
  <r>
    <n v="144"/>
    <x v="3"/>
    <x v="1"/>
    <x v="2"/>
    <x v="39"/>
    <s v="Rural"/>
    <s v="Masculino"/>
    <x v="0"/>
    <x v="0"/>
  </r>
  <r>
    <n v="145"/>
    <x v="3"/>
    <x v="1"/>
    <x v="2"/>
    <x v="39"/>
    <s v="Rural"/>
    <s v="Femenino"/>
    <x v="0"/>
    <x v="0"/>
  </r>
  <r>
    <n v="146"/>
    <x v="3"/>
    <x v="1"/>
    <x v="2"/>
    <x v="39"/>
    <s v="Rural"/>
    <s v="Masculino"/>
    <x v="0"/>
    <x v="0"/>
  </r>
  <r>
    <n v="147"/>
    <x v="3"/>
    <x v="1"/>
    <x v="2"/>
    <x v="39"/>
    <s v="Rural"/>
    <s v="Femenino"/>
    <x v="0"/>
    <x v="0"/>
  </r>
  <r>
    <n v="148"/>
    <x v="3"/>
    <x v="1"/>
    <x v="2"/>
    <x v="39"/>
    <s v="Rural"/>
    <s v="Masculino"/>
    <x v="0"/>
    <x v="0"/>
  </r>
  <r>
    <n v="149"/>
    <x v="3"/>
    <x v="1"/>
    <x v="2"/>
    <x v="39"/>
    <s v="Rural"/>
    <s v="Masculino"/>
    <x v="0"/>
    <x v="0"/>
  </r>
  <r>
    <n v="150"/>
    <x v="3"/>
    <x v="1"/>
    <x v="2"/>
    <x v="39"/>
    <s v="Rural"/>
    <s v="Masculino"/>
    <x v="0"/>
    <x v="0"/>
  </r>
  <r>
    <n v="151"/>
    <x v="3"/>
    <x v="1"/>
    <x v="2"/>
    <x v="39"/>
    <s v="Rural"/>
    <s v="Masculino"/>
    <x v="0"/>
    <x v="0"/>
  </r>
  <r>
    <n v="152"/>
    <x v="3"/>
    <x v="1"/>
    <x v="3"/>
    <x v="39"/>
    <s v="Rural"/>
    <s v="Femenino"/>
    <x v="0"/>
    <x v="0"/>
  </r>
  <r>
    <n v="153"/>
    <x v="3"/>
    <x v="1"/>
    <x v="3"/>
    <x v="39"/>
    <s v="Rural"/>
    <s v="Masculino"/>
    <x v="0"/>
    <x v="0"/>
  </r>
  <r>
    <n v="154"/>
    <x v="3"/>
    <x v="1"/>
    <x v="3"/>
    <x v="39"/>
    <s v="Rural"/>
    <s v="Femenino"/>
    <x v="0"/>
    <x v="0"/>
  </r>
  <r>
    <n v="155"/>
    <x v="3"/>
    <x v="0"/>
    <x v="4"/>
    <x v="40"/>
    <s v="Rural"/>
    <s v="Masculino"/>
    <x v="0"/>
    <x v="0"/>
  </r>
  <r>
    <n v="156"/>
    <x v="3"/>
    <x v="0"/>
    <x v="4"/>
    <x v="41"/>
    <s v="Rural"/>
    <s v="Masculino"/>
    <x v="0"/>
    <x v="0"/>
  </r>
  <r>
    <n v="157"/>
    <x v="3"/>
    <x v="0"/>
    <x v="4"/>
    <x v="41"/>
    <s v="Rural"/>
    <s v="Femenino"/>
    <x v="0"/>
    <x v="0"/>
  </r>
  <r>
    <n v="158"/>
    <x v="3"/>
    <x v="0"/>
    <x v="4"/>
    <x v="41"/>
    <s v="Rural"/>
    <s v="Femenino"/>
    <x v="0"/>
    <x v="0"/>
  </r>
  <r>
    <n v="159"/>
    <x v="3"/>
    <x v="0"/>
    <x v="4"/>
    <x v="41"/>
    <s v="Rural"/>
    <s v="Masculino"/>
    <x v="0"/>
    <x v="0"/>
  </r>
  <r>
    <n v="160"/>
    <x v="3"/>
    <x v="0"/>
    <x v="4"/>
    <x v="41"/>
    <s v="Rural"/>
    <s v="Masculino"/>
    <x v="0"/>
    <x v="0"/>
  </r>
  <r>
    <n v="161"/>
    <x v="3"/>
    <x v="0"/>
    <x v="4"/>
    <x v="41"/>
    <s v="Rural"/>
    <s v="Femenino"/>
    <x v="0"/>
    <x v="0"/>
  </r>
  <r>
    <n v="162"/>
    <x v="3"/>
    <x v="0"/>
    <x v="4"/>
    <x v="41"/>
    <s v="Rural"/>
    <s v="Masculino"/>
    <x v="0"/>
    <x v="0"/>
  </r>
  <r>
    <n v="163"/>
    <x v="3"/>
    <x v="0"/>
    <x v="4"/>
    <x v="41"/>
    <s v="Rural"/>
    <s v="Femenino"/>
    <x v="0"/>
    <x v="0"/>
  </r>
  <r>
    <n v="164"/>
    <x v="3"/>
    <x v="0"/>
    <x v="4"/>
    <x v="41"/>
    <s v="Rural"/>
    <s v="Femenino"/>
    <x v="0"/>
    <x v="0"/>
  </r>
  <r>
    <n v="165"/>
    <x v="3"/>
    <x v="0"/>
    <x v="4"/>
    <x v="41"/>
    <s v="Rural"/>
    <s v="Femenino"/>
    <x v="0"/>
    <x v="0"/>
  </r>
  <r>
    <n v="166"/>
    <x v="3"/>
    <x v="0"/>
    <x v="0"/>
    <x v="41"/>
    <s v="Rural"/>
    <s v="Masculino"/>
    <x v="0"/>
    <x v="0"/>
  </r>
  <r>
    <n v="167"/>
    <x v="3"/>
    <x v="0"/>
    <x v="0"/>
    <x v="41"/>
    <s v="Rural"/>
    <s v="Masculino"/>
    <x v="0"/>
    <x v="0"/>
  </r>
  <r>
    <n v="168"/>
    <x v="3"/>
    <x v="0"/>
    <x v="0"/>
    <x v="41"/>
    <s v="Rural"/>
    <s v="Femenino"/>
    <x v="0"/>
    <x v="0"/>
  </r>
  <r>
    <n v="169"/>
    <x v="3"/>
    <x v="0"/>
    <x v="0"/>
    <x v="41"/>
    <s v="Rural"/>
    <s v="Masculino"/>
    <x v="0"/>
    <x v="0"/>
  </r>
  <r>
    <n v="170"/>
    <x v="3"/>
    <x v="0"/>
    <x v="0"/>
    <x v="41"/>
    <s v="Rural"/>
    <s v="Femenino"/>
    <x v="0"/>
    <x v="0"/>
  </r>
  <r>
    <n v="171"/>
    <x v="3"/>
    <x v="0"/>
    <x v="0"/>
    <x v="41"/>
    <s v="Rural"/>
    <s v="Femenino"/>
    <x v="0"/>
    <x v="0"/>
  </r>
  <r>
    <n v="172"/>
    <x v="3"/>
    <x v="0"/>
    <x v="0"/>
    <x v="41"/>
    <s v="Rural"/>
    <s v="Femenino"/>
    <x v="0"/>
    <x v="0"/>
  </r>
  <r>
    <n v="173"/>
    <x v="3"/>
    <x v="0"/>
    <x v="0"/>
    <x v="41"/>
    <s v="Rural"/>
    <s v="Masculino"/>
    <x v="0"/>
    <x v="0"/>
  </r>
  <r>
    <n v="174"/>
    <x v="3"/>
    <x v="0"/>
    <x v="0"/>
    <x v="41"/>
    <s v="Rural"/>
    <s v="Femenino"/>
    <x v="0"/>
    <x v="0"/>
  </r>
  <r>
    <n v="175"/>
    <x v="3"/>
    <x v="0"/>
    <x v="0"/>
    <x v="41"/>
    <s v="Rural"/>
    <s v="Femenino"/>
    <x v="0"/>
    <x v="0"/>
  </r>
  <r>
    <n v="176"/>
    <x v="3"/>
    <x v="0"/>
    <x v="0"/>
    <x v="41"/>
    <s v="Rural"/>
    <s v="Femenino"/>
    <x v="0"/>
    <x v="0"/>
  </r>
  <r>
    <n v="177"/>
    <x v="3"/>
    <x v="0"/>
    <x v="0"/>
    <x v="41"/>
    <s v="Rural"/>
    <s v="Masculino"/>
    <x v="0"/>
    <x v="0"/>
  </r>
  <r>
    <n v="178"/>
    <x v="3"/>
    <x v="0"/>
    <x v="0"/>
    <x v="41"/>
    <s v="Rural"/>
    <s v="Femenino"/>
    <x v="0"/>
    <x v="0"/>
  </r>
  <r>
    <n v="179"/>
    <x v="3"/>
    <x v="0"/>
    <x v="0"/>
    <x v="41"/>
    <s v="Rural"/>
    <s v="Masculino"/>
    <x v="0"/>
    <x v="0"/>
  </r>
  <r>
    <n v="180"/>
    <x v="3"/>
    <x v="0"/>
    <x v="0"/>
    <x v="41"/>
    <s v="Rural"/>
    <s v="Masculino"/>
    <x v="0"/>
    <x v="0"/>
  </r>
  <r>
    <n v="181"/>
    <x v="3"/>
    <x v="0"/>
    <x v="1"/>
    <x v="41"/>
    <s v="Rural"/>
    <s v="Femenino"/>
    <x v="0"/>
    <x v="0"/>
  </r>
  <r>
    <n v="182"/>
    <x v="3"/>
    <x v="0"/>
    <x v="1"/>
    <x v="41"/>
    <s v="Rural"/>
    <s v="Femenino"/>
    <x v="0"/>
    <x v="0"/>
  </r>
  <r>
    <n v="183"/>
    <x v="3"/>
    <x v="0"/>
    <x v="1"/>
    <x v="41"/>
    <s v="Rural"/>
    <s v="Masculino"/>
    <x v="0"/>
    <x v="0"/>
  </r>
  <r>
    <n v="184"/>
    <x v="3"/>
    <x v="0"/>
    <x v="1"/>
    <x v="41"/>
    <s v="Rural"/>
    <s v="Masculino"/>
    <x v="0"/>
    <x v="0"/>
  </r>
  <r>
    <n v="185"/>
    <x v="3"/>
    <x v="0"/>
    <x v="1"/>
    <x v="41"/>
    <s v="Rural"/>
    <s v="Femenino"/>
    <x v="0"/>
    <x v="0"/>
  </r>
  <r>
    <n v="186"/>
    <x v="3"/>
    <x v="0"/>
    <x v="1"/>
    <x v="41"/>
    <s v="Rural"/>
    <s v="Femenino"/>
    <x v="0"/>
    <x v="0"/>
  </r>
  <r>
    <n v="187"/>
    <x v="3"/>
    <x v="0"/>
    <x v="1"/>
    <x v="41"/>
    <s v="Rural"/>
    <s v="Masculino"/>
    <x v="0"/>
    <x v="0"/>
  </r>
  <r>
    <n v="188"/>
    <x v="3"/>
    <x v="0"/>
    <x v="1"/>
    <x v="41"/>
    <s v="Rural"/>
    <s v="Femenino"/>
    <x v="0"/>
    <x v="0"/>
  </r>
  <r>
    <n v="189"/>
    <x v="3"/>
    <x v="0"/>
    <x v="1"/>
    <x v="41"/>
    <s v="Rural"/>
    <s v="Masculino"/>
    <x v="0"/>
    <x v="0"/>
  </r>
  <r>
    <n v="190"/>
    <x v="3"/>
    <x v="0"/>
    <x v="1"/>
    <x v="41"/>
    <s v="Rural"/>
    <s v="Masculino"/>
    <x v="0"/>
    <x v="0"/>
  </r>
  <r>
    <n v="191"/>
    <x v="3"/>
    <x v="0"/>
    <x v="1"/>
    <x v="41"/>
    <s v="Rural"/>
    <s v="Femenino"/>
    <x v="0"/>
    <x v="0"/>
  </r>
  <r>
    <n v="192"/>
    <x v="3"/>
    <x v="0"/>
    <x v="1"/>
    <x v="41"/>
    <s v="Rural"/>
    <s v="Femenino"/>
    <x v="0"/>
    <x v="0"/>
  </r>
  <r>
    <n v="193"/>
    <x v="3"/>
    <x v="0"/>
    <x v="1"/>
    <x v="41"/>
    <s v="Rural"/>
    <s v="Femenino"/>
    <x v="0"/>
    <x v="0"/>
  </r>
  <r>
    <n v="194"/>
    <x v="3"/>
    <x v="1"/>
    <x v="2"/>
    <x v="41"/>
    <s v="Rural"/>
    <s v="Femenino"/>
    <x v="0"/>
    <x v="0"/>
  </r>
  <r>
    <n v="195"/>
    <x v="3"/>
    <x v="1"/>
    <x v="2"/>
    <x v="41"/>
    <s v="Rural"/>
    <s v="Masculino"/>
    <x v="0"/>
    <x v="0"/>
  </r>
  <r>
    <n v="196"/>
    <x v="3"/>
    <x v="1"/>
    <x v="2"/>
    <x v="41"/>
    <s v="Rural"/>
    <s v="Masculino"/>
    <x v="0"/>
    <x v="0"/>
  </r>
  <r>
    <n v="197"/>
    <x v="3"/>
    <x v="1"/>
    <x v="2"/>
    <x v="41"/>
    <s v="Rural"/>
    <s v="Masculino"/>
    <x v="0"/>
    <x v="0"/>
  </r>
  <r>
    <n v="198"/>
    <x v="3"/>
    <x v="1"/>
    <x v="2"/>
    <x v="41"/>
    <s v="Rural"/>
    <s v="Femenino"/>
    <x v="0"/>
    <x v="0"/>
  </r>
  <r>
    <n v="199"/>
    <x v="3"/>
    <x v="1"/>
    <x v="2"/>
    <x v="41"/>
    <s v="Rural"/>
    <s v="Femenino"/>
    <x v="0"/>
    <x v="0"/>
  </r>
  <r>
    <n v="200"/>
    <x v="3"/>
    <x v="1"/>
    <x v="2"/>
    <x v="41"/>
    <s v="Rural"/>
    <s v="Masculino"/>
    <x v="0"/>
    <x v="0"/>
  </r>
  <r>
    <n v="201"/>
    <x v="3"/>
    <x v="1"/>
    <x v="2"/>
    <x v="41"/>
    <s v="Rural"/>
    <s v="Masculino"/>
    <x v="0"/>
    <x v="0"/>
  </r>
  <r>
    <n v="202"/>
    <x v="3"/>
    <x v="1"/>
    <x v="2"/>
    <x v="41"/>
    <s v="Rural"/>
    <s v="Masculino"/>
    <x v="0"/>
    <x v="0"/>
  </r>
  <r>
    <n v="203"/>
    <x v="3"/>
    <x v="1"/>
    <x v="2"/>
    <x v="41"/>
    <s v="Rural"/>
    <s v="Masculino"/>
    <x v="0"/>
    <x v="0"/>
  </r>
  <r>
    <n v="204"/>
    <x v="3"/>
    <x v="1"/>
    <x v="2"/>
    <x v="41"/>
    <s v="Rural"/>
    <s v="Femenino"/>
    <x v="0"/>
    <x v="0"/>
  </r>
  <r>
    <n v="205"/>
    <x v="3"/>
    <x v="1"/>
    <x v="2"/>
    <x v="41"/>
    <s v="Rural"/>
    <s v="Femenino"/>
    <x v="0"/>
    <x v="0"/>
  </r>
  <r>
    <n v="206"/>
    <x v="3"/>
    <x v="1"/>
    <x v="2"/>
    <x v="41"/>
    <s v="Rural"/>
    <s v="Femenino"/>
    <x v="0"/>
    <x v="0"/>
  </r>
  <r>
    <n v="207"/>
    <x v="3"/>
    <x v="1"/>
    <x v="2"/>
    <x v="41"/>
    <s v="Rural"/>
    <s v="Masculino"/>
    <x v="0"/>
    <x v="0"/>
  </r>
  <r>
    <n v="208"/>
    <x v="3"/>
    <x v="1"/>
    <x v="2"/>
    <x v="41"/>
    <s v="Rural"/>
    <s v="Masculino"/>
    <x v="0"/>
    <x v="0"/>
  </r>
  <r>
    <n v="209"/>
    <x v="3"/>
    <x v="1"/>
    <x v="2"/>
    <x v="41"/>
    <s v="Rural"/>
    <s v="Femenino"/>
    <x v="0"/>
    <x v="0"/>
  </r>
  <r>
    <n v="210"/>
    <x v="3"/>
    <x v="1"/>
    <x v="2"/>
    <x v="41"/>
    <s v="Rural"/>
    <s v="Femenino"/>
    <x v="0"/>
    <x v="0"/>
  </r>
  <r>
    <n v="211"/>
    <x v="3"/>
    <x v="1"/>
    <x v="2"/>
    <x v="41"/>
    <s v="Rural"/>
    <s v="Femenino"/>
    <x v="0"/>
    <x v="0"/>
  </r>
  <r>
    <n v="212"/>
    <x v="3"/>
    <x v="1"/>
    <x v="2"/>
    <x v="41"/>
    <s v="Rural"/>
    <s v="Femenino"/>
    <x v="0"/>
    <x v="0"/>
  </r>
  <r>
    <n v="213"/>
    <x v="3"/>
    <x v="1"/>
    <x v="2"/>
    <x v="41"/>
    <s v="Rural"/>
    <s v="Femenino"/>
    <x v="0"/>
    <x v="0"/>
  </r>
  <r>
    <n v="214"/>
    <x v="3"/>
    <x v="1"/>
    <x v="2"/>
    <x v="41"/>
    <s v="Rural"/>
    <s v="Femenino"/>
    <x v="0"/>
    <x v="0"/>
  </r>
  <r>
    <n v="215"/>
    <x v="3"/>
    <x v="1"/>
    <x v="2"/>
    <x v="41"/>
    <s v="Rural"/>
    <s v="Masculino"/>
    <x v="0"/>
    <x v="0"/>
  </r>
  <r>
    <n v="216"/>
    <x v="3"/>
    <x v="1"/>
    <x v="2"/>
    <x v="41"/>
    <s v="Rural"/>
    <s v="Masculino"/>
    <x v="0"/>
    <x v="0"/>
  </r>
  <r>
    <n v="217"/>
    <x v="3"/>
    <x v="1"/>
    <x v="3"/>
    <x v="41"/>
    <s v="Rural"/>
    <s v="Femenino"/>
    <x v="0"/>
    <x v="0"/>
  </r>
  <r>
    <n v="218"/>
    <x v="3"/>
    <x v="1"/>
    <x v="3"/>
    <x v="41"/>
    <s v="Rural"/>
    <s v="Femenino"/>
    <x v="0"/>
    <x v="0"/>
  </r>
  <r>
    <n v="219"/>
    <x v="3"/>
    <x v="1"/>
    <x v="3"/>
    <x v="41"/>
    <s v="Rural"/>
    <s v="Femenino"/>
    <x v="0"/>
    <x v="0"/>
  </r>
  <r>
    <n v="220"/>
    <x v="3"/>
    <x v="1"/>
    <x v="3"/>
    <x v="41"/>
    <s v="Rural"/>
    <s v="Femenino"/>
    <x v="0"/>
    <x v="0"/>
  </r>
  <r>
    <n v="221"/>
    <x v="3"/>
    <x v="1"/>
    <x v="3"/>
    <x v="41"/>
    <s v="Rural"/>
    <s v="Femenino"/>
    <x v="0"/>
    <x v="0"/>
  </r>
  <r>
    <n v="222"/>
    <x v="3"/>
    <x v="1"/>
    <x v="3"/>
    <x v="41"/>
    <s v="Rural"/>
    <s v="Masculino"/>
    <x v="0"/>
    <x v="0"/>
  </r>
  <r>
    <n v="223"/>
    <x v="3"/>
    <x v="1"/>
    <x v="3"/>
    <x v="41"/>
    <s v="Rural"/>
    <s v="Masculino"/>
    <x v="0"/>
    <x v="0"/>
  </r>
  <r>
    <n v="224"/>
    <x v="3"/>
    <x v="1"/>
    <x v="3"/>
    <x v="41"/>
    <s v="Rural"/>
    <s v="Femenino"/>
    <x v="0"/>
    <x v="0"/>
  </r>
  <r>
    <n v="229"/>
    <x v="3"/>
    <x v="0"/>
    <x v="0"/>
    <x v="42"/>
    <s v="Rural"/>
    <s v="Femenino"/>
    <x v="0"/>
    <x v="0"/>
  </r>
  <r>
    <n v="230"/>
    <x v="3"/>
    <x v="0"/>
    <x v="1"/>
    <x v="42"/>
    <s v="Rural"/>
    <s v="Masculino"/>
    <x v="0"/>
    <x v="0"/>
  </r>
  <r>
    <n v="231"/>
    <x v="3"/>
    <x v="0"/>
    <x v="1"/>
    <x v="42"/>
    <s v="Rural"/>
    <s v="Masculino"/>
    <x v="0"/>
    <x v="0"/>
  </r>
  <r>
    <n v="232"/>
    <x v="3"/>
    <x v="0"/>
    <x v="1"/>
    <x v="43"/>
    <s v="Rural"/>
    <s v="Masculino"/>
    <x v="0"/>
    <x v="0"/>
  </r>
  <r>
    <n v="233"/>
    <x v="3"/>
    <x v="0"/>
    <x v="1"/>
    <x v="43"/>
    <s v="Rural"/>
    <s v="Femenino"/>
    <x v="0"/>
    <x v="0"/>
  </r>
  <r>
    <n v="234"/>
    <x v="3"/>
    <x v="0"/>
    <x v="4"/>
    <x v="44"/>
    <s v="Rural"/>
    <s v="Femenino"/>
    <x v="0"/>
    <x v="0"/>
  </r>
  <r>
    <n v="235"/>
    <x v="3"/>
    <x v="0"/>
    <x v="4"/>
    <x v="44"/>
    <s v="Rural"/>
    <s v="Masculino"/>
    <x v="0"/>
    <x v="0"/>
  </r>
  <r>
    <n v="236"/>
    <x v="3"/>
    <x v="0"/>
    <x v="0"/>
    <x v="44"/>
    <s v="Rural"/>
    <s v="Masculino"/>
    <x v="0"/>
    <x v="0"/>
  </r>
  <r>
    <n v="237"/>
    <x v="3"/>
    <x v="0"/>
    <x v="0"/>
    <x v="44"/>
    <s v="Rural"/>
    <s v="Masculino"/>
    <x v="0"/>
    <x v="0"/>
  </r>
  <r>
    <n v="238"/>
    <x v="3"/>
    <x v="0"/>
    <x v="1"/>
    <x v="44"/>
    <s v="Rural"/>
    <s v="Masculino"/>
    <x v="0"/>
    <x v="0"/>
  </r>
  <r>
    <n v="239"/>
    <x v="3"/>
    <x v="0"/>
    <x v="4"/>
    <x v="45"/>
    <s v="Rural"/>
    <s v="Femenino"/>
    <x v="0"/>
    <x v="0"/>
  </r>
  <r>
    <n v="240"/>
    <x v="3"/>
    <x v="0"/>
    <x v="4"/>
    <x v="45"/>
    <s v="Rural"/>
    <s v="Masculino"/>
    <x v="0"/>
    <x v="0"/>
  </r>
  <r>
    <n v="241"/>
    <x v="3"/>
    <x v="0"/>
    <x v="0"/>
    <x v="45"/>
    <s v="Rural"/>
    <s v="Masculino"/>
    <x v="0"/>
    <x v="0"/>
  </r>
  <r>
    <n v="242"/>
    <x v="3"/>
    <x v="0"/>
    <x v="1"/>
    <x v="45"/>
    <s v="Rural"/>
    <s v="Femenino"/>
    <x v="0"/>
    <x v="0"/>
  </r>
  <r>
    <n v="243"/>
    <x v="3"/>
    <x v="0"/>
    <x v="4"/>
    <x v="46"/>
    <s v="Rural"/>
    <s v="Femenino"/>
    <x v="0"/>
    <x v="0"/>
  </r>
  <r>
    <n v="244"/>
    <x v="3"/>
    <x v="0"/>
    <x v="0"/>
    <x v="46"/>
    <s v="Rural"/>
    <s v="Masculino"/>
    <x v="0"/>
    <x v="0"/>
  </r>
  <r>
    <n v="246"/>
    <x v="3"/>
    <x v="0"/>
    <x v="4"/>
    <x v="47"/>
    <s v="Rural"/>
    <s v="Femenino"/>
    <x v="0"/>
    <x v="0"/>
  </r>
  <r>
    <n v="247"/>
    <x v="3"/>
    <x v="0"/>
    <x v="4"/>
    <x v="47"/>
    <s v="Rural"/>
    <s v="Femenino"/>
    <x v="0"/>
    <x v="0"/>
  </r>
  <r>
    <n v="248"/>
    <x v="3"/>
    <x v="0"/>
    <x v="4"/>
    <x v="47"/>
    <s v="Rural"/>
    <s v="Femenino"/>
    <x v="0"/>
    <x v="0"/>
  </r>
  <r>
    <n v="249"/>
    <x v="3"/>
    <x v="0"/>
    <x v="4"/>
    <x v="47"/>
    <s v="Rural"/>
    <s v="Masculino"/>
    <x v="0"/>
    <x v="0"/>
  </r>
  <r>
    <n v="250"/>
    <x v="3"/>
    <x v="0"/>
    <x v="4"/>
    <x v="47"/>
    <s v="Rural"/>
    <s v="Masculino"/>
    <x v="0"/>
    <x v="0"/>
  </r>
  <r>
    <n v="251"/>
    <x v="3"/>
    <x v="0"/>
    <x v="4"/>
    <x v="47"/>
    <s v="Rural"/>
    <s v="Femenino"/>
    <x v="0"/>
    <x v="0"/>
  </r>
  <r>
    <n v="252"/>
    <x v="3"/>
    <x v="0"/>
    <x v="4"/>
    <x v="47"/>
    <s v="Rural"/>
    <s v="Femenino"/>
    <x v="1"/>
    <x v="0"/>
  </r>
  <r>
    <n v="253"/>
    <x v="3"/>
    <x v="0"/>
    <x v="4"/>
    <x v="47"/>
    <s v="Rural"/>
    <s v="Masculino"/>
    <x v="0"/>
    <x v="0"/>
  </r>
  <r>
    <n v="254"/>
    <x v="3"/>
    <x v="0"/>
    <x v="4"/>
    <x v="47"/>
    <s v="Rural"/>
    <s v="Masculino"/>
    <x v="0"/>
    <x v="0"/>
  </r>
  <r>
    <n v="255"/>
    <x v="3"/>
    <x v="0"/>
    <x v="4"/>
    <x v="47"/>
    <s v="Rural"/>
    <s v="Masculino"/>
    <x v="0"/>
    <x v="0"/>
  </r>
  <r>
    <n v="257"/>
    <x v="3"/>
    <x v="0"/>
    <x v="4"/>
    <x v="47"/>
    <s v="Rural"/>
    <s v="Femenino"/>
    <x v="0"/>
    <x v="0"/>
  </r>
  <r>
    <n v="258"/>
    <x v="3"/>
    <x v="0"/>
    <x v="0"/>
    <x v="47"/>
    <s v="Rural"/>
    <s v="Masculino"/>
    <x v="0"/>
    <x v="0"/>
  </r>
  <r>
    <n v="259"/>
    <x v="3"/>
    <x v="0"/>
    <x v="0"/>
    <x v="47"/>
    <s v="Rural"/>
    <s v="Femenino"/>
    <x v="1"/>
    <x v="0"/>
  </r>
  <r>
    <n v="260"/>
    <x v="3"/>
    <x v="0"/>
    <x v="0"/>
    <x v="47"/>
    <s v="Rural"/>
    <s v="Masculino"/>
    <x v="0"/>
    <x v="0"/>
  </r>
  <r>
    <n v="261"/>
    <x v="3"/>
    <x v="0"/>
    <x v="0"/>
    <x v="47"/>
    <s v="Rural"/>
    <s v="Masculino"/>
    <x v="0"/>
    <x v="0"/>
  </r>
  <r>
    <n v="263"/>
    <x v="3"/>
    <x v="0"/>
    <x v="0"/>
    <x v="47"/>
    <s v="Rural"/>
    <s v="Masculino"/>
    <x v="0"/>
    <x v="0"/>
  </r>
  <r>
    <n v="264"/>
    <x v="3"/>
    <x v="0"/>
    <x v="0"/>
    <x v="47"/>
    <s v="Rural"/>
    <s v="Femenino"/>
    <x v="0"/>
    <x v="0"/>
  </r>
  <r>
    <n v="265"/>
    <x v="3"/>
    <x v="0"/>
    <x v="0"/>
    <x v="47"/>
    <s v="Rural"/>
    <s v="Masculino"/>
    <x v="0"/>
    <x v="0"/>
  </r>
  <r>
    <n v="266"/>
    <x v="3"/>
    <x v="0"/>
    <x v="0"/>
    <x v="47"/>
    <s v="Rural"/>
    <s v="Femenino"/>
    <x v="0"/>
    <x v="0"/>
  </r>
  <r>
    <n v="267"/>
    <x v="3"/>
    <x v="0"/>
    <x v="0"/>
    <x v="47"/>
    <s v="Rural"/>
    <s v="Masculino"/>
    <x v="0"/>
    <x v="0"/>
  </r>
  <r>
    <n v="268"/>
    <x v="3"/>
    <x v="0"/>
    <x v="0"/>
    <x v="47"/>
    <s v="Rural"/>
    <s v="Femenino"/>
    <x v="0"/>
    <x v="0"/>
  </r>
  <r>
    <n v="269"/>
    <x v="3"/>
    <x v="0"/>
    <x v="0"/>
    <x v="47"/>
    <s v="Rural"/>
    <s v="Femenino"/>
    <x v="1"/>
    <x v="0"/>
  </r>
  <r>
    <n v="270"/>
    <x v="3"/>
    <x v="0"/>
    <x v="1"/>
    <x v="47"/>
    <s v="Rural"/>
    <s v="Femenino"/>
    <x v="0"/>
    <x v="0"/>
  </r>
  <r>
    <n v="271"/>
    <x v="3"/>
    <x v="0"/>
    <x v="1"/>
    <x v="47"/>
    <s v="Rural"/>
    <s v="Femenino"/>
    <x v="0"/>
    <x v="0"/>
  </r>
  <r>
    <n v="272"/>
    <x v="3"/>
    <x v="0"/>
    <x v="1"/>
    <x v="47"/>
    <s v="Rural"/>
    <s v="Femenino"/>
    <x v="0"/>
    <x v="0"/>
  </r>
  <r>
    <n v="273"/>
    <x v="3"/>
    <x v="0"/>
    <x v="1"/>
    <x v="47"/>
    <s v="Rural"/>
    <s v="Femenino"/>
    <x v="0"/>
    <x v="0"/>
  </r>
  <r>
    <n v="275"/>
    <x v="3"/>
    <x v="0"/>
    <x v="1"/>
    <x v="47"/>
    <s v="Rural"/>
    <s v="Femenino"/>
    <x v="0"/>
    <x v="0"/>
  </r>
  <r>
    <n v="276"/>
    <x v="3"/>
    <x v="0"/>
    <x v="1"/>
    <x v="47"/>
    <s v="Rural"/>
    <s v="Masculino"/>
    <x v="0"/>
    <x v="0"/>
  </r>
  <r>
    <n v="277"/>
    <x v="3"/>
    <x v="0"/>
    <x v="1"/>
    <x v="47"/>
    <s v="Rural"/>
    <s v="Masculino"/>
    <x v="0"/>
    <x v="0"/>
  </r>
  <r>
    <n v="279"/>
    <x v="3"/>
    <x v="0"/>
    <x v="1"/>
    <x v="47"/>
    <s v="Rural"/>
    <s v="Femenino"/>
    <x v="0"/>
    <x v="0"/>
  </r>
  <r>
    <n v="280"/>
    <x v="3"/>
    <x v="0"/>
    <x v="1"/>
    <x v="47"/>
    <s v="Rural"/>
    <s v="Masculino"/>
    <x v="0"/>
    <x v="0"/>
  </r>
  <r>
    <n v="281"/>
    <x v="3"/>
    <x v="0"/>
    <x v="1"/>
    <x v="47"/>
    <s v="Rural"/>
    <s v="Femenino"/>
    <x v="0"/>
    <x v="0"/>
  </r>
  <r>
    <n v="282"/>
    <x v="3"/>
    <x v="0"/>
    <x v="1"/>
    <x v="47"/>
    <s v="Rural"/>
    <s v="Masculino"/>
    <x v="0"/>
    <x v="0"/>
  </r>
  <r>
    <n v="283"/>
    <x v="3"/>
    <x v="0"/>
    <x v="1"/>
    <x v="47"/>
    <s v="Rural"/>
    <s v="Femenino"/>
    <x v="0"/>
    <x v="0"/>
  </r>
  <r>
    <n v="284"/>
    <x v="3"/>
    <x v="1"/>
    <x v="2"/>
    <x v="47"/>
    <s v="Rural"/>
    <s v="Femenino"/>
    <x v="0"/>
    <x v="0"/>
  </r>
  <r>
    <n v="285"/>
    <x v="3"/>
    <x v="1"/>
    <x v="2"/>
    <x v="47"/>
    <s v="Rural"/>
    <s v="Femenino"/>
    <x v="0"/>
    <x v="0"/>
  </r>
  <r>
    <n v="286"/>
    <x v="3"/>
    <x v="1"/>
    <x v="2"/>
    <x v="47"/>
    <s v="Rural"/>
    <s v="Masculino"/>
    <x v="0"/>
    <x v="0"/>
  </r>
  <r>
    <n v="287"/>
    <x v="3"/>
    <x v="1"/>
    <x v="2"/>
    <x v="47"/>
    <s v="Rural"/>
    <s v="Masculino"/>
    <x v="0"/>
    <x v="0"/>
  </r>
  <r>
    <n v="288"/>
    <x v="3"/>
    <x v="1"/>
    <x v="2"/>
    <x v="47"/>
    <s v="Rural"/>
    <s v="Masculino"/>
    <x v="0"/>
    <x v="0"/>
  </r>
  <r>
    <n v="290"/>
    <x v="3"/>
    <x v="1"/>
    <x v="2"/>
    <x v="47"/>
    <s v="Rural"/>
    <s v="Masculino"/>
    <x v="0"/>
    <x v="0"/>
  </r>
  <r>
    <n v="291"/>
    <x v="3"/>
    <x v="1"/>
    <x v="2"/>
    <x v="47"/>
    <s v="Rural"/>
    <s v="Masculino"/>
    <x v="0"/>
    <x v="0"/>
  </r>
  <r>
    <n v="292"/>
    <x v="3"/>
    <x v="1"/>
    <x v="2"/>
    <x v="47"/>
    <s v="Rural"/>
    <s v="Femenino"/>
    <x v="0"/>
    <x v="0"/>
  </r>
  <r>
    <n v="293"/>
    <x v="3"/>
    <x v="1"/>
    <x v="2"/>
    <x v="47"/>
    <s v="Rural"/>
    <s v="Femenino"/>
    <x v="0"/>
    <x v="0"/>
  </r>
  <r>
    <n v="294"/>
    <x v="3"/>
    <x v="1"/>
    <x v="2"/>
    <x v="47"/>
    <s v="Rural"/>
    <s v="Femenino"/>
    <x v="0"/>
    <x v="0"/>
  </r>
  <r>
    <n v="295"/>
    <x v="3"/>
    <x v="1"/>
    <x v="2"/>
    <x v="47"/>
    <s v="Rural"/>
    <s v="Masculino"/>
    <x v="0"/>
    <x v="0"/>
  </r>
  <r>
    <n v="297"/>
    <x v="3"/>
    <x v="1"/>
    <x v="2"/>
    <x v="47"/>
    <s v="Rural"/>
    <s v="Femenino"/>
    <x v="0"/>
    <x v="0"/>
  </r>
  <r>
    <n v="298"/>
    <x v="3"/>
    <x v="1"/>
    <x v="2"/>
    <x v="47"/>
    <s v="Rural"/>
    <s v="Femenino"/>
    <x v="0"/>
    <x v="0"/>
  </r>
  <r>
    <n v="299"/>
    <x v="3"/>
    <x v="1"/>
    <x v="2"/>
    <x v="47"/>
    <s v="Rural"/>
    <s v="Masculino"/>
    <x v="0"/>
    <x v="0"/>
  </r>
  <r>
    <n v="300"/>
    <x v="3"/>
    <x v="1"/>
    <x v="2"/>
    <x v="47"/>
    <s v="Rural"/>
    <s v="Masculino"/>
    <x v="0"/>
    <x v="0"/>
  </r>
  <r>
    <n v="302"/>
    <x v="3"/>
    <x v="1"/>
    <x v="2"/>
    <x v="47"/>
    <s v="Rural"/>
    <s v="Masculino"/>
    <x v="0"/>
    <x v="0"/>
  </r>
  <r>
    <n v="303"/>
    <x v="3"/>
    <x v="1"/>
    <x v="2"/>
    <x v="47"/>
    <s v="Rural"/>
    <s v="Masculino"/>
    <x v="0"/>
    <x v="0"/>
  </r>
  <r>
    <n v="304"/>
    <x v="3"/>
    <x v="1"/>
    <x v="2"/>
    <x v="47"/>
    <s v="Rural"/>
    <s v="Femenino"/>
    <x v="0"/>
    <x v="0"/>
  </r>
  <r>
    <n v="305"/>
    <x v="3"/>
    <x v="1"/>
    <x v="2"/>
    <x v="47"/>
    <s v="Rural"/>
    <s v="Femenino"/>
    <x v="0"/>
    <x v="0"/>
  </r>
  <r>
    <n v="306"/>
    <x v="3"/>
    <x v="1"/>
    <x v="2"/>
    <x v="47"/>
    <s v="Rural"/>
    <s v="Femenino"/>
    <x v="0"/>
    <x v="0"/>
  </r>
  <r>
    <n v="307"/>
    <x v="3"/>
    <x v="1"/>
    <x v="2"/>
    <x v="47"/>
    <s v="Rural"/>
    <s v="Masculino"/>
    <x v="0"/>
    <x v="0"/>
  </r>
  <r>
    <n v="308"/>
    <x v="3"/>
    <x v="1"/>
    <x v="2"/>
    <x v="47"/>
    <s v="Rural"/>
    <s v="Masculino"/>
    <x v="0"/>
    <x v="0"/>
  </r>
  <r>
    <n v="310"/>
    <x v="3"/>
    <x v="1"/>
    <x v="2"/>
    <x v="47"/>
    <s v="Rural"/>
    <s v="Masculino"/>
    <x v="0"/>
    <x v="0"/>
  </r>
  <r>
    <n v="311"/>
    <x v="3"/>
    <x v="1"/>
    <x v="2"/>
    <x v="47"/>
    <s v="Rural"/>
    <s v="Femenino"/>
    <x v="0"/>
    <x v="0"/>
  </r>
  <r>
    <n v="312"/>
    <x v="3"/>
    <x v="1"/>
    <x v="2"/>
    <x v="47"/>
    <s v="Rural"/>
    <s v="Femenino"/>
    <x v="0"/>
    <x v="0"/>
  </r>
  <r>
    <n v="313"/>
    <x v="3"/>
    <x v="1"/>
    <x v="3"/>
    <x v="47"/>
    <s v="Rural"/>
    <s v="Femenino"/>
    <x v="0"/>
    <x v="0"/>
  </r>
  <r>
    <n v="314"/>
    <x v="3"/>
    <x v="1"/>
    <x v="3"/>
    <x v="47"/>
    <s v="Rural"/>
    <s v="Femenino"/>
    <x v="0"/>
    <x v="0"/>
  </r>
  <r>
    <n v="315"/>
    <x v="3"/>
    <x v="1"/>
    <x v="3"/>
    <x v="47"/>
    <s v="Rural"/>
    <s v="Femenino"/>
    <x v="0"/>
    <x v="0"/>
  </r>
  <r>
    <n v="316"/>
    <x v="3"/>
    <x v="1"/>
    <x v="3"/>
    <x v="47"/>
    <s v="Rural"/>
    <s v="Masculino"/>
    <x v="1"/>
    <x v="0"/>
  </r>
  <r>
    <n v="317"/>
    <x v="3"/>
    <x v="1"/>
    <x v="3"/>
    <x v="47"/>
    <s v="Rural"/>
    <s v="Masculino"/>
    <x v="0"/>
    <x v="0"/>
  </r>
  <r>
    <n v="318"/>
    <x v="3"/>
    <x v="1"/>
    <x v="3"/>
    <x v="47"/>
    <s v="Rural"/>
    <s v="Femenino"/>
    <x v="0"/>
    <x v="0"/>
  </r>
  <r>
    <n v="319"/>
    <x v="3"/>
    <x v="1"/>
    <x v="3"/>
    <x v="47"/>
    <s v="Rural"/>
    <s v="Femenino"/>
    <x v="0"/>
    <x v="0"/>
  </r>
  <r>
    <n v="320"/>
    <x v="3"/>
    <x v="1"/>
    <x v="3"/>
    <x v="47"/>
    <s v="Rural"/>
    <s v="Femenino"/>
    <x v="0"/>
    <x v="0"/>
  </r>
  <r>
    <n v="321"/>
    <x v="3"/>
    <x v="1"/>
    <x v="3"/>
    <x v="47"/>
    <s v="Rural"/>
    <s v="Masculino"/>
    <x v="0"/>
    <x v="0"/>
  </r>
  <r>
    <n v="322"/>
    <x v="3"/>
    <x v="1"/>
    <x v="3"/>
    <x v="47"/>
    <s v="Rural"/>
    <s v="Masculino"/>
    <x v="0"/>
    <x v="0"/>
  </r>
  <r>
    <n v="323"/>
    <x v="3"/>
    <x v="1"/>
    <x v="3"/>
    <x v="47"/>
    <s v="Rural"/>
    <s v="Femenino"/>
    <x v="0"/>
    <x v="0"/>
  </r>
  <r>
    <n v="324"/>
    <x v="3"/>
    <x v="1"/>
    <x v="3"/>
    <x v="47"/>
    <s v="Rural"/>
    <s v="Masculino"/>
    <x v="0"/>
    <x v="0"/>
  </r>
  <r>
    <n v="326"/>
    <x v="3"/>
    <x v="1"/>
    <x v="3"/>
    <x v="47"/>
    <s v="Rural"/>
    <s v="Masculino"/>
    <x v="0"/>
    <x v="0"/>
  </r>
  <r>
    <n v="327"/>
    <x v="3"/>
    <x v="1"/>
    <x v="3"/>
    <x v="47"/>
    <s v="Rural"/>
    <s v="Masculino"/>
    <x v="0"/>
    <x v="0"/>
  </r>
  <r>
    <n v="328"/>
    <x v="3"/>
    <x v="1"/>
    <x v="3"/>
    <x v="47"/>
    <s v="Rural"/>
    <s v="Masculino"/>
    <x v="0"/>
    <x v="0"/>
  </r>
  <r>
    <n v="329"/>
    <x v="3"/>
    <x v="1"/>
    <x v="3"/>
    <x v="47"/>
    <s v="Rural"/>
    <s v="Femenino"/>
    <x v="0"/>
    <x v="0"/>
  </r>
  <r>
    <n v="330"/>
    <x v="3"/>
    <x v="1"/>
    <x v="3"/>
    <x v="47"/>
    <s v="Rural"/>
    <s v="Masculino"/>
    <x v="0"/>
    <x v="0"/>
  </r>
  <r>
    <n v="331"/>
    <x v="3"/>
    <x v="1"/>
    <x v="3"/>
    <x v="47"/>
    <s v="Rural"/>
    <s v="Femenino"/>
    <x v="0"/>
    <x v="0"/>
  </r>
  <r>
    <n v="332"/>
    <x v="3"/>
    <x v="1"/>
    <x v="3"/>
    <x v="47"/>
    <s v="Rural"/>
    <s v="Masculino"/>
    <x v="0"/>
    <x v="0"/>
  </r>
  <r>
    <n v="333"/>
    <x v="3"/>
    <x v="1"/>
    <x v="3"/>
    <x v="47"/>
    <s v="Rural"/>
    <s v="Masculino"/>
    <x v="0"/>
    <x v="0"/>
  </r>
  <r>
    <n v="334"/>
    <x v="3"/>
    <x v="1"/>
    <x v="3"/>
    <x v="47"/>
    <s v="Rural"/>
    <s v="Masculino"/>
    <x v="1"/>
    <x v="0"/>
  </r>
  <r>
    <n v="335"/>
    <x v="3"/>
    <x v="1"/>
    <x v="3"/>
    <x v="47"/>
    <s v="Rural"/>
    <s v="Femenino"/>
    <x v="0"/>
    <x v="0"/>
  </r>
  <r>
    <n v="1"/>
    <x v="4"/>
    <x v="0"/>
    <x v="4"/>
    <x v="48"/>
    <s v="Rural"/>
    <s v="Masculino"/>
    <x v="0"/>
    <x v="0"/>
  </r>
  <r>
    <n v="2"/>
    <x v="4"/>
    <x v="0"/>
    <x v="0"/>
    <x v="48"/>
    <s v="Rural"/>
    <s v="Masculino"/>
    <x v="0"/>
    <x v="0"/>
  </r>
  <r>
    <n v="3"/>
    <x v="4"/>
    <x v="0"/>
    <x v="0"/>
    <x v="48"/>
    <s v="Rural"/>
    <s v="Masculino"/>
    <x v="0"/>
    <x v="0"/>
  </r>
  <r>
    <n v="4"/>
    <x v="4"/>
    <x v="0"/>
    <x v="0"/>
    <x v="48"/>
    <s v="Rural"/>
    <s v="Femenino"/>
    <x v="0"/>
    <x v="0"/>
  </r>
  <r>
    <n v="5"/>
    <x v="4"/>
    <x v="0"/>
    <x v="0"/>
    <x v="48"/>
    <s v="Rural"/>
    <s v="Femenino"/>
    <x v="0"/>
    <x v="0"/>
  </r>
  <r>
    <n v="6"/>
    <x v="4"/>
    <x v="0"/>
    <x v="1"/>
    <x v="48"/>
    <s v="Rural"/>
    <s v="Femenino"/>
    <x v="0"/>
    <x v="0"/>
  </r>
  <r>
    <n v="7"/>
    <x v="4"/>
    <x v="0"/>
    <x v="1"/>
    <x v="48"/>
    <s v="Rural"/>
    <s v="Femenino"/>
    <x v="0"/>
    <x v="0"/>
  </r>
  <r>
    <n v="8"/>
    <x v="4"/>
    <x v="0"/>
    <x v="4"/>
    <x v="49"/>
    <s v="Rural"/>
    <s v="Masculino"/>
    <x v="0"/>
    <x v="0"/>
  </r>
  <r>
    <n v="9"/>
    <x v="4"/>
    <x v="0"/>
    <x v="4"/>
    <x v="49"/>
    <s v="Rural"/>
    <s v="Femenino"/>
    <x v="0"/>
    <x v="0"/>
  </r>
  <r>
    <n v="10"/>
    <x v="4"/>
    <x v="0"/>
    <x v="4"/>
    <x v="49"/>
    <s v="Rural"/>
    <s v="Femenino"/>
    <x v="0"/>
    <x v="0"/>
  </r>
  <r>
    <n v="12"/>
    <x v="4"/>
    <x v="0"/>
    <x v="4"/>
    <x v="49"/>
    <s v="Rural"/>
    <s v="Masculino"/>
    <x v="0"/>
    <x v="0"/>
  </r>
  <r>
    <n v="13"/>
    <x v="4"/>
    <x v="0"/>
    <x v="4"/>
    <x v="49"/>
    <s v="Rural"/>
    <s v="Masculino"/>
    <x v="0"/>
    <x v="0"/>
  </r>
  <r>
    <n v="14"/>
    <x v="4"/>
    <x v="0"/>
    <x v="4"/>
    <x v="49"/>
    <s v="Rural"/>
    <s v="Masculino"/>
    <x v="0"/>
    <x v="0"/>
  </r>
  <r>
    <n v="15"/>
    <x v="4"/>
    <x v="0"/>
    <x v="4"/>
    <x v="49"/>
    <s v="Rural"/>
    <s v="Femenino"/>
    <x v="0"/>
    <x v="0"/>
  </r>
  <r>
    <n v="16"/>
    <x v="4"/>
    <x v="0"/>
    <x v="4"/>
    <x v="49"/>
    <s v="Rural"/>
    <s v="Femenino"/>
    <x v="0"/>
    <x v="0"/>
  </r>
  <r>
    <n v="17"/>
    <x v="4"/>
    <x v="0"/>
    <x v="4"/>
    <x v="49"/>
    <s v="Rural"/>
    <s v="Femenino"/>
    <x v="0"/>
    <x v="0"/>
  </r>
  <r>
    <n v="18"/>
    <x v="4"/>
    <x v="0"/>
    <x v="4"/>
    <x v="49"/>
    <s v="Rural"/>
    <s v="Masculino"/>
    <x v="0"/>
    <x v="0"/>
  </r>
  <r>
    <n v="19"/>
    <x v="4"/>
    <x v="0"/>
    <x v="4"/>
    <x v="49"/>
    <s v="Rural"/>
    <s v="Masculino"/>
    <x v="0"/>
    <x v="0"/>
  </r>
  <r>
    <n v="20"/>
    <x v="4"/>
    <x v="0"/>
    <x v="4"/>
    <x v="49"/>
    <s v="Rural"/>
    <s v="Masculino"/>
    <x v="0"/>
    <x v="0"/>
  </r>
  <r>
    <n v="21"/>
    <x v="4"/>
    <x v="0"/>
    <x v="4"/>
    <x v="49"/>
    <s v="Rural"/>
    <s v="Masculino"/>
    <x v="0"/>
    <x v="0"/>
  </r>
  <r>
    <n v="22"/>
    <x v="4"/>
    <x v="0"/>
    <x v="4"/>
    <x v="49"/>
    <s v="Rural"/>
    <s v="Femenino"/>
    <x v="0"/>
    <x v="0"/>
  </r>
  <r>
    <n v="23"/>
    <x v="4"/>
    <x v="0"/>
    <x v="4"/>
    <x v="49"/>
    <s v="Rural"/>
    <s v="Masculino"/>
    <x v="0"/>
    <x v="0"/>
  </r>
  <r>
    <n v="24"/>
    <x v="4"/>
    <x v="0"/>
    <x v="0"/>
    <x v="49"/>
    <s v="Rural"/>
    <s v="Masculino"/>
    <x v="0"/>
    <x v="0"/>
  </r>
  <r>
    <n v="25"/>
    <x v="4"/>
    <x v="0"/>
    <x v="0"/>
    <x v="49"/>
    <s v="Rural"/>
    <s v="Femenino"/>
    <x v="0"/>
    <x v="0"/>
  </r>
  <r>
    <n v="26"/>
    <x v="4"/>
    <x v="0"/>
    <x v="0"/>
    <x v="49"/>
    <s v="Rural"/>
    <s v="Femenino"/>
    <x v="0"/>
    <x v="0"/>
  </r>
  <r>
    <n v="27"/>
    <x v="4"/>
    <x v="0"/>
    <x v="0"/>
    <x v="49"/>
    <s v="Rural"/>
    <s v="Masculino"/>
    <x v="0"/>
    <x v="0"/>
  </r>
  <r>
    <n v="28"/>
    <x v="4"/>
    <x v="0"/>
    <x v="0"/>
    <x v="49"/>
    <s v="Rural"/>
    <s v="Masculino"/>
    <x v="0"/>
    <x v="0"/>
  </r>
  <r>
    <n v="29"/>
    <x v="4"/>
    <x v="0"/>
    <x v="0"/>
    <x v="49"/>
    <s v="Rural"/>
    <s v="Masculino"/>
    <x v="0"/>
    <x v="0"/>
  </r>
  <r>
    <n v="30"/>
    <x v="4"/>
    <x v="0"/>
    <x v="1"/>
    <x v="49"/>
    <s v="Rural"/>
    <s v="Femenino"/>
    <x v="0"/>
    <x v="0"/>
  </r>
  <r>
    <n v="31"/>
    <x v="4"/>
    <x v="0"/>
    <x v="1"/>
    <x v="49"/>
    <s v="Rural"/>
    <s v="Femenino"/>
    <x v="0"/>
    <x v="0"/>
  </r>
  <r>
    <n v="32"/>
    <x v="4"/>
    <x v="0"/>
    <x v="1"/>
    <x v="49"/>
    <s v="Rural"/>
    <s v="Femenino"/>
    <x v="0"/>
    <x v="0"/>
  </r>
  <r>
    <n v="33"/>
    <x v="4"/>
    <x v="0"/>
    <x v="1"/>
    <x v="49"/>
    <s v="Rural"/>
    <s v="Masculino"/>
    <x v="0"/>
    <x v="0"/>
  </r>
  <r>
    <n v="34"/>
    <x v="4"/>
    <x v="0"/>
    <x v="1"/>
    <x v="49"/>
    <s v="Rural"/>
    <s v="Masculino"/>
    <x v="0"/>
    <x v="0"/>
  </r>
  <r>
    <n v="35"/>
    <x v="4"/>
    <x v="0"/>
    <x v="1"/>
    <x v="49"/>
    <s v="Rural"/>
    <s v="Masculino"/>
    <x v="0"/>
    <x v="0"/>
  </r>
  <r>
    <n v="36"/>
    <x v="4"/>
    <x v="0"/>
    <x v="1"/>
    <x v="49"/>
    <s v="Rural"/>
    <s v="Femenino"/>
    <x v="0"/>
    <x v="0"/>
  </r>
  <r>
    <n v="37"/>
    <x v="4"/>
    <x v="0"/>
    <x v="1"/>
    <x v="49"/>
    <s v="Rural"/>
    <s v="Masculino"/>
    <x v="0"/>
    <x v="0"/>
  </r>
  <r>
    <n v="38"/>
    <x v="4"/>
    <x v="0"/>
    <x v="1"/>
    <x v="49"/>
    <s v="Rural"/>
    <s v="Femenino"/>
    <x v="0"/>
    <x v="0"/>
  </r>
  <r>
    <n v="39"/>
    <x v="4"/>
    <x v="0"/>
    <x v="1"/>
    <x v="49"/>
    <s v="Rural"/>
    <s v="Femenino"/>
    <x v="0"/>
    <x v="0"/>
  </r>
  <r>
    <n v="40"/>
    <x v="4"/>
    <x v="0"/>
    <x v="1"/>
    <x v="49"/>
    <s v="Rural"/>
    <s v="Femenino"/>
    <x v="0"/>
    <x v="0"/>
  </r>
  <r>
    <n v="41"/>
    <x v="4"/>
    <x v="0"/>
    <x v="1"/>
    <x v="49"/>
    <s v="Rural"/>
    <s v="Masculino"/>
    <x v="0"/>
    <x v="0"/>
  </r>
  <r>
    <n v="42"/>
    <x v="4"/>
    <x v="1"/>
    <x v="2"/>
    <x v="49"/>
    <s v="Rural"/>
    <s v="Masculino"/>
    <x v="0"/>
    <x v="0"/>
  </r>
  <r>
    <n v="43"/>
    <x v="4"/>
    <x v="1"/>
    <x v="2"/>
    <x v="49"/>
    <s v="Rural"/>
    <s v="Masculino"/>
    <x v="0"/>
    <x v="0"/>
  </r>
  <r>
    <n v="44"/>
    <x v="4"/>
    <x v="1"/>
    <x v="2"/>
    <x v="49"/>
    <s v="Rural"/>
    <s v="Femenino"/>
    <x v="0"/>
    <x v="0"/>
  </r>
  <r>
    <n v="45"/>
    <x v="4"/>
    <x v="1"/>
    <x v="2"/>
    <x v="49"/>
    <s v="Rural"/>
    <s v="Masculino"/>
    <x v="0"/>
    <x v="0"/>
  </r>
  <r>
    <n v="46"/>
    <x v="4"/>
    <x v="1"/>
    <x v="2"/>
    <x v="49"/>
    <s v="Rural"/>
    <s v="Femenino"/>
    <x v="0"/>
    <x v="0"/>
  </r>
  <r>
    <n v="47"/>
    <x v="4"/>
    <x v="1"/>
    <x v="2"/>
    <x v="49"/>
    <s v="Rural"/>
    <s v="Femenino"/>
    <x v="0"/>
    <x v="0"/>
  </r>
  <r>
    <n v="50"/>
    <x v="4"/>
    <x v="1"/>
    <x v="2"/>
    <x v="49"/>
    <s v="Rural"/>
    <s v="Masculino"/>
    <x v="0"/>
    <x v="0"/>
  </r>
  <r>
    <n v="51"/>
    <x v="4"/>
    <x v="1"/>
    <x v="2"/>
    <x v="49"/>
    <s v="Rural"/>
    <s v="Masculino"/>
    <x v="0"/>
    <x v="0"/>
  </r>
  <r>
    <n v="52"/>
    <x v="4"/>
    <x v="1"/>
    <x v="2"/>
    <x v="49"/>
    <s v="Rural"/>
    <s v="Masculino"/>
    <x v="0"/>
    <x v="0"/>
  </r>
  <r>
    <n v="53"/>
    <x v="4"/>
    <x v="1"/>
    <x v="2"/>
    <x v="49"/>
    <s v="Rural"/>
    <s v="Femenino"/>
    <x v="0"/>
    <x v="0"/>
  </r>
  <r>
    <n v="55"/>
    <x v="4"/>
    <x v="1"/>
    <x v="2"/>
    <x v="49"/>
    <s v="Rural"/>
    <s v="Masculino"/>
    <x v="0"/>
    <x v="0"/>
  </r>
  <r>
    <n v="57"/>
    <x v="4"/>
    <x v="1"/>
    <x v="2"/>
    <x v="49"/>
    <s v="Rural"/>
    <s v="Masculino"/>
    <x v="0"/>
    <x v="0"/>
  </r>
  <r>
    <n v="59"/>
    <x v="4"/>
    <x v="1"/>
    <x v="2"/>
    <x v="49"/>
    <s v="Rural"/>
    <s v="Masculino"/>
    <x v="0"/>
    <x v="0"/>
  </r>
  <r>
    <n v="60"/>
    <x v="4"/>
    <x v="1"/>
    <x v="2"/>
    <x v="49"/>
    <s v="Rural"/>
    <s v="Femenino"/>
    <x v="0"/>
    <x v="0"/>
  </r>
  <r>
    <n v="61"/>
    <x v="4"/>
    <x v="1"/>
    <x v="2"/>
    <x v="49"/>
    <s v="Rural"/>
    <s v="Femenino"/>
    <x v="0"/>
    <x v="0"/>
  </r>
  <r>
    <n v="62"/>
    <x v="4"/>
    <x v="1"/>
    <x v="2"/>
    <x v="49"/>
    <s v="Rural"/>
    <s v="Femenino"/>
    <x v="0"/>
    <x v="0"/>
  </r>
  <r>
    <n v="63"/>
    <x v="4"/>
    <x v="1"/>
    <x v="2"/>
    <x v="49"/>
    <s v="Rural"/>
    <s v="Masculino"/>
    <x v="0"/>
    <x v="0"/>
  </r>
  <r>
    <n v="64"/>
    <x v="4"/>
    <x v="1"/>
    <x v="2"/>
    <x v="49"/>
    <s v="Rural"/>
    <s v="Masculino"/>
    <x v="0"/>
    <x v="0"/>
  </r>
  <r>
    <n v="65"/>
    <x v="4"/>
    <x v="1"/>
    <x v="2"/>
    <x v="49"/>
    <s v="Rural"/>
    <s v="Femenino"/>
    <x v="0"/>
    <x v="0"/>
  </r>
  <r>
    <n v="66"/>
    <x v="4"/>
    <x v="1"/>
    <x v="2"/>
    <x v="49"/>
    <s v="Rural"/>
    <s v="Masculino"/>
    <x v="0"/>
    <x v="0"/>
  </r>
  <r>
    <n v="67"/>
    <x v="4"/>
    <x v="1"/>
    <x v="3"/>
    <x v="49"/>
    <s v="Rural"/>
    <s v="Femenino"/>
    <x v="0"/>
    <x v="0"/>
  </r>
  <r>
    <n v="68"/>
    <x v="4"/>
    <x v="1"/>
    <x v="3"/>
    <x v="49"/>
    <s v="Rural"/>
    <s v="Femenino"/>
    <x v="0"/>
    <x v="0"/>
  </r>
  <r>
    <n v="69"/>
    <x v="4"/>
    <x v="1"/>
    <x v="3"/>
    <x v="49"/>
    <s v="Rural"/>
    <s v="Masculino"/>
    <x v="0"/>
    <x v="0"/>
  </r>
  <r>
    <n v="70"/>
    <x v="4"/>
    <x v="1"/>
    <x v="3"/>
    <x v="49"/>
    <s v="Rural"/>
    <s v="Femenino"/>
    <x v="0"/>
    <x v="0"/>
  </r>
  <r>
    <n v="72"/>
    <x v="4"/>
    <x v="1"/>
    <x v="3"/>
    <x v="49"/>
    <s v="Rural"/>
    <s v="Femenino"/>
    <x v="0"/>
    <x v="0"/>
  </r>
  <r>
    <n v="73"/>
    <x v="4"/>
    <x v="1"/>
    <x v="3"/>
    <x v="49"/>
    <s v="Rural"/>
    <s v="Masculino"/>
    <x v="0"/>
    <x v="0"/>
  </r>
  <r>
    <n v="74"/>
    <x v="4"/>
    <x v="1"/>
    <x v="3"/>
    <x v="49"/>
    <s v="Rural"/>
    <s v="Masculino"/>
    <x v="0"/>
    <x v="0"/>
  </r>
  <r>
    <n v="75"/>
    <x v="4"/>
    <x v="1"/>
    <x v="3"/>
    <x v="49"/>
    <s v="Rural"/>
    <s v="Femenino"/>
    <x v="0"/>
    <x v="0"/>
  </r>
  <r>
    <n v="77"/>
    <x v="4"/>
    <x v="1"/>
    <x v="3"/>
    <x v="49"/>
    <s v="Rural"/>
    <s v="Femenino"/>
    <x v="0"/>
    <x v="0"/>
  </r>
  <r>
    <n v="78"/>
    <x v="4"/>
    <x v="1"/>
    <x v="3"/>
    <x v="49"/>
    <s v="Rural"/>
    <s v="Masculino"/>
    <x v="0"/>
    <x v="0"/>
  </r>
  <r>
    <n v="80"/>
    <x v="4"/>
    <x v="1"/>
    <x v="3"/>
    <x v="49"/>
    <s v="Rural"/>
    <s v="Masculino"/>
    <x v="0"/>
    <x v="0"/>
  </r>
  <r>
    <n v="81"/>
    <x v="4"/>
    <x v="1"/>
    <x v="3"/>
    <x v="49"/>
    <s v="Rural"/>
    <s v="Masculino"/>
    <x v="0"/>
    <x v="0"/>
  </r>
  <r>
    <n v="82"/>
    <x v="4"/>
    <x v="1"/>
    <x v="3"/>
    <x v="49"/>
    <s v="Rural"/>
    <s v="Femenino"/>
    <x v="0"/>
    <x v="0"/>
  </r>
  <r>
    <n v="84"/>
    <x v="4"/>
    <x v="1"/>
    <x v="3"/>
    <x v="49"/>
    <s v="Rural"/>
    <s v="Femenino"/>
    <x v="0"/>
    <x v="0"/>
  </r>
  <r>
    <n v="85"/>
    <x v="4"/>
    <x v="1"/>
    <x v="3"/>
    <x v="49"/>
    <s v="Rural"/>
    <s v="Masculino"/>
    <x v="0"/>
    <x v="0"/>
  </r>
  <r>
    <n v="87"/>
    <x v="4"/>
    <x v="1"/>
    <x v="3"/>
    <x v="49"/>
    <s v="Rural"/>
    <s v="Femenino"/>
    <x v="0"/>
    <x v="0"/>
  </r>
  <r>
    <n v="88"/>
    <x v="4"/>
    <x v="1"/>
    <x v="3"/>
    <x v="49"/>
    <s v="Rural"/>
    <s v="Masculino"/>
    <x v="0"/>
    <x v="0"/>
  </r>
  <r>
    <n v="89"/>
    <x v="4"/>
    <x v="1"/>
    <x v="3"/>
    <x v="49"/>
    <s v="Rural"/>
    <s v="Masculino"/>
    <x v="0"/>
    <x v="0"/>
  </r>
  <r>
    <n v="90"/>
    <x v="4"/>
    <x v="1"/>
    <x v="3"/>
    <x v="49"/>
    <s v="Rural"/>
    <s v="Femenino"/>
    <x v="0"/>
    <x v="0"/>
  </r>
  <r>
    <n v="91"/>
    <x v="4"/>
    <x v="1"/>
    <x v="3"/>
    <x v="49"/>
    <s v="Rural"/>
    <s v="Masculino"/>
    <x v="0"/>
    <x v="0"/>
  </r>
  <r>
    <n v="92"/>
    <x v="4"/>
    <x v="1"/>
    <x v="3"/>
    <x v="49"/>
    <s v="Rural"/>
    <s v="Femenino"/>
    <x v="0"/>
    <x v="0"/>
  </r>
  <r>
    <n v="94"/>
    <x v="4"/>
    <x v="0"/>
    <x v="4"/>
    <x v="50"/>
    <s v="Rural"/>
    <s v="Masculino"/>
    <x v="0"/>
    <x v="0"/>
  </r>
  <r>
    <n v="95"/>
    <x v="4"/>
    <x v="0"/>
    <x v="4"/>
    <x v="50"/>
    <s v="Rural"/>
    <s v="Femenino"/>
    <x v="0"/>
    <x v="0"/>
  </r>
  <r>
    <n v="96"/>
    <x v="4"/>
    <x v="0"/>
    <x v="4"/>
    <x v="50"/>
    <s v="Rural"/>
    <s v="Masculino"/>
    <x v="0"/>
    <x v="0"/>
  </r>
  <r>
    <n v="97"/>
    <x v="4"/>
    <x v="0"/>
    <x v="4"/>
    <x v="50"/>
    <s v="Rural"/>
    <s v="Femenino"/>
    <x v="0"/>
    <x v="0"/>
  </r>
  <r>
    <n v="98"/>
    <x v="4"/>
    <x v="0"/>
    <x v="0"/>
    <x v="50"/>
    <s v="Rural"/>
    <s v="Masculino"/>
    <x v="0"/>
    <x v="0"/>
  </r>
  <r>
    <n v="99"/>
    <x v="4"/>
    <x v="0"/>
    <x v="0"/>
    <x v="50"/>
    <s v="Rural"/>
    <s v="Masculino"/>
    <x v="0"/>
    <x v="0"/>
  </r>
  <r>
    <n v="100"/>
    <x v="4"/>
    <x v="0"/>
    <x v="0"/>
    <x v="50"/>
    <s v="Rural"/>
    <s v="Femenino"/>
    <x v="0"/>
    <x v="0"/>
  </r>
  <r>
    <n v="101"/>
    <x v="4"/>
    <x v="0"/>
    <x v="0"/>
    <x v="50"/>
    <s v="Rural"/>
    <s v="Masculino"/>
    <x v="0"/>
    <x v="0"/>
  </r>
  <r>
    <n v="102"/>
    <x v="4"/>
    <x v="0"/>
    <x v="0"/>
    <x v="50"/>
    <s v="Rural"/>
    <s v="Masculino"/>
    <x v="0"/>
    <x v="0"/>
  </r>
  <r>
    <n v="103"/>
    <x v="4"/>
    <x v="0"/>
    <x v="0"/>
    <x v="50"/>
    <s v="Rural"/>
    <s v="Masculino"/>
    <x v="0"/>
    <x v="0"/>
  </r>
  <r>
    <n v="104"/>
    <x v="4"/>
    <x v="0"/>
    <x v="0"/>
    <x v="50"/>
    <s v="Rural"/>
    <s v="Femenino"/>
    <x v="0"/>
    <x v="0"/>
  </r>
  <r>
    <n v="105"/>
    <x v="4"/>
    <x v="0"/>
    <x v="1"/>
    <x v="50"/>
    <s v="Rural"/>
    <s v="Femenino"/>
    <x v="0"/>
    <x v="0"/>
  </r>
  <r>
    <n v="106"/>
    <x v="4"/>
    <x v="0"/>
    <x v="1"/>
    <x v="50"/>
    <s v="Rural"/>
    <s v="Masculino"/>
    <x v="0"/>
    <x v="0"/>
  </r>
  <r>
    <n v="107"/>
    <x v="4"/>
    <x v="0"/>
    <x v="1"/>
    <x v="50"/>
    <s v="Rural"/>
    <s v="Femenino"/>
    <x v="0"/>
    <x v="0"/>
  </r>
  <r>
    <n v="108"/>
    <x v="4"/>
    <x v="0"/>
    <x v="4"/>
    <x v="51"/>
    <s v="Rural"/>
    <s v="Masculino"/>
    <x v="0"/>
    <x v="0"/>
  </r>
  <r>
    <n v="109"/>
    <x v="4"/>
    <x v="0"/>
    <x v="4"/>
    <x v="51"/>
    <s v="Rural"/>
    <s v="Femenino"/>
    <x v="0"/>
    <x v="0"/>
  </r>
  <r>
    <n v="110"/>
    <x v="4"/>
    <x v="0"/>
    <x v="4"/>
    <x v="51"/>
    <s v="Rural"/>
    <s v="Masculino"/>
    <x v="0"/>
    <x v="0"/>
  </r>
  <r>
    <n v="111"/>
    <x v="4"/>
    <x v="0"/>
    <x v="4"/>
    <x v="51"/>
    <s v="Rural"/>
    <s v="Femenino"/>
    <x v="0"/>
    <x v="0"/>
  </r>
  <r>
    <n v="112"/>
    <x v="4"/>
    <x v="0"/>
    <x v="4"/>
    <x v="51"/>
    <s v="Rural"/>
    <s v="Masculino"/>
    <x v="0"/>
    <x v="0"/>
  </r>
  <r>
    <n v="113"/>
    <x v="4"/>
    <x v="0"/>
    <x v="4"/>
    <x v="51"/>
    <s v="Rural"/>
    <s v="Femenino"/>
    <x v="0"/>
    <x v="0"/>
  </r>
  <r>
    <n v="114"/>
    <x v="4"/>
    <x v="0"/>
    <x v="0"/>
    <x v="51"/>
    <s v="Rural"/>
    <s v="Femenino"/>
    <x v="0"/>
    <x v="0"/>
  </r>
  <r>
    <n v="115"/>
    <x v="4"/>
    <x v="0"/>
    <x v="0"/>
    <x v="51"/>
    <s v="Rural"/>
    <s v="Femenino"/>
    <x v="0"/>
    <x v="0"/>
  </r>
  <r>
    <n v="116"/>
    <x v="4"/>
    <x v="0"/>
    <x v="0"/>
    <x v="51"/>
    <s v="Rural"/>
    <s v="Femenino"/>
    <x v="0"/>
    <x v="0"/>
  </r>
  <r>
    <n v="117"/>
    <x v="4"/>
    <x v="0"/>
    <x v="0"/>
    <x v="51"/>
    <s v="Rural"/>
    <s v="Masculino"/>
    <x v="0"/>
    <x v="0"/>
  </r>
  <r>
    <n v="118"/>
    <x v="4"/>
    <x v="0"/>
    <x v="0"/>
    <x v="51"/>
    <s v="Rural"/>
    <s v="Femenino"/>
    <x v="0"/>
    <x v="0"/>
  </r>
  <r>
    <n v="119"/>
    <x v="4"/>
    <x v="0"/>
    <x v="0"/>
    <x v="51"/>
    <s v="Rural"/>
    <s v="Femenino"/>
    <x v="0"/>
    <x v="0"/>
  </r>
  <r>
    <n v="120"/>
    <x v="4"/>
    <x v="0"/>
    <x v="0"/>
    <x v="51"/>
    <s v="Rural"/>
    <s v="Femenino"/>
    <x v="0"/>
    <x v="0"/>
  </r>
  <r>
    <n v="121"/>
    <x v="4"/>
    <x v="0"/>
    <x v="0"/>
    <x v="51"/>
    <s v="Rural"/>
    <s v="Femenino"/>
    <x v="0"/>
    <x v="0"/>
  </r>
  <r>
    <n v="123"/>
    <x v="4"/>
    <x v="0"/>
    <x v="1"/>
    <x v="51"/>
    <s v="Rural"/>
    <s v="Femenino"/>
    <x v="0"/>
    <x v="0"/>
  </r>
  <r>
    <n v="124"/>
    <x v="4"/>
    <x v="0"/>
    <x v="1"/>
    <x v="51"/>
    <s v="Rural"/>
    <s v="Femenino"/>
    <x v="0"/>
    <x v="0"/>
  </r>
  <r>
    <n v="125"/>
    <x v="4"/>
    <x v="0"/>
    <x v="1"/>
    <x v="51"/>
    <s v="Rural"/>
    <s v="Femenino"/>
    <x v="0"/>
    <x v="0"/>
  </r>
  <r>
    <n v="126"/>
    <x v="4"/>
    <x v="0"/>
    <x v="1"/>
    <x v="51"/>
    <s v="Rural"/>
    <s v="Femenino"/>
    <x v="0"/>
    <x v="0"/>
  </r>
  <r>
    <n v="127"/>
    <x v="4"/>
    <x v="0"/>
    <x v="1"/>
    <x v="51"/>
    <s v="Rural"/>
    <s v="Masculino"/>
    <x v="0"/>
    <x v="0"/>
  </r>
  <r>
    <n v="128"/>
    <x v="4"/>
    <x v="0"/>
    <x v="4"/>
    <x v="52"/>
    <s v="Rural"/>
    <s v="Femenino"/>
    <x v="0"/>
    <x v="0"/>
  </r>
  <r>
    <n v="129"/>
    <x v="4"/>
    <x v="0"/>
    <x v="4"/>
    <x v="52"/>
    <s v="Rural"/>
    <s v="Femenino"/>
    <x v="0"/>
    <x v="0"/>
  </r>
  <r>
    <n v="130"/>
    <x v="4"/>
    <x v="0"/>
    <x v="4"/>
    <x v="52"/>
    <s v="Rural"/>
    <s v="Femenino"/>
    <x v="0"/>
    <x v="0"/>
  </r>
  <r>
    <n v="131"/>
    <x v="4"/>
    <x v="0"/>
    <x v="4"/>
    <x v="52"/>
    <s v="Rural"/>
    <s v="Femenino"/>
    <x v="0"/>
    <x v="0"/>
  </r>
  <r>
    <n v="132"/>
    <x v="4"/>
    <x v="0"/>
    <x v="4"/>
    <x v="52"/>
    <s v="Rural"/>
    <s v="Masculino"/>
    <x v="0"/>
    <x v="0"/>
  </r>
  <r>
    <n v="133"/>
    <x v="4"/>
    <x v="0"/>
    <x v="4"/>
    <x v="52"/>
    <s v="Rural"/>
    <s v="Masculino"/>
    <x v="0"/>
    <x v="0"/>
  </r>
  <r>
    <n v="134"/>
    <x v="4"/>
    <x v="0"/>
    <x v="4"/>
    <x v="52"/>
    <s v="Rural"/>
    <s v="Masculino"/>
    <x v="0"/>
    <x v="0"/>
  </r>
  <r>
    <n v="135"/>
    <x v="4"/>
    <x v="0"/>
    <x v="0"/>
    <x v="52"/>
    <s v="Rural"/>
    <s v="Femenino"/>
    <x v="0"/>
    <x v="0"/>
  </r>
  <r>
    <n v="136"/>
    <x v="4"/>
    <x v="0"/>
    <x v="0"/>
    <x v="52"/>
    <s v="Rural"/>
    <s v="Masculino"/>
    <x v="0"/>
    <x v="0"/>
  </r>
  <r>
    <n v="137"/>
    <x v="4"/>
    <x v="0"/>
    <x v="0"/>
    <x v="52"/>
    <s v="Rural"/>
    <s v="Masculino"/>
    <x v="0"/>
    <x v="0"/>
  </r>
  <r>
    <n v="138"/>
    <x v="4"/>
    <x v="0"/>
    <x v="0"/>
    <x v="52"/>
    <s v="Rural"/>
    <s v="Femenino"/>
    <x v="0"/>
    <x v="0"/>
  </r>
  <r>
    <n v="139"/>
    <x v="4"/>
    <x v="0"/>
    <x v="0"/>
    <x v="52"/>
    <s v="Rural"/>
    <s v="Femenino"/>
    <x v="0"/>
    <x v="0"/>
  </r>
  <r>
    <n v="140"/>
    <x v="4"/>
    <x v="0"/>
    <x v="1"/>
    <x v="52"/>
    <s v="Rural"/>
    <s v="Masculino"/>
    <x v="0"/>
    <x v="0"/>
  </r>
  <r>
    <n v="141"/>
    <x v="4"/>
    <x v="0"/>
    <x v="1"/>
    <x v="52"/>
    <s v="Rural"/>
    <s v="Masculino"/>
    <x v="0"/>
    <x v="0"/>
  </r>
  <r>
    <n v="142"/>
    <x v="4"/>
    <x v="0"/>
    <x v="1"/>
    <x v="52"/>
    <s v="Rural"/>
    <s v="Masculino"/>
    <x v="0"/>
    <x v="0"/>
  </r>
  <r>
    <n v="143"/>
    <x v="4"/>
    <x v="0"/>
    <x v="1"/>
    <x v="52"/>
    <s v="Rural"/>
    <s v="Masculino"/>
    <x v="0"/>
    <x v="0"/>
  </r>
  <r>
    <n v="144"/>
    <x v="4"/>
    <x v="0"/>
    <x v="1"/>
    <x v="52"/>
    <s v="Rural"/>
    <s v="Femenino"/>
    <x v="0"/>
    <x v="0"/>
  </r>
  <r>
    <n v="145"/>
    <x v="4"/>
    <x v="1"/>
    <x v="2"/>
    <x v="52"/>
    <s v="Rural"/>
    <s v="Femenino"/>
    <x v="0"/>
    <x v="0"/>
  </r>
  <r>
    <n v="146"/>
    <x v="4"/>
    <x v="1"/>
    <x v="2"/>
    <x v="52"/>
    <s v="Rural"/>
    <s v="Masculino"/>
    <x v="0"/>
    <x v="0"/>
  </r>
  <r>
    <n v="147"/>
    <x v="4"/>
    <x v="1"/>
    <x v="2"/>
    <x v="52"/>
    <s v="Rural"/>
    <s v="Femenino"/>
    <x v="0"/>
    <x v="0"/>
  </r>
  <r>
    <n v="148"/>
    <x v="4"/>
    <x v="1"/>
    <x v="2"/>
    <x v="52"/>
    <s v="Rural"/>
    <s v="Femenino"/>
    <x v="0"/>
    <x v="0"/>
  </r>
  <r>
    <n v="150"/>
    <x v="4"/>
    <x v="1"/>
    <x v="3"/>
    <x v="52"/>
    <s v="Rural"/>
    <s v="Femenino"/>
    <x v="0"/>
    <x v="0"/>
  </r>
  <r>
    <n v="151"/>
    <x v="4"/>
    <x v="1"/>
    <x v="3"/>
    <x v="52"/>
    <s v="Rural"/>
    <s v="Femenino"/>
    <x v="0"/>
    <x v="0"/>
  </r>
  <r>
    <n v="152"/>
    <x v="4"/>
    <x v="1"/>
    <x v="3"/>
    <x v="52"/>
    <s v="Rural"/>
    <s v="Masculino"/>
    <x v="0"/>
    <x v="0"/>
  </r>
  <r>
    <n v="153"/>
    <x v="4"/>
    <x v="1"/>
    <x v="3"/>
    <x v="52"/>
    <s v="Rural"/>
    <s v="Femenino"/>
    <x v="0"/>
    <x v="0"/>
  </r>
  <r>
    <n v="154"/>
    <x v="4"/>
    <x v="1"/>
    <x v="3"/>
    <x v="52"/>
    <s v="Rural"/>
    <s v="Masculino"/>
    <x v="0"/>
    <x v="0"/>
  </r>
  <r>
    <n v="1"/>
    <x v="5"/>
    <x v="1"/>
    <x v="2"/>
    <x v="53"/>
    <s v="Rural"/>
    <s v="Femenino"/>
    <x v="1"/>
    <x v="0"/>
  </r>
  <r>
    <n v="2"/>
    <x v="5"/>
    <x v="1"/>
    <x v="2"/>
    <x v="53"/>
    <s v="Rural"/>
    <s v="Masculino"/>
    <x v="1"/>
    <x v="0"/>
  </r>
  <r>
    <n v="3"/>
    <x v="5"/>
    <x v="1"/>
    <x v="2"/>
    <x v="53"/>
    <s v="Rural"/>
    <s v="Femenino"/>
    <x v="0"/>
    <x v="0"/>
  </r>
  <r>
    <n v="4"/>
    <x v="5"/>
    <x v="1"/>
    <x v="2"/>
    <x v="53"/>
    <s v="Rural"/>
    <s v="Masculino"/>
    <x v="1"/>
    <x v="0"/>
  </r>
  <r>
    <n v="5"/>
    <x v="5"/>
    <x v="1"/>
    <x v="2"/>
    <x v="53"/>
    <s v="Rural"/>
    <s v="Femenino"/>
    <x v="0"/>
    <x v="0"/>
  </r>
  <r>
    <n v="6"/>
    <x v="5"/>
    <x v="1"/>
    <x v="2"/>
    <x v="53"/>
    <s v="Rural"/>
    <s v="Femenino"/>
    <x v="1"/>
    <x v="0"/>
  </r>
  <r>
    <n v="7"/>
    <x v="5"/>
    <x v="1"/>
    <x v="2"/>
    <x v="53"/>
    <s v="Rural"/>
    <s v="Femenino"/>
    <x v="1"/>
    <x v="0"/>
  </r>
  <r>
    <n v="8"/>
    <x v="5"/>
    <x v="1"/>
    <x v="2"/>
    <x v="53"/>
    <s v="Rural"/>
    <s v="Masculino"/>
    <x v="0"/>
    <x v="0"/>
  </r>
  <r>
    <n v="9"/>
    <x v="5"/>
    <x v="1"/>
    <x v="2"/>
    <x v="53"/>
    <s v="Rural"/>
    <s v="Femenino"/>
    <x v="1"/>
    <x v="0"/>
  </r>
  <r>
    <n v="10"/>
    <x v="5"/>
    <x v="1"/>
    <x v="2"/>
    <x v="53"/>
    <s v="Rural"/>
    <s v="Masculino"/>
    <x v="1"/>
    <x v="0"/>
  </r>
  <r>
    <n v="11"/>
    <x v="5"/>
    <x v="1"/>
    <x v="2"/>
    <x v="53"/>
    <s v="Rural"/>
    <s v="Femenino"/>
    <x v="1"/>
    <x v="0"/>
  </r>
  <r>
    <n v="12"/>
    <x v="5"/>
    <x v="1"/>
    <x v="3"/>
    <x v="53"/>
    <s v="Rural"/>
    <s v="Femenino"/>
    <x v="2"/>
    <x v="0"/>
  </r>
  <r>
    <n v="13"/>
    <x v="5"/>
    <x v="1"/>
    <x v="3"/>
    <x v="53"/>
    <s v="Rural"/>
    <s v="Femenino"/>
    <x v="2"/>
    <x v="0"/>
  </r>
  <r>
    <n v="14"/>
    <x v="5"/>
    <x v="1"/>
    <x v="3"/>
    <x v="53"/>
    <s v="Rural"/>
    <s v="Femenino"/>
    <x v="2"/>
    <x v="0"/>
  </r>
  <r>
    <n v="15"/>
    <x v="5"/>
    <x v="1"/>
    <x v="3"/>
    <x v="53"/>
    <s v="Rural"/>
    <s v="Femenino"/>
    <x v="2"/>
    <x v="0"/>
  </r>
  <r>
    <n v="16"/>
    <x v="5"/>
    <x v="1"/>
    <x v="3"/>
    <x v="53"/>
    <s v="Rural"/>
    <s v="Masculino"/>
    <x v="1"/>
    <x v="0"/>
  </r>
  <r>
    <n v="17"/>
    <x v="5"/>
    <x v="1"/>
    <x v="3"/>
    <x v="53"/>
    <s v="Rural"/>
    <s v="Masculino"/>
    <x v="1"/>
    <x v="0"/>
  </r>
  <r>
    <n v="18"/>
    <x v="5"/>
    <x v="1"/>
    <x v="3"/>
    <x v="53"/>
    <s v="Rural"/>
    <s v="Masculino"/>
    <x v="0"/>
    <x v="0"/>
  </r>
  <r>
    <n v="19"/>
    <x v="5"/>
    <x v="1"/>
    <x v="3"/>
    <x v="53"/>
    <s v="Rural"/>
    <s v="Masculino"/>
    <x v="2"/>
    <x v="0"/>
  </r>
  <r>
    <n v="20"/>
    <x v="5"/>
    <x v="1"/>
    <x v="3"/>
    <x v="53"/>
    <s v="Rural"/>
    <s v="Femenino"/>
    <x v="1"/>
    <x v="0"/>
  </r>
  <r>
    <n v="21"/>
    <x v="5"/>
    <x v="1"/>
    <x v="3"/>
    <x v="53"/>
    <s v="Rural"/>
    <s v="Masculino"/>
    <x v="1"/>
    <x v="0"/>
  </r>
  <r>
    <n v="22"/>
    <x v="5"/>
    <x v="1"/>
    <x v="3"/>
    <x v="53"/>
    <s v="Rural"/>
    <s v="Masculino"/>
    <x v="2"/>
    <x v="0"/>
  </r>
  <r>
    <n v="23"/>
    <x v="5"/>
    <x v="1"/>
    <x v="3"/>
    <x v="53"/>
    <s v="Rural"/>
    <s v="Masculino"/>
    <x v="1"/>
    <x v="0"/>
  </r>
  <r>
    <n v="24"/>
    <x v="5"/>
    <x v="1"/>
    <x v="3"/>
    <x v="53"/>
    <s v="Rural"/>
    <s v="Femenino"/>
    <x v="2"/>
    <x v="0"/>
  </r>
  <r>
    <n v="25"/>
    <x v="5"/>
    <x v="1"/>
    <x v="3"/>
    <x v="53"/>
    <s v="Rural"/>
    <s v="Femenino"/>
    <x v="1"/>
    <x v="0"/>
  </r>
  <r>
    <n v="26"/>
    <x v="5"/>
    <x v="1"/>
    <x v="3"/>
    <x v="53"/>
    <s v="Rural"/>
    <s v="Femenino"/>
    <x v="0"/>
    <x v="0"/>
  </r>
  <r>
    <n v="27"/>
    <x v="5"/>
    <x v="1"/>
    <x v="3"/>
    <x v="53"/>
    <s v="Rural"/>
    <s v="Masculino"/>
    <x v="2"/>
    <x v="0"/>
  </r>
  <r>
    <n v="1"/>
    <x v="5"/>
    <x v="1"/>
    <x v="2"/>
    <x v="53"/>
    <s v="Rural"/>
    <s v="Femenino"/>
    <x v="1"/>
    <x v="0"/>
  </r>
  <r>
    <n v="2"/>
    <x v="5"/>
    <x v="1"/>
    <x v="2"/>
    <x v="53"/>
    <s v="Rural"/>
    <s v="Masculino"/>
    <x v="1"/>
    <x v="0"/>
  </r>
  <r>
    <n v="3"/>
    <x v="5"/>
    <x v="1"/>
    <x v="2"/>
    <x v="53"/>
    <s v="Rural"/>
    <s v="Femenino"/>
    <x v="0"/>
    <x v="0"/>
  </r>
  <r>
    <n v="4"/>
    <x v="5"/>
    <x v="1"/>
    <x v="2"/>
    <x v="53"/>
    <s v="Rural"/>
    <s v="Masculino"/>
    <x v="1"/>
    <x v="0"/>
  </r>
  <r>
    <n v="5"/>
    <x v="5"/>
    <x v="1"/>
    <x v="2"/>
    <x v="53"/>
    <s v="Rural"/>
    <s v="Femenino"/>
    <x v="0"/>
    <x v="0"/>
  </r>
  <r>
    <n v="6"/>
    <x v="5"/>
    <x v="1"/>
    <x v="2"/>
    <x v="53"/>
    <s v="Rural"/>
    <s v="Femenino"/>
    <x v="1"/>
    <x v="0"/>
  </r>
  <r>
    <n v="7"/>
    <x v="5"/>
    <x v="1"/>
    <x v="3"/>
    <x v="53"/>
    <s v="Rural"/>
    <s v="Femenino"/>
    <x v="2"/>
    <x v="0"/>
  </r>
  <r>
    <n v="8"/>
    <x v="5"/>
    <x v="1"/>
    <x v="3"/>
    <x v="53"/>
    <s v="Rural"/>
    <s v="Femenino"/>
    <x v="2"/>
    <x v="0"/>
  </r>
  <r>
    <n v="9"/>
    <x v="5"/>
    <x v="1"/>
    <x v="3"/>
    <x v="53"/>
    <s v="Rural"/>
    <s v="Femenino"/>
    <x v="2"/>
    <x v="0"/>
  </r>
  <r>
    <n v="10"/>
    <x v="5"/>
    <x v="1"/>
    <x v="3"/>
    <x v="53"/>
    <s v="Rural"/>
    <s v="Femenino"/>
    <x v="2"/>
    <x v="0"/>
  </r>
  <r>
    <n v="11"/>
    <x v="5"/>
    <x v="1"/>
    <x v="3"/>
    <x v="53"/>
    <s v="Rural"/>
    <s v="Masculino"/>
    <x v="1"/>
    <x v="0"/>
  </r>
  <r>
    <n v="12"/>
    <x v="5"/>
    <x v="1"/>
    <x v="3"/>
    <x v="53"/>
    <s v="Rural"/>
    <s v="Masculino"/>
    <x v="1"/>
    <x v="0"/>
  </r>
  <r>
    <n v="13"/>
    <x v="5"/>
    <x v="1"/>
    <x v="3"/>
    <x v="53"/>
    <s v="Rural"/>
    <s v="Masculino"/>
    <x v="0"/>
    <x v="0"/>
  </r>
  <r>
    <n v="14"/>
    <x v="5"/>
    <x v="1"/>
    <x v="3"/>
    <x v="53"/>
    <s v="Rural"/>
    <s v="Masculino"/>
    <x v="2"/>
    <x v="0"/>
  </r>
  <r>
    <n v="2008"/>
    <x v="3"/>
    <x v="0"/>
    <x v="4"/>
    <x v="35"/>
    <s v="Rural"/>
    <s v="Femenino"/>
    <x v="1"/>
    <x v="1"/>
  </r>
  <r>
    <n v="2009"/>
    <x v="3"/>
    <x v="0"/>
    <x v="4"/>
    <x v="47"/>
    <s v="Rural"/>
    <s v="Femenino"/>
    <x v="0"/>
    <x v="1"/>
  </r>
  <r>
    <n v="2010"/>
    <x v="3"/>
    <x v="1"/>
    <x v="2"/>
    <x v="31"/>
    <s v="Rural"/>
    <s v="Masculino"/>
    <x v="0"/>
    <x v="1"/>
  </r>
  <r>
    <n v="2011"/>
    <x v="3"/>
    <x v="1"/>
    <x v="2"/>
    <x v="31"/>
    <s v="Rural"/>
    <s v="Masculino"/>
    <x v="0"/>
    <x v="1"/>
  </r>
  <r>
    <n v="2012"/>
    <x v="3"/>
    <x v="1"/>
    <x v="2"/>
    <x v="31"/>
    <s v="Rural"/>
    <s v="Masculino"/>
    <x v="0"/>
    <x v="1"/>
  </r>
  <r>
    <n v="2013"/>
    <x v="3"/>
    <x v="1"/>
    <x v="2"/>
    <x v="31"/>
    <s v="Rural"/>
    <s v="Masculino"/>
    <x v="0"/>
    <x v="1"/>
  </r>
  <r>
    <n v="2014"/>
    <x v="3"/>
    <x v="1"/>
    <x v="2"/>
    <x v="31"/>
    <s v="Rural"/>
    <s v="Masculino"/>
    <x v="0"/>
    <x v="1"/>
  </r>
  <r>
    <n v="2015"/>
    <x v="3"/>
    <x v="1"/>
    <x v="2"/>
    <x v="31"/>
    <s v="Rural"/>
    <s v="Masculino"/>
    <x v="0"/>
    <x v="1"/>
  </r>
  <r>
    <n v="2016"/>
    <x v="3"/>
    <x v="1"/>
    <x v="2"/>
    <x v="31"/>
    <s v="Rural"/>
    <s v="Femenino"/>
    <x v="0"/>
    <x v="1"/>
  </r>
  <r>
    <n v="2017"/>
    <x v="3"/>
    <x v="1"/>
    <x v="2"/>
    <x v="31"/>
    <s v="Rural"/>
    <s v="Masculino"/>
    <x v="0"/>
    <x v="1"/>
  </r>
  <r>
    <n v="2018"/>
    <x v="3"/>
    <x v="1"/>
    <x v="2"/>
    <x v="31"/>
    <s v="Rural"/>
    <s v="Masculino"/>
    <x v="0"/>
    <x v="1"/>
  </r>
  <r>
    <n v="2019"/>
    <x v="3"/>
    <x v="1"/>
    <x v="2"/>
    <x v="31"/>
    <s v="Rural"/>
    <s v="Masculino"/>
    <x v="0"/>
    <x v="1"/>
  </r>
  <r>
    <n v="2020"/>
    <x v="3"/>
    <x v="1"/>
    <x v="2"/>
    <x v="31"/>
    <s v="Rural"/>
    <s v="Masculino"/>
    <x v="0"/>
    <x v="1"/>
  </r>
  <r>
    <n v="2021"/>
    <x v="3"/>
    <x v="1"/>
    <x v="2"/>
    <x v="31"/>
    <s v="Rural"/>
    <s v="Masculino"/>
    <x v="0"/>
    <x v="1"/>
  </r>
  <r>
    <n v="2022"/>
    <x v="3"/>
    <x v="1"/>
    <x v="2"/>
    <x v="31"/>
    <s v="Rural"/>
    <s v="Femenino"/>
    <x v="0"/>
    <x v="1"/>
  </r>
  <r>
    <n v="2023"/>
    <x v="3"/>
    <x v="1"/>
    <x v="2"/>
    <x v="31"/>
    <s v="Rural"/>
    <s v="Masculino"/>
    <x v="0"/>
    <x v="1"/>
  </r>
  <r>
    <n v="2024"/>
    <x v="3"/>
    <x v="1"/>
    <x v="2"/>
    <x v="31"/>
    <s v="Rural"/>
    <s v="Masculino"/>
    <x v="0"/>
    <x v="1"/>
  </r>
  <r>
    <n v="2025"/>
    <x v="3"/>
    <x v="1"/>
    <x v="2"/>
    <x v="35"/>
    <s v="Rural"/>
    <s v="Femenino"/>
    <x v="2"/>
    <x v="1"/>
  </r>
  <r>
    <n v="2026"/>
    <x v="3"/>
    <x v="1"/>
    <x v="2"/>
    <x v="35"/>
    <s v="Rural"/>
    <s v="Femenino"/>
    <x v="0"/>
    <x v="1"/>
  </r>
  <r>
    <n v="2027"/>
    <x v="3"/>
    <x v="1"/>
    <x v="2"/>
    <x v="35"/>
    <s v="Rural"/>
    <s v="Masculino"/>
    <x v="0"/>
    <x v="1"/>
  </r>
  <r>
    <n v="2028"/>
    <x v="3"/>
    <x v="1"/>
    <x v="2"/>
    <x v="35"/>
    <s v="Rural"/>
    <s v="Femenino"/>
    <x v="0"/>
    <x v="1"/>
  </r>
  <r>
    <n v="2029"/>
    <x v="3"/>
    <x v="1"/>
    <x v="2"/>
    <x v="35"/>
    <s v="Rural"/>
    <s v="Masculino"/>
    <x v="0"/>
    <x v="1"/>
  </r>
  <r>
    <n v="2030"/>
    <x v="3"/>
    <x v="1"/>
    <x v="2"/>
    <x v="35"/>
    <s v="Rural"/>
    <s v="Femenino"/>
    <x v="0"/>
    <x v="1"/>
  </r>
  <r>
    <n v="2031"/>
    <x v="3"/>
    <x v="1"/>
    <x v="2"/>
    <x v="35"/>
    <s v="Rural"/>
    <s v="Masculino"/>
    <x v="0"/>
    <x v="1"/>
  </r>
  <r>
    <n v="2032"/>
    <x v="3"/>
    <x v="1"/>
    <x v="2"/>
    <x v="35"/>
    <s v="Rural"/>
    <s v="Masculino"/>
    <x v="0"/>
    <x v="1"/>
  </r>
  <r>
    <n v="2033"/>
    <x v="3"/>
    <x v="1"/>
    <x v="2"/>
    <x v="35"/>
    <s v="Rural"/>
    <s v="Masculino"/>
    <x v="0"/>
    <x v="1"/>
  </r>
  <r>
    <n v="2034"/>
    <x v="3"/>
    <x v="1"/>
    <x v="2"/>
    <x v="35"/>
    <s v="Rural"/>
    <s v="Masculino"/>
    <x v="0"/>
    <x v="1"/>
  </r>
  <r>
    <n v="2035"/>
    <x v="3"/>
    <x v="1"/>
    <x v="2"/>
    <x v="35"/>
    <s v="Rural"/>
    <s v="Masculino"/>
    <x v="0"/>
    <x v="1"/>
  </r>
  <r>
    <n v="2036"/>
    <x v="3"/>
    <x v="1"/>
    <x v="2"/>
    <x v="35"/>
    <s v="Rural"/>
    <s v="Femenino"/>
    <x v="0"/>
    <x v="1"/>
  </r>
  <r>
    <n v="2037"/>
    <x v="3"/>
    <x v="1"/>
    <x v="2"/>
    <x v="35"/>
    <s v="Rural"/>
    <s v="Masculino"/>
    <x v="0"/>
    <x v="1"/>
  </r>
  <r>
    <n v="2038"/>
    <x v="3"/>
    <x v="1"/>
    <x v="2"/>
    <x v="35"/>
    <s v="Rural"/>
    <s v="Femenino"/>
    <x v="0"/>
    <x v="1"/>
  </r>
  <r>
    <n v="2039"/>
    <x v="3"/>
    <x v="1"/>
    <x v="2"/>
    <x v="39"/>
    <s v="Rural"/>
    <s v="Femenino"/>
    <x v="0"/>
    <x v="1"/>
  </r>
  <r>
    <n v="2040"/>
    <x v="3"/>
    <x v="1"/>
    <x v="2"/>
    <x v="39"/>
    <s v="Rural"/>
    <s v="Femenino"/>
    <x v="0"/>
    <x v="1"/>
  </r>
  <r>
    <n v="2041"/>
    <x v="3"/>
    <x v="1"/>
    <x v="2"/>
    <x v="39"/>
    <s v="Rural"/>
    <s v="Masculino"/>
    <x v="0"/>
    <x v="1"/>
  </r>
  <r>
    <n v="2042"/>
    <x v="3"/>
    <x v="1"/>
    <x v="2"/>
    <x v="39"/>
    <s v="Rural"/>
    <s v="Masculino"/>
    <x v="0"/>
    <x v="1"/>
  </r>
  <r>
    <n v="2043"/>
    <x v="3"/>
    <x v="1"/>
    <x v="2"/>
    <x v="39"/>
    <s v="Rural"/>
    <s v="Femenino"/>
    <x v="0"/>
    <x v="1"/>
  </r>
  <r>
    <n v="2044"/>
    <x v="3"/>
    <x v="1"/>
    <x v="2"/>
    <x v="39"/>
    <s v="Rural"/>
    <s v="Masculino"/>
    <x v="0"/>
    <x v="1"/>
  </r>
  <r>
    <n v="2045"/>
    <x v="3"/>
    <x v="1"/>
    <x v="2"/>
    <x v="39"/>
    <s v="Rural"/>
    <s v="Femenino"/>
    <x v="0"/>
    <x v="1"/>
  </r>
  <r>
    <n v="2046"/>
    <x v="3"/>
    <x v="1"/>
    <x v="2"/>
    <x v="47"/>
    <s v="Rural"/>
    <s v="Femenino"/>
    <x v="0"/>
    <x v="1"/>
  </r>
  <r>
    <n v="2047"/>
    <x v="3"/>
    <x v="1"/>
    <x v="2"/>
    <x v="47"/>
    <s v="Rural"/>
    <s v="Femenino"/>
    <x v="0"/>
    <x v="1"/>
  </r>
  <r>
    <n v="2048"/>
    <x v="3"/>
    <x v="1"/>
    <x v="2"/>
    <x v="47"/>
    <s v="Rural"/>
    <s v="Femenino"/>
    <x v="0"/>
    <x v="1"/>
  </r>
  <r>
    <n v="2049"/>
    <x v="3"/>
    <x v="1"/>
    <x v="2"/>
    <x v="47"/>
    <s v="Rural"/>
    <s v="Femenino"/>
    <x v="0"/>
    <x v="1"/>
  </r>
  <r>
    <n v="2050"/>
    <x v="3"/>
    <x v="1"/>
    <x v="2"/>
    <x v="47"/>
    <s v="Rural"/>
    <s v="Masculino"/>
    <x v="0"/>
    <x v="1"/>
  </r>
  <r>
    <n v="2051"/>
    <x v="3"/>
    <x v="1"/>
    <x v="2"/>
    <x v="47"/>
    <s v="Rural"/>
    <s v="Masculino"/>
    <x v="0"/>
    <x v="1"/>
  </r>
  <r>
    <n v="2052"/>
    <x v="3"/>
    <x v="1"/>
    <x v="2"/>
    <x v="47"/>
    <s v="Rural"/>
    <s v="Femenino"/>
    <x v="0"/>
    <x v="1"/>
  </r>
  <r>
    <n v="2053"/>
    <x v="3"/>
    <x v="1"/>
    <x v="2"/>
    <x v="47"/>
    <s v="Rural"/>
    <s v="Masculino"/>
    <x v="0"/>
    <x v="1"/>
  </r>
  <r>
    <n v="2054"/>
    <x v="3"/>
    <x v="1"/>
    <x v="2"/>
    <x v="47"/>
    <s v="Rural"/>
    <s v="Femenino"/>
    <x v="0"/>
    <x v="1"/>
  </r>
  <r>
    <n v="2055"/>
    <x v="3"/>
    <x v="1"/>
    <x v="2"/>
    <x v="47"/>
    <s v="Rural"/>
    <s v="Femenino"/>
    <x v="0"/>
    <x v="1"/>
  </r>
  <r>
    <n v="2056"/>
    <x v="3"/>
    <x v="1"/>
    <x v="2"/>
    <x v="47"/>
    <s v="Rural"/>
    <s v="Femenino"/>
    <x v="0"/>
    <x v="1"/>
  </r>
  <r>
    <n v="2057"/>
    <x v="3"/>
    <x v="1"/>
    <x v="2"/>
    <x v="47"/>
    <s v="Rural"/>
    <s v="Femenino"/>
    <x v="0"/>
    <x v="1"/>
  </r>
  <r>
    <n v="2058"/>
    <x v="3"/>
    <x v="1"/>
    <x v="2"/>
    <x v="47"/>
    <s v="Rural"/>
    <s v="Femenino"/>
    <x v="0"/>
    <x v="1"/>
  </r>
  <r>
    <n v="2059"/>
    <x v="3"/>
    <x v="1"/>
    <x v="2"/>
    <x v="47"/>
    <s v="Rural"/>
    <s v="Femenino"/>
    <x v="0"/>
    <x v="1"/>
  </r>
  <r>
    <n v="2060"/>
    <x v="3"/>
    <x v="1"/>
    <x v="2"/>
    <x v="47"/>
    <s v="Rural"/>
    <s v="Masculino"/>
    <x v="0"/>
    <x v="1"/>
  </r>
  <r>
    <n v="2061"/>
    <x v="3"/>
    <x v="1"/>
    <x v="2"/>
    <x v="47"/>
    <s v="Rural"/>
    <s v="Masculino"/>
    <x v="0"/>
    <x v="1"/>
  </r>
  <r>
    <n v="2062"/>
    <x v="3"/>
    <x v="1"/>
    <x v="2"/>
    <x v="47"/>
    <s v="Rural"/>
    <s v="Femenino"/>
    <x v="0"/>
    <x v="1"/>
  </r>
  <r>
    <n v="2063"/>
    <x v="3"/>
    <x v="1"/>
    <x v="2"/>
    <x v="47"/>
    <s v="Rural"/>
    <s v="Masculino"/>
    <x v="0"/>
    <x v="1"/>
  </r>
  <r>
    <n v="2064"/>
    <x v="3"/>
    <x v="1"/>
    <x v="2"/>
    <x v="47"/>
    <s v="Rural"/>
    <s v="Masculino"/>
    <x v="0"/>
    <x v="1"/>
  </r>
  <r>
    <n v="2065"/>
    <x v="3"/>
    <x v="1"/>
    <x v="2"/>
    <x v="47"/>
    <s v="Rural"/>
    <s v="Femenino"/>
    <x v="0"/>
    <x v="1"/>
  </r>
  <r>
    <n v="2066"/>
    <x v="3"/>
    <x v="1"/>
    <x v="2"/>
    <x v="47"/>
    <s v="Rural"/>
    <s v="Femenino"/>
    <x v="0"/>
    <x v="1"/>
  </r>
  <r>
    <n v="2067"/>
    <x v="3"/>
    <x v="1"/>
    <x v="2"/>
    <x v="47"/>
    <s v="Rural"/>
    <s v="Masculino"/>
    <x v="0"/>
    <x v="1"/>
  </r>
  <r>
    <n v="2068"/>
    <x v="3"/>
    <x v="1"/>
    <x v="2"/>
    <x v="47"/>
    <s v="Rural"/>
    <s v="Masculino"/>
    <x v="0"/>
    <x v="1"/>
  </r>
  <r>
    <n v="2069"/>
    <x v="3"/>
    <x v="1"/>
    <x v="2"/>
    <x v="47"/>
    <s v="Rural"/>
    <s v="Femenino"/>
    <x v="0"/>
    <x v="1"/>
  </r>
  <r>
    <n v="2070"/>
    <x v="3"/>
    <x v="1"/>
    <x v="2"/>
    <x v="47"/>
    <s v="Rural"/>
    <s v="Masculino"/>
    <x v="0"/>
    <x v="1"/>
  </r>
  <r>
    <n v="2071"/>
    <x v="3"/>
    <x v="1"/>
    <x v="2"/>
    <x v="47"/>
    <s v="Rural"/>
    <s v="Femenino"/>
    <x v="0"/>
    <x v="1"/>
  </r>
  <r>
    <n v="2072"/>
    <x v="3"/>
    <x v="1"/>
    <x v="2"/>
    <x v="47"/>
    <s v="Rural"/>
    <s v="Femenino"/>
    <x v="0"/>
    <x v="1"/>
  </r>
  <r>
    <n v="2073"/>
    <x v="3"/>
    <x v="1"/>
    <x v="2"/>
    <x v="47"/>
    <s v="Rural"/>
    <s v="Masculino"/>
    <x v="0"/>
    <x v="1"/>
  </r>
  <r>
    <n v="2074"/>
    <x v="3"/>
    <x v="1"/>
    <x v="2"/>
    <x v="47"/>
    <s v="Rural"/>
    <s v="Masculino"/>
    <x v="0"/>
    <x v="1"/>
  </r>
  <r>
    <n v="2075"/>
    <x v="3"/>
    <x v="1"/>
    <x v="2"/>
    <x v="47"/>
    <s v="Rural"/>
    <s v="Masculino"/>
    <x v="0"/>
    <x v="1"/>
  </r>
  <r>
    <n v="2076"/>
    <x v="3"/>
    <x v="1"/>
    <x v="2"/>
    <x v="47"/>
    <s v="Rural"/>
    <s v="Femenino"/>
    <x v="0"/>
    <x v="1"/>
  </r>
  <r>
    <n v="2077"/>
    <x v="3"/>
    <x v="0"/>
    <x v="0"/>
    <x v="30"/>
    <s v="Rural"/>
    <s v="Femenino"/>
    <x v="0"/>
    <x v="1"/>
  </r>
  <r>
    <n v="2078"/>
    <x v="3"/>
    <x v="0"/>
    <x v="0"/>
    <x v="30"/>
    <s v="Rural"/>
    <s v="Femenino"/>
    <x v="0"/>
    <x v="1"/>
  </r>
  <r>
    <n v="2079"/>
    <x v="3"/>
    <x v="0"/>
    <x v="0"/>
    <x v="30"/>
    <s v="Rural"/>
    <s v="Masculino"/>
    <x v="0"/>
    <x v="1"/>
  </r>
  <r>
    <n v="2080"/>
    <x v="3"/>
    <x v="0"/>
    <x v="0"/>
    <x v="35"/>
    <s v="Rural"/>
    <s v="Femenino"/>
    <x v="2"/>
    <x v="1"/>
  </r>
  <r>
    <n v="2081"/>
    <x v="3"/>
    <x v="0"/>
    <x v="0"/>
    <x v="39"/>
    <s v="Rural"/>
    <s v="Masculino"/>
    <x v="0"/>
    <x v="1"/>
  </r>
  <r>
    <n v="2082"/>
    <x v="3"/>
    <x v="0"/>
    <x v="0"/>
    <x v="39"/>
    <s v="Rural"/>
    <s v="Masculino"/>
    <x v="0"/>
    <x v="1"/>
  </r>
  <r>
    <n v="2083"/>
    <x v="3"/>
    <x v="0"/>
    <x v="0"/>
    <x v="39"/>
    <s v="Rural"/>
    <s v="Masculino"/>
    <x v="0"/>
    <x v="1"/>
  </r>
  <r>
    <n v="2084"/>
    <x v="3"/>
    <x v="0"/>
    <x v="0"/>
    <x v="39"/>
    <s v="Rural"/>
    <s v="Masculino"/>
    <x v="0"/>
    <x v="1"/>
  </r>
  <r>
    <n v="2085"/>
    <x v="3"/>
    <x v="0"/>
    <x v="0"/>
    <x v="39"/>
    <s v="Rural"/>
    <s v="Femenino"/>
    <x v="0"/>
    <x v="1"/>
  </r>
  <r>
    <n v="2086"/>
    <x v="3"/>
    <x v="0"/>
    <x v="0"/>
    <x v="39"/>
    <s v="Rural"/>
    <s v="Masculino"/>
    <x v="0"/>
    <x v="1"/>
  </r>
  <r>
    <n v="2087"/>
    <x v="3"/>
    <x v="0"/>
    <x v="0"/>
    <x v="39"/>
    <s v="Rural"/>
    <s v="Femenino"/>
    <x v="0"/>
    <x v="1"/>
  </r>
  <r>
    <n v="2088"/>
    <x v="3"/>
    <x v="0"/>
    <x v="0"/>
    <x v="39"/>
    <s v="Rural"/>
    <s v="Masculino"/>
    <x v="0"/>
    <x v="1"/>
  </r>
  <r>
    <n v="2089"/>
    <x v="3"/>
    <x v="0"/>
    <x v="0"/>
    <x v="39"/>
    <s v="Rural"/>
    <s v="Femenino"/>
    <x v="0"/>
    <x v="1"/>
  </r>
  <r>
    <n v="2090"/>
    <x v="3"/>
    <x v="1"/>
    <x v="3"/>
    <x v="31"/>
    <s v="Rural"/>
    <s v="Masculino"/>
    <x v="0"/>
    <x v="1"/>
  </r>
  <r>
    <n v="2091"/>
    <x v="3"/>
    <x v="1"/>
    <x v="3"/>
    <x v="31"/>
    <s v="Rural"/>
    <s v="Femenino"/>
    <x v="0"/>
    <x v="1"/>
  </r>
  <r>
    <n v="2092"/>
    <x v="3"/>
    <x v="1"/>
    <x v="3"/>
    <x v="31"/>
    <s v="Rural"/>
    <s v="Masculino"/>
    <x v="1"/>
    <x v="1"/>
  </r>
  <r>
    <n v="2093"/>
    <x v="3"/>
    <x v="1"/>
    <x v="3"/>
    <x v="31"/>
    <s v="Rural"/>
    <s v="Masculino"/>
    <x v="0"/>
    <x v="1"/>
  </r>
  <r>
    <n v="2094"/>
    <x v="3"/>
    <x v="1"/>
    <x v="3"/>
    <x v="31"/>
    <s v="Rural"/>
    <s v="Femenino"/>
    <x v="0"/>
    <x v="1"/>
  </r>
  <r>
    <n v="2095"/>
    <x v="3"/>
    <x v="1"/>
    <x v="3"/>
    <x v="31"/>
    <s v="Rural"/>
    <s v="Femenino"/>
    <x v="0"/>
    <x v="1"/>
  </r>
  <r>
    <n v="2096"/>
    <x v="3"/>
    <x v="1"/>
    <x v="3"/>
    <x v="31"/>
    <s v="Rural"/>
    <s v="Femenino"/>
    <x v="0"/>
    <x v="1"/>
  </r>
  <r>
    <n v="2097"/>
    <x v="3"/>
    <x v="1"/>
    <x v="3"/>
    <x v="31"/>
    <s v="Rural"/>
    <s v="Masculino"/>
    <x v="0"/>
    <x v="1"/>
  </r>
  <r>
    <n v="2098"/>
    <x v="3"/>
    <x v="1"/>
    <x v="3"/>
    <x v="31"/>
    <s v="Rural"/>
    <s v="Masculino"/>
    <x v="0"/>
    <x v="1"/>
  </r>
  <r>
    <n v="2099"/>
    <x v="3"/>
    <x v="1"/>
    <x v="3"/>
    <x v="31"/>
    <s v="Rural"/>
    <s v="Masculino"/>
    <x v="0"/>
    <x v="1"/>
  </r>
  <r>
    <n v="2100"/>
    <x v="3"/>
    <x v="1"/>
    <x v="3"/>
    <x v="31"/>
    <s v="Rural"/>
    <s v="Masculino"/>
    <x v="0"/>
    <x v="1"/>
  </r>
  <r>
    <n v="2101"/>
    <x v="3"/>
    <x v="1"/>
    <x v="3"/>
    <x v="31"/>
    <s v="Rural"/>
    <s v="Femenino"/>
    <x v="0"/>
    <x v="1"/>
  </r>
  <r>
    <n v="2102"/>
    <x v="3"/>
    <x v="1"/>
    <x v="3"/>
    <x v="31"/>
    <s v="Rural"/>
    <s v="Femenino"/>
    <x v="0"/>
    <x v="1"/>
  </r>
  <r>
    <n v="2103"/>
    <x v="3"/>
    <x v="1"/>
    <x v="3"/>
    <x v="31"/>
    <s v="Rural"/>
    <s v="Femenino"/>
    <x v="0"/>
    <x v="1"/>
  </r>
  <r>
    <n v="2104"/>
    <x v="3"/>
    <x v="1"/>
    <x v="3"/>
    <x v="31"/>
    <s v="Rural"/>
    <s v="Masculino"/>
    <x v="0"/>
    <x v="1"/>
  </r>
  <r>
    <n v="2105"/>
    <x v="3"/>
    <x v="1"/>
    <x v="3"/>
    <x v="31"/>
    <s v="Rural"/>
    <s v="Masculino"/>
    <x v="0"/>
    <x v="1"/>
  </r>
  <r>
    <n v="2106"/>
    <x v="3"/>
    <x v="1"/>
    <x v="3"/>
    <x v="31"/>
    <s v="Rural"/>
    <s v="Masculino"/>
    <x v="0"/>
    <x v="1"/>
  </r>
  <r>
    <n v="2107"/>
    <x v="3"/>
    <x v="1"/>
    <x v="3"/>
    <x v="31"/>
    <s v="Rural"/>
    <s v="Masculino"/>
    <x v="0"/>
    <x v="1"/>
  </r>
  <r>
    <n v="2108"/>
    <x v="3"/>
    <x v="1"/>
    <x v="3"/>
    <x v="31"/>
    <s v="Rural"/>
    <s v="Masculino"/>
    <x v="0"/>
    <x v="1"/>
  </r>
  <r>
    <n v="2109"/>
    <x v="3"/>
    <x v="1"/>
    <x v="3"/>
    <x v="31"/>
    <s v="Rural"/>
    <s v="Masculino"/>
    <x v="0"/>
    <x v="1"/>
  </r>
  <r>
    <n v="2110"/>
    <x v="3"/>
    <x v="1"/>
    <x v="3"/>
    <x v="31"/>
    <s v="Rural"/>
    <s v="Femenino"/>
    <x v="0"/>
    <x v="1"/>
  </r>
  <r>
    <n v="2111"/>
    <x v="3"/>
    <x v="1"/>
    <x v="3"/>
    <x v="31"/>
    <s v="Rural"/>
    <s v="Masculino"/>
    <x v="0"/>
    <x v="1"/>
  </r>
  <r>
    <n v="2112"/>
    <x v="3"/>
    <x v="1"/>
    <x v="3"/>
    <x v="31"/>
    <s v="Rural"/>
    <s v="Masculino"/>
    <x v="0"/>
    <x v="1"/>
  </r>
  <r>
    <n v="2113"/>
    <x v="3"/>
    <x v="1"/>
    <x v="3"/>
    <x v="31"/>
    <s v="Rural"/>
    <s v="Femenino"/>
    <x v="0"/>
    <x v="1"/>
  </r>
  <r>
    <n v="2114"/>
    <x v="3"/>
    <x v="1"/>
    <x v="3"/>
    <x v="35"/>
    <s v="Rural"/>
    <s v="Femenino"/>
    <x v="2"/>
    <x v="1"/>
  </r>
  <r>
    <n v="2115"/>
    <x v="3"/>
    <x v="1"/>
    <x v="3"/>
    <x v="35"/>
    <s v="Rural"/>
    <s v="Masculino"/>
    <x v="0"/>
    <x v="1"/>
  </r>
  <r>
    <n v="2116"/>
    <x v="3"/>
    <x v="1"/>
    <x v="3"/>
    <x v="35"/>
    <s v="Rural"/>
    <s v="Femenino"/>
    <x v="0"/>
    <x v="1"/>
  </r>
  <r>
    <n v="2117"/>
    <x v="3"/>
    <x v="1"/>
    <x v="3"/>
    <x v="35"/>
    <s v="Rural"/>
    <s v="Masculino"/>
    <x v="1"/>
    <x v="1"/>
  </r>
  <r>
    <n v="2118"/>
    <x v="3"/>
    <x v="1"/>
    <x v="3"/>
    <x v="35"/>
    <s v="Rural"/>
    <s v="Masculino"/>
    <x v="2"/>
    <x v="1"/>
  </r>
  <r>
    <n v="2119"/>
    <x v="3"/>
    <x v="1"/>
    <x v="3"/>
    <x v="35"/>
    <s v="Rural"/>
    <s v="Masculino"/>
    <x v="0"/>
    <x v="1"/>
  </r>
  <r>
    <n v="2120"/>
    <x v="3"/>
    <x v="1"/>
    <x v="3"/>
    <x v="35"/>
    <s v="Rural"/>
    <s v="Masculino"/>
    <x v="1"/>
    <x v="1"/>
  </r>
  <r>
    <n v="2121"/>
    <x v="3"/>
    <x v="1"/>
    <x v="3"/>
    <x v="35"/>
    <s v="Rural"/>
    <s v="Femenino"/>
    <x v="0"/>
    <x v="1"/>
  </r>
  <r>
    <n v="2122"/>
    <x v="3"/>
    <x v="1"/>
    <x v="3"/>
    <x v="35"/>
    <s v="Rural"/>
    <s v="Masculino"/>
    <x v="0"/>
    <x v="1"/>
  </r>
  <r>
    <n v="2123"/>
    <x v="3"/>
    <x v="1"/>
    <x v="3"/>
    <x v="35"/>
    <s v="Rural"/>
    <s v="Masculino"/>
    <x v="0"/>
    <x v="1"/>
  </r>
  <r>
    <n v="2124"/>
    <x v="3"/>
    <x v="1"/>
    <x v="3"/>
    <x v="35"/>
    <s v="Rural"/>
    <s v="Femenino"/>
    <x v="2"/>
    <x v="1"/>
  </r>
  <r>
    <n v="2125"/>
    <x v="3"/>
    <x v="1"/>
    <x v="3"/>
    <x v="35"/>
    <s v="Rural"/>
    <s v="Femenino"/>
    <x v="0"/>
    <x v="1"/>
  </r>
  <r>
    <n v="2126"/>
    <x v="3"/>
    <x v="1"/>
    <x v="3"/>
    <x v="35"/>
    <s v="Rural"/>
    <s v="Femenino"/>
    <x v="0"/>
    <x v="1"/>
  </r>
  <r>
    <n v="2127"/>
    <x v="3"/>
    <x v="1"/>
    <x v="3"/>
    <x v="35"/>
    <s v="Rural"/>
    <s v="Femenino"/>
    <x v="0"/>
    <x v="1"/>
  </r>
  <r>
    <n v="2128"/>
    <x v="3"/>
    <x v="1"/>
    <x v="3"/>
    <x v="35"/>
    <s v="Rural"/>
    <s v="Masculino"/>
    <x v="0"/>
    <x v="1"/>
  </r>
  <r>
    <n v="2129"/>
    <x v="3"/>
    <x v="1"/>
    <x v="3"/>
    <x v="35"/>
    <s v="Rural"/>
    <s v="Femenino"/>
    <x v="2"/>
    <x v="1"/>
  </r>
  <r>
    <n v="2130"/>
    <x v="3"/>
    <x v="1"/>
    <x v="3"/>
    <x v="39"/>
    <s v="Rural"/>
    <s v="Masculino"/>
    <x v="0"/>
    <x v="1"/>
  </r>
  <r>
    <n v="2131"/>
    <x v="3"/>
    <x v="1"/>
    <x v="3"/>
    <x v="39"/>
    <s v="Rural"/>
    <s v="Masculino"/>
    <x v="0"/>
    <x v="1"/>
  </r>
  <r>
    <n v="2132"/>
    <x v="3"/>
    <x v="1"/>
    <x v="3"/>
    <x v="39"/>
    <s v="Rural"/>
    <s v="Masculino"/>
    <x v="0"/>
    <x v="1"/>
  </r>
  <r>
    <n v="2133"/>
    <x v="3"/>
    <x v="1"/>
    <x v="3"/>
    <x v="39"/>
    <s v="Rural"/>
    <s v="Femenino"/>
    <x v="0"/>
    <x v="1"/>
  </r>
  <r>
    <n v="2134"/>
    <x v="3"/>
    <x v="1"/>
    <x v="3"/>
    <x v="39"/>
    <s v="Rural"/>
    <s v="Femenino"/>
    <x v="0"/>
    <x v="1"/>
  </r>
  <r>
    <n v="2135"/>
    <x v="3"/>
    <x v="1"/>
    <x v="3"/>
    <x v="39"/>
    <s v="Rural"/>
    <s v="Femenino"/>
    <x v="0"/>
    <x v="1"/>
  </r>
  <r>
    <n v="2136"/>
    <x v="3"/>
    <x v="1"/>
    <x v="3"/>
    <x v="39"/>
    <s v="Rural"/>
    <s v="Femenino"/>
    <x v="0"/>
    <x v="1"/>
  </r>
  <r>
    <n v="2137"/>
    <x v="3"/>
    <x v="1"/>
    <x v="3"/>
    <x v="39"/>
    <s v="Rural"/>
    <s v="Masculino"/>
    <x v="0"/>
    <x v="1"/>
  </r>
  <r>
    <n v="2138"/>
    <x v="3"/>
    <x v="1"/>
    <x v="3"/>
    <x v="39"/>
    <s v="Rural"/>
    <s v="Masculino"/>
    <x v="0"/>
    <x v="1"/>
  </r>
  <r>
    <n v="2139"/>
    <x v="3"/>
    <x v="1"/>
    <x v="3"/>
    <x v="47"/>
    <s v="Rural"/>
    <s v="Femenino"/>
    <x v="0"/>
    <x v="1"/>
  </r>
  <r>
    <n v="2140"/>
    <x v="3"/>
    <x v="1"/>
    <x v="3"/>
    <x v="47"/>
    <s v="Rural"/>
    <s v="Masculino"/>
    <x v="0"/>
    <x v="1"/>
  </r>
  <r>
    <n v="2141"/>
    <x v="3"/>
    <x v="1"/>
    <x v="3"/>
    <x v="47"/>
    <s v="Rural"/>
    <s v="Masculino"/>
    <x v="0"/>
    <x v="1"/>
  </r>
  <r>
    <n v="2142"/>
    <x v="3"/>
    <x v="1"/>
    <x v="3"/>
    <x v="47"/>
    <s v="Rural"/>
    <s v="Masculino"/>
    <x v="0"/>
    <x v="1"/>
  </r>
  <r>
    <n v="2143"/>
    <x v="3"/>
    <x v="1"/>
    <x v="3"/>
    <x v="47"/>
    <s v="Rural"/>
    <s v="Femenino"/>
    <x v="0"/>
    <x v="1"/>
  </r>
  <r>
    <n v="2144"/>
    <x v="3"/>
    <x v="1"/>
    <x v="3"/>
    <x v="47"/>
    <s v="Rural"/>
    <s v="Femenino"/>
    <x v="0"/>
    <x v="1"/>
  </r>
  <r>
    <n v="2145"/>
    <x v="3"/>
    <x v="1"/>
    <x v="3"/>
    <x v="47"/>
    <s v="Rural"/>
    <s v="Femenino"/>
    <x v="0"/>
    <x v="1"/>
  </r>
  <r>
    <n v="2146"/>
    <x v="3"/>
    <x v="1"/>
    <x v="3"/>
    <x v="47"/>
    <s v="Rural"/>
    <s v="Femenino"/>
    <x v="0"/>
    <x v="1"/>
  </r>
  <r>
    <n v="2147"/>
    <x v="3"/>
    <x v="1"/>
    <x v="3"/>
    <x v="47"/>
    <s v="Rural"/>
    <s v="Masculino"/>
    <x v="0"/>
    <x v="1"/>
  </r>
  <r>
    <n v="2148"/>
    <x v="3"/>
    <x v="1"/>
    <x v="3"/>
    <x v="47"/>
    <s v="Rural"/>
    <s v="Masculino"/>
    <x v="0"/>
    <x v="1"/>
  </r>
  <r>
    <n v="2149"/>
    <x v="3"/>
    <x v="1"/>
    <x v="3"/>
    <x v="47"/>
    <s v="Rural"/>
    <s v="Femenino"/>
    <x v="0"/>
    <x v="1"/>
  </r>
  <r>
    <n v="2150"/>
    <x v="3"/>
    <x v="1"/>
    <x v="3"/>
    <x v="47"/>
    <s v="Rural"/>
    <s v="Masculino"/>
    <x v="0"/>
    <x v="1"/>
  </r>
  <r>
    <n v="2151"/>
    <x v="3"/>
    <x v="1"/>
    <x v="3"/>
    <x v="47"/>
    <s v="Rural"/>
    <s v="Femenino"/>
    <x v="0"/>
    <x v="1"/>
  </r>
  <r>
    <n v="2152"/>
    <x v="3"/>
    <x v="1"/>
    <x v="3"/>
    <x v="47"/>
    <s v="Rural"/>
    <s v="Femenino"/>
    <x v="0"/>
    <x v="1"/>
  </r>
  <r>
    <n v="2153"/>
    <x v="3"/>
    <x v="1"/>
    <x v="3"/>
    <x v="47"/>
    <s v="Rural"/>
    <s v="Femenino"/>
    <x v="0"/>
    <x v="1"/>
  </r>
  <r>
    <n v="2154"/>
    <x v="3"/>
    <x v="1"/>
    <x v="3"/>
    <x v="47"/>
    <s v="Rural"/>
    <s v="Masculino"/>
    <x v="0"/>
    <x v="1"/>
  </r>
  <r>
    <n v="2155"/>
    <x v="3"/>
    <x v="1"/>
    <x v="3"/>
    <x v="47"/>
    <s v="Rural"/>
    <s v="Masculino"/>
    <x v="0"/>
    <x v="1"/>
  </r>
  <r>
    <n v="2156"/>
    <x v="3"/>
    <x v="1"/>
    <x v="3"/>
    <x v="47"/>
    <s v="Rural"/>
    <s v="Masculino"/>
    <x v="0"/>
    <x v="1"/>
  </r>
  <r>
    <n v="2157"/>
    <x v="3"/>
    <x v="0"/>
    <x v="1"/>
    <x v="35"/>
    <s v="Rural"/>
    <s v="Femenino"/>
    <x v="0"/>
    <x v="1"/>
  </r>
  <r>
    <n v="2158"/>
    <x v="3"/>
    <x v="0"/>
    <x v="1"/>
    <x v="35"/>
    <s v="Rural"/>
    <s v="Masculino"/>
    <x v="0"/>
    <x v="1"/>
  </r>
  <r>
    <n v="2159"/>
    <x v="3"/>
    <x v="0"/>
    <x v="1"/>
    <x v="35"/>
    <s v="Rural"/>
    <s v="Masculino"/>
    <x v="0"/>
    <x v="1"/>
  </r>
  <r>
    <n v="2160"/>
    <x v="3"/>
    <x v="0"/>
    <x v="1"/>
    <x v="35"/>
    <s v="Rural"/>
    <s v="Masculino"/>
    <x v="0"/>
    <x v="1"/>
  </r>
  <r>
    <n v="2161"/>
    <x v="3"/>
    <x v="0"/>
    <x v="1"/>
    <x v="35"/>
    <s v="Rural"/>
    <s v="Femenino"/>
    <x v="0"/>
    <x v="1"/>
  </r>
  <r>
    <n v="2162"/>
    <x v="3"/>
    <x v="0"/>
    <x v="1"/>
    <x v="35"/>
    <s v="Rural"/>
    <s v="Femenino"/>
    <x v="0"/>
    <x v="1"/>
  </r>
  <r>
    <n v="2163"/>
    <x v="3"/>
    <x v="0"/>
    <x v="1"/>
    <x v="35"/>
    <s v="Rural"/>
    <s v="Femenino"/>
    <x v="0"/>
    <x v="1"/>
  </r>
  <r>
    <n v="2164"/>
    <x v="3"/>
    <x v="0"/>
    <x v="1"/>
    <x v="35"/>
    <s v="Rural"/>
    <s v="Masculino"/>
    <x v="0"/>
    <x v="1"/>
  </r>
  <r>
    <n v="2165"/>
    <x v="3"/>
    <x v="0"/>
    <x v="1"/>
    <x v="35"/>
    <s v="Rural"/>
    <s v="Femenino"/>
    <x v="0"/>
    <x v="1"/>
  </r>
  <r>
    <n v="2166"/>
    <x v="3"/>
    <x v="0"/>
    <x v="1"/>
    <x v="39"/>
    <s v="Rural"/>
    <s v="Masculino"/>
    <x v="0"/>
    <x v="1"/>
  </r>
  <r>
    <n v="2167"/>
    <x v="3"/>
    <x v="0"/>
    <x v="1"/>
    <x v="39"/>
    <s v="Rural"/>
    <s v="Femenino"/>
    <x v="0"/>
    <x v="1"/>
  </r>
  <r>
    <n v="2168"/>
    <x v="3"/>
    <x v="0"/>
    <x v="1"/>
    <x v="39"/>
    <s v="Rural"/>
    <s v="Masculino"/>
    <x v="0"/>
    <x v="1"/>
  </r>
  <r>
    <n v="2169"/>
    <x v="3"/>
    <x v="0"/>
    <x v="1"/>
    <x v="39"/>
    <s v="Rural"/>
    <s v="Masculino"/>
    <x v="0"/>
    <x v="1"/>
  </r>
  <r>
    <n v="2170"/>
    <x v="3"/>
    <x v="0"/>
    <x v="1"/>
    <x v="47"/>
    <s v="Rural"/>
    <s v="Masculino"/>
    <x v="0"/>
    <x v="1"/>
  </r>
  <r>
    <n v="2171"/>
    <x v="3"/>
    <x v="0"/>
    <x v="1"/>
    <x v="47"/>
    <s v="Rural"/>
    <s v="Masculino"/>
    <x v="0"/>
    <x v="1"/>
  </r>
  <r>
    <n v="2172"/>
    <x v="3"/>
    <x v="0"/>
    <x v="1"/>
    <x v="47"/>
    <s v="Rural"/>
    <s v="Masculino"/>
    <x v="1"/>
    <x v="1"/>
  </r>
  <r>
    <n v="2731"/>
    <x v="4"/>
    <x v="0"/>
    <x v="4"/>
    <x v="54"/>
    <s v="Rural"/>
    <s v="Femenino"/>
    <x v="0"/>
    <x v="1"/>
  </r>
  <r>
    <n v="2732"/>
    <x v="4"/>
    <x v="0"/>
    <x v="4"/>
    <x v="48"/>
    <s v="Rural"/>
    <s v="Masculino"/>
    <x v="0"/>
    <x v="1"/>
  </r>
  <r>
    <n v="2733"/>
    <x v="4"/>
    <x v="0"/>
    <x v="4"/>
    <x v="50"/>
    <s v="Rural"/>
    <s v="Masculino"/>
    <x v="0"/>
    <x v="1"/>
  </r>
  <r>
    <n v="2734"/>
    <x v="4"/>
    <x v="1"/>
    <x v="2"/>
    <x v="49"/>
    <s v="Rural"/>
    <s v="Femenino"/>
    <x v="0"/>
    <x v="1"/>
  </r>
  <r>
    <n v="2735"/>
    <x v="4"/>
    <x v="1"/>
    <x v="2"/>
    <x v="49"/>
    <s v="Rural"/>
    <s v="Femenino"/>
    <x v="0"/>
    <x v="1"/>
  </r>
  <r>
    <n v="2736"/>
    <x v="4"/>
    <x v="1"/>
    <x v="2"/>
    <x v="49"/>
    <s v="Rural"/>
    <s v="Femenino"/>
    <x v="0"/>
    <x v="1"/>
  </r>
  <r>
    <n v="2737"/>
    <x v="4"/>
    <x v="1"/>
    <x v="2"/>
    <x v="49"/>
    <s v="Rural"/>
    <s v="Masculino"/>
    <x v="0"/>
    <x v="1"/>
  </r>
  <r>
    <n v="2738"/>
    <x v="4"/>
    <x v="1"/>
    <x v="2"/>
    <x v="49"/>
    <s v="Rural"/>
    <s v="Femenino"/>
    <x v="0"/>
    <x v="1"/>
  </r>
  <r>
    <n v="2739"/>
    <x v="4"/>
    <x v="1"/>
    <x v="2"/>
    <x v="52"/>
    <s v="Rural"/>
    <s v="Femenino"/>
    <x v="0"/>
    <x v="1"/>
  </r>
  <r>
    <n v="2740"/>
    <x v="4"/>
    <x v="1"/>
    <x v="2"/>
    <x v="52"/>
    <s v="Rural"/>
    <s v="Femenino"/>
    <x v="0"/>
    <x v="1"/>
  </r>
  <r>
    <n v="2741"/>
    <x v="4"/>
    <x v="1"/>
    <x v="2"/>
    <x v="52"/>
    <s v="Rural"/>
    <s v="Masculino"/>
    <x v="0"/>
    <x v="1"/>
  </r>
  <r>
    <n v="2742"/>
    <x v="4"/>
    <x v="0"/>
    <x v="0"/>
    <x v="54"/>
    <s v="Rural"/>
    <s v="Masculino"/>
    <x v="0"/>
    <x v="1"/>
  </r>
  <r>
    <n v="2743"/>
    <x v="4"/>
    <x v="0"/>
    <x v="0"/>
    <x v="54"/>
    <s v="Rural"/>
    <s v="Femenino"/>
    <x v="0"/>
    <x v="1"/>
  </r>
  <r>
    <n v="2744"/>
    <x v="4"/>
    <x v="0"/>
    <x v="0"/>
    <x v="54"/>
    <s v="Rural"/>
    <s v="Masculino"/>
    <x v="0"/>
    <x v="1"/>
  </r>
  <r>
    <n v="2745"/>
    <x v="4"/>
    <x v="0"/>
    <x v="0"/>
    <x v="48"/>
    <s v="Rural"/>
    <s v="Masculino"/>
    <x v="0"/>
    <x v="1"/>
  </r>
  <r>
    <n v="2746"/>
    <x v="4"/>
    <x v="0"/>
    <x v="0"/>
    <x v="52"/>
    <s v="Rural"/>
    <s v="Masculino"/>
    <x v="0"/>
    <x v="1"/>
  </r>
  <r>
    <n v="2747"/>
    <x v="4"/>
    <x v="0"/>
    <x v="0"/>
    <x v="52"/>
    <s v="Rural"/>
    <s v="Masculino"/>
    <x v="0"/>
    <x v="1"/>
  </r>
  <r>
    <n v="2748"/>
    <x v="4"/>
    <x v="0"/>
    <x v="0"/>
    <x v="52"/>
    <s v="Rural"/>
    <s v="Masculino"/>
    <x v="0"/>
    <x v="1"/>
  </r>
  <r>
    <n v="2749"/>
    <x v="4"/>
    <x v="1"/>
    <x v="3"/>
    <x v="49"/>
    <s v="Rural"/>
    <s v="Femenino"/>
    <x v="0"/>
    <x v="1"/>
  </r>
  <r>
    <n v="2750"/>
    <x v="4"/>
    <x v="1"/>
    <x v="3"/>
    <x v="49"/>
    <s v="Rural"/>
    <s v="Femenino"/>
    <x v="0"/>
    <x v="1"/>
  </r>
  <r>
    <n v="2751"/>
    <x v="4"/>
    <x v="0"/>
    <x v="1"/>
    <x v="54"/>
    <s v="Rural"/>
    <s v="Femenino"/>
    <x v="1"/>
    <x v="1"/>
  </r>
  <r>
    <n v="2752"/>
    <x v="4"/>
    <x v="0"/>
    <x v="1"/>
    <x v="54"/>
    <s v="Rural"/>
    <s v="Femenino"/>
    <x v="1"/>
    <x v="1"/>
  </r>
  <r>
    <n v="2753"/>
    <x v="4"/>
    <x v="0"/>
    <x v="1"/>
    <x v="54"/>
    <s v="Rural"/>
    <s v="Femenino"/>
    <x v="1"/>
    <x v="1"/>
  </r>
  <r>
    <n v="2754"/>
    <x v="4"/>
    <x v="0"/>
    <x v="1"/>
    <x v="54"/>
    <s v="Rural"/>
    <s v="Masculino"/>
    <x v="1"/>
    <x v="1"/>
  </r>
  <r>
    <n v="2755"/>
    <x v="4"/>
    <x v="0"/>
    <x v="1"/>
    <x v="54"/>
    <s v="Rural"/>
    <s v="Masculino"/>
    <x v="1"/>
    <x v="1"/>
  </r>
  <r>
    <n v="2756"/>
    <x v="4"/>
    <x v="0"/>
    <x v="1"/>
    <x v="54"/>
    <s v="Rural"/>
    <s v="Masculino"/>
    <x v="1"/>
    <x v="1"/>
  </r>
  <r>
    <n v="2757"/>
    <x v="4"/>
    <x v="0"/>
    <x v="1"/>
    <x v="54"/>
    <s v="Rural"/>
    <s v="Masculino"/>
    <x v="1"/>
    <x v="1"/>
  </r>
  <r>
    <n v="2758"/>
    <x v="4"/>
    <x v="0"/>
    <x v="1"/>
    <x v="54"/>
    <s v="Rural"/>
    <s v="Masculino"/>
    <x v="1"/>
    <x v="1"/>
  </r>
  <r>
    <n v="2759"/>
    <x v="4"/>
    <x v="0"/>
    <x v="1"/>
    <x v="54"/>
    <s v="Rural"/>
    <s v="Femenino"/>
    <x v="1"/>
    <x v="1"/>
  </r>
  <r>
    <n v="2760"/>
    <x v="4"/>
    <x v="0"/>
    <x v="1"/>
    <x v="54"/>
    <s v="Rural"/>
    <s v="Masculino"/>
    <x v="1"/>
    <x v="1"/>
  </r>
  <r>
    <n v="2761"/>
    <x v="4"/>
    <x v="0"/>
    <x v="1"/>
    <x v="48"/>
    <s v="Rural"/>
    <s v="Masculino"/>
    <x v="1"/>
    <x v="1"/>
  </r>
  <r>
    <n v="2762"/>
    <x v="4"/>
    <x v="0"/>
    <x v="1"/>
    <x v="48"/>
    <s v="Rural"/>
    <s v="Femenino"/>
    <x v="0"/>
    <x v="1"/>
  </r>
  <r>
    <n v="2763"/>
    <x v="4"/>
    <x v="0"/>
    <x v="1"/>
    <x v="48"/>
    <s v="Rural"/>
    <s v="Masculino"/>
    <x v="1"/>
    <x v="1"/>
  </r>
  <r>
    <n v="2764"/>
    <x v="4"/>
    <x v="0"/>
    <x v="1"/>
    <x v="48"/>
    <s v="Rural"/>
    <s v="Masculino"/>
    <x v="1"/>
    <x v="1"/>
  </r>
  <r>
    <n v="2765"/>
    <x v="4"/>
    <x v="0"/>
    <x v="1"/>
    <x v="50"/>
    <s v="Rural"/>
    <s v="Masculino"/>
    <x v="0"/>
    <x v="1"/>
  </r>
  <r>
    <n v="2766"/>
    <x v="4"/>
    <x v="0"/>
    <x v="1"/>
    <x v="50"/>
    <s v="Rural"/>
    <s v="Masculino"/>
    <x v="1"/>
    <x v="1"/>
  </r>
  <r>
    <n v="2767"/>
    <x v="4"/>
    <x v="0"/>
    <x v="1"/>
    <x v="52"/>
    <s v="Rural"/>
    <s v="Masculino"/>
    <x v="0"/>
    <x v="1"/>
  </r>
  <r>
    <n v="3349"/>
    <x v="1"/>
    <x v="0"/>
    <x v="4"/>
    <x v="55"/>
    <s v="Rural"/>
    <s v="Masculino"/>
    <x v="1"/>
    <x v="1"/>
  </r>
  <r>
    <n v="3350"/>
    <x v="1"/>
    <x v="0"/>
    <x v="4"/>
    <x v="16"/>
    <s v="Rural"/>
    <s v="Masculino"/>
    <x v="1"/>
    <x v="1"/>
  </r>
  <r>
    <n v="3351"/>
    <x v="1"/>
    <x v="0"/>
    <x v="4"/>
    <x v="16"/>
    <s v="Rural"/>
    <s v="Masculino"/>
    <x v="1"/>
    <x v="1"/>
  </r>
  <r>
    <n v="3352"/>
    <x v="1"/>
    <x v="0"/>
    <x v="4"/>
    <x v="16"/>
    <s v="Rural"/>
    <s v="Femenino"/>
    <x v="1"/>
    <x v="1"/>
  </r>
  <r>
    <n v="3353"/>
    <x v="1"/>
    <x v="0"/>
    <x v="4"/>
    <x v="16"/>
    <s v="Rural"/>
    <s v="Masculino"/>
    <x v="1"/>
    <x v="1"/>
  </r>
  <r>
    <n v="3354"/>
    <x v="1"/>
    <x v="0"/>
    <x v="4"/>
    <x v="22"/>
    <s v="Rural"/>
    <s v="Masculino"/>
    <x v="1"/>
    <x v="1"/>
  </r>
  <r>
    <n v="3355"/>
    <x v="1"/>
    <x v="0"/>
    <x v="4"/>
    <x v="22"/>
    <s v="Rural"/>
    <s v="Femenino"/>
    <x v="1"/>
    <x v="1"/>
  </r>
  <r>
    <n v="3356"/>
    <x v="1"/>
    <x v="0"/>
    <x v="4"/>
    <x v="22"/>
    <s v="Rural"/>
    <s v="Femenino"/>
    <x v="1"/>
    <x v="1"/>
  </r>
  <r>
    <n v="3357"/>
    <x v="1"/>
    <x v="0"/>
    <x v="4"/>
    <x v="22"/>
    <s v="Rural"/>
    <s v="Femenino"/>
    <x v="2"/>
    <x v="1"/>
  </r>
  <r>
    <n v="3358"/>
    <x v="1"/>
    <x v="0"/>
    <x v="0"/>
    <x v="56"/>
    <s v="Rural"/>
    <s v="Masculino"/>
    <x v="2"/>
    <x v="1"/>
  </r>
  <r>
    <n v="3359"/>
    <x v="1"/>
    <x v="0"/>
    <x v="0"/>
    <x v="57"/>
    <s v="Rural"/>
    <s v="Masculino"/>
    <x v="1"/>
    <x v="1"/>
  </r>
  <r>
    <n v="3360"/>
    <x v="1"/>
    <x v="0"/>
    <x v="0"/>
    <x v="56"/>
    <s v="Rural"/>
    <s v="Femenino"/>
    <x v="2"/>
    <x v="1"/>
  </r>
  <r>
    <n v="3361"/>
    <x v="1"/>
    <x v="0"/>
    <x v="0"/>
    <x v="16"/>
    <s v="Rural"/>
    <s v="Masculino"/>
    <x v="2"/>
    <x v="1"/>
  </r>
  <r>
    <n v="3362"/>
    <x v="1"/>
    <x v="0"/>
    <x v="0"/>
    <x v="56"/>
    <s v="Rural"/>
    <s v="Femenino"/>
    <x v="2"/>
    <x v="1"/>
  </r>
  <r>
    <n v="3363"/>
    <x v="1"/>
    <x v="0"/>
    <x v="0"/>
    <x v="56"/>
    <s v="Rural"/>
    <s v="Femenino"/>
    <x v="2"/>
    <x v="1"/>
  </r>
  <r>
    <n v="3364"/>
    <x v="1"/>
    <x v="0"/>
    <x v="0"/>
    <x v="15"/>
    <s v="Rural"/>
    <s v="Masculino"/>
    <x v="1"/>
    <x v="1"/>
  </r>
  <r>
    <n v="3365"/>
    <x v="1"/>
    <x v="0"/>
    <x v="0"/>
    <x v="15"/>
    <s v="Rural"/>
    <s v="Masculino"/>
    <x v="1"/>
    <x v="1"/>
  </r>
  <r>
    <n v="3366"/>
    <x v="1"/>
    <x v="0"/>
    <x v="0"/>
    <x v="22"/>
    <s v="Rural"/>
    <s v="Masculino"/>
    <x v="1"/>
    <x v="1"/>
  </r>
  <r>
    <n v="3367"/>
    <x v="1"/>
    <x v="0"/>
    <x v="0"/>
    <x v="22"/>
    <s v="Rural"/>
    <s v="Masculino"/>
    <x v="1"/>
    <x v="1"/>
  </r>
  <r>
    <n v="3368"/>
    <x v="1"/>
    <x v="0"/>
    <x v="0"/>
    <x v="22"/>
    <s v="Rural"/>
    <s v="Masculino"/>
    <x v="2"/>
    <x v="1"/>
  </r>
  <r>
    <n v="3369"/>
    <x v="1"/>
    <x v="0"/>
    <x v="0"/>
    <x v="22"/>
    <s v="Rural"/>
    <s v="Femenino"/>
    <x v="1"/>
    <x v="1"/>
  </r>
  <r>
    <n v="3370"/>
    <x v="1"/>
    <x v="0"/>
    <x v="0"/>
    <x v="22"/>
    <s v="Rural"/>
    <s v="Femenino"/>
    <x v="2"/>
    <x v="1"/>
  </r>
  <r>
    <n v="3371"/>
    <x v="1"/>
    <x v="0"/>
    <x v="0"/>
    <x v="22"/>
    <s v="Rural"/>
    <s v="Femenino"/>
    <x v="1"/>
    <x v="1"/>
  </r>
  <r>
    <n v="3372"/>
    <x v="1"/>
    <x v="0"/>
    <x v="0"/>
    <x v="22"/>
    <s v="Rural"/>
    <s v="Femenino"/>
    <x v="1"/>
    <x v="1"/>
  </r>
  <r>
    <n v="3373"/>
    <x v="1"/>
    <x v="0"/>
    <x v="0"/>
    <x v="22"/>
    <s v="Rural"/>
    <s v="Femenino"/>
    <x v="2"/>
    <x v="1"/>
  </r>
  <r>
    <n v="3374"/>
    <x v="1"/>
    <x v="0"/>
    <x v="0"/>
    <x v="22"/>
    <s v="Rural"/>
    <s v="Femenino"/>
    <x v="2"/>
    <x v="1"/>
  </r>
  <r>
    <n v="3375"/>
    <x v="1"/>
    <x v="0"/>
    <x v="0"/>
    <x v="22"/>
    <s v="Rural"/>
    <s v="Femenino"/>
    <x v="1"/>
    <x v="1"/>
  </r>
  <r>
    <n v="3376"/>
    <x v="1"/>
    <x v="0"/>
    <x v="0"/>
    <x v="22"/>
    <s v="Rural"/>
    <s v="Femenino"/>
    <x v="2"/>
    <x v="1"/>
  </r>
  <r>
    <n v="3377"/>
    <x v="1"/>
    <x v="0"/>
    <x v="0"/>
    <x v="22"/>
    <s v="Rural"/>
    <s v="Masculino"/>
    <x v="2"/>
    <x v="1"/>
  </r>
  <r>
    <n v="3378"/>
    <x v="1"/>
    <x v="0"/>
    <x v="1"/>
    <x v="55"/>
    <s v="Rural"/>
    <s v="Masculino"/>
    <x v="2"/>
    <x v="1"/>
  </r>
  <r>
    <n v="3379"/>
    <x v="1"/>
    <x v="0"/>
    <x v="1"/>
    <x v="57"/>
    <s v="Rural"/>
    <s v="Masculino"/>
    <x v="2"/>
    <x v="1"/>
  </r>
  <r>
    <n v="3380"/>
    <x v="1"/>
    <x v="0"/>
    <x v="1"/>
    <x v="56"/>
    <s v="Rural"/>
    <s v="Masculino"/>
    <x v="2"/>
    <x v="1"/>
  </r>
  <r>
    <n v="3381"/>
    <x v="1"/>
    <x v="0"/>
    <x v="1"/>
    <x v="56"/>
    <s v="Rural"/>
    <s v="Masculino"/>
    <x v="2"/>
    <x v="1"/>
  </r>
  <r>
    <n v="3382"/>
    <x v="1"/>
    <x v="0"/>
    <x v="1"/>
    <x v="56"/>
    <s v="Rural"/>
    <s v="Masculino"/>
    <x v="2"/>
    <x v="1"/>
  </r>
  <r>
    <n v="3383"/>
    <x v="1"/>
    <x v="0"/>
    <x v="1"/>
    <x v="16"/>
    <s v="Rural"/>
    <s v="Masculino"/>
    <x v="2"/>
    <x v="1"/>
  </r>
  <r>
    <n v="3384"/>
    <x v="1"/>
    <x v="0"/>
    <x v="1"/>
    <x v="16"/>
    <s v="Rural"/>
    <s v="Femenino"/>
    <x v="1"/>
    <x v="1"/>
  </r>
  <r>
    <n v="3385"/>
    <x v="1"/>
    <x v="0"/>
    <x v="1"/>
    <x v="15"/>
    <s v="Rural"/>
    <s v="Masculino"/>
    <x v="1"/>
    <x v="1"/>
  </r>
  <r>
    <n v="3386"/>
    <x v="1"/>
    <x v="0"/>
    <x v="1"/>
    <x v="15"/>
    <s v="Rural"/>
    <s v="Masculino"/>
    <x v="1"/>
    <x v="1"/>
  </r>
  <r>
    <n v="3387"/>
    <x v="1"/>
    <x v="0"/>
    <x v="1"/>
    <x v="16"/>
    <s v="Rural"/>
    <s v="Femenino"/>
    <x v="1"/>
    <x v="1"/>
  </r>
  <r>
    <n v="3388"/>
    <x v="1"/>
    <x v="0"/>
    <x v="1"/>
    <x v="15"/>
    <s v="Rural"/>
    <s v="Femenino"/>
    <x v="2"/>
    <x v="1"/>
  </r>
  <r>
    <n v="3389"/>
    <x v="1"/>
    <x v="0"/>
    <x v="1"/>
    <x v="15"/>
    <s v="Rural"/>
    <s v="Femenino"/>
    <x v="2"/>
    <x v="1"/>
  </r>
  <r>
    <n v="3390"/>
    <x v="1"/>
    <x v="0"/>
    <x v="1"/>
    <x v="22"/>
    <s v="Rural"/>
    <s v="Masculino"/>
    <x v="1"/>
    <x v="1"/>
  </r>
  <r>
    <n v="3391"/>
    <x v="1"/>
    <x v="0"/>
    <x v="1"/>
    <x v="22"/>
    <s v="Rural"/>
    <s v="Femenino"/>
    <x v="2"/>
    <x v="1"/>
  </r>
  <r>
    <n v="3392"/>
    <x v="1"/>
    <x v="0"/>
    <x v="1"/>
    <x v="22"/>
    <s v="Rural"/>
    <s v="Femenino"/>
    <x v="2"/>
    <x v="1"/>
  </r>
  <r>
    <n v="3393"/>
    <x v="1"/>
    <x v="0"/>
    <x v="1"/>
    <x v="22"/>
    <s v="Rural"/>
    <s v="Masculino"/>
    <x v="2"/>
    <x v="1"/>
  </r>
  <r>
    <n v="3394"/>
    <x v="1"/>
    <x v="0"/>
    <x v="1"/>
    <x v="22"/>
    <s v="Rural"/>
    <s v="Masculino"/>
    <x v="2"/>
    <x v="1"/>
  </r>
  <r>
    <n v="3395"/>
    <x v="1"/>
    <x v="0"/>
    <x v="1"/>
    <x v="22"/>
    <s v="Rural"/>
    <s v="Masculino"/>
    <x v="2"/>
    <x v="1"/>
  </r>
  <r>
    <n v="3396"/>
    <x v="1"/>
    <x v="0"/>
    <x v="1"/>
    <x v="22"/>
    <s v="Rural"/>
    <s v="Femenino"/>
    <x v="2"/>
    <x v="1"/>
  </r>
  <r>
    <n v="3540"/>
    <x v="2"/>
    <x v="0"/>
    <x v="4"/>
    <x v="58"/>
    <s v="Rural"/>
    <s v="Femenino"/>
    <x v="0"/>
    <x v="1"/>
  </r>
  <r>
    <n v="3541"/>
    <x v="2"/>
    <x v="0"/>
    <x v="4"/>
    <x v="58"/>
    <s v="Rural"/>
    <s v="Femenino"/>
    <x v="0"/>
    <x v="1"/>
  </r>
  <r>
    <n v="3542"/>
    <x v="2"/>
    <x v="0"/>
    <x v="4"/>
    <x v="58"/>
    <s v="Rural"/>
    <s v="Masculino"/>
    <x v="0"/>
    <x v="1"/>
  </r>
  <r>
    <n v="3543"/>
    <x v="2"/>
    <x v="0"/>
    <x v="4"/>
    <x v="58"/>
    <s v="Rural"/>
    <s v="Femenino"/>
    <x v="0"/>
    <x v="1"/>
  </r>
  <r>
    <n v="3544"/>
    <x v="2"/>
    <x v="0"/>
    <x v="4"/>
    <x v="59"/>
    <s v="Rural"/>
    <s v="Femenino"/>
    <x v="0"/>
    <x v="1"/>
  </r>
  <r>
    <n v="3545"/>
    <x v="2"/>
    <x v="0"/>
    <x v="4"/>
    <x v="59"/>
    <s v="Rural"/>
    <s v="Femenino"/>
    <x v="1"/>
    <x v="1"/>
  </r>
  <r>
    <n v="3546"/>
    <x v="2"/>
    <x v="0"/>
    <x v="4"/>
    <x v="59"/>
    <s v="Rural"/>
    <s v="Femenino"/>
    <x v="0"/>
    <x v="1"/>
  </r>
  <r>
    <n v="3547"/>
    <x v="2"/>
    <x v="0"/>
    <x v="4"/>
    <x v="59"/>
    <s v="Rural"/>
    <s v="Masculino"/>
    <x v="0"/>
    <x v="1"/>
  </r>
  <r>
    <n v="3548"/>
    <x v="2"/>
    <x v="0"/>
    <x v="4"/>
    <x v="59"/>
    <s v="Rural"/>
    <s v="Femenino"/>
    <x v="0"/>
    <x v="1"/>
  </r>
  <r>
    <n v="3549"/>
    <x v="2"/>
    <x v="0"/>
    <x v="4"/>
    <x v="25"/>
    <s v="Rural"/>
    <s v="Femenino"/>
    <x v="0"/>
    <x v="1"/>
  </r>
  <r>
    <n v="3550"/>
    <x v="2"/>
    <x v="1"/>
    <x v="2"/>
    <x v="60"/>
    <s v="Rural"/>
    <s v="Masculino"/>
    <x v="1"/>
    <x v="1"/>
  </r>
  <r>
    <n v="3551"/>
    <x v="2"/>
    <x v="1"/>
    <x v="2"/>
    <x v="60"/>
    <s v="Rural"/>
    <s v="Femenino"/>
    <x v="2"/>
    <x v="1"/>
  </r>
  <r>
    <n v="3552"/>
    <x v="2"/>
    <x v="1"/>
    <x v="2"/>
    <x v="60"/>
    <s v="Rural"/>
    <s v="Masculino"/>
    <x v="0"/>
    <x v="1"/>
  </r>
  <r>
    <n v="3553"/>
    <x v="2"/>
    <x v="1"/>
    <x v="2"/>
    <x v="60"/>
    <s v="Rural"/>
    <s v="Masculino"/>
    <x v="0"/>
    <x v="1"/>
  </r>
  <r>
    <n v="3554"/>
    <x v="2"/>
    <x v="1"/>
    <x v="2"/>
    <x v="60"/>
    <s v="Rural"/>
    <s v="Femenino"/>
    <x v="0"/>
    <x v="1"/>
  </r>
  <r>
    <n v="3555"/>
    <x v="2"/>
    <x v="1"/>
    <x v="2"/>
    <x v="60"/>
    <s v="Rural"/>
    <s v="Femenino"/>
    <x v="2"/>
    <x v="1"/>
  </r>
  <r>
    <n v="3556"/>
    <x v="2"/>
    <x v="1"/>
    <x v="2"/>
    <x v="60"/>
    <s v="Rural"/>
    <s v="Masculino"/>
    <x v="2"/>
    <x v="1"/>
  </r>
  <r>
    <n v="3557"/>
    <x v="2"/>
    <x v="1"/>
    <x v="2"/>
    <x v="60"/>
    <s v="Rural"/>
    <s v="Masculino"/>
    <x v="0"/>
    <x v="1"/>
  </r>
  <r>
    <n v="3558"/>
    <x v="2"/>
    <x v="1"/>
    <x v="2"/>
    <x v="60"/>
    <s v="Rural"/>
    <s v="Masculino"/>
    <x v="1"/>
    <x v="1"/>
  </r>
  <r>
    <n v="3559"/>
    <x v="2"/>
    <x v="1"/>
    <x v="2"/>
    <x v="60"/>
    <s v="Rural"/>
    <s v="Masculino"/>
    <x v="0"/>
    <x v="1"/>
  </r>
  <r>
    <n v="3560"/>
    <x v="2"/>
    <x v="1"/>
    <x v="2"/>
    <x v="60"/>
    <s v="Rural"/>
    <s v="Masculino"/>
    <x v="2"/>
    <x v="1"/>
  </r>
  <r>
    <n v="3561"/>
    <x v="2"/>
    <x v="1"/>
    <x v="2"/>
    <x v="60"/>
    <s v="Rural"/>
    <s v="Masculino"/>
    <x v="0"/>
    <x v="1"/>
  </r>
  <r>
    <n v="3562"/>
    <x v="2"/>
    <x v="1"/>
    <x v="2"/>
    <x v="60"/>
    <s v="Rural"/>
    <s v="Femenino"/>
    <x v="2"/>
    <x v="1"/>
  </r>
  <r>
    <n v="3563"/>
    <x v="2"/>
    <x v="1"/>
    <x v="2"/>
    <x v="60"/>
    <s v="Rural"/>
    <s v="Femenino"/>
    <x v="0"/>
    <x v="1"/>
  </r>
  <r>
    <n v="3564"/>
    <x v="2"/>
    <x v="1"/>
    <x v="2"/>
    <x v="60"/>
    <s v="Rural"/>
    <s v="Femenino"/>
    <x v="0"/>
    <x v="1"/>
  </r>
  <r>
    <n v="3565"/>
    <x v="2"/>
    <x v="1"/>
    <x v="2"/>
    <x v="60"/>
    <s v="Rural"/>
    <s v="Femenino"/>
    <x v="2"/>
    <x v="1"/>
  </r>
  <r>
    <n v="3566"/>
    <x v="2"/>
    <x v="1"/>
    <x v="2"/>
    <x v="61"/>
    <s v="Rural"/>
    <s v="Femenino"/>
    <x v="0"/>
    <x v="1"/>
  </r>
  <r>
    <n v="3567"/>
    <x v="2"/>
    <x v="1"/>
    <x v="2"/>
    <x v="62"/>
    <s v="Rural"/>
    <s v="Masculino"/>
    <x v="1"/>
    <x v="1"/>
  </r>
  <r>
    <n v="3568"/>
    <x v="2"/>
    <x v="1"/>
    <x v="2"/>
    <x v="62"/>
    <s v="Rural"/>
    <s v="Masculino"/>
    <x v="2"/>
    <x v="1"/>
  </r>
  <r>
    <n v="3569"/>
    <x v="2"/>
    <x v="1"/>
    <x v="2"/>
    <x v="62"/>
    <s v="Rural"/>
    <s v="Masculino"/>
    <x v="0"/>
    <x v="1"/>
  </r>
  <r>
    <n v="3570"/>
    <x v="2"/>
    <x v="1"/>
    <x v="2"/>
    <x v="62"/>
    <s v="Rural"/>
    <s v="Femenino"/>
    <x v="2"/>
    <x v="1"/>
  </r>
  <r>
    <n v="3571"/>
    <x v="2"/>
    <x v="1"/>
    <x v="2"/>
    <x v="62"/>
    <s v="Rural"/>
    <s v="Femenino"/>
    <x v="2"/>
    <x v="1"/>
  </r>
  <r>
    <n v="3572"/>
    <x v="2"/>
    <x v="1"/>
    <x v="2"/>
    <x v="62"/>
    <s v="Rural"/>
    <s v="Femenino"/>
    <x v="0"/>
    <x v="1"/>
  </r>
  <r>
    <n v="3573"/>
    <x v="2"/>
    <x v="1"/>
    <x v="2"/>
    <x v="62"/>
    <s v="Rural"/>
    <s v="Femenino"/>
    <x v="1"/>
    <x v="1"/>
  </r>
  <r>
    <n v="3574"/>
    <x v="2"/>
    <x v="1"/>
    <x v="2"/>
    <x v="62"/>
    <s v="Rural"/>
    <s v="Femenino"/>
    <x v="0"/>
    <x v="1"/>
  </r>
  <r>
    <n v="3575"/>
    <x v="2"/>
    <x v="1"/>
    <x v="2"/>
    <x v="62"/>
    <s v="Rural"/>
    <s v="Femenino"/>
    <x v="0"/>
    <x v="1"/>
  </r>
  <r>
    <n v="3576"/>
    <x v="2"/>
    <x v="1"/>
    <x v="2"/>
    <x v="62"/>
    <s v="Rural"/>
    <s v="Femenino"/>
    <x v="1"/>
    <x v="1"/>
  </r>
  <r>
    <n v="3577"/>
    <x v="2"/>
    <x v="1"/>
    <x v="2"/>
    <x v="62"/>
    <s v="Rural"/>
    <s v="Masculino"/>
    <x v="2"/>
    <x v="1"/>
  </r>
  <r>
    <n v="3578"/>
    <x v="2"/>
    <x v="1"/>
    <x v="2"/>
    <x v="62"/>
    <s v="Rural"/>
    <s v="Masculino"/>
    <x v="2"/>
    <x v="1"/>
  </r>
  <r>
    <n v="3579"/>
    <x v="2"/>
    <x v="1"/>
    <x v="2"/>
    <x v="62"/>
    <s v="Rural"/>
    <s v="Masculino"/>
    <x v="1"/>
    <x v="1"/>
  </r>
  <r>
    <n v="3580"/>
    <x v="2"/>
    <x v="1"/>
    <x v="2"/>
    <x v="62"/>
    <s v="Rural"/>
    <s v="Masculino"/>
    <x v="0"/>
    <x v="1"/>
  </r>
  <r>
    <n v="3581"/>
    <x v="2"/>
    <x v="1"/>
    <x v="2"/>
    <x v="62"/>
    <s v="Rural"/>
    <s v="Femenino"/>
    <x v="0"/>
    <x v="1"/>
  </r>
  <r>
    <n v="3582"/>
    <x v="2"/>
    <x v="1"/>
    <x v="2"/>
    <x v="62"/>
    <s v="Rural"/>
    <s v="Masculino"/>
    <x v="2"/>
    <x v="1"/>
  </r>
  <r>
    <n v="3583"/>
    <x v="2"/>
    <x v="0"/>
    <x v="0"/>
    <x v="25"/>
    <s v="Rural"/>
    <s v="Femenino"/>
    <x v="0"/>
    <x v="1"/>
  </r>
  <r>
    <n v="3584"/>
    <x v="2"/>
    <x v="0"/>
    <x v="0"/>
    <x v="25"/>
    <s v="Rural"/>
    <s v="Femenino"/>
    <x v="2"/>
    <x v="1"/>
  </r>
  <r>
    <n v="3585"/>
    <x v="2"/>
    <x v="1"/>
    <x v="3"/>
    <x v="60"/>
    <s v="Rural"/>
    <s v="Femenino"/>
    <x v="0"/>
    <x v="1"/>
  </r>
  <r>
    <n v="3586"/>
    <x v="2"/>
    <x v="1"/>
    <x v="3"/>
    <x v="60"/>
    <s v="Rural"/>
    <s v="Masculino"/>
    <x v="0"/>
    <x v="1"/>
  </r>
  <r>
    <n v="3587"/>
    <x v="2"/>
    <x v="1"/>
    <x v="3"/>
    <x v="60"/>
    <s v="Rural"/>
    <s v="Masculino"/>
    <x v="0"/>
    <x v="1"/>
  </r>
  <r>
    <n v="3588"/>
    <x v="2"/>
    <x v="1"/>
    <x v="3"/>
    <x v="60"/>
    <s v="Rural"/>
    <s v="Masculino"/>
    <x v="0"/>
    <x v="1"/>
  </r>
  <r>
    <n v="3589"/>
    <x v="2"/>
    <x v="1"/>
    <x v="3"/>
    <x v="60"/>
    <s v="Rural"/>
    <s v="Masculino"/>
    <x v="1"/>
    <x v="1"/>
  </r>
  <r>
    <n v="3590"/>
    <x v="2"/>
    <x v="1"/>
    <x v="3"/>
    <x v="60"/>
    <s v="Rural"/>
    <s v="Femenino"/>
    <x v="0"/>
    <x v="1"/>
  </r>
  <r>
    <n v="3591"/>
    <x v="2"/>
    <x v="1"/>
    <x v="3"/>
    <x v="60"/>
    <s v="Rural"/>
    <s v="Masculino"/>
    <x v="0"/>
    <x v="1"/>
  </r>
  <r>
    <n v="3592"/>
    <x v="2"/>
    <x v="1"/>
    <x v="3"/>
    <x v="60"/>
    <s v="Rural"/>
    <s v="Femenino"/>
    <x v="0"/>
    <x v="1"/>
  </r>
  <r>
    <n v="3593"/>
    <x v="2"/>
    <x v="1"/>
    <x v="3"/>
    <x v="60"/>
    <s v="Rural"/>
    <s v="Masculino"/>
    <x v="0"/>
    <x v="1"/>
  </r>
  <r>
    <n v="3594"/>
    <x v="2"/>
    <x v="1"/>
    <x v="3"/>
    <x v="60"/>
    <s v="Rural"/>
    <s v="Masculino"/>
    <x v="0"/>
    <x v="1"/>
  </r>
  <r>
    <n v="3595"/>
    <x v="2"/>
    <x v="1"/>
    <x v="3"/>
    <x v="60"/>
    <s v="Rural"/>
    <s v="Femenino"/>
    <x v="0"/>
    <x v="1"/>
  </r>
  <r>
    <n v="3596"/>
    <x v="2"/>
    <x v="1"/>
    <x v="3"/>
    <x v="60"/>
    <s v="Rural"/>
    <s v="Femenino"/>
    <x v="1"/>
    <x v="1"/>
  </r>
  <r>
    <n v="3597"/>
    <x v="2"/>
    <x v="1"/>
    <x v="3"/>
    <x v="60"/>
    <s v="Rural"/>
    <s v="Masculino"/>
    <x v="2"/>
    <x v="1"/>
  </r>
  <r>
    <n v="3598"/>
    <x v="2"/>
    <x v="1"/>
    <x v="3"/>
    <x v="60"/>
    <s v="Rural"/>
    <s v="Femenino"/>
    <x v="1"/>
    <x v="1"/>
  </r>
  <r>
    <n v="3599"/>
    <x v="2"/>
    <x v="1"/>
    <x v="3"/>
    <x v="60"/>
    <s v="Rural"/>
    <s v="Masculino"/>
    <x v="0"/>
    <x v="1"/>
  </r>
  <r>
    <n v="3600"/>
    <x v="2"/>
    <x v="1"/>
    <x v="3"/>
    <x v="60"/>
    <s v="Rural"/>
    <s v="Masculino"/>
    <x v="0"/>
    <x v="1"/>
  </r>
  <r>
    <n v="3601"/>
    <x v="2"/>
    <x v="1"/>
    <x v="3"/>
    <x v="60"/>
    <s v="Rural"/>
    <s v="Masculino"/>
    <x v="0"/>
    <x v="1"/>
  </r>
  <r>
    <n v="3602"/>
    <x v="2"/>
    <x v="1"/>
    <x v="3"/>
    <x v="60"/>
    <s v="Rural"/>
    <s v="Masculino"/>
    <x v="1"/>
    <x v="1"/>
  </r>
  <r>
    <n v="3603"/>
    <x v="2"/>
    <x v="1"/>
    <x v="3"/>
    <x v="60"/>
    <s v="Rural"/>
    <s v="Femenino"/>
    <x v="0"/>
    <x v="1"/>
  </r>
  <r>
    <n v="3604"/>
    <x v="2"/>
    <x v="1"/>
    <x v="3"/>
    <x v="60"/>
    <s v="Rural"/>
    <s v="Masculino"/>
    <x v="0"/>
    <x v="1"/>
  </r>
  <r>
    <n v="3605"/>
    <x v="2"/>
    <x v="1"/>
    <x v="3"/>
    <x v="60"/>
    <s v="Rural"/>
    <s v="Femenino"/>
    <x v="1"/>
    <x v="1"/>
  </r>
  <r>
    <n v="3606"/>
    <x v="2"/>
    <x v="1"/>
    <x v="3"/>
    <x v="60"/>
    <s v="Rural"/>
    <s v="Femenino"/>
    <x v="1"/>
    <x v="1"/>
  </r>
  <r>
    <n v="3607"/>
    <x v="2"/>
    <x v="1"/>
    <x v="3"/>
    <x v="61"/>
    <s v="Rural"/>
    <s v="Masculino"/>
    <x v="1"/>
    <x v="1"/>
  </r>
  <r>
    <n v="3608"/>
    <x v="2"/>
    <x v="1"/>
    <x v="3"/>
    <x v="61"/>
    <s v="Rural"/>
    <s v="Masculino"/>
    <x v="0"/>
    <x v="1"/>
  </r>
  <r>
    <n v="3609"/>
    <x v="2"/>
    <x v="1"/>
    <x v="3"/>
    <x v="61"/>
    <s v="Rural"/>
    <s v="Femenino"/>
    <x v="1"/>
    <x v="1"/>
  </r>
  <r>
    <n v="3610"/>
    <x v="2"/>
    <x v="1"/>
    <x v="3"/>
    <x v="61"/>
    <s v="Rural"/>
    <s v="Masculino"/>
    <x v="1"/>
    <x v="1"/>
  </r>
  <r>
    <n v="3611"/>
    <x v="2"/>
    <x v="1"/>
    <x v="3"/>
    <x v="61"/>
    <s v="Rural"/>
    <s v="Masculino"/>
    <x v="0"/>
    <x v="1"/>
  </r>
  <r>
    <n v="3612"/>
    <x v="2"/>
    <x v="1"/>
    <x v="3"/>
    <x v="61"/>
    <s v="Rural"/>
    <s v="Femenino"/>
    <x v="2"/>
    <x v="1"/>
  </r>
  <r>
    <n v="3613"/>
    <x v="2"/>
    <x v="1"/>
    <x v="3"/>
    <x v="61"/>
    <s v="Rural"/>
    <s v="Masculino"/>
    <x v="0"/>
    <x v="1"/>
  </r>
  <r>
    <n v="3614"/>
    <x v="2"/>
    <x v="1"/>
    <x v="3"/>
    <x v="61"/>
    <s v="Rural"/>
    <s v="Femenino"/>
    <x v="0"/>
    <x v="1"/>
  </r>
  <r>
    <n v="3615"/>
    <x v="2"/>
    <x v="1"/>
    <x v="3"/>
    <x v="61"/>
    <s v="Rural"/>
    <s v="Femenino"/>
    <x v="1"/>
    <x v="1"/>
  </r>
  <r>
    <n v="3616"/>
    <x v="2"/>
    <x v="1"/>
    <x v="3"/>
    <x v="61"/>
    <s v="Rural"/>
    <s v="Masculino"/>
    <x v="0"/>
    <x v="1"/>
  </r>
  <r>
    <n v="3617"/>
    <x v="2"/>
    <x v="1"/>
    <x v="3"/>
    <x v="61"/>
    <s v="Rural"/>
    <s v="Femenino"/>
    <x v="0"/>
    <x v="1"/>
  </r>
  <r>
    <n v="3618"/>
    <x v="2"/>
    <x v="1"/>
    <x v="3"/>
    <x v="61"/>
    <s v="Rural"/>
    <s v="Femenino"/>
    <x v="0"/>
    <x v="1"/>
  </r>
  <r>
    <n v="3619"/>
    <x v="2"/>
    <x v="1"/>
    <x v="3"/>
    <x v="61"/>
    <s v="Rural"/>
    <s v="Femenino"/>
    <x v="0"/>
    <x v="1"/>
  </r>
  <r>
    <n v="3620"/>
    <x v="2"/>
    <x v="1"/>
    <x v="3"/>
    <x v="61"/>
    <s v="Rural"/>
    <s v="Masculino"/>
    <x v="1"/>
    <x v="1"/>
  </r>
  <r>
    <n v="3621"/>
    <x v="2"/>
    <x v="1"/>
    <x v="3"/>
    <x v="62"/>
    <s v="Rural"/>
    <s v="Femenino"/>
    <x v="0"/>
    <x v="1"/>
  </r>
  <r>
    <n v="3622"/>
    <x v="2"/>
    <x v="1"/>
    <x v="3"/>
    <x v="62"/>
    <s v="Rural"/>
    <s v="Masculino"/>
    <x v="0"/>
    <x v="1"/>
  </r>
  <r>
    <n v="3623"/>
    <x v="2"/>
    <x v="1"/>
    <x v="3"/>
    <x v="62"/>
    <s v="Rural"/>
    <s v="Masculino"/>
    <x v="1"/>
    <x v="1"/>
  </r>
  <r>
    <n v="3624"/>
    <x v="2"/>
    <x v="1"/>
    <x v="3"/>
    <x v="62"/>
    <s v="Rural"/>
    <s v="Femenino"/>
    <x v="1"/>
    <x v="1"/>
  </r>
  <r>
    <n v="3625"/>
    <x v="2"/>
    <x v="1"/>
    <x v="3"/>
    <x v="62"/>
    <s v="Rural"/>
    <s v="Femenino"/>
    <x v="1"/>
    <x v="1"/>
  </r>
  <r>
    <n v="3626"/>
    <x v="2"/>
    <x v="1"/>
    <x v="3"/>
    <x v="62"/>
    <s v="Rural"/>
    <s v="Masculino"/>
    <x v="0"/>
    <x v="1"/>
  </r>
  <r>
    <n v="3627"/>
    <x v="2"/>
    <x v="1"/>
    <x v="3"/>
    <x v="62"/>
    <s v="Rural"/>
    <s v="Femenino"/>
    <x v="1"/>
    <x v="1"/>
  </r>
  <r>
    <n v="3628"/>
    <x v="2"/>
    <x v="0"/>
    <x v="1"/>
    <x v="59"/>
    <s v="Rural"/>
    <s v="Masculino"/>
    <x v="0"/>
    <x v="1"/>
  </r>
  <r>
    <n v="3629"/>
    <x v="2"/>
    <x v="0"/>
    <x v="1"/>
    <x v="59"/>
    <s v="Rural"/>
    <s v="Femenino"/>
    <x v="1"/>
    <x v="1"/>
  </r>
  <r>
    <n v="3630"/>
    <x v="2"/>
    <x v="0"/>
    <x v="1"/>
    <x v="59"/>
    <s v="Rural"/>
    <s v="Masculino"/>
    <x v="1"/>
    <x v="1"/>
  </r>
  <r>
    <n v="3631"/>
    <x v="2"/>
    <x v="0"/>
    <x v="1"/>
    <x v="59"/>
    <s v="Rural"/>
    <s v="Masculino"/>
    <x v="1"/>
    <x v="1"/>
  </r>
  <r>
    <n v="3632"/>
    <x v="2"/>
    <x v="0"/>
    <x v="1"/>
    <x v="59"/>
    <s v="Rural"/>
    <s v="Masculino"/>
    <x v="1"/>
    <x v="1"/>
  </r>
  <r>
    <n v="3633"/>
    <x v="2"/>
    <x v="0"/>
    <x v="1"/>
    <x v="59"/>
    <s v="Rural"/>
    <s v="Masculino"/>
    <x v="1"/>
    <x v="1"/>
  </r>
  <r>
    <n v="3634"/>
    <x v="2"/>
    <x v="0"/>
    <x v="1"/>
    <x v="59"/>
    <s v="Rural"/>
    <s v="Masculino"/>
    <x v="1"/>
    <x v="1"/>
  </r>
  <r>
    <n v="3635"/>
    <x v="2"/>
    <x v="0"/>
    <x v="1"/>
    <x v="59"/>
    <s v="Rural"/>
    <s v="Masculino"/>
    <x v="1"/>
    <x v="1"/>
  </r>
  <r>
    <n v="3636"/>
    <x v="2"/>
    <x v="0"/>
    <x v="1"/>
    <x v="59"/>
    <s v="Rural"/>
    <s v="Masculino"/>
    <x v="1"/>
    <x v="1"/>
  </r>
  <r>
    <n v="3637"/>
    <x v="2"/>
    <x v="0"/>
    <x v="1"/>
    <x v="25"/>
    <s v="Rural"/>
    <s v="Masculino"/>
    <x v="1"/>
    <x v="1"/>
  </r>
  <r>
    <n v="3638"/>
    <x v="2"/>
    <x v="0"/>
    <x v="1"/>
    <x v="25"/>
    <s v="Rural"/>
    <s v="Femenino"/>
    <x v="1"/>
    <x v="1"/>
  </r>
  <r>
    <n v="3639"/>
    <x v="2"/>
    <x v="0"/>
    <x v="1"/>
    <x v="25"/>
    <s v="Rural"/>
    <s v="Masculino"/>
    <x v="1"/>
    <x v="1"/>
  </r>
  <r>
    <n v="3640"/>
    <x v="2"/>
    <x v="0"/>
    <x v="1"/>
    <x v="25"/>
    <s v="Rural"/>
    <s v="Femenino"/>
    <x v="1"/>
    <x v="1"/>
  </r>
  <r>
    <n v="3641"/>
    <x v="2"/>
    <x v="0"/>
    <x v="1"/>
    <x v="25"/>
    <s v="Rural"/>
    <s v="Masculino"/>
    <x v="1"/>
    <x v="1"/>
  </r>
  <r>
    <n v="3642"/>
    <x v="2"/>
    <x v="0"/>
    <x v="1"/>
    <x v="58"/>
    <s v="Rural"/>
    <s v="Femenino"/>
    <x v="2"/>
    <x v="1"/>
  </r>
  <r>
    <n v="3643"/>
    <x v="2"/>
    <x v="0"/>
    <x v="1"/>
    <x v="58"/>
    <s v="Rural"/>
    <s v="Femenino"/>
    <x v="1"/>
    <x v="1"/>
  </r>
  <r>
    <n v="3644"/>
    <x v="2"/>
    <x v="0"/>
    <x v="1"/>
    <x v="58"/>
    <s v="Rural"/>
    <s v="Femenino"/>
    <x v="2"/>
    <x v="1"/>
  </r>
  <r>
    <n v="1"/>
    <x v="2"/>
    <x v="1"/>
    <x v="2"/>
    <x v="23"/>
    <s v="Rural"/>
    <s v="Femenino"/>
    <x v="0"/>
    <x v="2"/>
  </r>
  <r>
    <n v="2"/>
    <x v="2"/>
    <x v="1"/>
    <x v="2"/>
    <x v="23"/>
    <s v="Rural"/>
    <s v="Masculino"/>
    <x v="1"/>
    <x v="2"/>
  </r>
  <r>
    <n v="3"/>
    <x v="2"/>
    <x v="1"/>
    <x v="2"/>
    <x v="23"/>
    <s v="Rural"/>
    <s v="Masculino"/>
    <x v="0"/>
    <x v="2"/>
  </r>
  <r>
    <n v="4"/>
    <x v="2"/>
    <x v="1"/>
    <x v="2"/>
    <x v="23"/>
    <s v="Rural"/>
    <s v="Femenino"/>
    <x v="0"/>
    <x v="2"/>
  </r>
  <r>
    <n v="5"/>
    <x v="2"/>
    <x v="1"/>
    <x v="2"/>
    <x v="23"/>
    <s v="Rural"/>
    <s v="Masculino"/>
    <x v="0"/>
    <x v="2"/>
  </r>
  <r>
    <n v="6"/>
    <x v="2"/>
    <x v="1"/>
    <x v="2"/>
    <x v="23"/>
    <s v="Rural"/>
    <s v="Masculino"/>
    <x v="1"/>
    <x v="2"/>
  </r>
  <r>
    <n v="7"/>
    <x v="2"/>
    <x v="1"/>
    <x v="2"/>
    <x v="23"/>
    <s v="Rural"/>
    <s v="Masculino"/>
    <x v="0"/>
    <x v="2"/>
  </r>
  <r>
    <n v="8"/>
    <x v="2"/>
    <x v="1"/>
    <x v="2"/>
    <x v="23"/>
    <s v="Rural"/>
    <s v="Femenino"/>
    <x v="0"/>
    <x v="2"/>
  </r>
  <r>
    <n v="9"/>
    <x v="2"/>
    <x v="1"/>
    <x v="2"/>
    <x v="23"/>
    <s v="Rural"/>
    <s v="Femenino"/>
    <x v="0"/>
    <x v="2"/>
  </r>
  <r>
    <n v="10"/>
    <x v="2"/>
    <x v="1"/>
    <x v="2"/>
    <x v="23"/>
    <s v="Rural"/>
    <s v="Masculino"/>
    <x v="2"/>
    <x v="2"/>
  </r>
  <r>
    <n v="11"/>
    <x v="2"/>
    <x v="1"/>
    <x v="2"/>
    <x v="23"/>
    <s v="Rural"/>
    <s v="Femenino"/>
    <x v="0"/>
    <x v="2"/>
  </r>
  <r>
    <n v="12"/>
    <x v="2"/>
    <x v="1"/>
    <x v="2"/>
    <x v="23"/>
    <s v="Rural"/>
    <s v="Masculino"/>
    <x v="0"/>
    <x v="2"/>
  </r>
  <r>
    <n v="13"/>
    <x v="2"/>
    <x v="1"/>
    <x v="2"/>
    <x v="23"/>
    <s v="Rural"/>
    <s v="Femenino"/>
    <x v="0"/>
    <x v="2"/>
  </r>
  <r>
    <n v="14"/>
    <x v="2"/>
    <x v="1"/>
    <x v="2"/>
    <x v="23"/>
    <s v="Rural"/>
    <s v="Femenino"/>
    <x v="0"/>
    <x v="2"/>
  </r>
  <r>
    <n v="15"/>
    <x v="2"/>
    <x v="1"/>
    <x v="2"/>
    <x v="23"/>
    <s v="Rural"/>
    <s v="Femenino"/>
    <x v="0"/>
    <x v="2"/>
  </r>
  <r>
    <n v="16"/>
    <x v="2"/>
    <x v="1"/>
    <x v="2"/>
    <x v="23"/>
    <s v="Rural"/>
    <s v="Masculino"/>
    <x v="0"/>
    <x v="2"/>
  </r>
  <r>
    <n v="17"/>
    <x v="2"/>
    <x v="1"/>
    <x v="2"/>
    <x v="23"/>
    <s v="Rural"/>
    <s v="Masculino"/>
    <x v="0"/>
    <x v="2"/>
  </r>
  <r>
    <n v="18"/>
    <x v="2"/>
    <x v="1"/>
    <x v="2"/>
    <x v="23"/>
    <s v="Rural"/>
    <s v="Femenino"/>
    <x v="0"/>
    <x v="2"/>
  </r>
  <r>
    <n v="19"/>
    <x v="2"/>
    <x v="1"/>
    <x v="2"/>
    <x v="23"/>
    <s v="Rural"/>
    <s v="Masculino"/>
    <x v="0"/>
    <x v="2"/>
  </r>
  <r>
    <n v="20"/>
    <x v="2"/>
    <x v="1"/>
    <x v="2"/>
    <x v="23"/>
    <s v="Rural"/>
    <s v="Masculino"/>
    <x v="0"/>
    <x v="2"/>
  </r>
  <r>
    <n v="21"/>
    <x v="2"/>
    <x v="1"/>
    <x v="2"/>
    <x v="23"/>
    <s v="Rural"/>
    <s v="Femenino"/>
    <x v="0"/>
    <x v="2"/>
  </r>
  <r>
    <n v="22"/>
    <x v="2"/>
    <x v="1"/>
    <x v="2"/>
    <x v="23"/>
    <s v="Rural"/>
    <s v="Masculino"/>
    <x v="0"/>
    <x v="2"/>
  </r>
  <r>
    <n v="23"/>
    <x v="2"/>
    <x v="1"/>
    <x v="2"/>
    <x v="23"/>
    <s v="Rural"/>
    <s v="Masculino"/>
    <x v="0"/>
    <x v="2"/>
  </r>
  <r>
    <n v="24"/>
    <x v="2"/>
    <x v="1"/>
    <x v="2"/>
    <x v="23"/>
    <s v="Rural"/>
    <s v="Masculino"/>
    <x v="0"/>
    <x v="2"/>
  </r>
  <r>
    <n v="25"/>
    <x v="2"/>
    <x v="1"/>
    <x v="2"/>
    <x v="23"/>
    <s v="Rural"/>
    <s v="Femenino"/>
    <x v="0"/>
    <x v="2"/>
  </r>
  <r>
    <n v="26"/>
    <x v="2"/>
    <x v="1"/>
    <x v="2"/>
    <x v="23"/>
    <s v="Rural"/>
    <s v="Masculino"/>
    <x v="0"/>
    <x v="2"/>
  </r>
  <r>
    <n v="27"/>
    <x v="2"/>
    <x v="1"/>
    <x v="2"/>
    <x v="23"/>
    <s v="Rural"/>
    <s v="Masculino"/>
    <x v="0"/>
    <x v="2"/>
  </r>
  <r>
    <n v="28"/>
    <x v="2"/>
    <x v="1"/>
    <x v="2"/>
    <x v="23"/>
    <s v="Rural"/>
    <s v="Femenino"/>
    <x v="0"/>
    <x v="2"/>
  </r>
  <r>
    <n v="29"/>
    <x v="2"/>
    <x v="1"/>
    <x v="2"/>
    <x v="23"/>
    <s v="Rural"/>
    <s v="Masculino"/>
    <x v="0"/>
    <x v="2"/>
  </r>
  <r>
    <n v="30"/>
    <x v="2"/>
    <x v="1"/>
    <x v="2"/>
    <x v="23"/>
    <s v="Rural"/>
    <s v="Femenino"/>
    <x v="0"/>
    <x v="2"/>
  </r>
  <r>
    <n v="31"/>
    <x v="2"/>
    <x v="1"/>
    <x v="2"/>
    <x v="23"/>
    <s v="Rural"/>
    <s v="Femenino"/>
    <x v="0"/>
    <x v="2"/>
  </r>
  <r>
    <n v="32"/>
    <x v="2"/>
    <x v="1"/>
    <x v="2"/>
    <x v="23"/>
    <s v="Rural"/>
    <s v="Femenino"/>
    <x v="0"/>
    <x v="2"/>
  </r>
  <r>
    <n v="33"/>
    <x v="2"/>
    <x v="1"/>
    <x v="2"/>
    <x v="23"/>
    <s v="Rural"/>
    <s v="Femenino"/>
    <x v="0"/>
    <x v="2"/>
  </r>
  <r>
    <n v="34"/>
    <x v="2"/>
    <x v="1"/>
    <x v="2"/>
    <x v="23"/>
    <s v="Rural"/>
    <s v="Femenino"/>
    <x v="0"/>
    <x v="2"/>
  </r>
  <r>
    <n v="35"/>
    <x v="2"/>
    <x v="1"/>
    <x v="2"/>
    <x v="23"/>
    <s v="Rural"/>
    <s v="Masculino"/>
    <x v="1"/>
    <x v="2"/>
  </r>
  <r>
    <n v="36"/>
    <x v="2"/>
    <x v="1"/>
    <x v="2"/>
    <x v="23"/>
    <s v="Rural"/>
    <s v="Femenino"/>
    <x v="0"/>
    <x v="2"/>
  </r>
  <r>
    <n v="37"/>
    <x v="2"/>
    <x v="1"/>
    <x v="2"/>
    <x v="23"/>
    <s v="Rural"/>
    <s v="Masculino"/>
    <x v="0"/>
    <x v="2"/>
  </r>
  <r>
    <n v="38"/>
    <x v="2"/>
    <x v="1"/>
    <x v="2"/>
    <x v="23"/>
    <s v="Rural"/>
    <s v="Femenino"/>
    <x v="0"/>
    <x v="2"/>
  </r>
  <r>
    <n v="39"/>
    <x v="2"/>
    <x v="1"/>
    <x v="2"/>
    <x v="23"/>
    <s v="Rural"/>
    <s v="Femenino"/>
    <x v="0"/>
    <x v="2"/>
  </r>
  <r>
    <n v="40"/>
    <x v="2"/>
    <x v="1"/>
    <x v="2"/>
    <x v="23"/>
    <s v="Rural"/>
    <s v="Masculino"/>
    <x v="0"/>
    <x v="2"/>
  </r>
  <r>
    <n v="41"/>
    <x v="2"/>
    <x v="1"/>
    <x v="3"/>
    <x v="23"/>
    <s v="Rural"/>
    <s v="Masculino"/>
    <x v="0"/>
    <x v="2"/>
  </r>
  <r>
    <n v="42"/>
    <x v="2"/>
    <x v="1"/>
    <x v="3"/>
    <x v="23"/>
    <s v="Rural"/>
    <s v="Femenino"/>
    <x v="0"/>
    <x v="2"/>
  </r>
  <r>
    <n v="43"/>
    <x v="2"/>
    <x v="1"/>
    <x v="3"/>
    <x v="23"/>
    <s v="Rural"/>
    <s v="Masculino"/>
    <x v="1"/>
    <x v="2"/>
  </r>
  <r>
    <n v="44"/>
    <x v="2"/>
    <x v="1"/>
    <x v="3"/>
    <x v="23"/>
    <s v="Rural"/>
    <s v="Femenino"/>
    <x v="1"/>
    <x v="2"/>
  </r>
  <r>
    <n v="45"/>
    <x v="2"/>
    <x v="1"/>
    <x v="3"/>
    <x v="23"/>
    <s v="Rural"/>
    <s v="Masculino"/>
    <x v="0"/>
    <x v="2"/>
  </r>
  <r>
    <n v="46"/>
    <x v="2"/>
    <x v="1"/>
    <x v="3"/>
    <x v="23"/>
    <s v="Rural"/>
    <s v="Masculino"/>
    <x v="1"/>
    <x v="2"/>
  </r>
  <r>
    <n v="47"/>
    <x v="2"/>
    <x v="1"/>
    <x v="3"/>
    <x v="23"/>
    <s v="Rural"/>
    <s v="Femenino"/>
    <x v="0"/>
    <x v="2"/>
  </r>
  <r>
    <n v="48"/>
    <x v="2"/>
    <x v="1"/>
    <x v="3"/>
    <x v="23"/>
    <s v="Rural"/>
    <s v="Femenino"/>
    <x v="0"/>
    <x v="2"/>
  </r>
  <r>
    <n v="49"/>
    <x v="2"/>
    <x v="1"/>
    <x v="3"/>
    <x v="23"/>
    <s v="Rural"/>
    <s v="Masculino"/>
    <x v="0"/>
    <x v="2"/>
  </r>
  <r>
    <n v="50"/>
    <x v="2"/>
    <x v="1"/>
    <x v="3"/>
    <x v="23"/>
    <s v="Rural"/>
    <s v="Femenino"/>
    <x v="0"/>
    <x v="2"/>
  </r>
  <r>
    <n v="51"/>
    <x v="2"/>
    <x v="1"/>
    <x v="3"/>
    <x v="23"/>
    <s v="Rural"/>
    <s v="Masculino"/>
    <x v="0"/>
    <x v="2"/>
  </r>
  <r>
    <n v="52"/>
    <x v="2"/>
    <x v="1"/>
    <x v="3"/>
    <x v="23"/>
    <s v="Rural"/>
    <s v="Femenino"/>
    <x v="0"/>
    <x v="2"/>
  </r>
  <r>
    <n v="53"/>
    <x v="2"/>
    <x v="1"/>
    <x v="3"/>
    <x v="23"/>
    <s v="Rural"/>
    <s v="Femenino"/>
    <x v="0"/>
    <x v="2"/>
  </r>
  <r>
    <n v="54"/>
    <x v="2"/>
    <x v="1"/>
    <x v="3"/>
    <x v="23"/>
    <s v="Rural"/>
    <s v="Masculino"/>
    <x v="0"/>
    <x v="2"/>
  </r>
  <r>
    <n v="55"/>
    <x v="2"/>
    <x v="1"/>
    <x v="3"/>
    <x v="23"/>
    <s v="Rural"/>
    <s v="Masculino"/>
    <x v="0"/>
    <x v="2"/>
  </r>
  <r>
    <n v="56"/>
    <x v="2"/>
    <x v="1"/>
    <x v="3"/>
    <x v="23"/>
    <s v="Rural"/>
    <s v="Masculino"/>
    <x v="0"/>
    <x v="2"/>
  </r>
  <r>
    <n v="57"/>
    <x v="2"/>
    <x v="1"/>
    <x v="3"/>
    <x v="23"/>
    <s v="Rural"/>
    <s v="Femenino"/>
    <x v="0"/>
    <x v="2"/>
  </r>
  <r>
    <n v="58"/>
    <x v="2"/>
    <x v="1"/>
    <x v="3"/>
    <x v="23"/>
    <s v="Rural"/>
    <s v="Femenino"/>
    <x v="0"/>
    <x v="2"/>
  </r>
  <r>
    <n v="59"/>
    <x v="2"/>
    <x v="1"/>
    <x v="3"/>
    <x v="23"/>
    <s v="Rural"/>
    <s v="Masculino"/>
    <x v="0"/>
    <x v="2"/>
  </r>
  <r>
    <n v="60"/>
    <x v="2"/>
    <x v="1"/>
    <x v="3"/>
    <x v="23"/>
    <s v="Rural"/>
    <s v="Masculino"/>
    <x v="0"/>
    <x v="2"/>
  </r>
  <r>
    <n v="61"/>
    <x v="2"/>
    <x v="1"/>
    <x v="3"/>
    <x v="23"/>
    <s v="Rural"/>
    <s v="Masculino"/>
    <x v="0"/>
    <x v="2"/>
  </r>
  <r>
    <n v="62"/>
    <x v="2"/>
    <x v="1"/>
    <x v="3"/>
    <x v="23"/>
    <s v="Rural"/>
    <s v="Femenino"/>
    <x v="0"/>
    <x v="2"/>
  </r>
  <r>
    <n v="63"/>
    <x v="2"/>
    <x v="1"/>
    <x v="3"/>
    <x v="23"/>
    <s v="Rural"/>
    <s v="Femenino"/>
    <x v="0"/>
    <x v="2"/>
  </r>
  <r>
    <n v="64"/>
    <x v="2"/>
    <x v="1"/>
    <x v="3"/>
    <x v="23"/>
    <s v="Rural"/>
    <s v="Femenino"/>
    <x v="0"/>
    <x v="2"/>
  </r>
  <r>
    <n v="65"/>
    <x v="2"/>
    <x v="1"/>
    <x v="3"/>
    <x v="23"/>
    <s v="Rural"/>
    <s v="Masculino"/>
    <x v="0"/>
    <x v="2"/>
  </r>
  <r>
    <n v="66"/>
    <x v="2"/>
    <x v="1"/>
    <x v="3"/>
    <x v="23"/>
    <s v="Rural"/>
    <s v="Masculino"/>
    <x v="0"/>
    <x v="2"/>
  </r>
  <r>
    <n v="67"/>
    <x v="2"/>
    <x v="1"/>
    <x v="3"/>
    <x v="23"/>
    <s v="Rural"/>
    <s v="Femenino"/>
    <x v="0"/>
    <x v="2"/>
  </r>
  <r>
    <n v="68"/>
    <x v="2"/>
    <x v="1"/>
    <x v="3"/>
    <x v="23"/>
    <s v="Rural"/>
    <s v="Masculino"/>
    <x v="0"/>
    <x v="2"/>
  </r>
  <r>
    <n v="69"/>
    <x v="2"/>
    <x v="1"/>
    <x v="3"/>
    <x v="23"/>
    <s v="Rural"/>
    <s v="Masculino"/>
    <x v="0"/>
    <x v="2"/>
  </r>
  <r>
    <n v="70"/>
    <x v="2"/>
    <x v="1"/>
    <x v="3"/>
    <x v="23"/>
    <s v="Rural"/>
    <s v="Femenino"/>
    <x v="0"/>
    <x v="2"/>
  </r>
  <r>
    <n v="71"/>
    <x v="2"/>
    <x v="1"/>
    <x v="3"/>
    <x v="23"/>
    <s v="Rural"/>
    <s v="Femenino"/>
    <x v="0"/>
    <x v="2"/>
  </r>
  <r>
    <n v="72"/>
    <x v="2"/>
    <x v="1"/>
    <x v="3"/>
    <x v="23"/>
    <s v="Rural"/>
    <s v="Femenino"/>
    <x v="0"/>
    <x v="2"/>
  </r>
  <r>
    <n v="73"/>
    <x v="2"/>
    <x v="1"/>
    <x v="3"/>
    <x v="23"/>
    <s v="Rural"/>
    <s v="Masculino"/>
    <x v="0"/>
    <x v="2"/>
  </r>
  <r>
    <n v="74"/>
    <x v="2"/>
    <x v="1"/>
    <x v="3"/>
    <x v="23"/>
    <s v="Rural"/>
    <s v="Masculino"/>
    <x v="0"/>
    <x v="2"/>
  </r>
  <r>
    <n v="75"/>
    <x v="2"/>
    <x v="1"/>
    <x v="3"/>
    <x v="23"/>
    <s v="Rural"/>
    <s v="Femenino"/>
    <x v="0"/>
    <x v="2"/>
  </r>
  <r>
    <n v="76"/>
    <x v="2"/>
    <x v="1"/>
    <x v="3"/>
    <x v="23"/>
    <s v="Rural"/>
    <s v="Masculino"/>
    <x v="0"/>
    <x v="2"/>
  </r>
  <r>
    <n v="77"/>
    <x v="2"/>
    <x v="1"/>
    <x v="3"/>
    <x v="23"/>
    <s v="Rural"/>
    <s v="Masculino"/>
    <x v="0"/>
    <x v="2"/>
  </r>
  <r>
    <n v="78"/>
    <x v="2"/>
    <x v="1"/>
    <x v="3"/>
    <x v="23"/>
    <s v="Rural"/>
    <s v="Femenino"/>
    <x v="0"/>
    <x v="2"/>
  </r>
  <r>
    <n v="79"/>
    <x v="2"/>
    <x v="1"/>
    <x v="3"/>
    <x v="23"/>
    <s v="Rural"/>
    <s v="Masculino"/>
    <x v="1"/>
    <x v="2"/>
  </r>
  <r>
    <n v="80"/>
    <x v="1"/>
    <x v="0"/>
    <x v="4"/>
    <x v="63"/>
    <s v="Rural"/>
    <s v="Femenino"/>
    <x v="0"/>
    <x v="2"/>
  </r>
  <r>
    <n v="81"/>
    <x v="1"/>
    <x v="0"/>
    <x v="4"/>
    <x v="63"/>
    <s v="Rural"/>
    <s v="Masculino"/>
    <x v="0"/>
    <x v="2"/>
  </r>
  <r>
    <n v="82"/>
    <x v="1"/>
    <x v="0"/>
    <x v="4"/>
    <x v="55"/>
    <s v="Rural"/>
    <s v="Femenino"/>
    <x v="0"/>
    <x v="2"/>
  </r>
  <r>
    <n v="83"/>
    <x v="1"/>
    <x v="0"/>
    <x v="4"/>
    <x v="55"/>
    <s v="Rural"/>
    <s v="Femenino"/>
    <x v="0"/>
    <x v="2"/>
  </r>
  <r>
    <n v="84"/>
    <x v="1"/>
    <x v="0"/>
    <x v="1"/>
    <x v="55"/>
    <s v="Rural"/>
    <s v="Masculino"/>
    <x v="0"/>
    <x v="2"/>
  </r>
  <r>
    <n v="85"/>
    <x v="1"/>
    <x v="0"/>
    <x v="1"/>
    <x v="55"/>
    <s v="Rural"/>
    <s v="Femenino"/>
    <x v="0"/>
    <x v="2"/>
  </r>
  <r>
    <n v="86"/>
    <x v="1"/>
    <x v="0"/>
    <x v="1"/>
    <x v="55"/>
    <s v="Rural"/>
    <s v="Masculino"/>
    <x v="0"/>
    <x v="2"/>
  </r>
  <r>
    <n v="87"/>
    <x v="1"/>
    <x v="0"/>
    <x v="1"/>
    <x v="55"/>
    <s v="Rural"/>
    <s v="Masculino"/>
    <x v="1"/>
    <x v="2"/>
  </r>
  <r>
    <n v="88"/>
    <x v="1"/>
    <x v="0"/>
    <x v="0"/>
    <x v="64"/>
    <s v="Rural"/>
    <s v="Femenino"/>
    <x v="1"/>
    <x v="2"/>
  </r>
  <r>
    <n v="89"/>
    <x v="1"/>
    <x v="0"/>
    <x v="0"/>
    <x v="64"/>
    <s v="Rural"/>
    <s v="Masculino"/>
    <x v="0"/>
    <x v="2"/>
  </r>
  <r>
    <n v="90"/>
    <x v="1"/>
    <x v="0"/>
    <x v="1"/>
    <x v="64"/>
    <s v="Rural"/>
    <s v="Masculino"/>
    <x v="0"/>
    <x v="2"/>
  </r>
  <r>
    <n v="91"/>
    <x v="1"/>
    <x v="0"/>
    <x v="1"/>
    <x v="64"/>
    <s v="Rural"/>
    <s v="Femenino"/>
    <x v="0"/>
    <x v="2"/>
  </r>
  <r>
    <n v="92"/>
    <x v="1"/>
    <x v="0"/>
    <x v="1"/>
    <x v="64"/>
    <s v="Rural"/>
    <s v="Femenino"/>
    <x v="1"/>
    <x v="2"/>
  </r>
  <r>
    <n v="93"/>
    <x v="1"/>
    <x v="0"/>
    <x v="1"/>
    <x v="64"/>
    <s v="Rural"/>
    <s v="Masculino"/>
    <x v="1"/>
    <x v="2"/>
  </r>
  <r>
    <n v="94"/>
    <x v="1"/>
    <x v="0"/>
    <x v="0"/>
    <x v="21"/>
    <s v="Rural"/>
    <s v="Masculino"/>
    <x v="1"/>
    <x v="2"/>
  </r>
  <r>
    <n v="95"/>
    <x v="1"/>
    <x v="0"/>
    <x v="0"/>
    <x v="21"/>
    <s v="Rural"/>
    <s v="Femenino"/>
    <x v="1"/>
    <x v="2"/>
  </r>
  <r>
    <n v="96"/>
    <x v="1"/>
    <x v="0"/>
    <x v="0"/>
    <x v="21"/>
    <s v="Rural"/>
    <s v="Femenino"/>
    <x v="1"/>
    <x v="2"/>
  </r>
  <r>
    <n v="97"/>
    <x v="1"/>
    <x v="0"/>
    <x v="0"/>
    <x v="21"/>
    <s v="Rural"/>
    <s v="Masculino"/>
    <x v="0"/>
    <x v="2"/>
  </r>
  <r>
    <n v="98"/>
    <x v="1"/>
    <x v="0"/>
    <x v="0"/>
    <x v="21"/>
    <s v="Rural"/>
    <s v="Masculino"/>
    <x v="0"/>
    <x v="2"/>
  </r>
  <r>
    <n v="99"/>
    <x v="1"/>
    <x v="0"/>
    <x v="0"/>
    <x v="21"/>
    <s v="Rural"/>
    <s v="Femenino"/>
    <x v="1"/>
    <x v="2"/>
  </r>
  <r>
    <n v="100"/>
    <x v="1"/>
    <x v="0"/>
    <x v="0"/>
    <x v="21"/>
    <s v="Rural"/>
    <s v="Femenino"/>
    <x v="1"/>
    <x v="2"/>
  </r>
  <r>
    <n v="101"/>
    <x v="1"/>
    <x v="0"/>
    <x v="0"/>
    <x v="21"/>
    <s v="Rural"/>
    <s v="Femenino"/>
    <x v="1"/>
    <x v="2"/>
  </r>
  <r>
    <n v="102"/>
    <x v="1"/>
    <x v="0"/>
    <x v="0"/>
    <x v="21"/>
    <s v="Rural"/>
    <s v="Femenino"/>
    <x v="0"/>
    <x v="2"/>
  </r>
  <r>
    <n v="103"/>
    <x v="1"/>
    <x v="0"/>
    <x v="0"/>
    <x v="21"/>
    <s v="Rural"/>
    <s v="Masculino"/>
    <x v="1"/>
    <x v="2"/>
  </r>
  <r>
    <n v="104"/>
    <x v="1"/>
    <x v="0"/>
    <x v="0"/>
    <x v="21"/>
    <s v="Rural"/>
    <s v="Femenino"/>
    <x v="1"/>
    <x v="2"/>
  </r>
  <r>
    <n v="105"/>
    <x v="1"/>
    <x v="0"/>
    <x v="0"/>
    <x v="21"/>
    <s v="Rural"/>
    <s v="Femenino"/>
    <x v="1"/>
    <x v="2"/>
  </r>
  <r>
    <n v="106"/>
    <x v="1"/>
    <x v="0"/>
    <x v="0"/>
    <x v="21"/>
    <s v="Rural"/>
    <s v="Masculino"/>
    <x v="0"/>
    <x v="2"/>
  </r>
  <r>
    <n v="107"/>
    <x v="1"/>
    <x v="0"/>
    <x v="0"/>
    <x v="21"/>
    <s v="Rural"/>
    <s v="Femenino"/>
    <x v="1"/>
    <x v="2"/>
  </r>
  <r>
    <n v="108"/>
    <x v="1"/>
    <x v="0"/>
    <x v="0"/>
    <x v="21"/>
    <s v="Rural"/>
    <s v="Masculino"/>
    <x v="0"/>
    <x v="2"/>
  </r>
  <r>
    <n v="109"/>
    <x v="1"/>
    <x v="0"/>
    <x v="0"/>
    <x v="21"/>
    <s v="Rural"/>
    <s v="Femenino"/>
    <x v="0"/>
    <x v="2"/>
  </r>
  <r>
    <n v="110"/>
    <x v="1"/>
    <x v="0"/>
    <x v="0"/>
    <x v="21"/>
    <s v="Rural"/>
    <s v="Masculino"/>
    <x v="1"/>
    <x v="2"/>
  </r>
  <r>
    <n v="111"/>
    <x v="1"/>
    <x v="0"/>
    <x v="4"/>
    <x v="65"/>
    <s v="Rural"/>
    <s v="Femenino"/>
    <x v="0"/>
    <x v="2"/>
  </r>
  <r>
    <n v="112"/>
    <x v="1"/>
    <x v="0"/>
    <x v="0"/>
    <x v="65"/>
    <s v="Rural"/>
    <s v="Masculino"/>
    <x v="1"/>
    <x v="2"/>
  </r>
  <r>
    <n v="113"/>
    <x v="1"/>
    <x v="0"/>
    <x v="1"/>
    <x v="65"/>
    <s v="Rural"/>
    <s v="Femenino"/>
    <x v="1"/>
    <x v="2"/>
  </r>
  <r>
    <n v="114"/>
    <x v="1"/>
    <x v="0"/>
    <x v="1"/>
    <x v="65"/>
    <s v="Rural"/>
    <s v="Femenino"/>
    <x v="1"/>
    <x v="2"/>
  </r>
  <r>
    <n v="115"/>
    <x v="1"/>
    <x v="0"/>
    <x v="1"/>
    <x v="65"/>
    <s v="Rural"/>
    <s v="Masculino"/>
    <x v="1"/>
    <x v="2"/>
  </r>
  <r>
    <n v="116"/>
    <x v="1"/>
    <x v="0"/>
    <x v="4"/>
    <x v="22"/>
    <s v="Rural"/>
    <s v="Femenino"/>
    <x v="0"/>
    <x v="2"/>
  </r>
  <r>
    <n v="117"/>
    <x v="1"/>
    <x v="0"/>
    <x v="4"/>
    <x v="22"/>
    <s v="Rural"/>
    <s v="Femenino"/>
    <x v="1"/>
    <x v="2"/>
  </r>
  <r>
    <n v="118"/>
    <x v="1"/>
    <x v="0"/>
    <x v="4"/>
    <x v="22"/>
    <s v="Rural"/>
    <s v="Femenino"/>
    <x v="1"/>
    <x v="2"/>
  </r>
  <r>
    <n v="119"/>
    <x v="1"/>
    <x v="0"/>
    <x v="4"/>
    <x v="22"/>
    <s v="Rural"/>
    <s v="Femenino"/>
    <x v="1"/>
    <x v="2"/>
  </r>
  <r>
    <n v="120"/>
    <x v="1"/>
    <x v="0"/>
    <x v="4"/>
    <x v="22"/>
    <s v="Rural"/>
    <s v="Femenino"/>
    <x v="1"/>
    <x v="2"/>
  </r>
  <r>
    <n v="121"/>
    <x v="1"/>
    <x v="0"/>
    <x v="4"/>
    <x v="22"/>
    <s v="Rural"/>
    <s v="Masculino"/>
    <x v="0"/>
    <x v="2"/>
  </r>
  <r>
    <n v="122"/>
    <x v="1"/>
    <x v="0"/>
    <x v="4"/>
    <x v="22"/>
    <s v="Rural"/>
    <s v="Femenino"/>
    <x v="0"/>
    <x v="2"/>
  </r>
  <r>
    <n v="123"/>
    <x v="1"/>
    <x v="0"/>
    <x v="4"/>
    <x v="22"/>
    <s v="Rural"/>
    <s v="Femenino"/>
    <x v="0"/>
    <x v="2"/>
  </r>
  <r>
    <n v="124"/>
    <x v="1"/>
    <x v="0"/>
    <x v="4"/>
    <x v="22"/>
    <s v="Rural"/>
    <s v="Femenino"/>
    <x v="1"/>
    <x v="2"/>
  </r>
  <r>
    <n v="125"/>
    <x v="1"/>
    <x v="0"/>
    <x v="4"/>
    <x v="22"/>
    <s v="Rural"/>
    <s v="Femenino"/>
    <x v="1"/>
    <x v="2"/>
  </r>
  <r>
    <n v="126"/>
    <x v="1"/>
    <x v="0"/>
    <x v="4"/>
    <x v="22"/>
    <s v="Rural"/>
    <s v="Femenino"/>
    <x v="1"/>
    <x v="2"/>
  </r>
  <r>
    <n v="127"/>
    <x v="1"/>
    <x v="0"/>
    <x v="4"/>
    <x v="22"/>
    <s v="Rural"/>
    <s v="Femenino"/>
    <x v="1"/>
    <x v="2"/>
  </r>
  <r>
    <n v="128"/>
    <x v="1"/>
    <x v="0"/>
    <x v="4"/>
    <x v="22"/>
    <s v="Rural"/>
    <s v="Femenino"/>
    <x v="0"/>
    <x v="2"/>
  </r>
  <r>
    <n v="129"/>
    <x v="1"/>
    <x v="0"/>
    <x v="4"/>
    <x v="22"/>
    <s v="Rural"/>
    <s v="Femenino"/>
    <x v="1"/>
    <x v="2"/>
  </r>
  <r>
    <n v="130"/>
    <x v="1"/>
    <x v="0"/>
    <x v="4"/>
    <x v="22"/>
    <s v="Rural"/>
    <s v="Masculino"/>
    <x v="1"/>
    <x v="2"/>
  </r>
  <r>
    <n v="131"/>
    <x v="1"/>
    <x v="0"/>
    <x v="0"/>
    <x v="22"/>
    <s v="Rural"/>
    <s v="Masculino"/>
    <x v="0"/>
    <x v="2"/>
  </r>
  <r>
    <n v="132"/>
    <x v="1"/>
    <x v="0"/>
    <x v="0"/>
    <x v="22"/>
    <s v="Rural"/>
    <s v="Femenino"/>
    <x v="0"/>
    <x v="2"/>
  </r>
  <r>
    <n v="133"/>
    <x v="1"/>
    <x v="0"/>
    <x v="0"/>
    <x v="22"/>
    <s v="Rural"/>
    <s v="Femenino"/>
    <x v="1"/>
    <x v="2"/>
  </r>
  <r>
    <n v="134"/>
    <x v="1"/>
    <x v="0"/>
    <x v="0"/>
    <x v="22"/>
    <s v="Rural"/>
    <s v="Masculino"/>
    <x v="0"/>
    <x v="2"/>
  </r>
  <r>
    <n v="135"/>
    <x v="1"/>
    <x v="0"/>
    <x v="0"/>
    <x v="22"/>
    <s v="Rural"/>
    <s v="Femenino"/>
    <x v="2"/>
    <x v="2"/>
  </r>
  <r>
    <n v="136"/>
    <x v="4"/>
    <x v="0"/>
    <x v="4"/>
    <x v="48"/>
    <s v="Rural"/>
    <s v="Femenino"/>
    <x v="1"/>
    <x v="2"/>
  </r>
  <r>
    <n v="137"/>
    <x v="4"/>
    <x v="0"/>
    <x v="4"/>
    <x v="48"/>
    <s v="Rural"/>
    <s v="Femenino"/>
    <x v="1"/>
    <x v="2"/>
  </r>
  <r>
    <n v="138"/>
    <x v="4"/>
    <x v="0"/>
    <x v="4"/>
    <x v="48"/>
    <s v="Rural"/>
    <s v="Masculino"/>
    <x v="0"/>
    <x v="2"/>
  </r>
  <r>
    <n v="139"/>
    <x v="4"/>
    <x v="0"/>
    <x v="4"/>
    <x v="51"/>
    <s v="Rural"/>
    <s v="Masculino"/>
    <x v="0"/>
    <x v="2"/>
  </r>
  <r>
    <n v="140"/>
    <x v="4"/>
    <x v="0"/>
    <x v="4"/>
    <x v="51"/>
    <s v="Rural"/>
    <s v="Femenino"/>
    <x v="0"/>
    <x v="2"/>
  </r>
  <r>
    <n v="141"/>
    <x v="4"/>
    <x v="0"/>
    <x v="4"/>
    <x v="51"/>
    <s v="Rural"/>
    <s v="Femenino"/>
    <x v="0"/>
    <x v="2"/>
  </r>
  <r>
    <n v="142"/>
    <x v="4"/>
    <x v="0"/>
    <x v="4"/>
    <x v="51"/>
    <s v="Rural"/>
    <s v="Femenino"/>
    <x v="0"/>
    <x v="2"/>
  </r>
  <r>
    <n v="143"/>
    <x v="4"/>
    <x v="0"/>
    <x v="0"/>
    <x v="48"/>
    <s v="Rural"/>
    <s v="Femenino"/>
    <x v="0"/>
    <x v="2"/>
  </r>
  <r>
    <n v="144"/>
    <x v="4"/>
    <x v="0"/>
    <x v="0"/>
    <x v="48"/>
    <s v="Rural"/>
    <s v="Femenino"/>
    <x v="0"/>
    <x v="2"/>
  </r>
  <r>
    <n v="145"/>
    <x v="4"/>
    <x v="0"/>
    <x v="0"/>
    <x v="49"/>
    <s v="Rural"/>
    <s v="Masculino"/>
    <x v="0"/>
    <x v="2"/>
  </r>
  <r>
    <n v="146"/>
    <x v="4"/>
    <x v="0"/>
    <x v="0"/>
    <x v="49"/>
    <s v="Rural"/>
    <s v="Femenino"/>
    <x v="0"/>
    <x v="2"/>
  </r>
  <r>
    <n v="147"/>
    <x v="4"/>
    <x v="0"/>
    <x v="0"/>
    <x v="49"/>
    <s v="Rural"/>
    <s v="Masculino"/>
    <x v="0"/>
    <x v="2"/>
  </r>
  <r>
    <n v="148"/>
    <x v="4"/>
    <x v="0"/>
    <x v="0"/>
    <x v="49"/>
    <s v="Rural"/>
    <s v="Masculino"/>
    <x v="0"/>
    <x v="2"/>
  </r>
  <r>
    <n v="149"/>
    <x v="4"/>
    <x v="0"/>
    <x v="0"/>
    <x v="49"/>
    <s v="Rural"/>
    <s v="Masculino"/>
    <x v="0"/>
    <x v="2"/>
  </r>
  <r>
    <n v="150"/>
    <x v="4"/>
    <x v="0"/>
    <x v="0"/>
    <x v="49"/>
    <s v="Rural"/>
    <s v="Masculino"/>
    <x v="0"/>
    <x v="2"/>
  </r>
  <r>
    <n v="151"/>
    <x v="4"/>
    <x v="0"/>
    <x v="0"/>
    <x v="49"/>
    <s v="Rural"/>
    <s v="Masculino"/>
    <x v="0"/>
    <x v="2"/>
  </r>
  <r>
    <n v="152"/>
    <x v="4"/>
    <x v="0"/>
    <x v="0"/>
    <x v="49"/>
    <s v="Rural"/>
    <s v="Masculino"/>
    <x v="0"/>
    <x v="2"/>
  </r>
  <r>
    <n v="153"/>
    <x v="4"/>
    <x v="0"/>
    <x v="0"/>
    <x v="49"/>
    <s v="Rural"/>
    <s v="Femenino"/>
    <x v="0"/>
    <x v="2"/>
  </r>
  <r>
    <n v="154"/>
    <x v="4"/>
    <x v="0"/>
    <x v="0"/>
    <x v="49"/>
    <s v="Rural"/>
    <s v="Femenino"/>
    <x v="0"/>
    <x v="2"/>
  </r>
  <r>
    <n v="155"/>
    <x v="4"/>
    <x v="0"/>
    <x v="0"/>
    <x v="49"/>
    <s v="Rural"/>
    <s v="Femenino"/>
    <x v="0"/>
    <x v="2"/>
  </r>
  <r>
    <n v="156"/>
    <x v="4"/>
    <x v="0"/>
    <x v="0"/>
    <x v="49"/>
    <s v="Rural"/>
    <s v="Femenino"/>
    <x v="0"/>
    <x v="2"/>
  </r>
  <r>
    <n v="157"/>
    <x v="4"/>
    <x v="0"/>
    <x v="0"/>
    <x v="49"/>
    <s v="Rural"/>
    <s v="Femenino"/>
    <x v="0"/>
    <x v="2"/>
  </r>
  <r>
    <n v="158"/>
    <x v="4"/>
    <x v="0"/>
    <x v="0"/>
    <x v="51"/>
    <s v="Rural"/>
    <s v="Masculino"/>
    <x v="0"/>
    <x v="2"/>
  </r>
  <r>
    <n v="159"/>
    <x v="4"/>
    <x v="0"/>
    <x v="0"/>
    <x v="51"/>
    <s v="Rural"/>
    <s v="Masculino"/>
    <x v="0"/>
    <x v="2"/>
  </r>
  <r>
    <n v="160"/>
    <x v="4"/>
    <x v="0"/>
    <x v="0"/>
    <x v="51"/>
    <s v="Rural"/>
    <s v="Masculino"/>
    <x v="0"/>
    <x v="2"/>
  </r>
  <r>
    <n v="161"/>
    <x v="4"/>
    <x v="0"/>
    <x v="0"/>
    <x v="51"/>
    <s v="Rural"/>
    <s v="Femenino"/>
    <x v="0"/>
    <x v="2"/>
  </r>
  <r>
    <n v="162"/>
    <x v="4"/>
    <x v="0"/>
    <x v="1"/>
    <x v="48"/>
    <s v="Rural"/>
    <s v="Masculino"/>
    <x v="0"/>
    <x v="2"/>
  </r>
  <r>
    <n v="163"/>
    <x v="4"/>
    <x v="0"/>
    <x v="1"/>
    <x v="48"/>
    <s v="Rural"/>
    <s v="Masculino"/>
    <x v="0"/>
    <x v="2"/>
  </r>
  <r>
    <n v="164"/>
    <x v="4"/>
    <x v="0"/>
    <x v="1"/>
    <x v="48"/>
    <s v="Rural"/>
    <s v="Femenino"/>
    <x v="0"/>
    <x v="2"/>
  </r>
  <r>
    <n v="165"/>
    <x v="4"/>
    <x v="0"/>
    <x v="1"/>
    <x v="48"/>
    <s v="Rural"/>
    <s v="Femenino"/>
    <x v="0"/>
    <x v="2"/>
  </r>
  <r>
    <n v="166"/>
    <x v="4"/>
    <x v="0"/>
    <x v="1"/>
    <x v="49"/>
    <s v="Rural"/>
    <s v="Femenino"/>
    <x v="0"/>
    <x v="2"/>
  </r>
  <r>
    <n v="167"/>
    <x v="4"/>
    <x v="0"/>
    <x v="1"/>
    <x v="49"/>
    <s v="Rural"/>
    <s v="Masculino"/>
    <x v="0"/>
    <x v="2"/>
  </r>
  <r>
    <n v="168"/>
    <x v="4"/>
    <x v="0"/>
    <x v="1"/>
    <x v="49"/>
    <s v="Rural"/>
    <s v="Masculino"/>
    <x v="0"/>
    <x v="2"/>
  </r>
  <r>
    <n v="169"/>
    <x v="4"/>
    <x v="0"/>
    <x v="1"/>
    <x v="49"/>
    <s v="Rural"/>
    <s v="Masculino"/>
    <x v="0"/>
    <x v="2"/>
  </r>
  <r>
    <n v="170"/>
    <x v="4"/>
    <x v="0"/>
    <x v="1"/>
    <x v="49"/>
    <s v="Rural"/>
    <s v="Masculino"/>
    <x v="0"/>
    <x v="2"/>
  </r>
  <r>
    <n v="171"/>
    <x v="4"/>
    <x v="0"/>
    <x v="1"/>
    <x v="49"/>
    <s v="Rural"/>
    <s v="Femenino"/>
    <x v="0"/>
    <x v="2"/>
  </r>
  <r>
    <n v="172"/>
    <x v="4"/>
    <x v="0"/>
    <x v="1"/>
    <x v="49"/>
    <s v="Rural"/>
    <s v="Femenino"/>
    <x v="0"/>
    <x v="2"/>
  </r>
  <r>
    <n v="173"/>
    <x v="4"/>
    <x v="0"/>
    <x v="1"/>
    <x v="49"/>
    <s v="Rural"/>
    <s v="Masculino"/>
    <x v="0"/>
    <x v="2"/>
  </r>
  <r>
    <n v="174"/>
    <x v="4"/>
    <x v="0"/>
    <x v="1"/>
    <x v="51"/>
    <s v="Rural"/>
    <s v="Masculino"/>
    <x v="0"/>
    <x v="2"/>
  </r>
  <r>
    <n v="175"/>
    <x v="4"/>
    <x v="0"/>
    <x v="1"/>
    <x v="51"/>
    <s v="Rural"/>
    <s v="Masculino"/>
    <x v="0"/>
    <x v="2"/>
  </r>
  <r>
    <n v="176"/>
    <x v="4"/>
    <x v="0"/>
    <x v="1"/>
    <x v="51"/>
    <s v="Rural"/>
    <s v="Masculino"/>
    <x v="0"/>
    <x v="2"/>
  </r>
  <r>
    <n v="177"/>
    <x v="0"/>
    <x v="0"/>
    <x v="4"/>
    <x v="7"/>
    <s v="Rural"/>
    <s v="Masculino"/>
    <x v="0"/>
    <x v="2"/>
  </r>
  <r>
    <n v="178"/>
    <x v="0"/>
    <x v="0"/>
    <x v="0"/>
    <x v="7"/>
    <s v="Rural"/>
    <s v="Femenino"/>
    <x v="0"/>
    <x v="2"/>
  </r>
  <r>
    <n v="179"/>
    <x v="0"/>
    <x v="0"/>
    <x v="0"/>
    <x v="7"/>
    <s v="Rural"/>
    <s v="Femenino"/>
    <x v="1"/>
    <x v="2"/>
  </r>
  <r>
    <n v="180"/>
    <x v="0"/>
    <x v="0"/>
    <x v="0"/>
    <x v="7"/>
    <s v="Rural"/>
    <s v="Masculino"/>
    <x v="1"/>
    <x v="2"/>
  </r>
  <r>
    <n v="181"/>
    <x v="0"/>
    <x v="0"/>
    <x v="1"/>
    <x v="7"/>
    <s v="Rural"/>
    <s v="Femenino"/>
    <x v="1"/>
    <x v="2"/>
  </r>
  <r>
    <n v="182"/>
    <x v="0"/>
    <x v="0"/>
    <x v="1"/>
    <x v="7"/>
    <s v="Rural"/>
    <s v="Masculino"/>
    <x v="1"/>
    <x v="2"/>
  </r>
  <r>
    <n v="183"/>
    <x v="0"/>
    <x v="0"/>
    <x v="4"/>
    <x v="13"/>
    <s v="Rural"/>
    <s v="Masculino"/>
    <x v="1"/>
    <x v="2"/>
  </r>
  <r>
    <n v="184"/>
    <x v="0"/>
    <x v="0"/>
    <x v="1"/>
    <x v="13"/>
    <s v="Rural"/>
    <s v="Femenino"/>
    <x v="1"/>
    <x v="2"/>
  </r>
  <r>
    <n v="185"/>
    <x v="0"/>
    <x v="0"/>
    <x v="4"/>
    <x v="4"/>
    <s v="Rural"/>
    <s v="Femenino"/>
    <x v="2"/>
    <x v="2"/>
  </r>
  <r>
    <n v="186"/>
    <x v="0"/>
    <x v="0"/>
    <x v="4"/>
    <x v="4"/>
    <s v="Rural"/>
    <s v="Masculino"/>
    <x v="1"/>
    <x v="2"/>
  </r>
  <r>
    <n v="187"/>
    <x v="0"/>
    <x v="0"/>
    <x v="4"/>
    <x v="4"/>
    <s v="Rural"/>
    <s v="Femenino"/>
    <x v="1"/>
    <x v="2"/>
  </r>
  <r>
    <n v="188"/>
    <x v="0"/>
    <x v="0"/>
    <x v="4"/>
    <x v="4"/>
    <s v="Rural"/>
    <s v="Masculino"/>
    <x v="1"/>
    <x v="2"/>
  </r>
  <r>
    <n v="189"/>
    <x v="0"/>
    <x v="0"/>
    <x v="4"/>
    <x v="4"/>
    <s v="Rural"/>
    <s v="Masculino"/>
    <x v="1"/>
    <x v="2"/>
  </r>
  <r>
    <n v="190"/>
    <x v="0"/>
    <x v="0"/>
    <x v="4"/>
    <x v="4"/>
    <s v="Rural"/>
    <s v="Masculino"/>
    <x v="1"/>
    <x v="2"/>
  </r>
  <r>
    <n v="191"/>
    <x v="0"/>
    <x v="0"/>
    <x v="4"/>
    <x v="4"/>
    <s v="Rural"/>
    <s v="Masculino"/>
    <x v="1"/>
    <x v="2"/>
  </r>
  <r>
    <n v="192"/>
    <x v="0"/>
    <x v="0"/>
    <x v="4"/>
    <x v="4"/>
    <s v="Rural"/>
    <s v="Femenino"/>
    <x v="1"/>
    <x v="2"/>
  </r>
  <r>
    <n v="193"/>
    <x v="0"/>
    <x v="0"/>
    <x v="4"/>
    <x v="4"/>
    <s v="Rural"/>
    <s v="Femenino"/>
    <x v="1"/>
    <x v="2"/>
  </r>
  <r>
    <n v="194"/>
    <x v="0"/>
    <x v="0"/>
    <x v="4"/>
    <x v="4"/>
    <s v="Rural"/>
    <s v="Masculino"/>
    <x v="1"/>
    <x v="2"/>
  </r>
  <r>
    <n v="195"/>
    <x v="0"/>
    <x v="0"/>
    <x v="4"/>
    <x v="4"/>
    <s v="Rural"/>
    <s v="Masculino"/>
    <x v="1"/>
    <x v="2"/>
  </r>
  <r>
    <n v="196"/>
    <x v="0"/>
    <x v="0"/>
    <x v="4"/>
    <x v="4"/>
    <s v="Rural"/>
    <s v="Masculino"/>
    <x v="0"/>
    <x v="2"/>
  </r>
  <r>
    <n v="197"/>
    <x v="0"/>
    <x v="0"/>
    <x v="4"/>
    <x v="4"/>
    <s v="Rural"/>
    <s v="Masculino"/>
    <x v="0"/>
    <x v="2"/>
  </r>
  <r>
    <n v="198"/>
    <x v="0"/>
    <x v="0"/>
    <x v="4"/>
    <x v="4"/>
    <s v="Rural"/>
    <s v="Femenino"/>
    <x v="0"/>
    <x v="2"/>
  </r>
  <r>
    <n v="199"/>
    <x v="0"/>
    <x v="0"/>
    <x v="0"/>
    <x v="4"/>
    <s v="Rural"/>
    <s v="Femenino"/>
    <x v="1"/>
    <x v="2"/>
  </r>
  <r>
    <n v="200"/>
    <x v="0"/>
    <x v="0"/>
    <x v="0"/>
    <x v="4"/>
    <s v="Rural"/>
    <s v="Masculino"/>
    <x v="1"/>
    <x v="2"/>
  </r>
  <r>
    <n v="201"/>
    <x v="0"/>
    <x v="0"/>
    <x v="0"/>
    <x v="4"/>
    <s v="Rural"/>
    <s v="Femenino"/>
    <x v="0"/>
    <x v="2"/>
  </r>
  <r>
    <n v="202"/>
    <x v="0"/>
    <x v="0"/>
    <x v="0"/>
    <x v="4"/>
    <s v="Rural"/>
    <s v="Masculino"/>
    <x v="0"/>
    <x v="2"/>
  </r>
  <r>
    <n v="203"/>
    <x v="0"/>
    <x v="0"/>
    <x v="0"/>
    <x v="4"/>
    <s v="Rural"/>
    <s v="Masculino"/>
    <x v="0"/>
    <x v="2"/>
  </r>
  <r>
    <n v="204"/>
    <x v="0"/>
    <x v="0"/>
    <x v="0"/>
    <x v="4"/>
    <s v="Rural"/>
    <s v="Masculino"/>
    <x v="0"/>
    <x v="2"/>
  </r>
  <r>
    <n v="205"/>
    <x v="0"/>
    <x v="0"/>
    <x v="0"/>
    <x v="4"/>
    <s v="Rural"/>
    <s v="Femenino"/>
    <x v="0"/>
    <x v="2"/>
  </r>
  <r>
    <n v="206"/>
    <x v="0"/>
    <x v="0"/>
    <x v="0"/>
    <x v="4"/>
    <s v="Rural"/>
    <s v="Femenino"/>
    <x v="0"/>
    <x v="2"/>
  </r>
  <r>
    <n v="207"/>
    <x v="0"/>
    <x v="0"/>
    <x v="0"/>
    <x v="4"/>
    <s v="Rural"/>
    <s v="Femenino"/>
    <x v="0"/>
    <x v="2"/>
  </r>
  <r>
    <n v="208"/>
    <x v="0"/>
    <x v="0"/>
    <x v="0"/>
    <x v="4"/>
    <s v="Rural"/>
    <s v="Femenino"/>
    <x v="0"/>
    <x v="2"/>
  </r>
  <r>
    <n v="209"/>
    <x v="0"/>
    <x v="0"/>
    <x v="0"/>
    <x v="4"/>
    <s v="Rural"/>
    <s v="Masculino"/>
    <x v="0"/>
    <x v="2"/>
  </r>
  <r>
    <n v="210"/>
    <x v="0"/>
    <x v="0"/>
    <x v="0"/>
    <x v="4"/>
    <s v="Rural"/>
    <s v="Masculino"/>
    <x v="0"/>
    <x v="2"/>
  </r>
  <r>
    <n v="211"/>
    <x v="0"/>
    <x v="0"/>
    <x v="0"/>
    <x v="4"/>
    <s v="Rural"/>
    <s v="Masculino"/>
    <x v="1"/>
    <x v="2"/>
  </r>
  <r>
    <n v="212"/>
    <x v="0"/>
    <x v="0"/>
    <x v="1"/>
    <x v="4"/>
    <s v="Rural"/>
    <s v="Masculino"/>
    <x v="1"/>
    <x v="2"/>
  </r>
  <r>
    <n v="213"/>
    <x v="0"/>
    <x v="0"/>
    <x v="1"/>
    <x v="4"/>
    <s v="Rural"/>
    <s v="Femenino"/>
    <x v="1"/>
    <x v="2"/>
  </r>
  <r>
    <n v="214"/>
    <x v="0"/>
    <x v="0"/>
    <x v="1"/>
    <x v="4"/>
    <s v="Rural"/>
    <s v="Masculino"/>
    <x v="1"/>
    <x v="2"/>
  </r>
  <r>
    <n v="215"/>
    <x v="0"/>
    <x v="0"/>
    <x v="1"/>
    <x v="4"/>
    <s v="Rural"/>
    <s v="Masculino"/>
    <x v="0"/>
    <x v="2"/>
  </r>
  <r>
    <n v="216"/>
    <x v="0"/>
    <x v="0"/>
    <x v="1"/>
    <x v="4"/>
    <s v="Rural"/>
    <s v="Masculino"/>
    <x v="1"/>
    <x v="2"/>
  </r>
  <r>
    <n v="217"/>
    <x v="0"/>
    <x v="0"/>
    <x v="1"/>
    <x v="4"/>
    <s v="Rural"/>
    <s v="Femenino"/>
    <x v="1"/>
    <x v="2"/>
  </r>
  <r>
    <n v="218"/>
    <x v="0"/>
    <x v="0"/>
    <x v="1"/>
    <x v="4"/>
    <s v="Rural"/>
    <s v="Femenino"/>
    <x v="1"/>
    <x v="2"/>
  </r>
  <r>
    <n v="219"/>
    <x v="0"/>
    <x v="0"/>
    <x v="1"/>
    <x v="4"/>
    <s v="Rural"/>
    <s v="Femenino"/>
    <x v="1"/>
    <x v="2"/>
  </r>
  <r>
    <n v="220"/>
    <x v="0"/>
    <x v="0"/>
    <x v="1"/>
    <x v="4"/>
    <s v="Rural"/>
    <s v="Femenino"/>
    <x v="2"/>
    <x v="2"/>
  </r>
  <r>
    <n v="221"/>
    <x v="0"/>
    <x v="0"/>
    <x v="1"/>
    <x v="4"/>
    <s v="Rural"/>
    <s v="Masculino"/>
    <x v="2"/>
    <x v="2"/>
  </r>
  <r>
    <n v="222"/>
    <x v="0"/>
    <x v="0"/>
    <x v="1"/>
    <x v="4"/>
    <s v="Rural"/>
    <s v="Masculino"/>
    <x v="1"/>
    <x v="2"/>
  </r>
  <r>
    <n v="223"/>
    <x v="0"/>
    <x v="0"/>
    <x v="1"/>
    <x v="4"/>
    <s v="Rural"/>
    <s v="Femenino"/>
    <x v="1"/>
    <x v="2"/>
  </r>
  <r>
    <n v="224"/>
    <x v="0"/>
    <x v="0"/>
    <x v="1"/>
    <x v="4"/>
    <s v="Rural"/>
    <s v="Femenino"/>
    <x v="1"/>
    <x v="2"/>
  </r>
  <r>
    <n v="225"/>
    <x v="0"/>
    <x v="0"/>
    <x v="1"/>
    <x v="4"/>
    <s v="Rural"/>
    <s v="Masculino"/>
    <x v="1"/>
    <x v="2"/>
  </r>
  <r>
    <n v="226"/>
    <x v="0"/>
    <x v="0"/>
    <x v="1"/>
    <x v="4"/>
    <s v="Rural"/>
    <s v="Masculino"/>
    <x v="2"/>
    <x v="2"/>
  </r>
  <r>
    <n v="227"/>
    <x v="0"/>
    <x v="0"/>
    <x v="4"/>
    <x v="5"/>
    <s v="Rural"/>
    <s v="Masculino"/>
    <x v="0"/>
    <x v="2"/>
  </r>
  <r>
    <n v="228"/>
    <x v="0"/>
    <x v="0"/>
    <x v="4"/>
    <x v="5"/>
    <s v="Rural"/>
    <s v="Masculino"/>
    <x v="2"/>
    <x v="2"/>
  </r>
  <r>
    <n v="229"/>
    <x v="0"/>
    <x v="0"/>
    <x v="4"/>
    <x v="5"/>
    <s v="Rural"/>
    <s v="Femenino"/>
    <x v="1"/>
    <x v="2"/>
  </r>
  <r>
    <n v="230"/>
    <x v="0"/>
    <x v="0"/>
    <x v="4"/>
    <x v="5"/>
    <s v="Rural"/>
    <s v="Femenino"/>
    <x v="2"/>
    <x v="2"/>
  </r>
  <r>
    <n v="231"/>
    <x v="0"/>
    <x v="0"/>
    <x v="4"/>
    <x v="5"/>
    <s v="Rural"/>
    <s v="Femenino"/>
    <x v="1"/>
    <x v="2"/>
  </r>
  <r>
    <n v="232"/>
    <x v="0"/>
    <x v="0"/>
    <x v="4"/>
    <x v="5"/>
    <s v="Rural"/>
    <s v="Masculino"/>
    <x v="0"/>
    <x v="2"/>
  </r>
  <r>
    <n v="233"/>
    <x v="0"/>
    <x v="0"/>
    <x v="4"/>
    <x v="5"/>
    <s v="Rural"/>
    <s v="Masculino"/>
    <x v="1"/>
    <x v="2"/>
  </r>
  <r>
    <n v="234"/>
    <x v="0"/>
    <x v="0"/>
    <x v="4"/>
    <x v="5"/>
    <s v="Rural"/>
    <s v="Femenino"/>
    <x v="0"/>
    <x v="2"/>
  </r>
  <r>
    <n v="235"/>
    <x v="0"/>
    <x v="0"/>
    <x v="4"/>
    <x v="5"/>
    <s v="Rural"/>
    <s v="Femenino"/>
    <x v="2"/>
    <x v="2"/>
  </r>
  <r>
    <n v="236"/>
    <x v="0"/>
    <x v="0"/>
    <x v="4"/>
    <x v="5"/>
    <s v="Rural"/>
    <s v="Femenino"/>
    <x v="0"/>
    <x v="2"/>
  </r>
  <r>
    <n v="237"/>
    <x v="0"/>
    <x v="0"/>
    <x v="4"/>
    <x v="5"/>
    <s v="Rural"/>
    <s v="Masculino"/>
    <x v="0"/>
    <x v="2"/>
  </r>
  <r>
    <n v="238"/>
    <x v="0"/>
    <x v="0"/>
    <x v="4"/>
    <x v="5"/>
    <s v="Rural"/>
    <s v="Masculino"/>
    <x v="0"/>
    <x v="2"/>
  </r>
  <r>
    <n v="239"/>
    <x v="0"/>
    <x v="0"/>
    <x v="4"/>
    <x v="5"/>
    <s v="Rural"/>
    <s v="Femenino"/>
    <x v="0"/>
    <x v="2"/>
  </r>
  <r>
    <n v="240"/>
    <x v="0"/>
    <x v="0"/>
    <x v="4"/>
    <x v="5"/>
    <s v="Rural"/>
    <s v="Femenino"/>
    <x v="1"/>
    <x v="2"/>
  </r>
  <r>
    <n v="241"/>
    <x v="0"/>
    <x v="0"/>
    <x v="4"/>
    <x v="5"/>
    <s v="Rural"/>
    <s v="Masculino"/>
    <x v="1"/>
    <x v="2"/>
  </r>
  <r>
    <n v="242"/>
    <x v="0"/>
    <x v="0"/>
    <x v="4"/>
    <x v="5"/>
    <s v="Rural"/>
    <s v="Masculino"/>
    <x v="0"/>
    <x v="2"/>
  </r>
  <r>
    <n v="243"/>
    <x v="0"/>
    <x v="0"/>
    <x v="4"/>
    <x v="5"/>
    <s v="Rural"/>
    <s v="Masculino"/>
    <x v="2"/>
    <x v="2"/>
  </r>
  <r>
    <n v="244"/>
    <x v="0"/>
    <x v="0"/>
    <x v="4"/>
    <x v="5"/>
    <s v="Rural"/>
    <s v="Masculino"/>
    <x v="1"/>
    <x v="2"/>
  </r>
  <r>
    <n v="245"/>
    <x v="0"/>
    <x v="0"/>
    <x v="4"/>
    <x v="5"/>
    <s v="Rural"/>
    <s v="Femenino"/>
    <x v="1"/>
    <x v="2"/>
  </r>
  <r>
    <n v="246"/>
    <x v="0"/>
    <x v="0"/>
    <x v="4"/>
    <x v="5"/>
    <s v="Rural"/>
    <s v="Masculino"/>
    <x v="0"/>
    <x v="2"/>
  </r>
  <r>
    <n v="247"/>
    <x v="0"/>
    <x v="0"/>
    <x v="4"/>
    <x v="5"/>
    <s v="Rural"/>
    <s v="Femenino"/>
    <x v="2"/>
    <x v="2"/>
  </r>
  <r>
    <n v="248"/>
    <x v="0"/>
    <x v="0"/>
    <x v="4"/>
    <x v="5"/>
    <s v="Rural"/>
    <s v="Masculino"/>
    <x v="0"/>
    <x v="2"/>
  </r>
  <r>
    <n v="249"/>
    <x v="0"/>
    <x v="0"/>
    <x v="4"/>
    <x v="5"/>
    <s v="Rural"/>
    <s v="Masculino"/>
    <x v="0"/>
    <x v="2"/>
  </r>
  <r>
    <n v="250"/>
    <x v="0"/>
    <x v="0"/>
    <x v="4"/>
    <x v="5"/>
    <s v="Rural"/>
    <s v="Femenino"/>
    <x v="2"/>
    <x v="2"/>
  </r>
  <r>
    <n v="251"/>
    <x v="0"/>
    <x v="0"/>
    <x v="4"/>
    <x v="5"/>
    <s v="Rural"/>
    <s v="Femenino"/>
    <x v="1"/>
    <x v="2"/>
  </r>
  <r>
    <n v="252"/>
    <x v="0"/>
    <x v="0"/>
    <x v="4"/>
    <x v="5"/>
    <s v="Rural"/>
    <s v="Masculino"/>
    <x v="1"/>
    <x v="2"/>
  </r>
  <r>
    <n v="253"/>
    <x v="0"/>
    <x v="0"/>
    <x v="4"/>
    <x v="5"/>
    <s v="Rural"/>
    <s v="Masculino"/>
    <x v="0"/>
    <x v="2"/>
  </r>
  <r>
    <n v="254"/>
    <x v="0"/>
    <x v="0"/>
    <x v="4"/>
    <x v="5"/>
    <s v="Rural"/>
    <s v="Femenino"/>
    <x v="2"/>
    <x v="2"/>
  </r>
  <r>
    <n v="255"/>
    <x v="0"/>
    <x v="0"/>
    <x v="4"/>
    <x v="5"/>
    <s v="Rural"/>
    <s v="Femenino"/>
    <x v="1"/>
    <x v="2"/>
  </r>
  <r>
    <n v="256"/>
    <x v="0"/>
    <x v="0"/>
    <x v="4"/>
    <x v="5"/>
    <s v="Rural"/>
    <s v="Femenino"/>
    <x v="2"/>
    <x v="2"/>
  </r>
  <r>
    <n v="257"/>
    <x v="0"/>
    <x v="0"/>
    <x v="4"/>
    <x v="5"/>
    <s v="Rural"/>
    <s v="Femenino"/>
    <x v="1"/>
    <x v="2"/>
  </r>
  <r>
    <n v="258"/>
    <x v="0"/>
    <x v="0"/>
    <x v="4"/>
    <x v="5"/>
    <s v="Rural"/>
    <s v="Femenino"/>
    <x v="1"/>
    <x v="2"/>
  </r>
  <r>
    <n v="259"/>
    <x v="0"/>
    <x v="0"/>
    <x v="4"/>
    <x v="5"/>
    <s v="Rural"/>
    <s v="Masculino"/>
    <x v="1"/>
    <x v="2"/>
  </r>
  <r>
    <n v="260"/>
    <x v="0"/>
    <x v="0"/>
    <x v="4"/>
    <x v="5"/>
    <s v="Rural"/>
    <s v="Masculino"/>
    <x v="1"/>
    <x v="2"/>
  </r>
  <r>
    <n v="261"/>
    <x v="0"/>
    <x v="0"/>
    <x v="4"/>
    <x v="5"/>
    <s v="Rural"/>
    <s v="Masculino"/>
    <x v="0"/>
    <x v="2"/>
  </r>
  <r>
    <n v="262"/>
    <x v="0"/>
    <x v="0"/>
    <x v="4"/>
    <x v="5"/>
    <s v="Rural"/>
    <s v="Femenino"/>
    <x v="0"/>
    <x v="2"/>
  </r>
  <r>
    <n v="263"/>
    <x v="0"/>
    <x v="0"/>
    <x v="4"/>
    <x v="5"/>
    <s v="Rural"/>
    <s v="Femenino"/>
    <x v="1"/>
    <x v="2"/>
  </r>
  <r>
    <n v="264"/>
    <x v="0"/>
    <x v="0"/>
    <x v="4"/>
    <x v="5"/>
    <s v="Rural"/>
    <s v="Femenino"/>
    <x v="1"/>
    <x v="2"/>
  </r>
  <r>
    <n v="265"/>
    <x v="0"/>
    <x v="0"/>
    <x v="4"/>
    <x v="5"/>
    <s v="Rural"/>
    <s v="Femenino"/>
    <x v="1"/>
    <x v="2"/>
  </r>
  <r>
    <n v="266"/>
    <x v="0"/>
    <x v="0"/>
    <x v="4"/>
    <x v="5"/>
    <s v="Rural"/>
    <s v="Femenino"/>
    <x v="0"/>
    <x v="2"/>
  </r>
  <r>
    <n v="267"/>
    <x v="0"/>
    <x v="0"/>
    <x v="4"/>
    <x v="5"/>
    <s v="Rural"/>
    <s v="Masculino"/>
    <x v="0"/>
    <x v="2"/>
  </r>
  <r>
    <n v="268"/>
    <x v="0"/>
    <x v="0"/>
    <x v="4"/>
    <x v="5"/>
    <s v="Rural"/>
    <s v="Masculino"/>
    <x v="1"/>
    <x v="2"/>
  </r>
  <r>
    <n v="269"/>
    <x v="0"/>
    <x v="0"/>
    <x v="4"/>
    <x v="5"/>
    <s v="Rural"/>
    <s v="Masculino"/>
    <x v="1"/>
    <x v="2"/>
  </r>
  <r>
    <n v="270"/>
    <x v="0"/>
    <x v="0"/>
    <x v="4"/>
    <x v="5"/>
    <s v="Rural"/>
    <s v="Femenino"/>
    <x v="1"/>
    <x v="2"/>
  </r>
  <r>
    <n v="271"/>
    <x v="0"/>
    <x v="0"/>
    <x v="4"/>
    <x v="5"/>
    <s v="Rural"/>
    <s v="Masculino"/>
    <x v="1"/>
    <x v="2"/>
  </r>
  <r>
    <n v="272"/>
    <x v="0"/>
    <x v="0"/>
    <x v="4"/>
    <x v="5"/>
    <s v="Rural"/>
    <s v="Masculino"/>
    <x v="1"/>
    <x v="2"/>
  </r>
  <r>
    <n v="273"/>
    <x v="0"/>
    <x v="0"/>
    <x v="4"/>
    <x v="5"/>
    <s v="Rural"/>
    <s v="Femenino"/>
    <x v="0"/>
    <x v="2"/>
  </r>
  <r>
    <n v="274"/>
    <x v="0"/>
    <x v="0"/>
    <x v="4"/>
    <x v="5"/>
    <s v="Rural"/>
    <s v="Masculino"/>
    <x v="0"/>
    <x v="2"/>
  </r>
  <r>
    <n v="275"/>
    <x v="0"/>
    <x v="0"/>
    <x v="4"/>
    <x v="5"/>
    <s v="Rural"/>
    <s v="Femenino"/>
    <x v="1"/>
    <x v="2"/>
  </r>
  <r>
    <n v="276"/>
    <x v="0"/>
    <x v="0"/>
    <x v="4"/>
    <x v="5"/>
    <s v="Rural"/>
    <s v="Femenino"/>
    <x v="0"/>
    <x v="2"/>
  </r>
  <r>
    <n v="277"/>
    <x v="0"/>
    <x v="0"/>
    <x v="4"/>
    <x v="5"/>
    <s v="Rural"/>
    <s v="Masculino"/>
    <x v="1"/>
    <x v="2"/>
  </r>
  <r>
    <n v="278"/>
    <x v="0"/>
    <x v="0"/>
    <x v="4"/>
    <x v="5"/>
    <s v="Rural"/>
    <s v="Masculino"/>
    <x v="1"/>
    <x v="2"/>
  </r>
  <r>
    <n v="279"/>
    <x v="0"/>
    <x v="0"/>
    <x v="4"/>
    <x v="5"/>
    <s v="Rural"/>
    <s v="Masculino"/>
    <x v="2"/>
    <x v="2"/>
  </r>
  <r>
    <n v="280"/>
    <x v="0"/>
    <x v="0"/>
    <x v="4"/>
    <x v="5"/>
    <s v="Rural"/>
    <s v="Femenino"/>
    <x v="2"/>
    <x v="2"/>
  </r>
  <r>
    <n v="281"/>
    <x v="0"/>
    <x v="0"/>
    <x v="4"/>
    <x v="5"/>
    <s v="Rural"/>
    <s v="Masculino"/>
    <x v="2"/>
    <x v="2"/>
  </r>
  <r>
    <n v="282"/>
    <x v="0"/>
    <x v="0"/>
    <x v="4"/>
    <x v="5"/>
    <s v="Rural"/>
    <s v="Masculino"/>
    <x v="0"/>
    <x v="2"/>
  </r>
  <r>
    <n v="283"/>
    <x v="0"/>
    <x v="0"/>
    <x v="4"/>
    <x v="5"/>
    <s v="Rural"/>
    <s v="Femenino"/>
    <x v="1"/>
    <x v="2"/>
  </r>
  <r>
    <n v="284"/>
    <x v="0"/>
    <x v="0"/>
    <x v="0"/>
    <x v="5"/>
    <s v="Rural"/>
    <s v="Femenino"/>
    <x v="1"/>
    <x v="2"/>
  </r>
  <r>
    <n v="285"/>
    <x v="0"/>
    <x v="0"/>
    <x v="0"/>
    <x v="5"/>
    <s v="Rural"/>
    <s v="Masculino"/>
    <x v="1"/>
    <x v="2"/>
  </r>
  <r>
    <n v="286"/>
    <x v="0"/>
    <x v="0"/>
    <x v="0"/>
    <x v="5"/>
    <s v="Rural"/>
    <s v="Femenino"/>
    <x v="0"/>
    <x v="2"/>
  </r>
  <r>
    <n v="287"/>
    <x v="0"/>
    <x v="0"/>
    <x v="0"/>
    <x v="5"/>
    <s v="Rural"/>
    <s v="Femenino"/>
    <x v="0"/>
    <x v="2"/>
  </r>
  <r>
    <n v="288"/>
    <x v="0"/>
    <x v="0"/>
    <x v="0"/>
    <x v="5"/>
    <s v="Rural"/>
    <s v="Femenino"/>
    <x v="1"/>
    <x v="2"/>
  </r>
  <r>
    <n v="289"/>
    <x v="0"/>
    <x v="0"/>
    <x v="0"/>
    <x v="5"/>
    <s v="Rural"/>
    <s v="Femenino"/>
    <x v="0"/>
    <x v="2"/>
  </r>
  <r>
    <n v="290"/>
    <x v="0"/>
    <x v="0"/>
    <x v="0"/>
    <x v="5"/>
    <s v="Rural"/>
    <s v="Femenino"/>
    <x v="0"/>
    <x v="2"/>
  </r>
  <r>
    <n v="291"/>
    <x v="0"/>
    <x v="0"/>
    <x v="0"/>
    <x v="5"/>
    <s v="Rural"/>
    <s v="Masculino"/>
    <x v="0"/>
    <x v="2"/>
  </r>
  <r>
    <n v="292"/>
    <x v="0"/>
    <x v="0"/>
    <x v="0"/>
    <x v="5"/>
    <s v="Rural"/>
    <s v="Masculino"/>
    <x v="1"/>
    <x v="2"/>
  </r>
  <r>
    <n v="293"/>
    <x v="0"/>
    <x v="0"/>
    <x v="0"/>
    <x v="5"/>
    <s v="Rural"/>
    <s v="Femenino"/>
    <x v="0"/>
    <x v="2"/>
  </r>
  <r>
    <n v="294"/>
    <x v="0"/>
    <x v="0"/>
    <x v="0"/>
    <x v="5"/>
    <s v="Rural"/>
    <s v="Masculino"/>
    <x v="0"/>
    <x v="2"/>
  </r>
  <r>
    <n v="295"/>
    <x v="0"/>
    <x v="0"/>
    <x v="0"/>
    <x v="5"/>
    <s v="Rural"/>
    <s v="Femenino"/>
    <x v="2"/>
    <x v="2"/>
  </r>
  <r>
    <n v="296"/>
    <x v="0"/>
    <x v="0"/>
    <x v="0"/>
    <x v="5"/>
    <s v="Rural"/>
    <s v="Femenino"/>
    <x v="1"/>
    <x v="2"/>
  </r>
  <r>
    <n v="297"/>
    <x v="0"/>
    <x v="0"/>
    <x v="0"/>
    <x v="5"/>
    <s v="Rural"/>
    <s v="Femenino"/>
    <x v="1"/>
    <x v="2"/>
  </r>
  <r>
    <n v="298"/>
    <x v="0"/>
    <x v="0"/>
    <x v="0"/>
    <x v="5"/>
    <s v="Rural"/>
    <s v="Femenino"/>
    <x v="1"/>
    <x v="2"/>
  </r>
  <r>
    <n v="299"/>
    <x v="0"/>
    <x v="0"/>
    <x v="0"/>
    <x v="5"/>
    <s v="Rural"/>
    <s v="Femenino"/>
    <x v="1"/>
    <x v="2"/>
  </r>
  <r>
    <n v="300"/>
    <x v="0"/>
    <x v="0"/>
    <x v="0"/>
    <x v="5"/>
    <s v="Rural"/>
    <s v="Femenino"/>
    <x v="0"/>
    <x v="2"/>
  </r>
  <r>
    <n v="301"/>
    <x v="0"/>
    <x v="0"/>
    <x v="0"/>
    <x v="5"/>
    <s v="Rural"/>
    <s v="Femenino"/>
    <x v="0"/>
    <x v="2"/>
  </r>
  <r>
    <n v="302"/>
    <x v="0"/>
    <x v="0"/>
    <x v="0"/>
    <x v="5"/>
    <s v="Rural"/>
    <s v="Femenino"/>
    <x v="1"/>
    <x v="2"/>
  </r>
  <r>
    <n v="303"/>
    <x v="0"/>
    <x v="0"/>
    <x v="0"/>
    <x v="5"/>
    <s v="Rural"/>
    <s v="Femenino"/>
    <x v="0"/>
    <x v="2"/>
  </r>
  <r>
    <n v="304"/>
    <x v="0"/>
    <x v="0"/>
    <x v="0"/>
    <x v="5"/>
    <s v="Rural"/>
    <s v="Masculino"/>
    <x v="1"/>
    <x v="2"/>
  </r>
  <r>
    <n v="305"/>
    <x v="0"/>
    <x v="0"/>
    <x v="0"/>
    <x v="5"/>
    <s v="Rural"/>
    <s v="Masculino"/>
    <x v="2"/>
    <x v="2"/>
  </r>
  <r>
    <n v="306"/>
    <x v="0"/>
    <x v="0"/>
    <x v="0"/>
    <x v="5"/>
    <s v="Rural"/>
    <s v="Femenino"/>
    <x v="1"/>
    <x v="2"/>
  </r>
  <r>
    <n v="307"/>
    <x v="0"/>
    <x v="0"/>
    <x v="0"/>
    <x v="5"/>
    <s v="Rural"/>
    <s v="Femenino"/>
    <x v="0"/>
    <x v="2"/>
  </r>
  <r>
    <n v="308"/>
    <x v="0"/>
    <x v="0"/>
    <x v="0"/>
    <x v="5"/>
    <s v="Rural"/>
    <s v="Femenino"/>
    <x v="1"/>
    <x v="2"/>
  </r>
  <r>
    <n v="309"/>
    <x v="0"/>
    <x v="0"/>
    <x v="0"/>
    <x v="5"/>
    <s v="Rural"/>
    <s v="Femenino"/>
    <x v="0"/>
    <x v="2"/>
  </r>
  <r>
    <n v="310"/>
    <x v="0"/>
    <x v="0"/>
    <x v="0"/>
    <x v="5"/>
    <s v="Rural"/>
    <s v="Femenino"/>
    <x v="1"/>
    <x v="2"/>
  </r>
  <r>
    <n v="311"/>
    <x v="0"/>
    <x v="0"/>
    <x v="0"/>
    <x v="5"/>
    <s v="Rural"/>
    <s v="Masculino"/>
    <x v="0"/>
    <x v="2"/>
  </r>
  <r>
    <n v="312"/>
    <x v="0"/>
    <x v="0"/>
    <x v="0"/>
    <x v="5"/>
    <s v="Rural"/>
    <s v="Femenino"/>
    <x v="2"/>
    <x v="2"/>
  </r>
  <r>
    <n v="313"/>
    <x v="0"/>
    <x v="0"/>
    <x v="0"/>
    <x v="5"/>
    <s v="Rural"/>
    <s v="Masculino"/>
    <x v="1"/>
    <x v="2"/>
  </r>
  <r>
    <n v="314"/>
    <x v="0"/>
    <x v="0"/>
    <x v="0"/>
    <x v="5"/>
    <s v="Rural"/>
    <s v="Femenino"/>
    <x v="0"/>
    <x v="2"/>
  </r>
  <r>
    <n v="315"/>
    <x v="0"/>
    <x v="0"/>
    <x v="0"/>
    <x v="5"/>
    <s v="Rural"/>
    <s v="Masculino"/>
    <x v="0"/>
    <x v="2"/>
  </r>
  <r>
    <n v="316"/>
    <x v="0"/>
    <x v="0"/>
    <x v="0"/>
    <x v="5"/>
    <s v="Rural"/>
    <s v="Masculino"/>
    <x v="0"/>
    <x v="2"/>
  </r>
  <r>
    <n v="317"/>
    <x v="0"/>
    <x v="0"/>
    <x v="0"/>
    <x v="5"/>
    <s v="Rural"/>
    <s v="Femenino"/>
    <x v="0"/>
    <x v="2"/>
  </r>
  <r>
    <n v="318"/>
    <x v="0"/>
    <x v="0"/>
    <x v="0"/>
    <x v="5"/>
    <s v="Rural"/>
    <s v="Masculino"/>
    <x v="1"/>
    <x v="2"/>
  </r>
  <r>
    <n v="319"/>
    <x v="0"/>
    <x v="0"/>
    <x v="0"/>
    <x v="5"/>
    <s v="Rural"/>
    <s v="Femenino"/>
    <x v="0"/>
    <x v="2"/>
  </r>
  <r>
    <n v="320"/>
    <x v="0"/>
    <x v="0"/>
    <x v="0"/>
    <x v="5"/>
    <s v="Rural"/>
    <s v="Masculino"/>
    <x v="0"/>
    <x v="2"/>
  </r>
  <r>
    <n v="321"/>
    <x v="0"/>
    <x v="0"/>
    <x v="0"/>
    <x v="5"/>
    <s v="Rural"/>
    <s v="Femenino"/>
    <x v="1"/>
    <x v="2"/>
  </r>
  <r>
    <n v="322"/>
    <x v="0"/>
    <x v="0"/>
    <x v="0"/>
    <x v="5"/>
    <s v="Rural"/>
    <s v="Masculino"/>
    <x v="0"/>
    <x v="2"/>
  </r>
  <r>
    <n v="323"/>
    <x v="0"/>
    <x v="0"/>
    <x v="0"/>
    <x v="5"/>
    <s v="Rural"/>
    <s v="Masculino"/>
    <x v="0"/>
    <x v="2"/>
  </r>
  <r>
    <n v="324"/>
    <x v="0"/>
    <x v="0"/>
    <x v="0"/>
    <x v="5"/>
    <s v="Rural"/>
    <s v="Masculino"/>
    <x v="2"/>
    <x v="2"/>
  </r>
  <r>
    <n v="325"/>
    <x v="0"/>
    <x v="0"/>
    <x v="0"/>
    <x v="5"/>
    <s v="Rural"/>
    <s v="Femenino"/>
    <x v="0"/>
    <x v="2"/>
  </r>
  <r>
    <n v="326"/>
    <x v="0"/>
    <x v="0"/>
    <x v="0"/>
    <x v="5"/>
    <s v="Rural"/>
    <s v="Femenino"/>
    <x v="0"/>
    <x v="2"/>
  </r>
  <r>
    <n v="327"/>
    <x v="0"/>
    <x v="0"/>
    <x v="0"/>
    <x v="5"/>
    <s v="Rural"/>
    <s v="Femenino"/>
    <x v="0"/>
    <x v="2"/>
  </r>
  <r>
    <n v="328"/>
    <x v="0"/>
    <x v="0"/>
    <x v="0"/>
    <x v="5"/>
    <s v="Rural"/>
    <s v="Masculino"/>
    <x v="2"/>
    <x v="2"/>
  </r>
  <r>
    <n v="329"/>
    <x v="0"/>
    <x v="0"/>
    <x v="0"/>
    <x v="5"/>
    <s v="Rural"/>
    <s v="Masculino"/>
    <x v="0"/>
    <x v="2"/>
  </r>
  <r>
    <n v="330"/>
    <x v="0"/>
    <x v="0"/>
    <x v="0"/>
    <x v="5"/>
    <s v="Rural"/>
    <s v="Masculino"/>
    <x v="0"/>
    <x v="2"/>
  </r>
  <r>
    <n v="331"/>
    <x v="0"/>
    <x v="0"/>
    <x v="0"/>
    <x v="5"/>
    <s v="Rural"/>
    <s v="Masculino"/>
    <x v="0"/>
    <x v="2"/>
  </r>
  <r>
    <n v="332"/>
    <x v="0"/>
    <x v="0"/>
    <x v="0"/>
    <x v="5"/>
    <s v="Rural"/>
    <s v="Masculino"/>
    <x v="0"/>
    <x v="2"/>
  </r>
  <r>
    <n v="333"/>
    <x v="0"/>
    <x v="0"/>
    <x v="0"/>
    <x v="5"/>
    <s v="Rural"/>
    <s v="Masculino"/>
    <x v="0"/>
    <x v="2"/>
  </r>
  <r>
    <n v="334"/>
    <x v="0"/>
    <x v="0"/>
    <x v="0"/>
    <x v="5"/>
    <s v="Rural"/>
    <s v="Femenino"/>
    <x v="0"/>
    <x v="2"/>
  </r>
  <r>
    <n v="335"/>
    <x v="0"/>
    <x v="0"/>
    <x v="0"/>
    <x v="5"/>
    <s v="Rural"/>
    <s v="Femenino"/>
    <x v="2"/>
    <x v="2"/>
  </r>
  <r>
    <n v="336"/>
    <x v="0"/>
    <x v="0"/>
    <x v="0"/>
    <x v="5"/>
    <s v="Rural"/>
    <s v="Femenino"/>
    <x v="0"/>
    <x v="2"/>
  </r>
  <r>
    <n v="337"/>
    <x v="0"/>
    <x v="0"/>
    <x v="0"/>
    <x v="5"/>
    <s v="Rural"/>
    <s v="Masculino"/>
    <x v="0"/>
    <x v="2"/>
  </r>
  <r>
    <n v="338"/>
    <x v="0"/>
    <x v="0"/>
    <x v="0"/>
    <x v="5"/>
    <s v="Rural"/>
    <s v="Masculino"/>
    <x v="0"/>
    <x v="2"/>
  </r>
  <r>
    <n v="339"/>
    <x v="0"/>
    <x v="0"/>
    <x v="0"/>
    <x v="5"/>
    <s v="Rural"/>
    <s v="Masculino"/>
    <x v="0"/>
    <x v="2"/>
  </r>
  <r>
    <n v="340"/>
    <x v="0"/>
    <x v="0"/>
    <x v="0"/>
    <x v="5"/>
    <s v="Rural"/>
    <s v="Femenino"/>
    <x v="0"/>
    <x v="2"/>
  </r>
  <r>
    <n v="341"/>
    <x v="0"/>
    <x v="0"/>
    <x v="0"/>
    <x v="5"/>
    <s v="Rural"/>
    <s v="Femenino"/>
    <x v="0"/>
    <x v="2"/>
  </r>
  <r>
    <n v="342"/>
    <x v="0"/>
    <x v="0"/>
    <x v="0"/>
    <x v="5"/>
    <s v="Rural"/>
    <s v="Masculino"/>
    <x v="0"/>
    <x v="2"/>
  </r>
  <r>
    <n v="343"/>
    <x v="0"/>
    <x v="0"/>
    <x v="0"/>
    <x v="5"/>
    <s v="Rural"/>
    <s v="Masculino"/>
    <x v="0"/>
    <x v="2"/>
  </r>
  <r>
    <n v="344"/>
    <x v="0"/>
    <x v="0"/>
    <x v="0"/>
    <x v="5"/>
    <s v="Rural"/>
    <s v="Femenino"/>
    <x v="0"/>
    <x v="2"/>
  </r>
  <r>
    <n v="345"/>
    <x v="0"/>
    <x v="0"/>
    <x v="0"/>
    <x v="5"/>
    <s v="Rural"/>
    <s v="Masculino"/>
    <x v="0"/>
    <x v="2"/>
  </r>
  <r>
    <n v="346"/>
    <x v="0"/>
    <x v="0"/>
    <x v="0"/>
    <x v="5"/>
    <s v="Rural"/>
    <s v="Femenino"/>
    <x v="0"/>
    <x v="2"/>
  </r>
  <r>
    <n v="347"/>
    <x v="0"/>
    <x v="0"/>
    <x v="0"/>
    <x v="5"/>
    <s v="Rural"/>
    <s v="Femenino"/>
    <x v="0"/>
    <x v="2"/>
  </r>
  <r>
    <n v="348"/>
    <x v="0"/>
    <x v="0"/>
    <x v="0"/>
    <x v="5"/>
    <s v="Rural"/>
    <s v="Femenino"/>
    <x v="0"/>
    <x v="2"/>
  </r>
  <r>
    <n v="349"/>
    <x v="0"/>
    <x v="0"/>
    <x v="0"/>
    <x v="5"/>
    <s v="Rural"/>
    <s v="Femenino"/>
    <x v="0"/>
    <x v="2"/>
  </r>
  <r>
    <n v="350"/>
    <x v="0"/>
    <x v="0"/>
    <x v="0"/>
    <x v="5"/>
    <s v="Rural"/>
    <s v="Masculino"/>
    <x v="0"/>
    <x v="2"/>
  </r>
  <r>
    <n v="351"/>
    <x v="0"/>
    <x v="0"/>
    <x v="0"/>
    <x v="5"/>
    <s v="Rural"/>
    <s v="Femenino"/>
    <x v="0"/>
    <x v="2"/>
  </r>
  <r>
    <n v="352"/>
    <x v="0"/>
    <x v="0"/>
    <x v="0"/>
    <x v="5"/>
    <s v="Rural"/>
    <s v="Masculino"/>
    <x v="0"/>
    <x v="2"/>
  </r>
  <r>
    <n v="353"/>
    <x v="0"/>
    <x v="0"/>
    <x v="0"/>
    <x v="5"/>
    <s v="Rural"/>
    <s v="Femenino"/>
    <x v="0"/>
    <x v="2"/>
  </r>
  <r>
    <n v="354"/>
    <x v="0"/>
    <x v="0"/>
    <x v="0"/>
    <x v="5"/>
    <s v="Rural"/>
    <s v="Femenino"/>
    <x v="0"/>
    <x v="2"/>
  </r>
  <r>
    <n v="355"/>
    <x v="0"/>
    <x v="0"/>
    <x v="0"/>
    <x v="5"/>
    <s v="Rural"/>
    <s v="Femenino"/>
    <x v="0"/>
    <x v="2"/>
  </r>
  <r>
    <n v="356"/>
    <x v="0"/>
    <x v="0"/>
    <x v="0"/>
    <x v="5"/>
    <s v="Rural"/>
    <s v="Femenino"/>
    <x v="0"/>
    <x v="2"/>
  </r>
  <r>
    <n v="357"/>
    <x v="0"/>
    <x v="0"/>
    <x v="0"/>
    <x v="5"/>
    <s v="Rural"/>
    <s v="Masculino"/>
    <x v="0"/>
    <x v="2"/>
  </r>
  <r>
    <n v="358"/>
    <x v="0"/>
    <x v="0"/>
    <x v="0"/>
    <x v="5"/>
    <s v="Rural"/>
    <s v="Masculino"/>
    <x v="0"/>
    <x v="2"/>
  </r>
  <r>
    <n v="359"/>
    <x v="0"/>
    <x v="0"/>
    <x v="0"/>
    <x v="5"/>
    <s v="Rural"/>
    <s v="Femenino"/>
    <x v="0"/>
    <x v="2"/>
  </r>
  <r>
    <n v="360"/>
    <x v="0"/>
    <x v="0"/>
    <x v="0"/>
    <x v="5"/>
    <s v="Rural"/>
    <s v="Femenino"/>
    <x v="0"/>
    <x v="2"/>
  </r>
  <r>
    <n v="361"/>
    <x v="0"/>
    <x v="0"/>
    <x v="0"/>
    <x v="5"/>
    <s v="Rural"/>
    <s v="Masculino"/>
    <x v="0"/>
    <x v="2"/>
  </r>
  <r>
    <n v="362"/>
    <x v="0"/>
    <x v="0"/>
    <x v="0"/>
    <x v="5"/>
    <s v="Rural"/>
    <s v="Masculino"/>
    <x v="0"/>
    <x v="2"/>
  </r>
  <r>
    <n v="363"/>
    <x v="0"/>
    <x v="0"/>
    <x v="0"/>
    <x v="5"/>
    <s v="Rural"/>
    <s v="Femenino"/>
    <x v="0"/>
    <x v="2"/>
  </r>
  <r>
    <n v="364"/>
    <x v="0"/>
    <x v="0"/>
    <x v="1"/>
    <x v="5"/>
    <s v="Rural"/>
    <s v="Femenino"/>
    <x v="0"/>
    <x v="2"/>
  </r>
  <r>
    <n v="365"/>
    <x v="0"/>
    <x v="0"/>
    <x v="1"/>
    <x v="5"/>
    <s v="Rural"/>
    <s v="Femenino"/>
    <x v="1"/>
    <x v="2"/>
  </r>
  <r>
    <n v="366"/>
    <x v="0"/>
    <x v="0"/>
    <x v="1"/>
    <x v="5"/>
    <s v="Rural"/>
    <s v="Femenino"/>
    <x v="1"/>
    <x v="2"/>
  </r>
  <r>
    <n v="367"/>
    <x v="0"/>
    <x v="0"/>
    <x v="1"/>
    <x v="5"/>
    <s v="Rural"/>
    <s v="Femenino"/>
    <x v="1"/>
    <x v="2"/>
  </r>
  <r>
    <n v="368"/>
    <x v="0"/>
    <x v="0"/>
    <x v="1"/>
    <x v="5"/>
    <s v="Rural"/>
    <s v="Masculino"/>
    <x v="1"/>
    <x v="2"/>
  </r>
  <r>
    <n v="369"/>
    <x v="0"/>
    <x v="0"/>
    <x v="1"/>
    <x v="5"/>
    <s v="Rural"/>
    <s v="Masculino"/>
    <x v="1"/>
    <x v="2"/>
  </r>
  <r>
    <n v="370"/>
    <x v="0"/>
    <x v="0"/>
    <x v="1"/>
    <x v="5"/>
    <s v="Rural"/>
    <s v="Masculino"/>
    <x v="2"/>
    <x v="2"/>
  </r>
  <r>
    <n v="371"/>
    <x v="0"/>
    <x v="0"/>
    <x v="1"/>
    <x v="5"/>
    <s v="Rural"/>
    <s v="Masculino"/>
    <x v="2"/>
    <x v="2"/>
  </r>
  <r>
    <n v="372"/>
    <x v="0"/>
    <x v="0"/>
    <x v="1"/>
    <x v="5"/>
    <s v="Rural"/>
    <s v="Masculino"/>
    <x v="1"/>
    <x v="2"/>
  </r>
  <r>
    <n v="373"/>
    <x v="0"/>
    <x v="0"/>
    <x v="1"/>
    <x v="5"/>
    <s v="Rural"/>
    <s v="Masculino"/>
    <x v="2"/>
    <x v="2"/>
  </r>
  <r>
    <n v="374"/>
    <x v="0"/>
    <x v="0"/>
    <x v="1"/>
    <x v="5"/>
    <s v="Rural"/>
    <s v="Femenino"/>
    <x v="2"/>
    <x v="2"/>
  </r>
  <r>
    <n v="375"/>
    <x v="0"/>
    <x v="0"/>
    <x v="1"/>
    <x v="5"/>
    <s v="Rural"/>
    <s v="Femenino"/>
    <x v="2"/>
    <x v="2"/>
  </r>
  <r>
    <n v="376"/>
    <x v="0"/>
    <x v="0"/>
    <x v="1"/>
    <x v="5"/>
    <s v="Rural"/>
    <s v="Masculino"/>
    <x v="1"/>
    <x v="2"/>
  </r>
  <r>
    <n v="377"/>
    <x v="0"/>
    <x v="0"/>
    <x v="1"/>
    <x v="5"/>
    <s v="Rural"/>
    <s v="Masculino"/>
    <x v="1"/>
    <x v="2"/>
  </r>
  <r>
    <n v="378"/>
    <x v="0"/>
    <x v="0"/>
    <x v="1"/>
    <x v="5"/>
    <s v="Rural"/>
    <s v="Femenino"/>
    <x v="2"/>
    <x v="2"/>
  </r>
  <r>
    <n v="379"/>
    <x v="0"/>
    <x v="0"/>
    <x v="1"/>
    <x v="5"/>
    <s v="Rural"/>
    <s v="Masculino"/>
    <x v="2"/>
    <x v="2"/>
  </r>
  <r>
    <n v="380"/>
    <x v="0"/>
    <x v="0"/>
    <x v="1"/>
    <x v="5"/>
    <s v="Rural"/>
    <s v="Masculino"/>
    <x v="2"/>
    <x v="2"/>
  </r>
  <r>
    <n v="381"/>
    <x v="0"/>
    <x v="0"/>
    <x v="1"/>
    <x v="5"/>
    <s v="Rural"/>
    <s v="Femenino"/>
    <x v="2"/>
    <x v="2"/>
  </r>
  <r>
    <n v="382"/>
    <x v="0"/>
    <x v="0"/>
    <x v="1"/>
    <x v="5"/>
    <s v="Rural"/>
    <s v="Femenino"/>
    <x v="2"/>
    <x v="2"/>
  </r>
  <r>
    <n v="383"/>
    <x v="0"/>
    <x v="0"/>
    <x v="1"/>
    <x v="5"/>
    <s v="Rural"/>
    <s v="Masculino"/>
    <x v="2"/>
    <x v="2"/>
  </r>
  <r>
    <n v="384"/>
    <x v="0"/>
    <x v="0"/>
    <x v="1"/>
    <x v="5"/>
    <s v="Rural"/>
    <s v="Femenino"/>
    <x v="2"/>
    <x v="2"/>
  </r>
  <r>
    <n v="385"/>
    <x v="0"/>
    <x v="0"/>
    <x v="1"/>
    <x v="5"/>
    <s v="Rural"/>
    <s v="Masculino"/>
    <x v="2"/>
    <x v="2"/>
  </r>
  <r>
    <n v="386"/>
    <x v="0"/>
    <x v="0"/>
    <x v="1"/>
    <x v="5"/>
    <s v="Rural"/>
    <s v="Femenino"/>
    <x v="2"/>
    <x v="2"/>
  </r>
  <r>
    <n v="387"/>
    <x v="0"/>
    <x v="0"/>
    <x v="1"/>
    <x v="5"/>
    <s v="Rural"/>
    <s v="Femenino"/>
    <x v="2"/>
    <x v="2"/>
  </r>
  <r>
    <n v="388"/>
    <x v="0"/>
    <x v="0"/>
    <x v="4"/>
    <x v="11"/>
    <s v="Rural"/>
    <s v="Femenino"/>
    <x v="2"/>
    <x v="2"/>
  </r>
  <r>
    <n v="389"/>
    <x v="0"/>
    <x v="0"/>
    <x v="4"/>
    <x v="11"/>
    <s v="Rural"/>
    <s v="Masculino"/>
    <x v="1"/>
    <x v="2"/>
  </r>
  <r>
    <n v="390"/>
    <x v="0"/>
    <x v="0"/>
    <x v="4"/>
    <x v="11"/>
    <s v="Rural"/>
    <s v="Masculino"/>
    <x v="0"/>
    <x v="2"/>
  </r>
  <r>
    <n v="391"/>
    <x v="0"/>
    <x v="0"/>
    <x v="4"/>
    <x v="11"/>
    <s v="Rural"/>
    <s v="Masculino"/>
    <x v="0"/>
    <x v="2"/>
  </r>
  <r>
    <n v="392"/>
    <x v="0"/>
    <x v="0"/>
    <x v="4"/>
    <x v="11"/>
    <s v="Rural"/>
    <s v="Masculino"/>
    <x v="0"/>
    <x v="2"/>
  </r>
  <r>
    <n v="393"/>
    <x v="0"/>
    <x v="0"/>
    <x v="4"/>
    <x v="11"/>
    <s v="Rural"/>
    <s v="Masculino"/>
    <x v="1"/>
    <x v="2"/>
  </r>
  <r>
    <n v="394"/>
    <x v="0"/>
    <x v="0"/>
    <x v="4"/>
    <x v="11"/>
    <s v="Rural"/>
    <s v="Femenino"/>
    <x v="1"/>
    <x v="2"/>
  </r>
  <r>
    <n v="395"/>
    <x v="0"/>
    <x v="0"/>
    <x v="4"/>
    <x v="11"/>
    <s v="Rural"/>
    <s v="Femenino"/>
    <x v="1"/>
    <x v="2"/>
  </r>
  <r>
    <n v="396"/>
    <x v="0"/>
    <x v="0"/>
    <x v="4"/>
    <x v="11"/>
    <s v="Rural"/>
    <s v="Femenino"/>
    <x v="1"/>
    <x v="2"/>
  </r>
  <r>
    <n v="397"/>
    <x v="0"/>
    <x v="0"/>
    <x v="4"/>
    <x v="11"/>
    <s v="Rural"/>
    <s v="Masculino"/>
    <x v="1"/>
    <x v="2"/>
  </r>
  <r>
    <n v="398"/>
    <x v="0"/>
    <x v="0"/>
    <x v="4"/>
    <x v="11"/>
    <s v="Rural"/>
    <s v="Femenino"/>
    <x v="0"/>
    <x v="2"/>
  </r>
  <r>
    <n v="399"/>
    <x v="0"/>
    <x v="0"/>
    <x v="4"/>
    <x v="11"/>
    <s v="Rural"/>
    <s v="Masculino"/>
    <x v="0"/>
    <x v="2"/>
  </r>
  <r>
    <n v="400"/>
    <x v="0"/>
    <x v="0"/>
    <x v="4"/>
    <x v="11"/>
    <s v="Rural"/>
    <s v="Femenino"/>
    <x v="1"/>
    <x v="2"/>
  </r>
  <r>
    <n v="401"/>
    <x v="0"/>
    <x v="0"/>
    <x v="4"/>
    <x v="11"/>
    <s v="Rural"/>
    <s v="Femenino"/>
    <x v="2"/>
    <x v="2"/>
  </r>
  <r>
    <n v="402"/>
    <x v="0"/>
    <x v="0"/>
    <x v="0"/>
    <x v="11"/>
    <s v="Rural"/>
    <s v="Masculino"/>
    <x v="0"/>
    <x v="2"/>
  </r>
  <r>
    <n v="403"/>
    <x v="0"/>
    <x v="0"/>
    <x v="0"/>
    <x v="11"/>
    <s v="Rural"/>
    <s v="Femenino"/>
    <x v="0"/>
    <x v="2"/>
  </r>
  <r>
    <n v="404"/>
    <x v="0"/>
    <x v="0"/>
    <x v="0"/>
    <x v="11"/>
    <s v="Rural"/>
    <s v="Femenino"/>
    <x v="0"/>
    <x v="2"/>
  </r>
  <r>
    <n v="405"/>
    <x v="0"/>
    <x v="0"/>
    <x v="0"/>
    <x v="11"/>
    <s v="Rural"/>
    <s v="Masculino"/>
    <x v="0"/>
    <x v="2"/>
  </r>
  <r>
    <n v="406"/>
    <x v="0"/>
    <x v="0"/>
    <x v="0"/>
    <x v="11"/>
    <s v="Rural"/>
    <s v="Masculino"/>
    <x v="0"/>
    <x v="2"/>
  </r>
  <r>
    <n v="407"/>
    <x v="0"/>
    <x v="0"/>
    <x v="0"/>
    <x v="11"/>
    <s v="Rural"/>
    <s v="Femenino"/>
    <x v="0"/>
    <x v="2"/>
  </r>
  <r>
    <n v="408"/>
    <x v="0"/>
    <x v="0"/>
    <x v="0"/>
    <x v="11"/>
    <s v="Rural"/>
    <s v="Masculino"/>
    <x v="0"/>
    <x v="2"/>
  </r>
  <r>
    <n v="409"/>
    <x v="0"/>
    <x v="0"/>
    <x v="0"/>
    <x v="11"/>
    <s v="Rural"/>
    <s v="Femenino"/>
    <x v="0"/>
    <x v="2"/>
  </r>
  <r>
    <n v="410"/>
    <x v="0"/>
    <x v="0"/>
    <x v="0"/>
    <x v="11"/>
    <s v="Rural"/>
    <s v="Masculino"/>
    <x v="0"/>
    <x v="2"/>
  </r>
  <r>
    <n v="411"/>
    <x v="0"/>
    <x v="0"/>
    <x v="0"/>
    <x v="11"/>
    <s v="Rural"/>
    <s v="Femenino"/>
    <x v="0"/>
    <x v="2"/>
  </r>
  <r>
    <n v="412"/>
    <x v="0"/>
    <x v="0"/>
    <x v="0"/>
    <x v="11"/>
    <s v="Rural"/>
    <s v="Masculino"/>
    <x v="0"/>
    <x v="2"/>
  </r>
  <r>
    <n v="413"/>
    <x v="0"/>
    <x v="0"/>
    <x v="0"/>
    <x v="11"/>
    <s v="Rural"/>
    <s v="Femenino"/>
    <x v="0"/>
    <x v="2"/>
  </r>
  <r>
    <n v="414"/>
    <x v="0"/>
    <x v="0"/>
    <x v="0"/>
    <x v="11"/>
    <s v="Rural"/>
    <s v="Masculino"/>
    <x v="0"/>
    <x v="2"/>
  </r>
  <r>
    <n v="415"/>
    <x v="0"/>
    <x v="0"/>
    <x v="0"/>
    <x v="11"/>
    <s v="Rural"/>
    <s v="Femenino"/>
    <x v="0"/>
    <x v="2"/>
  </r>
  <r>
    <n v="416"/>
    <x v="0"/>
    <x v="0"/>
    <x v="0"/>
    <x v="11"/>
    <s v="Rural"/>
    <s v="Masculino"/>
    <x v="0"/>
    <x v="2"/>
  </r>
  <r>
    <n v="417"/>
    <x v="0"/>
    <x v="0"/>
    <x v="0"/>
    <x v="11"/>
    <s v="Rural"/>
    <s v="Femenino"/>
    <x v="0"/>
    <x v="2"/>
  </r>
  <r>
    <n v="418"/>
    <x v="0"/>
    <x v="0"/>
    <x v="0"/>
    <x v="11"/>
    <s v="Rural"/>
    <s v="Femenino"/>
    <x v="0"/>
    <x v="2"/>
  </r>
  <r>
    <n v="419"/>
    <x v="0"/>
    <x v="0"/>
    <x v="0"/>
    <x v="11"/>
    <s v="Rural"/>
    <s v="Femenino"/>
    <x v="0"/>
    <x v="2"/>
  </r>
  <r>
    <n v="420"/>
    <x v="0"/>
    <x v="0"/>
    <x v="0"/>
    <x v="11"/>
    <s v="Rural"/>
    <s v="Femenino"/>
    <x v="0"/>
    <x v="2"/>
  </r>
  <r>
    <n v="421"/>
    <x v="0"/>
    <x v="0"/>
    <x v="0"/>
    <x v="11"/>
    <s v="Rural"/>
    <s v="Masculino"/>
    <x v="0"/>
    <x v="2"/>
  </r>
  <r>
    <n v="422"/>
    <x v="0"/>
    <x v="0"/>
    <x v="0"/>
    <x v="11"/>
    <s v="Rural"/>
    <s v="Femenino"/>
    <x v="0"/>
    <x v="2"/>
  </r>
  <r>
    <n v="423"/>
    <x v="0"/>
    <x v="0"/>
    <x v="0"/>
    <x v="11"/>
    <s v="Rural"/>
    <s v="Masculino"/>
    <x v="0"/>
    <x v="2"/>
  </r>
  <r>
    <n v="424"/>
    <x v="0"/>
    <x v="0"/>
    <x v="0"/>
    <x v="11"/>
    <s v="Rural"/>
    <s v="Masculino"/>
    <x v="0"/>
    <x v="2"/>
  </r>
  <r>
    <n v="425"/>
    <x v="0"/>
    <x v="0"/>
    <x v="0"/>
    <x v="11"/>
    <s v="Rural"/>
    <s v="Femenino"/>
    <x v="0"/>
    <x v="2"/>
  </r>
  <r>
    <n v="426"/>
    <x v="0"/>
    <x v="0"/>
    <x v="0"/>
    <x v="11"/>
    <s v="Rural"/>
    <s v="Masculino"/>
    <x v="0"/>
    <x v="2"/>
  </r>
  <r>
    <n v="427"/>
    <x v="0"/>
    <x v="0"/>
    <x v="0"/>
    <x v="11"/>
    <s v="Rural"/>
    <s v="Masculino"/>
    <x v="0"/>
    <x v="2"/>
  </r>
  <r>
    <n v="428"/>
    <x v="0"/>
    <x v="0"/>
    <x v="0"/>
    <x v="11"/>
    <s v="Rural"/>
    <s v="Femenino"/>
    <x v="1"/>
    <x v="2"/>
  </r>
  <r>
    <n v="429"/>
    <x v="0"/>
    <x v="0"/>
    <x v="0"/>
    <x v="11"/>
    <s v="Rural"/>
    <s v="Masculino"/>
    <x v="0"/>
    <x v="2"/>
  </r>
  <r>
    <n v="430"/>
    <x v="0"/>
    <x v="0"/>
    <x v="1"/>
    <x v="11"/>
    <s v="Rural"/>
    <s v="Femenino"/>
    <x v="1"/>
    <x v="2"/>
  </r>
  <r>
    <n v="431"/>
    <x v="0"/>
    <x v="0"/>
    <x v="1"/>
    <x v="11"/>
    <s v="Rural"/>
    <s v="Masculino"/>
    <x v="1"/>
    <x v="2"/>
  </r>
  <r>
    <n v="432"/>
    <x v="0"/>
    <x v="0"/>
    <x v="1"/>
    <x v="11"/>
    <s v="Rural"/>
    <s v="Femenino"/>
    <x v="1"/>
    <x v="2"/>
  </r>
  <r>
    <n v="433"/>
    <x v="0"/>
    <x v="0"/>
    <x v="1"/>
    <x v="11"/>
    <s v="Rural"/>
    <s v="Femenino"/>
    <x v="2"/>
    <x v="2"/>
  </r>
  <r>
    <n v="434"/>
    <x v="0"/>
    <x v="0"/>
    <x v="1"/>
    <x v="11"/>
    <s v="Rural"/>
    <s v="Femenino"/>
    <x v="2"/>
    <x v="2"/>
  </r>
  <r>
    <n v="435"/>
    <x v="0"/>
    <x v="0"/>
    <x v="1"/>
    <x v="11"/>
    <s v="Rural"/>
    <s v="Masculino"/>
    <x v="0"/>
    <x v="2"/>
  </r>
  <r>
    <n v="436"/>
    <x v="0"/>
    <x v="0"/>
    <x v="1"/>
    <x v="11"/>
    <s v="Rural"/>
    <s v="Femenino"/>
    <x v="1"/>
    <x v="2"/>
  </r>
  <r>
    <n v="437"/>
    <x v="0"/>
    <x v="0"/>
    <x v="1"/>
    <x v="11"/>
    <s v="Rural"/>
    <s v="Masculino"/>
    <x v="1"/>
    <x v="2"/>
  </r>
  <r>
    <n v="438"/>
    <x v="0"/>
    <x v="0"/>
    <x v="1"/>
    <x v="11"/>
    <s v="Rural"/>
    <s v="Masculino"/>
    <x v="0"/>
    <x v="2"/>
  </r>
  <r>
    <n v="439"/>
    <x v="0"/>
    <x v="0"/>
    <x v="1"/>
    <x v="11"/>
    <s v="Rural"/>
    <s v="Femenino"/>
    <x v="0"/>
    <x v="2"/>
  </r>
  <r>
    <n v="440"/>
    <x v="0"/>
    <x v="0"/>
    <x v="1"/>
    <x v="11"/>
    <s v="Rural"/>
    <s v="Masculino"/>
    <x v="0"/>
    <x v="2"/>
  </r>
  <r>
    <n v="441"/>
    <x v="0"/>
    <x v="0"/>
    <x v="1"/>
    <x v="11"/>
    <s v="Rural"/>
    <s v="Masculino"/>
    <x v="1"/>
    <x v="2"/>
  </r>
  <r>
    <n v="442"/>
    <x v="0"/>
    <x v="0"/>
    <x v="1"/>
    <x v="11"/>
    <s v="Rural"/>
    <s v="Masculino"/>
    <x v="1"/>
    <x v="2"/>
  </r>
  <r>
    <n v="443"/>
    <x v="0"/>
    <x v="0"/>
    <x v="1"/>
    <x v="11"/>
    <s v="Rural"/>
    <s v="Femenino"/>
    <x v="1"/>
    <x v="2"/>
  </r>
  <r>
    <n v="444"/>
    <x v="0"/>
    <x v="0"/>
    <x v="1"/>
    <x v="11"/>
    <s v="Rural"/>
    <s v="Femenino"/>
    <x v="1"/>
    <x v="2"/>
  </r>
  <r>
    <n v="445"/>
    <x v="0"/>
    <x v="0"/>
    <x v="1"/>
    <x v="11"/>
    <s v="Rural"/>
    <s v="Masculino"/>
    <x v="0"/>
    <x v="2"/>
  </r>
  <r>
    <n v="446"/>
    <x v="0"/>
    <x v="0"/>
    <x v="1"/>
    <x v="11"/>
    <s v="Rural"/>
    <s v="Masculino"/>
    <x v="1"/>
    <x v="2"/>
  </r>
  <r>
    <n v="447"/>
    <x v="0"/>
    <x v="0"/>
    <x v="1"/>
    <x v="11"/>
    <s v="Rural"/>
    <s v="Masculino"/>
    <x v="0"/>
    <x v="2"/>
  </r>
  <r>
    <n v="448"/>
    <x v="0"/>
    <x v="0"/>
    <x v="1"/>
    <x v="11"/>
    <s v="Rural"/>
    <s v="Femenino"/>
    <x v="1"/>
    <x v="2"/>
  </r>
  <r>
    <n v="449"/>
    <x v="0"/>
    <x v="0"/>
    <x v="1"/>
    <x v="11"/>
    <s v="Rural"/>
    <s v="Masculino"/>
    <x v="1"/>
    <x v="2"/>
  </r>
  <r>
    <n v="450"/>
    <x v="0"/>
    <x v="0"/>
    <x v="1"/>
    <x v="11"/>
    <s v="Rural"/>
    <s v="Femenino"/>
    <x v="1"/>
    <x v="2"/>
  </r>
  <r>
    <n v="451"/>
    <x v="0"/>
    <x v="0"/>
    <x v="1"/>
    <x v="11"/>
    <s v="Rural"/>
    <s v="Masculino"/>
    <x v="1"/>
    <x v="2"/>
  </r>
  <r>
    <n v="452"/>
    <x v="0"/>
    <x v="0"/>
    <x v="1"/>
    <x v="11"/>
    <s v="Rural"/>
    <s v="Femenino"/>
    <x v="2"/>
    <x v="2"/>
  </r>
  <r>
    <n v="453"/>
    <x v="0"/>
    <x v="0"/>
    <x v="1"/>
    <x v="11"/>
    <s v="Rural"/>
    <s v="Masculino"/>
    <x v="1"/>
    <x v="2"/>
  </r>
  <r>
    <n v="454"/>
    <x v="0"/>
    <x v="0"/>
    <x v="1"/>
    <x v="11"/>
    <s v="Rural"/>
    <s v="Masculino"/>
    <x v="0"/>
    <x v="2"/>
  </r>
  <r>
    <n v="455"/>
    <x v="0"/>
    <x v="0"/>
    <x v="1"/>
    <x v="11"/>
    <s v="Rural"/>
    <s v="Masculino"/>
    <x v="0"/>
    <x v="2"/>
  </r>
  <r>
    <n v="456"/>
    <x v="0"/>
    <x v="0"/>
    <x v="1"/>
    <x v="11"/>
    <s v="Rural"/>
    <s v="Masculino"/>
    <x v="1"/>
    <x v="2"/>
  </r>
  <r>
    <n v="457"/>
    <x v="0"/>
    <x v="0"/>
    <x v="1"/>
    <x v="11"/>
    <s v="Rural"/>
    <s v="Masculino"/>
    <x v="0"/>
    <x v="2"/>
  </r>
  <r>
    <n v="458"/>
    <x v="0"/>
    <x v="0"/>
    <x v="1"/>
    <x v="11"/>
    <s v="Rural"/>
    <s v="Femenino"/>
    <x v="1"/>
    <x v="2"/>
  </r>
  <r>
    <n v="459"/>
    <x v="0"/>
    <x v="0"/>
    <x v="1"/>
    <x v="11"/>
    <s v="Rural"/>
    <s v="Masculino"/>
    <x v="1"/>
    <x v="2"/>
  </r>
  <r>
    <n v="460"/>
    <x v="0"/>
    <x v="0"/>
    <x v="4"/>
    <x v="9"/>
    <s v="Rural"/>
    <s v="Masculino"/>
    <x v="2"/>
    <x v="2"/>
  </r>
  <r>
    <n v="461"/>
    <x v="0"/>
    <x v="0"/>
    <x v="0"/>
    <x v="9"/>
    <s v="Rural"/>
    <s v="Masculino"/>
    <x v="1"/>
    <x v="2"/>
  </r>
  <r>
    <n v="462"/>
    <x v="0"/>
    <x v="0"/>
    <x v="1"/>
    <x v="9"/>
    <s v="Rural"/>
    <s v="Femenino"/>
    <x v="1"/>
    <x v="2"/>
  </r>
  <r>
    <n v="463"/>
    <x v="0"/>
    <x v="0"/>
    <x v="1"/>
    <x v="9"/>
    <s v="Rural"/>
    <s v="Masculino"/>
    <x v="0"/>
    <x v="2"/>
  </r>
  <r>
    <n v="464"/>
    <x v="0"/>
    <x v="0"/>
    <x v="1"/>
    <x v="1"/>
    <s v="Rural"/>
    <s v="Masculino"/>
    <x v="1"/>
    <x v="2"/>
  </r>
  <r>
    <n v="465"/>
    <x v="0"/>
    <x v="0"/>
    <x v="1"/>
    <x v="1"/>
    <s v="Rural"/>
    <s v="Masculino"/>
    <x v="0"/>
    <x v="2"/>
  </r>
  <r>
    <n v="466"/>
    <x v="0"/>
    <x v="0"/>
    <x v="1"/>
    <x v="1"/>
    <s v="Rural"/>
    <s v="Masculino"/>
    <x v="1"/>
    <x v="2"/>
  </r>
  <r>
    <n v="467"/>
    <x v="0"/>
    <x v="0"/>
    <x v="1"/>
    <x v="1"/>
    <s v="Rural"/>
    <s v="Masculino"/>
    <x v="0"/>
    <x v="2"/>
  </r>
  <r>
    <n v="468"/>
    <x v="0"/>
    <x v="0"/>
    <x v="1"/>
    <x v="1"/>
    <s v="Rural"/>
    <s v="Femenino"/>
    <x v="0"/>
    <x v="2"/>
  </r>
  <r>
    <n v="469"/>
    <x v="0"/>
    <x v="0"/>
    <x v="1"/>
    <x v="1"/>
    <s v="Rural"/>
    <s v="Femenino"/>
    <x v="0"/>
    <x v="2"/>
  </r>
  <r>
    <n v="470"/>
    <x v="0"/>
    <x v="0"/>
    <x v="1"/>
    <x v="1"/>
    <s v="Rural"/>
    <s v="Masculino"/>
    <x v="0"/>
    <x v="2"/>
  </r>
  <r>
    <n v="471"/>
    <x v="0"/>
    <x v="0"/>
    <x v="1"/>
    <x v="1"/>
    <s v="Rural"/>
    <s v="Masculino"/>
    <x v="1"/>
    <x v="2"/>
  </r>
  <r>
    <n v="472"/>
    <x v="0"/>
    <x v="0"/>
    <x v="1"/>
    <x v="1"/>
    <s v="Rural"/>
    <s v="Masculino"/>
    <x v="0"/>
    <x v="2"/>
  </r>
  <r>
    <n v="473"/>
    <x v="0"/>
    <x v="0"/>
    <x v="1"/>
    <x v="1"/>
    <s v="Rural"/>
    <s v="Femenino"/>
    <x v="0"/>
    <x v="2"/>
  </r>
  <r>
    <n v="474"/>
    <x v="0"/>
    <x v="0"/>
    <x v="1"/>
    <x v="1"/>
    <s v="Rural"/>
    <s v="Masculino"/>
    <x v="1"/>
    <x v="2"/>
  </r>
  <r>
    <n v="475"/>
    <x v="0"/>
    <x v="0"/>
    <x v="1"/>
    <x v="1"/>
    <s v="Rural"/>
    <s v="Femenino"/>
    <x v="1"/>
    <x v="2"/>
  </r>
  <r>
    <n v="476"/>
    <x v="0"/>
    <x v="0"/>
    <x v="1"/>
    <x v="1"/>
    <s v="Rural"/>
    <s v="Femenino"/>
    <x v="1"/>
    <x v="2"/>
  </r>
  <r>
    <n v="477"/>
    <x v="0"/>
    <x v="0"/>
    <x v="1"/>
    <x v="1"/>
    <s v="Rural"/>
    <s v="Femenino"/>
    <x v="0"/>
    <x v="2"/>
  </r>
  <r>
    <n v="478"/>
    <x v="0"/>
    <x v="0"/>
    <x v="1"/>
    <x v="1"/>
    <s v="Rural"/>
    <s v="Masculino"/>
    <x v="1"/>
    <x v="2"/>
  </r>
  <r>
    <n v="479"/>
    <x v="0"/>
    <x v="0"/>
    <x v="1"/>
    <x v="1"/>
    <s v="Rural"/>
    <s v="Femenino"/>
    <x v="1"/>
    <x v="2"/>
  </r>
  <r>
    <n v="480"/>
    <x v="0"/>
    <x v="0"/>
    <x v="1"/>
    <x v="1"/>
    <s v="Rural"/>
    <s v="Femenino"/>
    <x v="1"/>
    <x v="2"/>
  </r>
  <r>
    <n v="481"/>
    <x v="0"/>
    <x v="0"/>
    <x v="1"/>
    <x v="1"/>
    <s v="Rural"/>
    <s v="Masculino"/>
    <x v="0"/>
    <x v="2"/>
  </r>
  <r>
    <n v="482"/>
    <x v="0"/>
    <x v="0"/>
    <x v="1"/>
    <x v="1"/>
    <s v="Rural"/>
    <s v="Masculino"/>
    <x v="0"/>
    <x v="2"/>
  </r>
  <r>
    <n v="483"/>
    <x v="0"/>
    <x v="0"/>
    <x v="4"/>
    <x v="1"/>
    <s v="Rural"/>
    <s v="Masculino"/>
    <x v="0"/>
    <x v="2"/>
  </r>
  <r>
    <n v="484"/>
    <x v="0"/>
    <x v="0"/>
    <x v="4"/>
    <x v="1"/>
    <s v="Rural"/>
    <s v="Femenino"/>
    <x v="0"/>
    <x v="2"/>
  </r>
  <r>
    <n v="485"/>
    <x v="0"/>
    <x v="0"/>
    <x v="4"/>
    <x v="1"/>
    <s v="Rural"/>
    <s v="Femenino"/>
    <x v="0"/>
    <x v="2"/>
  </r>
  <r>
    <n v="486"/>
    <x v="0"/>
    <x v="0"/>
    <x v="4"/>
    <x v="1"/>
    <s v="Rural"/>
    <s v="Femenino"/>
    <x v="0"/>
    <x v="2"/>
  </r>
  <r>
    <n v="487"/>
    <x v="0"/>
    <x v="0"/>
    <x v="4"/>
    <x v="1"/>
    <s v="Rural"/>
    <s v="Masculino"/>
    <x v="0"/>
    <x v="2"/>
  </r>
  <r>
    <n v="488"/>
    <x v="0"/>
    <x v="0"/>
    <x v="4"/>
    <x v="1"/>
    <s v="Rural"/>
    <s v="Masculino"/>
    <x v="0"/>
    <x v="2"/>
  </r>
  <r>
    <n v="489"/>
    <x v="0"/>
    <x v="0"/>
    <x v="4"/>
    <x v="1"/>
    <s v="Rural"/>
    <s v="Masculino"/>
    <x v="1"/>
    <x v="2"/>
  </r>
  <r>
    <n v="490"/>
    <x v="0"/>
    <x v="0"/>
    <x v="4"/>
    <x v="1"/>
    <s v="Rural"/>
    <s v="Femenino"/>
    <x v="1"/>
    <x v="2"/>
  </r>
  <r>
    <n v="491"/>
    <x v="0"/>
    <x v="0"/>
    <x v="4"/>
    <x v="1"/>
    <s v="Rural"/>
    <s v="Masculino"/>
    <x v="1"/>
    <x v="2"/>
  </r>
  <r>
    <n v="492"/>
    <x v="0"/>
    <x v="0"/>
    <x v="4"/>
    <x v="0"/>
    <s v="Rural"/>
    <s v="Masculino"/>
    <x v="0"/>
    <x v="2"/>
  </r>
  <r>
    <n v="493"/>
    <x v="0"/>
    <x v="0"/>
    <x v="4"/>
    <x v="0"/>
    <s v="Rural"/>
    <s v="Femenino"/>
    <x v="1"/>
    <x v="2"/>
  </r>
  <r>
    <n v="494"/>
    <x v="0"/>
    <x v="0"/>
    <x v="4"/>
    <x v="0"/>
    <s v="Rural"/>
    <s v="Masculino"/>
    <x v="1"/>
    <x v="2"/>
  </r>
  <r>
    <n v="495"/>
    <x v="0"/>
    <x v="0"/>
    <x v="4"/>
    <x v="0"/>
    <s v="Rural"/>
    <s v="Femenino"/>
    <x v="1"/>
    <x v="2"/>
  </r>
  <r>
    <n v="496"/>
    <x v="0"/>
    <x v="0"/>
    <x v="4"/>
    <x v="0"/>
    <s v="Rural"/>
    <s v="Femenino"/>
    <x v="1"/>
    <x v="2"/>
  </r>
  <r>
    <n v="497"/>
    <x v="0"/>
    <x v="0"/>
    <x v="4"/>
    <x v="0"/>
    <s v="Rural"/>
    <s v="Femenino"/>
    <x v="2"/>
    <x v="2"/>
  </r>
  <r>
    <n v="498"/>
    <x v="0"/>
    <x v="0"/>
    <x v="4"/>
    <x v="0"/>
    <s v="Rural"/>
    <s v="Femenino"/>
    <x v="1"/>
    <x v="2"/>
  </r>
  <r>
    <n v="499"/>
    <x v="0"/>
    <x v="0"/>
    <x v="4"/>
    <x v="0"/>
    <s v="Rural"/>
    <s v="Masculino"/>
    <x v="0"/>
    <x v="2"/>
  </r>
  <r>
    <n v="500"/>
    <x v="0"/>
    <x v="0"/>
    <x v="4"/>
    <x v="0"/>
    <s v="Rural"/>
    <s v="Femenino"/>
    <x v="1"/>
    <x v="2"/>
  </r>
  <r>
    <n v="501"/>
    <x v="0"/>
    <x v="0"/>
    <x v="4"/>
    <x v="0"/>
    <s v="Rural"/>
    <s v="Femenino"/>
    <x v="1"/>
    <x v="2"/>
  </r>
  <r>
    <n v="502"/>
    <x v="0"/>
    <x v="0"/>
    <x v="4"/>
    <x v="0"/>
    <s v="Rural"/>
    <s v="Masculino"/>
    <x v="1"/>
    <x v="2"/>
  </r>
  <r>
    <n v="503"/>
    <x v="0"/>
    <x v="0"/>
    <x v="4"/>
    <x v="0"/>
    <s v="Rural"/>
    <s v="Masculino"/>
    <x v="1"/>
    <x v="2"/>
  </r>
  <r>
    <n v="504"/>
    <x v="0"/>
    <x v="0"/>
    <x v="4"/>
    <x v="0"/>
    <s v="Rural"/>
    <s v="Femenino"/>
    <x v="0"/>
    <x v="2"/>
  </r>
  <r>
    <n v="505"/>
    <x v="0"/>
    <x v="0"/>
    <x v="4"/>
    <x v="0"/>
    <s v="Rural"/>
    <s v="Femenino"/>
    <x v="1"/>
    <x v="2"/>
  </r>
  <r>
    <n v="506"/>
    <x v="0"/>
    <x v="0"/>
    <x v="4"/>
    <x v="0"/>
    <s v="Rural"/>
    <s v="Masculino"/>
    <x v="1"/>
    <x v="2"/>
  </r>
  <r>
    <n v="507"/>
    <x v="0"/>
    <x v="0"/>
    <x v="4"/>
    <x v="0"/>
    <s v="Rural"/>
    <s v="Femenino"/>
    <x v="0"/>
    <x v="2"/>
  </r>
  <r>
    <n v="508"/>
    <x v="0"/>
    <x v="0"/>
    <x v="4"/>
    <x v="0"/>
    <s v="Rural"/>
    <s v="Femenino"/>
    <x v="1"/>
    <x v="2"/>
  </r>
  <r>
    <n v="509"/>
    <x v="0"/>
    <x v="0"/>
    <x v="4"/>
    <x v="0"/>
    <s v="Rural"/>
    <s v="Femenino"/>
    <x v="0"/>
    <x v="2"/>
  </r>
  <r>
    <n v="510"/>
    <x v="0"/>
    <x v="0"/>
    <x v="4"/>
    <x v="0"/>
    <s v="Rural"/>
    <s v="Femenino"/>
    <x v="1"/>
    <x v="2"/>
  </r>
  <r>
    <n v="511"/>
    <x v="0"/>
    <x v="0"/>
    <x v="4"/>
    <x v="0"/>
    <s v="Rural"/>
    <s v="Masculino"/>
    <x v="0"/>
    <x v="2"/>
  </r>
  <r>
    <n v="512"/>
    <x v="0"/>
    <x v="0"/>
    <x v="4"/>
    <x v="0"/>
    <s v="Rural"/>
    <s v="Femenino"/>
    <x v="1"/>
    <x v="2"/>
  </r>
  <r>
    <n v="513"/>
    <x v="0"/>
    <x v="0"/>
    <x v="4"/>
    <x v="0"/>
    <s v="Rural"/>
    <s v="Masculino"/>
    <x v="0"/>
    <x v="2"/>
  </r>
  <r>
    <n v="514"/>
    <x v="0"/>
    <x v="0"/>
    <x v="4"/>
    <x v="0"/>
    <s v="Rural"/>
    <s v="Femenino"/>
    <x v="0"/>
    <x v="2"/>
  </r>
  <r>
    <n v="515"/>
    <x v="0"/>
    <x v="0"/>
    <x v="4"/>
    <x v="0"/>
    <s v="Rural"/>
    <s v="Masculino"/>
    <x v="1"/>
    <x v="2"/>
  </r>
  <r>
    <n v="516"/>
    <x v="0"/>
    <x v="0"/>
    <x v="4"/>
    <x v="0"/>
    <s v="Rural"/>
    <s v="Masculino"/>
    <x v="0"/>
    <x v="2"/>
  </r>
  <r>
    <n v="517"/>
    <x v="0"/>
    <x v="0"/>
    <x v="4"/>
    <x v="0"/>
    <s v="Rural"/>
    <s v="Femenino"/>
    <x v="1"/>
    <x v="2"/>
  </r>
  <r>
    <n v="518"/>
    <x v="0"/>
    <x v="0"/>
    <x v="4"/>
    <x v="0"/>
    <s v="Rural"/>
    <s v="Femenino"/>
    <x v="0"/>
    <x v="2"/>
  </r>
  <r>
    <n v="519"/>
    <x v="0"/>
    <x v="0"/>
    <x v="4"/>
    <x v="0"/>
    <s v="Rural"/>
    <s v="Femenino"/>
    <x v="0"/>
    <x v="2"/>
  </r>
  <r>
    <n v="520"/>
    <x v="0"/>
    <x v="0"/>
    <x v="4"/>
    <x v="0"/>
    <s v="Rural"/>
    <s v="Masculino"/>
    <x v="0"/>
    <x v="2"/>
  </r>
  <r>
    <n v="521"/>
    <x v="0"/>
    <x v="0"/>
    <x v="4"/>
    <x v="0"/>
    <s v="Rural"/>
    <s v="Masculino"/>
    <x v="0"/>
    <x v="2"/>
  </r>
  <r>
    <n v="522"/>
    <x v="0"/>
    <x v="0"/>
    <x v="4"/>
    <x v="0"/>
    <s v="Rural"/>
    <s v="Masculino"/>
    <x v="0"/>
    <x v="2"/>
  </r>
  <r>
    <n v="523"/>
    <x v="0"/>
    <x v="0"/>
    <x v="4"/>
    <x v="0"/>
    <s v="Rural"/>
    <s v="Femenino"/>
    <x v="1"/>
    <x v="2"/>
  </r>
  <r>
    <n v="524"/>
    <x v="0"/>
    <x v="0"/>
    <x v="4"/>
    <x v="0"/>
    <s v="Rural"/>
    <s v="Masculino"/>
    <x v="0"/>
    <x v="2"/>
  </r>
  <r>
    <n v="525"/>
    <x v="0"/>
    <x v="0"/>
    <x v="4"/>
    <x v="0"/>
    <s v="Rural"/>
    <s v="Masculino"/>
    <x v="0"/>
    <x v="2"/>
  </r>
  <r>
    <n v="526"/>
    <x v="0"/>
    <x v="0"/>
    <x v="4"/>
    <x v="0"/>
    <s v="Rural"/>
    <s v="Femenino"/>
    <x v="0"/>
    <x v="2"/>
  </r>
  <r>
    <n v="527"/>
    <x v="0"/>
    <x v="0"/>
    <x v="4"/>
    <x v="0"/>
    <s v="Rural"/>
    <s v="Femenino"/>
    <x v="0"/>
    <x v="2"/>
  </r>
  <r>
    <n v="528"/>
    <x v="0"/>
    <x v="0"/>
    <x v="4"/>
    <x v="0"/>
    <s v="Rural"/>
    <s v="Masculino"/>
    <x v="0"/>
    <x v="2"/>
  </r>
  <r>
    <n v="529"/>
    <x v="0"/>
    <x v="0"/>
    <x v="4"/>
    <x v="0"/>
    <s v="Rural"/>
    <s v="Femenino"/>
    <x v="1"/>
    <x v="2"/>
  </r>
  <r>
    <n v="530"/>
    <x v="0"/>
    <x v="0"/>
    <x v="4"/>
    <x v="0"/>
    <s v="Rural"/>
    <s v="Femenino"/>
    <x v="0"/>
    <x v="2"/>
  </r>
  <r>
    <n v="531"/>
    <x v="0"/>
    <x v="0"/>
    <x v="4"/>
    <x v="0"/>
    <s v="Rural"/>
    <s v="Femenino"/>
    <x v="1"/>
    <x v="2"/>
  </r>
  <r>
    <n v="532"/>
    <x v="0"/>
    <x v="0"/>
    <x v="4"/>
    <x v="0"/>
    <s v="Rural"/>
    <s v="Femenino"/>
    <x v="0"/>
    <x v="2"/>
  </r>
  <r>
    <n v="533"/>
    <x v="0"/>
    <x v="0"/>
    <x v="4"/>
    <x v="0"/>
    <s v="Rural"/>
    <s v="Femenino"/>
    <x v="1"/>
    <x v="2"/>
  </r>
  <r>
    <n v="534"/>
    <x v="0"/>
    <x v="0"/>
    <x v="4"/>
    <x v="0"/>
    <s v="Rural"/>
    <s v="Femenino"/>
    <x v="0"/>
    <x v="2"/>
  </r>
  <r>
    <n v="535"/>
    <x v="0"/>
    <x v="0"/>
    <x v="4"/>
    <x v="0"/>
    <s v="Rural"/>
    <s v="Femenino"/>
    <x v="0"/>
    <x v="2"/>
  </r>
  <r>
    <n v="536"/>
    <x v="0"/>
    <x v="0"/>
    <x v="4"/>
    <x v="0"/>
    <s v="Rural"/>
    <s v="Femenino"/>
    <x v="0"/>
    <x v="2"/>
  </r>
  <r>
    <n v="537"/>
    <x v="0"/>
    <x v="0"/>
    <x v="4"/>
    <x v="0"/>
    <s v="Rural"/>
    <s v="Femenino"/>
    <x v="0"/>
    <x v="2"/>
  </r>
  <r>
    <n v="538"/>
    <x v="0"/>
    <x v="0"/>
    <x v="4"/>
    <x v="0"/>
    <s v="Rural"/>
    <s v="Femenino"/>
    <x v="0"/>
    <x v="2"/>
  </r>
  <r>
    <n v="539"/>
    <x v="0"/>
    <x v="0"/>
    <x v="4"/>
    <x v="0"/>
    <s v="Rural"/>
    <s v="Masculino"/>
    <x v="0"/>
    <x v="2"/>
  </r>
  <r>
    <n v="540"/>
    <x v="0"/>
    <x v="0"/>
    <x v="4"/>
    <x v="0"/>
    <s v="Rural"/>
    <s v="Masculino"/>
    <x v="0"/>
    <x v="2"/>
  </r>
  <r>
    <n v="541"/>
    <x v="0"/>
    <x v="0"/>
    <x v="4"/>
    <x v="0"/>
    <s v="Rural"/>
    <s v="Masculino"/>
    <x v="1"/>
    <x v="2"/>
  </r>
  <r>
    <n v="542"/>
    <x v="0"/>
    <x v="0"/>
    <x v="4"/>
    <x v="0"/>
    <s v="Rural"/>
    <s v="Femenino"/>
    <x v="0"/>
    <x v="2"/>
  </r>
  <r>
    <n v="543"/>
    <x v="0"/>
    <x v="0"/>
    <x v="4"/>
    <x v="0"/>
    <s v="Rural"/>
    <s v="Masculino"/>
    <x v="0"/>
    <x v="2"/>
  </r>
  <r>
    <n v="544"/>
    <x v="0"/>
    <x v="0"/>
    <x v="4"/>
    <x v="0"/>
    <s v="Rural"/>
    <s v="Masculino"/>
    <x v="0"/>
    <x v="2"/>
  </r>
  <r>
    <n v="545"/>
    <x v="0"/>
    <x v="0"/>
    <x v="4"/>
    <x v="0"/>
    <s v="Rural"/>
    <s v="Masculino"/>
    <x v="0"/>
    <x v="2"/>
  </r>
  <r>
    <n v="546"/>
    <x v="0"/>
    <x v="0"/>
    <x v="4"/>
    <x v="0"/>
    <s v="Rural"/>
    <s v="Masculino"/>
    <x v="0"/>
    <x v="2"/>
  </r>
  <r>
    <n v="547"/>
    <x v="0"/>
    <x v="0"/>
    <x v="1"/>
    <x v="10"/>
    <s v="Rural"/>
    <s v="Femenino"/>
    <x v="0"/>
    <x v="2"/>
  </r>
  <r>
    <n v="548"/>
    <x v="0"/>
    <x v="0"/>
    <x v="1"/>
    <x v="10"/>
    <s v="Rural"/>
    <s v="Femenino"/>
    <x v="1"/>
    <x v="2"/>
  </r>
  <r>
    <n v="549"/>
    <x v="0"/>
    <x v="0"/>
    <x v="1"/>
    <x v="10"/>
    <s v="Rural"/>
    <s v="Masculino"/>
    <x v="1"/>
    <x v="2"/>
  </r>
  <r>
    <n v="550"/>
    <x v="0"/>
    <x v="0"/>
    <x v="1"/>
    <x v="14"/>
    <s v="Rural"/>
    <s v="Masculino"/>
    <x v="1"/>
    <x v="2"/>
  </r>
  <r>
    <n v="551"/>
    <x v="0"/>
    <x v="0"/>
    <x v="4"/>
    <x v="12"/>
    <s v="Rural"/>
    <s v="Masculino"/>
    <x v="1"/>
    <x v="2"/>
  </r>
  <r>
    <n v="552"/>
    <x v="0"/>
    <x v="0"/>
    <x v="4"/>
    <x v="12"/>
    <s v="Rural"/>
    <s v="Masculino"/>
    <x v="1"/>
    <x v="2"/>
  </r>
  <r>
    <n v="553"/>
    <x v="0"/>
    <x v="0"/>
    <x v="4"/>
    <x v="12"/>
    <s v="Rural"/>
    <s v="Femenino"/>
    <x v="1"/>
    <x v="2"/>
  </r>
  <r>
    <n v="554"/>
    <x v="0"/>
    <x v="0"/>
    <x v="4"/>
    <x v="12"/>
    <s v="Rural"/>
    <s v="Masculino"/>
    <x v="1"/>
    <x v="2"/>
  </r>
  <r>
    <n v="555"/>
    <x v="0"/>
    <x v="0"/>
    <x v="4"/>
    <x v="12"/>
    <s v="Rural"/>
    <s v="Femenino"/>
    <x v="1"/>
    <x v="2"/>
  </r>
  <r>
    <n v="556"/>
    <x v="0"/>
    <x v="0"/>
    <x v="4"/>
    <x v="12"/>
    <s v="Rural"/>
    <s v="Femenino"/>
    <x v="0"/>
    <x v="2"/>
  </r>
  <r>
    <n v="557"/>
    <x v="0"/>
    <x v="0"/>
    <x v="4"/>
    <x v="12"/>
    <s v="Rural"/>
    <s v="Femenino"/>
    <x v="1"/>
    <x v="2"/>
  </r>
  <r>
    <n v="558"/>
    <x v="0"/>
    <x v="0"/>
    <x v="4"/>
    <x v="8"/>
    <s v="Rural"/>
    <s v="Femenino"/>
    <x v="1"/>
    <x v="2"/>
  </r>
  <r>
    <n v="559"/>
    <x v="0"/>
    <x v="0"/>
    <x v="4"/>
    <x v="8"/>
    <s v="Rural"/>
    <s v="Femenino"/>
    <x v="1"/>
    <x v="2"/>
  </r>
  <r>
    <n v="560"/>
    <x v="0"/>
    <x v="0"/>
    <x v="0"/>
    <x v="8"/>
    <s v="Rural"/>
    <s v="Masculino"/>
    <x v="1"/>
    <x v="2"/>
  </r>
  <r>
    <n v="561"/>
    <x v="0"/>
    <x v="0"/>
    <x v="0"/>
    <x v="8"/>
    <s v="Rural"/>
    <s v="Masculino"/>
    <x v="0"/>
    <x v="2"/>
  </r>
  <r>
    <n v="562"/>
    <x v="0"/>
    <x v="0"/>
    <x v="0"/>
    <x v="8"/>
    <s v="Rural"/>
    <s v="Masculino"/>
    <x v="0"/>
    <x v="2"/>
  </r>
  <r>
    <n v="563"/>
    <x v="0"/>
    <x v="0"/>
    <x v="0"/>
    <x v="8"/>
    <s v="Rural"/>
    <s v="Masculino"/>
    <x v="0"/>
    <x v="2"/>
  </r>
  <r>
    <n v="564"/>
    <x v="0"/>
    <x v="0"/>
    <x v="0"/>
    <x v="8"/>
    <s v="Rural"/>
    <s v="Masculino"/>
    <x v="1"/>
    <x v="2"/>
  </r>
  <r>
    <n v="565"/>
    <x v="0"/>
    <x v="0"/>
    <x v="0"/>
    <x v="8"/>
    <s v="Rural"/>
    <s v="Masculino"/>
    <x v="1"/>
    <x v="2"/>
  </r>
  <r>
    <n v="566"/>
    <x v="0"/>
    <x v="0"/>
    <x v="1"/>
    <x v="8"/>
    <s v="Rural"/>
    <s v="Masculino"/>
    <x v="1"/>
    <x v="2"/>
  </r>
  <r>
    <n v="567"/>
    <x v="0"/>
    <x v="0"/>
    <x v="1"/>
    <x v="8"/>
    <s v="Rural"/>
    <s v="Masculino"/>
    <x v="1"/>
    <x v="2"/>
  </r>
  <r>
    <n v="568"/>
    <x v="0"/>
    <x v="0"/>
    <x v="1"/>
    <x v="8"/>
    <s v="Rural"/>
    <s v="Masculino"/>
    <x v="1"/>
    <x v="2"/>
  </r>
  <r>
    <n v="569"/>
    <x v="0"/>
    <x v="0"/>
    <x v="1"/>
    <x v="8"/>
    <s v="Rural"/>
    <s v="Masculino"/>
    <x v="1"/>
    <x v="2"/>
  </r>
  <r>
    <n v="570"/>
    <x v="0"/>
    <x v="0"/>
    <x v="1"/>
    <x v="8"/>
    <s v="Rural"/>
    <s v="Femenino"/>
    <x v="1"/>
    <x v="2"/>
  </r>
  <r>
    <n v="571"/>
    <x v="0"/>
    <x v="0"/>
    <x v="4"/>
    <x v="3"/>
    <s v="Rural"/>
    <s v="Masculino"/>
    <x v="0"/>
    <x v="2"/>
  </r>
  <r>
    <n v="572"/>
    <x v="0"/>
    <x v="0"/>
    <x v="4"/>
    <x v="3"/>
    <s v="Rural"/>
    <s v="Femenino"/>
    <x v="1"/>
    <x v="2"/>
  </r>
  <r>
    <n v="573"/>
    <x v="0"/>
    <x v="0"/>
    <x v="4"/>
    <x v="3"/>
    <s v="Rural"/>
    <s v="Femenino"/>
    <x v="0"/>
    <x v="2"/>
  </r>
  <r>
    <n v="574"/>
    <x v="0"/>
    <x v="0"/>
    <x v="4"/>
    <x v="3"/>
    <s v="Rural"/>
    <s v="Masculino"/>
    <x v="1"/>
    <x v="2"/>
  </r>
  <r>
    <n v="575"/>
    <x v="0"/>
    <x v="0"/>
    <x v="0"/>
    <x v="3"/>
    <s v="Rural"/>
    <s v="Masculino"/>
    <x v="1"/>
    <x v="2"/>
  </r>
  <r>
    <n v="576"/>
    <x v="0"/>
    <x v="0"/>
    <x v="0"/>
    <x v="3"/>
    <s v="Rural"/>
    <s v="Masculino"/>
    <x v="0"/>
    <x v="2"/>
  </r>
  <r>
    <n v="577"/>
    <x v="0"/>
    <x v="0"/>
    <x v="0"/>
    <x v="3"/>
    <s v="Rural"/>
    <s v="Femenino"/>
    <x v="0"/>
    <x v="2"/>
  </r>
  <r>
    <n v="578"/>
    <x v="0"/>
    <x v="0"/>
    <x v="0"/>
    <x v="3"/>
    <s v="Rural"/>
    <s v="Masculino"/>
    <x v="0"/>
    <x v="2"/>
  </r>
  <r>
    <n v="579"/>
    <x v="0"/>
    <x v="0"/>
    <x v="0"/>
    <x v="3"/>
    <s v="Rural"/>
    <s v="Femenino"/>
    <x v="2"/>
    <x v="2"/>
  </r>
  <r>
    <n v="580"/>
    <x v="0"/>
    <x v="0"/>
    <x v="0"/>
    <x v="3"/>
    <s v="Rural"/>
    <s v="Masculino"/>
    <x v="1"/>
    <x v="2"/>
  </r>
  <r>
    <n v="581"/>
    <x v="0"/>
    <x v="0"/>
    <x v="0"/>
    <x v="3"/>
    <s v="Rural"/>
    <s v="Masculino"/>
    <x v="1"/>
    <x v="2"/>
  </r>
  <r>
    <n v="582"/>
    <x v="0"/>
    <x v="0"/>
    <x v="1"/>
    <x v="3"/>
    <s v="Rural"/>
    <s v="Masculino"/>
    <x v="0"/>
    <x v="2"/>
  </r>
  <r>
    <n v="583"/>
    <x v="0"/>
    <x v="0"/>
    <x v="1"/>
    <x v="3"/>
    <s v="Rural"/>
    <s v="Masculino"/>
    <x v="1"/>
    <x v="2"/>
  </r>
  <r>
    <n v="584"/>
    <x v="0"/>
    <x v="0"/>
    <x v="1"/>
    <x v="3"/>
    <s v="Rural"/>
    <s v="Masculino"/>
    <x v="1"/>
    <x v="2"/>
  </r>
  <r>
    <n v="585"/>
    <x v="0"/>
    <x v="0"/>
    <x v="1"/>
    <x v="3"/>
    <s v="Rural"/>
    <s v="Femenino"/>
    <x v="1"/>
    <x v="2"/>
  </r>
  <r>
    <n v="586"/>
    <x v="0"/>
    <x v="0"/>
    <x v="1"/>
    <x v="3"/>
    <s v="Rural"/>
    <s v="Femenino"/>
    <x v="1"/>
    <x v="2"/>
  </r>
  <r>
    <n v="587"/>
    <x v="0"/>
    <x v="0"/>
    <x v="1"/>
    <x v="3"/>
    <s v="Rural"/>
    <s v="Masculino"/>
    <x v="1"/>
    <x v="2"/>
  </r>
  <r>
    <n v="588"/>
    <x v="0"/>
    <x v="0"/>
    <x v="1"/>
    <x v="3"/>
    <s v="Rural"/>
    <s v="Femenino"/>
    <x v="0"/>
    <x v="2"/>
  </r>
  <r>
    <n v="589"/>
    <x v="0"/>
    <x v="0"/>
    <x v="1"/>
    <x v="3"/>
    <s v="Rural"/>
    <s v="Femenino"/>
    <x v="0"/>
    <x v="2"/>
  </r>
  <r>
    <n v="590"/>
    <x v="0"/>
    <x v="0"/>
    <x v="4"/>
    <x v="2"/>
    <s v="Rural"/>
    <s v="Masculino"/>
    <x v="0"/>
    <x v="2"/>
  </r>
  <r>
    <n v="591"/>
    <x v="0"/>
    <x v="0"/>
    <x v="4"/>
    <x v="2"/>
    <s v="Rural"/>
    <s v="Femenino"/>
    <x v="1"/>
    <x v="2"/>
  </r>
  <r>
    <n v="592"/>
    <x v="0"/>
    <x v="0"/>
    <x v="4"/>
    <x v="2"/>
    <s v="Rural"/>
    <s v="Masculino"/>
    <x v="1"/>
    <x v="2"/>
  </r>
  <r>
    <n v="593"/>
    <x v="0"/>
    <x v="0"/>
    <x v="4"/>
    <x v="2"/>
    <s v="Rural"/>
    <s v="Femenino"/>
    <x v="0"/>
    <x v="2"/>
  </r>
  <r>
    <n v="594"/>
    <x v="0"/>
    <x v="0"/>
    <x v="4"/>
    <x v="2"/>
    <s v="Rural"/>
    <s v="Masculino"/>
    <x v="0"/>
    <x v="2"/>
  </r>
  <r>
    <n v="595"/>
    <x v="0"/>
    <x v="0"/>
    <x v="4"/>
    <x v="2"/>
    <s v="Rural"/>
    <s v="Masculino"/>
    <x v="0"/>
    <x v="2"/>
  </r>
  <r>
    <n v="596"/>
    <x v="0"/>
    <x v="0"/>
    <x v="4"/>
    <x v="2"/>
    <s v="Rural"/>
    <s v="Femenino"/>
    <x v="1"/>
    <x v="2"/>
  </r>
  <r>
    <n v="597"/>
    <x v="0"/>
    <x v="0"/>
    <x v="4"/>
    <x v="2"/>
    <s v="Rural"/>
    <s v="Masculino"/>
    <x v="0"/>
    <x v="2"/>
  </r>
  <r>
    <n v="598"/>
    <x v="0"/>
    <x v="0"/>
    <x v="4"/>
    <x v="2"/>
    <s v="Rural"/>
    <s v="Femenino"/>
    <x v="1"/>
    <x v="2"/>
  </r>
  <r>
    <n v="599"/>
    <x v="0"/>
    <x v="0"/>
    <x v="1"/>
    <x v="2"/>
    <s v="Rural"/>
    <s v="Femenino"/>
    <x v="2"/>
    <x v="2"/>
  </r>
  <r>
    <n v="600"/>
    <x v="0"/>
    <x v="0"/>
    <x v="1"/>
    <x v="2"/>
    <s v="Rural"/>
    <s v="Femenino"/>
    <x v="1"/>
    <x v="2"/>
  </r>
  <r>
    <n v="601"/>
    <x v="0"/>
    <x v="0"/>
    <x v="1"/>
    <x v="2"/>
    <s v="Rural"/>
    <s v="Femenino"/>
    <x v="0"/>
    <x v="2"/>
  </r>
  <r>
    <n v="602"/>
    <x v="0"/>
    <x v="0"/>
    <x v="1"/>
    <x v="2"/>
    <s v="Rural"/>
    <s v="Femenino"/>
    <x v="1"/>
    <x v="2"/>
  </r>
  <r>
    <n v="603"/>
    <x v="0"/>
    <x v="0"/>
    <x v="1"/>
    <x v="2"/>
    <s v="Rural"/>
    <s v="Masculino"/>
    <x v="0"/>
    <x v="2"/>
  </r>
  <r>
    <n v="604"/>
    <x v="0"/>
    <x v="0"/>
    <x v="1"/>
    <x v="2"/>
    <s v="Rural"/>
    <s v="Femenino"/>
    <x v="2"/>
    <x v="2"/>
  </r>
  <r>
    <n v="605"/>
    <x v="0"/>
    <x v="0"/>
    <x v="1"/>
    <x v="2"/>
    <s v="Rural"/>
    <s v="Masculino"/>
    <x v="1"/>
    <x v="2"/>
  </r>
  <r>
    <n v="606"/>
    <x v="0"/>
    <x v="0"/>
    <x v="1"/>
    <x v="2"/>
    <s v="Rural"/>
    <s v="Femenino"/>
    <x v="1"/>
    <x v="2"/>
  </r>
  <r>
    <n v="607"/>
    <x v="0"/>
    <x v="0"/>
    <x v="1"/>
    <x v="2"/>
    <s v="Rural"/>
    <s v="Masculino"/>
    <x v="0"/>
    <x v="2"/>
  </r>
  <r>
    <n v="608"/>
    <x v="0"/>
    <x v="0"/>
    <x v="1"/>
    <x v="2"/>
    <s v="Rural"/>
    <s v="Femenino"/>
    <x v="1"/>
    <x v="2"/>
  </r>
  <r>
    <n v="609"/>
    <x v="0"/>
    <x v="0"/>
    <x v="1"/>
    <x v="2"/>
    <s v="Rural"/>
    <s v="Masculino"/>
    <x v="1"/>
    <x v="2"/>
  </r>
  <r>
    <n v="610"/>
    <x v="0"/>
    <x v="0"/>
    <x v="1"/>
    <x v="2"/>
    <s v="Rural"/>
    <s v="Masculino"/>
    <x v="1"/>
    <x v="2"/>
  </r>
  <r>
    <n v="611"/>
    <x v="0"/>
    <x v="0"/>
    <x v="1"/>
    <x v="2"/>
    <s v="Rural"/>
    <s v="Masculino"/>
    <x v="0"/>
    <x v="2"/>
  </r>
  <r>
    <n v="612"/>
    <x v="0"/>
    <x v="0"/>
    <x v="1"/>
    <x v="2"/>
    <s v="Rural"/>
    <s v="Masculino"/>
    <x v="1"/>
    <x v="2"/>
  </r>
  <r>
    <n v="613"/>
    <x v="0"/>
    <x v="0"/>
    <x v="1"/>
    <x v="2"/>
    <s v="Rural"/>
    <s v="Femenino"/>
    <x v="1"/>
    <x v="2"/>
  </r>
  <r>
    <n v="614"/>
    <x v="0"/>
    <x v="0"/>
    <x v="1"/>
    <x v="2"/>
    <s v="Rural"/>
    <s v="Femenino"/>
    <x v="1"/>
    <x v="2"/>
  </r>
  <r>
    <n v="615"/>
    <x v="0"/>
    <x v="0"/>
    <x v="1"/>
    <x v="2"/>
    <s v="Rural"/>
    <s v="Masculino"/>
    <x v="1"/>
    <x v="2"/>
  </r>
  <r>
    <n v="616"/>
    <x v="0"/>
    <x v="0"/>
    <x v="1"/>
    <x v="2"/>
    <s v="Rural"/>
    <s v="Masculino"/>
    <x v="1"/>
    <x v="2"/>
  </r>
  <r>
    <n v="617"/>
    <x v="0"/>
    <x v="0"/>
    <x v="1"/>
    <x v="2"/>
    <s v="Rural"/>
    <s v="Femenino"/>
    <x v="1"/>
    <x v="2"/>
  </r>
  <r>
    <n v="618"/>
    <x v="0"/>
    <x v="0"/>
    <x v="1"/>
    <x v="2"/>
    <s v="Rural"/>
    <s v="Masculino"/>
    <x v="1"/>
    <x v="2"/>
  </r>
  <r>
    <n v="619"/>
    <x v="0"/>
    <x v="0"/>
    <x v="1"/>
    <x v="2"/>
    <s v="Rural"/>
    <s v="Femenino"/>
    <x v="0"/>
    <x v="2"/>
  </r>
  <r>
    <n v="620"/>
    <x v="0"/>
    <x v="0"/>
    <x v="1"/>
    <x v="2"/>
    <s v="Rural"/>
    <s v="Femenino"/>
    <x v="0"/>
    <x v="2"/>
  </r>
  <r>
    <n v="621"/>
    <x v="0"/>
    <x v="0"/>
    <x v="1"/>
    <x v="2"/>
    <s v="Rural"/>
    <s v="Femenino"/>
    <x v="0"/>
    <x v="2"/>
  </r>
  <r>
    <n v="622"/>
    <x v="3"/>
    <x v="0"/>
    <x v="4"/>
    <x v="30"/>
    <s v="Rural"/>
    <s v="Masculino"/>
    <x v="1"/>
    <x v="2"/>
  </r>
  <r>
    <n v="623"/>
    <x v="3"/>
    <x v="0"/>
    <x v="4"/>
    <x v="30"/>
    <s v="Rural"/>
    <s v="Femenino"/>
    <x v="2"/>
    <x v="2"/>
  </r>
  <r>
    <n v="624"/>
    <x v="3"/>
    <x v="0"/>
    <x v="4"/>
    <x v="30"/>
    <s v="Rural"/>
    <s v="Masculino"/>
    <x v="0"/>
    <x v="2"/>
  </r>
  <r>
    <n v="625"/>
    <x v="3"/>
    <x v="0"/>
    <x v="4"/>
    <x v="30"/>
    <s v="Rural"/>
    <s v="Masculino"/>
    <x v="2"/>
    <x v="2"/>
  </r>
  <r>
    <n v="626"/>
    <x v="3"/>
    <x v="0"/>
    <x v="4"/>
    <x v="30"/>
    <s v="Rural"/>
    <s v="Masculino"/>
    <x v="0"/>
    <x v="2"/>
  </r>
  <r>
    <n v="627"/>
    <x v="3"/>
    <x v="0"/>
    <x v="4"/>
    <x v="30"/>
    <s v="Rural"/>
    <s v="Femenino"/>
    <x v="1"/>
    <x v="2"/>
  </r>
  <r>
    <n v="628"/>
    <x v="3"/>
    <x v="0"/>
    <x v="4"/>
    <x v="30"/>
    <s v="Rural"/>
    <s v="Masculino"/>
    <x v="1"/>
    <x v="2"/>
  </r>
  <r>
    <n v="629"/>
    <x v="3"/>
    <x v="0"/>
    <x v="4"/>
    <x v="30"/>
    <s v="Rural"/>
    <s v="Femenino"/>
    <x v="1"/>
    <x v="2"/>
  </r>
  <r>
    <n v="630"/>
    <x v="3"/>
    <x v="0"/>
    <x v="0"/>
    <x v="30"/>
    <s v="Rural"/>
    <s v="Masculino"/>
    <x v="2"/>
    <x v="2"/>
  </r>
  <r>
    <n v="631"/>
    <x v="3"/>
    <x v="0"/>
    <x v="0"/>
    <x v="30"/>
    <s v="Rural"/>
    <s v="Masculino"/>
    <x v="0"/>
    <x v="2"/>
  </r>
  <r>
    <n v="632"/>
    <x v="3"/>
    <x v="0"/>
    <x v="0"/>
    <x v="30"/>
    <s v="Rural"/>
    <s v="Masculino"/>
    <x v="1"/>
    <x v="2"/>
  </r>
  <r>
    <n v="633"/>
    <x v="3"/>
    <x v="0"/>
    <x v="0"/>
    <x v="30"/>
    <s v="Rural"/>
    <s v="Masculino"/>
    <x v="0"/>
    <x v="2"/>
  </r>
  <r>
    <n v="634"/>
    <x v="3"/>
    <x v="0"/>
    <x v="0"/>
    <x v="30"/>
    <s v="Rural"/>
    <s v="Masculino"/>
    <x v="0"/>
    <x v="2"/>
  </r>
  <r>
    <n v="635"/>
    <x v="3"/>
    <x v="0"/>
    <x v="0"/>
    <x v="30"/>
    <s v="Rural"/>
    <s v="Masculino"/>
    <x v="1"/>
    <x v="2"/>
  </r>
  <r>
    <n v="636"/>
    <x v="3"/>
    <x v="0"/>
    <x v="0"/>
    <x v="30"/>
    <s v="Rural"/>
    <s v="Masculino"/>
    <x v="0"/>
    <x v="2"/>
  </r>
  <r>
    <n v="637"/>
    <x v="3"/>
    <x v="0"/>
    <x v="1"/>
    <x v="30"/>
    <s v="Rural"/>
    <s v="Masculino"/>
    <x v="0"/>
    <x v="2"/>
  </r>
  <r>
    <n v="638"/>
    <x v="3"/>
    <x v="0"/>
    <x v="1"/>
    <x v="30"/>
    <s v="Rural"/>
    <s v="Masculino"/>
    <x v="2"/>
    <x v="2"/>
  </r>
  <r>
    <n v="639"/>
    <x v="3"/>
    <x v="0"/>
    <x v="1"/>
    <x v="30"/>
    <s v="Rural"/>
    <s v="Femenino"/>
    <x v="0"/>
    <x v="2"/>
  </r>
  <r>
    <n v="640"/>
    <x v="3"/>
    <x v="0"/>
    <x v="1"/>
    <x v="30"/>
    <s v="Rural"/>
    <s v="Masculino"/>
    <x v="0"/>
    <x v="2"/>
  </r>
  <r>
    <n v="641"/>
    <x v="3"/>
    <x v="0"/>
    <x v="1"/>
    <x v="30"/>
    <s v="Rural"/>
    <s v="Masculino"/>
    <x v="1"/>
    <x v="2"/>
  </r>
  <r>
    <n v="642"/>
    <x v="3"/>
    <x v="0"/>
    <x v="0"/>
    <x v="32"/>
    <s v="Rural"/>
    <s v="Masculino"/>
    <x v="1"/>
    <x v="2"/>
  </r>
  <r>
    <n v="643"/>
    <x v="3"/>
    <x v="0"/>
    <x v="1"/>
    <x v="32"/>
    <s v="Rural"/>
    <s v="Masculino"/>
    <x v="2"/>
    <x v="2"/>
  </r>
  <r>
    <n v="644"/>
    <x v="3"/>
    <x v="0"/>
    <x v="1"/>
    <x v="32"/>
    <s v="Rural"/>
    <s v="Femenino"/>
    <x v="1"/>
    <x v="2"/>
  </r>
  <r>
    <n v="645"/>
    <x v="3"/>
    <x v="0"/>
    <x v="1"/>
    <x v="32"/>
    <s v="Rural"/>
    <s v="Masculino"/>
    <x v="1"/>
    <x v="2"/>
  </r>
  <r>
    <n v="646"/>
    <x v="3"/>
    <x v="1"/>
    <x v="2"/>
    <x v="31"/>
    <s v="Rural"/>
    <s v="Femenino"/>
    <x v="0"/>
    <x v="2"/>
  </r>
  <r>
    <n v="647"/>
    <x v="3"/>
    <x v="1"/>
    <x v="2"/>
    <x v="31"/>
    <s v="Rural"/>
    <s v="Masculino"/>
    <x v="0"/>
    <x v="2"/>
  </r>
  <r>
    <n v="648"/>
    <x v="3"/>
    <x v="1"/>
    <x v="2"/>
    <x v="31"/>
    <s v="Rural"/>
    <s v="Femenino"/>
    <x v="1"/>
    <x v="2"/>
  </r>
  <r>
    <n v="649"/>
    <x v="3"/>
    <x v="1"/>
    <x v="2"/>
    <x v="31"/>
    <s v="Rural"/>
    <s v="Masculino"/>
    <x v="1"/>
    <x v="2"/>
  </r>
  <r>
    <n v="650"/>
    <x v="3"/>
    <x v="1"/>
    <x v="2"/>
    <x v="31"/>
    <s v="Rural"/>
    <s v="Masculino"/>
    <x v="0"/>
    <x v="2"/>
  </r>
  <r>
    <n v="651"/>
    <x v="3"/>
    <x v="1"/>
    <x v="2"/>
    <x v="31"/>
    <s v="Rural"/>
    <s v="Masculino"/>
    <x v="0"/>
    <x v="2"/>
  </r>
  <r>
    <n v="652"/>
    <x v="3"/>
    <x v="1"/>
    <x v="2"/>
    <x v="31"/>
    <s v="Rural"/>
    <s v="Femenino"/>
    <x v="2"/>
    <x v="2"/>
  </r>
  <r>
    <n v="653"/>
    <x v="3"/>
    <x v="1"/>
    <x v="2"/>
    <x v="31"/>
    <s v="Rural"/>
    <s v="Femenino"/>
    <x v="0"/>
    <x v="2"/>
  </r>
  <r>
    <n v="654"/>
    <x v="3"/>
    <x v="1"/>
    <x v="2"/>
    <x v="31"/>
    <s v="Rural"/>
    <s v="Masculino"/>
    <x v="0"/>
    <x v="2"/>
  </r>
  <r>
    <n v="655"/>
    <x v="3"/>
    <x v="1"/>
    <x v="2"/>
    <x v="31"/>
    <s v="Rural"/>
    <s v="Masculino"/>
    <x v="0"/>
    <x v="2"/>
  </r>
  <r>
    <n v="656"/>
    <x v="3"/>
    <x v="1"/>
    <x v="2"/>
    <x v="31"/>
    <s v="Rural"/>
    <s v="Femenino"/>
    <x v="0"/>
    <x v="2"/>
  </r>
  <r>
    <n v="657"/>
    <x v="3"/>
    <x v="1"/>
    <x v="2"/>
    <x v="31"/>
    <s v="Rural"/>
    <s v="Masculino"/>
    <x v="2"/>
    <x v="2"/>
  </r>
  <r>
    <n v="658"/>
    <x v="3"/>
    <x v="1"/>
    <x v="2"/>
    <x v="31"/>
    <s v="Rural"/>
    <s v="Masculino"/>
    <x v="0"/>
    <x v="2"/>
  </r>
  <r>
    <n v="659"/>
    <x v="3"/>
    <x v="1"/>
    <x v="2"/>
    <x v="31"/>
    <s v="Rural"/>
    <s v="Masculino"/>
    <x v="0"/>
    <x v="2"/>
  </r>
  <r>
    <n v="660"/>
    <x v="3"/>
    <x v="1"/>
    <x v="2"/>
    <x v="31"/>
    <s v="Rural"/>
    <s v="Masculino"/>
    <x v="0"/>
    <x v="2"/>
  </r>
  <r>
    <n v="661"/>
    <x v="3"/>
    <x v="1"/>
    <x v="2"/>
    <x v="31"/>
    <s v="Rural"/>
    <s v="Masculino"/>
    <x v="1"/>
    <x v="2"/>
  </r>
  <r>
    <n v="662"/>
    <x v="3"/>
    <x v="1"/>
    <x v="2"/>
    <x v="31"/>
    <s v="Rural"/>
    <s v="Masculino"/>
    <x v="0"/>
    <x v="2"/>
  </r>
  <r>
    <n v="663"/>
    <x v="3"/>
    <x v="1"/>
    <x v="2"/>
    <x v="31"/>
    <s v="Rural"/>
    <s v="Masculino"/>
    <x v="0"/>
    <x v="2"/>
  </r>
  <r>
    <n v="664"/>
    <x v="3"/>
    <x v="1"/>
    <x v="2"/>
    <x v="31"/>
    <s v="Rural"/>
    <s v="Masculino"/>
    <x v="0"/>
    <x v="2"/>
  </r>
  <r>
    <n v="665"/>
    <x v="3"/>
    <x v="1"/>
    <x v="2"/>
    <x v="31"/>
    <s v="Rural"/>
    <s v="Masculino"/>
    <x v="0"/>
    <x v="2"/>
  </r>
  <r>
    <n v="666"/>
    <x v="3"/>
    <x v="1"/>
    <x v="2"/>
    <x v="31"/>
    <s v="Rural"/>
    <s v="Masculino"/>
    <x v="0"/>
    <x v="2"/>
  </r>
  <r>
    <n v="667"/>
    <x v="3"/>
    <x v="1"/>
    <x v="2"/>
    <x v="31"/>
    <s v="Rural"/>
    <s v="Masculino"/>
    <x v="0"/>
    <x v="2"/>
  </r>
  <r>
    <n v="668"/>
    <x v="3"/>
    <x v="1"/>
    <x v="2"/>
    <x v="31"/>
    <s v="Rural"/>
    <s v="Masculino"/>
    <x v="0"/>
    <x v="2"/>
  </r>
  <r>
    <n v="669"/>
    <x v="3"/>
    <x v="1"/>
    <x v="2"/>
    <x v="31"/>
    <s v="Rural"/>
    <s v="Masculino"/>
    <x v="0"/>
    <x v="2"/>
  </r>
  <r>
    <n v="670"/>
    <x v="3"/>
    <x v="1"/>
    <x v="2"/>
    <x v="31"/>
    <s v="Rural"/>
    <s v="Femenino"/>
    <x v="0"/>
    <x v="2"/>
  </r>
  <r>
    <n v="671"/>
    <x v="3"/>
    <x v="1"/>
    <x v="2"/>
    <x v="31"/>
    <s v="Rural"/>
    <s v="Masculino"/>
    <x v="0"/>
    <x v="2"/>
  </r>
  <r>
    <n v="672"/>
    <x v="3"/>
    <x v="1"/>
    <x v="2"/>
    <x v="31"/>
    <s v="Rural"/>
    <s v="Masculino"/>
    <x v="0"/>
    <x v="2"/>
  </r>
  <r>
    <n v="673"/>
    <x v="3"/>
    <x v="1"/>
    <x v="2"/>
    <x v="31"/>
    <s v="Rural"/>
    <s v="Femenino"/>
    <x v="0"/>
    <x v="2"/>
  </r>
  <r>
    <n v="674"/>
    <x v="3"/>
    <x v="1"/>
    <x v="2"/>
    <x v="31"/>
    <s v="Rural"/>
    <s v="Femenino"/>
    <x v="1"/>
    <x v="2"/>
  </r>
  <r>
    <n v="675"/>
    <x v="3"/>
    <x v="1"/>
    <x v="2"/>
    <x v="31"/>
    <s v="Rural"/>
    <s v="Masculino"/>
    <x v="0"/>
    <x v="2"/>
  </r>
  <r>
    <n v="676"/>
    <x v="3"/>
    <x v="1"/>
    <x v="2"/>
    <x v="31"/>
    <s v="Rural"/>
    <s v="Femenino"/>
    <x v="1"/>
    <x v="2"/>
  </r>
  <r>
    <n v="677"/>
    <x v="3"/>
    <x v="1"/>
    <x v="2"/>
    <x v="31"/>
    <s v="Rural"/>
    <s v="Femenino"/>
    <x v="0"/>
    <x v="2"/>
  </r>
  <r>
    <n v="678"/>
    <x v="3"/>
    <x v="1"/>
    <x v="2"/>
    <x v="31"/>
    <s v="Rural"/>
    <s v="Femenino"/>
    <x v="0"/>
    <x v="2"/>
  </r>
  <r>
    <n v="679"/>
    <x v="3"/>
    <x v="1"/>
    <x v="2"/>
    <x v="31"/>
    <s v="Rural"/>
    <s v="Masculino"/>
    <x v="0"/>
    <x v="2"/>
  </r>
  <r>
    <n v="680"/>
    <x v="3"/>
    <x v="1"/>
    <x v="2"/>
    <x v="31"/>
    <s v="Rural"/>
    <s v="Femenino"/>
    <x v="0"/>
    <x v="2"/>
  </r>
  <r>
    <n v="681"/>
    <x v="3"/>
    <x v="1"/>
    <x v="2"/>
    <x v="31"/>
    <s v="Rural"/>
    <s v="Femenino"/>
    <x v="0"/>
    <x v="2"/>
  </r>
  <r>
    <n v="682"/>
    <x v="3"/>
    <x v="1"/>
    <x v="2"/>
    <x v="31"/>
    <s v="Rural"/>
    <s v="Femenino"/>
    <x v="0"/>
    <x v="2"/>
  </r>
  <r>
    <n v="683"/>
    <x v="3"/>
    <x v="1"/>
    <x v="2"/>
    <x v="31"/>
    <s v="Rural"/>
    <s v="Femenino"/>
    <x v="0"/>
    <x v="2"/>
  </r>
  <r>
    <n v="684"/>
    <x v="3"/>
    <x v="1"/>
    <x v="2"/>
    <x v="31"/>
    <s v="Rural"/>
    <s v="Femenino"/>
    <x v="0"/>
    <x v="2"/>
  </r>
  <r>
    <n v="685"/>
    <x v="3"/>
    <x v="1"/>
    <x v="2"/>
    <x v="31"/>
    <s v="Rural"/>
    <s v="Femenino"/>
    <x v="0"/>
    <x v="2"/>
  </r>
  <r>
    <n v="686"/>
    <x v="3"/>
    <x v="1"/>
    <x v="3"/>
    <x v="31"/>
    <s v="Rural"/>
    <s v="Masculino"/>
    <x v="1"/>
    <x v="2"/>
  </r>
  <r>
    <n v="687"/>
    <x v="3"/>
    <x v="1"/>
    <x v="3"/>
    <x v="31"/>
    <s v="Rural"/>
    <s v="Masculino"/>
    <x v="1"/>
    <x v="2"/>
  </r>
  <r>
    <n v="688"/>
    <x v="3"/>
    <x v="1"/>
    <x v="3"/>
    <x v="31"/>
    <s v="Rural"/>
    <s v="Femenino"/>
    <x v="2"/>
    <x v="2"/>
  </r>
  <r>
    <n v="689"/>
    <x v="3"/>
    <x v="1"/>
    <x v="3"/>
    <x v="31"/>
    <s v="Rural"/>
    <s v="Masculino"/>
    <x v="1"/>
    <x v="2"/>
  </r>
  <r>
    <n v="690"/>
    <x v="3"/>
    <x v="1"/>
    <x v="3"/>
    <x v="31"/>
    <s v="Rural"/>
    <s v="Femenino"/>
    <x v="1"/>
    <x v="2"/>
  </r>
  <r>
    <n v="691"/>
    <x v="3"/>
    <x v="1"/>
    <x v="3"/>
    <x v="31"/>
    <s v="Rural"/>
    <s v="Femenino"/>
    <x v="1"/>
    <x v="2"/>
  </r>
  <r>
    <n v="692"/>
    <x v="3"/>
    <x v="1"/>
    <x v="3"/>
    <x v="31"/>
    <s v="Rural"/>
    <s v="Femenino"/>
    <x v="2"/>
    <x v="2"/>
  </r>
  <r>
    <n v="693"/>
    <x v="3"/>
    <x v="1"/>
    <x v="3"/>
    <x v="31"/>
    <s v="Rural"/>
    <s v="Femenino"/>
    <x v="1"/>
    <x v="2"/>
  </r>
  <r>
    <n v="694"/>
    <x v="3"/>
    <x v="1"/>
    <x v="3"/>
    <x v="31"/>
    <s v="Rural"/>
    <s v="Masculino"/>
    <x v="0"/>
    <x v="2"/>
  </r>
  <r>
    <n v="695"/>
    <x v="3"/>
    <x v="1"/>
    <x v="3"/>
    <x v="31"/>
    <s v="Rural"/>
    <s v="Femenino"/>
    <x v="0"/>
    <x v="2"/>
  </r>
  <r>
    <n v="696"/>
    <x v="3"/>
    <x v="1"/>
    <x v="3"/>
    <x v="31"/>
    <s v="Rural"/>
    <s v="Masculino"/>
    <x v="0"/>
    <x v="2"/>
  </r>
  <r>
    <n v="697"/>
    <x v="3"/>
    <x v="1"/>
    <x v="3"/>
    <x v="31"/>
    <s v="Rural"/>
    <s v="Masculino"/>
    <x v="1"/>
    <x v="2"/>
  </r>
  <r>
    <n v="698"/>
    <x v="3"/>
    <x v="1"/>
    <x v="3"/>
    <x v="31"/>
    <s v="Rural"/>
    <s v="Masculino"/>
    <x v="0"/>
    <x v="2"/>
  </r>
  <r>
    <n v="699"/>
    <x v="3"/>
    <x v="1"/>
    <x v="3"/>
    <x v="31"/>
    <s v="Rural"/>
    <s v="Masculino"/>
    <x v="0"/>
    <x v="2"/>
  </r>
  <r>
    <n v="700"/>
    <x v="3"/>
    <x v="1"/>
    <x v="3"/>
    <x v="31"/>
    <s v="Rural"/>
    <s v="Femenino"/>
    <x v="0"/>
    <x v="2"/>
  </r>
  <r>
    <n v="701"/>
    <x v="3"/>
    <x v="1"/>
    <x v="3"/>
    <x v="31"/>
    <s v="Rural"/>
    <s v="Masculino"/>
    <x v="0"/>
    <x v="2"/>
  </r>
  <r>
    <n v="702"/>
    <x v="3"/>
    <x v="1"/>
    <x v="3"/>
    <x v="31"/>
    <s v="Rural"/>
    <s v="Femenino"/>
    <x v="0"/>
    <x v="2"/>
  </r>
  <r>
    <n v="703"/>
    <x v="3"/>
    <x v="1"/>
    <x v="3"/>
    <x v="31"/>
    <s v="Rural"/>
    <s v="Masculino"/>
    <x v="0"/>
    <x v="2"/>
  </r>
  <r>
    <n v="704"/>
    <x v="3"/>
    <x v="1"/>
    <x v="3"/>
    <x v="31"/>
    <s v="Rural"/>
    <s v="Masculino"/>
    <x v="0"/>
    <x v="2"/>
  </r>
  <r>
    <n v="705"/>
    <x v="3"/>
    <x v="1"/>
    <x v="3"/>
    <x v="31"/>
    <s v="Rural"/>
    <s v="Femenino"/>
    <x v="1"/>
    <x v="2"/>
  </r>
  <r>
    <n v="706"/>
    <x v="3"/>
    <x v="1"/>
    <x v="3"/>
    <x v="31"/>
    <s v="Rural"/>
    <s v="Masculino"/>
    <x v="0"/>
    <x v="2"/>
  </r>
  <r>
    <n v="707"/>
    <x v="3"/>
    <x v="1"/>
    <x v="3"/>
    <x v="31"/>
    <s v="Rural"/>
    <s v="Masculino"/>
    <x v="0"/>
    <x v="2"/>
  </r>
  <r>
    <n v="708"/>
    <x v="3"/>
    <x v="1"/>
    <x v="3"/>
    <x v="31"/>
    <s v="Rural"/>
    <s v="Masculino"/>
    <x v="0"/>
    <x v="2"/>
  </r>
  <r>
    <n v="709"/>
    <x v="3"/>
    <x v="0"/>
    <x v="4"/>
    <x v="34"/>
    <s v="Rural"/>
    <s v="Masculino"/>
    <x v="0"/>
    <x v="2"/>
  </r>
  <r>
    <n v="710"/>
    <x v="3"/>
    <x v="0"/>
    <x v="4"/>
    <x v="34"/>
    <s v="Rural"/>
    <s v="Femenino"/>
    <x v="1"/>
    <x v="2"/>
  </r>
  <r>
    <n v="711"/>
    <x v="3"/>
    <x v="0"/>
    <x v="4"/>
    <x v="34"/>
    <s v="Rural"/>
    <s v="Femenino"/>
    <x v="0"/>
    <x v="2"/>
  </r>
  <r>
    <n v="712"/>
    <x v="3"/>
    <x v="0"/>
    <x v="4"/>
    <x v="34"/>
    <s v="Rural"/>
    <s v="Femenino"/>
    <x v="0"/>
    <x v="2"/>
  </r>
  <r>
    <n v="713"/>
    <x v="3"/>
    <x v="0"/>
    <x v="0"/>
    <x v="34"/>
    <s v="Rural"/>
    <s v="Femenino"/>
    <x v="1"/>
    <x v="2"/>
  </r>
  <r>
    <n v="714"/>
    <x v="3"/>
    <x v="0"/>
    <x v="0"/>
    <x v="34"/>
    <s v="Rural"/>
    <s v="Masculino"/>
    <x v="1"/>
    <x v="2"/>
  </r>
  <r>
    <n v="715"/>
    <x v="3"/>
    <x v="0"/>
    <x v="0"/>
    <x v="34"/>
    <s v="Rural"/>
    <s v="Masculino"/>
    <x v="1"/>
    <x v="2"/>
  </r>
  <r>
    <n v="716"/>
    <x v="3"/>
    <x v="0"/>
    <x v="0"/>
    <x v="34"/>
    <s v="Rural"/>
    <s v="Femenino"/>
    <x v="0"/>
    <x v="2"/>
  </r>
  <r>
    <n v="717"/>
    <x v="3"/>
    <x v="0"/>
    <x v="0"/>
    <x v="34"/>
    <s v="Rural"/>
    <s v="Masculino"/>
    <x v="0"/>
    <x v="2"/>
  </r>
  <r>
    <n v="718"/>
    <x v="3"/>
    <x v="0"/>
    <x v="0"/>
    <x v="34"/>
    <s v="Rural"/>
    <s v="Masculino"/>
    <x v="1"/>
    <x v="2"/>
  </r>
  <r>
    <n v="719"/>
    <x v="3"/>
    <x v="0"/>
    <x v="0"/>
    <x v="34"/>
    <s v="Rural"/>
    <s v="Femenino"/>
    <x v="1"/>
    <x v="2"/>
  </r>
  <r>
    <n v="720"/>
    <x v="3"/>
    <x v="0"/>
    <x v="0"/>
    <x v="34"/>
    <s v="Rural"/>
    <s v="Femenino"/>
    <x v="0"/>
    <x v="2"/>
  </r>
  <r>
    <n v="721"/>
    <x v="3"/>
    <x v="0"/>
    <x v="1"/>
    <x v="34"/>
    <s v="Rural"/>
    <s v="Femenino"/>
    <x v="0"/>
    <x v="2"/>
  </r>
  <r>
    <n v="722"/>
    <x v="3"/>
    <x v="0"/>
    <x v="1"/>
    <x v="34"/>
    <s v="Rural"/>
    <s v="Masculino"/>
    <x v="1"/>
    <x v="2"/>
  </r>
  <r>
    <n v="723"/>
    <x v="3"/>
    <x v="0"/>
    <x v="1"/>
    <x v="34"/>
    <s v="Rural"/>
    <s v="Masculino"/>
    <x v="1"/>
    <x v="2"/>
  </r>
  <r>
    <n v="724"/>
    <x v="3"/>
    <x v="0"/>
    <x v="1"/>
    <x v="34"/>
    <s v="Rural"/>
    <s v="Masculino"/>
    <x v="0"/>
    <x v="2"/>
  </r>
  <r>
    <n v="725"/>
    <x v="3"/>
    <x v="0"/>
    <x v="1"/>
    <x v="34"/>
    <s v="Rural"/>
    <s v="Masculino"/>
    <x v="0"/>
    <x v="2"/>
  </r>
  <r>
    <n v="726"/>
    <x v="3"/>
    <x v="0"/>
    <x v="1"/>
    <x v="34"/>
    <s v="Rural"/>
    <s v="Masculino"/>
    <x v="0"/>
    <x v="2"/>
  </r>
  <r>
    <n v="727"/>
    <x v="3"/>
    <x v="0"/>
    <x v="1"/>
    <x v="34"/>
    <s v="Rural"/>
    <s v="Masculino"/>
    <x v="0"/>
    <x v="2"/>
  </r>
  <r>
    <n v="728"/>
    <x v="3"/>
    <x v="0"/>
    <x v="1"/>
    <x v="34"/>
    <s v="Rural"/>
    <s v="Masculino"/>
    <x v="0"/>
    <x v="2"/>
  </r>
  <r>
    <n v="729"/>
    <x v="3"/>
    <x v="0"/>
    <x v="1"/>
    <x v="34"/>
    <s v="Rural"/>
    <s v="Femenino"/>
    <x v="0"/>
    <x v="2"/>
  </r>
  <r>
    <n v="730"/>
    <x v="3"/>
    <x v="0"/>
    <x v="4"/>
    <x v="35"/>
    <s v="Rural"/>
    <s v="Masculino"/>
    <x v="0"/>
    <x v="2"/>
  </r>
  <r>
    <n v="731"/>
    <x v="3"/>
    <x v="0"/>
    <x v="4"/>
    <x v="35"/>
    <s v="Rural"/>
    <s v="Masculino"/>
    <x v="1"/>
    <x v="2"/>
  </r>
  <r>
    <n v="732"/>
    <x v="3"/>
    <x v="0"/>
    <x v="4"/>
    <x v="35"/>
    <s v="Rural"/>
    <s v="Masculino"/>
    <x v="0"/>
    <x v="2"/>
  </r>
  <r>
    <n v="733"/>
    <x v="3"/>
    <x v="0"/>
    <x v="4"/>
    <x v="35"/>
    <s v="Rural"/>
    <s v="Femenino"/>
    <x v="0"/>
    <x v="2"/>
  </r>
  <r>
    <n v="734"/>
    <x v="3"/>
    <x v="0"/>
    <x v="4"/>
    <x v="35"/>
    <s v="Rural"/>
    <s v="Masculino"/>
    <x v="0"/>
    <x v="2"/>
  </r>
  <r>
    <n v="735"/>
    <x v="3"/>
    <x v="0"/>
    <x v="4"/>
    <x v="35"/>
    <s v="Rural"/>
    <s v="Femenino"/>
    <x v="0"/>
    <x v="2"/>
  </r>
  <r>
    <n v="736"/>
    <x v="3"/>
    <x v="0"/>
    <x v="4"/>
    <x v="35"/>
    <s v="Rural"/>
    <s v="Femenino"/>
    <x v="0"/>
    <x v="2"/>
  </r>
  <r>
    <n v="737"/>
    <x v="3"/>
    <x v="0"/>
    <x v="4"/>
    <x v="35"/>
    <s v="Rural"/>
    <s v="Masculino"/>
    <x v="0"/>
    <x v="2"/>
  </r>
  <r>
    <n v="738"/>
    <x v="3"/>
    <x v="0"/>
    <x v="4"/>
    <x v="35"/>
    <s v="Rural"/>
    <s v="Masculino"/>
    <x v="0"/>
    <x v="2"/>
  </r>
  <r>
    <n v="739"/>
    <x v="3"/>
    <x v="0"/>
    <x v="4"/>
    <x v="35"/>
    <s v="Rural"/>
    <s v="Femenino"/>
    <x v="0"/>
    <x v="2"/>
  </r>
  <r>
    <n v="740"/>
    <x v="3"/>
    <x v="0"/>
    <x v="4"/>
    <x v="35"/>
    <s v="Rural"/>
    <s v="Masculino"/>
    <x v="0"/>
    <x v="2"/>
  </r>
  <r>
    <n v="741"/>
    <x v="3"/>
    <x v="0"/>
    <x v="4"/>
    <x v="35"/>
    <s v="Rural"/>
    <s v="Femenino"/>
    <x v="0"/>
    <x v="2"/>
  </r>
  <r>
    <n v="742"/>
    <x v="3"/>
    <x v="0"/>
    <x v="4"/>
    <x v="35"/>
    <s v="Rural"/>
    <s v="Masculino"/>
    <x v="0"/>
    <x v="2"/>
  </r>
  <r>
    <n v="743"/>
    <x v="3"/>
    <x v="0"/>
    <x v="4"/>
    <x v="35"/>
    <s v="Rural"/>
    <s v="Masculino"/>
    <x v="0"/>
    <x v="2"/>
  </r>
  <r>
    <n v="744"/>
    <x v="3"/>
    <x v="0"/>
    <x v="4"/>
    <x v="35"/>
    <s v="Rural"/>
    <s v="Femenino"/>
    <x v="0"/>
    <x v="2"/>
  </r>
  <r>
    <n v="745"/>
    <x v="3"/>
    <x v="0"/>
    <x v="4"/>
    <x v="35"/>
    <s v="Rural"/>
    <s v="Femenino"/>
    <x v="0"/>
    <x v="2"/>
  </r>
  <r>
    <n v="746"/>
    <x v="3"/>
    <x v="0"/>
    <x v="4"/>
    <x v="35"/>
    <s v="Rural"/>
    <s v="Femenino"/>
    <x v="0"/>
    <x v="2"/>
  </r>
  <r>
    <n v="747"/>
    <x v="3"/>
    <x v="0"/>
    <x v="4"/>
    <x v="35"/>
    <s v="Rural"/>
    <s v="Masculino"/>
    <x v="0"/>
    <x v="2"/>
  </r>
  <r>
    <n v="748"/>
    <x v="3"/>
    <x v="0"/>
    <x v="4"/>
    <x v="35"/>
    <s v="Rural"/>
    <s v="Masculino"/>
    <x v="0"/>
    <x v="2"/>
  </r>
  <r>
    <n v="749"/>
    <x v="3"/>
    <x v="0"/>
    <x v="4"/>
    <x v="35"/>
    <s v="Rural"/>
    <s v="Masculino"/>
    <x v="0"/>
    <x v="2"/>
  </r>
  <r>
    <n v="750"/>
    <x v="3"/>
    <x v="0"/>
    <x v="4"/>
    <x v="35"/>
    <s v="Rural"/>
    <s v="Femenino"/>
    <x v="1"/>
    <x v="2"/>
  </r>
  <r>
    <n v="751"/>
    <x v="3"/>
    <x v="0"/>
    <x v="4"/>
    <x v="35"/>
    <s v="Rural"/>
    <s v="Masculino"/>
    <x v="0"/>
    <x v="2"/>
  </r>
  <r>
    <n v="752"/>
    <x v="3"/>
    <x v="0"/>
    <x v="0"/>
    <x v="35"/>
    <s v="Rural"/>
    <s v="Femenino"/>
    <x v="0"/>
    <x v="2"/>
  </r>
  <r>
    <n v="753"/>
    <x v="3"/>
    <x v="0"/>
    <x v="0"/>
    <x v="35"/>
    <s v="Rural"/>
    <s v="Femenino"/>
    <x v="0"/>
    <x v="2"/>
  </r>
  <r>
    <n v="754"/>
    <x v="3"/>
    <x v="0"/>
    <x v="0"/>
    <x v="35"/>
    <s v="Rural"/>
    <s v="Femenino"/>
    <x v="0"/>
    <x v="2"/>
  </r>
  <r>
    <n v="755"/>
    <x v="3"/>
    <x v="0"/>
    <x v="0"/>
    <x v="35"/>
    <s v="Rural"/>
    <s v="Masculino"/>
    <x v="0"/>
    <x v="2"/>
  </r>
  <r>
    <n v="756"/>
    <x v="3"/>
    <x v="0"/>
    <x v="0"/>
    <x v="35"/>
    <s v="Rural"/>
    <s v="Masculino"/>
    <x v="0"/>
    <x v="2"/>
  </r>
  <r>
    <n v="757"/>
    <x v="3"/>
    <x v="0"/>
    <x v="0"/>
    <x v="35"/>
    <s v="Rural"/>
    <s v="Femenino"/>
    <x v="0"/>
    <x v="2"/>
  </r>
  <r>
    <n v="758"/>
    <x v="3"/>
    <x v="0"/>
    <x v="0"/>
    <x v="35"/>
    <s v="Rural"/>
    <s v="Masculino"/>
    <x v="1"/>
    <x v="2"/>
  </r>
  <r>
    <n v="759"/>
    <x v="3"/>
    <x v="0"/>
    <x v="0"/>
    <x v="35"/>
    <s v="Rural"/>
    <s v="Masculino"/>
    <x v="0"/>
    <x v="2"/>
  </r>
  <r>
    <n v="760"/>
    <x v="3"/>
    <x v="0"/>
    <x v="0"/>
    <x v="35"/>
    <s v="Rural"/>
    <s v="Masculino"/>
    <x v="0"/>
    <x v="2"/>
  </r>
  <r>
    <n v="761"/>
    <x v="3"/>
    <x v="0"/>
    <x v="0"/>
    <x v="35"/>
    <s v="Rural"/>
    <s v="Femenino"/>
    <x v="0"/>
    <x v="2"/>
  </r>
  <r>
    <n v="762"/>
    <x v="3"/>
    <x v="0"/>
    <x v="0"/>
    <x v="35"/>
    <s v="Rural"/>
    <s v="Femenino"/>
    <x v="0"/>
    <x v="2"/>
  </r>
  <r>
    <n v="763"/>
    <x v="3"/>
    <x v="0"/>
    <x v="0"/>
    <x v="35"/>
    <s v="Rural"/>
    <s v="Masculino"/>
    <x v="0"/>
    <x v="2"/>
  </r>
  <r>
    <n v="764"/>
    <x v="3"/>
    <x v="0"/>
    <x v="0"/>
    <x v="35"/>
    <s v="Rural"/>
    <s v="Femenino"/>
    <x v="0"/>
    <x v="2"/>
  </r>
  <r>
    <n v="765"/>
    <x v="3"/>
    <x v="0"/>
    <x v="1"/>
    <x v="35"/>
    <s v="Rural"/>
    <s v="Femenino"/>
    <x v="0"/>
    <x v="2"/>
  </r>
  <r>
    <n v="766"/>
    <x v="3"/>
    <x v="0"/>
    <x v="1"/>
    <x v="35"/>
    <s v="Rural"/>
    <s v="Femenino"/>
    <x v="0"/>
    <x v="2"/>
  </r>
  <r>
    <n v="767"/>
    <x v="3"/>
    <x v="0"/>
    <x v="1"/>
    <x v="35"/>
    <s v="Rural"/>
    <s v="Masculino"/>
    <x v="0"/>
    <x v="2"/>
  </r>
  <r>
    <n v="768"/>
    <x v="3"/>
    <x v="0"/>
    <x v="1"/>
    <x v="35"/>
    <s v="Rural"/>
    <s v="Femenino"/>
    <x v="0"/>
    <x v="2"/>
  </r>
  <r>
    <n v="769"/>
    <x v="3"/>
    <x v="0"/>
    <x v="1"/>
    <x v="35"/>
    <s v="Rural"/>
    <s v="Femenino"/>
    <x v="0"/>
    <x v="2"/>
  </r>
  <r>
    <n v="770"/>
    <x v="3"/>
    <x v="0"/>
    <x v="1"/>
    <x v="35"/>
    <s v="Rural"/>
    <s v="Femenino"/>
    <x v="0"/>
    <x v="2"/>
  </r>
  <r>
    <n v="771"/>
    <x v="3"/>
    <x v="0"/>
    <x v="1"/>
    <x v="35"/>
    <s v="Rural"/>
    <s v="Femenino"/>
    <x v="0"/>
    <x v="2"/>
  </r>
  <r>
    <n v="772"/>
    <x v="3"/>
    <x v="0"/>
    <x v="1"/>
    <x v="35"/>
    <s v="Rural"/>
    <s v="Femenino"/>
    <x v="0"/>
    <x v="2"/>
  </r>
  <r>
    <n v="773"/>
    <x v="3"/>
    <x v="0"/>
    <x v="1"/>
    <x v="35"/>
    <s v="Rural"/>
    <s v="Masculino"/>
    <x v="0"/>
    <x v="2"/>
  </r>
  <r>
    <n v="774"/>
    <x v="3"/>
    <x v="0"/>
    <x v="1"/>
    <x v="35"/>
    <s v="Rural"/>
    <s v="Masculino"/>
    <x v="0"/>
    <x v="2"/>
  </r>
  <r>
    <n v="775"/>
    <x v="3"/>
    <x v="0"/>
    <x v="1"/>
    <x v="35"/>
    <s v="Rural"/>
    <s v="Masculino"/>
    <x v="0"/>
    <x v="2"/>
  </r>
  <r>
    <n v="776"/>
    <x v="3"/>
    <x v="0"/>
    <x v="1"/>
    <x v="35"/>
    <s v="Rural"/>
    <s v="Masculino"/>
    <x v="0"/>
    <x v="2"/>
  </r>
  <r>
    <n v="777"/>
    <x v="3"/>
    <x v="0"/>
    <x v="1"/>
    <x v="35"/>
    <s v="Rural"/>
    <s v="Masculino"/>
    <x v="0"/>
    <x v="2"/>
  </r>
  <r>
    <n v="778"/>
    <x v="3"/>
    <x v="0"/>
    <x v="1"/>
    <x v="35"/>
    <s v="Rural"/>
    <s v="Masculino"/>
    <x v="0"/>
    <x v="2"/>
  </r>
  <r>
    <n v="779"/>
    <x v="3"/>
    <x v="0"/>
    <x v="1"/>
    <x v="35"/>
    <s v="Rural"/>
    <s v="Masculino"/>
    <x v="0"/>
    <x v="2"/>
  </r>
  <r>
    <n v="780"/>
    <x v="3"/>
    <x v="0"/>
    <x v="1"/>
    <x v="35"/>
    <s v="Rural"/>
    <s v="Masculino"/>
    <x v="0"/>
    <x v="2"/>
  </r>
  <r>
    <n v="781"/>
    <x v="3"/>
    <x v="0"/>
    <x v="1"/>
    <x v="35"/>
    <s v="Rural"/>
    <s v="Femenino"/>
    <x v="0"/>
    <x v="2"/>
  </r>
  <r>
    <n v="782"/>
    <x v="3"/>
    <x v="0"/>
    <x v="1"/>
    <x v="35"/>
    <s v="Rural"/>
    <s v="Masculino"/>
    <x v="1"/>
    <x v="2"/>
  </r>
  <r>
    <n v="783"/>
    <x v="3"/>
    <x v="1"/>
    <x v="2"/>
    <x v="35"/>
    <s v="Rural"/>
    <s v="Masculino"/>
    <x v="1"/>
    <x v="2"/>
  </r>
  <r>
    <n v="784"/>
    <x v="3"/>
    <x v="1"/>
    <x v="2"/>
    <x v="35"/>
    <s v="Rural"/>
    <s v="Masculino"/>
    <x v="1"/>
    <x v="2"/>
  </r>
  <r>
    <n v="785"/>
    <x v="3"/>
    <x v="1"/>
    <x v="2"/>
    <x v="35"/>
    <s v="Rural"/>
    <s v="Femenino"/>
    <x v="0"/>
    <x v="2"/>
  </r>
  <r>
    <n v="786"/>
    <x v="3"/>
    <x v="1"/>
    <x v="2"/>
    <x v="35"/>
    <s v="Rural"/>
    <s v="Femenino"/>
    <x v="0"/>
    <x v="2"/>
  </r>
  <r>
    <n v="787"/>
    <x v="3"/>
    <x v="1"/>
    <x v="2"/>
    <x v="35"/>
    <s v="Rural"/>
    <s v="Femenino"/>
    <x v="1"/>
    <x v="2"/>
  </r>
  <r>
    <n v="788"/>
    <x v="3"/>
    <x v="1"/>
    <x v="2"/>
    <x v="35"/>
    <s v="Rural"/>
    <s v="Femenino"/>
    <x v="1"/>
    <x v="2"/>
  </r>
  <r>
    <n v="789"/>
    <x v="3"/>
    <x v="1"/>
    <x v="2"/>
    <x v="35"/>
    <s v="Rural"/>
    <s v="Femenino"/>
    <x v="0"/>
    <x v="2"/>
  </r>
  <r>
    <n v="790"/>
    <x v="3"/>
    <x v="1"/>
    <x v="2"/>
    <x v="35"/>
    <s v="Rural"/>
    <s v="Masculino"/>
    <x v="0"/>
    <x v="2"/>
  </r>
  <r>
    <n v="791"/>
    <x v="3"/>
    <x v="1"/>
    <x v="2"/>
    <x v="35"/>
    <s v="Rural"/>
    <s v="Femenino"/>
    <x v="0"/>
    <x v="2"/>
  </r>
  <r>
    <n v="792"/>
    <x v="3"/>
    <x v="1"/>
    <x v="2"/>
    <x v="35"/>
    <s v="Rural"/>
    <s v="Masculino"/>
    <x v="0"/>
    <x v="2"/>
  </r>
  <r>
    <n v="793"/>
    <x v="3"/>
    <x v="1"/>
    <x v="2"/>
    <x v="35"/>
    <s v="Rural"/>
    <s v="Masculino"/>
    <x v="0"/>
    <x v="2"/>
  </r>
  <r>
    <n v="794"/>
    <x v="3"/>
    <x v="1"/>
    <x v="2"/>
    <x v="35"/>
    <s v="Rural"/>
    <s v="Femenino"/>
    <x v="0"/>
    <x v="2"/>
  </r>
  <r>
    <n v="795"/>
    <x v="3"/>
    <x v="1"/>
    <x v="2"/>
    <x v="35"/>
    <s v="Rural"/>
    <s v="Masculino"/>
    <x v="0"/>
    <x v="2"/>
  </r>
  <r>
    <n v="796"/>
    <x v="3"/>
    <x v="1"/>
    <x v="2"/>
    <x v="35"/>
    <s v="Rural"/>
    <s v="Masculino"/>
    <x v="0"/>
    <x v="2"/>
  </r>
  <r>
    <n v="797"/>
    <x v="3"/>
    <x v="1"/>
    <x v="3"/>
    <x v="35"/>
    <s v="Rural"/>
    <s v="Masculino"/>
    <x v="0"/>
    <x v="2"/>
  </r>
  <r>
    <n v="798"/>
    <x v="3"/>
    <x v="1"/>
    <x v="3"/>
    <x v="35"/>
    <s v="Rural"/>
    <s v="Femenino"/>
    <x v="0"/>
    <x v="2"/>
  </r>
  <r>
    <n v="799"/>
    <x v="3"/>
    <x v="1"/>
    <x v="3"/>
    <x v="35"/>
    <s v="Rural"/>
    <s v="Femenino"/>
    <x v="0"/>
    <x v="2"/>
  </r>
  <r>
    <n v="800"/>
    <x v="3"/>
    <x v="1"/>
    <x v="3"/>
    <x v="35"/>
    <s v="Rural"/>
    <s v="Femenino"/>
    <x v="0"/>
    <x v="2"/>
  </r>
  <r>
    <n v="801"/>
    <x v="3"/>
    <x v="1"/>
    <x v="3"/>
    <x v="35"/>
    <s v="Rural"/>
    <s v="Masculino"/>
    <x v="0"/>
    <x v="2"/>
  </r>
  <r>
    <n v="802"/>
    <x v="3"/>
    <x v="1"/>
    <x v="3"/>
    <x v="35"/>
    <s v="Rural"/>
    <s v="Femenino"/>
    <x v="0"/>
    <x v="2"/>
  </r>
  <r>
    <n v="803"/>
    <x v="3"/>
    <x v="1"/>
    <x v="3"/>
    <x v="35"/>
    <s v="Rural"/>
    <s v="Masculino"/>
    <x v="0"/>
    <x v="2"/>
  </r>
  <r>
    <n v="804"/>
    <x v="3"/>
    <x v="1"/>
    <x v="3"/>
    <x v="35"/>
    <s v="Rural"/>
    <s v="Masculino"/>
    <x v="0"/>
    <x v="2"/>
  </r>
  <r>
    <n v="805"/>
    <x v="3"/>
    <x v="1"/>
    <x v="3"/>
    <x v="35"/>
    <s v="Rural"/>
    <s v="Femenino"/>
    <x v="0"/>
    <x v="2"/>
  </r>
  <r>
    <n v="806"/>
    <x v="3"/>
    <x v="1"/>
    <x v="3"/>
    <x v="35"/>
    <s v="Rural"/>
    <s v="Femenino"/>
    <x v="0"/>
    <x v="2"/>
  </r>
  <r>
    <n v="807"/>
    <x v="3"/>
    <x v="1"/>
    <x v="3"/>
    <x v="35"/>
    <s v="Rural"/>
    <s v="Femenino"/>
    <x v="0"/>
    <x v="2"/>
  </r>
  <r>
    <n v="808"/>
    <x v="3"/>
    <x v="1"/>
    <x v="3"/>
    <x v="35"/>
    <s v="Rural"/>
    <s v="Femenino"/>
    <x v="0"/>
    <x v="2"/>
  </r>
  <r>
    <n v="809"/>
    <x v="3"/>
    <x v="1"/>
    <x v="3"/>
    <x v="35"/>
    <s v="Rural"/>
    <s v="Masculino"/>
    <x v="0"/>
    <x v="2"/>
  </r>
  <r>
    <n v="810"/>
    <x v="3"/>
    <x v="1"/>
    <x v="3"/>
    <x v="35"/>
    <s v="Rural"/>
    <s v="Femenino"/>
    <x v="0"/>
    <x v="2"/>
  </r>
  <r>
    <n v="811"/>
    <x v="3"/>
    <x v="1"/>
    <x v="3"/>
    <x v="35"/>
    <s v="Rural"/>
    <s v="Femenino"/>
    <x v="0"/>
    <x v="2"/>
  </r>
  <r>
    <n v="812"/>
    <x v="3"/>
    <x v="0"/>
    <x v="4"/>
    <x v="39"/>
    <s v="Rural"/>
    <s v="Masculino"/>
    <x v="0"/>
    <x v="2"/>
  </r>
  <r>
    <n v="813"/>
    <x v="3"/>
    <x v="0"/>
    <x v="4"/>
    <x v="39"/>
    <s v="Rural"/>
    <s v="Masculino"/>
    <x v="0"/>
    <x v="2"/>
  </r>
  <r>
    <n v="814"/>
    <x v="3"/>
    <x v="0"/>
    <x v="4"/>
    <x v="39"/>
    <s v="Rural"/>
    <s v="Masculino"/>
    <x v="0"/>
    <x v="2"/>
  </r>
  <r>
    <n v="815"/>
    <x v="3"/>
    <x v="0"/>
    <x v="4"/>
    <x v="39"/>
    <s v="Rural"/>
    <s v="Masculino"/>
    <x v="1"/>
    <x v="2"/>
  </r>
  <r>
    <n v="816"/>
    <x v="3"/>
    <x v="0"/>
    <x v="0"/>
    <x v="39"/>
    <s v="Rural"/>
    <s v="Masculino"/>
    <x v="0"/>
    <x v="2"/>
  </r>
  <r>
    <n v="817"/>
    <x v="3"/>
    <x v="0"/>
    <x v="0"/>
    <x v="39"/>
    <s v="Rural"/>
    <s v="Femenino"/>
    <x v="0"/>
    <x v="2"/>
  </r>
  <r>
    <n v="818"/>
    <x v="3"/>
    <x v="0"/>
    <x v="0"/>
    <x v="39"/>
    <s v="Rural"/>
    <s v="Masculino"/>
    <x v="0"/>
    <x v="2"/>
  </r>
  <r>
    <n v="819"/>
    <x v="3"/>
    <x v="0"/>
    <x v="0"/>
    <x v="39"/>
    <s v="Rural"/>
    <s v="Masculino"/>
    <x v="0"/>
    <x v="2"/>
  </r>
  <r>
    <n v="820"/>
    <x v="3"/>
    <x v="0"/>
    <x v="0"/>
    <x v="39"/>
    <s v="Rural"/>
    <s v="Femenino"/>
    <x v="0"/>
    <x v="2"/>
  </r>
  <r>
    <n v="821"/>
    <x v="3"/>
    <x v="0"/>
    <x v="0"/>
    <x v="39"/>
    <s v="Rural"/>
    <s v="Masculino"/>
    <x v="0"/>
    <x v="2"/>
  </r>
  <r>
    <n v="822"/>
    <x v="3"/>
    <x v="0"/>
    <x v="0"/>
    <x v="39"/>
    <s v="Rural"/>
    <s v="Masculino"/>
    <x v="0"/>
    <x v="2"/>
  </r>
  <r>
    <n v="823"/>
    <x v="3"/>
    <x v="0"/>
    <x v="0"/>
    <x v="39"/>
    <s v="Rural"/>
    <s v="Masculino"/>
    <x v="0"/>
    <x v="2"/>
  </r>
  <r>
    <n v="824"/>
    <x v="3"/>
    <x v="0"/>
    <x v="1"/>
    <x v="39"/>
    <s v="Rural"/>
    <s v="Femenino"/>
    <x v="0"/>
    <x v="2"/>
  </r>
  <r>
    <n v="825"/>
    <x v="3"/>
    <x v="0"/>
    <x v="1"/>
    <x v="39"/>
    <s v="Rural"/>
    <s v="Femenino"/>
    <x v="1"/>
    <x v="2"/>
  </r>
  <r>
    <n v="826"/>
    <x v="3"/>
    <x v="0"/>
    <x v="1"/>
    <x v="39"/>
    <s v="Rural"/>
    <s v="Femenino"/>
    <x v="1"/>
    <x v="2"/>
  </r>
  <r>
    <n v="827"/>
    <x v="3"/>
    <x v="0"/>
    <x v="1"/>
    <x v="39"/>
    <s v="Rural"/>
    <s v="Masculino"/>
    <x v="0"/>
    <x v="2"/>
  </r>
  <r>
    <n v="828"/>
    <x v="3"/>
    <x v="0"/>
    <x v="1"/>
    <x v="39"/>
    <s v="Rural"/>
    <s v="Femenino"/>
    <x v="0"/>
    <x v="2"/>
  </r>
  <r>
    <n v="829"/>
    <x v="3"/>
    <x v="1"/>
    <x v="2"/>
    <x v="39"/>
    <s v="Rural"/>
    <s v="Masculino"/>
    <x v="1"/>
    <x v="2"/>
  </r>
  <r>
    <n v="830"/>
    <x v="3"/>
    <x v="1"/>
    <x v="2"/>
    <x v="39"/>
    <s v="Rural"/>
    <s v="Femenino"/>
    <x v="1"/>
    <x v="2"/>
  </r>
  <r>
    <n v="831"/>
    <x v="3"/>
    <x v="1"/>
    <x v="2"/>
    <x v="39"/>
    <s v="Rural"/>
    <s v="Femenino"/>
    <x v="1"/>
    <x v="2"/>
  </r>
  <r>
    <n v="832"/>
    <x v="3"/>
    <x v="1"/>
    <x v="2"/>
    <x v="39"/>
    <s v="Rural"/>
    <s v="Masculino"/>
    <x v="1"/>
    <x v="2"/>
  </r>
  <r>
    <n v="833"/>
    <x v="3"/>
    <x v="1"/>
    <x v="2"/>
    <x v="39"/>
    <s v="Rural"/>
    <s v="Masculino"/>
    <x v="0"/>
    <x v="2"/>
  </r>
  <r>
    <n v="834"/>
    <x v="3"/>
    <x v="1"/>
    <x v="2"/>
    <x v="39"/>
    <s v="Rural"/>
    <s v="Femenino"/>
    <x v="1"/>
    <x v="2"/>
  </r>
  <r>
    <n v="835"/>
    <x v="3"/>
    <x v="1"/>
    <x v="2"/>
    <x v="39"/>
    <s v="Rural"/>
    <s v="Masculino"/>
    <x v="0"/>
    <x v="2"/>
  </r>
  <r>
    <n v="836"/>
    <x v="3"/>
    <x v="1"/>
    <x v="2"/>
    <x v="39"/>
    <s v="Rural"/>
    <s v="Femenino"/>
    <x v="1"/>
    <x v="2"/>
  </r>
  <r>
    <n v="837"/>
    <x v="3"/>
    <x v="1"/>
    <x v="2"/>
    <x v="39"/>
    <s v="Rural"/>
    <s v="Femenino"/>
    <x v="1"/>
    <x v="2"/>
  </r>
  <r>
    <n v="838"/>
    <x v="3"/>
    <x v="1"/>
    <x v="3"/>
    <x v="39"/>
    <s v="Rural"/>
    <s v="Femenino"/>
    <x v="1"/>
    <x v="2"/>
  </r>
  <r>
    <n v="839"/>
    <x v="3"/>
    <x v="1"/>
    <x v="3"/>
    <x v="39"/>
    <s v="Rural"/>
    <s v="Masculino"/>
    <x v="1"/>
    <x v="2"/>
  </r>
  <r>
    <n v="840"/>
    <x v="3"/>
    <x v="1"/>
    <x v="3"/>
    <x v="39"/>
    <s v="Rural"/>
    <s v="Masculino"/>
    <x v="0"/>
    <x v="2"/>
  </r>
  <r>
    <n v="841"/>
    <x v="3"/>
    <x v="1"/>
    <x v="3"/>
    <x v="39"/>
    <s v="Rural"/>
    <s v="Femenino"/>
    <x v="0"/>
    <x v="2"/>
  </r>
  <r>
    <n v="842"/>
    <x v="3"/>
    <x v="1"/>
    <x v="3"/>
    <x v="39"/>
    <s v="Rural"/>
    <s v="Femenino"/>
    <x v="1"/>
    <x v="2"/>
  </r>
  <r>
    <n v="843"/>
    <x v="3"/>
    <x v="0"/>
    <x v="4"/>
    <x v="47"/>
    <s v="Rural"/>
    <s v="Femenino"/>
    <x v="1"/>
    <x v="2"/>
  </r>
  <r>
    <n v="844"/>
    <x v="3"/>
    <x v="0"/>
    <x v="4"/>
    <x v="47"/>
    <s v="Rural"/>
    <s v="Femenino"/>
    <x v="1"/>
    <x v="2"/>
  </r>
  <r>
    <n v="845"/>
    <x v="3"/>
    <x v="0"/>
    <x v="4"/>
    <x v="47"/>
    <s v="Rural"/>
    <s v="Femenino"/>
    <x v="0"/>
    <x v="2"/>
  </r>
  <r>
    <n v="846"/>
    <x v="3"/>
    <x v="0"/>
    <x v="4"/>
    <x v="47"/>
    <s v="Rural"/>
    <s v="Masculino"/>
    <x v="0"/>
    <x v="2"/>
  </r>
  <r>
    <n v="847"/>
    <x v="3"/>
    <x v="0"/>
    <x v="4"/>
    <x v="47"/>
    <s v="Rural"/>
    <s v="Femenino"/>
    <x v="0"/>
    <x v="2"/>
  </r>
  <r>
    <n v="848"/>
    <x v="3"/>
    <x v="0"/>
    <x v="4"/>
    <x v="47"/>
    <s v="Rural"/>
    <s v="Femenino"/>
    <x v="1"/>
    <x v="2"/>
  </r>
  <r>
    <n v="849"/>
    <x v="3"/>
    <x v="0"/>
    <x v="4"/>
    <x v="47"/>
    <s v="Rural"/>
    <s v="Masculino"/>
    <x v="0"/>
    <x v="2"/>
  </r>
  <r>
    <n v="850"/>
    <x v="3"/>
    <x v="0"/>
    <x v="4"/>
    <x v="47"/>
    <s v="Rural"/>
    <s v="Masculino"/>
    <x v="0"/>
    <x v="2"/>
  </r>
  <r>
    <n v="851"/>
    <x v="3"/>
    <x v="0"/>
    <x v="4"/>
    <x v="47"/>
    <s v="Rural"/>
    <s v="Masculino"/>
    <x v="1"/>
    <x v="2"/>
  </r>
  <r>
    <n v="852"/>
    <x v="3"/>
    <x v="0"/>
    <x v="4"/>
    <x v="47"/>
    <s v="Rural"/>
    <s v="Masculino"/>
    <x v="1"/>
    <x v="2"/>
  </r>
  <r>
    <n v="853"/>
    <x v="3"/>
    <x v="0"/>
    <x v="4"/>
    <x v="47"/>
    <s v="Rural"/>
    <s v="Femenino"/>
    <x v="0"/>
    <x v="2"/>
  </r>
  <r>
    <n v="854"/>
    <x v="3"/>
    <x v="0"/>
    <x v="4"/>
    <x v="47"/>
    <s v="Rural"/>
    <s v="Masculino"/>
    <x v="0"/>
    <x v="2"/>
  </r>
  <r>
    <n v="855"/>
    <x v="3"/>
    <x v="0"/>
    <x v="4"/>
    <x v="47"/>
    <s v="Rural"/>
    <s v="Femenino"/>
    <x v="0"/>
    <x v="2"/>
  </r>
  <r>
    <n v="856"/>
    <x v="3"/>
    <x v="0"/>
    <x v="4"/>
    <x v="47"/>
    <s v="Rural"/>
    <s v="Masculino"/>
    <x v="0"/>
    <x v="2"/>
  </r>
  <r>
    <n v="857"/>
    <x v="3"/>
    <x v="0"/>
    <x v="0"/>
    <x v="47"/>
    <s v="Rural"/>
    <s v="Femenino"/>
    <x v="0"/>
    <x v="2"/>
  </r>
  <r>
    <n v="858"/>
    <x v="3"/>
    <x v="0"/>
    <x v="0"/>
    <x v="47"/>
    <s v="Rural"/>
    <s v="Masculino"/>
    <x v="0"/>
    <x v="2"/>
  </r>
  <r>
    <n v="859"/>
    <x v="3"/>
    <x v="0"/>
    <x v="0"/>
    <x v="47"/>
    <s v="Rural"/>
    <s v="Masculino"/>
    <x v="0"/>
    <x v="2"/>
  </r>
  <r>
    <n v="860"/>
    <x v="3"/>
    <x v="0"/>
    <x v="0"/>
    <x v="47"/>
    <s v="Rural"/>
    <s v="Masculino"/>
    <x v="0"/>
    <x v="2"/>
  </r>
  <r>
    <n v="861"/>
    <x v="3"/>
    <x v="0"/>
    <x v="0"/>
    <x v="47"/>
    <s v="Rural"/>
    <s v="Femenino"/>
    <x v="0"/>
    <x v="2"/>
  </r>
  <r>
    <n v="862"/>
    <x v="3"/>
    <x v="0"/>
    <x v="0"/>
    <x v="47"/>
    <s v="Rural"/>
    <s v="Femenino"/>
    <x v="0"/>
    <x v="2"/>
  </r>
  <r>
    <n v="863"/>
    <x v="3"/>
    <x v="0"/>
    <x v="0"/>
    <x v="47"/>
    <s v="Rural"/>
    <s v="Femenino"/>
    <x v="0"/>
    <x v="2"/>
  </r>
  <r>
    <n v="864"/>
    <x v="3"/>
    <x v="0"/>
    <x v="0"/>
    <x v="47"/>
    <s v="Rural"/>
    <s v="Femenino"/>
    <x v="0"/>
    <x v="2"/>
  </r>
  <r>
    <n v="865"/>
    <x v="3"/>
    <x v="0"/>
    <x v="0"/>
    <x v="47"/>
    <s v="Rural"/>
    <s v="Femenino"/>
    <x v="0"/>
    <x v="2"/>
  </r>
  <r>
    <n v="866"/>
    <x v="3"/>
    <x v="0"/>
    <x v="0"/>
    <x v="47"/>
    <s v="Rural"/>
    <s v="Femenino"/>
    <x v="0"/>
    <x v="2"/>
  </r>
  <r>
    <n v="867"/>
    <x v="3"/>
    <x v="0"/>
    <x v="0"/>
    <x v="47"/>
    <s v="Rural"/>
    <s v="Femenino"/>
    <x v="0"/>
    <x v="2"/>
  </r>
  <r>
    <n v="868"/>
    <x v="3"/>
    <x v="0"/>
    <x v="0"/>
    <x v="47"/>
    <s v="Rural"/>
    <s v="Femenino"/>
    <x v="0"/>
    <x v="2"/>
  </r>
  <r>
    <n v="869"/>
    <x v="3"/>
    <x v="0"/>
    <x v="0"/>
    <x v="47"/>
    <s v="Rural"/>
    <s v="Masculino"/>
    <x v="0"/>
    <x v="2"/>
  </r>
  <r>
    <n v="870"/>
    <x v="3"/>
    <x v="0"/>
    <x v="0"/>
    <x v="47"/>
    <s v="Rural"/>
    <s v="Masculino"/>
    <x v="0"/>
    <x v="2"/>
  </r>
  <r>
    <n v="871"/>
    <x v="3"/>
    <x v="0"/>
    <x v="0"/>
    <x v="47"/>
    <s v="Rural"/>
    <s v="Femenino"/>
    <x v="0"/>
    <x v="2"/>
  </r>
  <r>
    <n v="872"/>
    <x v="3"/>
    <x v="0"/>
    <x v="0"/>
    <x v="47"/>
    <s v="Rural"/>
    <s v="Masculino"/>
    <x v="0"/>
    <x v="2"/>
  </r>
  <r>
    <n v="873"/>
    <x v="3"/>
    <x v="0"/>
    <x v="1"/>
    <x v="47"/>
    <s v="Rural"/>
    <s v="Masculino"/>
    <x v="0"/>
    <x v="2"/>
  </r>
  <r>
    <n v="874"/>
    <x v="3"/>
    <x v="0"/>
    <x v="1"/>
    <x v="47"/>
    <s v="Rural"/>
    <s v="Femenino"/>
    <x v="0"/>
    <x v="2"/>
  </r>
  <r>
    <n v="875"/>
    <x v="3"/>
    <x v="0"/>
    <x v="1"/>
    <x v="47"/>
    <s v="Rural"/>
    <s v="Masculino"/>
    <x v="0"/>
    <x v="2"/>
  </r>
  <r>
    <n v="876"/>
    <x v="3"/>
    <x v="0"/>
    <x v="1"/>
    <x v="47"/>
    <s v="Rural"/>
    <s v="Masculino"/>
    <x v="0"/>
    <x v="2"/>
  </r>
  <r>
    <n v="877"/>
    <x v="3"/>
    <x v="0"/>
    <x v="1"/>
    <x v="47"/>
    <s v="Rural"/>
    <s v="Masculino"/>
    <x v="0"/>
    <x v="2"/>
  </r>
  <r>
    <n v="878"/>
    <x v="3"/>
    <x v="0"/>
    <x v="1"/>
    <x v="47"/>
    <s v="Rural"/>
    <s v="Femenino"/>
    <x v="0"/>
    <x v="2"/>
  </r>
  <r>
    <n v="879"/>
    <x v="3"/>
    <x v="0"/>
    <x v="1"/>
    <x v="47"/>
    <s v="Rural"/>
    <s v="Femenino"/>
    <x v="0"/>
    <x v="2"/>
  </r>
  <r>
    <n v="880"/>
    <x v="3"/>
    <x v="0"/>
    <x v="1"/>
    <x v="47"/>
    <s v="Rural"/>
    <s v="Femenino"/>
    <x v="0"/>
    <x v="2"/>
  </r>
  <r>
    <n v="881"/>
    <x v="3"/>
    <x v="0"/>
    <x v="1"/>
    <x v="47"/>
    <s v="Rural"/>
    <s v="Masculino"/>
    <x v="0"/>
    <x v="2"/>
  </r>
  <r>
    <n v="882"/>
    <x v="3"/>
    <x v="0"/>
    <x v="1"/>
    <x v="47"/>
    <s v="Rural"/>
    <s v="Masculino"/>
    <x v="0"/>
    <x v="2"/>
  </r>
  <r>
    <n v="883"/>
    <x v="3"/>
    <x v="0"/>
    <x v="1"/>
    <x v="47"/>
    <s v="Rural"/>
    <s v="Masculino"/>
    <x v="0"/>
    <x v="2"/>
  </r>
  <r>
    <n v="884"/>
    <x v="3"/>
    <x v="0"/>
    <x v="1"/>
    <x v="47"/>
    <s v="Rural"/>
    <s v="Femenino"/>
    <x v="0"/>
    <x v="2"/>
  </r>
  <r>
    <n v="885"/>
    <x v="3"/>
    <x v="0"/>
    <x v="1"/>
    <x v="47"/>
    <s v="Rural"/>
    <s v="Masculino"/>
    <x v="0"/>
    <x v="2"/>
  </r>
  <r>
    <n v="886"/>
    <x v="3"/>
    <x v="0"/>
    <x v="1"/>
    <x v="47"/>
    <s v="Rural"/>
    <s v="Masculino"/>
    <x v="0"/>
    <x v="2"/>
  </r>
  <r>
    <n v="887"/>
    <x v="3"/>
    <x v="0"/>
    <x v="1"/>
    <x v="47"/>
    <s v="Rural"/>
    <s v="Femenino"/>
    <x v="0"/>
    <x v="2"/>
  </r>
  <r>
    <n v="888"/>
    <x v="3"/>
    <x v="0"/>
    <x v="1"/>
    <x v="47"/>
    <s v="Rural"/>
    <s v="Femenino"/>
    <x v="0"/>
    <x v="2"/>
  </r>
  <r>
    <n v="889"/>
    <x v="3"/>
    <x v="0"/>
    <x v="1"/>
    <x v="47"/>
    <s v="Rural"/>
    <s v="Femenino"/>
    <x v="0"/>
    <x v="2"/>
  </r>
  <r>
    <n v="890"/>
    <x v="3"/>
    <x v="0"/>
    <x v="1"/>
    <x v="47"/>
    <s v="Rural"/>
    <s v="Masculino"/>
    <x v="0"/>
    <x v="2"/>
  </r>
  <r>
    <n v="891"/>
    <x v="3"/>
    <x v="0"/>
    <x v="1"/>
    <x v="47"/>
    <s v="Rural"/>
    <s v="Masculino"/>
    <x v="0"/>
    <x v="2"/>
  </r>
  <r>
    <n v="892"/>
    <x v="3"/>
    <x v="0"/>
    <x v="1"/>
    <x v="47"/>
    <s v="Rural"/>
    <s v="Masculino"/>
    <x v="0"/>
    <x v="2"/>
  </r>
  <r>
    <n v="893"/>
    <x v="3"/>
    <x v="0"/>
    <x v="1"/>
    <x v="47"/>
    <s v="Rural"/>
    <s v="Masculino"/>
    <x v="0"/>
    <x v="2"/>
  </r>
  <r>
    <n v="894"/>
    <x v="3"/>
    <x v="0"/>
    <x v="1"/>
    <x v="47"/>
    <s v="Rural"/>
    <s v="Masculino"/>
    <x v="0"/>
    <x v="2"/>
  </r>
  <r>
    <n v="895"/>
    <x v="3"/>
    <x v="0"/>
    <x v="1"/>
    <x v="47"/>
    <s v="Rural"/>
    <s v="Masculino"/>
    <x v="1"/>
    <x v="2"/>
  </r>
  <r>
    <n v="896"/>
    <x v="3"/>
    <x v="0"/>
    <x v="1"/>
    <x v="47"/>
    <s v="Rural"/>
    <s v="Masculino"/>
    <x v="1"/>
    <x v="2"/>
  </r>
  <r>
    <n v="897"/>
    <x v="3"/>
    <x v="1"/>
    <x v="2"/>
    <x v="47"/>
    <s v="Rural"/>
    <s v="Femenino"/>
    <x v="1"/>
    <x v="2"/>
  </r>
  <r>
    <n v="898"/>
    <x v="3"/>
    <x v="1"/>
    <x v="2"/>
    <x v="47"/>
    <s v="Rural"/>
    <s v="Femenino"/>
    <x v="1"/>
    <x v="2"/>
  </r>
  <r>
    <n v="899"/>
    <x v="3"/>
    <x v="1"/>
    <x v="2"/>
    <x v="47"/>
    <s v="Rural"/>
    <s v="Femenino"/>
    <x v="1"/>
    <x v="2"/>
  </r>
  <r>
    <n v="900"/>
    <x v="3"/>
    <x v="1"/>
    <x v="2"/>
    <x v="47"/>
    <s v="Rural"/>
    <s v="Masculino"/>
    <x v="1"/>
    <x v="2"/>
  </r>
  <r>
    <n v="901"/>
    <x v="3"/>
    <x v="1"/>
    <x v="2"/>
    <x v="47"/>
    <s v="Rural"/>
    <s v="Femenino"/>
    <x v="1"/>
    <x v="2"/>
  </r>
  <r>
    <n v="902"/>
    <x v="3"/>
    <x v="1"/>
    <x v="2"/>
    <x v="47"/>
    <s v="Rural"/>
    <s v="Masculino"/>
    <x v="1"/>
    <x v="2"/>
  </r>
  <r>
    <n v="903"/>
    <x v="3"/>
    <x v="1"/>
    <x v="2"/>
    <x v="47"/>
    <s v="Rural"/>
    <s v="Femenino"/>
    <x v="1"/>
    <x v="2"/>
  </r>
  <r>
    <n v="904"/>
    <x v="3"/>
    <x v="1"/>
    <x v="2"/>
    <x v="47"/>
    <s v="Rural"/>
    <s v="Masculino"/>
    <x v="1"/>
    <x v="2"/>
  </r>
  <r>
    <n v="905"/>
    <x v="3"/>
    <x v="1"/>
    <x v="2"/>
    <x v="47"/>
    <s v="Rural"/>
    <s v="Femenino"/>
    <x v="1"/>
    <x v="2"/>
  </r>
  <r>
    <n v="906"/>
    <x v="3"/>
    <x v="1"/>
    <x v="2"/>
    <x v="47"/>
    <s v="Rural"/>
    <s v="Femenino"/>
    <x v="1"/>
    <x v="2"/>
  </r>
  <r>
    <n v="907"/>
    <x v="3"/>
    <x v="1"/>
    <x v="2"/>
    <x v="47"/>
    <s v="Rural"/>
    <s v="Femenino"/>
    <x v="1"/>
    <x v="2"/>
  </r>
  <r>
    <n v="908"/>
    <x v="3"/>
    <x v="1"/>
    <x v="2"/>
    <x v="47"/>
    <s v="Rural"/>
    <s v="Femenino"/>
    <x v="1"/>
    <x v="2"/>
  </r>
  <r>
    <n v="909"/>
    <x v="3"/>
    <x v="1"/>
    <x v="2"/>
    <x v="47"/>
    <s v="Rural"/>
    <s v="Masculino"/>
    <x v="1"/>
    <x v="2"/>
  </r>
  <r>
    <n v="910"/>
    <x v="3"/>
    <x v="1"/>
    <x v="2"/>
    <x v="47"/>
    <s v="Rural"/>
    <s v="Masculino"/>
    <x v="1"/>
    <x v="2"/>
  </r>
  <r>
    <n v="911"/>
    <x v="3"/>
    <x v="1"/>
    <x v="2"/>
    <x v="47"/>
    <s v="Rural"/>
    <s v="Femenino"/>
    <x v="1"/>
    <x v="2"/>
  </r>
  <r>
    <n v="912"/>
    <x v="3"/>
    <x v="1"/>
    <x v="2"/>
    <x v="47"/>
    <s v="Rural"/>
    <s v="Masculino"/>
    <x v="1"/>
    <x v="2"/>
  </r>
  <r>
    <n v="913"/>
    <x v="3"/>
    <x v="1"/>
    <x v="2"/>
    <x v="47"/>
    <s v="Rural"/>
    <s v="Femenino"/>
    <x v="1"/>
    <x v="2"/>
  </r>
  <r>
    <n v="914"/>
    <x v="3"/>
    <x v="1"/>
    <x v="2"/>
    <x v="47"/>
    <s v="Rural"/>
    <s v="Femenino"/>
    <x v="1"/>
    <x v="2"/>
  </r>
  <r>
    <n v="915"/>
    <x v="3"/>
    <x v="1"/>
    <x v="2"/>
    <x v="47"/>
    <s v="Rural"/>
    <s v="Masculino"/>
    <x v="1"/>
    <x v="2"/>
  </r>
  <r>
    <n v="916"/>
    <x v="3"/>
    <x v="1"/>
    <x v="2"/>
    <x v="47"/>
    <s v="Rural"/>
    <s v="Femenino"/>
    <x v="1"/>
    <x v="2"/>
  </r>
  <r>
    <n v="917"/>
    <x v="3"/>
    <x v="1"/>
    <x v="2"/>
    <x v="47"/>
    <s v="Rural"/>
    <s v="Masculino"/>
    <x v="1"/>
    <x v="2"/>
  </r>
  <r>
    <n v="918"/>
    <x v="3"/>
    <x v="1"/>
    <x v="2"/>
    <x v="47"/>
    <s v="Rural"/>
    <s v="Masculino"/>
    <x v="1"/>
    <x v="2"/>
  </r>
  <r>
    <n v="919"/>
    <x v="3"/>
    <x v="1"/>
    <x v="3"/>
    <x v="47"/>
    <s v="Rural"/>
    <s v="Masculino"/>
    <x v="1"/>
    <x v="2"/>
  </r>
  <r>
    <n v="920"/>
    <x v="3"/>
    <x v="1"/>
    <x v="3"/>
    <x v="47"/>
    <s v="Rural"/>
    <s v="Femenino"/>
    <x v="1"/>
    <x v="2"/>
  </r>
  <r>
    <n v="921"/>
    <x v="3"/>
    <x v="1"/>
    <x v="3"/>
    <x v="47"/>
    <s v="Rural"/>
    <s v="Masculino"/>
    <x v="1"/>
    <x v="2"/>
  </r>
  <r>
    <n v="922"/>
    <x v="3"/>
    <x v="1"/>
    <x v="3"/>
    <x v="47"/>
    <s v="Rural"/>
    <s v="Masculino"/>
    <x v="1"/>
    <x v="2"/>
  </r>
  <r>
    <n v="923"/>
    <x v="3"/>
    <x v="1"/>
    <x v="3"/>
    <x v="47"/>
    <s v="Rural"/>
    <s v="Masculino"/>
    <x v="1"/>
    <x v="2"/>
  </r>
  <r>
    <n v="924"/>
    <x v="3"/>
    <x v="1"/>
    <x v="3"/>
    <x v="47"/>
    <s v="Rural"/>
    <s v="Masculino"/>
    <x v="1"/>
    <x v="2"/>
  </r>
  <r>
    <n v="925"/>
    <x v="3"/>
    <x v="1"/>
    <x v="3"/>
    <x v="47"/>
    <s v="Rural"/>
    <s v="Femenino"/>
    <x v="1"/>
    <x v="2"/>
  </r>
  <r>
    <n v="926"/>
    <x v="3"/>
    <x v="1"/>
    <x v="3"/>
    <x v="47"/>
    <s v="Rural"/>
    <s v="Femenino"/>
    <x v="0"/>
    <x v="2"/>
  </r>
  <r>
    <n v="927"/>
    <x v="3"/>
    <x v="1"/>
    <x v="3"/>
    <x v="47"/>
    <s v="Rural"/>
    <s v="Femenino"/>
    <x v="1"/>
    <x v="2"/>
  </r>
  <r>
    <n v="928"/>
    <x v="3"/>
    <x v="1"/>
    <x v="3"/>
    <x v="47"/>
    <s v="Rural"/>
    <s v="Femenino"/>
    <x v="1"/>
    <x v="2"/>
  </r>
  <r>
    <n v="929"/>
    <x v="3"/>
    <x v="1"/>
    <x v="3"/>
    <x v="47"/>
    <s v="Rural"/>
    <s v="Femenino"/>
    <x v="1"/>
    <x v="2"/>
  </r>
  <r>
    <n v="930"/>
    <x v="3"/>
    <x v="1"/>
    <x v="3"/>
    <x v="47"/>
    <s v="Rural"/>
    <s v="Femenino"/>
    <x v="1"/>
    <x v="2"/>
  </r>
  <r>
    <n v="931"/>
    <x v="3"/>
    <x v="1"/>
    <x v="3"/>
    <x v="47"/>
    <s v="Rural"/>
    <s v="Femenino"/>
    <x v="1"/>
    <x v="2"/>
  </r>
  <r>
    <n v="932"/>
    <x v="3"/>
    <x v="1"/>
    <x v="3"/>
    <x v="47"/>
    <s v="Rural"/>
    <s v="Femenino"/>
    <x v="1"/>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8">
  <r>
    <n v="1"/>
    <x v="0"/>
    <x v="0"/>
    <x v="0"/>
    <x v="0"/>
    <s v="Rural"/>
    <s v="Masculino"/>
    <x v="0"/>
    <x v="0"/>
    <x v="0"/>
    <s v="PADD 2023 Y 2024"/>
    <s v="14924 DANIEL ALCIDES CARRION"/>
  </r>
  <r>
    <n v="2"/>
    <x v="0"/>
    <x v="0"/>
    <x v="0"/>
    <x v="0"/>
    <s v="Rural"/>
    <s v="Masculino"/>
    <x v="0"/>
    <x v="0"/>
    <x v="0"/>
    <s v="PADD 2023 Y 2024"/>
    <s v="14924 DANIEL ALCIDES CARRION"/>
  </r>
  <r>
    <n v="3"/>
    <x v="0"/>
    <x v="0"/>
    <x v="0"/>
    <x v="0"/>
    <s v="Rural"/>
    <s v="Masculino"/>
    <x v="1"/>
    <x v="0"/>
    <x v="0"/>
    <s v="PADD 2023 Y 2024"/>
    <s v="14924 DANIEL ALCIDES CARRION"/>
  </r>
  <r>
    <n v="4"/>
    <x v="0"/>
    <x v="0"/>
    <x v="0"/>
    <x v="0"/>
    <s v="Rural"/>
    <s v="Femenino"/>
    <x v="1"/>
    <x v="0"/>
    <x v="0"/>
    <s v="PADD 2023 Y 2024"/>
    <s v="14924 DANIEL ALCIDES CARRION"/>
  </r>
  <r>
    <n v="5"/>
    <x v="0"/>
    <x v="0"/>
    <x v="0"/>
    <x v="0"/>
    <s v="Rural"/>
    <s v="Masculino"/>
    <x v="1"/>
    <x v="0"/>
    <x v="0"/>
    <s v="PADD 2023 Y 2024"/>
    <s v="14924 DANIEL ALCIDES CARRION"/>
  </r>
  <r>
    <n v="6"/>
    <x v="0"/>
    <x v="0"/>
    <x v="0"/>
    <x v="0"/>
    <s v="Rural"/>
    <s v="Femenino"/>
    <x v="0"/>
    <x v="0"/>
    <x v="0"/>
    <s v="PADD 2023 Y 2024"/>
    <s v="14924 DANIEL ALCIDES CARRION"/>
  </r>
  <r>
    <n v="7"/>
    <x v="0"/>
    <x v="0"/>
    <x v="0"/>
    <x v="0"/>
    <s v="Rural"/>
    <s v="Femenino"/>
    <x v="0"/>
    <x v="0"/>
    <x v="0"/>
    <s v="PADD 2023 Y 2024"/>
    <s v="14924 DANIEL ALCIDES CARRION"/>
  </r>
  <r>
    <n v="8"/>
    <x v="0"/>
    <x v="0"/>
    <x v="0"/>
    <x v="0"/>
    <s v="Rural"/>
    <s v="Femenino"/>
    <x v="0"/>
    <x v="0"/>
    <x v="0"/>
    <s v="PADD 2023 Y 2024"/>
    <s v="14924 DANIEL ALCIDES CARRION"/>
  </r>
  <r>
    <n v="9"/>
    <x v="0"/>
    <x v="0"/>
    <x v="0"/>
    <x v="0"/>
    <s v="Rural"/>
    <s v="Masculino"/>
    <x v="1"/>
    <x v="0"/>
    <x v="0"/>
    <s v="PADD 2023 Y 2024"/>
    <s v="14924 DANIEL ALCIDES CARRION"/>
  </r>
  <r>
    <n v="10"/>
    <x v="0"/>
    <x v="0"/>
    <x v="0"/>
    <x v="0"/>
    <s v="Rural"/>
    <s v="Femenino"/>
    <x v="2"/>
    <x v="0"/>
    <x v="0"/>
    <s v="PADD 2023 Y 2024"/>
    <s v="14924 DANIEL ALCIDES CARRION"/>
  </r>
  <r>
    <n v="11"/>
    <x v="0"/>
    <x v="0"/>
    <x v="0"/>
    <x v="0"/>
    <s v="Rural"/>
    <s v="Masculino"/>
    <x v="1"/>
    <x v="0"/>
    <x v="0"/>
    <s v="PADD 2023 Y 2024"/>
    <s v="14924 DANIEL ALCIDES CARRION"/>
  </r>
  <r>
    <n v="12"/>
    <x v="0"/>
    <x v="0"/>
    <x v="0"/>
    <x v="0"/>
    <s v="Rural"/>
    <s v="Femenino"/>
    <x v="0"/>
    <x v="0"/>
    <x v="0"/>
    <s v="PADD 2023 Y 2024"/>
    <s v="14924 DANIEL ALCIDES CARRION"/>
  </r>
  <r>
    <n v="13"/>
    <x v="0"/>
    <x v="0"/>
    <x v="0"/>
    <x v="0"/>
    <s v="Rural"/>
    <s v="Femenino"/>
    <x v="0"/>
    <x v="0"/>
    <x v="0"/>
    <s v="PADD 2023 Y 2024"/>
    <s v="14924 DANIEL ALCIDES CARRION"/>
  </r>
  <r>
    <n v="14"/>
    <x v="0"/>
    <x v="0"/>
    <x v="0"/>
    <x v="0"/>
    <s v="Rural"/>
    <s v="Femenino"/>
    <x v="1"/>
    <x v="0"/>
    <x v="0"/>
    <s v="PADD 2023 Y 2024"/>
    <s v="14924 DANIEL ALCIDES CARRION"/>
  </r>
  <r>
    <n v="15"/>
    <x v="0"/>
    <x v="0"/>
    <x v="0"/>
    <x v="0"/>
    <s v="Rural"/>
    <s v="Masculino"/>
    <x v="0"/>
    <x v="0"/>
    <x v="0"/>
    <s v="PADD 2023 Y 2024"/>
    <s v="14924 DANIEL ALCIDES CARRION"/>
  </r>
  <r>
    <n v="16"/>
    <x v="0"/>
    <x v="0"/>
    <x v="0"/>
    <x v="0"/>
    <s v="Rural"/>
    <s v="Masculino"/>
    <x v="0"/>
    <x v="0"/>
    <x v="0"/>
    <s v="PADD 2023 Y 2024"/>
    <s v="14924 DANIEL ALCIDES CARRION"/>
  </r>
  <r>
    <n v="17"/>
    <x v="0"/>
    <x v="0"/>
    <x v="0"/>
    <x v="0"/>
    <s v="Rural"/>
    <s v="Femenino"/>
    <x v="0"/>
    <x v="0"/>
    <x v="0"/>
    <s v="PADD 2023 Y 2024"/>
    <s v="14924 DANIEL ALCIDES CARRION"/>
  </r>
  <r>
    <n v="18"/>
    <x v="0"/>
    <x v="0"/>
    <x v="0"/>
    <x v="0"/>
    <s v="Rural"/>
    <s v="Femenino"/>
    <x v="2"/>
    <x v="0"/>
    <x v="0"/>
    <s v="PADD 2023 Y 2024"/>
    <s v="14924 DANIEL ALCIDES CARRION"/>
  </r>
  <r>
    <n v="19"/>
    <x v="0"/>
    <x v="0"/>
    <x v="0"/>
    <x v="0"/>
    <s v="Rural"/>
    <s v="Femenino"/>
    <x v="0"/>
    <x v="0"/>
    <x v="0"/>
    <s v="PADD 2023 Y 2024"/>
    <s v="14924 DANIEL ALCIDES CARRION"/>
  </r>
  <r>
    <n v="20"/>
    <x v="0"/>
    <x v="0"/>
    <x v="0"/>
    <x v="0"/>
    <s v="Rural"/>
    <s v="Masculino"/>
    <x v="0"/>
    <x v="0"/>
    <x v="0"/>
    <s v="PADD 2023 Y 2024"/>
    <s v="14924 DANIEL ALCIDES CARRION"/>
  </r>
  <r>
    <n v="21"/>
    <x v="0"/>
    <x v="0"/>
    <x v="0"/>
    <x v="0"/>
    <s v="Rural"/>
    <s v="Masculino"/>
    <x v="0"/>
    <x v="0"/>
    <x v="0"/>
    <s v="PADD 2023 Y 2024"/>
    <s v="14924 DANIEL ALCIDES CARRION"/>
  </r>
  <r>
    <n v="22"/>
    <x v="0"/>
    <x v="0"/>
    <x v="0"/>
    <x v="0"/>
    <s v="Rural"/>
    <s v="Masculino"/>
    <x v="0"/>
    <x v="0"/>
    <x v="0"/>
    <s v="PADD 2023 Y 2024"/>
    <s v="14924 DANIEL ALCIDES CARRION"/>
  </r>
  <r>
    <n v="23"/>
    <x v="0"/>
    <x v="0"/>
    <x v="0"/>
    <x v="1"/>
    <s v="Rural"/>
    <s v="Masculino"/>
    <x v="0"/>
    <x v="0"/>
    <x v="0"/>
    <s v="PADD 2023 Y 2024"/>
    <s v="20104"/>
  </r>
  <r>
    <n v="24"/>
    <x v="0"/>
    <x v="0"/>
    <x v="0"/>
    <x v="1"/>
    <s v="Rural"/>
    <s v="Masculino"/>
    <x v="0"/>
    <x v="0"/>
    <x v="0"/>
    <s v="PADD 2023 Y 2024"/>
    <s v="20104"/>
  </r>
  <r>
    <n v="25"/>
    <x v="0"/>
    <x v="0"/>
    <x v="0"/>
    <x v="1"/>
    <s v="Rural"/>
    <s v="Masculino"/>
    <x v="0"/>
    <x v="0"/>
    <x v="0"/>
    <s v="PADD 2023 Y 2024"/>
    <s v="20104"/>
  </r>
  <r>
    <n v="26"/>
    <x v="0"/>
    <x v="0"/>
    <x v="0"/>
    <x v="1"/>
    <s v="Rural"/>
    <s v="Masculino"/>
    <x v="0"/>
    <x v="0"/>
    <x v="0"/>
    <s v="PADD 2023 Y 2024"/>
    <s v="20104"/>
  </r>
  <r>
    <n v="27"/>
    <x v="0"/>
    <x v="0"/>
    <x v="0"/>
    <x v="1"/>
    <s v="Rural"/>
    <s v="Femenino"/>
    <x v="0"/>
    <x v="0"/>
    <x v="0"/>
    <s v="PADD 2023 Y 2024"/>
    <s v="20104"/>
  </r>
  <r>
    <n v="28"/>
    <x v="0"/>
    <x v="0"/>
    <x v="0"/>
    <x v="1"/>
    <s v="Rural"/>
    <s v="Femenino"/>
    <x v="0"/>
    <x v="0"/>
    <x v="0"/>
    <s v="PADD 2023 Y 2024"/>
    <s v="20104"/>
  </r>
  <r>
    <n v="29"/>
    <x v="0"/>
    <x v="0"/>
    <x v="0"/>
    <x v="1"/>
    <s v="Rural"/>
    <s v="Femenino"/>
    <x v="0"/>
    <x v="0"/>
    <x v="0"/>
    <s v="PADD 2023 Y 2024"/>
    <s v="20104"/>
  </r>
  <r>
    <n v="30"/>
    <x v="0"/>
    <x v="0"/>
    <x v="0"/>
    <x v="2"/>
    <s v="Rural"/>
    <s v="Masculino"/>
    <x v="0"/>
    <x v="0"/>
    <x v="0"/>
    <s v="PADD 2023 Y 2024"/>
    <s v="14975"/>
  </r>
  <r>
    <n v="31"/>
    <x v="0"/>
    <x v="0"/>
    <x v="0"/>
    <x v="2"/>
    <s v="Rural"/>
    <s v="Masculino"/>
    <x v="0"/>
    <x v="0"/>
    <x v="0"/>
    <s v="PADD 2023 Y 2024"/>
    <s v="14975"/>
  </r>
  <r>
    <n v="32"/>
    <x v="0"/>
    <x v="0"/>
    <x v="0"/>
    <x v="2"/>
    <s v="Rural"/>
    <s v="Masculino"/>
    <x v="1"/>
    <x v="0"/>
    <x v="0"/>
    <s v="PADD 2023 Y 2024"/>
    <s v="14975"/>
  </r>
  <r>
    <n v="33"/>
    <x v="0"/>
    <x v="0"/>
    <x v="0"/>
    <x v="2"/>
    <s v="Rural"/>
    <s v="Femenino"/>
    <x v="0"/>
    <x v="0"/>
    <x v="0"/>
    <s v="PADD 2023 Y 2024"/>
    <s v="14975"/>
  </r>
  <r>
    <n v="34"/>
    <x v="0"/>
    <x v="0"/>
    <x v="0"/>
    <x v="2"/>
    <s v="Rural"/>
    <s v="Femenino"/>
    <x v="0"/>
    <x v="0"/>
    <x v="0"/>
    <s v="PADD 2023 Y 2024"/>
    <s v="14975"/>
  </r>
  <r>
    <n v="35"/>
    <x v="0"/>
    <x v="0"/>
    <x v="0"/>
    <x v="2"/>
    <s v="Rural"/>
    <s v="Femenino"/>
    <x v="1"/>
    <x v="0"/>
    <x v="0"/>
    <s v="PADD 2023 Y 2024"/>
    <s v="14975"/>
  </r>
  <r>
    <n v="36"/>
    <x v="0"/>
    <x v="0"/>
    <x v="0"/>
    <x v="3"/>
    <s v="Rural"/>
    <s v="Masculino"/>
    <x v="0"/>
    <x v="0"/>
    <x v="1"/>
    <s v="SOLO 2023"/>
    <s v="15304"/>
  </r>
  <r>
    <n v="37"/>
    <x v="0"/>
    <x v="0"/>
    <x v="0"/>
    <x v="3"/>
    <s v="Rural"/>
    <s v="Masculino"/>
    <x v="0"/>
    <x v="0"/>
    <x v="1"/>
    <s v="SOLO 2023"/>
    <s v="15304"/>
  </r>
  <r>
    <n v="38"/>
    <x v="0"/>
    <x v="0"/>
    <x v="0"/>
    <x v="4"/>
    <s v="Rural"/>
    <s v="Masculino"/>
    <x v="0"/>
    <x v="0"/>
    <x v="1"/>
    <s v="NO PARTICIPÓ"/>
    <s v="SAGRADO CORAZON DE JESUS"/>
  </r>
  <r>
    <n v="39"/>
    <x v="0"/>
    <x v="0"/>
    <x v="0"/>
    <x v="4"/>
    <s v="Rural"/>
    <s v="Masculino"/>
    <x v="0"/>
    <x v="0"/>
    <x v="1"/>
    <s v="NO PARTICIPÓ"/>
    <s v="SAGRADO CORAZON DE JESUS"/>
  </r>
  <r>
    <n v="40"/>
    <x v="0"/>
    <x v="0"/>
    <x v="0"/>
    <x v="4"/>
    <s v="Rural"/>
    <s v="Masculino"/>
    <x v="0"/>
    <x v="0"/>
    <x v="1"/>
    <s v="NO PARTICIPÓ"/>
    <s v="SAGRADO CORAZON DE JESUS"/>
  </r>
  <r>
    <n v="41"/>
    <x v="0"/>
    <x v="0"/>
    <x v="0"/>
    <x v="4"/>
    <s v="Rural"/>
    <s v="Masculino"/>
    <x v="0"/>
    <x v="0"/>
    <x v="1"/>
    <s v="NO PARTICIPÓ"/>
    <s v="SAGRADO CORAZON DE JESUS"/>
  </r>
  <r>
    <n v="42"/>
    <x v="0"/>
    <x v="0"/>
    <x v="0"/>
    <x v="4"/>
    <s v="Rural"/>
    <s v="Femenino"/>
    <x v="0"/>
    <x v="0"/>
    <x v="1"/>
    <s v="NO PARTICIPÓ"/>
    <s v="SAGRADO CORAZON DE JESUS"/>
  </r>
  <r>
    <n v="43"/>
    <x v="0"/>
    <x v="0"/>
    <x v="0"/>
    <x v="4"/>
    <s v="Rural"/>
    <s v="Femenino"/>
    <x v="0"/>
    <x v="0"/>
    <x v="1"/>
    <s v="NO PARTICIPÓ"/>
    <s v="SAGRADO CORAZON DE JESUS"/>
  </r>
  <r>
    <n v="44"/>
    <x v="0"/>
    <x v="0"/>
    <x v="0"/>
    <x v="4"/>
    <s v="Rural"/>
    <s v="Femenino"/>
    <x v="0"/>
    <x v="0"/>
    <x v="1"/>
    <s v="NO PARTICIPÓ"/>
    <s v="SAGRADO CORAZON DE JESUS"/>
  </r>
  <r>
    <n v="45"/>
    <x v="0"/>
    <x v="0"/>
    <x v="0"/>
    <x v="5"/>
    <s v="Rural"/>
    <s v="Femenino"/>
    <x v="1"/>
    <x v="0"/>
    <x v="1"/>
    <s v="SOLO 2023"/>
    <s v="14144 SANTA ROSA"/>
  </r>
  <r>
    <n v="46"/>
    <x v="0"/>
    <x v="0"/>
    <x v="0"/>
    <x v="5"/>
    <s v="Rural"/>
    <s v="Femenino"/>
    <x v="0"/>
    <x v="0"/>
    <x v="1"/>
    <s v="SOLO 2023"/>
    <s v="14144 SANTA ROSA"/>
  </r>
  <r>
    <n v="47"/>
    <x v="0"/>
    <x v="0"/>
    <x v="0"/>
    <x v="5"/>
    <s v="Rural"/>
    <s v="Femenino"/>
    <x v="0"/>
    <x v="0"/>
    <x v="1"/>
    <s v="SOLO 2023"/>
    <s v="14144 SANTA ROSA"/>
  </r>
  <r>
    <n v="48"/>
    <x v="0"/>
    <x v="0"/>
    <x v="0"/>
    <x v="5"/>
    <s v="Rural"/>
    <s v="Femenino"/>
    <x v="1"/>
    <x v="0"/>
    <x v="1"/>
    <s v="SOLO 2023"/>
    <s v="14144 SANTA ROSA"/>
  </r>
  <r>
    <n v="49"/>
    <x v="0"/>
    <x v="0"/>
    <x v="0"/>
    <x v="5"/>
    <s v="Rural"/>
    <s v="Masculino"/>
    <x v="0"/>
    <x v="0"/>
    <x v="1"/>
    <s v="SOLO 2023"/>
    <s v="14144 SANTA ROSA"/>
  </r>
  <r>
    <n v="50"/>
    <x v="0"/>
    <x v="0"/>
    <x v="0"/>
    <x v="5"/>
    <s v="Rural"/>
    <s v="Masculino"/>
    <x v="0"/>
    <x v="0"/>
    <x v="1"/>
    <s v="SOLO 2023"/>
    <s v="14144 SANTA ROSA"/>
  </r>
  <r>
    <n v="51"/>
    <x v="0"/>
    <x v="0"/>
    <x v="0"/>
    <x v="5"/>
    <s v="Rural"/>
    <s v="Masculino"/>
    <x v="0"/>
    <x v="0"/>
    <x v="1"/>
    <s v="SOLO 2023"/>
    <s v="14144 SANTA ROSA"/>
  </r>
  <r>
    <n v="52"/>
    <x v="0"/>
    <x v="0"/>
    <x v="0"/>
    <x v="5"/>
    <s v="Rural"/>
    <s v="Masculino"/>
    <x v="0"/>
    <x v="0"/>
    <x v="1"/>
    <s v="SOLO 2023"/>
    <s v="14144 SANTA ROSA"/>
  </r>
  <r>
    <n v="53"/>
    <x v="0"/>
    <x v="0"/>
    <x v="0"/>
    <x v="5"/>
    <s v="Rural"/>
    <s v="Masculino"/>
    <x v="0"/>
    <x v="0"/>
    <x v="1"/>
    <s v="SOLO 2023"/>
    <s v="14144 SANTA ROSA"/>
  </r>
  <r>
    <n v="54"/>
    <x v="0"/>
    <x v="0"/>
    <x v="0"/>
    <x v="5"/>
    <s v="Rural"/>
    <s v="Masculino"/>
    <x v="0"/>
    <x v="0"/>
    <x v="1"/>
    <s v="SOLO 2023"/>
    <s v="14144 SANTA ROSA"/>
  </r>
  <r>
    <n v="55"/>
    <x v="0"/>
    <x v="0"/>
    <x v="0"/>
    <x v="5"/>
    <s v="Rural"/>
    <s v="Masculino"/>
    <x v="0"/>
    <x v="0"/>
    <x v="1"/>
    <s v="SOLO 2023"/>
    <s v="14144 SANTA ROSA"/>
  </r>
  <r>
    <n v="56"/>
    <x v="0"/>
    <x v="0"/>
    <x v="0"/>
    <x v="5"/>
    <s v="Rural"/>
    <s v="Masculino"/>
    <x v="1"/>
    <x v="0"/>
    <x v="1"/>
    <s v="SOLO 2023"/>
    <s v="14144 SANTA ROSA"/>
  </r>
  <r>
    <n v="57"/>
    <x v="0"/>
    <x v="0"/>
    <x v="0"/>
    <x v="5"/>
    <s v="Rural"/>
    <s v="Masculino"/>
    <x v="1"/>
    <x v="0"/>
    <x v="1"/>
    <s v="SOLO 2023"/>
    <s v="14144 SANTA ROSA"/>
  </r>
  <r>
    <n v="58"/>
    <x v="0"/>
    <x v="0"/>
    <x v="0"/>
    <x v="5"/>
    <s v="Rural"/>
    <s v="Masculino"/>
    <x v="1"/>
    <x v="0"/>
    <x v="1"/>
    <s v="SOLO 2023"/>
    <s v="14144 SANTA ROSA"/>
  </r>
  <r>
    <n v="59"/>
    <x v="0"/>
    <x v="0"/>
    <x v="0"/>
    <x v="5"/>
    <s v="Rural"/>
    <s v="Masculino"/>
    <x v="2"/>
    <x v="0"/>
    <x v="1"/>
    <s v="SOLO 2023"/>
    <s v="14144 SANTA ROSA"/>
  </r>
  <r>
    <n v="60"/>
    <x v="0"/>
    <x v="0"/>
    <x v="0"/>
    <x v="5"/>
    <s v="Rural"/>
    <s v="Femenino"/>
    <x v="2"/>
    <x v="0"/>
    <x v="1"/>
    <s v="SOLO 2023"/>
    <s v="14144 SANTA ROSA"/>
  </r>
  <r>
    <n v="61"/>
    <x v="0"/>
    <x v="0"/>
    <x v="0"/>
    <x v="5"/>
    <s v="Rural"/>
    <s v="Femenino"/>
    <x v="1"/>
    <x v="0"/>
    <x v="1"/>
    <s v="SOLO 2023"/>
    <s v="14144 SANTA ROSA"/>
  </r>
  <r>
    <n v="62"/>
    <x v="0"/>
    <x v="0"/>
    <x v="0"/>
    <x v="5"/>
    <s v="Rural"/>
    <s v="Femenino"/>
    <x v="1"/>
    <x v="0"/>
    <x v="1"/>
    <s v="SOLO 2023"/>
    <s v="14144 SANTA ROSA"/>
  </r>
  <r>
    <n v="63"/>
    <x v="0"/>
    <x v="0"/>
    <x v="0"/>
    <x v="5"/>
    <s v="Rural"/>
    <s v="Femenino"/>
    <x v="1"/>
    <x v="0"/>
    <x v="1"/>
    <s v="SOLO 2023"/>
    <s v="14144 SANTA ROSA"/>
  </r>
  <r>
    <n v="64"/>
    <x v="0"/>
    <x v="0"/>
    <x v="0"/>
    <x v="5"/>
    <s v="Rural"/>
    <s v="Femenino"/>
    <x v="1"/>
    <x v="0"/>
    <x v="1"/>
    <s v="SOLO 2023"/>
    <s v="14144 SANTA ROSA"/>
  </r>
  <r>
    <n v="65"/>
    <x v="0"/>
    <x v="0"/>
    <x v="0"/>
    <x v="6"/>
    <s v="Rural"/>
    <s v="Femenino"/>
    <x v="0"/>
    <x v="0"/>
    <x v="0"/>
    <s v="SOLO 2024"/>
    <s v="14894"/>
  </r>
  <r>
    <n v="66"/>
    <x v="0"/>
    <x v="0"/>
    <x v="0"/>
    <x v="7"/>
    <s v="Rural"/>
    <s v="Masculino"/>
    <x v="0"/>
    <x v="0"/>
    <x v="1"/>
    <s v="PADD 2023 Y 2024"/>
    <s v="15383"/>
  </r>
  <r>
    <n v="67"/>
    <x v="0"/>
    <x v="0"/>
    <x v="0"/>
    <x v="8"/>
    <s v="Rural"/>
    <s v="Masculino"/>
    <x v="0"/>
    <x v="0"/>
    <x v="1"/>
    <s v="PADD 2023 Y 2024"/>
    <s v="14141"/>
  </r>
  <r>
    <n v="68"/>
    <x v="0"/>
    <x v="0"/>
    <x v="0"/>
    <x v="9"/>
    <s v="Rural"/>
    <s v="Masculino"/>
    <x v="0"/>
    <x v="0"/>
    <x v="1"/>
    <s v="PADD 2023 Y 2024"/>
    <s v="15478"/>
  </r>
  <r>
    <n v="69"/>
    <x v="0"/>
    <x v="0"/>
    <x v="0"/>
    <x v="10"/>
    <s v="Rural"/>
    <s v="Masculino"/>
    <x v="0"/>
    <x v="0"/>
    <x v="0"/>
    <s v="SOLO 2023"/>
    <s v="14045"/>
  </r>
  <r>
    <n v="70"/>
    <x v="0"/>
    <x v="0"/>
    <x v="0"/>
    <x v="10"/>
    <s v="Rural"/>
    <s v="Femenino"/>
    <x v="0"/>
    <x v="0"/>
    <x v="0"/>
    <s v="SOLO 2023"/>
    <s v="14045"/>
  </r>
  <r>
    <n v="71"/>
    <x v="0"/>
    <x v="0"/>
    <x v="0"/>
    <x v="11"/>
    <s v="Rural"/>
    <s v="Masculino"/>
    <x v="1"/>
    <x v="0"/>
    <x v="1"/>
    <s v="SOLO 2023"/>
    <s v="14145 SANTA JULIA BILLIART"/>
  </r>
  <r>
    <n v="72"/>
    <x v="0"/>
    <x v="0"/>
    <x v="0"/>
    <x v="11"/>
    <s v="Rural"/>
    <s v="Masculino"/>
    <x v="0"/>
    <x v="0"/>
    <x v="1"/>
    <s v="SOLO 2023"/>
    <s v="14145 SANTA JULIA BILLIART"/>
  </r>
  <r>
    <n v="73"/>
    <x v="0"/>
    <x v="0"/>
    <x v="0"/>
    <x v="11"/>
    <s v="Rural"/>
    <s v="Masculino"/>
    <x v="0"/>
    <x v="0"/>
    <x v="1"/>
    <s v="SOLO 2023"/>
    <s v="14145 SANTA JULIA BILLIART"/>
  </r>
  <r>
    <n v="74"/>
    <x v="0"/>
    <x v="0"/>
    <x v="0"/>
    <x v="11"/>
    <s v="Rural"/>
    <s v="Masculino"/>
    <x v="0"/>
    <x v="0"/>
    <x v="1"/>
    <s v="SOLO 2023"/>
    <s v="14145 SANTA JULIA BILLIART"/>
  </r>
  <r>
    <n v="75"/>
    <x v="0"/>
    <x v="0"/>
    <x v="0"/>
    <x v="11"/>
    <s v="Rural"/>
    <s v="Masculino"/>
    <x v="0"/>
    <x v="0"/>
    <x v="1"/>
    <s v="SOLO 2023"/>
    <s v="14145 SANTA JULIA BILLIART"/>
  </r>
  <r>
    <n v="76"/>
    <x v="0"/>
    <x v="0"/>
    <x v="0"/>
    <x v="11"/>
    <s v="Rural"/>
    <s v="Masculino"/>
    <x v="0"/>
    <x v="0"/>
    <x v="1"/>
    <s v="SOLO 2023"/>
    <s v="14145 SANTA JULIA BILLIART"/>
  </r>
  <r>
    <n v="77"/>
    <x v="0"/>
    <x v="0"/>
    <x v="0"/>
    <x v="11"/>
    <s v="Rural"/>
    <s v="Femenino"/>
    <x v="0"/>
    <x v="0"/>
    <x v="1"/>
    <s v="SOLO 2023"/>
    <s v="14145 SANTA JULIA BILLIART"/>
  </r>
  <r>
    <n v="78"/>
    <x v="0"/>
    <x v="0"/>
    <x v="0"/>
    <x v="11"/>
    <s v="Rural"/>
    <s v="Femenino"/>
    <x v="0"/>
    <x v="0"/>
    <x v="1"/>
    <s v="SOLO 2023"/>
    <s v="14145 SANTA JULIA BILLIART"/>
  </r>
  <r>
    <n v="79"/>
    <x v="0"/>
    <x v="0"/>
    <x v="0"/>
    <x v="11"/>
    <s v="Rural"/>
    <s v="Femenino"/>
    <x v="1"/>
    <x v="0"/>
    <x v="1"/>
    <s v="SOLO 2023"/>
    <s v="14145 SANTA JULIA BILLIART"/>
  </r>
  <r>
    <n v="80"/>
    <x v="0"/>
    <x v="0"/>
    <x v="0"/>
    <x v="11"/>
    <s v="Rural"/>
    <s v="Femenino"/>
    <x v="0"/>
    <x v="0"/>
    <x v="1"/>
    <s v="SOLO 2023"/>
    <s v="14145 SANTA JULIA BILLIART"/>
  </r>
  <r>
    <n v="1"/>
    <x v="0"/>
    <x v="0"/>
    <x v="1"/>
    <x v="0"/>
    <s v="Rural"/>
    <s v="Femenino"/>
    <x v="0"/>
    <x v="0"/>
    <x v="0"/>
    <s v="PADD 2023 Y 2024"/>
    <s v="14924 DANIEL ALCIDES CARRION"/>
  </r>
  <r>
    <n v="2"/>
    <x v="0"/>
    <x v="0"/>
    <x v="1"/>
    <x v="0"/>
    <s v="Rural"/>
    <s v="Femenino"/>
    <x v="0"/>
    <x v="0"/>
    <x v="0"/>
    <s v="PADD 2023 Y 2024"/>
    <s v="14924 DANIEL ALCIDES CARRION"/>
  </r>
  <r>
    <n v="3"/>
    <x v="0"/>
    <x v="0"/>
    <x v="1"/>
    <x v="0"/>
    <s v="Rural"/>
    <s v="Femenino"/>
    <x v="1"/>
    <x v="0"/>
    <x v="0"/>
    <s v="PADD 2023 Y 2024"/>
    <s v="14924 DANIEL ALCIDES CARRION"/>
  </r>
  <r>
    <n v="4"/>
    <x v="0"/>
    <x v="0"/>
    <x v="1"/>
    <x v="0"/>
    <s v="Rural"/>
    <s v="Femenino"/>
    <x v="2"/>
    <x v="0"/>
    <x v="0"/>
    <s v="PADD 2023 Y 2024"/>
    <s v="14924 DANIEL ALCIDES CARRION"/>
  </r>
  <r>
    <n v="5"/>
    <x v="0"/>
    <x v="0"/>
    <x v="1"/>
    <x v="0"/>
    <s v="Rural"/>
    <s v="Femenino"/>
    <x v="2"/>
    <x v="0"/>
    <x v="0"/>
    <s v="PADD 2023 Y 2024"/>
    <s v="14924 DANIEL ALCIDES CARRION"/>
  </r>
  <r>
    <n v="6"/>
    <x v="0"/>
    <x v="0"/>
    <x v="1"/>
    <x v="0"/>
    <s v="Rural"/>
    <s v="Femenino"/>
    <x v="0"/>
    <x v="0"/>
    <x v="0"/>
    <s v="PADD 2023 Y 2024"/>
    <s v="14924 DANIEL ALCIDES CARRION"/>
  </r>
  <r>
    <n v="7"/>
    <x v="0"/>
    <x v="0"/>
    <x v="1"/>
    <x v="0"/>
    <s v="Rural"/>
    <s v="Femenino"/>
    <x v="1"/>
    <x v="0"/>
    <x v="0"/>
    <s v="PADD 2023 Y 2024"/>
    <s v="14924 DANIEL ALCIDES CARRION"/>
  </r>
  <r>
    <n v="8"/>
    <x v="0"/>
    <x v="0"/>
    <x v="1"/>
    <x v="0"/>
    <s v="Rural"/>
    <s v="Femenino"/>
    <x v="0"/>
    <x v="0"/>
    <x v="0"/>
    <s v="PADD 2023 Y 2024"/>
    <s v="14924 DANIEL ALCIDES CARRION"/>
  </r>
  <r>
    <n v="9"/>
    <x v="0"/>
    <x v="0"/>
    <x v="1"/>
    <x v="0"/>
    <s v="Rural"/>
    <s v="Masculino"/>
    <x v="0"/>
    <x v="0"/>
    <x v="0"/>
    <s v="PADD 2023 Y 2024"/>
    <s v="14924 DANIEL ALCIDES CARRION"/>
  </r>
  <r>
    <n v="10"/>
    <x v="0"/>
    <x v="0"/>
    <x v="1"/>
    <x v="0"/>
    <s v="Rural"/>
    <s v="Masculino"/>
    <x v="0"/>
    <x v="0"/>
    <x v="0"/>
    <s v="PADD 2023 Y 2024"/>
    <s v="14924 DANIEL ALCIDES CARRION"/>
  </r>
  <r>
    <n v="11"/>
    <x v="0"/>
    <x v="0"/>
    <x v="1"/>
    <x v="0"/>
    <s v="Rural"/>
    <s v="Masculino"/>
    <x v="0"/>
    <x v="0"/>
    <x v="0"/>
    <s v="PADD 2023 Y 2024"/>
    <s v="14924 DANIEL ALCIDES CARRION"/>
  </r>
  <r>
    <n v="12"/>
    <x v="0"/>
    <x v="0"/>
    <x v="1"/>
    <x v="0"/>
    <s v="Rural"/>
    <s v="Masculino"/>
    <x v="0"/>
    <x v="0"/>
    <x v="0"/>
    <s v="PADD 2023 Y 2024"/>
    <s v="14924 DANIEL ALCIDES CARRION"/>
  </r>
  <r>
    <n v="13"/>
    <x v="0"/>
    <x v="0"/>
    <x v="1"/>
    <x v="0"/>
    <s v="Rural"/>
    <s v="Masculino"/>
    <x v="0"/>
    <x v="0"/>
    <x v="0"/>
    <s v="PADD 2023 Y 2024"/>
    <s v="14924 DANIEL ALCIDES CARRION"/>
  </r>
  <r>
    <n v="14"/>
    <x v="0"/>
    <x v="0"/>
    <x v="1"/>
    <x v="0"/>
    <s v="Rural"/>
    <s v="Masculino"/>
    <x v="1"/>
    <x v="0"/>
    <x v="0"/>
    <s v="PADD 2023 Y 2024"/>
    <s v="14924 DANIEL ALCIDES CARRION"/>
  </r>
  <r>
    <n v="15"/>
    <x v="0"/>
    <x v="0"/>
    <x v="1"/>
    <x v="0"/>
    <s v="Rural"/>
    <s v="Femenino"/>
    <x v="0"/>
    <x v="0"/>
    <x v="0"/>
    <s v="PADD 2023 Y 2024"/>
    <s v="14924 DANIEL ALCIDES CARRION"/>
  </r>
  <r>
    <n v="16"/>
    <x v="0"/>
    <x v="0"/>
    <x v="1"/>
    <x v="0"/>
    <s v="Rural"/>
    <s v="Femenino"/>
    <x v="0"/>
    <x v="0"/>
    <x v="0"/>
    <s v="PADD 2023 Y 2024"/>
    <s v="14924 DANIEL ALCIDES CARRION"/>
  </r>
  <r>
    <n v="17"/>
    <x v="0"/>
    <x v="0"/>
    <x v="1"/>
    <x v="0"/>
    <s v="Rural"/>
    <s v="Femenino"/>
    <x v="0"/>
    <x v="0"/>
    <x v="0"/>
    <s v="PADD 2023 Y 2024"/>
    <s v="14924 DANIEL ALCIDES CARRION"/>
  </r>
  <r>
    <n v="18"/>
    <x v="0"/>
    <x v="0"/>
    <x v="1"/>
    <x v="0"/>
    <s v="Rural"/>
    <s v="Femenino"/>
    <x v="0"/>
    <x v="0"/>
    <x v="0"/>
    <s v="PADD 2023 Y 2024"/>
    <s v="14924 DANIEL ALCIDES CARRION"/>
  </r>
  <r>
    <n v="19"/>
    <x v="0"/>
    <x v="0"/>
    <x v="1"/>
    <x v="0"/>
    <s v="Rural"/>
    <s v="Femenino"/>
    <x v="0"/>
    <x v="0"/>
    <x v="0"/>
    <s v="PADD 2023 Y 2024"/>
    <s v="14924 DANIEL ALCIDES CARRION"/>
  </r>
  <r>
    <n v="20"/>
    <x v="0"/>
    <x v="0"/>
    <x v="1"/>
    <x v="0"/>
    <s v="Rural"/>
    <s v="Masculino"/>
    <x v="0"/>
    <x v="0"/>
    <x v="0"/>
    <s v="PADD 2023 Y 2024"/>
    <s v="14924 DANIEL ALCIDES CARRION"/>
  </r>
  <r>
    <n v="21"/>
    <x v="0"/>
    <x v="0"/>
    <x v="1"/>
    <x v="0"/>
    <s v="Rural"/>
    <s v="Masculino"/>
    <x v="0"/>
    <x v="0"/>
    <x v="0"/>
    <s v="PADD 2023 Y 2024"/>
    <s v="14924 DANIEL ALCIDES CARRION"/>
  </r>
  <r>
    <n v="22"/>
    <x v="0"/>
    <x v="0"/>
    <x v="1"/>
    <x v="0"/>
    <s v="Rural"/>
    <s v="Masculino"/>
    <x v="0"/>
    <x v="0"/>
    <x v="0"/>
    <s v="PADD 2023 Y 2024"/>
    <s v="14924 DANIEL ALCIDES CARRION"/>
  </r>
  <r>
    <n v="23"/>
    <x v="0"/>
    <x v="0"/>
    <x v="1"/>
    <x v="0"/>
    <s v="Rural"/>
    <s v="Masculino"/>
    <x v="0"/>
    <x v="0"/>
    <x v="0"/>
    <s v="PADD 2023 Y 2024"/>
    <s v="14924 DANIEL ALCIDES CARRION"/>
  </r>
  <r>
    <n v="24"/>
    <x v="0"/>
    <x v="0"/>
    <x v="1"/>
    <x v="0"/>
    <s v="Rural"/>
    <s v="Masculino"/>
    <x v="0"/>
    <x v="0"/>
    <x v="0"/>
    <s v="PADD 2023 Y 2024"/>
    <s v="14924 DANIEL ALCIDES CARRION"/>
  </r>
  <r>
    <n v="25"/>
    <x v="0"/>
    <x v="0"/>
    <x v="1"/>
    <x v="1"/>
    <s v="Rural"/>
    <s v="Masculino"/>
    <x v="0"/>
    <x v="0"/>
    <x v="1"/>
    <s v="PADD 2023 Y 2024"/>
    <s v="20104"/>
  </r>
  <r>
    <n v="26"/>
    <x v="0"/>
    <x v="0"/>
    <x v="1"/>
    <x v="1"/>
    <s v="Rural"/>
    <s v="Masculino"/>
    <x v="0"/>
    <x v="0"/>
    <x v="1"/>
    <s v="PADD 2023 Y 2024"/>
    <s v="20104"/>
  </r>
  <r>
    <n v="27"/>
    <x v="0"/>
    <x v="0"/>
    <x v="1"/>
    <x v="1"/>
    <s v="Rural"/>
    <s v="Masculino"/>
    <x v="0"/>
    <x v="0"/>
    <x v="1"/>
    <s v="PADD 2023 Y 2024"/>
    <s v="20104"/>
  </r>
  <r>
    <n v="28"/>
    <x v="0"/>
    <x v="0"/>
    <x v="1"/>
    <x v="1"/>
    <s v="Rural"/>
    <s v="Femenino"/>
    <x v="0"/>
    <x v="0"/>
    <x v="1"/>
    <s v="PADD 2023 Y 2024"/>
    <s v="20104"/>
  </r>
  <r>
    <n v="29"/>
    <x v="0"/>
    <x v="0"/>
    <x v="1"/>
    <x v="2"/>
    <s v="Rural"/>
    <s v="Masculino"/>
    <x v="0"/>
    <x v="0"/>
    <x v="1"/>
    <s v="PADD 2023 Y 2024"/>
    <s v="14975"/>
  </r>
  <r>
    <n v="30"/>
    <x v="0"/>
    <x v="0"/>
    <x v="1"/>
    <x v="2"/>
    <s v="Rural"/>
    <s v="Masculino"/>
    <x v="0"/>
    <x v="0"/>
    <x v="1"/>
    <s v="PADD 2023 Y 2024"/>
    <s v="14975"/>
  </r>
  <r>
    <n v="31"/>
    <x v="0"/>
    <x v="0"/>
    <x v="1"/>
    <x v="2"/>
    <s v="Rural"/>
    <s v="Femenino"/>
    <x v="0"/>
    <x v="0"/>
    <x v="1"/>
    <s v="PADD 2023 Y 2024"/>
    <s v="14975"/>
  </r>
  <r>
    <n v="32"/>
    <x v="0"/>
    <x v="0"/>
    <x v="1"/>
    <x v="2"/>
    <s v="Rural"/>
    <s v="Femenino"/>
    <x v="0"/>
    <x v="0"/>
    <x v="1"/>
    <s v="PADD 2023 Y 2024"/>
    <s v="14975"/>
  </r>
  <r>
    <n v="33"/>
    <x v="0"/>
    <x v="0"/>
    <x v="1"/>
    <x v="2"/>
    <s v="Rural"/>
    <s v="Femenino"/>
    <x v="0"/>
    <x v="0"/>
    <x v="1"/>
    <s v="PADD 2023 Y 2024"/>
    <s v="14975"/>
  </r>
  <r>
    <n v="34"/>
    <x v="0"/>
    <x v="0"/>
    <x v="1"/>
    <x v="3"/>
    <s v="Rural"/>
    <s v="Masculino"/>
    <x v="1"/>
    <x v="0"/>
    <x v="1"/>
    <s v="SOLO 2023"/>
    <s v="15304"/>
  </r>
  <r>
    <n v="35"/>
    <x v="0"/>
    <x v="0"/>
    <x v="1"/>
    <x v="3"/>
    <s v="Rural"/>
    <s v="Femenino"/>
    <x v="0"/>
    <x v="0"/>
    <x v="1"/>
    <s v="SOLO 2023"/>
    <s v="15304"/>
  </r>
  <r>
    <n v="36"/>
    <x v="0"/>
    <x v="0"/>
    <x v="1"/>
    <x v="3"/>
    <s v="Rural"/>
    <s v="Femenino"/>
    <x v="0"/>
    <x v="0"/>
    <x v="1"/>
    <s v="SOLO 2023"/>
    <s v="15304"/>
  </r>
  <r>
    <n v="37"/>
    <x v="0"/>
    <x v="0"/>
    <x v="1"/>
    <x v="4"/>
    <s v="Rural"/>
    <s v="Masculino"/>
    <x v="0"/>
    <x v="0"/>
    <x v="1"/>
    <s v="NO PARTICIPÓ"/>
    <s v="SAGRADO CORAZON DE JESUS"/>
  </r>
  <r>
    <n v="38"/>
    <x v="0"/>
    <x v="0"/>
    <x v="1"/>
    <x v="4"/>
    <s v="Rural"/>
    <s v="Masculino"/>
    <x v="0"/>
    <x v="0"/>
    <x v="1"/>
    <s v="NO PARTICIPÓ"/>
    <s v="SAGRADO CORAZON DE JESUS"/>
  </r>
  <r>
    <n v="39"/>
    <x v="0"/>
    <x v="0"/>
    <x v="1"/>
    <x v="4"/>
    <s v="Rural"/>
    <s v="Masculino"/>
    <x v="0"/>
    <x v="0"/>
    <x v="1"/>
    <s v="NO PARTICIPÓ"/>
    <s v="SAGRADO CORAZON DE JESUS"/>
  </r>
  <r>
    <n v="40"/>
    <x v="0"/>
    <x v="0"/>
    <x v="1"/>
    <x v="4"/>
    <s v="Rural"/>
    <s v="Masculino"/>
    <x v="0"/>
    <x v="0"/>
    <x v="1"/>
    <s v="NO PARTICIPÓ"/>
    <s v="SAGRADO CORAZON DE JESUS"/>
  </r>
  <r>
    <n v="41"/>
    <x v="0"/>
    <x v="0"/>
    <x v="1"/>
    <x v="4"/>
    <s v="Rural"/>
    <s v="Femenino"/>
    <x v="0"/>
    <x v="0"/>
    <x v="1"/>
    <s v="NO PARTICIPÓ"/>
    <s v="SAGRADO CORAZON DE JESUS"/>
  </r>
  <r>
    <n v="42"/>
    <x v="0"/>
    <x v="0"/>
    <x v="1"/>
    <x v="4"/>
    <s v="Rural"/>
    <s v="Femenino"/>
    <x v="0"/>
    <x v="0"/>
    <x v="1"/>
    <s v="NO PARTICIPÓ"/>
    <s v="SAGRADO CORAZON DE JESUS"/>
  </r>
  <r>
    <n v="43"/>
    <x v="0"/>
    <x v="0"/>
    <x v="1"/>
    <x v="4"/>
    <s v="Rural"/>
    <s v="Femenino"/>
    <x v="0"/>
    <x v="0"/>
    <x v="1"/>
    <s v="NO PARTICIPÓ"/>
    <s v="SAGRADO CORAZON DE JESUS"/>
  </r>
  <r>
    <n v="44"/>
    <x v="0"/>
    <x v="0"/>
    <x v="1"/>
    <x v="4"/>
    <s v="Rural"/>
    <s v="Femenino"/>
    <x v="0"/>
    <x v="0"/>
    <x v="1"/>
    <s v="NO PARTICIPÓ"/>
    <s v="SAGRADO CORAZON DE JESUS"/>
  </r>
  <r>
    <n v="45"/>
    <x v="0"/>
    <x v="0"/>
    <x v="1"/>
    <x v="4"/>
    <s v="Rural"/>
    <s v="Femenino"/>
    <x v="0"/>
    <x v="0"/>
    <x v="1"/>
    <s v="NO PARTICIPÓ"/>
    <s v="SAGRADO CORAZON DE JESUS"/>
  </r>
  <r>
    <n v="46"/>
    <x v="0"/>
    <x v="0"/>
    <x v="1"/>
    <x v="12"/>
    <s v="Rural"/>
    <s v="Femenino"/>
    <x v="1"/>
    <x v="0"/>
    <x v="0"/>
    <s v="SOLO 2023"/>
    <s v="20123"/>
  </r>
  <r>
    <n v="47"/>
    <x v="0"/>
    <x v="0"/>
    <x v="1"/>
    <x v="12"/>
    <s v="Rural"/>
    <s v="Masculino"/>
    <x v="1"/>
    <x v="0"/>
    <x v="0"/>
    <s v="SOLO 2023"/>
    <s v="20123"/>
  </r>
  <r>
    <n v="48"/>
    <x v="0"/>
    <x v="0"/>
    <x v="1"/>
    <x v="5"/>
    <s v="Rural"/>
    <s v="Femenino"/>
    <x v="0"/>
    <x v="0"/>
    <x v="1"/>
    <s v="SOLO 2023"/>
    <s v="14144 SANTA ROSA"/>
  </r>
  <r>
    <n v="49"/>
    <x v="0"/>
    <x v="0"/>
    <x v="1"/>
    <x v="5"/>
    <s v="Rural"/>
    <s v="Femenino"/>
    <x v="0"/>
    <x v="0"/>
    <x v="1"/>
    <s v="SOLO 2023"/>
    <s v="14144 SANTA ROSA"/>
  </r>
  <r>
    <n v="50"/>
    <x v="0"/>
    <x v="0"/>
    <x v="1"/>
    <x v="5"/>
    <s v="Rural"/>
    <s v="Femenino"/>
    <x v="0"/>
    <x v="0"/>
    <x v="1"/>
    <s v="SOLO 2023"/>
    <s v="14144 SANTA ROSA"/>
  </r>
  <r>
    <n v="51"/>
    <x v="0"/>
    <x v="0"/>
    <x v="1"/>
    <x v="5"/>
    <s v="Rural"/>
    <s v="Femenino"/>
    <x v="1"/>
    <x v="0"/>
    <x v="1"/>
    <s v="SOLO 2023"/>
    <s v="14144 SANTA ROSA"/>
  </r>
  <r>
    <n v="52"/>
    <x v="0"/>
    <x v="0"/>
    <x v="1"/>
    <x v="5"/>
    <s v="Rural"/>
    <s v="Masculino"/>
    <x v="0"/>
    <x v="0"/>
    <x v="1"/>
    <s v="SOLO 2023"/>
    <s v="14144 SANTA ROSA"/>
  </r>
  <r>
    <n v="53"/>
    <x v="0"/>
    <x v="0"/>
    <x v="1"/>
    <x v="5"/>
    <s v="Rural"/>
    <s v="Masculino"/>
    <x v="0"/>
    <x v="0"/>
    <x v="1"/>
    <s v="SOLO 2023"/>
    <s v="14144 SANTA ROSA"/>
  </r>
  <r>
    <n v="54"/>
    <x v="0"/>
    <x v="0"/>
    <x v="1"/>
    <x v="5"/>
    <s v="Rural"/>
    <s v="Masculino"/>
    <x v="0"/>
    <x v="0"/>
    <x v="1"/>
    <s v="SOLO 2023"/>
    <s v="14144 SANTA ROSA"/>
  </r>
  <r>
    <n v="55"/>
    <x v="0"/>
    <x v="0"/>
    <x v="1"/>
    <x v="5"/>
    <s v="Rural"/>
    <s v="Masculino"/>
    <x v="1"/>
    <x v="0"/>
    <x v="1"/>
    <s v="SOLO 2023"/>
    <s v="14144 SANTA ROSA"/>
  </r>
  <r>
    <n v="56"/>
    <x v="0"/>
    <x v="0"/>
    <x v="1"/>
    <x v="5"/>
    <s v="Rural"/>
    <s v="Masculino"/>
    <x v="0"/>
    <x v="0"/>
    <x v="1"/>
    <s v="SOLO 2023"/>
    <s v="14144 SANTA ROSA"/>
  </r>
  <r>
    <n v="57"/>
    <x v="0"/>
    <x v="0"/>
    <x v="1"/>
    <x v="5"/>
    <s v="Rural"/>
    <s v="Masculino"/>
    <x v="0"/>
    <x v="0"/>
    <x v="1"/>
    <s v="SOLO 2023"/>
    <s v="14144 SANTA ROSA"/>
  </r>
  <r>
    <n v="58"/>
    <x v="0"/>
    <x v="0"/>
    <x v="1"/>
    <x v="5"/>
    <s v="Rural"/>
    <s v="Masculino"/>
    <x v="2"/>
    <x v="0"/>
    <x v="1"/>
    <s v="SOLO 2023"/>
    <s v="14144 SANTA ROSA"/>
  </r>
  <r>
    <n v="59"/>
    <x v="0"/>
    <x v="0"/>
    <x v="1"/>
    <x v="5"/>
    <s v="Rural"/>
    <s v="Masculino"/>
    <x v="0"/>
    <x v="0"/>
    <x v="1"/>
    <s v="SOLO 2023"/>
    <s v="14144 SANTA ROSA"/>
  </r>
  <r>
    <n v="60"/>
    <x v="0"/>
    <x v="0"/>
    <x v="1"/>
    <x v="5"/>
    <s v="Rural"/>
    <s v="Femenino"/>
    <x v="0"/>
    <x v="0"/>
    <x v="1"/>
    <s v="SOLO 2023"/>
    <s v="14144 SANTA ROSA"/>
  </r>
  <r>
    <n v="61"/>
    <x v="0"/>
    <x v="0"/>
    <x v="1"/>
    <x v="5"/>
    <s v="Rural"/>
    <s v="Femenino"/>
    <x v="0"/>
    <x v="0"/>
    <x v="1"/>
    <s v="SOLO 2023"/>
    <s v="14144 SANTA ROSA"/>
  </r>
  <r>
    <n v="62"/>
    <x v="0"/>
    <x v="0"/>
    <x v="1"/>
    <x v="5"/>
    <s v="Rural"/>
    <s v="Femenino"/>
    <x v="0"/>
    <x v="0"/>
    <x v="1"/>
    <s v="SOLO 2023"/>
    <s v="14144 SANTA ROSA"/>
  </r>
  <r>
    <n v="63"/>
    <x v="0"/>
    <x v="0"/>
    <x v="1"/>
    <x v="5"/>
    <s v="Rural"/>
    <s v="Femenino"/>
    <x v="0"/>
    <x v="0"/>
    <x v="1"/>
    <s v="SOLO 2023"/>
    <s v="14144 SANTA ROSA"/>
  </r>
  <r>
    <n v="64"/>
    <x v="0"/>
    <x v="0"/>
    <x v="1"/>
    <x v="5"/>
    <s v="Rural"/>
    <s v="Femenino"/>
    <x v="2"/>
    <x v="0"/>
    <x v="1"/>
    <s v="SOLO 2023"/>
    <s v="14144 SANTA ROSA"/>
  </r>
  <r>
    <n v="65"/>
    <x v="0"/>
    <x v="0"/>
    <x v="1"/>
    <x v="5"/>
    <s v="Rural"/>
    <s v="Femenino"/>
    <x v="0"/>
    <x v="0"/>
    <x v="1"/>
    <s v="SOLO 2023"/>
    <s v="14144 SANTA ROSA"/>
  </r>
  <r>
    <n v="66"/>
    <x v="0"/>
    <x v="0"/>
    <x v="1"/>
    <x v="5"/>
    <s v="Rural"/>
    <s v="Femenino"/>
    <x v="0"/>
    <x v="0"/>
    <x v="1"/>
    <s v="SOLO 2023"/>
    <s v="14144 SANTA ROSA"/>
  </r>
  <r>
    <n v="67"/>
    <x v="0"/>
    <x v="0"/>
    <x v="1"/>
    <x v="5"/>
    <s v="Rural"/>
    <s v="Masculino"/>
    <x v="1"/>
    <x v="0"/>
    <x v="1"/>
    <s v="SOLO 2023"/>
    <s v="14144 SANTA ROSA"/>
  </r>
  <r>
    <n v="68"/>
    <x v="0"/>
    <x v="0"/>
    <x v="1"/>
    <x v="5"/>
    <s v="Rural"/>
    <s v="Masculino"/>
    <x v="0"/>
    <x v="0"/>
    <x v="1"/>
    <s v="SOLO 2023"/>
    <s v="14144 SANTA ROSA"/>
  </r>
  <r>
    <n v="69"/>
    <x v="0"/>
    <x v="0"/>
    <x v="1"/>
    <x v="5"/>
    <s v="Rural"/>
    <s v="Masculino"/>
    <x v="0"/>
    <x v="0"/>
    <x v="1"/>
    <s v="SOLO 2023"/>
    <s v="14144 SANTA ROSA"/>
  </r>
  <r>
    <n v="70"/>
    <x v="0"/>
    <x v="0"/>
    <x v="1"/>
    <x v="5"/>
    <s v="Rural"/>
    <s v="Masculino"/>
    <x v="0"/>
    <x v="0"/>
    <x v="1"/>
    <s v="SOLO 2023"/>
    <s v="14144 SANTA ROSA"/>
  </r>
  <r>
    <n v="71"/>
    <x v="0"/>
    <x v="0"/>
    <x v="1"/>
    <x v="5"/>
    <s v="Rural"/>
    <s v="Masculino"/>
    <x v="0"/>
    <x v="0"/>
    <x v="1"/>
    <s v="SOLO 2023"/>
    <s v="14144 SANTA ROSA"/>
  </r>
  <r>
    <n v="72"/>
    <x v="0"/>
    <x v="0"/>
    <x v="1"/>
    <x v="13"/>
    <s v="Rural"/>
    <s v="Femenino"/>
    <x v="1"/>
    <x v="0"/>
    <x v="1"/>
    <s v="SOLO 2023"/>
    <s v="15219"/>
  </r>
  <r>
    <n v="73"/>
    <x v="0"/>
    <x v="0"/>
    <x v="1"/>
    <x v="8"/>
    <s v="Rural"/>
    <s v="Masculino"/>
    <x v="0"/>
    <x v="0"/>
    <x v="1"/>
    <s v="PADD 2023 Y 2024"/>
    <s v="14141"/>
  </r>
  <r>
    <n v="74"/>
    <x v="0"/>
    <x v="0"/>
    <x v="1"/>
    <x v="9"/>
    <s v="Rural"/>
    <s v="Femenino"/>
    <x v="1"/>
    <x v="0"/>
    <x v="1"/>
    <s v="PADD 2023 Y 2024"/>
    <s v="15478"/>
  </r>
  <r>
    <n v="75"/>
    <x v="0"/>
    <x v="0"/>
    <x v="1"/>
    <x v="9"/>
    <s v="Rural"/>
    <s v="Femenino"/>
    <x v="1"/>
    <x v="0"/>
    <x v="1"/>
    <s v="PADD 2023 Y 2024"/>
    <s v="15478"/>
  </r>
  <r>
    <n v="76"/>
    <x v="0"/>
    <x v="0"/>
    <x v="1"/>
    <x v="14"/>
    <s v="Rural"/>
    <s v="Masculino"/>
    <x v="2"/>
    <x v="0"/>
    <x v="1"/>
    <s v="SOLO 2023"/>
    <s v="15220"/>
  </r>
  <r>
    <n v="77"/>
    <x v="0"/>
    <x v="0"/>
    <x v="1"/>
    <x v="10"/>
    <s v="Rural"/>
    <s v="Masculino"/>
    <x v="1"/>
    <x v="0"/>
    <x v="1"/>
    <s v="SOLO 2023"/>
    <s v="14045"/>
  </r>
  <r>
    <n v="78"/>
    <x v="0"/>
    <x v="0"/>
    <x v="1"/>
    <x v="11"/>
    <s v="Rural"/>
    <s v="Masculino"/>
    <x v="1"/>
    <x v="0"/>
    <x v="1"/>
    <s v="SOLO 2023"/>
    <s v="14145 SANTA JULIA BILLIART"/>
  </r>
  <r>
    <n v="79"/>
    <x v="0"/>
    <x v="0"/>
    <x v="1"/>
    <x v="11"/>
    <s v="Rural"/>
    <s v="Masculino"/>
    <x v="0"/>
    <x v="0"/>
    <x v="1"/>
    <s v="SOLO 2023"/>
    <s v="14145 SANTA JULIA BILLIART"/>
  </r>
  <r>
    <n v="80"/>
    <x v="0"/>
    <x v="0"/>
    <x v="1"/>
    <x v="11"/>
    <s v="Rural"/>
    <s v="Masculino"/>
    <x v="0"/>
    <x v="0"/>
    <x v="1"/>
    <s v="SOLO 2023"/>
    <s v="14145 SANTA JULIA BILLIART"/>
  </r>
  <r>
    <n v="81"/>
    <x v="0"/>
    <x v="0"/>
    <x v="1"/>
    <x v="11"/>
    <s v="Rural"/>
    <s v="Masculino"/>
    <x v="1"/>
    <x v="0"/>
    <x v="1"/>
    <s v="SOLO 2023"/>
    <s v="14145 SANTA JULIA BILLIART"/>
  </r>
  <r>
    <n v="82"/>
    <x v="0"/>
    <x v="0"/>
    <x v="1"/>
    <x v="11"/>
    <s v="Rural"/>
    <s v="Masculino"/>
    <x v="0"/>
    <x v="0"/>
    <x v="1"/>
    <s v="SOLO 2023"/>
    <s v="14145 SANTA JULIA BILLIART"/>
  </r>
  <r>
    <n v="83"/>
    <x v="0"/>
    <x v="0"/>
    <x v="1"/>
    <x v="11"/>
    <s v="Rural"/>
    <s v="Femenino"/>
    <x v="0"/>
    <x v="0"/>
    <x v="1"/>
    <s v="SOLO 2023"/>
    <s v="14145 SANTA JULIA BILLIART"/>
  </r>
  <r>
    <n v="84"/>
    <x v="0"/>
    <x v="0"/>
    <x v="1"/>
    <x v="11"/>
    <s v="Rural"/>
    <s v="Femenino"/>
    <x v="0"/>
    <x v="0"/>
    <x v="1"/>
    <s v="SOLO 2023"/>
    <s v="14145 SANTA JULIA BILLIART"/>
  </r>
  <r>
    <n v="85"/>
    <x v="0"/>
    <x v="0"/>
    <x v="1"/>
    <x v="11"/>
    <s v="Rural"/>
    <s v="Femenino"/>
    <x v="0"/>
    <x v="0"/>
    <x v="1"/>
    <s v="SOLO 2023"/>
    <s v="14145 SANTA JULIA BILLIART"/>
  </r>
  <r>
    <n v="86"/>
    <x v="0"/>
    <x v="0"/>
    <x v="1"/>
    <x v="11"/>
    <s v="Rural"/>
    <s v="Femenino"/>
    <x v="0"/>
    <x v="0"/>
    <x v="1"/>
    <s v="SOLO 2023"/>
    <s v="14145 SANTA JULIA BILLIART"/>
  </r>
  <r>
    <n v="87"/>
    <x v="0"/>
    <x v="0"/>
    <x v="1"/>
    <x v="11"/>
    <s v="Rural"/>
    <s v="Femenino"/>
    <x v="1"/>
    <x v="0"/>
    <x v="1"/>
    <s v="SOLO 2023"/>
    <s v="14145 SANTA JULIA BILLIART"/>
  </r>
  <r>
    <n v="1"/>
    <x v="0"/>
    <x v="1"/>
    <x v="2"/>
    <x v="5"/>
    <s v="Rural"/>
    <s v="Masculino"/>
    <x v="0"/>
    <x v="0"/>
    <x v="0"/>
    <s v="SOLO 2023"/>
    <s v="14144 SANTA ROSA"/>
  </r>
  <r>
    <n v="2"/>
    <x v="0"/>
    <x v="1"/>
    <x v="2"/>
    <x v="5"/>
    <s v="Rural"/>
    <s v="Masculino"/>
    <x v="1"/>
    <x v="0"/>
    <x v="0"/>
    <s v="SOLO 2023"/>
    <s v="14144 SANTA ROSA"/>
  </r>
  <r>
    <n v="3"/>
    <x v="0"/>
    <x v="1"/>
    <x v="2"/>
    <x v="5"/>
    <s v="Rural"/>
    <s v="Masculino"/>
    <x v="0"/>
    <x v="0"/>
    <x v="0"/>
    <s v="SOLO 2023"/>
    <s v="14144 SANTA ROSA"/>
  </r>
  <r>
    <n v="4"/>
    <x v="0"/>
    <x v="1"/>
    <x v="2"/>
    <x v="5"/>
    <s v="Rural"/>
    <s v="Masculino"/>
    <x v="0"/>
    <x v="0"/>
    <x v="0"/>
    <s v="SOLO 2023"/>
    <s v="14144 SANTA ROSA"/>
  </r>
  <r>
    <n v="5"/>
    <x v="0"/>
    <x v="1"/>
    <x v="2"/>
    <x v="5"/>
    <s v="Rural"/>
    <s v="Masculino"/>
    <x v="0"/>
    <x v="0"/>
    <x v="0"/>
    <s v="SOLO 2023"/>
    <s v="14144 SANTA ROSA"/>
  </r>
  <r>
    <n v="6"/>
    <x v="0"/>
    <x v="1"/>
    <x v="2"/>
    <x v="5"/>
    <s v="Rural"/>
    <s v="Masculino"/>
    <x v="0"/>
    <x v="0"/>
    <x v="0"/>
    <s v="SOLO 2023"/>
    <s v="14144 SANTA ROSA"/>
  </r>
  <r>
    <n v="7"/>
    <x v="0"/>
    <x v="1"/>
    <x v="2"/>
    <x v="5"/>
    <s v="Rural"/>
    <s v="Masculino"/>
    <x v="0"/>
    <x v="0"/>
    <x v="0"/>
    <s v="SOLO 2023"/>
    <s v="14144 SANTA ROSA"/>
  </r>
  <r>
    <n v="8"/>
    <x v="0"/>
    <x v="1"/>
    <x v="2"/>
    <x v="5"/>
    <s v="Rural"/>
    <s v="Masculino"/>
    <x v="0"/>
    <x v="0"/>
    <x v="0"/>
    <s v="SOLO 2023"/>
    <s v="14144 SANTA ROSA"/>
  </r>
  <r>
    <n v="9"/>
    <x v="0"/>
    <x v="1"/>
    <x v="2"/>
    <x v="5"/>
    <s v="Rural"/>
    <s v="Masculino"/>
    <x v="0"/>
    <x v="0"/>
    <x v="0"/>
    <s v="SOLO 2023"/>
    <s v="14144 SANTA ROSA"/>
  </r>
  <r>
    <n v="10"/>
    <x v="0"/>
    <x v="1"/>
    <x v="2"/>
    <x v="5"/>
    <s v="Rural"/>
    <s v="Masculino"/>
    <x v="0"/>
    <x v="0"/>
    <x v="0"/>
    <s v="SOLO 2023"/>
    <s v="14144 SANTA ROSA"/>
  </r>
  <r>
    <n v="11"/>
    <x v="0"/>
    <x v="1"/>
    <x v="2"/>
    <x v="5"/>
    <s v="Rural"/>
    <s v="Masculino"/>
    <x v="0"/>
    <x v="0"/>
    <x v="0"/>
    <s v="SOLO 2023"/>
    <s v="14144 SANTA ROSA"/>
  </r>
  <r>
    <n v="12"/>
    <x v="0"/>
    <x v="1"/>
    <x v="2"/>
    <x v="5"/>
    <s v="Rural"/>
    <s v="Masculino"/>
    <x v="0"/>
    <x v="0"/>
    <x v="0"/>
    <s v="SOLO 2023"/>
    <s v="14144 SANTA ROSA"/>
  </r>
  <r>
    <n v="13"/>
    <x v="0"/>
    <x v="1"/>
    <x v="2"/>
    <x v="5"/>
    <s v="Rural"/>
    <s v="Masculino"/>
    <x v="0"/>
    <x v="0"/>
    <x v="0"/>
    <s v="SOLO 2023"/>
    <s v="14144 SANTA ROSA"/>
  </r>
  <r>
    <n v="14"/>
    <x v="0"/>
    <x v="1"/>
    <x v="2"/>
    <x v="5"/>
    <s v="Rural"/>
    <s v="Masculino"/>
    <x v="0"/>
    <x v="0"/>
    <x v="0"/>
    <s v="SOLO 2023"/>
    <s v="14144 SANTA ROSA"/>
  </r>
  <r>
    <n v="15"/>
    <x v="0"/>
    <x v="1"/>
    <x v="2"/>
    <x v="5"/>
    <s v="Rural"/>
    <s v="Masculino"/>
    <x v="1"/>
    <x v="0"/>
    <x v="0"/>
    <s v="SOLO 2023"/>
    <s v="14144 SANTA ROSA"/>
  </r>
  <r>
    <n v="16"/>
    <x v="0"/>
    <x v="1"/>
    <x v="2"/>
    <x v="5"/>
    <s v="Rural"/>
    <s v="Masculino"/>
    <x v="0"/>
    <x v="0"/>
    <x v="0"/>
    <s v="SOLO 2023"/>
    <s v="14144 SANTA ROSA"/>
  </r>
  <r>
    <n v="17"/>
    <x v="0"/>
    <x v="1"/>
    <x v="2"/>
    <x v="5"/>
    <s v="Rural"/>
    <s v="Masculino"/>
    <x v="0"/>
    <x v="0"/>
    <x v="0"/>
    <s v="SOLO 2023"/>
    <s v="14144 SANTA ROSA"/>
  </r>
  <r>
    <n v="18"/>
    <x v="0"/>
    <x v="1"/>
    <x v="2"/>
    <x v="5"/>
    <s v="Rural"/>
    <s v="Masculino"/>
    <x v="0"/>
    <x v="0"/>
    <x v="0"/>
    <s v="SOLO 2023"/>
    <s v="14144 SANTA ROSA"/>
  </r>
  <r>
    <n v="19"/>
    <x v="0"/>
    <x v="1"/>
    <x v="2"/>
    <x v="5"/>
    <s v="Rural"/>
    <s v="Masculino"/>
    <x v="0"/>
    <x v="0"/>
    <x v="0"/>
    <s v="SOLO 2023"/>
    <s v="14144 SANTA ROSA"/>
  </r>
  <r>
    <n v="20"/>
    <x v="0"/>
    <x v="1"/>
    <x v="2"/>
    <x v="5"/>
    <s v="Rural"/>
    <s v="Masculino"/>
    <x v="0"/>
    <x v="0"/>
    <x v="0"/>
    <s v="SOLO 2023"/>
    <s v="14144 SANTA ROSA"/>
  </r>
  <r>
    <n v="21"/>
    <x v="0"/>
    <x v="1"/>
    <x v="2"/>
    <x v="5"/>
    <s v="Rural"/>
    <s v="Femenino"/>
    <x v="0"/>
    <x v="0"/>
    <x v="0"/>
    <s v="SOLO 2023"/>
    <s v="14144 SANTA ROSA"/>
  </r>
  <r>
    <n v="22"/>
    <x v="0"/>
    <x v="1"/>
    <x v="2"/>
    <x v="5"/>
    <s v="Rural"/>
    <s v="Femenino"/>
    <x v="0"/>
    <x v="0"/>
    <x v="0"/>
    <s v="SOLO 2023"/>
    <s v="14144 SANTA ROSA"/>
  </r>
  <r>
    <n v="23"/>
    <x v="0"/>
    <x v="1"/>
    <x v="2"/>
    <x v="5"/>
    <s v="Rural"/>
    <s v="Femenino"/>
    <x v="0"/>
    <x v="0"/>
    <x v="0"/>
    <s v="SOLO 2023"/>
    <s v="14144 SANTA ROSA"/>
  </r>
  <r>
    <n v="24"/>
    <x v="0"/>
    <x v="1"/>
    <x v="2"/>
    <x v="5"/>
    <s v="Rural"/>
    <s v="Femenino"/>
    <x v="1"/>
    <x v="0"/>
    <x v="0"/>
    <s v="SOLO 2023"/>
    <s v="14144 SANTA ROSA"/>
  </r>
  <r>
    <n v="25"/>
    <x v="0"/>
    <x v="1"/>
    <x v="2"/>
    <x v="5"/>
    <s v="Rural"/>
    <s v="Femenino"/>
    <x v="0"/>
    <x v="0"/>
    <x v="0"/>
    <s v="SOLO 2023"/>
    <s v="14144 SANTA ROSA"/>
  </r>
  <r>
    <n v="26"/>
    <x v="0"/>
    <x v="1"/>
    <x v="2"/>
    <x v="5"/>
    <s v="Rural"/>
    <s v="Femenino"/>
    <x v="0"/>
    <x v="0"/>
    <x v="0"/>
    <s v="SOLO 2023"/>
    <s v="14144 SANTA ROSA"/>
  </r>
  <r>
    <n v="27"/>
    <x v="0"/>
    <x v="1"/>
    <x v="2"/>
    <x v="5"/>
    <s v="Rural"/>
    <s v="Femenino"/>
    <x v="1"/>
    <x v="0"/>
    <x v="0"/>
    <s v="SOLO 2023"/>
    <s v="14144 SANTA ROSA"/>
  </r>
  <r>
    <n v="28"/>
    <x v="0"/>
    <x v="1"/>
    <x v="2"/>
    <x v="5"/>
    <s v="Rural"/>
    <s v="Femenino"/>
    <x v="1"/>
    <x v="0"/>
    <x v="0"/>
    <s v="SOLO 2023"/>
    <s v="14144 SANTA ROSA"/>
  </r>
  <r>
    <n v="29"/>
    <x v="0"/>
    <x v="1"/>
    <x v="2"/>
    <x v="5"/>
    <s v="Rural"/>
    <s v="Femenino"/>
    <x v="0"/>
    <x v="0"/>
    <x v="0"/>
    <s v="SOLO 2023"/>
    <s v="14144 SANTA ROSA"/>
  </r>
  <r>
    <n v="30"/>
    <x v="0"/>
    <x v="1"/>
    <x v="2"/>
    <x v="5"/>
    <s v="Rural"/>
    <s v="Femenino"/>
    <x v="1"/>
    <x v="0"/>
    <x v="0"/>
    <s v="SOLO 2023"/>
    <s v="14144 SANTA ROSA"/>
  </r>
  <r>
    <n v="31"/>
    <x v="0"/>
    <x v="1"/>
    <x v="2"/>
    <x v="5"/>
    <s v="Rural"/>
    <s v="Femenino"/>
    <x v="1"/>
    <x v="0"/>
    <x v="0"/>
    <s v="SOLO 2023"/>
    <s v="14144 SANTA ROSA"/>
  </r>
  <r>
    <n v="32"/>
    <x v="0"/>
    <x v="1"/>
    <x v="2"/>
    <x v="5"/>
    <s v="Rural"/>
    <s v="Femenino"/>
    <x v="0"/>
    <x v="0"/>
    <x v="0"/>
    <s v="SOLO 2023"/>
    <s v="14144 SANTA ROSA"/>
  </r>
  <r>
    <n v="33"/>
    <x v="0"/>
    <x v="1"/>
    <x v="2"/>
    <x v="5"/>
    <s v="Rural"/>
    <s v="Femenino"/>
    <x v="0"/>
    <x v="0"/>
    <x v="0"/>
    <s v="SOLO 2023"/>
    <s v="14144 SANTA ROSA"/>
  </r>
  <r>
    <n v="34"/>
    <x v="0"/>
    <x v="1"/>
    <x v="2"/>
    <x v="5"/>
    <s v="Rural"/>
    <s v="Femenino"/>
    <x v="0"/>
    <x v="0"/>
    <x v="0"/>
    <s v="SOLO 2023"/>
    <s v="14144 SANTA ROSA"/>
  </r>
  <r>
    <n v="35"/>
    <x v="0"/>
    <x v="1"/>
    <x v="2"/>
    <x v="5"/>
    <s v="Rural"/>
    <s v="Femenino"/>
    <x v="0"/>
    <x v="0"/>
    <x v="0"/>
    <s v="SOLO 2023"/>
    <s v="14144 SANTA ROSA"/>
  </r>
  <r>
    <n v="36"/>
    <x v="0"/>
    <x v="1"/>
    <x v="2"/>
    <x v="5"/>
    <s v="Rural"/>
    <s v="Femenino"/>
    <x v="0"/>
    <x v="0"/>
    <x v="0"/>
    <s v="SOLO 2023"/>
    <s v="14144 SANTA ROSA"/>
  </r>
  <r>
    <n v="37"/>
    <x v="0"/>
    <x v="1"/>
    <x v="2"/>
    <x v="5"/>
    <s v="Rural"/>
    <s v="Femenino"/>
    <x v="0"/>
    <x v="0"/>
    <x v="0"/>
    <s v="SOLO 2023"/>
    <s v="14144 SANTA ROSA"/>
  </r>
  <r>
    <n v="1"/>
    <x v="0"/>
    <x v="1"/>
    <x v="3"/>
    <x v="5"/>
    <s v="Rural"/>
    <s v="Masculino"/>
    <x v="0"/>
    <x v="0"/>
    <x v="0"/>
    <s v="SOLO 2023"/>
    <s v="14144 SANTA ROSA"/>
  </r>
  <r>
    <n v="2"/>
    <x v="0"/>
    <x v="1"/>
    <x v="3"/>
    <x v="5"/>
    <s v="Rural"/>
    <s v="Masculino"/>
    <x v="0"/>
    <x v="0"/>
    <x v="0"/>
    <s v="SOLO 2023"/>
    <s v="14144 SANTA ROSA"/>
  </r>
  <r>
    <n v="3"/>
    <x v="0"/>
    <x v="1"/>
    <x v="3"/>
    <x v="5"/>
    <s v="Rural"/>
    <s v="Masculino"/>
    <x v="0"/>
    <x v="0"/>
    <x v="0"/>
    <s v="SOLO 2023"/>
    <s v="14144 SANTA ROSA"/>
  </r>
  <r>
    <n v="4"/>
    <x v="0"/>
    <x v="1"/>
    <x v="3"/>
    <x v="5"/>
    <s v="Rural"/>
    <s v="Masculino"/>
    <x v="0"/>
    <x v="0"/>
    <x v="0"/>
    <s v="SOLO 2023"/>
    <s v="14144 SANTA ROSA"/>
  </r>
  <r>
    <n v="5"/>
    <x v="0"/>
    <x v="1"/>
    <x v="3"/>
    <x v="5"/>
    <s v="Rural"/>
    <s v="Masculino"/>
    <x v="0"/>
    <x v="0"/>
    <x v="0"/>
    <s v="SOLO 2023"/>
    <s v="14144 SANTA ROSA"/>
  </r>
  <r>
    <n v="6"/>
    <x v="0"/>
    <x v="1"/>
    <x v="3"/>
    <x v="5"/>
    <s v="Rural"/>
    <s v="Masculino"/>
    <x v="0"/>
    <x v="0"/>
    <x v="0"/>
    <s v="SOLO 2023"/>
    <s v="14144 SANTA ROSA"/>
  </r>
  <r>
    <n v="7"/>
    <x v="0"/>
    <x v="1"/>
    <x v="3"/>
    <x v="5"/>
    <s v="Rural"/>
    <s v="Masculino"/>
    <x v="0"/>
    <x v="0"/>
    <x v="0"/>
    <s v="SOLO 2023"/>
    <s v="14144 SANTA ROSA"/>
  </r>
  <r>
    <n v="8"/>
    <x v="0"/>
    <x v="1"/>
    <x v="3"/>
    <x v="5"/>
    <s v="Rural"/>
    <s v="Masculino"/>
    <x v="0"/>
    <x v="0"/>
    <x v="0"/>
    <s v="SOLO 2023"/>
    <s v="14144 SANTA ROSA"/>
  </r>
  <r>
    <n v="9"/>
    <x v="0"/>
    <x v="1"/>
    <x v="3"/>
    <x v="5"/>
    <s v="Rural"/>
    <s v="Masculino"/>
    <x v="1"/>
    <x v="0"/>
    <x v="0"/>
    <s v="SOLO 2023"/>
    <s v="14144 SANTA ROSA"/>
  </r>
  <r>
    <n v="10"/>
    <x v="0"/>
    <x v="1"/>
    <x v="3"/>
    <x v="5"/>
    <s v="Rural"/>
    <s v="Masculino"/>
    <x v="1"/>
    <x v="0"/>
    <x v="0"/>
    <s v="SOLO 2023"/>
    <s v="14144 SANTA ROSA"/>
  </r>
  <r>
    <n v="11"/>
    <x v="0"/>
    <x v="1"/>
    <x v="3"/>
    <x v="5"/>
    <s v="Rural"/>
    <s v="Masculino"/>
    <x v="1"/>
    <x v="0"/>
    <x v="0"/>
    <s v="SOLO 2023"/>
    <s v="14144 SANTA ROSA"/>
  </r>
  <r>
    <n v="12"/>
    <x v="0"/>
    <x v="1"/>
    <x v="3"/>
    <x v="5"/>
    <s v="Rural"/>
    <s v="Masculino"/>
    <x v="0"/>
    <x v="0"/>
    <x v="0"/>
    <s v="SOLO 2023"/>
    <s v="14144 SANTA ROSA"/>
  </r>
  <r>
    <n v="13"/>
    <x v="0"/>
    <x v="1"/>
    <x v="3"/>
    <x v="5"/>
    <s v="Rural"/>
    <s v="Masculino"/>
    <x v="0"/>
    <x v="0"/>
    <x v="0"/>
    <s v="SOLO 2023"/>
    <s v="14144 SANTA ROSA"/>
  </r>
  <r>
    <n v="14"/>
    <x v="0"/>
    <x v="1"/>
    <x v="3"/>
    <x v="5"/>
    <s v="Rural"/>
    <s v="Masculino"/>
    <x v="0"/>
    <x v="0"/>
    <x v="0"/>
    <s v="SOLO 2023"/>
    <s v="14144 SANTA ROSA"/>
  </r>
  <r>
    <n v="15"/>
    <x v="0"/>
    <x v="1"/>
    <x v="3"/>
    <x v="5"/>
    <s v="Rural"/>
    <s v="Masculino"/>
    <x v="0"/>
    <x v="0"/>
    <x v="0"/>
    <s v="SOLO 2023"/>
    <s v="14144 SANTA ROSA"/>
  </r>
  <r>
    <n v="16"/>
    <x v="0"/>
    <x v="1"/>
    <x v="3"/>
    <x v="5"/>
    <s v="Rural"/>
    <s v="Femenino"/>
    <x v="0"/>
    <x v="0"/>
    <x v="0"/>
    <s v="SOLO 2023"/>
    <s v="14144 SANTA ROSA"/>
  </r>
  <r>
    <n v="17"/>
    <x v="0"/>
    <x v="1"/>
    <x v="3"/>
    <x v="5"/>
    <s v="Rural"/>
    <s v="Femenino"/>
    <x v="0"/>
    <x v="0"/>
    <x v="0"/>
    <s v="SOLO 2023"/>
    <s v="14144 SANTA ROSA"/>
  </r>
  <r>
    <n v="18"/>
    <x v="0"/>
    <x v="1"/>
    <x v="3"/>
    <x v="5"/>
    <s v="Rural"/>
    <s v="Femenino"/>
    <x v="1"/>
    <x v="0"/>
    <x v="0"/>
    <s v="SOLO 2023"/>
    <s v="14144 SANTA ROSA"/>
  </r>
  <r>
    <n v="19"/>
    <x v="0"/>
    <x v="1"/>
    <x v="3"/>
    <x v="5"/>
    <s v="Rural"/>
    <s v="Femenino"/>
    <x v="0"/>
    <x v="0"/>
    <x v="0"/>
    <s v="SOLO 2023"/>
    <s v="14144 SANTA ROSA"/>
  </r>
  <r>
    <n v="20"/>
    <x v="0"/>
    <x v="1"/>
    <x v="3"/>
    <x v="5"/>
    <s v="Rural"/>
    <s v="Femenino"/>
    <x v="0"/>
    <x v="0"/>
    <x v="0"/>
    <s v="SOLO 2023"/>
    <s v="14144 SANTA ROSA"/>
  </r>
  <r>
    <n v="21"/>
    <x v="0"/>
    <x v="1"/>
    <x v="3"/>
    <x v="5"/>
    <s v="Rural"/>
    <s v="Femenino"/>
    <x v="0"/>
    <x v="0"/>
    <x v="0"/>
    <s v="SOLO 2023"/>
    <s v="14144 SANTA ROSA"/>
  </r>
  <r>
    <n v="22"/>
    <x v="0"/>
    <x v="1"/>
    <x v="3"/>
    <x v="5"/>
    <s v="Rural"/>
    <s v="Femenino"/>
    <x v="0"/>
    <x v="0"/>
    <x v="0"/>
    <s v="SOLO 2023"/>
    <s v="14144 SANTA ROSA"/>
  </r>
  <r>
    <n v="23"/>
    <x v="0"/>
    <x v="1"/>
    <x v="3"/>
    <x v="5"/>
    <s v="Rural"/>
    <s v="Femenino"/>
    <x v="1"/>
    <x v="0"/>
    <x v="0"/>
    <s v="SOLO 2023"/>
    <s v="14144 SANTA ROSA"/>
  </r>
  <r>
    <n v="24"/>
    <x v="0"/>
    <x v="1"/>
    <x v="3"/>
    <x v="5"/>
    <s v="Rural"/>
    <s v="Femenino"/>
    <x v="0"/>
    <x v="0"/>
    <x v="0"/>
    <s v="SOLO 2023"/>
    <s v="14144 SANTA ROSA"/>
  </r>
  <r>
    <n v="25"/>
    <x v="0"/>
    <x v="1"/>
    <x v="3"/>
    <x v="5"/>
    <s v="Rural"/>
    <s v="Femenino"/>
    <x v="1"/>
    <x v="0"/>
    <x v="0"/>
    <s v="SOLO 2023"/>
    <s v="14144 SANTA ROSA"/>
  </r>
  <r>
    <n v="26"/>
    <x v="0"/>
    <x v="1"/>
    <x v="3"/>
    <x v="5"/>
    <s v="Rural"/>
    <s v="Femenino"/>
    <x v="0"/>
    <x v="0"/>
    <x v="0"/>
    <s v="SOLO 2023"/>
    <s v="14144 SANTA ROSA"/>
  </r>
  <r>
    <n v="27"/>
    <x v="0"/>
    <x v="1"/>
    <x v="3"/>
    <x v="5"/>
    <s v="Rural"/>
    <s v="Femenino"/>
    <x v="0"/>
    <x v="0"/>
    <x v="0"/>
    <s v="SOLO 2023"/>
    <s v="14144 SANTA ROSA"/>
  </r>
  <r>
    <n v="28"/>
    <x v="0"/>
    <x v="1"/>
    <x v="3"/>
    <x v="5"/>
    <s v="Rural"/>
    <s v="Femenino"/>
    <x v="0"/>
    <x v="0"/>
    <x v="0"/>
    <s v="SOLO 2023"/>
    <s v="14144 SANTA ROSA"/>
  </r>
  <r>
    <n v="29"/>
    <x v="0"/>
    <x v="1"/>
    <x v="3"/>
    <x v="5"/>
    <s v="Rural"/>
    <s v="Femenino"/>
    <x v="0"/>
    <x v="0"/>
    <x v="0"/>
    <s v="SOLO 2023"/>
    <s v="14144 SANTA ROSA"/>
  </r>
  <r>
    <n v="1"/>
    <x v="1"/>
    <x v="0"/>
    <x v="4"/>
    <x v="15"/>
    <s v="Rural"/>
    <s v="Masculino"/>
    <x v="1"/>
    <x v="0"/>
    <x v="0"/>
    <s v="SOLO 2024"/>
    <s v="64048 Nuevo Barranca"/>
  </r>
  <r>
    <n v="2"/>
    <x v="1"/>
    <x v="0"/>
    <x v="4"/>
    <x v="15"/>
    <s v="Rural"/>
    <s v="Femenino"/>
    <x v="0"/>
    <x v="0"/>
    <x v="0"/>
    <s v="SOLO 2024"/>
    <s v="64048 Nuevo Barranca"/>
  </r>
  <r>
    <n v="3"/>
    <x v="1"/>
    <x v="0"/>
    <x v="0"/>
    <x v="15"/>
    <s v="Rural"/>
    <s v="Masculino"/>
    <x v="0"/>
    <x v="0"/>
    <x v="2"/>
    <s v="SOLO 2024"/>
    <s v="64048 Nuevo Barranca"/>
  </r>
  <r>
    <n v="4"/>
    <x v="1"/>
    <x v="0"/>
    <x v="0"/>
    <x v="15"/>
    <s v="Rural"/>
    <s v="Femenino"/>
    <x v="0"/>
    <x v="0"/>
    <x v="2"/>
    <s v="SOLO 2024"/>
    <s v="64048 Nuevo Barranca"/>
  </r>
  <r>
    <n v="5"/>
    <x v="1"/>
    <x v="0"/>
    <x v="1"/>
    <x v="15"/>
    <s v="Rural"/>
    <s v="Masculino"/>
    <x v="0"/>
    <x v="0"/>
    <x v="2"/>
    <s v="SOLO 2024"/>
    <s v="64048 Nuevo Barranca"/>
  </r>
  <r>
    <n v="6"/>
    <x v="1"/>
    <x v="0"/>
    <x v="1"/>
    <x v="15"/>
    <s v="Rural"/>
    <s v="Femenino"/>
    <x v="0"/>
    <x v="0"/>
    <x v="2"/>
    <s v="SOLO 2024"/>
    <s v="64048 Nuevo Barranca"/>
  </r>
  <r>
    <n v="7"/>
    <x v="1"/>
    <x v="0"/>
    <x v="1"/>
    <x v="15"/>
    <s v="Rural"/>
    <s v="Femenino"/>
    <x v="0"/>
    <x v="0"/>
    <x v="2"/>
    <s v="SOLO 2024"/>
    <s v="64048 Nuevo Barranca"/>
  </r>
  <r>
    <n v="1"/>
    <x v="1"/>
    <x v="0"/>
    <x v="4"/>
    <x v="16"/>
    <s v="Rural"/>
    <s v="Masculino"/>
    <x v="0"/>
    <x v="0"/>
    <x v="2"/>
    <s v="SOLO 2023"/>
    <s v="64115 Nuevo Bagazán"/>
  </r>
  <r>
    <n v="2"/>
    <x v="1"/>
    <x v="0"/>
    <x v="4"/>
    <x v="16"/>
    <s v="Rural"/>
    <s v="Masculino"/>
    <x v="0"/>
    <x v="0"/>
    <x v="2"/>
    <s v="SOLO 2023"/>
    <s v="64115 Nuevo Bagazán"/>
  </r>
  <r>
    <n v="3"/>
    <x v="1"/>
    <x v="0"/>
    <x v="4"/>
    <x v="16"/>
    <s v="Rural"/>
    <s v="Femenino"/>
    <x v="1"/>
    <x v="0"/>
    <x v="2"/>
    <s v="SOLO 2023"/>
    <s v="64115 Nuevo Bagazán"/>
  </r>
  <r>
    <n v="4"/>
    <x v="1"/>
    <x v="0"/>
    <x v="0"/>
    <x v="16"/>
    <s v="Rural"/>
    <s v="Masculino"/>
    <x v="0"/>
    <x v="0"/>
    <x v="2"/>
    <s v="SOLO 2023"/>
    <s v="64115 Nuevo Bagazán"/>
  </r>
  <r>
    <n v="5"/>
    <x v="1"/>
    <x v="0"/>
    <x v="0"/>
    <x v="16"/>
    <s v="Rural"/>
    <s v="Masculino"/>
    <x v="1"/>
    <x v="0"/>
    <x v="2"/>
    <s v="SOLO 2023"/>
    <s v="64115 Nuevo Bagazán"/>
  </r>
  <r>
    <n v="6"/>
    <x v="1"/>
    <x v="0"/>
    <x v="1"/>
    <x v="16"/>
    <s v="Rural"/>
    <s v="Masculino"/>
    <x v="0"/>
    <x v="0"/>
    <x v="2"/>
    <s v="SOLO 2023"/>
    <s v="64115 Nuevo Bagazán"/>
  </r>
  <r>
    <n v="7"/>
    <x v="1"/>
    <x v="0"/>
    <x v="1"/>
    <x v="16"/>
    <s v="Rural"/>
    <s v="Femenino"/>
    <x v="0"/>
    <x v="0"/>
    <x v="2"/>
    <s v="SOLO 2023"/>
    <s v="64115 Nuevo Bagazán"/>
  </r>
  <r>
    <n v="1"/>
    <x v="1"/>
    <x v="0"/>
    <x v="4"/>
    <x v="17"/>
    <s v="Rural"/>
    <s v="Masculino"/>
    <x v="0"/>
    <x v="0"/>
    <x v="0"/>
    <s v="PADD 2023 Y 2024"/>
    <s v="64508-B Santa Isabel"/>
  </r>
  <r>
    <n v="2"/>
    <x v="1"/>
    <x v="0"/>
    <x v="4"/>
    <x v="17"/>
    <s v="Rural"/>
    <s v="Masculino"/>
    <x v="0"/>
    <x v="0"/>
    <x v="0"/>
    <s v="PADD 2023 Y 2024"/>
    <s v="64508-B Santa Isabel"/>
  </r>
  <r>
    <n v="3"/>
    <x v="1"/>
    <x v="0"/>
    <x v="4"/>
    <x v="17"/>
    <s v="Rural"/>
    <s v="Masculino"/>
    <x v="0"/>
    <x v="0"/>
    <x v="0"/>
    <s v="PADD 2023 Y 2024"/>
    <s v="64508-B Santa Isabel"/>
  </r>
  <r>
    <n v="4"/>
    <x v="1"/>
    <x v="0"/>
    <x v="4"/>
    <x v="17"/>
    <s v="Rural"/>
    <s v="Masculino"/>
    <x v="0"/>
    <x v="0"/>
    <x v="0"/>
    <s v="PADD 2023 Y 2024"/>
    <s v="64508-B Santa Isabel"/>
  </r>
  <r>
    <n v="5"/>
    <x v="1"/>
    <x v="0"/>
    <x v="4"/>
    <x v="17"/>
    <s v="Rural"/>
    <s v="Masculino"/>
    <x v="0"/>
    <x v="0"/>
    <x v="0"/>
    <s v="PADD 2023 Y 2024"/>
    <s v="64508-B Santa Isabel"/>
  </r>
  <r>
    <n v="6"/>
    <x v="1"/>
    <x v="0"/>
    <x v="4"/>
    <x v="17"/>
    <s v="Rural"/>
    <s v="Femenino"/>
    <x v="0"/>
    <x v="0"/>
    <x v="0"/>
    <s v="PADD 2023 Y 2024"/>
    <s v="64508-B Santa Isabel"/>
  </r>
  <r>
    <n v="7"/>
    <x v="1"/>
    <x v="0"/>
    <x v="4"/>
    <x v="17"/>
    <s v="Rural"/>
    <s v="Femenino"/>
    <x v="0"/>
    <x v="0"/>
    <x v="0"/>
    <s v="PADD 2023 Y 2024"/>
    <s v="64508-B Santa Isabel"/>
  </r>
  <r>
    <n v="8"/>
    <x v="1"/>
    <x v="0"/>
    <x v="4"/>
    <x v="17"/>
    <s v="Rural"/>
    <s v="Femenino"/>
    <x v="0"/>
    <x v="0"/>
    <x v="0"/>
    <s v="PADD 2023 Y 2024"/>
    <s v="64508-B Santa Isabel"/>
  </r>
  <r>
    <n v="9"/>
    <x v="1"/>
    <x v="0"/>
    <x v="0"/>
    <x v="17"/>
    <s v="Rural"/>
    <s v="Masculino"/>
    <x v="0"/>
    <x v="0"/>
    <x v="0"/>
    <s v="PADD 2023 Y 2024"/>
    <s v="64508-B Santa Isabel"/>
  </r>
  <r>
    <n v="10"/>
    <x v="1"/>
    <x v="0"/>
    <x v="0"/>
    <x v="17"/>
    <s v="Rural"/>
    <s v="Masculino"/>
    <x v="0"/>
    <x v="0"/>
    <x v="0"/>
    <s v="PADD 2023 Y 2024"/>
    <s v="64508-B Santa Isabel"/>
  </r>
  <r>
    <n v="11"/>
    <x v="1"/>
    <x v="0"/>
    <x v="0"/>
    <x v="17"/>
    <s v="Rural"/>
    <s v="Masculino"/>
    <x v="0"/>
    <x v="0"/>
    <x v="0"/>
    <s v="PADD 2023 Y 2024"/>
    <s v="64508-B Santa Isabel"/>
  </r>
  <r>
    <n v="12"/>
    <x v="1"/>
    <x v="0"/>
    <x v="0"/>
    <x v="17"/>
    <s v="Rural"/>
    <s v="Masculino"/>
    <x v="0"/>
    <x v="0"/>
    <x v="0"/>
    <s v="PADD 2023 Y 2024"/>
    <s v="64508-B Santa Isabel"/>
  </r>
  <r>
    <n v="13"/>
    <x v="1"/>
    <x v="0"/>
    <x v="0"/>
    <x v="17"/>
    <s v="Rural"/>
    <s v="Femenino"/>
    <x v="0"/>
    <x v="0"/>
    <x v="0"/>
    <s v="PADD 2023 Y 2024"/>
    <s v="64508-B Santa Isabel"/>
  </r>
  <r>
    <n v="14"/>
    <x v="1"/>
    <x v="0"/>
    <x v="0"/>
    <x v="17"/>
    <s v="Rural"/>
    <s v="Femenino"/>
    <x v="0"/>
    <x v="0"/>
    <x v="0"/>
    <s v="PADD 2023 Y 2024"/>
    <s v="64508-B Santa Isabel"/>
  </r>
  <r>
    <n v="15"/>
    <x v="1"/>
    <x v="0"/>
    <x v="0"/>
    <x v="17"/>
    <s v="Rural"/>
    <s v="Femenino"/>
    <x v="0"/>
    <x v="0"/>
    <x v="0"/>
    <s v="PADD 2023 Y 2024"/>
    <s v="64508-B Santa Isabel"/>
  </r>
  <r>
    <n v="16"/>
    <x v="1"/>
    <x v="0"/>
    <x v="0"/>
    <x v="17"/>
    <s v="Rural"/>
    <s v="Femenino"/>
    <x v="0"/>
    <x v="0"/>
    <x v="0"/>
    <s v="PADD 2023 Y 2024"/>
    <s v="64508-B Santa Isabel"/>
  </r>
  <r>
    <n v="17"/>
    <x v="1"/>
    <x v="0"/>
    <x v="0"/>
    <x v="17"/>
    <s v="Rural"/>
    <s v="Femenino"/>
    <x v="0"/>
    <x v="0"/>
    <x v="0"/>
    <s v="PADD 2023 Y 2024"/>
    <s v="64508-B Santa Isabel"/>
  </r>
  <r>
    <n v="18"/>
    <x v="1"/>
    <x v="0"/>
    <x v="1"/>
    <x v="17"/>
    <s v="Rural"/>
    <s v="Masculino"/>
    <x v="0"/>
    <x v="0"/>
    <x v="0"/>
    <s v="PADD 2023 Y 2024"/>
    <s v="64508-B Santa Isabel"/>
  </r>
  <r>
    <n v="19"/>
    <x v="1"/>
    <x v="0"/>
    <x v="1"/>
    <x v="17"/>
    <s v="Rural"/>
    <s v="Masculino"/>
    <x v="0"/>
    <x v="0"/>
    <x v="0"/>
    <s v="PADD 2023 Y 2024"/>
    <s v="64508-B Santa Isabel"/>
  </r>
  <r>
    <n v="20"/>
    <x v="1"/>
    <x v="0"/>
    <x v="1"/>
    <x v="17"/>
    <s v="Rural"/>
    <s v="Masculino"/>
    <x v="0"/>
    <x v="0"/>
    <x v="0"/>
    <s v="PADD 2023 Y 2024"/>
    <s v="64508-B Santa Isabel"/>
  </r>
  <r>
    <n v="21"/>
    <x v="1"/>
    <x v="0"/>
    <x v="1"/>
    <x v="17"/>
    <s v="Rural"/>
    <s v="Masculino"/>
    <x v="0"/>
    <x v="0"/>
    <x v="0"/>
    <s v="PADD 2023 Y 2024"/>
    <s v="64508-B Santa Isabel"/>
  </r>
  <r>
    <n v="22"/>
    <x v="1"/>
    <x v="0"/>
    <x v="1"/>
    <x v="17"/>
    <s v="Rural"/>
    <s v="Femenino"/>
    <x v="0"/>
    <x v="0"/>
    <x v="0"/>
    <s v="PADD 2023 Y 2024"/>
    <s v="64508-B Santa Isabel"/>
  </r>
  <r>
    <n v="23"/>
    <x v="1"/>
    <x v="0"/>
    <x v="1"/>
    <x v="17"/>
    <s v="Rural"/>
    <s v="Femenino"/>
    <x v="0"/>
    <x v="0"/>
    <x v="0"/>
    <s v="PADD 2023 Y 2024"/>
    <s v="64508-B Santa Isabel"/>
  </r>
  <r>
    <n v="24"/>
    <x v="1"/>
    <x v="0"/>
    <x v="1"/>
    <x v="17"/>
    <s v="Rural"/>
    <s v="Femenino"/>
    <x v="0"/>
    <x v="0"/>
    <x v="0"/>
    <s v="PADD 2023 Y 2024"/>
    <s v="64508-B Santa Isabel"/>
  </r>
  <r>
    <n v="25"/>
    <x v="1"/>
    <x v="0"/>
    <x v="1"/>
    <x v="17"/>
    <s v="Rural"/>
    <s v="Femenino"/>
    <x v="0"/>
    <x v="0"/>
    <x v="0"/>
    <s v="PADD 2023 Y 2024"/>
    <s v="64508-B Santa Isabel"/>
  </r>
  <r>
    <n v="1"/>
    <x v="1"/>
    <x v="0"/>
    <x v="4"/>
    <x v="18"/>
    <s v="Rural"/>
    <s v="Masculino"/>
    <x v="0"/>
    <x v="0"/>
    <x v="0"/>
    <s v="PADD 2023 Y 2024"/>
    <s v="64873-B Santa Elisa"/>
  </r>
  <r>
    <n v="2"/>
    <x v="1"/>
    <x v="0"/>
    <x v="4"/>
    <x v="18"/>
    <s v="Rural"/>
    <s v="Masculino"/>
    <x v="0"/>
    <x v="0"/>
    <x v="0"/>
    <s v="PADD 2023 Y 2024"/>
    <s v="64873-B Santa Elisa"/>
  </r>
  <r>
    <n v="3"/>
    <x v="1"/>
    <x v="0"/>
    <x v="4"/>
    <x v="18"/>
    <s v="Rural"/>
    <s v="Masculino"/>
    <x v="0"/>
    <x v="0"/>
    <x v="0"/>
    <s v="PADD 2023 Y 2024"/>
    <s v="64873-B Santa Elisa"/>
  </r>
  <r>
    <n v="4"/>
    <x v="1"/>
    <x v="0"/>
    <x v="4"/>
    <x v="18"/>
    <s v="Rural"/>
    <s v="Masculino"/>
    <x v="0"/>
    <x v="0"/>
    <x v="0"/>
    <s v="PADD 2023 Y 2024"/>
    <s v="64873-B Santa Elisa"/>
  </r>
  <r>
    <n v="5"/>
    <x v="1"/>
    <x v="0"/>
    <x v="4"/>
    <x v="18"/>
    <s v="Rural"/>
    <s v="Femenino"/>
    <x v="0"/>
    <x v="0"/>
    <x v="0"/>
    <s v="PADD 2023 Y 2024"/>
    <s v="64873-B Santa Elisa"/>
  </r>
  <r>
    <n v="6"/>
    <x v="1"/>
    <x v="0"/>
    <x v="4"/>
    <x v="18"/>
    <s v="Rural"/>
    <s v="Femenino"/>
    <x v="0"/>
    <x v="0"/>
    <x v="0"/>
    <s v="PADD 2023 Y 2024"/>
    <s v="64873-B Santa Elisa"/>
  </r>
  <r>
    <n v="7"/>
    <x v="1"/>
    <x v="0"/>
    <x v="4"/>
    <x v="18"/>
    <s v="Rural"/>
    <s v="Femenino"/>
    <x v="0"/>
    <x v="0"/>
    <x v="0"/>
    <s v="PADD 2023 Y 2024"/>
    <s v="64873-B Santa Elisa"/>
  </r>
  <r>
    <n v="8"/>
    <x v="1"/>
    <x v="0"/>
    <x v="0"/>
    <x v="18"/>
    <s v="Rural"/>
    <s v="Masculino"/>
    <x v="0"/>
    <x v="0"/>
    <x v="0"/>
    <s v="PADD 2023 Y 2024"/>
    <s v="64873-B Santa Elisa"/>
  </r>
  <r>
    <n v="9"/>
    <x v="1"/>
    <x v="0"/>
    <x v="0"/>
    <x v="18"/>
    <s v="Rural"/>
    <s v="Masculino"/>
    <x v="0"/>
    <x v="0"/>
    <x v="0"/>
    <s v="PADD 2023 Y 2024"/>
    <s v="64873-B Santa Elisa"/>
  </r>
  <r>
    <n v="10"/>
    <x v="1"/>
    <x v="0"/>
    <x v="0"/>
    <x v="18"/>
    <s v="Rural"/>
    <s v="Femenino"/>
    <x v="0"/>
    <x v="0"/>
    <x v="0"/>
    <s v="PADD 2023 Y 2024"/>
    <s v="64873-B Santa Elisa"/>
  </r>
  <r>
    <n v="11"/>
    <x v="1"/>
    <x v="0"/>
    <x v="0"/>
    <x v="18"/>
    <s v="Rural"/>
    <s v="Femenino"/>
    <x v="0"/>
    <x v="0"/>
    <x v="0"/>
    <s v="PADD 2023 Y 2024"/>
    <s v="64873-B Santa Elisa"/>
  </r>
  <r>
    <n v="12"/>
    <x v="1"/>
    <x v="0"/>
    <x v="1"/>
    <x v="18"/>
    <s v="Rural"/>
    <s v="Masculino"/>
    <x v="0"/>
    <x v="0"/>
    <x v="0"/>
    <s v="PADD 2023 Y 2024"/>
    <s v="64873-B Santa Elisa"/>
  </r>
  <r>
    <n v="13"/>
    <x v="1"/>
    <x v="0"/>
    <x v="1"/>
    <x v="18"/>
    <s v="Rural"/>
    <s v="Masculino"/>
    <x v="0"/>
    <x v="0"/>
    <x v="0"/>
    <s v="PADD 2023 Y 2024"/>
    <s v="64873-B Santa Elisa"/>
  </r>
  <r>
    <n v="14"/>
    <x v="1"/>
    <x v="0"/>
    <x v="1"/>
    <x v="18"/>
    <s v="Rural"/>
    <s v="Femenino"/>
    <x v="0"/>
    <x v="0"/>
    <x v="0"/>
    <s v="PADD 2023 Y 2024"/>
    <s v="64873-B Santa Elisa"/>
  </r>
  <r>
    <n v="15"/>
    <x v="1"/>
    <x v="0"/>
    <x v="1"/>
    <x v="18"/>
    <s v="Rural"/>
    <s v="Femenino"/>
    <x v="0"/>
    <x v="0"/>
    <x v="0"/>
    <s v="PADD 2023 Y 2024"/>
    <s v="64873-B Santa Elisa"/>
  </r>
  <r>
    <n v="1"/>
    <x v="1"/>
    <x v="0"/>
    <x v="4"/>
    <x v="19"/>
    <s v="Rural"/>
    <s v="Masculino"/>
    <x v="0"/>
    <x v="0"/>
    <x v="0"/>
    <s v="SOLO 2024"/>
    <s v="64545-B Puerto Consuelo"/>
  </r>
  <r>
    <n v="2"/>
    <x v="1"/>
    <x v="0"/>
    <x v="4"/>
    <x v="19"/>
    <s v="Rural"/>
    <s v="Masculino"/>
    <x v="0"/>
    <x v="0"/>
    <x v="0"/>
    <s v="SOLO 2024"/>
    <s v="64545-B Puerto Consuelo"/>
  </r>
  <r>
    <n v="3"/>
    <x v="1"/>
    <x v="0"/>
    <x v="0"/>
    <x v="19"/>
    <s v="Rural"/>
    <s v="Femenino"/>
    <x v="0"/>
    <x v="0"/>
    <x v="0"/>
    <s v="SOLO 2024"/>
    <s v="64545-B Puerto Consuelo"/>
  </r>
  <r>
    <n v="4"/>
    <x v="1"/>
    <x v="0"/>
    <x v="1"/>
    <x v="19"/>
    <s v="Rural"/>
    <s v="Femenino"/>
    <x v="0"/>
    <x v="0"/>
    <x v="0"/>
    <s v="SOLO 2024"/>
    <s v="64545-B Puerto Consuelo"/>
  </r>
  <r>
    <n v="1"/>
    <x v="1"/>
    <x v="0"/>
    <x v="4"/>
    <x v="20"/>
    <s v="Rural"/>
    <s v="Femenino"/>
    <x v="0"/>
    <x v="0"/>
    <x v="0"/>
    <s v="SOLO 2024"/>
    <s v="64949 Isla Primavera"/>
  </r>
  <r>
    <n v="3"/>
    <x v="1"/>
    <x v="0"/>
    <x v="1"/>
    <x v="20"/>
    <s v="Rural"/>
    <s v="Masculino"/>
    <x v="1"/>
    <x v="0"/>
    <x v="0"/>
    <s v="SOLO 2024"/>
    <s v="64949 Isla Primavera"/>
  </r>
  <r>
    <n v="1"/>
    <x v="1"/>
    <x v="0"/>
    <x v="4"/>
    <x v="21"/>
    <s v="Rural"/>
    <s v="Masculino"/>
    <x v="0"/>
    <x v="0"/>
    <x v="0"/>
    <s v="PADD 2023 Y 2024"/>
    <s v="64871-B Santa Martha"/>
  </r>
  <r>
    <n v="2"/>
    <x v="1"/>
    <x v="0"/>
    <x v="4"/>
    <x v="21"/>
    <s v="Rural"/>
    <s v="Masculino"/>
    <x v="0"/>
    <x v="0"/>
    <x v="0"/>
    <s v="PADD 2023 Y 2024"/>
    <s v="64871-B Santa Martha"/>
  </r>
  <r>
    <n v="3"/>
    <x v="1"/>
    <x v="0"/>
    <x v="4"/>
    <x v="21"/>
    <s v="Rural"/>
    <s v="Masculino"/>
    <x v="0"/>
    <x v="0"/>
    <x v="0"/>
    <s v="PADD 2023 Y 2024"/>
    <s v="64871-B Santa Martha"/>
  </r>
  <r>
    <n v="4"/>
    <x v="1"/>
    <x v="0"/>
    <x v="4"/>
    <x v="21"/>
    <s v="Rural"/>
    <s v="Masculino"/>
    <x v="0"/>
    <x v="0"/>
    <x v="0"/>
    <s v="PADD 2023 Y 2024"/>
    <s v="64871-B Santa Martha"/>
  </r>
  <r>
    <n v="5"/>
    <x v="1"/>
    <x v="0"/>
    <x v="4"/>
    <x v="21"/>
    <s v="Rural"/>
    <s v="Masculino"/>
    <x v="0"/>
    <x v="0"/>
    <x v="0"/>
    <s v="PADD 2023 Y 2024"/>
    <s v="64871-B Santa Martha"/>
  </r>
  <r>
    <n v="6"/>
    <x v="1"/>
    <x v="0"/>
    <x v="4"/>
    <x v="21"/>
    <s v="Rural"/>
    <s v="Femenino"/>
    <x v="0"/>
    <x v="0"/>
    <x v="0"/>
    <s v="PADD 2023 Y 2024"/>
    <s v="64871-B Santa Martha"/>
  </r>
  <r>
    <n v="7"/>
    <x v="1"/>
    <x v="0"/>
    <x v="4"/>
    <x v="21"/>
    <s v="Rural"/>
    <s v="Femenino"/>
    <x v="0"/>
    <x v="0"/>
    <x v="0"/>
    <s v="PADD 2023 Y 2024"/>
    <s v="64871-B Santa Martha"/>
  </r>
  <r>
    <n v="8"/>
    <x v="1"/>
    <x v="0"/>
    <x v="4"/>
    <x v="21"/>
    <s v="Rural"/>
    <s v="Femenino"/>
    <x v="0"/>
    <x v="0"/>
    <x v="0"/>
    <s v="PADD 2023 Y 2024"/>
    <s v="64871-B Santa Martha"/>
  </r>
  <r>
    <n v="9"/>
    <x v="1"/>
    <x v="0"/>
    <x v="4"/>
    <x v="21"/>
    <s v="Rural"/>
    <s v="Femenino"/>
    <x v="0"/>
    <x v="0"/>
    <x v="0"/>
    <s v="PADD 2023 Y 2024"/>
    <s v="64871-B Santa Martha"/>
  </r>
  <r>
    <n v="10"/>
    <x v="1"/>
    <x v="0"/>
    <x v="0"/>
    <x v="21"/>
    <s v="Rural"/>
    <s v="Masculino"/>
    <x v="0"/>
    <x v="0"/>
    <x v="1"/>
    <s v="PADD 2023 Y 2024"/>
    <s v="64871-B Santa Martha"/>
  </r>
  <r>
    <n v="11"/>
    <x v="1"/>
    <x v="0"/>
    <x v="0"/>
    <x v="21"/>
    <s v="Rural"/>
    <s v="Masculino"/>
    <x v="0"/>
    <x v="0"/>
    <x v="1"/>
    <s v="PADD 2023 Y 2024"/>
    <s v="64871-B Santa Martha"/>
  </r>
  <r>
    <n v="12"/>
    <x v="1"/>
    <x v="0"/>
    <x v="0"/>
    <x v="21"/>
    <s v="Rural"/>
    <s v="Masculino"/>
    <x v="0"/>
    <x v="0"/>
    <x v="1"/>
    <s v="PADD 2023 Y 2024"/>
    <s v="64871-B Santa Martha"/>
  </r>
  <r>
    <n v="13"/>
    <x v="1"/>
    <x v="0"/>
    <x v="0"/>
    <x v="21"/>
    <s v="Rural"/>
    <s v="Masculino"/>
    <x v="0"/>
    <x v="0"/>
    <x v="1"/>
    <s v="PADD 2023 Y 2024"/>
    <s v="64871-B Santa Martha"/>
  </r>
  <r>
    <n v="14"/>
    <x v="1"/>
    <x v="0"/>
    <x v="0"/>
    <x v="21"/>
    <s v="Rural"/>
    <s v="Masculino"/>
    <x v="0"/>
    <x v="0"/>
    <x v="1"/>
    <s v="PADD 2023 Y 2024"/>
    <s v="64871-B Santa Martha"/>
  </r>
  <r>
    <n v="15"/>
    <x v="1"/>
    <x v="0"/>
    <x v="0"/>
    <x v="21"/>
    <s v="Rural"/>
    <s v="Masculino"/>
    <x v="0"/>
    <x v="0"/>
    <x v="1"/>
    <s v="PADD 2023 Y 2024"/>
    <s v="64871-B Santa Martha"/>
  </r>
  <r>
    <n v="16"/>
    <x v="1"/>
    <x v="0"/>
    <x v="0"/>
    <x v="21"/>
    <s v="Rural"/>
    <s v="Femenino"/>
    <x v="0"/>
    <x v="0"/>
    <x v="1"/>
    <s v="PADD 2023 Y 2024"/>
    <s v="64871-B Santa Martha"/>
  </r>
  <r>
    <n v="17"/>
    <x v="1"/>
    <x v="0"/>
    <x v="0"/>
    <x v="21"/>
    <s v="Rural"/>
    <s v="Femenino"/>
    <x v="0"/>
    <x v="0"/>
    <x v="1"/>
    <s v="PADD 2023 Y 2024"/>
    <s v="64871-B Santa Martha"/>
  </r>
  <r>
    <n v="18"/>
    <x v="1"/>
    <x v="0"/>
    <x v="0"/>
    <x v="21"/>
    <s v="Rural"/>
    <s v="Femenino"/>
    <x v="0"/>
    <x v="0"/>
    <x v="1"/>
    <s v="PADD 2023 Y 2024"/>
    <s v="64871-B Santa Martha"/>
  </r>
  <r>
    <n v="19"/>
    <x v="1"/>
    <x v="0"/>
    <x v="0"/>
    <x v="21"/>
    <s v="Rural"/>
    <s v="Femenino"/>
    <x v="0"/>
    <x v="0"/>
    <x v="1"/>
    <s v="PADD 2023 Y 2024"/>
    <s v="64871-B Santa Martha"/>
  </r>
  <r>
    <n v="20"/>
    <x v="1"/>
    <x v="0"/>
    <x v="1"/>
    <x v="21"/>
    <s v="Rural"/>
    <s v="Masculino"/>
    <x v="0"/>
    <x v="0"/>
    <x v="0"/>
    <s v="PADD 2023 Y 2024"/>
    <s v="64871-B Santa Martha"/>
  </r>
  <r>
    <n v="21"/>
    <x v="1"/>
    <x v="0"/>
    <x v="1"/>
    <x v="21"/>
    <s v="Rural"/>
    <s v="Masculino"/>
    <x v="0"/>
    <x v="0"/>
    <x v="0"/>
    <s v="PADD 2023 Y 2024"/>
    <s v="64871-B Santa Martha"/>
  </r>
  <r>
    <n v="22"/>
    <x v="1"/>
    <x v="0"/>
    <x v="1"/>
    <x v="21"/>
    <s v="Rural"/>
    <s v="Masculino"/>
    <x v="0"/>
    <x v="0"/>
    <x v="0"/>
    <s v="PADD 2023 Y 2024"/>
    <s v="64871-B Santa Martha"/>
  </r>
  <r>
    <n v="23"/>
    <x v="1"/>
    <x v="0"/>
    <x v="1"/>
    <x v="21"/>
    <s v="Rural"/>
    <s v="Masculino"/>
    <x v="0"/>
    <x v="0"/>
    <x v="0"/>
    <s v="PADD 2023 Y 2024"/>
    <s v="64871-B Santa Martha"/>
  </r>
  <r>
    <n v="24"/>
    <x v="1"/>
    <x v="0"/>
    <x v="1"/>
    <x v="21"/>
    <s v="Rural"/>
    <s v="Femenino"/>
    <x v="0"/>
    <x v="0"/>
    <x v="0"/>
    <s v="PADD 2023 Y 2024"/>
    <s v="64871-B Santa Martha"/>
  </r>
  <r>
    <n v="25"/>
    <x v="1"/>
    <x v="0"/>
    <x v="1"/>
    <x v="21"/>
    <s v="Rural"/>
    <s v="Femenino"/>
    <x v="0"/>
    <x v="0"/>
    <x v="0"/>
    <s v="PADD 2023 Y 2024"/>
    <s v="64871-B Santa Martha"/>
  </r>
  <r>
    <n v="26"/>
    <x v="1"/>
    <x v="0"/>
    <x v="1"/>
    <x v="21"/>
    <s v="Rural"/>
    <s v="Femenino"/>
    <x v="0"/>
    <x v="0"/>
    <x v="0"/>
    <s v="PADD 2023 Y 2024"/>
    <s v="64871-B Santa Martha"/>
  </r>
  <r>
    <n v="27"/>
    <x v="1"/>
    <x v="0"/>
    <x v="1"/>
    <x v="21"/>
    <s v="Rural"/>
    <s v="Femenino"/>
    <x v="0"/>
    <x v="0"/>
    <x v="0"/>
    <s v="PADD 2023 Y 2024"/>
    <s v="64871-B Santa Martha"/>
  </r>
  <r>
    <n v="28"/>
    <x v="1"/>
    <x v="0"/>
    <x v="1"/>
    <x v="21"/>
    <s v="Rural"/>
    <s v="Femenino"/>
    <x v="0"/>
    <x v="0"/>
    <x v="0"/>
    <s v="PADD 2023 Y 2024"/>
    <s v="64871-B Santa Martha"/>
  </r>
  <r>
    <n v="29"/>
    <x v="1"/>
    <x v="0"/>
    <x v="1"/>
    <x v="21"/>
    <s v="Rural"/>
    <s v="Femenino"/>
    <x v="0"/>
    <x v="0"/>
    <x v="0"/>
    <s v="PADD 2023 Y 2024"/>
    <s v="64871-B Santa Martha"/>
  </r>
  <r>
    <n v="1"/>
    <x v="1"/>
    <x v="0"/>
    <x v="4"/>
    <x v="22"/>
    <s v="Rural"/>
    <s v="Masculino"/>
    <x v="0"/>
    <x v="0"/>
    <x v="3"/>
    <s v="PADD 2023 Y 2024"/>
    <s v="64028 Mazaray"/>
  </r>
  <r>
    <n v="2"/>
    <x v="1"/>
    <x v="0"/>
    <x v="4"/>
    <x v="22"/>
    <s v="Rural"/>
    <s v="Femenino"/>
    <x v="0"/>
    <x v="0"/>
    <x v="3"/>
    <s v="PADD 2023 Y 2024"/>
    <s v="64028 Mazaray"/>
  </r>
  <r>
    <n v="3"/>
    <x v="1"/>
    <x v="0"/>
    <x v="4"/>
    <x v="22"/>
    <s v="Rural"/>
    <s v="Femenino"/>
    <x v="0"/>
    <x v="0"/>
    <x v="3"/>
    <s v="PADD 2023 Y 2024"/>
    <s v="64028 Mazaray"/>
  </r>
  <r>
    <n v="4"/>
    <x v="1"/>
    <x v="0"/>
    <x v="0"/>
    <x v="22"/>
    <s v="Rural"/>
    <s v="Masculino"/>
    <x v="0"/>
    <x v="0"/>
    <x v="3"/>
    <s v="PADD 2023 Y 2024"/>
    <s v="64028 Mazaray"/>
  </r>
  <r>
    <n v="5"/>
    <x v="1"/>
    <x v="0"/>
    <x v="0"/>
    <x v="22"/>
    <s v="Rural"/>
    <s v="Masculino"/>
    <x v="0"/>
    <x v="0"/>
    <x v="3"/>
    <s v="PADD 2023 Y 2024"/>
    <s v="64028 Mazaray"/>
  </r>
  <r>
    <n v="6"/>
    <x v="1"/>
    <x v="0"/>
    <x v="0"/>
    <x v="22"/>
    <s v="Rural"/>
    <s v="Femenino"/>
    <x v="1"/>
    <x v="0"/>
    <x v="3"/>
    <s v="PADD 2023 Y 2024"/>
    <s v="64028 Mazaray"/>
  </r>
  <r>
    <n v="7"/>
    <x v="1"/>
    <x v="0"/>
    <x v="0"/>
    <x v="22"/>
    <s v="Rural"/>
    <s v="Femenino"/>
    <x v="1"/>
    <x v="0"/>
    <x v="3"/>
    <s v="PADD 2023 Y 2024"/>
    <s v="64028 Mazaray"/>
  </r>
  <r>
    <n v="8"/>
    <x v="1"/>
    <x v="0"/>
    <x v="1"/>
    <x v="22"/>
    <s v="Rural"/>
    <s v="Masculino"/>
    <x v="1"/>
    <x v="0"/>
    <x v="2"/>
    <s v="PADD 2023 Y 2024"/>
    <s v="64028 Mazaray"/>
  </r>
  <r>
    <n v="9"/>
    <x v="1"/>
    <x v="0"/>
    <x v="1"/>
    <x v="22"/>
    <s v="Rural"/>
    <s v="Masculino"/>
    <x v="1"/>
    <x v="0"/>
    <x v="2"/>
    <s v="PADD 2023 Y 2024"/>
    <s v="64028 Mazaray"/>
  </r>
  <r>
    <n v="10"/>
    <x v="1"/>
    <x v="0"/>
    <x v="1"/>
    <x v="22"/>
    <s v="Rural"/>
    <s v="Femenino"/>
    <x v="1"/>
    <x v="0"/>
    <x v="2"/>
    <s v="PADD 2023 Y 2024"/>
    <s v="64028 Mazaray"/>
  </r>
  <r>
    <n v="11"/>
    <x v="1"/>
    <x v="0"/>
    <x v="1"/>
    <x v="22"/>
    <s v="Rural"/>
    <s v="Femenino"/>
    <x v="0"/>
    <x v="0"/>
    <x v="2"/>
    <s v="PADD 2023 Y 2024"/>
    <s v="64028 Mazaray"/>
  </r>
  <r>
    <n v="1"/>
    <x v="2"/>
    <x v="1"/>
    <x v="2"/>
    <x v="23"/>
    <s v="Rural"/>
    <s v="Femenino"/>
    <x v="0"/>
    <x v="0"/>
    <x v="1"/>
    <s v="PADD 2023 Y 2024"/>
    <s v="Nuestra Sra Candelaria"/>
  </r>
  <r>
    <n v="5"/>
    <x v="2"/>
    <x v="1"/>
    <x v="2"/>
    <x v="23"/>
    <s v="Rural"/>
    <s v="Femenino"/>
    <x v="0"/>
    <x v="0"/>
    <x v="1"/>
    <s v="PADD 2023 Y 2024"/>
    <s v="Nuestra Sra Candelaria"/>
  </r>
  <r>
    <n v="6"/>
    <x v="2"/>
    <x v="1"/>
    <x v="2"/>
    <x v="23"/>
    <s v="Rural"/>
    <s v="Masculino"/>
    <x v="0"/>
    <x v="0"/>
    <x v="1"/>
    <s v="PADD 2023 Y 2024"/>
    <s v="Nuestra Sra Candelaria"/>
  </r>
  <r>
    <n v="7"/>
    <x v="2"/>
    <x v="1"/>
    <x v="2"/>
    <x v="23"/>
    <s v="Rural"/>
    <s v="Femenino"/>
    <x v="0"/>
    <x v="0"/>
    <x v="1"/>
    <s v="PADD 2023 Y 2024"/>
    <s v="Nuestra Sra Candelaria"/>
  </r>
  <r>
    <n v="8"/>
    <x v="2"/>
    <x v="1"/>
    <x v="2"/>
    <x v="23"/>
    <s v="Rural"/>
    <s v="Femenino"/>
    <x v="0"/>
    <x v="0"/>
    <x v="1"/>
    <s v="PADD 2023 Y 2024"/>
    <s v="Nuestra Sra Candelaria"/>
  </r>
  <r>
    <n v="9"/>
    <x v="2"/>
    <x v="1"/>
    <x v="2"/>
    <x v="23"/>
    <s v="Rural"/>
    <s v="Masculino"/>
    <x v="0"/>
    <x v="0"/>
    <x v="1"/>
    <s v="PADD 2023 Y 2024"/>
    <s v="Nuestra Sra Candelaria"/>
  </r>
  <r>
    <n v="10"/>
    <x v="2"/>
    <x v="1"/>
    <x v="2"/>
    <x v="23"/>
    <s v="Rural"/>
    <s v="Femenino"/>
    <x v="0"/>
    <x v="0"/>
    <x v="1"/>
    <s v="PADD 2023 Y 2024"/>
    <s v="Nuestra Sra Candelaria"/>
  </r>
  <r>
    <n v="11"/>
    <x v="2"/>
    <x v="1"/>
    <x v="2"/>
    <x v="23"/>
    <s v="Rural"/>
    <s v="Masculino"/>
    <x v="0"/>
    <x v="0"/>
    <x v="1"/>
    <s v="PADD 2023 Y 2024"/>
    <s v="Nuestra Sra Candelaria"/>
  </r>
  <r>
    <n v="12"/>
    <x v="2"/>
    <x v="1"/>
    <x v="2"/>
    <x v="23"/>
    <s v="Rural"/>
    <s v="Masculino"/>
    <x v="0"/>
    <x v="0"/>
    <x v="1"/>
    <s v="PADD 2023 Y 2024"/>
    <s v="Nuestra Sra Candelaria"/>
  </r>
  <r>
    <n v="13"/>
    <x v="2"/>
    <x v="1"/>
    <x v="2"/>
    <x v="23"/>
    <s v="Rural"/>
    <s v="Femenino"/>
    <x v="0"/>
    <x v="0"/>
    <x v="1"/>
    <s v="PADD 2023 Y 2024"/>
    <s v="Nuestra Sra Candelaria"/>
  </r>
  <r>
    <n v="14"/>
    <x v="2"/>
    <x v="1"/>
    <x v="2"/>
    <x v="23"/>
    <s v="Rural"/>
    <s v="Masculino"/>
    <x v="1"/>
    <x v="0"/>
    <x v="1"/>
    <s v="PADD 2023 Y 2024"/>
    <s v="Nuestra Sra Candelaria"/>
  </r>
  <r>
    <n v="15"/>
    <x v="2"/>
    <x v="1"/>
    <x v="2"/>
    <x v="23"/>
    <s v="Rural"/>
    <s v="Masculino"/>
    <x v="0"/>
    <x v="0"/>
    <x v="1"/>
    <s v="PADD 2023 Y 2024"/>
    <s v="Nuestra Sra Candelaria"/>
  </r>
  <r>
    <n v="16"/>
    <x v="2"/>
    <x v="1"/>
    <x v="2"/>
    <x v="23"/>
    <s v="Rural"/>
    <s v="Masculino"/>
    <x v="0"/>
    <x v="0"/>
    <x v="1"/>
    <s v="PADD 2023 Y 2024"/>
    <s v="Nuestra Sra Candelaria"/>
  </r>
  <r>
    <n v="17"/>
    <x v="2"/>
    <x v="1"/>
    <x v="2"/>
    <x v="23"/>
    <s v="Rural"/>
    <s v="Femenino"/>
    <x v="0"/>
    <x v="0"/>
    <x v="1"/>
    <s v="PADD 2023 Y 2024"/>
    <s v="Nuestra Sra Candelaria"/>
  </r>
  <r>
    <n v="18"/>
    <x v="2"/>
    <x v="1"/>
    <x v="2"/>
    <x v="23"/>
    <s v="Rural"/>
    <s v="Masculino"/>
    <x v="0"/>
    <x v="0"/>
    <x v="1"/>
    <s v="PADD 2023 Y 2024"/>
    <s v="Nuestra Sra Candelaria"/>
  </r>
  <r>
    <n v="19"/>
    <x v="2"/>
    <x v="1"/>
    <x v="2"/>
    <x v="23"/>
    <s v="Rural"/>
    <s v="Masculino"/>
    <x v="0"/>
    <x v="0"/>
    <x v="1"/>
    <s v="PADD 2023 Y 2024"/>
    <s v="Nuestra Sra Candelaria"/>
  </r>
  <r>
    <n v="20"/>
    <x v="2"/>
    <x v="1"/>
    <x v="2"/>
    <x v="23"/>
    <s v="Rural"/>
    <s v="Femenino"/>
    <x v="0"/>
    <x v="0"/>
    <x v="1"/>
    <s v="PADD 2023 Y 2024"/>
    <s v="Nuestra Sra Candelaria"/>
  </r>
  <r>
    <n v="21"/>
    <x v="2"/>
    <x v="1"/>
    <x v="2"/>
    <x v="23"/>
    <s v="Rural"/>
    <s v="Masculino"/>
    <x v="0"/>
    <x v="0"/>
    <x v="1"/>
    <s v="PADD 2023 Y 2024"/>
    <s v="Nuestra Sra Candelaria"/>
  </r>
  <r>
    <n v="22"/>
    <x v="2"/>
    <x v="1"/>
    <x v="2"/>
    <x v="23"/>
    <s v="Rural"/>
    <s v="Femenino"/>
    <x v="0"/>
    <x v="0"/>
    <x v="1"/>
    <s v="PADD 2023 Y 2024"/>
    <s v="Nuestra Sra Candelaria"/>
  </r>
  <r>
    <n v="23"/>
    <x v="2"/>
    <x v="1"/>
    <x v="2"/>
    <x v="23"/>
    <s v="Rural"/>
    <s v="Femenino"/>
    <x v="1"/>
    <x v="0"/>
    <x v="1"/>
    <s v="PADD 2023 Y 2024"/>
    <s v="Nuestra Sra Candelaria"/>
  </r>
  <r>
    <n v="24"/>
    <x v="2"/>
    <x v="1"/>
    <x v="2"/>
    <x v="23"/>
    <s v="Rural"/>
    <s v="Femenino"/>
    <x v="0"/>
    <x v="0"/>
    <x v="1"/>
    <s v="PADD 2023 Y 2024"/>
    <s v="Nuestra Sra Candelaria"/>
  </r>
  <r>
    <n v="25"/>
    <x v="2"/>
    <x v="1"/>
    <x v="2"/>
    <x v="23"/>
    <s v="Rural"/>
    <s v="Femenino"/>
    <x v="0"/>
    <x v="0"/>
    <x v="1"/>
    <s v="PADD 2023 Y 2024"/>
    <s v="Nuestra Sra Candelaria"/>
  </r>
  <r>
    <n v="26"/>
    <x v="2"/>
    <x v="1"/>
    <x v="2"/>
    <x v="23"/>
    <s v="Rural"/>
    <s v="Femenino"/>
    <x v="0"/>
    <x v="0"/>
    <x v="1"/>
    <s v="PADD 2023 Y 2024"/>
    <s v="Nuestra Sra Candelaria"/>
  </r>
  <r>
    <n v="27"/>
    <x v="2"/>
    <x v="1"/>
    <x v="2"/>
    <x v="23"/>
    <s v="Rural"/>
    <s v="Femenino"/>
    <x v="0"/>
    <x v="0"/>
    <x v="1"/>
    <s v="PADD 2023 Y 2024"/>
    <s v="Nuestra Sra Candelaria"/>
  </r>
  <r>
    <n v="28"/>
    <x v="2"/>
    <x v="1"/>
    <x v="2"/>
    <x v="23"/>
    <s v="Rural"/>
    <s v="Femenino"/>
    <x v="1"/>
    <x v="0"/>
    <x v="1"/>
    <s v="PADD 2023 Y 2024"/>
    <s v="Nuestra Sra Candelaria"/>
  </r>
  <r>
    <n v="29"/>
    <x v="2"/>
    <x v="1"/>
    <x v="2"/>
    <x v="23"/>
    <s v="Rural"/>
    <s v="Femenino"/>
    <x v="1"/>
    <x v="0"/>
    <x v="1"/>
    <s v="PADD 2023 Y 2024"/>
    <s v="Nuestra Sra Candelaria"/>
  </r>
  <r>
    <n v="30"/>
    <x v="2"/>
    <x v="1"/>
    <x v="2"/>
    <x v="23"/>
    <s v="Rural"/>
    <s v="Masculino"/>
    <x v="0"/>
    <x v="0"/>
    <x v="1"/>
    <s v="PADD 2023 Y 2024"/>
    <s v="Nuestra Sra Candelaria"/>
  </r>
  <r>
    <n v="31"/>
    <x v="2"/>
    <x v="1"/>
    <x v="2"/>
    <x v="23"/>
    <s v="Rural"/>
    <s v="Femenino"/>
    <x v="0"/>
    <x v="0"/>
    <x v="1"/>
    <s v="PADD 2023 Y 2024"/>
    <s v="Nuestra Sra Candelaria"/>
  </r>
  <r>
    <n v="32"/>
    <x v="2"/>
    <x v="1"/>
    <x v="2"/>
    <x v="23"/>
    <s v="Rural"/>
    <s v="Femenino"/>
    <x v="0"/>
    <x v="0"/>
    <x v="1"/>
    <s v="PADD 2023 Y 2024"/>
    <s v="Nuestra Sra Candelaria"/>
  </r>
  <r>
    <n v="33"/>
    <x v="2"/>
    <x v="1"/>
    <x v="2"/>
    <x v="23"/>
    <s v="Rural"/>
    <s v="Femenino"/>
    <x v="0"/>
    <x v="0"/>
    <x v="1"/>
    <s v="PADD 2023 Y 2024"/>
    <s v="Nuestra Sra Candelaria"/>
  </r>
  <r>
    <n v="34"/>
    <x v="2"/>
    <x v="1"/>
    <x v="2"/>
    <x v="23"/>
    <s v="Rural"/>
    <s v="Femenino"/>
    <x v="0"/>
    <x v="0"/>
    <x v="1"/>
    <s v="PADD 2023 Y 2024"/>
    <s v="Nuestra Sra Candelaria"/>
  </r>
  <r>
    <n v="36"/>
    <x v="2"/>
    <x v="1"/>
    <x v="2"/>
    <x v="23"/>
    <s v="Rural"/>
    <s v="Femenino"/>
    <x v="1"/>
    <x v="0"/>
    <x v="1"/>
    <s v="PADD 2023 Y 2024"/>
    <s v="Nuestra Sra Candelaria"/>
  </r>
  <r>
    <n v="37"/>
    <x v="2"/>
    <x v="1"/>
    <x v="2"/>
    <x v="23"/>
    <s v="Rural"/>
    <s v="Femenino"/>
    <x v="1"/>
    <x v="0"/>
    <x v="1"/>
    <s v="PADD 2023 Y 2024"/>
    <s v="Nuestra Sra Candelaria"/>
  </r>
  <r>
    <n v="38"/>
    <x v="2"/>
    <x v="1"/>
    <x v="2"/>
    <x v="23"/>
    <s v="Rural"/>
    <s v="Femenino"/>
    <x v="0"/>
    <x v="0"/>
    <x v="1"/>
    <s v="PADD 2023 Y 2024"/>
    <s v="Nuestra Sra Candelaria"/>
  </r>
  <r>
    <n v="39"/>
    <x v="2"/>
    <x v="1"/>
    <x v="2"/>
    <x v="23"/>
    <s v="Rural"/>
    <s v="Femenino"/>
    <x v="1"/>
    <x v="0"/>
    <x v="1"/>
    <s v="PADD 2023 Y 2024"/>
    <s v="Nuestra Sra Candelaria"/>
  </r>
  <r>
    <n v="40"/>
    <x v="2"/>
    <x v="1"/>
    <x v="2"/>
    <x v="23"/>
    <s v="Rural"/>
    <s v="Femenino"/>
    <x v="0"/>
    <x v="0"/>
    <x v="1"/>
    <s v="PADD 2023 Y 2024"/>
    <s v="Nuestra Sra Candelaria"/>
  </r>
  <r>
    <n v="41"/>
    <x v="2"/>
    <x v="1"/>
    <x v="2"/>
    <x v="23"/>
    <s v="Rural"/>
    <s v="Femenino"/>
    <x v="1"/>
    <x v="0"/>
    <x v="1"/>
    <s v="PADD 2023 Y 2024"/>
    <s v="Nuestra Sra Candelaria"/>
  </r>
  <r>
    <n v="42"/>
    <x v="2"/>
    <x v="1"/>
    <x v="2"/>
    <x v="23"/>
    <s v="Rural"/>
    <s v="Femenino"/>
    <x v="0"/>
    <x v="0"/>
    <x v="1"/>
    <s v="PADD 2023 Y 2024"/>
    <s v="Nuestra Sra Candelaria"/>
  </r>
  <r>
    <n v="43"/>
    <x v="2"/>
    <x v="1"/>
    <x v="2"/>
    <x v="23"/>
    <s v="Rural"/>
    <s v="Femenino"/>
    <x v="0"/>
    <x v="0"/>
    <x v="1"/>
    <s v="PADD 2023 Y 2024"/>
    <s v="Nuestra Sra Candelaria"/>
  </r>
  <r>
    <n v="1"/>
    <x v="2"/>
    <x v="1"/>
    <x v="3"/>
    <x v="23"/>
    <s v="Rural"/>
    <s v="Femenino"/>
    <x v="0"/>
    <x v="0"/>
    <x v="1"/>
    <s v="PADD 2023 Y 2024"/>
    <s v="Nuestra Sra Candelaria"/>
  </r>
  <r>
    <n v="2"/>
    <x v="2"/>
    <x v="1"/>
    <x v="3"/>
    <x v="23"/>
    <s v="Rural"/>
    <s v="Femenino"/>
    <x v="1"/>
    <x v="0"/>
    <x v="1"/>
    <s v="PADD 2023 Y 2024"/>
    <s v="Nuestra Sra Candelaria"/>
  </r>
  <r>
    <n v="3"/>
    <x v="2"/>
    <x v="1"/>
    <x v="3"/>
    <x v="23"/>
    <s v="Rural"/>
    <s v="Masculino"/>
    <x v="0"/>
    <x v="0"/>
    <x v="1"/>
    <s v="PADD 2023 Y 2024"/>
    <s v="Nuestra Sra Candelaria"/>
  </r>
  <r>
    <n v="4"/>
    <x v="2"/>
    <x v="1"/>
    <x v="3"/>
    <x v="23"/>
    <s v="Rural"/>
    <s v="Masculino"/>
    <x v="0"/>
    <x v="0"/>
    <x v="1"/>
    <s v="PADD 2023 Y 2024"/>
    <s v="Nuestra Sra Candelaria"/>
  </r>
  <r>
    <n v="5"/>
    <x v="2"/>
    <x v="1"/>
    <x v="3"/>
    <x v="23"/>
    <s v="Rural"/>
    <s v="Masculino"/>
    <x v="0"/>
    <x v="0"/>
    <x v="1"/>
    <s v="PADD 2023 Y 2024"/>
    <s v="Nuestra Sra Candelaria"/>
  </r>
  <r>
    <n v="6"/>
    <x v="2"/>
    <x v="1"/>
    <x v="3"/>
    <x v="23"/>
    <s v="Rural"/>
    <s v="Masculino"/>
    <x v="0"/>
    <x v="0"/>
    <x v="1"/>
    <s v="PADD 2023 Y 2024"/>
    <s v="Nuestra Sra Candelaria"/>
  </r>
  <r>
    <n v="7"/>
    <x v="2"/>
    <x v="1"/>
    <x v="3"/>
    <x v="23"/>
    <s v="Rural"/>
    <s v="Masculino"/>
    <x v="0"/>
    <x v="0"/>
    <x v="1"/>
    <s v="PADD 2023 Y 2024"/>
    <s v="Nuestra Sra Candelaria"/>
  </r>
  <r>
    <n v="8"/>
    <x v="2"/>
    <x v="1"/>
    <x v="3"/>
    <x v="23"/>
    <s v="Rural"/>
    <s v="Femenino"/>
    <x v="0"/>
    <x v="0"/>
    <x v="1"/>
    <s v="PADD 2023 Y 2024"/>
    <s v="Nuestra Sra Candelaria"/>
  </r>
  <r>
    <n v="9"/>
    <x v="2"/>
    <x v="1"/>
    <x v="3"/>
    <x v="23"/>
    <s v="Rural"/>
    <s v="Femenino"/>
    <x v="0"/>
    <x v="0"/>
    <x v="1"/>
    <s v="PADD 2023 Y 2024"/>
    <s v="Nuestra Sra Candelaria"/>
  </r>
  <r>
    <n v="10"/>
    <x v="2"/>
    <x v="1"/>
    <x v="3"/>
    <x v="23"/>
    <s v="Rural"/>
    <s v="Masculino"/>
    <x v="0"/>
    <x v="0"/>
    <x v="1"/>
    <s v="PADD 2023 Y 2024"/>
    <s v="Nuestra Sra Candelaria"/>
  </r>
  <r>
    <n v="13"/>
    <x v="2"/>
    <x v="1"/>
    <x v="3"/>
    <x v="23"/>
    <s v="Rural"/>
    <s v="Femenino"/>
    <x v="0"/>
    <x v="0"/>
    <x v="1"/>
    <s v="PADD 2023 Y 2024"/>
    <s v="Nuestra Sra Candelaria"/>
  </r>
  <r>
    <n v="14"/>
    <x v="2"/>
    <x v="1"/>
    <x v="3"/>
    <x v="23"/>
    <s v="Rural"/>
    <s v="Femenino"/>
    <x v="0"/>
    <x v="0"/>
    <x v="1"/>
    <s v="PADD 2023 Y 2024"/>
    <s v="Nuestra Sra Candelaria"/>
  </r>
  <r>
    <n v="17"/>
    <x v="2"/>
    <x v="1"/>
    <x v="3"/>
    <x v="23"/>
    <s v="Rural"/>
    <s v="Femenino"/>
    <x v="0"/>
    <x v="0"/>
    <x v="1"/>
    <s v="PADD 2023 Y 2024"/>
    <s v="Nuestra Sra Candelaria"/>
  </r>
  <r>
    <n v="18"/>
    <x v="2"/>
    <x v="1"/>
    <x v="3"/>
    <x v="23"/>
    <s v="Rural"/>
    <s v="Masculino"/>
    <x v="0"/>
    <x v="0"/>
    <x v="1"/>
    <s v="PADD 2023 Y 2024"/>
    <s v="Nuestra Sra Candelaria"/>
  </r>
  <r>
    <n v="20"/>
    <x v="2"/>
    <x v="1"/>
    <x v="3"/>
    <x v="23"/>
    <s v="Rural"/>
    <s v="Femenino"/>
    <x v="0"/>
    <x v="0"/>
    <x v="1"/>
    <s v="PADD 2023 Y 2024"/>
    <s v="Nuestra Sra Candelaria"/>
  </r>
  <r>
    <n v="21"/>
    <x v="2"/>
    <x v="1"/>
    <x v="3"/>
    <x v="23"/>
    <s v="Rural"/>
    <s v="Masculino"/>
    <x v="0"/>
    <x v="0"/>
    <x v="1"/>
    <s v="PADD 2023 Y 2024"/>
    <s v="Nuestra Sra Candelaria"/>
  </r>
  <r>
    <n v="23"/>
    <x v="2"/>
    <x v="1"/>
    <x v="3"/>
    <x v="23"/>
    <s v="Rural"/>
    <s v="Masculino"/>
    <x v="0"/>
    <x v="0"/>
    <x v="1"/>
    <s v="PADD 2023 Y 2024"/>
    <s v="Nuestra Sra Candelaria"/>
  </r>
  <r>
    <n v="24"/>
    <x v="2"/>
    <x v="1"/>
    <x v="3"/>
    <x v="23"/>
    <s v="Rural"/>
    <s v="Femenino"/>
    <x v="1"/>
    <x v="0"/>
    <x v="1"/>
    <s v="PADD 2023 Y 2024"/>
    <s v="Nuestra Sra Candelaria"/>
  </r>
  <r>
    <n v="26"/>
    <x v="2"/>
    <x v="1"/>
    <x v="3"/>
    <x v="23"/>
    <s v="Rural"/>
    <s v="Masculino"/>
    <x v="1"/>
    <x v="0"/>
    <x v="1"/>
    <s v="PADD 2023 Y 2024"/>
    <s v="Nuestra Sra Candelaria"/>
  </r>
  <r>
    <n v="27"/>
    <x v="2"/>
    <x v="1"/>
    <x v="3"/>
    <x v="23"/>
    <s v="Rural"/>
    <s v="Femenino"/>
    <x v="0"/>
    <x v="0"/>
    <x v="1"/>
    <s v="PADD 2023 Y 2024"/>
    <s v="Nuestra Sra Candelaria"/>
  </r>
  <r>
    <n v="28"/>
    <x v="2"/>
    <x v="1"/>
    <x v="3"/>
    <x v="23"/>
    <s v="Rural"/>
    <s v="Masculino"/>
    <x v="0"/>
    <x v="0"/>
    <x v="1"/>
    <s v="PADD 2023 Y 2024"/>
    <s v="Nuestra Sra Candelaria"/>
  </r>
  <r>
    <n v="32"/>
    <x v="2"/>
    <x v="1"/>
    <x v="3"/>
    <x v="23"/>
    <s v="Rural"/>
    <s v="Masculino"/>
    <x v="0"/>
    <x v="0"/>
    <x v="1"/>
    <s v="PADD 2023 Y 2024"/>
    <s v="Nuestra Sra Candelaria"/>
  </r>
  <r>
    <n v="33"/>
    <x v="2"/>
    <x v="1"/>
    <x v="3"/>
    <x v="23"/>
    <s v="Rural"/>
    <s v="Femenino"/>
    <x v="1"/>
    <x v="0"/>
    <x v="1"/>
    <s v="PADD 2023 Y 2024"/>
    <s v="Nuestra Sra Candelaria"/>
  </r>
  <r>
    <n v="34"/>
    <x v="2"/>
    <x v="1"/>
    <x v="3"/>
    <x v="23"/>
    <s v="Rural"/>
    <s v="Masculino"/>
    <x v="0"/>
    <x v="0"/>
    <x v="1"/>
    <s v="PADD 2023 Y 2024"/>
    <s v="Nuestra Sra Candelaria"/>
  </r>
  <r>
    <n v="37"/>
    <x v="2"/>
    <x v="1"/>
    <x v="3"/>
    <x v="23"/>
    <s v="Rural"/>
    <s v="Masculino"/>
    <x v="0"/>
    <x v="0"/>
    <x v="1"/>
    <s v="PADD 2023 Y 2024"/>
    <s v="Nuestra Sra Candelaria"/>
  </r>
  <r>
    <n v="38"/>
    <x v="2"/>
    <x v="1"/>
    <x v="3"/>
    <x v="23"/>
    <s v="Rural"/>
    <s v="Masculino"/>
    <x v="0"/>
    <x v="0"/>
    <x v="1"/>
    <s v="PADD 2023 Y 2024"/>
    <s v="Nuestra Sra Candelaria"/>
  </r>
  <r>
    <n v="39"/>
    <x v="2"/>
    <x v="1"/>
    <x v="3"/>
    <x v="23"/>
    <s v="Rural"/>
    <s v="Femenino"/>
    <x v="1"/>
    <x v="0"/>
    <x v="1"/>
    <s v="PADD 2023 Y 2024"/>
    <s v="Nuestra Sra Candelaria"/>
  </r>
  <r>
    <n v="40"/>
    <x v="2"/>
    <x v="1"/>
    <x v="3"/>
    <x v="23"/>
    <s v="Rural"/>
    <s v="Masculino"/>
    <x v="0"/>
    <x v="0"/>
    <x v="1"/>
    <s v="PADD 2023 Y 2024"/>
    <s v="Nuestra Sra Candelaria"/>
  </r>
  <r>
    <n v="41"/>
    <x v="2"/>
    <x v="1"/>
    <x v="3"/>
    <x v="23"/>
    <s v="Rural"/>
    <s v="Masculino"/>
    <x v="0"/>
    <x v="0"/>
    <x v="1"/>
    <s v="PADD 2023 Y 2024"/>
    <s v="Nuestra Sra Candelaria"/>
  </r>
  <r>
    <n v="42"/>
    <x v="2"/>
    <x v="1"/>
    <x v="3"/>
    <x v="23"/>
    <s v="Rural"/>
    <s v="Masculino"/>
    <x v="0"/>
    <x v="0"/>
    <x v="1"/>
    <s v="PADD 2023 Y 2024"/>
    <s v="Nuestra Sra Candelaria"/>
  </r>
  <r>
    <n v="43"/>
    <x v="2"/>
    <x v="1"/>
    <x v="3"/>
    <x v="23"/>
    <s v="Rural"/>
    <s v="Masculino"/>
    <x v="0"/>
    <x v="0"/>
    <x v="1"/>
    <s v="PADD 2023 Y 2024"/>
    <s v="Nuestra Sra Candelaria"/>
  </r>
  <r>
    <n v="45"/>
    <x v="2"/>
    <x v="1"/>
    <x v="3"/>
    <x v="23"/>
    <s v="Rural"/>
    <s v="Femenino"/>
    <x v="1"/>
    <x v="0"/>
    <x v="1"/>
    <s v="PADD 2023 Y 2024"/>
    <s v="Nuestra Sra Candelaria"/>
  </r>
  <r>
    <n v="46"/>
    <x v="2"/>
    <x v="1"/>
    <x v="3"/>
    <x v="23"/>
    <s v="Rural"/>
    <s v="Masculino"/>
    <x v="0"/>
    <x v="0"/>
    <x v="1"/>
    <s v="PADD 2023 Y 2024"/>
    <s v="Nuestra Sra Candelaria"/>
  </r>
  <r>
    <n v="47"/>
    <x v="2"/>
    <x v="1"/>
    <x v="3"/>
    <x v="23"/>
    <s v="Rural"/>
    <s v="Femenino"/>
    <x v="0"/>
    <x v="0"/>
    <x v="1"/>
    <s v="PADD 2023 Y 2024"/>
    <s v="Nuestra Sra Candelaria"/>
  </r>
  <r>
    <n v="49"/>
    <x v="2"/>
    <x v="1"/>
    <x v="3"/>
    <x v="23"/>
    <s v="Rural"/>
    <s v="Femenino"/>
    <x v="0"/>
    <x v="0"/>
    <x v="1"/>
    <s v="PADD 2023 Y 2024"/>
    <s v="Nuestra Sra Candelaria"/>
  </r>
  <r>
    <n v="50"/>
    <x v="2"/>
    <x v="1"/>
    <x v="3"/>
    <x v="23"/>
    <s v="Rural"/>
    <s v="Masculino"/>
    <x v="0"/>
    <x v="0"/>
    <x v="1"/>
    <s v="PADD 2023 Y 2024"/>
    <s v="Nuestra Sra Candelaria"/>
  </r>
  <r>
    <n v="51"/>
    <x v="2"/>
    <x v="1"/>
    <x v="3"/>
    <x v="23"/>
    <s v="Rural"/>
    <s v="Femenino"/>
    <x v="0"/>
    <x v="0"/>
    <x v="1"/>
    <s v="PADD 2023 Y 2024"/>
    <s v="Nuestra Sra Candelaria"/>
  </r>
  <r>
    <n v="52"/>
    <x v="2"/>
    <x v="1"/>
    <x v="3"/>
    <x v="23"/>
    <s v="Rural"/>
    <s v="Masculino"/>
    <x v="1"/>
    <x v="0"/>
    <x v="1"/>
    <s v="PADD 2023 Y 2024"/>
    <s v="Nuestra Sra Candelaria"/>
  </r>
  <r>
    <n v="54"/>
    <x v="2"/>
    <x v="1"/>
    <x v="3"/>
    <x v="23"/>
    <s v="Rural"/>
    <s v="Femenino"/>
    <x v="0"/>
    <x v="0"/>
    <x v="1"/>
    <s v="PADD 2023 Y 2024"/>
    <s v="Nuestra Sra Candelaria"/>
  </r>
  <r>
    <n v="57"/>
    <x v="2"/>
    <x v="1"/>
    <x v="3"/>
    <x v="23"/>
    <s v="Rural"/>
    <s v="Femenino"/>
    <x v="0"/>
    <x v="0"/>
    <x v="1"/>
    <s v="PADD 2023 Y 2024"/>
    <s v="Nuestra Sra Candelaria"/>
  </r>
  <r>
    <n v="58"/>
    <x v="2"/>
    <x v="1"/>
    <x v="3"/>
    <x v="23"/>
    <s v="Rural"/>
    <s v="Femenino"/>
    <x v="1"/>
    <x v="0"/>
    <x v="1"/>
    <s v="PADD 2023 Y 2024"/>
    <s v="Nuestra Sra Candelaria"/>
  </r>
  <r>
    <n v="61"/>
    <x v="2"/>
    <x v="1"/>
    <x v="3"/>
    <x v="23"/>
    <s v="Rural"/>
    <s v="Femenino"/>
    <x v="0"/>
    <x v="0"/>
    <x v="1"/>
    <s v="PADD 2023 Y 2024"/>
    <s v="Nuestra Sra Candelaria"/>
  </r>
  <r>
    <n v="62"/>
    <x v="2"/>
    <x v="1"/>
    <x v="3"/>
    <x v="23"/>
    <s v="Rural"/>
    <s v="Femenino"/>
    <x v="0"/>
    <x v="0"/>
    <x v="1"/>
    <s v="PADD 2023 Y 2024"/>
    <s v="Nuestra Sra Candelaria"/>
  </r>
  <r>
    <n v="63"/>
    <x v="2"/>
    <x v="1"/>
    <x v="3"/>
    <x v="23"/>
    <s v="Rural"/>
    <s v="Femenino"/>
    <x v="0"/>
    <x v="0"/>
    <x v="1"/>
    <s v="PADD 2023 Y 2024"/>
    <s v="Nuestra Sra Candelaria"/>
  </r>
  <r>
    <n v="64"/>
    <x v="2"/>
    <x v="1"/>
    <x v="3"/>
    <x v="23"/>
    <s v="Rural"/>
    <s v="Femenino"/>
    <x v="0"/>
    <x v="0"/>
    <x v="1"/>
    <s v="PADD 2023 Y 2024"/>
    <s v="Nuestra Sra Candelaria"/>
  </r>
  <r>
    <n v="65"/>
    <x v="2"/>
    <x v="1"/>
    <x v="3"/>
    <x v="23"/>
    <s v="Rural"/>
    <s v="Femenino"/>
    <x v="0"/>
    <x v="0"/>
    <x v="1"/>
    <s v="PADD 2023 Y 2024"/>
    <s v="Nuestra Sra Candelaria"/>
  </r>
  <r>
    <n v="1"/>
    <x v="2"/>
    <x v="0"/>
    <x v="4"/>
    <x v="24"/>
    <s v="Rural"/>
    <s v="Masculino"/>
    <x v="0"/>
    <x v="0"/>
    <x v="0"/>
    <s v="SOLO 2024"/>
    <s v="36789"/>
  </r>
  <r>
    <n v="2"/>
    <x v="2"/>
    <x v="0"/>
    <x v="4"/>
    <x v="24"/>
    <s v="Rural"/>
    <s v="Femenino"/>
    <x v="0"/>
    <x v="0"/>
    <x v="0"/>
    <s v="SOLO 2024"/>
    <s v="36789"/>
  </r>
  <r>
    <n v="3"/>
    <x v="2"/>
    <x v="0"/>
    <x v="0"/>
    <x v="24"/>
    <s v="Rural"/>
    <s v="Femenino"/>
    <x v="0"/>
    <x v="0"/>
    <x v="0"/>
    <s v="SOLO 2024"/>
    <s v="36789"/>
  </r>
  <r>
    <n v="4"/>
    <x v="2"/>
    <x v="0"/>
    <x v="1"/>
    <x v="24"/>
    <s v="Rural"/>
    <s v="Masculino"/>
    <x v="0"/>
    <x v="0"/>
    <x v="0"/>
    <s v="SOLO 2024"/>
    <s v="36789"/>
  </r>
  <r>
    <n v="5"/>
    <x v="2"/>
    <x v="0"/>
    <x v="1"/>
    <x v="24"/>
    <s v="Rural"/>
    <s v="Masculino"/>
    <x v="0"/>
    <x v="0"/>
    <x v="0"/>
    <s v="SOLO 2024"/>
    <s v="36789"/>
  </r>
  <r>
    <n v="6"/>
    <x v="2"/>
    <x v="0"/>
    <x v="1"/>
    <x v="24"/>
    <s v="Rural"/>
    <s v="Masculino"/>
    <x v="0"/>
    <x v="0"/>
    <x v="0"/>
    <s v="SOLO 2024"/>
    <s v="36789"/>
  </r>
  <r>
    <n v="7"/>
    <x v="2"/>
    <x v="0"/>
    <x v="1"/>
    <x v="24"/>
    <s v="Rural"/>
    <s v="Masculino"/>
    <x v="0"/>
    <x v="0"/>
    <x v="0"/>
    <s v="SOLO 2024"/>
    <s v="36789"/>
  </r>
  <r>
    <n v="9"/>
    <x v="2"/>
    <x v="0"/>
    <x v="4"/>
    <x v="25"/>
    <s v="Rural"/>
    <s v="Femenino"/>
    <x v="1"/>
    <x v="0"/>
    <x v="2"/>
    <s v="PADD 2023 Y 2024"/>
    <s v="36207"/>
  </r>
  <r>
    <n v="10"/>
    <x v="2"/>
    <x v="0"/>
    <x v="4"/>
    <x v="25"/>
    <s v="Rural"/>
    <s v="Masculino"/>
    <x v="0"/>
    <x v="0"/>
    <x v="2"/>
    <s v="PADD 2023 Y 2024"/>
    <s v="36207"/>
  </r>
  <r>
    <n v="11"/>
    <x v="2"/>
    <x v="0"/>
    <x v="4"/>
    <x v="25"/>
    <s v="Rural"/>
    <s v="Femenino"/>
    <x v="1"/>
    <x v="0"/>
    <x v="2"/>
    <s v="PADD 2023 Y 2024"/>
    <s v="36207"/>
  </r>
  <r>
    <n v="12"/>
    <x v="2"/>
    <x v="0"/>
    <x v="4"/>
    <x v="25"/>
    <s v="Rural"/>
    <s v="Masculino"/>
    <x v="1"/>
    <x v="0"/>
    <x v="2"/>
    <s v="PADD 2023 Y 2024"/>
    <s v="36207"/>
  </r>
  <r>
    <n v="13"/>
    <x v="2"/>
    <x v="0"/>
    <x v="4"/>
    <x v="25"/>
    <s v="Rural"/>
    <s v="Femenino"/>
    <x v="1"/>
    <x v="0"/>
    <x v="2"/>
    <s v="PADD 2023 Y 2024"/>
    <s v="36207"/>
  </r>
  <r>
    <n v="14"/>
    <x v="2"/>
    <x v="0"/>
    <x v="4"/>
    <x v="25"/>
    <s v="Rural"/>
    <s v="Masculino"/>
    <x v="0"/>
    <x v="0"/>
    <x v="2"/>
    <s v="PADD 2023 Y 2024"/>
    <s v="36207"/>
  </r>
  <r>
    <n v="15"/>
    <x v="2"/>
    <x v="0"/>
    <x v="4"/>
    <x v="25"/>
    <s v="Rural"/>
    <s v="Masculino"/>
    <x v="0"/>
    <x v="0"/>
    <x v="2"/>
    <s v="PADD 2023 Y 2024"/>
    <s v="36207"/>
  </r>
  <r>
    <n v="16"/>
    <x v="2"/>
    <x v="0"/>
    <x v="4"/>
    <x v="25"/>
    <s v="Rural"/>
    <s v="Masculino"/>
    <x v="0"/>
    <x v="0"/>
    <x v="2"/>
    <s v="PADD 2023 Y 2024"/>
    <s v="36207"/>
  </r>
  <r>
    <n v="17"/>
    <x v="2"/>
    <x v="0"/>
    <x v="0"/>
    <x v="25"/>
    <s v="Rural"/>
    <s v="Femenino"/>
    <x v="1"/>
    <x v="0"/>
    <x v="2"/>
    <s v="PADD 2023 Y 2024"/>
    <s v="36207"/>
  </r>
  <r>
    <n v="18"/>
    <x v="2"/>
    <x v="0"/>
    <x v="0"/>
    <x v="25"/>
    <s v="Rural"/>
    <s v="Masculino"/>
    <x v="2"/>
    <x v="0"/>
    <x v="2"/>
    <s v="PADD 2023 Y 2024"/>
    <s v="36207"/>
  </r>
  <r>
    <n v="19"/>
    <x v="2"/>
    <x v="0"/>
    <x v="0"/>
    <x v="25"/>
    <s v="Rural"/>
    <s v="Femenino"/>
    <x v="1"/>
    <x v="0"/>
    <x v="2"/>
    <s v="PADD 2023 Y 2024"/>
    <s v="36207"/>
  </r>
  <r>
    <n v="20"/>
    <x v="2"/>
    <x v="0"/>
    <x v="0"/>
    <x v="25"/>
    <s v="Rural"/>
    <s v="Femenino"/>
    <x v="1"/>
    <x v="0"/>
    <x v="2"/>
    <s v="PADD 2023 Y 2024"/>
    <s v="36207"/>
  </r>
  <r>
    <n v="21"/>
    <x v="2"/>
    <x v="0"/>
    <x v="1"/>
    <x v="25"/>
    <s v="Rural"/>
    <s v="Femenino"/>
    <x v="1"/>
    <x v="0"/>
    <x v="2"/>
    <s v="PADD 2023 Y 2024"/>
    <s v="36207"/>
  </r>
  <r>
    <n v="22"/>
    <x v="2"/>
    <x v="0"/>
    <x v="1"/>
    <x v="25"/>
    <s v="Rural"/>
    <s v="Femenino"/>
    <x v="2"/>
    <x v="0"/>
    <x v="2"/>
    <s v="PADD 2023 Y 2024"/>
    <s v="36207"/>
  </r>
  <r>
    <n v="23"/>
    <x v="2"/>
    <x v="0"/>
    <x v="1"/>
    <x v="25"/>
    <s v="Rural"/>
    <s v="Masculino"/>
    <x v="2"/>
    <x v="0"/>
    <x v="2"/>
    <s v="PADD 2023 Y 2024"/>
    <s v="36207"/>
  </r>
  <r>
    <n v="24"/>
    <x v="2"/>
    <x v="0"/>
    <x v="1"/>
    <x v="25"/>
    <s v="Rural"/>
    <s v="Femenino"/>
    <x v="2"/>
    <x v="0"/>
    <x v="2"/>
    <s v="PADD 2023 Y 2024"/>
    <s v="36207"/>
  </r>
  <r>
    <n v="1"/>
    <x v="2"/>
    <x v="1"/>
    <x v="2"/>
    <x v="26"/>
    <s v="Rural"/>
    <s v="Masculino"/>
    <x v="1"/>
    <x v="0"/>
    <x v="0"/>
    <s v="PADD 2023 Y 2024"/>
    <s v="CORAS"/>
  </r>
  <r>
    <n v="2"/>
    <x v="2"/>
    <x v="1"/>
    <x v="2"/>
    <x v="26"/>
    <s v="Rural"/>
    <s v="Femenino"/>
    <x v="0"/>
    <x v="0"/>
    <x v="0"/>
    <s v="PADD 2023 Y 2024"/>
    <s v="CORAS"/>
  </r>
  <r>
    <n v="3"/>
    <x v="2"/>
    <x v="1"/>
    <x v="2"/>
    <x v="26"/>
    <s v="Rural"/>
    <s v="Femenino"/>
    <x v="0"/>
    <x v="0"/>
    <x v="0"/>
    <s v="PADD 2023 Y 2024"/>
    <s v="CORAS"/>
  </r>
  <r>
    <n v="4"/>
    <x v="2"/>
    <x v="1"/>
    <x v="2"/>
    <x v="26"/>
    <s v="Rural"/>
    <s v="Masculino"/>
    <x v="0"/>
    <x v="0"/>
    <x v="0"/>
    <s v="PADD 2023 Y 2024"/>
    <s v="CORAS"/>
  </r>
  <r>
    <n v="5"/>
    <x v="2"/>
    <x v="1"/>
    <x v="2"/>
    <x v="26"/>
    <s v="Rural"/>
    <s v="Femenino"/>
    <x v="0"/>
    <x v="0"/>
    <x v="0"/>
    <s v="PADD 2023 Y 2024"/>
    <s v="CORAS"/>
  </r>
  <r>
    <n v="6"/>
    <x v="2"/>
    <x v="1"/>
    <x v="2"/>
    <x v="26"/>
    <s v="Rural"/>
    <s v="Masculino"/>
    <x v="0"/>
    <x v="0"/>
    <x v="0"/>
    <s v="PADD 2023 Y 2024"/>
    <s v="CORAS"/>
  </r>
  <r>
    <n v="7"/>
    <x v="2"/>
    <x v="1"/>
    <x v="2"/>
    <x v="26"/>
    <s v="Rural"/>
    <s v="Femenino"/>
    <x v="0"/>
    <x v="0"/>
    <x v="0"/>
    <s v="PADD 2023 Y 2024"/>
    <s v="CORAS"/>
  </r>
  <r>
    <n v="8"/>
    <x v="2"/>
    <x v="1"/>
    <x v="2"/>
    <x v="26"/>
    <s v="Rural"/>
    <s v="Masculino"/>
    <x v="0"/>
    <x v="0"/>
    <x v="0"/>
    <s v="PADD 2023 Y 2024"/>
    <s v="CORAS"/>
  </r>
  <r>
    <n v="9"/>
    <x v="2"/>
    <x v="1"/>
    <x v="2"/>
    <x v="26"/>
    <s v="Rural"/>
    <s v="Masculino"/>
    <x v="0"/>
    <x v="0"/>
    <x v="0"/>
    <s v="PADD 2023 Y 2024"/>
    <s v="CORAS"/>
  </r>
  <r>
    <n v="10"/>
    <x v="2"/>
    <x v="1"/>
    <x v="2"/>
    <x v="26"/>
    <s v="Rural"/>
    <s v="Femenino"/>
    <x v="0"/>
    <x v="0"/>
    <x v="0"/>
    <s v="PADD 2023 Y 2024"/>
    <s v="CORAS"/>
  </r>
  <r>
    <n v="11"/>
    <x v="2"/>
    <x v="1"/>
    <x v="2"/>
    <x v="26"/>
    <s v="Rural"/>
    <s v="Masculino"/>
    <x v="0"/>
    <x v="0"/>
    <x v="0"/>
    <s v="PADD 2023 Y 2024"/>
    <s v="CORAS"/>
  </r>
  <r>
    <n v="12"/>
    <x v="2"/>
    <x v="1"/>
    <x v="2"/>
    <x v="26"/>
    <s v="Rural"/>
    <s v="Femenino"/>
    <x v="0"/>
    <x v="0"/>
    <x v="0"/>
    <s v="PADD 2023 Y 2024"/>
    <s v="CORAS"/>
  </r>
  <r>
    <n v="13"/>
    <x v="2"/>
    <x v="1"/>
    <x v="2"/>
    <x v="26"/>
    <s v="Rural"/>
    <s v="Femenino"/>
    <x v="0"/>
    <x v="0"/>
    <x v="0"/>
    <s v="PADD 2023 Y 2024"/>
    <s v="CORAS"/>
  </r>
  <r>
    <n v="14"/>
    <x v="2"/>
    <x v="1"/>
    <x v="2"/>
    <x v="26"/>
    <s v="Rural"/>
    <s v="Femenino"/>
    <x v="0"/>
    <x v="0"/>
    <x v="0"/>
    <s v="PADD 2023 Y 2024"/>
    <s v="CORAS"/>
  </r>
  <r>
    <n v="15"/>
    <x v="2"/>
    <x v="1"/>
    <x v="2"/>
    <x v="26"/>
    <s v="Rural"/>
    <s v="Masculino"/>
    <x v="0"/>
    <x v="0"/>
    <x v="0"/>
    <s v="PADD 2023 Y 2024"/>
    <s v="CORAS"/>
  </r>
  <r>
    <n v="16"/>
    <x v="2"/>
    <x v="1"/>
    <x v="2"/>
    <x v="26"/>
    <s v="Rural"/>
    <s v="Masculino"/>
    <x v="0"/>
    <x v="0"/>
    <x v="0"/>
    <s v="PADD 2023 Y 2024"/>
    <s v="CORAS"/>
  </r>
  <r>
    <n v="17"/>
    <x v="2"/>
    <x v="1"/>
    <x v="2"/>
    <x v="26"/>
    <s v="Rural"/>
    <s v="Femenino"/>
    <x v="0"/>
    <x v="0"/>
    <x v="0"/>
    <s v="PADD 2023 Y 2024"/>
    <s v="CORAS"/>
  </r>
  <r>
    <n v="18"/>
    <x v="2"/>
    <x v="1"/>
    <x v="2"/>
    <x v="26"/>
    <s v="Rural"/>
    <s v="Femenino"/>
    <x v="0"/>
    <x v="0"/>
    <x v="0"/>
    <s v="PADD 2023 Y 2024"/>
    <s v="CORAS"/>
  </r>
  <r>
    <n v="19"/>
    <x v="2"/>
    <x v="1"/>
    <x v="2"/>
    <x v="26"/>
    <s v="Rural"/>
    <s v="Femenino"/>
    <x v="0"/>
    <x v="0"/>
    <x v="0"/>
    <s v="PADD 2023 Y 2024"/>
    <s v="CORAS"/>
  </r>
  <r>
    <n v="20"/>
    <x v="2"/>
    <x v="1"/>
    <x v="2"/>
    <x v="26"/>
    <s v="Rural"/>
    <s v="Masculino"/>
    <x v="0"/>
    <x v="0"/>
    <x v="0"/>
    <s v="PADD 2023 Y 2024"/>
    <s v="CORAS"/>
  </r>
  <r>
    <n v="21"/>
    <x v="2"/>
    <x v="1"/>
    <x v="2"/>
    <x v="26"/>
    <s v="Rural"/>
    <s v="Femenino"/>
    <x v="0"/>
    <x v="0"/>
    <x v="0"/>
    <s v="PADD 2023 Y 2024"/>
    <s v="CORAS"/>
  </r>
  <r>
    <n v="22"/>
    <x v="2"/>
    <x v="1"/>
    <x v="2"/>
    <x v="26"/>
    <s v="Rural"/>
    <s v="Femenino"/>
    <x v="0"/>
    <x v="0"/>
    <x v="0"/>
    <s v="PADD 2023 Y 2024"/>
    <s v="CORAS"/>
  </r>
  <r>
    <n v="23"/>
    <x v="2"/>
    <x v="1"/>
    <x v="2"/>
    <x v="26"/>
    <s v="Rural"/>
    <s v="Femenino"/>
    <x v="0"/>
    <x v="0"/>
    <x v="0"/>
    <s v="PADD 2023 Y 2024"/>
    <s v="CORAS"/>
  </r>
  <r>
    <n v="24"/>
    <x v="2"/>
    <x v="1"/>
    <x v="2"/>
    <x v="26"/>
    <s v="Rural"/>
    <s v="Masculino"/>
    <x v="0"/>
    <x v="0"/>
    <x v="0"/>
    <s v="PADD 2023 Y 2024"/>
    <s v="CORAS"/>
  </r>
  <r>
    <n v="25"/>
    <x v="2"/>
    <x v="1"/>
    <x v="2"/>
    <x v="26"/>
    <s v="Rural"/>
    <s v="Masculino"/>
    <x v="0"/>
    <x v="0"/>
    <x v="0"/>
    <s v="PADD 2023 Y 2024"/>
    <s v="CORAS"/>
  </r>
  <r>
    <n v="26"/>
    <x v="2"/>
    <x v="1"/>
    <x v="3"/>
    <x v="26"/>
    <s v="Rural"/>
    <s v="Femenino"/>
    <x v="1"/>
    <x v="0"/>
    <x v="0"/>
    <s v="PADD 2023 Y 2024"/>
    <s v="CORAS"/>
  </r>
  <r>
    <n v="27"/>
    <x v="2"/>
    <x v="1"/>
    <x v="3"/>
    <x v="26"/>
    <s v="Rural"/>
    <s v="Masculino"/>
    <x v="0"/>
    <x v="0"/>
    <x v="0"/>
    <s v="PADD 2023 Y 2024"/>
    <s v="CORAS"/>
  </r>
  <r>
    <n v="28"/>
    <x v="2"/>
    <x v="1"/>
    <x v="3"/>
    <x v="26"/>
    <s v="Rural"/>
    <s v="Femenino"/>
    <x v="1"/>
    <x v="0"/>
    <x v="0"/>
    <s v="PADD 2023 Y 2024"/>
    <s v="CORAS"/>
  </r>
  <r>
    <n v="29"/>
    <x v="2"/>
    <x v="1"/>
    <x v="3"/>
    <x v="26"/>
    <s v="Rural"/>
    <s v="Femenino"/>
    <x v="2"/>
    <x v="0"/>
    <x v="0"/>
    <s v="PADD 2023 Y 2024"/>
    <s v="CORAS"/>
  </r>
  <r>
    <n v="30"/>
    <x v="2"/>
    <x v="1"/>
    <x v="3"/>
    <x v="26"/>
    <s v="Rural"/>
    <s v="Femenino"/>
    <x v="0"/>
    <x v="0"/>
    <x v="0"/>
    <s v="PADD 2023 Y 2024"/>
    <s v="CORAS"/>
  </r>
  <r>
    <n v="31"/>
    <x v="2"/>
    <x v="1"/>
    <x v="3"/>
    <x v="26"/>
    <s v="Rural"/>
    <s v="Masculino"/>
    <x v="0"/>
    <x v="0"/>
    <x v="0"/>
    <s v="PADD 2023 Y 2024"/>
    <s v="CORAS"/>
  </r>
  <r>
    <n v="32"/>
    <x v="2"/>
    <x v="1"/>
    <x v="3"/>
    <x v="26"/>
    <s v="Rural"/>
    <s v="Masculino"/>
    <x v="0"/>
    <x v="0"/>
    <x v="0"/>
    <s v="PADD 2023 Y 2024"/>
    <s v="CORAS"/>
  </r>
  <r>
    <n v="33"/>
    <x v="2"/>
    <x v="1"/>
    <x v="3"/>
    <x v="26"/>
    <s v="Rural"/>
    <s v="Masculino"/>
    <x v="0"/>
    <x v="0"/>
    <x v="0"/>
    <s v="PADD 2023 Y 2024"/>
    <s v="CORAS"/>
  </r>
  <r>
    <n v="34"/>
    <x v="2"/>
    <x v="1"/>
    <x v="3"/>
    <x v="26"/>
    <s v="Rural"/>
    <s v="Masculino"/>
    <x v="0"/>
    <x v="0"/>
    <x v="0"/>
    <s v="PADD 2023 Y 2024"/>
    <s v="CORAS"/>
  </r>
  <r>
    <n v="35"/>
    <x v="2"/>
    <x v="1"/>
    <x v="3"/>
    <x v="26"/>
    <s v="Rural"/>
    <s v="Masculino"/>
    <x v="0"/>
    <x v="0"/>
    <x v="0"/>
    <s v="PADD 2023 Y 2024"/>
    <s v="CORAS"/>
  </r>
  <r>
    <n v="36"/>
    <x v="2"/>
    <x v="1"/>
    <x v="3"/>
    <x v="26"/>
    <s v="Rural"/>
    <s v="Masculino"/>
    <x v="0"/>
    <x v="0"/>
    <x v="0"/>
    <s v="PADD 2023 Y 2024"/>
    <s v="CORAS"/>
  </r>
  <r>
    <n v="37"/>
    <x v="2"/>
    <x v="1"/>
    <x v="3"/>
    <x v="26"/>
    <s v="Rural"/>
    <s v="Femenino"/>
    <x v="0"/>
    <x v="0"/>
    <x v="0"/>
    <s v="PADD 2023 Y 2024"/>
    <s v="CORAS"/>
  </r>
  <r>
    <n v="38"/>
    <x v="2"/>
    <x v="1"/>
    <x v="3"/>
    <x v="26"/>
    <s v="Rural"/>
    <s v="Femenino"/>
    <x v="0"/>
    <x v="0"/>
    <x v="0"/>
    <s v="PADD 2023 Y 2024"/>
    <s v="CORAS"/>
  </r>
  <r>
    <n v="39"/>
    <x v="2"/>
    <x v="1"/>
    <x v="3"/>
    <x v="26"/>
    <s v="Rural"/>
    <s v="Masculino"/>
    <x v="0"/>
    <x v="0"/>
    <x v="0"/>
    <s v="PADD 2023 Y 2024"/>
    <s v="CORAS"/>
  </r>
  <r>
    <n v="40"/>
    <x v="2"/>
    <x v="1"/>
    <x v="3"/>
    <x v="26"/>
    <s v="Rural"/>
    <s v="Femenino"/>
    <x v="0"/>
    <x v="0"/>
    <x v="0"/>
    <s v="PADD 2023 Y 2024"/>
    <s v="CORAS"/>
  </r>
  <r>
    <n v="41"/>
    <x v="2"/>
    <x v="1"/>
    <x v="3"/>
    <x v="26"/>
    <s v="Rural"/>
    <s v="Femenino"/>
    <x v="0"/>
    <x v="0"/>
    <x v="0"/>
    <s v="PADD 2023 Y 2024"/>
    <s v="CORAS"/>
  </r>
  <r>
    <n v="42"/>
    <x v="2"/>
    <x v="1"/>
    <x v="3"/>
    <x v="26"/>
    <s v="Rural"/>
    <s v="Masculino"/>
    <x v="0"/>
    <x v="0"/>
    <x v="0"/>
    <s v="PADD 2023 Y 2024"/>
    <s v="CORAS"/>
  </r>
  <r>
    <n v="43"/>
    <x v="2"/>
    <x v="1"/>
    <x v="3"/>
    <x v="26"/>
    <s v="Rural"/>
    <s v="Femenino"/>
    <x v="0"/>
    <x v="0"/>
    <x v="0"/>
    <s v="PADD 2023 Y 2024"/>
    <s v="CORAS"/>
  </r>
  <r>
    <n v="44"/>
    <x v="2"/>
    <x v="1"/>
    <x v="3"/>
    <x v="26"/>
    <s v="Rural"/>
    <s v="Masculino"/>
    <x v="0"/>
    <x v="0"/>
    <x v="0"/>
    <s v="PADD 2023 Y 2024"/>
    <s v="CORAS"/>
  </r>
  <r>
    <n v="45"/>
    <x v="2"/>
    <x v="1"/>
    <x v="3"/>
    <x v="26"/>
    <s v="Rural"/>
    <s v="Femenino"/>
    <x v="0"/>
    <x v="0"/>
    <x v="0"/>
    <s v="PADD 2023 Y 2024"/>
    <s v="CORAS"/>
  </r>
  <r>
    <n v="46"/>
    <x v="2"/>
    <x v="1"/>
    <x v="3"/>
    <x v="26"/>
    <s v="Rural"/>
    <s v="Masculino"/>
    <x v="0"/>
    <x v="0"/>
    <x v="0"/>
    <s v="PADD 2023 Y 2024"/>
    <s v="CORAS"/>
  </r>
  <r>
    <n v="47"/>
    <x v="2"/>
    <x v="1"/>
    <x v="3"/>
    <x v="26"/>
    <s v="Rural"/>
    <s v="Femenino"/>
    <x v="0"/>
    <x v="0"/>
    <x v="0"/>
    <s v="PADD 2023 Y 2024"/>
    <s v="CORAS"/>
  </r>
  <r>
    <n v="48"/>
    <x v="2"/>
    <x v="1"/>
    <x v="3"/>
    <x v="26"/>
    <s v="Rural"/>
    <s v="Femenino"/>
    <x v="0"/>
    <x v="0"/>
    <x v="0"/>
    <s v="PADD 2023 Y 2024"/>
    <s v="CORAS"/>
  </r>
  <r>
    <n v="49"/>
    <x v="2"/>
    <x v="1"/>
    <x v="3"/>
    <x v="26"/>
    <s v="Rural"/>
    <s v="Femenino"/>
    <x v="0"/>
    <x v="0"/>
    <x v="0"/>
    <s v="PADD 2023 Y 2024"/>
    <s v="CORAS"/>
  </r>
  <r>
    <n v="50"/>
    <x v="2"/>
    <x v="1"/>
    <x v="3"/>
    <x v="26"/>
    <s v="Rural"/>
    <s v="Masculino"/>
    <x v="0"/>
    <x v="0"/>
    <x v="0"/>
    <s v="PADD 2023 Y 2024"/>
    <s v="CORAS"/>
  </r>
  <r>
    <n v="51"/>
    <x v="2"/>
    <x v="1"/>
    <x v="3"/>
    <x v="26"/>
    <s v="Rural"/>
    <s v="Masculino"/>
    <x v="0"/>
    <x v="0"/>
    <x v="0"/>
    <s v="PADD 2023 Y 2024"/>
    <s v="CORAS"/>
  </r>
  <r>
    <n v="11"/>
    <x v="2"/>
    <x v="0"/>
    <x v="4"/>
    <x v="27"/>
    <s v="Rural"/>
    <s v="Femenino"/>
    <x v="0"/>
    <x v="0"/>
    <x v="0"/>
    <s v="PADD 2023 Y 2024"/>
    <s v="36173"/>
  </r>
  <r>
    <n v="12"/>
    <x v="2"/>
    <x v="0"/>
    <x v="4"/>
    <x v="27"/>
    <s v="Rural"/>
    <s v="Masculino"/>
    <x v="0"/>
    <x v="0"/>
    <x v="0"/>
    <s v="PADD 2023 Y 2024"/>
    <s v="36173"/>
  </r>
  <r>
    <n v="13"/>
    <x v="2"/>
    <x v="0"/>
    <x v="4"/>
    <x v="27"/>
    <s v="Rural"/>
    <s v="Femenino"/>
    <x v="0"/>
    <x v="0"/>
    <x v="0"/>
    <s v="PADD 2023 Y 2024"/>
    <s v="36173"/>
  </r>
  <r>
    <n v="14"/>
    <x v="2"/>
    <x v="0"/>
    <x v="4"/>
    <x v="27"/>
    <s v="Rural"/>
    <s v="Masculino"/>
    <x v="1"/>
    <x v="0"/>
    <x v="0"/>
    <s v="PADD 2023 Y 2024"/>
    <s v="36173"/>
  </r>
  <r>
    <n v="15"/>
    <x v="2"/>
    <x v="0"/>
    <x v="4"/>
    <x v="27"/>
    <s v="Rural"/>
    <s v="Masculino"/>
    <x v="1"/>
    <x v="0"/>
    <x v="0"/>
    <s v="PADD 2023 Y 2024"/>
    <s v="36173"/>
  </r>
  <r>
    <n v="16"/>
    <x v="2"/>
    <x v="0"/>
    <x v="4"/>
    <x v="27"/>
    <s v="Rural"/>
    <s v="Masculino"/>
    <x v="1"/>
    <x v="0"/>
    <x v="0"/>
    <s v="PADD 2023 Y 2024"/>
    <s v="36173"/>
  </r>
  <r>
    <n v="17"/>
    <x v="2"/>
    <x v="0"/>
    <x v="4"/>
    <x v="27"/>
    <s v="Rural"/>
    <s v="Masculino"/>
    <x v="1"/>
    <x v="0"/>
    <x v="0"/>
    <s v="PADD 2023 Y 2024"/>
    <s v="36173"/>
  </r>
  <r>
    <n v="18"/>
    <x v="2"/>
    <x v="0"/>
    <x v="4"/>
    <x v="27"/>
    <s v="Rural"/>
    <s v="Masculino"/>
    <x v="1"/>
    <x v="0"/>
    <x v="0"/>
    <s v="PADD 2023 Y 2024"/>
    <s v="36173"/>
  </r>
  <r>
    <n v="19"/>
    <x v="2"/>
    <x v="0"/>
    <x v="4"/>
    <x v="27"/>
    <s v="Rural"/>
    <s v="Femenino"/>
    <x v="1"/>
    <x v="0"/>
    <x v="0"/>
    <s v="PADD 2023 Y 2024"/>
    <s v="36173"/>
  </r>
  <r>
    <n v="20"/>
    <x v="2"/>
    <x v="0"/>
    <x v="4"/>
    <x v="27"/>
    <s v="Rural"/>
    <s v="Femenino"/>
    <x v="1"/>
    <x v="0"/>
    <x v="0"/>
    <s v="PADD 2023 Y 2024"/>
    <s v="36173"/>
  </r>
  <r>
    <n v="21"/>
    <x v="2"/>
    <x v="0"/>
    <x v="4"/>
    <x v="27"/>
    <s v="Rural"/>
    <s v="Femenino"/>
    <x v="0"/>
    <x v="0"/>
    <x v="0"/>
    <s v="PADD 2023 Y 2024"/>
    <s v="36173"/>
  </r>
  <r>
    <n v="22"/>
    <x v="2"/>
    <x v="0"/>
    <x v="4"/>
    <x v="27"/>
    <s v="Rural"/>
    <s v="Femenino"/>
    <x v="1"/>
    <x v="0"/>
    <x v="0"/>
    <s v="PADD 2023 Y 2024"/>
    <s v="36173"/>
  </r>
  <r>
    <n v="23"/>
    <x v="2"/>
    <x v="0"/>
    <x v="0"/>
    <x v="27"/>
    <s v="Rural"/>
    <s v="Masculino"/>
    <x v="1"/>
    <x v="0"/>
    <x v="0"/>
    <s v="PADD 2023 Y 2024"/>
    <s v="36173"/>
  </r>
  <r>
    <n v="24"/>
    <x v="2"/>
    <x v="0"/>
    <x v="0"/>
    <x v="27"/>
    <s v="Rural"/>
    <s v="Femenino"/>
    <x v="1"/>
    <x v="0"/>
    <x v="0"/>
    <s v="PADD 2023 Y 2024"/>
    <s v="36173"/>
  </r>
  <r>
    <n v="25"/>
    <x v="2"/>
    <x v="0"/>
    <x v="0"/>
    <x v="27"/>
    <s v="Rural"/>
    <s v="Masculino"/>
    <x v="0"/>
    <x v="0"/>
    <x v="0"/>
    <s v="PADD 2023 Y 2024"/>
    <s v="36173"/>
  </r>
  <r>
    <n v="26"/>
    <x v="2"/>
    <x v="0"/>
    <x v="0"/>
    <x v="27"/>
    <s v="Rural"/>
    <s v="Masculino"/>
    <x v="0"/>
    <x v="0"/>
    <x v="0"/>
    <s v="PADD 2023 Y 2024"/>
    <s v="36173"/>
  </r>
  <r>
    <n v="27"/>
    <x v="2"/>
    <x v="0"/>
    <x v="0"/>
    <x v="27"/>
    <s v="Rural"/>
    <s v="Masculino"/>
    <x v="1"/>
    <x v="0"/>
    <x v="0"/>
    <s v="PADD 2023 Y 2024"/>
    <s v="36173"/>
  </r>
  <r>
    <n v="28"/>
    <x v="2"/>
    <x v="0"/>
    <x v="0"/>
    <x v="27"/>
    <s v="Rural"/>
    <s v="Femenino"/>
    <x v="0"/>
    <x v="0"/>
    <x v="0"/>
    <s v="PADD 2023 Y 2024"/>
    <s v="36173"/>
  </r>
  <r>
    <n v="29"/>
    <x v="2"/>
    <x v="0"/>
    <x v="0"/>
    <x v="27"/>
    <s v="Rural"/>
    <s v="Femenino"/>
    <x v="1"/>
    <x v="0"/>
    <x v="0"/>
    <s v="PADD 2023 Y 2024"/>
    <s v="36173"/>
  </r>
  <r>
    <n v="30"/>
    <x v="2"/>
    <x v="0"/>
    <x v="1"/>
    <x v="27"/>
    <s v="Rural"/>
    <s v="Masculino"/>
    <x v="1"/>
    <x v="0"/>
    <x v="0"/>
    <s v="PADD 2023 Y 2024"/>
    <s v="36173"/>
  </r>
  <r>
    <n v="31"/>
    <x v="2"/>
    <x v="0"/>
    <x v="1"/>
    <x v="27"/>
    <s v="Rural"/>
    <s v="Femenino"/>
    <x v="1"/>
    <x v="0"/>
    <x v="0"/>
    <s v="PADD 2023 Y 2024"/>
    <s v="36173"/>
  </r>
  <r>
    <n v="32"/>
    <x v="2"/>
    <x v="0"/>
    <x v="1"/>
    <x v="27"/>
    <s v="Rural"/>
    <s v="Masculino"/>
    <x v="1"/>
    <x v="0"/>
    <x v="0"/>
    <s v="PADD 2023 Y 2024"/>
    <s v="36173"/>
  </r>
  <r>
    <n v="33"/>
    <x v="2"/>
    <x v="0"/>
    <x v="1"/>
    <x v="27"/>
    <s v="Rural"/>
    <s v="Femenino"/>
    <x v="1"/>
    <x v="0"/>
    <x v="0"/>
    <s v="PADD 2023 Y 2024"/>
    <s v="36173"/>
  </r>
  <r>
    <n v="34"/>
    <x v="2"/>
    <x v="0"/>
    <x v="1"/>
    <x v="27"/>
    <s v="Rural"/>
    <s v="Femenino"/>
    <x v="1"/>
    <x v="0"/>
    <x v="0"/>
    <s v="PADD 2023 Y 2024"/>
    <s v="36173"/>
  </r>
  <r>
    <n v="35"/>
    <x v="2"/>
    <x v="0"/>
    <x v="1"/>
    <x v="27"/>
    <s v="Rural"/>
    <s v="Femenino"/>
    <x v="1"/>
    <x v="0"/>
    <x v="0"/>
    <s v="PADD 2023 Y 2024"/>
    <s v="36173"/>
  </r>
  <r>
    <n v="36"/>
    <x v="2"/>
    <x v="0"/>
    <x v="1"/>
    <x v="27"/>
    <s v="Rural"/>
    <s v="Masculino"/>
    <x v="1"/>
    <x v="0"/>
    <x v="0"/>
    <s v="PADD 2023 Y 2024"/>
    <s v="36173"/>
  </r>
  <r>
    <n v="37"/>
    <x v="2"/>
    <x v="0"/>
    <x v="1"/>
    <x v="27"/>
    <s v="Rural"/>
    <s v="Masculino"/>
    <x v="1"/>
    <x v="0"/>
    <x v="0"/>
    <s v="PADD 2023 Y 2024"/>
    <s v="36173"/>
  </r>
  <r>
    <n v="1"/>
    <x v="3"/>
    <x v="0"/>
    <x v="4"/>
    <x v="28"/>
    <s v="Rural"/>
    <s v="Femenino"/>
    <x v="0"/>
    <x v="0"/>
    <x v="0"/>
    <s v="SOLO 2024"/>
    <s v="60136 MORALILLO"/>
  </r>
  <r>
    <n v="2"/>
    <x v="3"/>
    <x v="0"/>
    <x v="0"/>
    <x v="28"/>
    <s v="Rural"/>
    <s v="Masculino"/>
    <x v="0"/>
    <x v="0"/>
    <x v="0"/>
    <s v="SOLO 2024"/>
    <s v="60136 MORALILLO"/>
  </r>
  <r>
    <n v="3"/>
    <x v="3"/>
    <x v="0"/>
    <x v="0"/>
    <x v="28"/>
    <s v="Rural"/>
    <s v="Femenino"/>
    <x v="0"/>
    <x v="0"/>
    <x v="0"/>
    <s v="SOLO 2024"/>
    <s v="60136 MORALILLO"/>
  </r>
  <r>
    <n v="4"/>
    <x v="3"/>
    <x v="0"/>
    <x v="1"/>
    <x v="28"/>
    <s v="Rural"/>
    <s v="Masculino"/>
    <x v="0"/>
    <x v="0"/>
    <x v="0"/>
    <s v="SOLO 2024"/>
    <s v="60146 MORALILLO"/>
  </r>
  <r>
    <n v="5"/>
    <x v="3"/>
    <x v="0"/>
    <x v="1"/>
    <x v="28"/>
    <s v="Rural"/>
    <s v="Femenino"/>
    <x v="1"/>
    <x v="0"/>
    <x v="0"/>
    <s v="SOLO 2024"/>
    <s v="60136 MORALILLO"/>
  </r>
  <r>
    <n v="6"/>
    <x v="3"/>
    <x v="0"/>
    <x v="4"/>
    <x v="29"/>
    <s v="Rural"/>
    <s v="Masculino"/>
    <x v="1"/>
    <x v="0"/>
    <x v="0"/>
    <s v="SOLO 2024"/>
    <s v="6010102 VILLA BUEN PASTOR"/>
  </r>
  <r>
    <n v="7"/>
    <x v="3"/>
    <x v="0"/>
    <x v="4"/>
    <x v="29"/>
    <s v="Rural"/>
    <s v="Femenino"/>
    <x v="1"/>
    <x v="0"/>
    <x v="0"/>
    <s v="SOLO 2024"/>
    <s v="6010102 VILLA BUEN PASTOR"/>
  </r>
  <r>
    <n v="8"/>
    <x v="3"/>
    <x v="0"/>
    <x v="4"/>
    <x v="29"/>
    <s v="Rural"/>
    <s v="Masculino"/>
    <x v="0"/>
    <x v="0"/>
    <x v="0"/>
    <s v="SOLO 2024"/>
    <s v="6010102 VILLA BUEN PASTOR"/>
  </r>
  <r>
    <n v="9"/>
    <x v="3"/>
    <x v="0"/>
    <x v="0"/>
    <x v="29"/>
    <s v="Rural"/>
    <s v="Masculino"/>
    <x v="0"/>
    <x v="0"/>
    <x v="0"/>
    <s v="SOLO 2024"/>
    <s v="6010102 VILLA BUEN PASTOR"/>
  </r>
  <r>
    <n v="10"/>
    <x v="3"/>
    <x v="0"/>
    <x v="0"/>
    <x v="29"/>
    <s v="Rural"/>
    <s v="Femenino"/>
    <x v="0"/>
    <x v="0"/>
    <x v="0"/>
    <s v="SOLO 2024"/>
    <s v="6010102 VILLA BUEN PASTOR"/>
  </r>
  <r>
    <n v="11"/>
    <x v="3"/>
    <x v="0"/>
    <x v="0"/>
    <x v="29"/>
    <s v="Rural"/>
    <s v="Femenino"/>
    <x v="0"/>
    <x v="0"/>
    <x v="0"/>
    <s v="SOLO 2024"/>
    <s v="6010102 VILLA BUEN PASTOR"/>
  </r>
  <r>
    <n v="12"/>
    <x v="3"/>
    <x v="0"/>
    <x v="0"/>
    <x v="29"/>
    <s v="Rural"/>
    <s v="Masculino"/>
    <x v="1"/>
    <x v="0"/>
    <x v="0"/>
    <s v="SOLO 2024"/>
    <s v="6010102 VILLA BUEN PASTOR"/>
  </r>
  <r>
    <n v="13"/>
    <x v="3"/>
    <x v="0"/>
    <x v="0"/>
    <x v="29"/>
    <s v="Rural"/>
    <s v="Masculino"/>
    <x v="0"/>
    <x v="0"/>
    <x v="0"/>
    <s v="SOLO 2024"/>
    <s v="6010102 VILLA BUEN PASTOR"/>
  </r>
  <r>
    <n v="14"/>
    <x v="3"/>
    <x v="0"/>
    <x v="1"/>
    <x v="29"/>
    <s v="Rural"/>
    <s v="Femenino"/>
    <x v="0"/>
    <x v="0"/>
    <x v="0"/>
    <s v="SOLO 2024"/>
    <s v="6010102 VILLA BUEN PASTOR"/>
  </r>
  <r>
    <n v="15"/>
    <x v="3"/>
    <x v="0"/>
    <x v="1"/>
    <x v="29"/>
    <s v="Rural"/>
    <s v="Femenino"/>
    <x v="1"/>
    <x v="0"/>
    <x v="0"/>
    <s v="SOLO 2024"/>
    <s v="6010102 VILLA BUEN PASTOR"/>
  </r>
  <r>
    <n v="16"/>
    <x v="3"/>
    <x v="0"/>
    <x v="4"/>
    <x v="30"/>
    <s v="Rural"/>
    <s v="Femenino"/>
    <x v="1"/>
    <x v="0"/>
    <x v="1"/>
    <s v="PADD 2023 Y 2024"/>
    <s v="601448 NUEVO MILAGRO"/>
  </r>
  <r>
    <n v="17"/>
    <x v="3"/>
    <x v="0"/>
    <x v="4"/>
    <x v="30"/>
    <s v="Rural"/>
    <s v="Masculino"/>
    <x v="0"/>
    <x v="0"/>
    <x v="1"/>
    <s v="PADD 2023 Y 2024"/>
    <s v="601448 NUEVO MILAGRO"/>
  </r>
  <r>
    <n v="18"/>
    <x v="3"/>
    <x v="0"/>
    <x v="4"/>
    <x v="30"/>
    <s v="Rural"/>
    <s v="Masculino"/>
    <x v="0"/>
    <x v="0"/>
    <x v="1"/>
    <s v="PADD 2023 Y 2024"/>
    <s v="601448 NUEVO MILAGRO"/>
  </r>
  <r>
    <n v="19"/>
    <x v="3"/>
    <x v="0"/>
    <x v="0"/>
    <x v="30"/>
    <s v="Rural"/>
    <s v="Masculino"/>
    <x v="0"/>
    <x v="0"/>
    <x v="3"/>
    <s v="PADD 2023 Y 2024"/>
    <s v="601448 NUEVO MILAGRO"/>
  </r>
  <r>
    <n v="20"/>
    <x v="3"/>
    <x v="0"/>
    <x v="0"/>
    <x v="30"/>
    <s v="Rural"/>
    <s v="Femenino"/>
    <x v="0"/>
    <x v="0"/>
    <x v="3"/>
    <s v="PADD 2023 Y 2024"/>
    <s v="601448 NUEVO MILAGRO"/>
  </r>
  <r>
    <n v="21"/>
    <x v="3"/>
    <x v="0"/>
    <x v="1"/>
    <x v="30"/>
    <s v="Rural"/>
    <s v="Masculino"/>
    <x v="0"/>
    <x v="0"/>
    <x v="1"/>
    <s v="PADD 2023 Y 2024"/>
    <s v="601448 NUEVO MILAGRO"/>
  </r>
  <r>
    <n v="22"/>
    <x v="3"/>
    <x v="0"/>
    <x v="1"/>
    <x v="30"/>
    <s v="Rural"/>
    <s v="Femenino"/>
    <x v="0"/>
    <x v="0"/>
    <x v="1"/>
    <s v="PADD 2023 Y 2024"/>
    <s v="601448 NUEVO MILAGRO"/>
  </r>
  <r>
    <n v="23"/>
    <x v="3"/>
    <x v="1"/>
    <x v="2"/>
    <x v="31"/>
    <s v="Rural"/>
    <s v="Masculino"/>
    <x v="1"/>
    <x v="0"/>
    <x v="3"/>
    <s v="NO PARTICIPÓ"/>
    <s v="EL MILAGRO"/>
  </r>
  <r>
    <n v="24"/>
    <x v="3"/>
    <x v="1"/>
    <x v="2"/>
    <x v="31"/>
    <s v="Rural"/>
    <s v="Femenino"/>
    <x v="0"/>
    <x v="0"/>
    <x v="3"/>
    <s v="NO PARTICIPÓ"/>
    <s v="EL MILAGRO"/>
  </r>
  <r>
    <n v="25"/>
    <x v="3"/>
    <x v="1"/>
    <x v="2"/>
    <x v="31"/>
    <s v="Rural"/>
    <s v="Femenino"/>
    <x v="0"/>
    <x v="0"/>
    <x v="3"/>
    <s v="NO PARTICIPÓ"/>
    <s v="EL MILAGRO"/>
  </r>
  <r>
    <n v="26"/>
    <x v="3"/>
    <x v="1"/>
    <x v="2"/>
    <x v="31"/>
    <s v="Rural"/>
    <s v="Femenino"/>
    <x v="0"/>
    <x v="0"/>
    <x v="3"/>
    <s v="NO PARTICIPÓ"/>
    <s v="EL MILAGRO"/>
  </r>
  <r>
    <n v="27"/>
    <x v="3"/>
    <x v="1"/>
    <x v="2"/>
    <x v="31"/>
    <s v="Rural"/>
    <s v="Masculino"/>
    <x v="0"/>
    <x v="0"/>
    <x v="3"/>
    <s v="NO PARTICIPÓ"/>
    <s v="EL MILAGRO"/>
  </r>
  <r>
    <n v="28"/>
    <x v="3"/>
    <x v="1"/>
    <x v="2"/>
    <x v="31"/>
    <s v="Rural"/>
    <s v="Femenino"/>
    <x v="0"/>
    <x v="0"/>
    <x v="3"/>
    <s v="NO PARTICIPÓ"/>
    <s v="EL MILAGRO"/>
  </r>
  <r>
    <n v="29"/>
    <x v="3"/>
    <x v="1"/>
    <x v="2"/>
    <x v="31"/>
    <s v="Rural"/>
    <s v="Masculino"/>
    <x v="1"/>
    <x v="0"/>
    <x v="3"/>
    <s v="NO PARTICIPÓ"/>
    <s v="EL MILAGRO"/>
  </r>
  <r>
    <n v="30"/>
    <x v="3"/>
    <x v="1"/>
    <x v="2"/>
    <x v="31"/>
    <s v="Rural"/>
    <s v="Femenino"/>
    <x v="0"/>
    <x v="0"/>
    <x v="3"/>
    <s v="NO PARTICIPÓ"/>
    <s v="EL MILAGRO"/>
  </r>
  <r>
    <n v="31"/>
    <x v="3"/>
    <x v="1"/>
    <x v="2"/>
    <x v="31"/>
    <s v="Rural"/>
    <s v="Femenino"/>
    <x v="0"/>
    <x v="0"/>
    <x v="3"/>
    <s v="NO PARTICIPÓ"/>
    <s v="EL MILAGRO"/>
  </r>
  <r>
    <n v="32"/>
    <x v="3"/>
    <x v="1"/>
    <x v="2"/>
    <x v="31"/>
    <s v="Rural"/>
    <s v="Femenino"/>
    <x v="0"/>
    <x v="0"/>
    <x v="3"/>
    <s v="NO PARTICIPÓ"/>
    <s v="EL MILAGRO"/>
  </r>
  <r>
    <n v="33"/>
    <x v="3"/>
    <x v="1"/>
    <x v="2"/>
    <x v="31"/>
    <s v="Rural"/>
    <s v="Femenino"/>
    <x v="0"/>
    <x v="0"/>
    <x v="3"/>
    <s v="NO PARTICIPÓ"/>
    <s v="EL MILAGRO"/>
  </r>
  <r>
    <n v="34"/>
    <x v="3"/>
    <x v="1"/>
    <x v="2"/>
    <x v="31"/>
    <s v="Rural"/>
    <s v="Femenino"/>
    <x v="0"/>
    <x v="0"/>
    <x v="3"/>
    <s v="NO PARTICIPÓ"/>
    <s v="EL MILAGRO"/>
  </r>
  <r>
    <n v="35"/>
    <x v="3"/>
    <x v="1"/>
    <x v="2"/>
    <x v="31"/>
    <s v="Rural"/>
    <s v="Femenino"/>
    <x v="0"/>
    <x v="0"/>
    <x v="3"/>
    <s v="NO PARTICIPÓ"/>
    <s v="EL MILAGRO"/>
  </r>
  <r>
    <n v="36"/>
    <x v="3"/>
    <x v="1"/>
    <x v="2"/>
    <x v="31"/>
    <s v="Rural"/>
    <s v="Masculino"/>
    <x v="0"/>
    <x v="0"/>
    <x v="3"/>
    <s v="NO PARTICIPÓ"/>
    <s v="EL MILAGRO"/>
  </r>
  <r>
    <n v="37"/>
    <x v="3"/>
    <x v="1"/>
    <x v="2"/>
    <x v="31"/>
    <s v="Rural"/>
    <s v="Femenino"/>
    <x v="1"/>
    <x v="0"/>
    <x v="3"/>
    <s v="NO PARTICIPÓ"/>
    <s v="EL MILAGRO"/>
  </r>
  <r>
    <n v="38"/>
    <x v="3"/>
    <x v="1"/>
    <x v="2"/>
    <x v="31"/>
    <s v="Rural"/>
    <s v="Femenino"/>
    <x v="0"/>
    <x v="0"/>
    <x v="3"/>
    <s v="NO PARTICIPÓ"/>
    <s v="EL MILAGRO"/>
  </r>
  <r>
    <n v="39"/>
    <x v="3"/>
    <x v="1"/>
    <x v="2"/>
    <x v="31"/>
    <s v="Rural"/>
    <s v="Masculino"/>
    <x v="0"/>
    <x v="0"/>
    <x v="3"/>
    <s v="NO PARTICIPÓ"/>
    <s v="EL MILAGRO"/>
  </r>
  <r>
    <n v="40"/>
    <x v="3"/>
    <x v="1"/>
    <x v="2"/>
    <x v="31"/>
    <s v="Rural"/>
    <s v="Masculino"/>
    <x v="0"/>
    <x v="0"/>
    <x v="3"/>
    <s v="NO PARTICIPÓ"/>
    <s v="EL MILAGRO"/>
  </r>
  <r>
    <n v="41"/>
    <x v="3"/>
    <x v="1"/>
    <x v="2"/>
    <x v="31"/>
    <s v="Rural"/>
    <s v="Femenino"/>
    <x v="0"/>
    <x v="0"/>
    <x v="3"/>
    <s v="NO PARTICIPÓ"/>
    <s v="EL MILAGRO"/>
  </r>
  <r>
    <n v="42"/>
    <x v="3"/>
    <x v="1"/>
    <x v="2"/>
    <x v="31"/>
    <s v="Rural"/>
    <s v="Masculino"/>
    <x v="0"/>
    <x v="0"/>
    <x v="3"/>
    <s v="NO PARTICIPÓ"/>
    <s v="EL MILAGRO"/>
  </r>
  <r>
    <n v="43"/>
    <x v="3"/>
    <x v="1"/>
    <x v="2"/>
    <x v="31"/>
    <s v="Rural"/>
    <s v="Femenino"/>
    <x v="0"/>
    <x v="0"/>
    <x v="3"/>
    <s v="NO PARTICIPÓ"/>
    <s v="EL MILAGRO"/>
  </r>
  <r>
    <n v="44"/>
    <x v="3"/>
    <x v="1"/>
    <x v="2"/>
    <x v="31"/>
    <s v="Rural"/>
    <s v="Femenino"/>
    <x v="0"/>
    <x v="0"/>
    <x v="3"/>
    <s v="NO PARTICIPÓ"/>
    <s v="EL MILAGRO"/>
  </r>
  <r>
    <n v="45"/>
    <x v="3"/>
    <x v="1"/>
    <x v="2"/>
    <x v="31"/>
    <s v="Rural"/>
    <s v="Femenino"/>
    <x v="0"/>
    <x v="0"/>
    <x v="3"/>
    <s v="NO PARTICIPÓ"/>
    <s v="EL MILAGRO"/>
  </r>
  <r>
    <n v="46"/>
    <x v="3"/>
    <x v="1"/>
    <x v="2"/>
    <x v="31"/>
    <s v="Rural"/>
    <s v="Masculino"/>
    <x v="0"/>
    <x v="0"/>
    <x v="3"/>
    <s v="NO PARTICIPÓ"/>
    <s v="EL MILAGRO"/>
  </r>
  <r>
    <n v="47"/>
    <x v="3"/>
    <x v="1"/>
    <x v="2"/>
    <x v="31"/>
    <s v="Rural"/>
    <s v="Masculino"/>
    <x v="0"/>
    <x v="0"/>
    <x v="3"/>
    <s v="NO PARTICIPÓ"/>
    <s v="EL MILAGRO"/>
  </r>
  <r>
    <n v="48"/>
    <x v="3"/>
    <x v="1"/>
    <x v="2"/>
    <x v="31"/>
    <s v="Rural"/>
    <s v="Femenino"/>
    <x v="1"/>
    <x v="0"/>
    <x v="3"/>
    <s v="NO PARTICIPÓ"/>
    <s v="EL MILAGRO"/>
  </r>
  <r>
    <n v="49"/>
    <x v="3"/>
    <x v="1"/>
    <x v="3"/>
    <x v="31"/>
    <s v="Rural"/>
    <s v="Masculino"/>
    <x v="0"/>
    <x v="0"/>
    <x v="3"/>
    <s v="NO PARTICIPÓ"/>
    <s v="EL MILAGRO"/>
  </r>
  <r>
    <n v="50"/>
    <x v="3"/>
    <x v="1"/>
    <x v="3"/>
    <x v="31"/>
    <s v="Rural"/>
    <s v="Masculino"/>
    <x v="0"/>
    <x v="0"/>
    <x v="3"/>
    <s v="NO PARTICIPÓ"/>
    <s v="EL MILAGRO"/>
  </r>
  <r>
    <n v="51"/>
    <x v="3"/>
    <x v="1"/>
    <x v="3"/>
    <x v="31"/>
    <s v="Rural"/>
    <s v="Femenino"/>
    <x v="0"/>
    <x v="0"/>
    <x v="3"/>
    <s v="NO PARTICIPÓ"/>
    <s v="EL MILAGRO"/>
  </r>
  <r>
    <n v="52"/>
    <x v="3"/>
    <x v="1"/>
    <x v="3"/>
    <x v="31"/>
    <s v="Rural"/>
    <s v="Masculino"/>
    <x v="0"/>
    <x v="0"/>
    <x v="3"/>
    <s v="NO PARTICIPÓ"/>
    <s v="EL MILAGRO"/>
  </r>
  <r>
    <n v="53"/>
    <x v="3"/>
    <x v="1"/>
    <x v="3"/>
    <x v="31"/>
    <s v="Rural"/>
    <s v="Masculino"/>
    <x v="0"/>
    <x v="0"/>
    <x v="3"/>
    <s v="NO PARTICIPÓ"/>
    <s v="EL MILAGRO"/>
  </r>
  <r>
    <n v="54"/>
    <x v="3"/>
    <x v="1"/>
    <x v="3"/>
    <x v="31"/>
    <s v="Rural"/>
    <s v="Masculino"/>
    <x v="0"/>
    <x v="0"/>
    <x v="3"/>
    <s v="NO PARTICIPÓ"/>
    <s v="EL MILAGRO"/>
  </r>
  <r>
    <n v="55"/>
    <x v="3"/>
    <x v="1"/>
    <x v="3"/>
    <x v="31"/>
    <s v="Rural"/>
    <s v="Masculino"/>
    <x v="1"/>
    <x v="0"/>
    <x v="3"/>
    <s v="NO PARTICIPÓ"/>
    <s v="EL MILAGRO"/>
  </r>
  <r>
    <n v="56"/>
    <x v="3"/>
    <x v="1"/>
    <x v="3"/>
    <x v="31"/>
    <s v="Rural"/>
    <s v="Masculino"/>
    <x v="0"/>
    <x v="0"/>
    <x v="3"/>
    <s v="NO PARTICIPÓ"/>
    <s v="EL MILAGRO"/>
  </r>
  <r>
    <n v="57"/>
    <x v="3"/>
    <x v="1"/>
    <x v="3"/>
    <x v="31"/>
    <s v="Rural"/>
    <s v="Masculino"/>
    <x v="0"/>
    <x v="0"/>
    <x v="3"/>
    <s v="NO PARTICIPÓ"/>
    <s v="EL MILAGRO"/>
  </r>
  <r>
    <n v="58"/>
    <x v="3"/>
    <x v="1"/>
    <x v="3"/>
    <x v="31"/>
    <s v="Rural"/>
    <s v="Femenino"/>
    <x v="0"/>
    <x v="0"/>
    <x v="3"/>
    <s v="NO PARTICIPÓ"/>
    <s v="EL MILAGRO"/>
  </r>
  <r>
    <n v="59"/>
    <x v="3"/>
    <x v="1"/>
    <x v="3"/>
    <x v="31"/>
    <s v="Rural"/>
    <s v="Masculino"/>
    <x v="0"/>
    <x v="0"/>
    <x v="3"/>
    <s v="NO PARTICIPÓ"/>
    <s v="EL MILAGRO"/>
  </r>
  <r>
    <n v="60"/>
    <x v="3"/>
    <x v="1"/>
    <x v="3"/>
    <x v="31"/>
    <s v="Rural"/>
    <s v="Masculino"/>
    <x v="0"/>
    <x v="0"/>
    <x v="3"/>
    <s v="NO PARTICIPÓ"/>
    <s v="EL MILAGRO"/>
  </r>
  <r>
    <n v="61"/>
    <x v="3"/>
    <x v="1"/>
    <x v="3"/>
    <x v="31"/>
    <s v="Rural"/>
    <s v="Masculino"/>
    <x v="0"/>
    <x v="0"/>
    <x v="3"/>
    <s v="NO PARTICIPÓ"/>
    <s v="EL MILAGRO"/>
  </r>
  <r>
    <n v="62"/>
    <x v="3"/>
    <x v="1"/>
    <x v="3"/>
    <x v="31"/>
    <s v="Rural"/>
    <s v="Masculino"/>
    <x v="0"/>
    <x v="0"/>
    <x v="3"/>
    <s v="NO PARTICIPÓ"/>
    <s v="EL MILAGRO"/>
  </r>
  <r>
    <n v="63"/>
    <x v="3"/>
    <x v="1"/>
    <x v="3"/>
    <x v="31"/>
    <s v="Rural"/>
    <s v="Masculino"/>
    <x v="0"/>
    <x v="0"/>
    <x v="3"/>
    <s v="NO PARTICIPÓ"/>
    <s v="EL MILAGRO"/>
  </r>
  <r>
    <n v="64"/>
    <x v="3"/>
    <x v="1"/>
    <x v="3"/>
    <x v="31"/>
    <s v="Rural"/>
    <s v="Femenino"/>
    <x v="0"/>
    <x v="0"/>
    <x v="3"/>
    <s v="NO PARTICIPÓ"/>
    <s v="EL MILAGRO"/>
  </r>
  <r>
    <n v="65"/>
    <x v="3"/>
    <x v="1"/>
    <x v="3"/>
    <x v="31"/>
    <s v="Rural"/>
    <s v="Femenino"/>
    <x v="0"/>
    <x v="0"/>
    <x v="3"/>
    <s v="NO PARTICIPÓ"/>
    <s v="EL MILAGRO"/>
  </r>
  <r>
    <n v="66"/>
    <x v="3"/>
    <x v="1"/>
    <x v="3"/>
    <x v="31"/>
    <s v="Rural"/>
    <s v="Femenino"/>
    <x v="0"/>
    <x v="0"/>
    <x v="3"/>
    <s v="NO PARTICIPÓ"/>
    <s v="EL MILAGRO"/>
  </r>
  <r>
    <n v="67"/>
    <x v="3"/>
    <x v="1"/>
    <x v="3"/>
    <x v="31"/>
    <s v="Rural"/>
    <s v="Masculino"/>
    <x v="0"/>
    <x v="0"/>
    <x v="3"/>
    <s v="NO PARTICIPÓ"/>
    <s v="EL MILAGRO"/>
  </r>
  <r>
    <n v="68"/>
    <x v="3"/>
    <x v="1"/>
    <x v="3"/>
    <x v="31"/>
    <s v="Rural"/>
    <s v="Femenino"/>
    <x v="0"/>
    <x v="0"/>
    <x v="3"/>
    <s v="NO PARTICIPÓ"/>
    <s v="EL MILAGRO"/>
  </r>
  <r>
    <n v="69"/>
    <x v="3"/>
    <x v="1"/>
    <x v="3"/>
    <x v="31"/>
    <s v="Rural"/>
    <s v="Femenino"/>
    <x v="0"/>
    <x v="0"/>
    <x v="3"/>
    <s v="NO PARTICIPÓ"/>
    <s v="EL MILAGRO"/>
  </r>
  <r>
    <n v="70"/>
    <x v="3"/>
    <x v="1"/>
    <x v="3"/>
    <x v="31"/>
    <s v="Rural"/>
    <s v="Femenino"/>
    <x v="0"/>
    <x v="0"/>
    <x v="3"/>
    <s v="NO PARTICIPÓ"/>
    <s v="EL MILAGRO"/>
  </r>
  <r>
    <n v="71"/>
    <x v="3"/>
    <x v="1"/>
    <x v="3"/>
    <x v="31"/>
    <s v="Rural"/>
    <s v="Masculino"/>
    <x v="0"/>
    <x v="0"/>
    <x v="3"/>
    <s v="NO PARTICIPÓ"/>
    <s v="EL MILAGRO"/>
  </r>
  <r>
    <n v="72"/>
    <x v="3"/>
    <x v="1"/>
    <x v="3"/>
    <x v="31"/>
    <s v="Rural"/>
    <s v="Masculino"/>
    <x v="0"/>
    <x v="0"/>
    <x v="3"/>
    <s v="NO PARTICIPÓ"/>
    <s v="EL MILAGRO"/>
  </r>
  <r>
    <n v="73"/>
    <x v="3"/>
    <x v="0"/>
    <x v="4"/>
    <x v="32"/>
    <s v="Rural"/>
    <s v="Masculino"/>
    <x v="0"/>
    <x v="0"/>
    <x v="0"/>
    <s v="PADD 2023 Y 2024"/>
    <s v="601614 NUEVA ESPERANZA"/>
  </r>
  <r>
    <n v="74"/>
    <x v="3"/>
    <x v="0"/>
    <x v="0"/>
    <x v="32"/>
    <s v="Rural"/>
    <s v="Femenino"/>
    <x v="1"/>
    <x v="0"/>
    <x v="1"/>
    <s v="PADD 2023 Y 2024"/>
    <s v="601614 NUEVA ESPERANZA"/>
  </r>
  <r>
    <n v="75"/>
    <x v="3"/>
    <x v="0"/>
    <x v="4"/>
    <x v="33"/>
    <s v="Rural"/>
    <s v="Masculino"/>
    <x v="0"/>
    <x v="0"/>
    <x v="0"/>
    <s v="SOLO 2024"/>
    <s v="6010178 BELEN DE JUDA"/>
  </r>
  <r>
    <n v="76"/>
    <x v="3"/>
    <x v="0"/>
    <x v="1"/>
    <x v="33"/>
    <s v="Rural"/>
    <s v="Femenino"/>
    <x v="2"/>
    <x v="0"/>
    <x v="0"/>
    <s v="SOLO 2024"/>
    <s v="6010178 BELEN DE JUDA"/>
  </r>
  <r>
    <n v="77"/>
    <x v="3"/>
    <x v="0"/>
    <x v="4"/>
    <x v="34"/>
    <s v="Rural"/>
    <s v="Femenino"/>
    <x v="0"/>
    <x v="0"/>
    <x v="1"/>
    <s v="SOLO 2023"/>
    <s v="601514 EL DORADO"/>
  </r>
  <r>
    <n v="78"/>
    <x v="3"/>
    <x v="0"/>
    <x v="0"/>
    <x v="34"/>
    <s v="Rural"/>
    <s v="Femenino"/>
    <x v="0"/>
    <x v="0"/>
    <x v="1"/>
    <s v="SOLO 2023"/>
    <s v="601514 EL DORADO"/>
  </r>
  <r>
    <n v="79"/>
    <x v="3"/>
    <x v="0"/>
    <x v="1"/>
    <x v="34"/>
    <s v="Rural"/>
    <s v="Masculino"/>
    <x v="0"/>
    <x v="0"/>
    <x v="1"/>
    <s v="SOLO 2023"/>
    <s v="601514 EL DORADO"/>
  </r>
  <r>
    <n v="80"/>
    <x v="3"/>
    <x v="0"/>
    <x v="1"/>
    <x v="34"/>
    <s v="Rural"/>
    <s v="Femenino"/>
    <x v="0"/>
    <x v="0"/>
    <x v="1"/>
    <s v="SOLO 2023"/>
    <s v="601514 EL DORADO"/>
  </r>
  <r>
    <n v="81"/>
    <x v="3"/>
    <x v="0"/>
    <x v="4"/>
    <x v="35"/>
    <s v="Rural"/>
    <s v="Masculino"/>
    <x v="0"/>
    <x v="0"/>
    <x v="3"/>
    <s v="SOLO 2023"/>
    <s v="601331 TRECE DE FEBRERO"/>
  </r>
  <r>
    <n v="82"/>
    <x v="3"/>
    <x v="0"/>
    <x v="4"/>
    <x v="35"/>
    <s v="Rural"/>
    <s v="Masculino"/>
    <x v="0"/>
    <x v="0"/>
    <x v="3"/>
    <s v="SOLO 2023"/>
    <s v="601331 TRECE DE FEBRERO"/>
  </r>
  <r>
    <n v="83"/>
    <x v="3"/>
    <x v="0"/>
    <x v="4"/>
    <x v="35"/>
    <s v="Rural"/>
    <s v="Masculino"/>
    <x v="0"/>
    <x v="0"/>
    <x v="3"/>
    <s v="SOLO 2023"/>
    <s v="601331 TRECE DE FEBRERO"/>
  </r>
  <r>
    <n v="84"/>
    <x v="3"/>
    <x v="0"/>
    <x v="4"/>
    <x v="35"/>
    <s v="Rural"/>
    <s v="Femenino"/>
    <x v="0"/>
    <x v="0"/>
    <x v="3"/>
    <s v="SOLO 2023"/>
    <s v="601331 TRECE DE FEBRERO"/>
  </r>
  <r>
    <n v="85"/>
    <x v="3"/>
    <x v="0"/>
    <x v="4"/>
    <x v="35"/>
    <s v="Rural"/>
    <s v="Masculino"/>
    <x v="0"/>
    <x v="0"/>
    <x v="3"/>
    <s v="SOLO 2023"/>
    <s v="601331 TRECE DE FEBRERO"/>
  </r>
  <r>
    <n v="86"/>
    <x v="3"/>
    <x v="0"/>
    <x v="4"/>
    <x v="35"/>
    <s v="Rural"/>
    <s v="Femenino"/>
    <x v="0"/>
    <x v="0"/>
    <x v="3"/>
    <s v="SOLO 2023"/>
    <s v="601331 TRECE DE FEBRERO"/>
  </r>
  <r>
    <n v="87"/>
    <x v="3"/>
    <x v="0"/>
    <x v="4"/>
    <x v="35"/>
    <s v="Rural"/>
    <s v="Femenino"/>
    <x v="0"/>
    <x v="0"/>
    <x v="3"/>
    <s v="SOLO 2023"/>
    <s v="601331 TRECE DE FEBRERO"/>
  </r>
  <r>
    <n v="88"/>
    <x v="3"/>
    <x v="0"/>
    <x v="4"/>
    <x v="35"/>
    <s v="Rural"/>
    <s v="Masculino"/>
    <x v="0"/>
    <x v="0"/>
    <x v="3"/>
    <s v="SOLO 2023"/>
    <s v="601331 TRECE DE FEBRERO"/>
  </r>
  <r>
    <n v="89"/>
    <x v="3"/>
    <x v="0"/>
    <x v="4"/>
    <x v="35"/>
    <s v="Rural"/>
    <s v="Femenino"/>
    <x v="0"/>
    <x v="0"/>
    <x v="3"/>
    <s v="SOLO 2023"/>
    <s v="601331 TRECE DE FEBRERO"/>
  </r>
  <r>
    <n v="90"/>
    <x v="3"/>
    <x v="0"/>
    <x v="0"/>
    <x v="35"/>
    <s v="Rural"/>
    <s v="Masculino"/>
    <x v="0"/>
    <x v="0"/>
    <x v="3"/>
    <s v="SOLO 2023"/>
    <s v="601331 TRECE DE FEBRERO"/>
  </r>
  <r>
    <n v="91"/>
    <x v="3"/>
    <x v="0"/>
    <x v="0"/>
    <x v="35"/>
    <s v="Rural"/>
    <s v="Femenino"/>
    <x v="0"/>
    <x v="0"/>
    <x v="3"/>
    <s v="SOLO 2023"/>
    <s v="601331 TRECE DE FEBRERO"/>
  </r>
  <r>
    <n v="92"/>
    <x v="3"/>
    <x v="0"/>
    <x v="0"/>
    <x v="35"/>
    <s v="Rural"/>
    <s v="Femenino"/>
    <x v="1"/>
    <x v="0"/>
    <x v="3"/>
    <s v="SOLO 2023"/>
    <s v="601331 TRECE DE FEBRERO"/>
  </r>
  <r>
    <n v="93"/>
    <x v="3"/>
    <x v="0"/>
    <x v="0"/>
    <x v="35"/>
    <s v="Rural"/>
    <s v="Masculino"/>
    <x v="0"/>
    <x v="0"/>
    <x v="3"/>
    <s v="SOLO 2023"/>
    <s v="601331 TRECE DE FEBRERO"/>
  </r>
  <r>
    <n v="94"/>
    <x v="3"/>
    <x v="0"/>
    <x v="0"/>
    <x v="35"/>
    <s v="Rural"/>
    <s v="Masculino"/>
    <x v="0"/>
    <x v="0"/>
    <x v="3"/>
    <s v="SOLO 2023"/>
    <s v="601331 TRECE DE FEBRERO"/>
  </r>
  <r>
    <n v="95"/>
    <x v="3"/>
    <x v="0"/>
    <x v="0"/>
    <x v="35"/>
    <s v="Rural"/>
    <s v="Masculino"/>
    <x v="0"/>
    <x v="0"/>
    <x v="3"/>
    <s v="SOLO 2023"/>
    <s v="601331 TRECE DE FEBRERO"/>
  </r>
  <r>
    <n v="96"/>
    <x v="3"/>
    <x v="0"/>
    <x v="0"/>
    <x v="35"/>
    <s v="Rural"/>
    <s v="Femenino"/>
    <x v="1"/>
    <x v="0"/>
    <x v="3"/>
    <s v="SOLO 2023"/>
    <s v="601331 TRECE DE FEBRERO"/>
  </r>
  <r>
    <n v="97"/>
    <x v="3"/>
    <x v="0"/>
    <x v="1"/>
    <x v="35"/>
    <s v="Rural"/>
    <s v="Masculino"/>
    <x v="1"/>
    <x v="0"/>
    <x v="3"/>
    <s v="SOLO 2023"/>
    <s v="601331 TRECE DE FEBRERO"/>
  </r>
  <r>
    <n v="98"/>
    <x v="3"/>
    <x v="0"/>
    <x v="1"/>
    <x v="35"/>
    <s v="Rural"/>
    <s v="Femenino"/>
    <x v="1"/>
    <x v="0"/>
    <x v="3"/>
    <s v="SOLO 2023"/>
    <s v="601331 TRECE DE FEBRERO"/>
  </r>
  <r>
    <n v="99"/>
    <x v="3"/>
    <x v="0"/>
    <x v="1"/>
    <x v="35"/>
    <s v="Rural"/>
    <s v="Femenino"/>
    <x v="1"/>
    <x v="0"/>
    <x v="3"/>
    <s v="SOLO 2023"/>
    <s v="601331 TRECE DE FEBRERO"/>
  </r>
  <r>
    <n v="100"/>
    <x v="3"/>
    <x v="0"/>
    <x v="1"/>
    <x v="35"/>
    <s v="Rural"/>
    <s v="Masculino"/>
    <x v="1"/>
    <x v="0"/>
    <x v="3"/>
    <s v="SOLO 2023"/>
    <s v="601331 TRECE DE FEBRERO"/>
  </r>
  <r>
    <n v="101"/>
    <x v="3"/>
    <x v="0"/>
    <x v="1"/>
    <x v="35"/>
    <s v="Rural"/>
    <s v="Masculino"/>
    <x v="1"/>
    <x v="0"/>
    <x v="3"/>
    <s v="SOLO 2023"/>
    <s v="601331 TRECE DE FEBRERO"/>
  </r>
  <r>
    <n v="102"/>
    <x v="3"/>
    <x v="0"/>
    <x v="1"/>
    <x v="35"/>
    <s v="Rural"/>
    <s v="Femenino"/>
    <x v="1"/>
    <x v="0"/>
    <x v="3"/>
    <s v="SOLO 2023"/>
    <s v="601331 TRECE DE FEBRERO"/>
  </r>
  <r>
    <n v="103"/>
    <x v="3"/>
    <x v="0"/>
    <x v="1"/>
    <x v="35"/>
    <s v="Rural"/>
    <s v="Femenino"/>
    <x v="1"/>
    <x v="0"/>
    <x v="3"/>
    <s v="SOLO 2023"/>
    <s v="601331 TRECE DE FEBRERO"/>
  </r>
  <r>
    <n v="104"/>
    <x v="3"/>
    <x v="0"/>
    <x v="1"/>
    <x v="35"/>
    <s v="Rural"/>
    <s v="Femenino"/>
    <x v="2"/>
    <x v="0"/>
    <x v="3"/>
    <s v="SOLO 2023"/>
    <s v="601331 TRECE DE FEBRERO"/>
  </r>
  <r>
    <n v="105"/>
    <x v="3"/>
    <x v="0"/>
    <x v="1"/>
    <x v="35"/>
    <s v="Rural"/>
    <s v="Masculino"/>
    <x v="1"/>
    <x v="0"/>
    <x v="3"/>
    <s v="SOLO 2023"/>
    <s v="601331 TRECE DE FEBRERO"/>
  </r>
  <r>
    <n v="106"/>
    <x v="3"/>
    <x v="1"/>
    <x v="2"/>
    <x v="35"/>
    <s v="Rural"/>
    <s v="Femenino"/>
    <x v="1"/>
    <x v="0"/>
    <x v="3"/>
    <s v="SOLO 2023"/>
    <s v="601331 TRECE DE FEBRERO"/>
  </r>
  <r>
    <n v="107"/>
    <x v="3"/>
    <x v="1"/>
    <x v="2"/>
    <x v="35"/>
    <s v="Rural"/>
    <s v="Femenino"/>
    <x v="1"/>
    <x v="0"/>
    <x v="3"/>
    <s v="SOLO 2023"/>
    <s v="601331 TRECE DE FEBRERO"/>
  </r>
  <r>
    <n v="108"/>
    <x v="3"/>
    <x v="1"/>
    <x v="2"/>
    <x v="35"/>
    <s v="Rural"/>
    <s v="Masculino"/>
    <x v="0"/>
    <x v="0"/>
    <x v="3"/>
    <s v="SOLO 2023"/>
    <s v="601331 TRECE DE FEBRERO"/>
  </r>
  <r>
    <n v="109"/>
    <x v="3"/>
    <x v="1"/>
    <x v="2"/>
    <x v="35"/>
    <s v="Rural"/>
    <s v="Femenino"/>
    <x v="1"/>
    <x v="0"/>
    <x v="3"/>
    <s v="SOLO 2023"/>
    <s v="601331 TRECE DE FEBRERO"/>
  </r>
  <r>
    <n v="110"/>
    <x v="3"/>
    <x v="1"/>
    <x v="2"/>
    <x v="35"/>
    <s v="Rural"/>
    <s v="Masculino"/>
    <x v="1"/>
    <x v="0"/>
    <x v="3"/>
    <s v="SOLO 2023"/>
    <s v="601331 TRECE DE FEBRERO"/>
  </r>
  <r>
    <n v="111"/>
    <x v="3"/>
    <x v="1"/>
    <x v="2"/>
    <x v="35"/>
    <s v="Rural"/>
    <s v="Masculino"/>
    <x v="0"/>
    <x v="0"/>
    <x v="3"/>
    <s v="SOLO 2023"/>
    <s v="601331 TRECE DE FEBRERO"/>
  </r>
  <r>
    <n v="112"/>
    <x v="3"/>
    <x v="1"/>
    <x v="2"/>
    <x v="35"/>
    <s v="Rural"/>
    <s v="Masculino"/>
    <x v="0"/>
    <x v="0"/>
    <x v="3"/>
    <s v="SOLO 2023"/>
    <s v="601331 TRECE DE FEBRERO"/>
  </r>
  <r>
    <n v="113"/>
    <x v="3"/>
    <x v="1"/>
    <x v="2"/>
    <x v="35"/>
    <s v="Rural"/>
    <s v="Femenino"/>
    <x v="1"/>
    <x v="0"/>
    <x v="3"/>
    <s v="SOLO 2023"/>
    <s v="601331 TRECE DE FEBRERO"/>
  </r>
  <r>
    <n v="114"/>
    <x v="3"/>
    <x v="1"/>
    <x v="2"/>
    <x v="35"/>
    <s v="Rural"/>
    <s v="Masculino"/>
    <x v="1"/>
    <x v="0"/>
    <x v="3"/>
    <s v="SOLO 2023"/>
    <s v="601331 TRECE DE FEBRERO"/>
  </r>
  <r>
    <n v="115"/>
    <x v="3"/>
    <x v="1"/>
    <x v="2"/>
    <x v="35"/>
    <s v="Rural"/>
    <s v="Masculino"/>
    <x v="1"/>
    <x v="0"/>
    <x v="3"/>
    <s v="SOLO 2023"/>
    <s v="601331 TRECE DE FEBRERO"/>
  </r>
  <r>
    <n v="116"/>
    <x v="3"/>
    <x v="1"/>
    <x v="2"/>
    <x v="35"/>
    <s v="Rural"/>
    <s v="Masculino"/>
    <x v="0"/>
    <x v="0"/>
    <x v="3"/>
    <s v="SOLO 2023"/>
    <s v="601331 TRECE DE FEBRERO"/>
  </r>
  <r>
    <n v="117"/>
    <x v="3"/>
    <x v="1"/>
    <x v="2"/>
    <x v="35"/>
    <s v="Rural"/>
    <s v="Femenino"/>
    <x v="1"/>
    <x v="0"/>
    <x v="3"/>
    <s v="SOLO 2023"/>
    <s v="601331 TRECE DE FEBRERO"/>
  </r>
  <r>
    <n v="118"/>
    <x v="3"/>
    <x v="1"/>
    <x v="3"/>
    <x v="35"/>
    <s v="Rural"/>
    <s v="Femenino"/>
    <x v="0"/>
    <x v="0"/>
    <x v="3"/>
    <s v="SOLO 2023"/>
    <s v="601331 TRECE DE FEBRERO"/>
  </r>
  <r>
    <n v="119"/>
    <x v="3"/>
    <x v="1"/>
    <x v="3"/>
    <x v="35"/>
    <s v="Rural"/>
    <s v="Masculino"/>
    <x v="1"/>
    <x v="0"/>
    <x v="3"/>
    <s v="SOLO 2023"/>
    <s v="601331 TRECE DE FEBRERO"/>
  </r>
  <r>
    <n v="120"/>
    <x v="3"/>
    <x v="1"/>
    <x v="3"/>
    <x v="35"/>
    <s v="Rural"/>
    <s v="Masculino"/>
    <x v="1"/>
    <x v="0"/>
    <x v="3"/>
    <s v="SOLO 2023"/>
    <s v="601331 TRECE DE FEBRERO"/>
  </r>
  <r>
    <n v="121"/>
    <x v="3"/>
    <x v="1"/>
    <x v="3"/>
    <x v="35"/>
    <s v="Rural"/>
    <s v="Masculino"/>
    <x v="0"/>
    <x v="0"/>
    <x v="3"/>
    <s v="SOLO 2023"/>
    <s v="601331 TRECE DE FEBRERO"/>
  </r>
  <r>
    <n v="122"/>
    <x v="3"/>
    <x v="1"/>
    <x v="3"/>
    <x v="35"/>
    <s v="Rural"/>
    <s v="Masculino"/>
    <x v="1"/>
    <x v="0"/>
    <x v="3"/>
    <s v="SOLO 2023"/>
    <s v="601331 TRECE DE FEBRERO"/>
  </r>
  <r>
    <n v="123"/>
    <x v="3"/>
    <x v="1"/>
    <x v="3"/>
    <x v="35"/>
    <s v="Rural"/>
    <s v="Masculino"/>
    <x v="1"/>
    <x v="0"/>
    <x v="3"/>
    <s v="SOLO 2023"/>
    <s v="601331 TRECE DE FEBRERO"/>
  </r>
  <r>
    <n v="124"/>
    <x v="3"/>
    <x v="1"/>
    <x v="3"/>
    <x v="35"/>
    <s v="Rural"/>
    <s v="Femenino"/>
    <x v="1"/>
    <x v="0"/>
    <x v="3"/>
    <s v="SOLO 2023"/>
    <s v="601331 TRECE DE FEBRERO"/>
  </r>
  <r>
    <n v="125"/>
    <x v="3"/>
    <x v="1"/>
    <x v="3"/>
    <x v="35"/>
    <s v="Rural"/>
    <s v="Femenino"/>
    <x v="1"/>
    <x v="0"/>
    <x v="3"/>
    <s v="SOLO 2023"/>
    <s v="601331 TRECE DE FEBRERO"/>
  </r>
  <r>
    <n v="126"/>
    <x v="3"/>
    <x v="1"/>
    <x v="3"/>
    <x v="35"/>
    <s v="Rural"/>
    <s v="Masculino"/>
    <x v="1"/>
    <x v="0"/>
    <x v="3"/>
    <s v="SOLO 2023"/>
    <s v="601331 TRECE DE FEBRERO"/>
  </r>
  <r>
    <n v="127"/>
    <x v="3"/>
    <x v="1"/>
    <x v="3"/>
    <x v="35"/>
    <s v="Rural"/>
    <s v="Femenino"/>
    <x v="1"/>
    <x v="0"/>
    <x v="3"/>
    <s v="SOLO 2023"/>
    <s v="601331 TRECE DE FEBRERO"/>
  </r>
  <r>
    <n v="128"/>
    <x v="3"/>
    <x v="1"/>
    <x v="3"/>
    <x v="35"/>
    <s v="Rural"/>
    <s v="Masculino"/>
    <x v="1"/>
    <x v="0"/>
    <x v="3"/>
    <s v="SOLO 2023"/>
    <s v="601331 TRECE DE FEBRERO"/>
  </r>
  <r>
    <n v="129"/>
    <x v="3"/>
    <x v="0"/>
    <x v="4"/>
    <x v="36"/>
    <s v="Rural"/>
    <s v="Femenino"/>
    <x v="1"/>
    <x v="0"/>
    <x v="0"/>
    <s v="SOLO 2024"/>
    <s v="601391 PAUJIL II ZONA"/>
  </r>
  <r>
    <n v="130"/>
    <x v="3"/>
    <x v="0"/>
    <x v="1"/>
    <x v="36"/>
    <s v="Rural"/>
    <s v="Masculino"/>
    <x v="0"/>
    <x v="0"/>
    <x v="0"/>
    <s v="SOLO 2024"/>
    <s v="601391 PAUJIL II ZONA"/>
  </r>
  <r>
    <n v="131"/>
    <x v="3"/>
    <x v="0"/>
    <x v="4"/>
    <x v="37"/>
    <s v="Rural"/>
    <s v="Femenino"/>
    <x v="0"/>
    <x v="0"/>
    <x v="0"/>
    <s v="SOLO 2024"/>
    <s v="601570 ANGEL CARDENAS I"/>
  </r>
  <r>
    <n v="132"/>
    <x v="3"/>
    <x v="0"/>
    <x v="4"/>
    <x v="37"/>
    <s v="Rural"/>
    <s v="Masculino"/>
    <x v="0"/>
    <x v="0"/>
    <x v="0"/>
    <s v="SOLO 2024"/>
    <s v="601570 ANGEL CARDENAS I"/>
  </r>
  <r>
    <n v="133"/>
    <x v="3"/>
    <x v="0"/>
    <x v="1"/>
    <x v="37"/>
    <s v="Rural"/>
    <s v="Masculino"/>
    <x v="0"/>
    <x v="0"/>
    <x v="0"/>
    <s v="SOLO 2024"/>
    <s v="601570 ANGEL CARDENAS I"/>
  </r>
  <r>
    <n v="134"/>
    <x v="3"/>
    <x v="0"/>
    <x v="0"/>
    <x v="38"/>
    <s v="Rural"/>
    <s v="Femenino"/>
    <x v="0"/>
    <x v="0"/>
    <x v="0"/>
    <s v="SOLO 2024"/>
    <s v="601678 ANGEL CARDENAS II"/>
  </r>
  <r>
    <n v="135"/>
    <x v="3"/>
    <x v="0"/>
    <x v="1"/>
    <x v="38"/>
    <s v="Rural"/>
    <s v="Masculino"/>
    <x v="0"/>
    <x v="0"/>
    <x v="0"/>
    <s v="SOLO 2024"/>
    <s v="601678 ANGEL CARDENAS II"/>
  </r>
  <r>
    <n v="136"/>
    <x v="3"/>
    <x v="0"/>
    <x v="4"/>
    <x v="39"/>
    <s v="Rural"/>
    <s v="Masculino"/>
    <x v="0"/>
    <x v="0"/>
    <x v="1"/>
    <s v="PADD 2023 Y 2024"/>
    <s v="6010230 NUEVO HORIZONTE"/>
  </r>
  <r>
    <n v="137"/>
    <x v="3"/>
    <x v="0"/>
    <x v="4"/>
    <x v="39"/>
    <s v="Rural"/>
    <s v="Femenino"/>
    <x v="0"/>
    <x v="0"/>
    <x v="1"/>
    <s v="PADD 2023 Y 2024"/>
    <s v="6010230 NUEVO HORIZONTE"/>
  </r>
  <r>
    <n v="138"/>
    <x v="3"/>
    <x v="0"/>
    <x v="0"/>
    <x v="39"/>
    <s v="Rural"/>
    <s v="Masculino"/>
    <x v="0"/>
    <x v="0"/>
    <x v="3"/>
    <s v="PADD 2023 Y 2024"/>
    <s v="6010230 NUEVO HORIZONTE"/>
  </r>
  <r>
    <n v="139"/>
    <x v="3"/>
    <x v="0"/>
    <x v="0"/>
    <x v="39"/>
    <s v="Rural"/>
    <s v="Masculino"/>
    <x v="0"/>
    <x v="0"/>
    <x v="3"/>
    <s v="PADD 2023 Y 2024"/>
    <s v="6010230 NUEVO HORIZONTE"/>
  </r>
  <r>
    <n v="140"/>
    <x v="3"/>
    <x v="0"/>
    <x v="1"/>
    <x v="39"/>
    <s v="Rural"/>
    <s v="Femenino"/>
    <x v="0"/>
    <x v="0"/>
    <x v="3"/>
    <s v="PADD 2023 Y 2024"/>
    <s v="6010230 NUEVO HORIZONTE"/>
  </r>
  <r>
    <n v="141"/>
    <x v="3"/>
    <x v="0"/>
    <x v="1"/>
    <x v="39"/>
    <s v="Rural"/>
    <s v="Masculino"/>
    <x v="0"/>
    <x v="0"/>
    <x v="3"/>
    <s v="PADD 2023 Y 2024"/>
    <s v="6010230 NUEVO HORIZONTE"/>
  </r>
  <r>
    <n v="142"/>
    <x v="3"/>
    <x v="0"/>
    <x v="1"/>
    <x v="39"/>
    <s v="Rural"/>
    <s v="Masculino"/>
    <x v="0"/>
    <x v="0"/>
    <x v="3"/>
    <s v="PADD 2023 Y 2024"/>
    <s v="6010230 NUEVO HORIZONTE"/>
  </r>
  <r>
    <n v="143"/>
    <x v="3"/>
    <x v="0"/>
    <x v="1"/>
    <x v="39"/>
    <s v="Rural"/>
    <s v="Masculino"/>
    <x v="0"/>
    <x v="0"/>
    <x v="3"/>
    <s v="PADD 2023 Y 2024"/>
    <s v="6010230 NUEVO HORIZONTE"/>
  </r>
  <r>
    <n v="144"/>
    <x v="3"/>
    <x v="1"/>
    <x v="2"/>
    <x v="39"/>
    <s v="Rural"/>
    <s v="Masculino"/>
    <x v="0"/>
    <x v="0"/>
    <x v="3"/>
    <s v="PADD 2023 Y 2024"/>
    <s v="6010230 NUEVO HORIZONTE"/>
  </r>
  <r>
    <n v="145"/>
    <x v="3"/>
    <x v="1"/>
    <x v="2"/>
    <x v="39"/>
    <s v="Rural"/>
    <s v="Femenino"/>
    <x v="0"/>
    <x v="0"/>
    <x v="3"/>
    <s v="PADD 2023 Y 2024"/>
    <s v="6010230 NUEVO HORIZONTE"/>
  </r>
  <r>
    <n v="146"/>
    <x v="3"/>
    <x v="1"/>
    <x v="2"/>
    <x v="39"/>
    <s v="Rural"/>
    <s v="Masculino"/>
    <x v="0"/>
    <x v="0"/>
    <x v="3"/>
    <s v="PADD 2023 Y 2024"/>
    <s v="6010230 NUEVO HORIZONTE"/>
  </r>
  <r>
    <n v="147"/>
    <x v="3"/>
    <x v="1"/>
    <x v="2"/>
    <x v="39"/>
    <s v="Rural"/>
    <s v="Femenino"/>
    <x v="0"/>
    <x v="0"/>
    <x v="3"/>
    <s v="PADD 2023 Y 2024"/>
    <s v="6010230 NUEVO HORIZONTE"/>
  </r>
  <r>
    <n v="148"/>
    <x v="3"/>
    <x v="1"/>
    <x v="2"/>
    <x v="39"/>
    <s v="Rural"/>
    <s v="Masculino"/>
    <x v="0"/>
    <x v="0"/>
    <x v="3"/>
    <s v="PADD 2023 Y 2024"/>
    <s v="6010230 NUEVO HORIZONTE"/>
  </r>
  <r>
    <n v="149"/>
    <x v="3"/>
    <x v="1"/>
    <x v="2"/>
    <x v="39"/>
    <s v="Rural"/>
    <s v="Masculino"/>
    <x v="0"/>
    <x v="0"/>
    <x v="3"/>
    <s v="PADD 2023 Y 2024"/>
    <s v="6010230 NUEVO HORIZONTE"/>
  </r>
  <r>
    <n v="150"/>
    <x v="3"/>
    <x v="1"/>
    <x v="2"/>
    <x v="39"/>
    <s v="Rural"/>
    <s v="Masculino"/>
    <x v="0"/>
    <x v="0"/>
    <x v="3"/>
    <s v="PADD 2023 Y 2024"/>
    <s v="6010230 NUEVO HORIZONTE"/>
  </r>
  <r>
    <n v="151"/>
    <x v="3"/>
    <x v="1"/>
    <x v="2"/>
    <x v="39"/>
    <s v="Rural"/>
    <s v="Masculino"/>
    <x v="0"/>
    <x v="0"/>
    <x v="3"/>
    <s v="PADD 2023 Y 2024"/>
    <s v="6010230 NUEVO HORIZONTE"/>
  </r>
  <r>
    <n v="152"/>
    <x v="3"/>
    <x v="1"/>
    <x v="3"/>
    <x v="39"/>
    <s v="Rural"/>
    <s v="Femenino"/>
    <x v="0"/>
    <x v="0"/>
    <x v="3"/>
    <s v="PADD 2023 Y 2024"/>
    <s v="6010230 NUEVO HORIZONTE"/>
  </r>
  <r>
    <n v="153"/>
    <x v="3"/>
    <x v="1"/>
    <x v="3"/>
    <x v="39"/>
    <s v="Rural"/>
    <s v="Masculino"/>
    <x v="0"/>
    <x v="0"/>
    <x v="3"/>
    <s v="PADD 2023 Y 2024"/>
    <s v="6010230 NUEVO HORIZONTE"/>
  </r>
  <r>
    <n v="154"/>
    <x v="3"/>
    <x v="1"/>
    <x v="3"/>
    <x v="39"/>
    <s v="Rural"/>
    <s v="Femenino"/>
    <x v="0"/>
    <x v="0"/>
    <x v="3"/>
    <s v="PADD 2023 Y 2024"/>
    <s v="6010230 NUEVO HORIZONTE"/>
  </r>
  <r>
    <n v="155"/>
    <x v="3"/>
    <x v="0"/>
    <x v="4"/>
    <x v="40"/>
    <s v="Rural"/>
    <s v="Masculino"/>
    <x v="0"/>
    <x v="0"/>
    <x v="0"/>
    <s v="SOLO 2024"/>
    <s v="60181 SAN PEDRO DE PINTUYACU"/>
  </r>
  <r>
    <n v="156"/>
    <x v="3"/>
    <x v="0"/>
    <x v="4"/>
    <x v="41"/>
    <s v="Rural"/>
    <s v="Masculino"/>
    <x v="0"/>
    <x v="0"/>
    <x v="0"/>
    <s v="SOLO 2024"/>
    <s v="6010231 EX PETROLEROS I"/>
  </r>
  <r>
    <n v="157"/>
    <x v="3"/>
    <x v="0"/>
    <x v="4"/>
    <x v="41"/>
    <s v="Rural"/>
    <s v="Femenino"/>
    <x v="0"/>
    <x v="0"/>
    <x v="0"/>
    <s v="SOLO 2024"/>
    <s v="6010231 EX PETROLEROS I"/>
  </r>
  <r>
    <n v="158"/>
    <x v="3"/>
    <x v="0"/>
    <x v="4"/>
    <x v="41"/>
    <s v="Rural"/>
    <s v="Femenino"/>
    <x v="0"/>
    <x v="0"/>
    <x v="0"/>
    <s v="SOLO 2024"/>
    <s v="6010231 EX PETROLEROS I"/>
  </r>
  <r>
    <n v="159"/>
    <x v="3"/>
    <x v="0"/>
    <x v="4"/>
    <x v="41"/>
    <s v="Rural"/>
    <s v="Masculino"/>
    <x v="0"/>
    <x v="0"/>
    <x v="0"/>
    <s v="SOLO 2024"/>
    <s v="6010231 EX PETROLEROS I"/>
  </r>
  <r>
    <n v="160"/>
    <x v="3"/>
    <x v="0"/>
    <x v="4"/>
    <x v="41"/>
    <s v="Rural"/>
    <s v="Masculino"/>
    <x v="0"/>
    <x v="0"/>
    <x v="0"/>
    <s v="SOLO 2024"/>
    <s v="6010231 EX PETROLEROS I"/>
  </r>
  <r>
    <n v="161"/>
    <x v="3"/>
    <x v="0"/>
    <x v="4"/>
    <x v="41"/>
    <s v="Rural"/>
    <s v="Femenino"/>
    <x v="0"/>
    <x v="0"/>
    <x v="0"/>
    <s v="SOLO 2024"/>
    <s v="6010231 EX PETROLEROS I"/>
  </r>
  <r>
    <n v="162"/>
    <x v="3"/>
    <x v="0"/>
    <x v="4"/>
    <x v="41"/>
    <s v="Rural"/>
    <s v="Masculino"/>
    <x v="0"/>
    <x v="0"/>
    <x v="0"/>
    <s v="SOLO 2024"/>
    <s v="6010231 EX PETROLEROS I"/>
  </r>
  <r>
    <n v="163"/>
    <x v="3"/>
    <x v="0"/>
    <x v="4"/>
    <x v="41"/>
    <s v="Rural"/>
    <s v="Femenino"/>
    <x v="0"/>
    <x v="0"/>
    <x v="0"/>
    <s v="SOLO 2024"/>
    <s v="6010231 EX PETROLEROS I"/>
  </r>
  <r>
    <n v="164"/>
    <x v="3"/>
    <x v="0"/>
    <x v="4"/>
    <x v="41"/>
    <s v="Rural"/>
    <s v="Femenino"/>
    <x v="0"/>
    <x v="0"/>
    <x v="0"/>
    <s v="SOLO 2024"/>
    <s v="6010231 EX PETROLEROS I"/>
  </r>
  <r>
    <n v="165"/>
    <x v="3"/>
    <x v="0"/>
    <x v="4"/>
    <x v="41"/>
    <s v="Rural"/>
    <s v="Femenino"/>
    <x v="0"/>
    <x v="0"/>
    <x v="0"/>
    <s v="SOLO 2024"/>
    <s v="6010231 EX PETROLEROS I"/>
  </r>
  <r>
    <n v="166"/>
    <x v="3"/>
    <x v="0"/>
    <x v="0"/>
    <x v="41"/>
    <s v="Rural"/>
    <s v="Masculino"/>
    <x v="0"/>
    <x v="0"/>
    <x v="0"/>
    <s v="SOLO 2024"/>
    <s v="6010231 EX PETROLEROS I"/>
  </r>
  <r>
    <n v="167"/>
    <x v="3"/>
    <x v="0"/>
    <x v="0"/>
    <x v="41"/>
    <s v="Rural"/>
    <s v="Masculino"/>
    <x v="0"/>
    <x v="0"/>
    <x v="0"/>
    <s v="SOLO 2024"/>
    <s v="6010231 EX PETROLEROS I"/>
  </r>
  <r>
    <n v="168"/>
    <x v="3"/>
    <x v="0"/>
    <x v="0"/>
    <x v="41"/>
    <s v="Rural"/>
    <s v="Femenino"/>
    <x v="0"/>
    <x v="0"/>
    <x v="0"/>
    <s v="SOLO 2024"/>
    <s v="6010231 EX PETROLEROS I"/>
  </r>
  <r>
    <n v="169"/>
    <x v="3"/>
    <x v="0"/>
    <x v="0"/>
    <x v="41"/>
    <s v="Rural"/>
    <s v="Masculino"/>
    <x v="0"/>
    <x v="0"/>
    <x v="0"/>
    <s v="SOLO 2024"/>
    <s v="6010231 EX PETROLEROS I"/>
  </r>
  <r>
    <n v="170"/>
    <x v="3"/>
    <x v="0"/>
    <x v="0"/>
    <x v="41"/>
    <s v="Rural"/>
    <s v="Femenino"/>
    <x v="0"/>
    <x v="0"/>
    <x v="0"/>
    <s v="SOLO 2024"/>
    <s v="6010231 EX PETROLEROS I"/>
  </r>
  <r>
    <n v="171"/>
    <x v="3"/>
    <x v="0"/>
    <x v="0"/>
    <x v="41"/>
    <s v="Rural"/>
    <s v="Femenino"/>
    <x v="0"/>
    <x v="0"/>
    <x v="0"/>
    <s v="SOLO 2024"/>
    <s v="6010231 EX PETROLEROS I"/>
  </r>
  <r>
    <n v="172"/>
    <x v="3"/>
    <x v="0"/>
    <x v="0"/>
    <x v="41"/>
    <s v="Rural"/>
    <s v="Femenino"/>
    <x v="0"/>
    <x v="0"/>
    <x v="0"/>
    <s v="SOLO 2024"/>
    <s v="6010231 EX PETROLEROS I"/>
  </r>
  <r>
    <n v="173"/>
    <x v="3"/>
    <x v="0"/>
    <x v="0"/>
    <x v="41"/>
    <s v="Rural"/>
    <s v="Masculino"/>
    <x v="0"/>
    <x v="0"/>
    <x v="0"/>
    <s v="SOLO 2024"/>
    <s v="6010231 EX PETROLEROS I"/>
  </r>
  <r>
    <n v="174"/>
    <x v="3"/>
    <x v="0"/>
    <x v="0"/>
    <x v="41"/>
    <s v="Rural"/>
    <s v="Femenino"/>
    <x v="0"/>
    <x v="0"/>
    <x v="0"/>
    <s v="SOLO 2024"/>
    <s v="6010231 EX PETROLEROS I"/>
  </r>
  <r>
    <n v="175"/>
    <x v="3"/>
    <x v="0"/>
    <x v="0"/>
    <x v="41"/>
    <s v="Rural"/>
    <s v="Femenino"/>
    <x v="0"/>
    <x v="0"/>
    <x v="0"/>
    <s v="SOLO 2024"/>
    <s v="6010231 EX PETROLEROS I"/>
  </r>
  <r>
    <n v="176"/>
    <x v="3"/>
    <x v="0"/>
    <x v="0"/>
    <x v="41"/>
    <s v="Rural"/>
    <s v="Femenino"/>
    <x v="0"/>
    <x v="0"/>
    <x v="0"/>
    <s v="SOLO 2024"/>
    <s v="6010231 EX PETROLEROS I"/>
  </r>
  <r>
    <n v="177"/>
    <x v="3"/>
    <x v="0"/>
    <x v="0"/>
    <x v="41"/>
    <s v="Rural"/>
    <s v="Masculino"/>
    <x v="0"/>
    <x v="0"/>
    <x v="0"/>
    <s v="SOLO 2024"/>
    <s v="6010231 EX PETROLEROS I"/>
  </r>
  <r>
    <n v="178"/>
    <x v="3"/>
    <x v="0"/>
    <x v="0"/>
    <x v="41"/>
    <s v="Rural"/>
    <s v="Femenino"/>
    <x v="0"/>
    <x v="0"/>
    <x v="0"/>
    <s v="SOLO 2024"/>
    <s v="6010231 EX PETROLEROS I"/>
  </r>
  <r>
    <n v="179"/>
    <x v="3"/>
    <x v="0"/>
    <x v="0"/>
    <x v="41"/>
    <s v="Rural"/>
    <s v="Masculino"/>
    <x v="0"/>
    <x v="0"/>
    <x v="0"/>
    <s v="SOLO 2024"/>
    <s v="6010231 EX PETROLEROS I"/>
  </r>
  <r>
    <n v="180"/>
    <x v="3"/>
    <x v="0"/>
    <x v="0"/>
    <x v="41"/>
    <s v="Rural"/>
    <s v="Masculino"/>
    <x v="0"/>
    <x v="0"/>
    <x v="0"/>
    <s v="SOLO 2024"/>
    <s v="6010231 EX PETROLEROS I"/>
  </r>
  <r>
    <n v="181"/>
    <x v="3"/>
    <x v="0"/>
    <x v="1"/>
    <x v="41"/>
    <s v="Rural"/>
    <s v="Femenino"/>
    <x v="0"/>
    <x v="0"/>
    <x v="0"/>
    <s v="SOLO 2024"/>
    <s v="6010231 EX PETROLEROS I"/>
  </r>
  <r>
    <n v="182"/>
    <x v="3"/>
    <x v="0"/>
    <x v="1"/>
    <x v="41"/>
    <s v="Rural"/>
    <s v="Femenino"/>
    <x v="0"/>
    <x v="0"/>
    <x v="0"/>
    <s v="SOLO 2024"/>
    <s v="6010231 EX PETROLEROS I"/>
  </r>
  <r>
    <n v="183"/>
    <x v="3"/>
    <x v="0"/>
    <x v="1"/>
    <x v="41"/>
    <s v="Rural"/>
    <s v="Masculino"/>
    <x v="0"/>
    <x v="0"/>
    <x v="0"/>
    <s v="SOLO 2024"/>
    <s v="6010231 EX PETROLEROS I"/>
  </r>
  <r>
    <n v="184"/>
    <x v="3"/>
    <x v="0"/>
    <x v="1"/>
    <x v="41"/>
    <s v="Rural"/>
    <s v="Masculino"/>
    <x v="0"/>
    <x v="0"/>
    <x v="0"/>
    <s v="SOLO 2024"/>
    <s v="6010231 EX PETROLEROS I"/>
  </r>
  <r>
    <n v="185"/>
    <x v="3"/>
    <x v="0"/>
    <x v="1"/>
    <x v="41"/>
    <s v="Rural"/>
    <s v="Femenino"/>
    <x v="0"/>
    <x v="0"/>
    <x v="0"/>
    <s v="SOLO 2024"/>
    <s v="6010231 EX PETROLEROS I"/>
  </r>
  <r>
    <n v="186"/>
    <x v="3"/>
    <x v="0"/>
    <x v="1"/>
    <x v="41"/>
    <s v="Rural"/>
    <s v="Femenino"/>
    <x v="0"/>
    <x v="0"/>
    <x v="0"/>
    <s v="SOLO 2024"/>
    <s v="6010231 EX PETROLEROS I"/>
  </r>
  <r>
    <n v="187"/>
    <x v="3"/>
    <x v="0"/>
    <x v="1"/>
    <x v="41"/>
    <s v="Rural"/>
    <s v="Masculino"/>
    <x v="0"/>
    <x v="0"/>
    <x v="0"/>
    <s v="SOLO 2024"/>
    <s v="6010231 EX PETROLEROS I"/>
  </r>
  <r>
    <n v="188"/>
    <x v="3"/>
    <x v="0"/>
    <x v="1"/>
    <x v="41"/>
    <s v="Rural"/>
    <s v="Femenino"/>
    <x v="0"/>
    <x v="0"/>
    <x v="0"/>
    <s v="SOLO 2024"/>
    <s v="6010231 EX PETROLEROS I"/>
  </r>
  <r>
    <n v="189"/>
    <x v="3"/>
    <x v="0"/>
    <x v="1"/>
    <x v="41"/>
    <s v="Rural"/>
    <s v="Masculino"/>
    <x v="0"/>
    <x v="0"/>
    <x v="0"/>
    <s v="SOLO 2024"/>
    <s v="6010231 EX PETROLEROS I"/>
  </r>
  <r>
    <n v="190"/>
    <x v="3"/>
    <x v="0"/>
    <x v="1"/>
    <x v="41"/>
    <s v="Rural"/>
    <s v="Masculino"/>
    <x v="0"/>
    <x v="0"/>
    <x v="0"/>
    <s v="SOLO 2024"/>
    <s v="6010231 EX PETROLEROS I"/>
  </r>
  <r>
    <n v="191"/>
    <x v="3"/>
    <x v="0"/>
    <x v="1"/>
    <x v="41"/>
    <s v="Rural"/>
    <s v="Femenino"/>
    <x v="0"/>
    <x v="0"/>
    <x v="0"/>
    <s v="SOLO 2024"/>
    <s v="6010231 EX PETROLEROS I"/>
  </r>
  <r>
    <n v="192"/>
    <x v="3"/>
    <x v="0"/>
    <x v="1"/>
    <x v="41"/>
    <s v="Rural"/>
    <s v="Femenino"/>
    <x v="0"/>
    <x v="0"/>
    <x v="0"/>
    <s v="SOLO 2024"/>
    <s v="6010231 EX PETROLEROS I"/>
  </r>
  <r>
    <n v="193"/>
    <x v="3"/>
    <x v="0"/>
    <x v="1"/>
    <x v="41"/>
    <s v="Rural"/>
    <s v="Femenino"/>
    <x v="0"/>
    <x v="0"/>
    <x v="0"/>
    <s v="SOLO 2024"/>
    <s v="6010231 EX PETROLEROS I"/>
  </r>
  <r>
    <n v="194"/>
    <x v="3"/>
    <x v="1"/>
    <x v="2"/>
    <x v="41"/>
    <s v="Rural"/>
    <s v="Femenino"/>
    <x v="0"/>
    <x v="0"/>
    <x v="0"/>
    <s v="SOLO 2024"/>
    <s v="6010231 EX PETROLEROS I"/>
  </r>
  <r>
    <n v="195"/>
    <x v="3"/>
    <x v="1"/>
    <x v="2"/>
    <x v="41"/>
    <s v="Rural"/>
    <s v="Masculino"/>
    <x v="0"/>
    <x v="0"/>
    <x v="0"/>
    <s v="SOLO 2024"/>
    <s v="6010231 EX PETROLEROS I"/>
  </r>
  <r>
    <n v="196"/>
    <x v="3"/>
    <x v="1"/>
    <x v="2"/>
    <x v="41"/>
    <s v="Rural"/>
    <s v="Masculino"/>
    <x v="0"/>
    <x v="0"/>
    <x v="0"/>
    <s v="SOLO 2024"/>
    <s v="6010231 EX PETROLEROS I"/>
  </r>
  <r>
    <n v="197"/>
    <x v="3"/>
    <x v="1"/>
    <x v="2"/>
    <x v="41"/>
    <s v="Rural"/>
    <s v="Masculino"/>
    <x v="0"/>
    <x v="0"/>
    <x v="0"/>
    <s v="SOLO 2024"/>
    <s v="6010231 EX PETROLEROS I"/>
  </r>
  <r>
    <n v="198"/>
    <x v="3"/>
    <x v="1"/>
    <x v="2"/>
    <x v="41"/>
    <s v="Rural"/>
    <s v="Femenino"/>
    <x v="0"/>
    <x v="0"/>
    <x v="0"/>
    <s v="SOLO 2024"/>
    <s v="6010231 EX PETROLEROS I"/>
  </r>
  <r>
    <n v="199"/>
    <x v="3"/>
    <x v="1"/>
    <x v="2"/>
    <x v="41"/>
    <s v="Rural"/>
    <s v="Femenino"/>
    <x v="0"/>
    <x v="0"/>
    <x v="0"/>
    <s v="SOLO 2024"/>
    <s v="6010231 EX PETROLEROS I"/>
  </r>
  <r>
    <n v="200"/>
    <x v="3"/>
    <x v="1"/>
    <x v="2"/>
    <x v="41"/>
    <s v="Rural"/>
    <s v="Masculino"/>
    <x v="0"/>
    <x v="0"/>
    <x v="0"/>
    <s v="SOLO 2024"/>
    <s v="6010231 EX PETROLEROS I"/>
  </r>
  <r>
    <n v="201"/>
    <x v="3"/>
    <x v="1"/>
    <x v="2"/>
    <x v="41"/>
    <s v="Rural"/>
    <s v="Masculino"/>
    <x v="0"/>
    <x v="0"/>
    <x v="0"/>
    <s v="SOLO 2024"/>
    <s v="6010231 EX PETROLEROS I"/>
  </r>
  <r>
    <n v="202"/>
    <x v="3"/>
    <x v="1"/>
    <x v="2"/>
    <x v="41"/>
    <s v="Rural"/>
    <s v="Masculino"/>
    <x v="0"/>
    <x v="0"/>
    <x v="0"/>
    <s v="SOLO 2024"/>
    <s v="6010231 EX PETROLEROS I"/>
  </r>
  <r>
    <n v="203"/>
    <x v="3"/>
    <x v="1"/>
    <x v="2"/>
    <x v="41"/>
    <s v="Rural"/>
    <s v="Masculino"/>
    <x v="0"/>
    <x v="0"/>
    <x v="0"/>
    <s v="SOLO 2024"/>
    <s v="6010231 EX PETROLEROS I"/>
  </r>
  <r>
    <n v="204"/>
    <x v="3"/>
    <x v="1"/>
    <x v="2"/>
    <x v="41"/>
    <s v="Rural"/>
    <s v="Femenino"/>
    <x v="0"/>
    <x v="0"/>
    <x v="0"/>
    <s v="SOLO 2024"/>
    <s v="6010231 EX PETROLEROS I"/>
  </r>
  <r>
    <n v="205"/>
    <x v="3"/>
    <x v="1"/>
    <x v="2"/>
    <x v="41"/>
    <s v="Rural"/>
    <s v="Femenino"/>
    <x v="0"/>
    <x v="0"/>
    <x v="0"/>
    <s v="SOLO 2024"/>
    <s v="6010231 EX PETROLEROS I"/>
  </r>
  <r>
    <n v="206"/>
    <x v="3"/>
    <x v="1"/>
    <x v="2"/>
    <x v="41"/>
    <s v="Rural"/>
    <s v="Femenino"/>
    <x v="0"/>
    <x v="0"/>
    <x v="0"/>
    <s v="SOLO 2024"/>
    <s v="6010231 EX PETROLEROS I"/>
  </r>
  <r>
    <n v="207"/>
    <x v="3"/>
    <x v="1"/>
    <x v="2"/>
    <x v="41"/>
    <s v="Rural"/>
    <s v="Masculino"/>
    <x v="0"/>
    <x v="0"/>
    <x v="0"/>
    <s v="SOLO 2024"/>
    <s v="6010231 EX PETROLEROS I"/>
  </r>
  <r>
    <n v="208"/>
    <x v="3"/>
    <x v="1"/>
    <x v="2"/>
    <x v="41"/>
    <s v="Rural"/>
    <s v="Masculino"/>
    <x v="0"/>
    <x v="0"/>
    <x v="0"/>
    <s v="SOLO 2024"/>
    <s v="6010231 EX PETROLEROS I"/>
  </r>
  <r>
    <n v="209"/>
    <x v="3"/>
    <x v="1"/>
    <x v="2"/>
    <x v="41"/>
    <s v="Rural"/>
    <s v="Femenino"/>
    <x v="0"/>
    <x v="0"/>
    <x v="0"/>
    <s v="SOLO 2024"/>
    <s v="6010231 EX PETROLEROS I"/>
  </r>
  <r>
    <n v="210"/>
    <x v="3"/>
    <x v="1"/>
    <x v="2"/>
    <x v="41"/>
    <s v="Rural"/>
    <s v="Femenino"/>
    <x v="0"/>
    <x v="0"/>
    <x v="0"/>
    <s v="SOLO 2024"/>
    <s v="6010231 EX PETROLEROS I"/>
  </r>
  <r>
    <n v="211"/>
    <x v="3"/>
    <x v="1"/>
    <x v="2"/>
    <x v="41"/>
    <s v="Rural"/>
    <s v="Femenino"/>
    <x v="0"/>
    <x v="0"/>
    <x v="0"/>
    <s v="SOLO 2024"/>
    <s v="6010231 EX PETROLEROS I"/>
  </r>
  <r>
    <n v="212"/>
    <x v="3"/>
    <x v="1"/>
    <x v="2"/>
    <x v="41"/>
    <s v="Rural"/>
    <s v="Femenino"/>
    <x v="0"/>
    <x v="0"/>
    <x v="0"/>
    <s v="SOLO 2024"/>
    <s v="6010231 EX PETROLEROS I"/>
  </r>
  <r>
    <n v="213"/>
    <x v="3"/>
    <x v="1"/>
    <x v="2"/>
    <x v="41"/>
    <s v="Rural"/>
    <s v="Femenino"/>
    <x v="0"/>
    <x v="0"/>
    <x v="0"/>
    <s v="SOLO 2024"/>
    <s v="6010231 EX PETROLEROS I"/>
  </r>
  <r>
    <n v="214"/>
    <x v="3"/>
    <x v="1"/>
    <x v="2"/>
    <x v="41"/>
    <s v="Rural"/>
    <s v="Femenino"/>
    <x v="0"/>
    <x v="0"/>
    <x v="0"/>
    <s v="SOLO 2024"/>
    <s v="6010231 EX PETROLEROS I"/>
  </r>
  <r>
    <n v="215"/>
    <x v="3"/>
    <x v="1"/>
    <x v="2"/>
    <x v="41"/>
    <s v="Rural"/>
    <s v="Masculino"/>
    <x v="0"/>
    <x v="0"/>
    <x v="0"/>
    <s v="SOLO 2024"/>
    <s v="6010231 EX PETROLEROS I"/>
  </r>
  <r>
    <n v="216"/>
    <x v="3"/>
    <x v="1"/>
    <x v="2"/>
    <x v="41"/>
    <s v="Rural"/>
    <s v="Masculino"/>
    <x v="0"/>
    <x v="0"/>
    <x v="0"/>
    <s v="SOLO 2024"/>
    <s v="6010231 EX PETROLEROS I"/>
  </r>
  <r>
    <n v="217"/>
    <x v="3"/>
    <x v="1"/>
    <x v="3"/>
    <x v="41"/>
    <s v="Rural"/>
    <s v="Femenino"/>
    <x v="0"/>
    <x v="0"/>
    <x v="0"/>
    <s v="SOLO 2024"/>
    <s v="6010231 EX PETROLEROS I"/>
  </r>
  <r>
    <n v="218"/>
    <x v="3"/>
    <x v="1"/>
    <x v="3"/>
    <x v="41"/>
    <s v="Rural"/>
    <s v="Femenino"/>
    <x v="0"/>
    <x v="0"/>
    <x v="0"/>
    <s v="SOLO 2024"/>
    <s v="6010231 EX PETROLEROS I"/>
  </r>
  <r>
    <n v="219"/>
    <x v="3"/>
    <x v="1"/>
    <x v="3"/>
    <x v="41"/>
    <s v="Rural"/>
    <s v="Femenino"/>
    <x v="0"/>
    <x v="0"/>
    <x v="0"/>
    <s v="SOLO 2024"/>
    <s v="6010231 EX PETROLEROS I"/>
  </r>
  <r>
    <n v="220"/>
    <x v="3"/>
    <x v="1"/>
    <x v="3"/>
    <x v="41"/>
    <s v="Rural"/>
    <s v="Femenino"/>
    <x v="0"/>
    <x v="0"/>
    <x v="0"/>
    <s v="SOLO 2024"/>
    <s v="6010231 EX PETROLEROS I"/>
  </r>
  <r>
    <n v="221"/>
    <x v="3"/>
    <x v="1"/>
    <x v="3"/>
    <x v="41"/>
    <s v="Rural"/>
    <s v="Femenino"/>
    <x v="0"/>
    <x v="0"/>
    <x v="0"/>
    <s v="SOLO 2024"/>
    <s v="6010231 EX PETROLEROS I"/>
  </r>
  <r>
    <n v="222"/>
    <x v="3"/>
    <x v="1"/>
    <x v="3"/>
    <x v="41"/>
    <s v="Rural"/>
    <s v="Masculino"/>
    <x v="0"/>
    <x v="0"/>
    <x v="0"/>
    <s v="SOLO 2024"/>
    <s v="6010231 EX PETROLEROS I"/>
  </r>
  <r>
    <n v="223"/>
    <x v="3"/>
    <x v="1"/>
    <x v="3"/>
    <x v="41"/>
    <s v="Rural"/>
    <s v="Masculino"/>
    <x v="0"/>
    <x v="0"/>
    <x v="0"/>
    <s v="SOLO 2024"/>
    <s v="6010231 EX PETROLEROS I"/>
  </r>
  <r>
    <n v="224"/>
    <x v="3"/>
    <x v="1"/>
    <x v="3"/>
    <x v="41"/>
    <s v="Rural"/>
    <s v="Femenino"/>
    <x v="0"/>
    <x v="0"/>
    <x v="0"/>
    <s v="SOLO 2024"/>
    <s v="6010231 EX PETROLEROS I"/>
  </r>
  <r>
    <n v="229"/>
    <x v="3"/>
    <x v="0"/>
    <x v="0"/>
    <x v="42"/>
    <s v="Rural"/>
    <s v="Femenino"/>
    <x v="0"/>
    <x v="0"/>
    <x v="0"/>
    <s v="SOLO 2024"/>
    <s v="601511 10 DE OCTUBRE I"/>
  </r>
  <r>
    <n v="230"/>
    <x v="3"/>
    <x v="0"/>
    <x v="1"/>
    <x v="42"/>
    <s v="Rural"/>
    <s v="Masculino"/>
    <x v="0"/>
    <x v="0"/>
    <x v="0"/>
    <s v="SOLO 2024"/>
    <s v="601511 10 DE OCTUBRE I"/>
  </r>
  <r>
    <n v="231"/>
    <x v="3"/>
    <x v="0"/>
    <x v="1"/>
    <x v="42"/>
    <s v="Rural"/>
    <s v="Masculino"/>
    <x v="0"/>
    <x v="0"/>
    <x v="0"/>
    <s v="SOLO 2024"/>
    <s v="601511 10 DE OCTUBRE I"/>
  </r>
  <r>
    <n v="232"/>
    <x v="3"/>
    <x v="0"/>
    <x v="1"/>
    <x v="43"/>
    <s v="Rural"/>
    <s v="Masculino"/>
    <x v="0"/>
    <x v="0"/>
    <x v="0"/>
    <s v="SOLO 2024"/>
    <s v="601580 10 DE OCTUBRE II"/>
  </r>
  <r>
    <n v="233"/>
    <x v="3"/>
    <x v="0"/>
    <x v="1"/>
    <x v="43"/>
    <s v="Rural"/>
    <s v="Femenino"/>
    <x v="0"/>
    <x v="0"/>
    <x v="0"/>
    <s v="SOLO 2024"/>
    <s v="601580 10 DE OCTUBRE II"/>
  </r>
  <r>
    <n v="234"/>
    <x v="3"/>
    <x v="0"/>
    <x v="4"/>
    <x v="44"/>
    <s v="Rural"/>
    <s v="Femenino"/>
    <x v="0"/>
    <x v="0"/>
    <x v="0"/>
    <s v="SOLO 2024"/>
    <s v="601444 TRIUNFO"/>
  </r>
  <r>
    <n v="235"/>
    <x v="3"/>
    <x v="0"/>
    <x v="4"/>
    <x v="44"/>
    <s v="Rural"/>
    <s v="Masculino"/>
    <x v="0"/>
    <x v="0"/>
    <x v="0"/>
    <s v="SOLO 2024"/>
    <s v="601444 TRIUNFO"/>
  </r>
  <r>
    <n v="236"/>
    <x v="3"/>
    <x v="0"/>
    <x v="0"/>
    <x v="44"/>
    <s v="Rural"/>
    <s v="Masculino"/>
    <x v="0"/>
    <x v="0"/>
    <x v="0"/>
    <s v="SOLO 2024"/>
    <s v="601444 TRIUNFO"/>
  </r>
  <r>
    <n v="237"/>
    <x v="3"/>
    <x v="0"/>
    <x v="0"/>
    <x v="44"/>
    <s v="Rural"/>
    <s v="Masculino"/>
    <x v="0"/>
    <x v="0"/>
    <x v="0"/>
    <s v="SOLO 2024"/>
    <s v="601444 TRIUNFO"/>
  </r>
  <r>
    <n v="238"/>
    <x v="3"/>
    <x v="0"/>
    <x v="1"/>
    <x v="44"/>
    <s v="Rural"/>
    <s v="Masculino"/>
    <x v="0"/>
    <x v="0"/>
    <x v="0"/>
    <s v="SOLO 2024"/>
    <s v="601444 TRIUNFO"/>
  </r>
  <r>
    <n v="239"/>
    <x v="3"/>
    <x v="0"/>
    <x v="4"/>
    <x v="45"/>
    <s v="Rural"/>
    <s v="Femenino"/>
    <x v="0"/>
    <x v="0"/>
    <x v="0"/>
    <s v="SOLO 2024"/>
    <s v="601571 HUAMBE"/>
  </r>
  <r>
    <n v="240"/>
    <x v="3"/>
    <x v="0"/>
    <x v="4"/>
    <x v="45"/>
    <s v="Rural"/>
    <s v="Masculino"/>
    <x v="0"/>
    <x v="0"/>
    <x v="0"/>
    <s v="SOLO 2024"/>
    <s v="601571 HUAMBE"/>
  </r>
  <r>
    <n v="241"/>
    <x v="3"/>
    <x v="0"/>
    <x v="0"/>
    <x v="45"/>
    <s v="Rural"/>
    <s v="Masculino"/>
    <x v="0"/>
    <x v="0"/>
    <x v="0"/>
    <s v="SOLO 2024"/>
    <s v="601571 HUAMBE"/>
  </r>
  <r>
    <n v="242"/>
    <x v="3"/>
    <x v="0"/>
    <x v="1"/>
    <x v="45"/>
    <s v="Rural"/>
    <s v="Femenino"/>
    <x v="0"/>
    <x v="0"/>
    <x v="0"/>
    <s v="SOLO 2024"/>
    <s v="601571 HUAMBE"/>
  </r>
  <r>
    <n v="243"/>
    <x v="3"/>
    <x v="0"/>
    <x v="4"/>
    <x v="46"/>
    <s v="Rural"/>
    <s v="Femenino"/>
    <x v="0"/>
    <x v="0"/>
    <x v="0"/>
    <s v="SOLO 2024"/>
    <s v="601563 LA HABANA"/>
  </r>
  <r>
    <n v="244"/>
    <x v="3"/>
    <x v="0"/>
    <x v="0"/>
    <x v="46"/>
    <s v="Rural"/>
    <s v="Masculino"/>
    <x v="0"/>
    <x v="0"/>
    <x v="0"/>
    <s v="SOLO 2024"/>
    <s v="601563 LA HABANA"/>
  </r>
  <r>
    <n v="246"/>
    <x v="3"/>
    <x v="0"/>
    <x v="4"/>
    <x v="47"/>
    <s v="Rural"/>
    <s v="Femenino"/>
    <x v="0"/>
    <x v="0"/>
    <x v="3"/>
    <s v="PADD 2023 Y 2024"/>
    <s v="60133 CAHUIDE"/>
  </r>
  <r>
    <n v="247"/>
    <x v="3"/>
    <x v="0"/>
    <x v="4"/>
    <x v="47"/>
    <s v="Rural"/>
    <s v="Femenino"/>
    <x v="0"/>
    <x v="0"/>
    <x v="3"/>
    <s v="PADD 2023 Y 2024"/>
    <s v="60133 CAHUIDE"/>
  </r>
  <r>
    <n v="248"/>
    <x v="3"/>
    <x v="0"/>
    <x v="4"/>
    <x v="47"/>
    <s v="Rural"/>
    <s v="Femenino"/>
    <x v="0"/>
    <x v="0"/>
    <x v="3"/>
    <s v="PADD 2023 Y 2024"/>
    <s v="60133 CAHUIDE"/>
  </r>
  <r>
    <n v="249"/>
    <x v="3"/>
    <x v="0"/>
    <x v="4"/>
    <x v="47"/>
    <s v="Rural"/>
    <s v="Masculino"/>
    <x v="0"/>
    <x v="0"/>
    <x v="3"/>
    <s v="PADD 2023 Y 2024"/>
    <s v="60133 CAHUIDE"/>
  </r>
  <r>
    <n v="250"/>
    <x v="3"/>
    <x v="0"/>
    <x v="4"/>
    <x v="47"/>
    <s v="Rural"/>
    <s v="Masculino"/>
    <x v="0"/>
    <x v="0"/>
    <x v="3"/>
    <s v="PADD 2023 Y 2024"/>
    <s v="60133 CAHUIDE"/>
  </r>
  <r>
    <n v="251"/>
    <x v="3"/>
    <x v="0"/>
    <x v="4"/>
    <x v="47"/>
    <s v="Rural"/>
    <s v="Femenino"/>
    <x v="0"/>
    <x v="0"/>
    <x v="3"/>
    <s v="PADD 2023 Y 2024"/>
    <s v="60133 CAHUIDE"/>
  </r>
  <r>
    <n v="252"/>
    <x v="3"/>
    <x v="0"/>
    <x v="4"/>
    <x v="47"/>
    <s v="Rural"/>
    <s v="Femenino"/>
    <x v="1"/>
    <x v="0"/>
    <x v="3"/>
    <s v="PADD 2023 Y 2024"/>
    <s v="60133 CAHUIDE"/>
  </r>
  <r>
    <n v="253"/>
    <x v="3"/>
    <x v="0"/>
    <x v="4"/>
    <x v="47"/>
    <s v="Rural"/>
    <s v="Masculino"/>
    <x v="0"/>
    <x v="0"/>
    <x v="3"/>
    <s v="PADD 2023 Y 2024"/>
    <s v="60133 CAHUIDE"/>
  </r>
  <r>
    <n v="254"/>
    <x v="3"/>
    <x v="0"/>
    <x v="4"/>
    <x v="47"/>
    <s v="Rural"/>
    <s v="Masculino"/>
    <x v="0"/>
    <x v="0"/>
    <x v="3"/>
    <s v="PADD 2023 Y 2024"/>
    <s v="60133 CAHUIDE"/>
  </r>
  <r>
    <n v="255"/>
    <x v="3"/>
    <x v="0"/>
    <x v="4"/>
    <x v="47"/>
    <s v="Rural"/>
    <s v="Masculino"/>
    <x v="0"/>
    <x v="0"/>
    <x v="3"/>
    <s v="PADD 2023 Y 2024"/>
    <s v="60133 CAHUIDE"/>
  </r>
  <r>
    <n v="257"/>
    <x v="3"/>
    <x v="0"/>
    <x v="4"/>
    <x v="47"/>
    <s v="Rural"/>
    <s v="Femenino"/>
    <x v="0"/>
    <x v="0"/>
    <x v="3"/>
    <s v="PADD 2023 Y 2024"/>
    <s v="60133 CAHUIDE"/>
  </r>
  <r>
    <n v="258"/>
    <x v="3"/>
    <x v="0"/>
    <x v="0"/>
    <x v="47"/>
    <s v="Rural"/>
    <s v="Masculino"/>
    <x v="0"/>
    <x v="0"/>
    <x v="1"/>
    <s v="PADD 2023 Y 2024"/>
    <s v="60133 CAHUIDE"/>
  </r>
  <r>
    <n v="259"/>
    <x v="3"/>
    <x v="0"/>
    <x v="0"/>
    <x v="47"/>
    <s v="Rural"/>
    <s v="Femenino"/>
    <x v="1"/>
    <x v="0"/>
    <x v="1"/>
    <s v="PADD 2023 Y 2024"/>
    <s v="60133 CAHUIDE"/>
  </r>
  <r>
    <n v="260"/>
    <x v="3"/>
    <x v="0"/>
    <x v="0"/>
    <x v="47"/>
    <s v="Rural"/>
    <s v="Masculino"/>
    <x v="0"/>
    <x v="0"/>
    <x v="1"/>
    <s v="PADD 2023 Y 2024"/>
    <s v="60133 CAHUIDE"/>
  </r>
  <r>
    <n v="261"/>
    <x v="3"/>
    <x v="0"/>
    <x v="0"/>
    <x v="47"/>
    <s v="Rural"/>
    <s v="Masculino"/>
    <x v="0"/>
    <x v="0"/>
    <x v="1"/>
    <s v="PADD 2023 Y 2024"/>
    <s v="60133 CAHUIDE"/>
  </r>
  <r>
    <n v="263"/>
    <x v="3"/>
    <x v="0"/>
    <x v="0"/>
    <x v="47"/>
    <s v="Rural"/>
    <s v="Masculino"/>
    <x v="0"/>
    <x v="0"/>
    <x v="1"/>
    <s v="PADD 2023 Y 2024"/>
    <s v="60133 CAHUIDE"/>
  </r>
  <r>
    <n v="264"/>
    <x v="3"/>
    <x v="0"/>
    <x v="0"/>
    <x v="47"/>
    <s v="Rural"/>
    <s v="Femenino"/>
    <x v="0"/>
    <x v="0"/>
    <x v="1"/>
    <s v="PADD 2023 Y 2024"/>
    <s v="60133 CAHUIDE"/>
  </r>
  <r>
    <n v="265"/>
    <x v="3"/>
    <x v="0"/>
    <x v="0"/>
    <x v="47"/>
    <s v="Rural"/>
    <s v="Masculino"/>
    <x v="0"/>
    <x v="0"/>
    <x v="1"/>
    <s v="PADD 2023 Y 2024"/>
    <s v="60133 CAHUIDE"/>
  </r>
  <r>
    <n v="266"/>
    <x v="3"/>
    <x v="0"/>
    <x v="0"/>
    <x v="47"/>
    <s v="Rural"/>
    <s v="Femenino"/>
    <x v="0"/>
    <x v="0"/>
    <x v="1"/>
    <s v="PADD 2023 Y 2024"/>
    <s v="60133 CAHUIDE"/>
  </r>
  <r>
    <n v="267"/>
    <x v="3"/>
    <x v="0"/>
    <x v="0"/>
    <x v="47"/>
    <s v="Rural"/>
    <s v="Masculino"/>
    <x v="0"/>
    <x v="0"/>
    <x v="1"/>
    <s v="PADD 2023 Y 2024"/>
    <s v="60133 CAHUIDE"/>
  </r>
  <r>
    <n v="268"/>
    <x v="3"/>
    <x v="0"/>
    <x v="0"/>
    <x v="47"/>
    <s v="Rural"/>
    <s v="Femenino"/>
    <x v="0"/>
    <x v="0"/>
    <x v="1"/>
    <s v="PADD 2023 Y 2024"/>
    <s v="60133 CAHUIDE"/>
  </r>
  <r>
    <n v="269"/>
    <x v="3"/>
    <x v="0"/>
    <x v="0"/>
    <x v="47"/>
    <s v="Rural"/>
    <s v="Femenino"/>
    <x v="1"/>
    <x v="0"/>
    <x v="1"/>
    <s v="PADD 2023 Y 2024"/>
    <s v="60133 CAHUIDE"/>
  </r>
  <r>
    <n v="270"/>
    <x v="3"/>
    <x v="0"/>
    <x v="1"/>
    <x v="47"/>
    <s v="Rural"/>
    <s v="Femenino"/>
    <x v="0"/>
    <x v="0"/>
    <x v="3"/>
    <s v="PADD 2023 Y 2024"/>
    <s v="60133 CAHUIDE"/>
  </r>
  <r>
    <n v="271"/>
    <x v="3"/>
    <x v="0"/>
    <x v="1"/>
    <x v="47"/>
    <s v="Rural"/>
    <s v="Femenino"/>
    <x v="0"/>
    <x v="0"/>
    <x v="3"/>
    <s v="PADD 2023 Y 2024"/>
    <s v="60133 CAHUIDE"/>
  </r>
  <r>
    <n v="272"/>
    <x v="3"/>
    <x v="0"/>
    <x v="1"/>
    <x v="47"/>
    <s v="Rural"/>
    <s v="Femenino"/>
    <x v="0"/>
    <x v="0"/>
    <x v="3"/>
    <s v="PADD 2023 Y 2024"/>
    <s v="60133 CAHUIDE"/>
  </r>
  <r>
    <n v="273"/>
    <x v="3"/>
    <x v="0"/>
    <x v="1"/>
    <x v="47"/>
    <s v="Rural"/>
    <s v="Femenino"/>
    <x v="0"/>
    <x v="0"/>
    <x v="3"/>
    <s v="PADD 2023 Y 2024"/>
    <s v="60133 CAHUIDE"/>
  </r>
  <r>
    <n v="275"/>
    <x v="3"/>
    <x v="0"/>
    <x v="1"/>
    <x v="47"/>
    <s v="Rural"/>
    <s v="Femenino"/>
    <x v="0"/>
    <x v="0"/>
    <x v="3"/>
    <s v="PADD 2023 Y 2024"/>
    <s v="60133 CAHUIDE"/>
  </r>
  <r>
    <n v="276"/>
    <x v="3"/>
    <x v="0"/>
    <x v="1"/>
    <x v="47"/>
    <s v="Rural"/>
    <s v="Masculino"/>
    <x v="0"/>
    <x v="0"/>
    <x v="3"/>
    <s v="PADD 2023 Y 2024"/>
    <s v="60133 CAHUIDE"/>
  </r>
  <r>
    <n v="277"/>
    <x v="3"/>
    <x v="0"/>
    <x v="1"/>
    <x v="47"/>
    <s v="Rural"/>
    <s v="Masculino"/>
    <x v="0"/>
    <x v="0"/>
    <x v="3"/>
    <s v="PADD 2023 Y 2024"/>
    <s v="60133 CAHUIDE"/>
  </r>
  <r>
    <n v="279"/>
    <x v="3"/>
    <x v="0"/>
    <x v="1"/>
    <x v="47"/>
    <s v="Rural"/>
    <s v="Femenino"/>
    <x v="0"/>
    <x v="0"/>
    <x v="3"/>
    <s v="PADD 2023 Y 2024"/>
    <s v="60133 CAHUIDE"/>
  </r>
  <r>
    <n v="280"/>
    <x v="3"/>
    <x v="0"/>
    <x v="1"/>
    <x v="47"/>
    <s v="Rural"/>
    <s v="Masculino"/>
    <x v="0"/>
    <x v="0"/>
    <x v="3"/>
    <s v="PADD 2023 Y 2024"/>
    <s v="60133 CAHUIDE"/>
  </r>
  <r>
    <n v="281"/>
    <x v="3"/>
    <x v="0"/>
    <x v="1"/>
    <x v="47"/>
    <s v="Rural"/>
    <s v="Femenino"/>
    <x v="0"/>
    <x v="0"/>
    <x v="3"/>
    <s v="PADD 2023 Y 2024"/>
    <s v="60133 CAHUIDE"/>
  </r>
  <r>
    <n v="282"/>
    <x v="3"/>
    <x v="0"/>
    <x v="1"/>
    <x v="47"/>
    <s v="Rural"/>
    <s v="Masculino"/>
    <x v="0"/>
    <x v="0"/>
    <x v="3"/>
    <s v="PADD 2023 Y 2024"/>
    <s v="60133 CAHUIDE"/>
  </r>
  <r>
    <n v="283"/>
    <x v="3"/>
    <x v="0"/>
    <x v="1"/>
    <x v="47"/>
    <s v="Rural"/>
    <s v="Femenino"/>
    <x v="0"/>
    <x v="0"/>
    <x v="3"/>
    <s v="PADD 2023 Y 2024"/>
    <s v="60133 CAHUIDE"/>
  </r>
  <r>
    <n v="284"/>
    <x v="3"/>
    <x v="1"/>
    <x v="2"/>
    <x v="47"/>
    <s v="Rural"/>
    <s v="Femenino"/>
    <x v="0"/>
    <x v="0"/>
    <x v="3"/>
    <s v="PADD 2023 Y 2024"/>
    <s v="60133 CAHUIDE"/>
  </r>
  <r>
    <n v="285"/>
    <x v="3"/>
    <x v="1"/>
    <x v="2"/>
    <x v="47"/>
    <s v="Rural"/>
    <s v="Femenino"/>
    <x v="0"/>
    <x v="0"/>
    <x v="3"/>
    <s v="PADD 2023 Y 2024"/>
    <s v="60133 CAHUIDE"/>
  </r>
  <r>
    <n v="286"/>
    <x v="3"/>
    <x v="1"/>
    <x v="2"/>
    <x v="47"/>
    <s v="Rural"/>
    <s v="Masculino"/>
    <x v="0"/>
    <x v="0"/>
    <x v="3"/>
    <s v="PADD 2023 Y 2024"/>
    <s v="60133 CAHUIDE"/>
  </r>
  <r>
    <n v="287"/>
    <x v="3"/>
    <x v="1"/>
    <x v="2"/>
    <x v="47"/>
    <s v="Rural"/>
    <s v="Masculino"/>
    <x v="0"/>
    <x v="0"/>
    <x v="3"/>
    <s v="PADD 2023 Y 2024"/>
    <s v="60133 CAHUIDE"/>
  </r>
  <r>
    <n v="288"/>
    <x v="3"/>
    <x v="1"/>
    <x v="2"/>
    <x v="47"/>
    <s v="Rural"/>
    <s v="Masculino"/>
    <x v="0"/>
    <x v="0"/>
    <x v="3"/>
    <s v="PADD 2023 Y 2024"/>
    <s v="60133 CAHUIDE"/>
  </r>
  <r>
    <n v="290"/>
    <x v="3"/>
    <x v="1"/>
    <x v="2"/>
    <x v="47"/>
    <s v="Rural"/>
    <s v="Masculino"/>
    <x v="0"/>
    <x v="0"/>
    <x v="3"/>
    <s v="PADD 2023 Y 2024"/>
    <s v="60133 CAHUIDE"/>
  </r>
  <r>
    <n v="291"/>
    <x v="3"/>
    <x v="1"/>
    <x v="2"/>
    <x v="47"/>
    <s v="Rural"/>
    <s v="Masculino"/>
    <x v="0"/>
    <x v="0"/>
    <x v="3"/>
    <s v="PADD 2023 Y 2024"/>
    <s v="60133 CAHUIDE"/>
  </r>
  <r>
    <n v="292"/>
    <x v="3"/>
    <x v="1"/>
    <x v="2"/>
    <x v="47"/>
    <s v="Rural"/>
    <s v="Femenino"/>
    <x v="0"/>
    <x v="0"/>
    <x v="3"/>
    <s v="PADD 2023 Y 2024"/>
    <s v="60133 CAHUIDE"/>
  </r>
  <r>
    <n v="293"/>
    <x v="3"/>
    <x v="1"/>
    <x v="2"/>
    <x v="47"/>
    <s v="Rural"/>
    <s v="Femenino"/>
    <x v="0"/>
    <x v="0"/>
    <x v="3"/>
    <s v="PADD 2023 Y 2024"/>
    <s v="60133 CAHUIDE"/>
  </r>
  <r>
    <n v="294"/>
    <x v="3"/>
    <x v="1"/>
    <x v="2"/>
    <x v="47"/>
    <s v="Rural"/>
    <s v="Femenino"/>
    <x v="0"/>
    <x v="0"/>
    <x v="3"/>
    <s v="PADD 2023 Y 2024"/>
    <s v="60133 CAHUIDE"/>
  </r>
  <r>
    <n v="295"/>
    <x v="3"/>
    <x v="1"/>
    <x v="2"/>
    <x v="47"/>
    <s v="Rural"/>
    <s v="Masculino"/>
    <x v="0"/>
    <x v="0"/>
    <x v="3"/>
    <s v="PADD 2023 Y 2024"/>
    <s v="60133 CAHUIDE"/>
  </r>
  <r>
    <n v="297"/>
    <x v="3"/>
    <x v="1"/>
    <x v="2"/>
    <x v="47"/>
    <s v="Rural"/>
    <s v="Femenino"/>
    <x v="0"/>
    <x v="0"/>
    <x v="3"/>
    <s v="PADD 2023 Y 2024"/>
    <s v="60133 CAHUIDE"/>
  </r>
  <r>
    <n v="298"/>
    <x v="3"/>
    <x v="1"/>
    <x v="2"/>
    <x v="47"/>
    <s v="Rural"/>
    <s v="Femenino"/>
    <x v="0"/>
    <x v="0"/>
    <x v="3"/>
    <s v="PADD 2023 Y 2024"/>
    <s v="60133 CAHUIDE"/>
  </r>
  <r>
    <n v="299"/>
    <x v="3"/>
    <x v="1"/>
    <x v="2"/>
    <x v="47"/>
    <s v="Rural"/>
    <s v="Masculino"/>
    <x v="0"/>
    <x v="0"/>
    <x v="3"/>
    <s v="PADD 2023 Y 2024"/>
    <s v="60133 CAHUIDE"/>
  </r>
  <r>
    <n v="300"/>
    <x v="3"/>
    <x v="1"/>
    <x v="2"/>
    <x v="47"/>
    <s v="Rural"/>
    <s v="Masculino"/>
    <x v="0"/>
    <x v="0"/>
    <x v="3"/>
    <s v="PADD 2023 Y 2024"/>
    <s v="60133 CAHUIDE"/>
  </r>
  <r>
    <n v="302"/>
    <x v="3"/>
    <x v="1"/>
    <x v="2"/>
    <x v="47"/>
    <s v="Rural"/>
    <s v="Masculino"/>
    <x v="0"/>
    <x v="0"/>
    <x v="3"/>
    <s v="PADD 2023 Y 2024"/>
    <s v="60133 CAHUIDE"/>
  </r>
  <r>
    <n v="303"/>
    <x v="3"/>
    <x v="1"/>
    <x v="2"/>
    <x v="47"/>
    <s v="Rural"/>
    <s v="Masculino"/>
    <x v="0"/>
    <x v="0"/>
    <x v="3"/>
    <s v="PADD 2023 Y 2024"/>
    <s v="60133 CAHUIDE"/>
  </r>
  <r>
    <n v="304"/>
    <x v="3"/>
    <x v="1"/>
    <x v="2"/>
    <x v="47"/>
    <s v="Rural"/>
    <s v="Femenino"/>
    <x v="0"/>
    <x v="0"/>
    <x v="3"/>
    <s v="PADD 2023 Y 2024"/>
    <s v="60133 CAHUIDE"/>
  </r>
  <r>
    <n v="305"/>
    <x v="3"/>
    <x v="1"/>
    <x v="2"/>
    <x v="47"/>
    <s v="Rural"/>
    <s v="Femenino"/>
    <x v="0"/>
    <x v="0"/>
    <x v="3"/>
    <s v="PADD 2023 Y 2024"/>
    <s v="60133 CAHUIDE"/>
  </r>
  <r>
    <n v="306"/>
    <x v="3"/>
    <x v="1"/>
    <x v="2"/>
    <x v="47"/>
    <s v="Rural"/>
    <s v="Femenino"/>
    <x v="0"/>
    <x v="0"/>
    <x v="3"/>
    <s v="PADD 2023 Y 2024"/>
    <s v="60133 CAHUIDE"/>
  </r>
  <r>
    <n v="307"/>
    <x v="3"/>
    <x v="1"/>
    <x v="2"/>
    <x v="47"/>
    <s v="Rural"/>
    <s v="Masculino"/>
    <x v="0"/>
    <x v="0"/>
    <x v="3"/>
    <s v="PADD 2023 Y 2024"/>
    <s v="60133 CAHUIDE"/>
  </r>
  <r>
    <n v="308"/>
    <x v="3"/>
    <x v="1"/>
    <x v="2"/>
    <x v="47"/>
    <s v="Rural"/>
    <s v="Masculino"/>
    <x v="0"/>
    <x v="0"/>
    <x v="3"/>
    <s v="PADD 2023 Y 2024"/>
    <s v="60133 CAHUIDE"/>
  </r>
  <r>
    <n v="310"/>
    <x v="3"/>
    <x v="1"/>
    <x v="2"/>
    <x v="47"/>
    <s v="Rural"/>
    <s v="Masculino"/>
    <x v="0"/>
    <x v="0"/>
    <x v="3"/>
    <s v="PADD 2023 Y 2024"/>
    <s v="60133 CAHUIDE"/>
  </r>
  <r>
    <n v="311"/>
    <x v="3"/>
    <x v="1"/>
    <x v="2"/>
    <x v="47"/>
    <s v="Rural"/>
    <s v="Femenino"/>
    <x v="0"/>
    <x v="0"/>
    <x v="3"/>
    <s v="PADD 2023 Y 2024"/>
    <s v="60133 CAHUIDE"/>
  </r>
  <r>
    <n v="312"/>
    <x v="3"/>
    <x v="1"/>
    <x v="2"/>
    <x v="47"/>
    <s v="Rural"/>
    <s v="Femenino"/>
    <x v="0"/>
    <x v="0"/>
    <x v="3"/>
    <s v="PADD 2023 Y 2024"/>
    <s v="60133 CAHUIDE"/>
  </r>
  <r>
    <n v="313"/>
    <x v="3"/>
    <x v="1"/>
    <x v="3"/>
    <x v="47"/>
    <s v="Rural"/>
    <s v="Femenino"/>
    <x v="0"/>
    <x v="0"/>
    <x v="3"/>
    <s v="PADD 2023 Y 2024"/>
    <s v="60133 CAHUIDE"/>
  </r>
  <r>
    <n v="314"/>
    <x v="3"/>
    <x v="1"/>
    <x v="3"/>
    <x v="47"/>
    <s v="Rural"/>
    <s v="Femenino"/>
    <x v="0"/>
    <x v="0"/>
    <x v="3"/>
    <s v="PADD 2023 Y 2024"/>
    <s v="60133 CAHUIDE"/>
  </r>
  <r>
    <n v="315"/>
    <x v="3"/>
    <x v="1"/>
    <x v="3"/>
    <x v="47"/>
    <s v="Rural"/>
    <s v="Femenino"/>
    <x v="0"/>
    <x v="0"/>
    <x v="3"/>
    <s v="PADD 2023 Y 2024"/>
    <s v="60133 CAHUIDE"/>
  </r>
  <r>
    <n v="316"/>
    <x v="3"/>
    <x v="1"/>
    <x v="3"/>
    <x v="47"/>
    <s v="Rural"/>
    <s v="Masculino"/>
    <x v="1"/>
    <x v="0"/>
    <x v="3"/>
    <s v="PADD 2023 Y 2024"/>
    <s v="60133 CAHUIDE"/>
  </r>
  <r>
    <n v="317"/>
    <x v="3"/>
    <x v="1"/>
    <x v="3"/>
    <x v="47"/>
    <s v="Rural"/>
    <s v="Masculino"/>
    <x v="0"/>
    <x v="0"/>
    <x v="3"/>
    <s v="PADD 2023 Y 2024"/>
    <s v="60133 CAHUIDE"/>
  </r>
  <r>
    <n v="318"/>
    <x v="3"/>
    <x v="1"/>
    <x v="3"/>
    <x v="47"/>
    <s v="Rural"/>
    <s v="Femenino"/>
    <x v="0"/>
    <x v="0"/>
    <x v="3"/>
    <s v="PADD 2023 Y 2024"/>
    <s v="60133 CAHUIDE"/>
  </r>
  <r>
    <n v="319"/>
    <x v="3"/>
    <x v="1"/>
    <x v="3"/>
    <x v="47"/>
    <s v="Rural"/>
    <s v="Femenino"/>
    <x v="0"/>
    <x v="0"/>
    <x v="3"/>
    <s v="PADD 2023 Y 2024"/>
    <s v="60133 CAHUIDE"/>
  </r>
  <r>
    <n v="320"/>
    <x v="3"/>
    <x v="1"/>
    <x v="3"/>
    <x v="47"/>
    <s v="Rural"/>
    <s v="Femenino"/>
    <x v="0"/>
    <x v="0"/>
    <x v="3"/>
    <s v="PADD 2023 Y 2024"/>
    <s v="60133 CAHUIDE"/>
  </r>
  <r>
    <n v="321"/>
    <x v="3"/>
    <x v="1"/>
    <x v="3"/>
    <x v="47"/>
    <s v="Rural"/>
    <s v="Masculino"/>
    <x v="0"/>
    <x v="0"/>
    <x v="3"/>
    <s v="PADD 2023 Y 2024"/>
    <s v="60133 CAHUIDE"/>
  </r>
  <r>
    <n v="322"/>
    <x v="3"/>
    <x v="1"/>
    <x v="3"/>
    <x v="47"/>
    <s v="Rural"/>
    <s v="Masculino"/>
    <x v="0"/>
    <x v="0"/>
    <x v="3"/>
    <s v="PADD 2023 Y 2024"/>
    <s v="60133 CAHUIDE"/>
  </r>
  <r>
    <n v="323"/>
    <x v="3"/>
    <x v="1"/>
    <x v="3"/>
    <x v="47"/>
    <s v="Rural"/>
    <s v="Femenino"/>
    <x v="0"/>
    <x v="0"/>
    <x v="3"/>
    <s v="PADD 2023 Y 2024"/>
    <s v="60133 CAHUIDE"/>
  </r>
  <r>
    <n v="324"/>
    <x v="3"/>
    <x v="1"/>
    <x v="3"/>
    <x v="47"/>
    <s v="Rural"/>
    <s v="Masculino"/>
    <x v="0"/>
    <x v="0"/>
    <x v="3"/>
    <s v="PADD 2023 Y 2024"/>
    <s v="60133 CAHUIDE"/>
  </r>
  <r>
    <n v="326"/>
    <x v="3"/>
    <x v="1"/>
    <x v="3"/>
    <x v="47"/>
    <s v="Rural"/>
    <s v="Masculino"/>
    <x v="0"/>
    <x v="0"/>
    <x v="3"/>
    <s v="PADD 2023 Y 2024"/>
    <s v="60133 CAHUIDE"/>
  </r>
  <r>
    <n v="327"/>
    <x v="3"/>
    <x v="1"/>
    <x v="3"/>
    <x v="47"/>
    <s v="Rural"/>
    <s v="Masculino"/>
    <x v="0"/>
    <x v="0"/>
    <x v="3"/>
    <s v="PADD 2023 Y 2024"/>
    <s v="60133 CAHUIDE"/>
  </r>
  <r>
    <n v="328"/>
    <x v="3"/>
    <x v="1"/>
    <x v="3"/>
    <x v="47"/>
    <s v="Rural"/>
    <s v="Masculino"/>
    <x v="0"/>
    <x v="0"/>
    <x v="3"/>
    <s v="PADD 2023 Y 2024"/>
    <s v="60133 CAHUIDE"/>
  </r>
  <r>
    <n v="329"/>
    <x v="3"/>
    <x v="1"/>
    <x v="3"/>
    <x v="47"/>
    <s v="Rural"/>
    <s v="Femenino"/>
    <x v="0"/>
    <x v="0"/>
    <x v="3"/>
    <s v="PADD 2023 Y 2024"/>
    <s v="60133 CAHUIDE"/>
  </r>
  <r>
    <n v="330"/>
    <x v="3"/>
    <x v="1"/>
    <x v="3"/>
    <x v="47"/>
    <s v="Rural"/>
    <s v="Masculino"/>
    <x v="0"/>
    <x v="0"/>
    <x v="3"/>
    <s v="PADD 2023 Y 2024"/>
    <s v="60133 CAHUIDE"/>
  </r>
  <r>
    <n v="331"/>
    <x v="3"/>
    <x v="1"/>
    <x v="3"/>
    <x v="47"/>
    <s v="Rural"/>
    <s v="Femenino"/>
    <x v="0"/>
    <x v="0"/>
    <x v="3"/>
    <s v="PADD 2023 Y 2024"/>
    <s v="60133 CAHUIDE"/>
  </r>
  <r>
    <n v="332"/>
    <x v="3"/>
    <x v="1"/>
    <x v="3"/>
    <x v="47"/>
    <s v="Rural"/>
    <s v="Masculino"/>
    <x v="0"/>
    <x v="0"/>
    <x v="3"/>
    <s v="PADD 2023 Y 2024"/>
    <s v="60133 CAHUIDE"/>
  </r>
  <r>
    <n v="333"/>
    <x v="3"/>
    <x v="1"/>
    <x v="3"/>
    <x v="47"/>
    <s v="Rural"/>
    <s v="Masculino"/>
    <x v="0"/>
    <x v="0"/>
    <x v="3"/>
    <s v="PADD 2023 Y 2024"/>
    <s v="60133 CAHUIDE"/>
  </r>
  <r>
    <n v="334"/>
    <x v="3"/>
    <x v="1"/>
    <x v="3"/>
    <x v="47"/>
    <s v="Rural"/>
    <s v="Masculino"/>
    <x v="1"/>
    <x v="0"/>
    <x v="3"/>
    <s v="PADD 2023 Y 2024"/>
    <s v="60133 CAHUIDE"/>
  </r>
  <r>
    <n v="335"/>
    <x v="3"/>
    <x v="1"/>
    <x v="3"/>
    <x v="47"/>
    <s v="Rural"/>
    <s v="Femenino"/>
    <x v="0"/>
    <x v="0"/>
    <x v="3"/>
    <s v="PADD 2023 Y 2024"/>
    <s v="60133 CAHUIDE"/>
  </r>
  <r>
    <n v="1"/>
    <x v="4"/>
    <x v="0"/>
    <x v="4"/>
    <x v="48"/>
    <s v="Rural"/>
    <s v="Masculino"/>
    <x v="0"/>
    <x v="0"/>
    <x v="3"/>
    <s v="SOLO 2023"/>
    <s v="Huarachuran"/>
  </r>
  <r>
    <n v="2"/>
    <x v="4"/>
    <x v="0"/>
    <x v="0"/>
    <x v="48"/>
    <s v="Rural"/>
    <s v="Masculino"/>
    <x v="0"/>
    <x v="0"/>
    <x v="3"/>
    <s v="SOLO 2023"/>
    <s v="Huarachuran"/>
  </r>
  <r>
    <n v="3"/>
    <x v="4"/>
    <x v="0"/>
    <x v="0"/>
    <x v="48"/>
    <s v="Rural"/>
    <s v="Masculino"/>
    <x v="0"/>
    <x v="0"/>
    <x v="3"/>
    <s v="SOLO 2023"/>
    <s v="Huarachuran"/>
  </r>
  <r>
    <n v="4"/>
    <x v="4"/>
    <x v="0"/>
    <x v="0"/>
    <x v="48"/>
    <s v="Rural"/>
    <s v="Femenino"/>
    <x v="0"/>
    <x v="0"/>
    <x v="3"/>
    <s v="SOLO 2023"/>
    <s v="Huarachuran"/>
  </r>
  <r>
    <n v="5"/>
    <x v="4"/>
    <x v="0"/>
    <x v="0"/>
    <x v="48"/>
    <s v="Rural"/>
    <s v="Femenino"/>
    <x v="0"/>
    <x v="0"/>
    <x v="3"/>
    <s v="SOLO 2023"/>
    <s v="Huarachuran"/>
  </r>
  <r>
    <n v="6"/>
    <x v="4"/>
    <x v="0"/>
    <x v="1"/>
    <x v="48"/>
    <s v="Rural"/>
    <s v="Femenino"/>
    <x v="0"/>
    <x v="0"/>
    <x v="3"/>
    <s v="SOLO 2023"/>
    <s v="Huarachuran"/>
  </r>
  <r>
    <n v="7"/>
    <x v="4"/>
    <x v="0"/>
    <x v="1"/>
    <x v="48"/>
    <s v="Rural"/>
    <s v="Femenino"/>
    <x v="0"/>
    <x v="0"/>
    <x v="3"/>
    <s v="SOLO 2023"/>
    <s v="Huarachuran"/>
  </r>
  <r>
    <n v="8"/>
    <x v="4"/>
    <x v="0"/>
    <x v="4"/>
    <x v="49"/>
    <s v="Rural"/>
    <s v="Masculino"/>
    <x v="0"/>
    <x v="0"/>
    <x v="0"/>
    <s v="PADD 2023 Y 2024"/>
    <s v="Pichiu"/>
  </r>
  <r>
    <n v="9"/>
    <x v="4"/>
    <x v="0"/>
    <x v="4"/>
    <x v="49"/>
    <s v="Rural"/>
    <s v="Femenino"/>
    <x v="0"/>
    <x v="0"/>
    <x v="0"/>
    <s v="PADD 2023 Y 2024"/>
    <s v="Pichiu"/>
  </r>
  <r>
    <n v="10"/>
    <x v="4"/>
    <x v="0"/>
    <x v="4"/>
    <x v="49"/>
    <s v="Rural"/>
    <s v="Femenino"/>
    <x v="0"/>
    <x v="0"/>
    <x v="0"/>
    <s v="PADD 2023 Y 2024"/>
    <s v="Pichiu"/>
  </r>
  <r>
    <n v="12"/>
    <x v="4"/>
    <x v="0"/>
    <x v="4"/>
    <x v="49"/>
    <s v="Rural"/>
    <s v="Masculino"/>
    <x v="0"/>
    <x v="0"/>
    <x v="0"/>
    <s v="PADD 2023 Y 2024"/>
    <s v="Pichiu"/>
  </r>
  <r>
    <n v="13"/>
    <x v="4"/>
    <x v="0"/>
    <x v="4"/>
    <x v="49"/>
    <s v="Rural"/>
    <s v="Masculino"/>
    <x v="0"/>
    <x v="0"/>
    <x v="0"/>
    <s v="PADD 2023 Y 2024"/>
    <s v="Pichiu"/>
  </r>
  <r>
    <n v="14"/>
    <x v="4"/>
    <x v="0"/>
    <x v="4"/>
    <x v="49"/>
    <s v="Rural"/>
    <s v="Masculino"/>
    <x v="0"/>
    <x v="0"/>
    <x v="0"/>
    <s v="PADD 2023 Y 2024"/>
    <s v="Pichiu"/>
  </r>
  <r>
    <n v="15"/>
    <x v="4"/>
    <x v="0"/>
    <x v="4"/>
    <x v="49"/>
    <s v="Rural"/>
    <s v="Femenino"/>
    <x v="0"/>
    <x v="0"/>
    <x v="0"/>
    <s v="PADD 2023 Y 2024"/>
    <s v="Pichiu"/>
  </r>
  <r>
    <n v="16"/>
    <x v="4"/>
    <x v="0"/>
    <x v="4"/>
    <x v="49"/>
    <s v="Rural"/>
    <s v="Femenino"/>
    <x v="0"/>
    <x v="0"/>
    <x v="0"/>
    <s v="PADD 2023 Y 2024"/>
    <s v="Pichiu"/>
  </r>
  <r>
    <n v="17"/>
    <x v="4"/>
    <x v="0"/>
    <x v="4"/>
    <x v="49"/>
    <s v="Rural"/>
    <s v="Femenino"/>
    <x v="0"/>
    <x v="0"/>
    <x v="0"/>
    <s v="PADD 2023 Y 2024"/>
    <s v="Pichiu"/>
  </r>
  <r>
    <n v="18"/>
    <x v="4"/>
    <x v="0"/>
    <x v="4"/>
    <x v="49"/>
    <s v="Rural"/>
    <s v="Masculino"/>
    <x v="0"/>
    <x v="0"/>
    <x v="0"/>
    <s v="PADD 2023 Y 2024"/>
    <s v="Pichiu"/>
  </r>
  <r>
    <n v="19"/>
    <x v="4"/>
    <x v="0"/>
    <x v="4"/>
    <x v="49"/>
    <s v="Rural"/>
    <s v="Masculino"/>
    <x v="0"/>
    <x v="0"/>
    <x v="0"/>
    <s v="PADD 2023 Y 2024"/>
    <s v="Pichiu"/>
  </r>
  <r>
    <n v="20"/>
    <x v="4"/>
    <x v="0"/>
    <x v="4"/>
    <x v="49"/>
    <s v="Rural"/>
    <s v="Masculino"/>
    <x v="0"/>
    <x v="0"/>
    <x v="0"/>
    <s v="PADD 2023 Y 2024"/>
    <s v="Pichiu"/>
  </r>
  <r>
    <n v="21"/>
    <x v="4"/>
    <x v="0"/>
    <x v="4"/>
    <x v="49"/>
    <s v="Rural"/>
    <s v="Masculino"/>
    <x v="0"/>
    <x v="0"/>
    <x v="0"/>
    <s v="PADD 2023 Y 2024"/>
    <s v="Pichiu"/>
  </r>
  <r>
    <n v="22"/>
    <x v="4"/>
    <x v="0"/>
    <x v="4"/>
    <x v="49"/>
    <s v="Rural"/>
    <s v="Femenino"/>
    <x v="0"/>
    <x v="0"/>
    <x v="0"/>
    <s v="PADD 2023 Y 2024"/>
    <s v="Pichiu"/>
  </r>
  <r>
    <n v="23"/>
    <x v="4"/>
    <x v="0"/>
    <x v="4"/>
    <x v="49"/>
    <s v="Rural"/>
    <s v="Masculino"/>
    <x v="0"/>
    <x v="0"/>
    <x v="0"/>
    <s v="PADD 2023 Y 2024"/>
    <s v="Pichiu"/>
  </r>
  <r>
    <n v="24"/>
    <x v="4"/>
    <x v="0"/>
    <x v="0"/>
    <x v="49"/>
    <s v="Rural"/>
    <s v="Masculino"/>
    <x v="0"/>
    <x v="0"/>
    <x v="1"/>
    <s v="PADD 2023 Y 2024"/>
    <s v="Pichiu"/>
  </r>
  <r>
    <n v="25"/>
    <x v="4"/>
    <x v="0"/>
    <x v="0"/>
    <x v="49"/>
    <s v="Rural"/>
    <s v="Femenino"/>
    <x v="0"/>
    <x v="0"/>
    <x v="1"/>
    <s v="PADD 2023 Y 2024"/>
    <s v="Pichiu"/>
  </r>
  <r>
    <n v="26"/>
    <x v="4"/>
    <x v="0"/>
    <x v="0"/>
    <x v="49"/>
    <s v="Rural"/>
    <s v="Femenino"/>
    <x v="0"/>
    <x v="0"/>
    <x v="1"/>
    <s v="PADD 2023 Y 2024"/>
    <s v="Pichiu"/>
  </r>
  <r>
    <n v="27"/>
    <x v="4"/>
    <x v="0"/>
    <x v="0"/>
    <x v="49"/>
    <s v="Rural"/>
    <s v="Masculino"/>
    <x v="0"/>
    <x v="0"/>
    <x v="1"/>
    <s v="PADD 2023 Y 2024"/>
    <s v="Pichiu"/>
  </r>
  <r>
    <n v="28"/>
    <x v="4"/>
    <x v="0"/>
    <x v="0"/>
    <x v="49"/>
    <s v="Rural"/>
    <s v="Masculino"/>
    <x v="0"/>
    <x v="0"/>
    <x v="1"/>
    <s v="PADD 2023 Y 2024"/>
    <s v="Pichiu"/>
  </r>
  <r>
    <n v="29"/>
    <x v="4"/>
    <x v="0"/>
    <x v="0"/>
    <x v="49"/>
    <s v="Rural"/>
    <s v="Masculino"/>
    <x v="0"/>
    <x v="0"/>
    <x v="1"/>
    <s v="PADD 2023 Y 2024"/>
    <s v="Pichiu"/>
  </r>
  <r>
    <n v="30"/>
    <x v="4"/>
    <x v="0"/>
    <x v="1"/>
    <x v="49"/>
    <s v="Rural"/>
    <s v="Femenino"/>
    <x v="0"/>
    <x v="0"/>
    <x v="1"/>
    <s v="PADD 2023 Y 2024"/>
    <s v="Pichiu"/>
  </r>
  <r>
    <n v="31"/>
    <x v="4"/>
    <x v="0"/>
    <x v="1"/>
    <x v="49"/>
    <s v="Rural"/>
    <s v="Femenino"/>
    <x v="0"/>
    <x v="0"/>
    <x v="1"/>
    <s v="PADD 2023 Y 2024"/>
    <s v="Pichiu"/>
  </r>
  <r>
    <n v="32"/>
    <x v="4"/>
    <x v="0"/>
    <x v="1"/>
    <x v="49"/>
    <s v="Rural"/>
    <s v="Femenino"/>
    <x v="0"/>
    <x v="0"/>
    <x v="1"/>
    <s v="PADD 2023 Y 2024"/>
    <s v="Pichiu"/>
  </r>
  <r>
    <n v="33"/>
    <x v="4"/>
    <x v="0"/>
    <x v="1"/>
    <x v="49"/>
    <s v="Rural"/>
    <s v="Masculino"/>
    <x v="0"/>
    <x v="0"/>
    <x v="1"/>
    <s v="PADD 2023 Y 2024"/>
    <s v="Pichiu"/>
  </r>
  <r>
    <n v="34"/>
    <x v="4"/>
    <x v="0"/>
    <x v="1"/>
    <x v="49"/>
    <s v="Rural"/>
    <s v="Masculino"/>
    <x v="0"/>
    <x v="0"/>
    <x v="1"/>
    <s v="PADD 2023 Y 2024"/>
    <s v="Pichiu"/>
  </r>
  <r>
    <n v="35"/>
    <x v="4"/>
    <x v="0"/>
    <x v="1"/>
    <x v="49"/>
    <s v="Rural"/>
    <s v="Masculino"/>
    <x v="0"/>
    <x v="0"/>
    <x v="1"/>
    <s v="PADD 2023 Y 2024"/>
    <s v="Pichiu"/>
  </r>
  <r>
    <n v="36"/>
    <x v="4"/>
    <x v="0"/>
    <x v="1"/>
    <x v="49"/>
    <s v="Rural"/>
    <s v="Femenino"/>
    <x v="0"/>
    <x v="0"/>
    <x v="1"/>
    <s v="PADD 2023 Y 2024"/>
    <s v="Pichiu"/>
  </r>
  <r>
    <n v="37"/>
    <x v="4"/>
    <x v="0"/>
    <x v="1"/>
    <x v="49"/>
    <s v="Rural"/>
    <s v="Masculino"/>
    <x v="0"/>
    <x v="0"/>
    <x v="1"/>
    <s v="PADD 2023 Y 2024"/>
    <s v="Pichiu"/>
  </r>
  <r>
    <n v="38"/>
    <x v="4"/>
    <x v="0"/>
    <x v="1"/>
    <x v="49"/>
    <s v="Rural"/>
    <s v="Femenino"/>
    <x v="0"/>
    <x v="0"/>
    <x v="1"/>
    <s v="PADD 2023 Y 2024"/>
    <s v="Pichiu"/>
  </r>
  <r>
    <n v="39"/>
    <x v="4"/>
    <x v="0"/>
    <x v="1"/>
    <x v="49"/>
    <s v="Rural"/>
    <s v="Femenino"/>
    <x v="0"/>
    <x v="0"/>
    <x v="1"/>
    <s v="PADD 2023 Y 2024"/>
    <s v="Pichiu"/>
  </r>
  <r>
    <n v="40"/>
    <x v="4"/>
    <x v="0"/>
    <x v="1"/>
    <x v="49"/>
    <s v="Rural"/>
    <s v="Femenino"/>
    <x v="0"/>
    <x v="0"/>
    <x v="1"/>
    <s v="PADD 2023 Y 2024"/>
    <s v="Pichiu"/>
  </r>
  <r>
    <n v="41"/>
    <x v="4"/>
    <x v="0"/>
    <x v="1"/>
    <x v="49"/>
    <s v="Rural"/>
    <s v="Masculino"/>
    <x v="0"/>
    <x v="0"/>
    <x v="1"/>
    <s v="PADD 2023 Y 2024"/>
    <s v="Pichiu"/>
  </r>
  <r>
    <n v="42"/>
    <x v="4"/>
    <x v="1"/>
    <x v="2"/>
    <x v="49"/>
    <s v="Rural"/>
    <s v="Masculino"/>
    <x v="0"/>
    <x v="0"/>
    <x v="2"/>
    <s v="PADD 2023 Y 2024"/>
    <s v="Pichiu"/>
  </r>
  <r>
    <n v="43"/>
    <x v="4"/>
    <x v="1"/>
    <x v="2"/>
    <x v="49"/>
    <s v="Rural"/>
    <s v="Masculino"/>
    <x v="0"/>
    <x v="0"/>
    <x v="2"/>
    <s v="PADD 2023 Y 2024"/>
    <s v="Pichiu"/>
  </r>
  <r>
    <n v="44"/>
    <x v="4"/>
    <x v="1"/>
    <x v="2"/>
    <x v="49"/>
    <s v="Rural"/>
    <s v="Femenino"/>
    <x v="0"/>
    <x v="0"/>
    <x v="2"/>
    <s v="PADD 2023 Y 2024"/>
    <s v="Pichiu"/>
  </r>
  <r>
    <n v="45"/>
    <x v="4"/>
    <x v="1"/>
    <x v="2"/>
    <x v="49"/>
    <s v="Rural"/>
    <s v="Masculino"/>
    <x v="0"/>
    <x v="0"/>
    <x v="2"/>
    <s v="PADD 2023 Y 2024"/>
    <s v="Pichiu"/>
  </r>
  <r>
    <n v="46"/>
    <x v="4"/>
    <x v="1"/>
    <x v="2"/>
    <x v="49"/>
    <s v="Rural"/>
    <s v="Femenino"/>
    <x v="0"/>
    <x v="0"/>
    <x v="2"/>
    <s v="PADD 2023 Y 2024"/>
    <s v="Pichiu"/>
  </r>
  <r>
    <n v="47"/>
    <x v="4"/>
    <x v="1"/>
    <x v="2"/>
    <x v="49"/>
    <s v="Rural"/>
    <s v="Femenino"/>
    <x v="0"/>
    <x v="0"/>
    <x v="2"/>
    <s v="PADD 2023 Y 2024"/>
    <s v="Pichiu"/>
  </r>
  <r>
    <n v="50"/>
    <x v="4"/>
    <x v="1"/>
    <x v="2"/>
    <x v="49"/>
    <s v="Rural"/>
    <s v="Masculino"/>
    <x v="0"/>
    <x v="0"/>
    <x v="2"/>
    <s v="PADD 2023 Y 2024"/>
    <s v="Pichiu"/>
  </r>
  <r>
    <n v="51"/>
    <x v="4"/>
    <x v="1"/>
    <x v="2"/>
    <x v="49"/>
    <s v="Rural"/>
    <s v="Masculino"/>
    <x v="0"/>
    <x v="0"/>
    <x v="2"/>
    <s v="PADD 2023 Y 2024"/>
    <s v="Pichiu"/>
  </r>
  <r>
    <n v="52"/>
    <x v="4"/>
    <x v="1"/>
    <x v="2"/>
    <x v="49"/>
    <s v="Rural"/>
    <s v="Masculino"/>
    <x v="0"/>
    <x v="0"/>
    <x v="2"/>
    <s v="PADD 2023 Y 2024"/>
    <s v="Pichiu"/>
  </r>
  <r>
    <n v="53"/>
    <x v="4"/>
    <x v="1"/>
    <x v="2"/>
    <x v="49"/>
    <s v="Rural"/>
    <s v="Femenino"/>
    <x v="0"/>
    <x v="0"/>
    <x v="2"/>
    <s v="PADD 2023 Y 2024"/>
    <s v="Pichiu"/>
  </r>
  <r>
    <n v="55"/>
    <x v="4"/>
    <x v="1"/>
    <x v="2"/>
    <x v="49"/>
    <s v="Rural"/>
    <s v="Masculino"/>
    <x v="0"/>
    <x v="0"/>
    <x v="2"/>
    <s v="PADD 2023 Y 2024"/>
    <s v="Pichiu"/>
  </r>
  <r>
    <n v="57"/>
    <x v="4"/>
    <x v="1"/>
    <x v="2"/>
    <x v="49"/>
    <s v="Rural"/>
    <s v="Masculino"/>
    <x v="0"/>
    <x v="0"/>
    <x v="2"/>
    <s v="PADD 2023 Y 2024"/>
    <s v="Pichiu"/>
  </r>
  <r>
    <n v="59"/>
    <x v="4"/>
    <x v="1"/>
    <x v="2"/>
    <x v="49"/>
    <s v="Rural"/>
    <s v="Masculino"/>
    <x v="0"/>
    <x v="0"/>
    <x v="2"/>
    <s v="PADD 2023 Y 2024"/>
    <s v="Pichiu"/>
  </r>
  <r>
    <n v="60"/>
    <x v="4"/>
    <x v="1"/>
    <x v="2"/>
    <x v="49"/>
    <s v="Rural"/>
    <s v="Femenino"/>
    <x v="0"/>
    <x v="0"/>
    <x v="2"/>
    <s v="PADD 2023 Y 2024"/>
    <s v="Pichiu"/>
  </r>
  <r>
    <n v="61"/>
    <x v="4"/>
    <x v="1"/>
    <x v="2"/>
    <x v="49"/>
    <s v="Rural"/>
    <s v="Femenino"/>
    <x v="0"/>
    <x v="0"/>
    <x v="2"/>
    <s v="PADD 2023 Y 2024"/>
    <s v="Pichiu"/>
  </r>
  <r>
    <n v="62"/>
    <x v="4"/>
    <x v="1"/>
    <x v="2"/>
    <x v="49"/>
    <s v="Rural"/>
    <s v="Femenino"/>
    <x v="0"/>
    <x v="0"/>
    <x v="2"/>
    <s v="PADD 2023 Y 2024"/>
    <s v="Pichiu"/>
  </r>
  <r>
    <n v="63"/>
    <x v="4"/>
    <x v="1"/>
    <x v="2"/>
    <x v="49"/>
    <s v="Rural"/>
    <s v="Masculino"/>
    <x v="0"/>
    <x v="0"/>
    <x v="2"/>
    <s v="PADD 2023 Y 2024"/>
    <s v="Pichiu"/>
  </r>
  <r>
    <n v="64"/>
    <x v="4"/>
    <x v="1"/>
    <x v="2"/>
    <x v="49"/>
    <s v="Rural"/>
    <s v="Masculino"/>
    <x v="0"/>
    <x v="0"/>
    <x v="2"/>
    <s v="PADD 2023 Y 2024"/>
    <s v="Pichiu"/>
  </r>
  <r>
    <n v="65"/>
    <x v="4"/>
    <x v="1"/>
    <x v="2"/>
    <x v="49"/>
    <s v="Rural"/>
    <s v="Femenino"/>
    <x v="0"/>
    <x v="0"/>
    <x v="2"/>
    <s v="PADD 2023 Y 2024"/>
    <s v="Pichiu"/>
  </r>
  <r>
    <n v="66"/>
    <x v="4"/>
    <x v="1"/>
    <x v="2"/>
    <x v="49"/>
    <s v="Rural"/>
    <s v="Masculino"/>
    <x v="0"/>
    <x v="0"/>
    <x v="2"/>
    <s v="PADD 2023 Y 2024"/>
    <s v="Pichiu"/>
  </r>
  <r>
    <n v="67"/>
    <x v="4"/>
    <x v="1"/>
    <x v="3"/>
    <x v="49"/>
    <s v="Rural"/>
    <s v="Femenino"/>
    <x v="0"/>
    <x v="0"/>
    <x v="2"/>
    <s v="PADD 2023 Y 2024"/>
    <s v="Pichiu"/>
  </r>
  <r>
    <n v="68"/>
    <x v="4"/>
    <x v="1"/>
    <x v="3"/>
    <x v="49"/>
    <s v="Rural"/>
    <s v="Femenino"/>
    <x v="0"/>
    <x v="0"/>
    <x v="2"/>
    <s v="PADD 2023 Y 2024"/>
    <s v="Pichiu"/>
  </r>
  <r>
    <n v="69"/>
    <x v="4"/>
    <x v="1"/>
    <x v="3"/>
    <x v="49"/>
    <s v="Rural"/>
    <s v="Masculino"/>
    <x v="0"/>
    <x v="0"/>
    <x v="2"/>
    <s v="PADD 2023 Y 2024"/>
    <s v="Pichiu"/>
  </r>
  <r>
    <n v="70"/>
    <x v="4"/>
    <x v="1"/>
    <x v="3"/>
    <x v="49"/>
    <s v="Rural"/>
    <s v="Femenino"/>
    <x v="0"/>
    <x v="0"/>
    <x v="2"/>
    <s v="PADD 2023 Y 2024"/>
    <s v="Pichiu"/>
  </r>
  <r>
    <n v="72"/>
    <x v="4"/>
    <x v="1"/>
    <x v="3"/>
    <x v="49"/>
    <s v="Rural"/>
    <s v="Femenino"/>
    <x v="0"/>
    <x v="0"/>
    <x v="2"/>
    <s v="PADD 2023 Y 2024"/>
    <s v="Pichiu"/>
  </r>
  <r>
    <n v="73"/>
    <x v="4"/>
    <x v="1"/>
    <x v="3"/>
    <x v="49"/>
    <s v="Rural"/>
    <s v="Masculino"/>
    <x v="0"/>
    <x v="0"/>
    <x v="2"/>
    <s v="PADD 2023 Y 2024"/>
    <s v="Pichiu"/>
  </r>
  <r>
    <n v="74"/>
    <x v="4"/>
    <x v="1"/>
    <x v="3"/>
    <x v="49"/>
    <s v="Rural"/>
    <s v="Masculino"/>
    <x v="0"/>
    <x v="0"/>
    <x v="2"/>
    <s v="PADD 2023 Y 2024"/>
    <s v="Pichiu"/>
  </r>
  <r>
    <n v="75"/>
    <x v="4"/>
    <x v="1"/>
    <x v="3"/>
    <x v="49"/>
    <s v="Rural"/>
    <s v="Femenino"/>
    <x v="0"/>
    <x v="0"/>
    <x v="2"/>
    <s v="PADD 2023 Y 2024"/>
    <s v="Pichiu"/>
  </r>
  <r>
    <n v="77"/>
    <x v="4"/>
    <x v="1"/>
    <x v="3"/>
    <x v="49"/>
    <s v="Rural"/>
    <s v="Femenino"/>
    <x v="0"/>
    <x v="0"/>
    <x v="2"/>
    <s v="PADD 2023 Y 2024"/>
    <s v="Pichiu"/>
  </r>
  <r>
    <n v="78"/>
    <x v="4"/>
    <x v="1"/>
    <x v="3"/>
    <x v="49"/>
    <s v="Rural"/>
    <s v="Masculino"/>
    <x v="0"/>
    <x v="0"/>
    <x v="2"/>
    <s v="PADD 2023 Y 2024"/>
    <s v="Pichiu"/>
  </r>
  <r>
    <n v="80"/>
    <x v="4"/>
    <x v="1"/>
    <x v="3"/>
    <x v="49"/>
    <s v="Rural"/>
    <s v="Masculino"/>
    <x v="0"/>
    <x v="0"/>
    <x v="2"/>
    <s v="PADD 2023 Y 2024"/>
    <s v="Pichiu"/>
  </r>
  <r>
    <n v="81"/>
    <x v="4"/>
    <x v="1"/>
    <x v="3"/>
    <x v="49"/>
    <s v="Rural"/>
    <s v="Masculino"/>
    <x v="0"/>
    <x v="0"/>
    <x v="2"/>
    <s v="PADD 2023 Y 2024"/>
    <s v="Pichiu"/>
  </r>
  <r>
    <n v="82"/>
    <x v="4"/>
    <x v="1"/>
    <x v="3"/>
    <x v="49"/>
    <s v="Rural"/>
    <s v="Femenino"/>
    <x v="0"/>
    <x v="0"/>
    <x v="2"/>
    <s v="PADD 2023 Y 2024"/>
    <s v="Pichiu"/>
  </r>
  <r>
    <n v="84"/>
    <x v="4"/>
    <x v="1"/>
    <x v="3"/>
    <x v="49"/>
    <s v="Rural"/>
    <s v="Femenino"/>
    <x v="0"/>
    <x v="0"/>
    <x v="2"/>
    <s v="PADD 2023 Y 2024"/>
    <s v="Pichiu"/>
  </r>
  <r>
    <n v="85"/>
    <x v="4"/>
    <x v="1"/>
    <x v="3"/>
    <x v="49"/>
    <s v="Rural"/>
    <s v="Masculino"/>
    <x v="0"/>
    <x v="0"/>
    <x v="2"/>
    <s v="PADD 2023 Y 2024"/>
    <s v="Pichiu"/>
  </r>
  <r>
    <n v="87"/>
    <x v="4"/>
    <x v="1"/>
    <x v="3"/>
    <x v="49"/>
    <s v="Rural"/>
    <s v="Femenino"/>
    <x v="0"/>
    <x v="0"/>
    <x v="2"/>
    <s v="PADD 2023 Y 2024"/>
    <s v="Pichiu"/>
  </r>
  <r>
    <n v="88"/>
    <x v="4"/>
    <x v="1"/>
    <x v="3"/>
    <x v="49"/>
    <s v="Rural"/>
    <s v="Masculino"/>
    <x v="0"/>
    <x v="0"/>
    <x v="2"/>
    <s v="PADD 2023 Y 2024"/>
    <s v="Pichiu"/>
  </r>
  <r>
    <n v="89"/>
    <x v="4"/>
    <x v="1"/>
    <x v="3"/>
    <x v="49"/>
    <s v="Rural"/>
    <s v="Masculino"/>
    <x v="0"/>
    <x v="0"/>
    <x v="2"/>
    <s v="PADD 2023 Y 2024"/>
    <s v="Pichiu"/>
  </r>
  <r>
    <n v="90"/>
    <x v="4"/>
    <x v="1"/>
    <x v="3"/>
    <x v="49"/>
    <s v="Rural"/>
    <s v="Femenino"/>
    <x v="0"/>
    <x v="0"/>
    <x v="2"/>
    <s v="PADD 2023 Y 2024"/>
    <s v="Pichiu"/>
  </r>
  <r>
    <n v="91"/>
    <x v="4"/>
    <x v="1"/>
    <x v="3"/>
    <x v="49"/>
    <s v="Rural"/>
    <s v="Masculino"/>
    <x v="0"/>
    <x v="0"/>
    <x v="2"/>
    <s v="PADD 2023 Y 2024"/>
    <s v="Pichiu"/>
  </r>
  <r>
    <n v="92"/>
    <x v="4"/>
    <x v="1"/>
    <x v="3"/>
    <x v="49"/>
    <s v="Rural"/>
    <s v="Femenino"/>
    <x v="0"/>
    <x v="0"/>
    <x v="2"/>
    <s v="PADD 2023 Y 2024"/>
    <s v="Pichiu"/>
  </r>
  <r>
    <n v="94"/>
    <x v="4"/>
    <x v="0"/>
    <x v="4"/>
    <x v="50"/>
    <s v="Rural"/>
    <s v="Masculino"/>
    <x v="0"/>
    <x v="0"/>
    <x v="2"/>
    <s v="PADD 2023 Y 2024"/>
    <s v="Carap"/>
  </r>
  <r>
    <n v="95"/>
    <x v="4"/>
    <x v="0"/>
    <x v="4"/>
    <x v="50"/>
    <s v="Rural"/>
    <s v="Femenino"/>
    <x v="0"/>
    <x v="0"/>
    <x v="2"/>
    <s v="PADD 2023 Y 2024"/>
    <s v="Carap"/>
  </r>
  <r>
    <n v="96"/>
    <x v="4"/>
    <x v="0"/>
    <x v="4"/>
    <x v="50"/>
    <s v="Rural"/>
    <s v="Masculino"/>
    <x v="0"/>
    <x v="0"/>
    <x v="2"/>
    <s v="PADD 2023 Y 2024"/>
    <s v="Carap"/>
  </r>
  <r>
    <n v="97"/>
    <x v="4"/>
    <x v="0"/>
    <x v="4"/>
    <x v="50"/>
    <s v="Rural"/>
    <s v="Femenino"/>
    <x v="0"/>
    <x v="0"/>
    <x v="2"/>
    <s v="PADD 2023 Y 2024"/>
    <s v="Carap"/>
  </r>
  <r>
    <n v="98"/>
    <x v="4"/>
    <x v="0"/>
    <x v="0"/>
    <x v="50"/>
    <s v="Rural"/>
    <s v="Masculino"/>
    <x v="0"/>
    <x v="0"/>
    <x v="0"/>
    <s v="PADD 2023 Y 2024"/>
    <s v="Carap"/>
  </r>
  <r>
    <n v="99"/>
    <x v="4"/>
    <x v="0"/>
    <x v="0"/>
    <x v="50"/>
    <s v="Rural"/>
    <s v="Masculino"/>
    <x v="0"/>
    <x v="0"/>
    <x v="0"/>
    <s v="PADD 2023 Y 2024"/>
    <s v="Carap"/>
  </r>
  <r>
    <n v="100"/>
    <x v="4"/>
    <x v="0"/>
    <x v="0"/>
    <x v="50"/>
    <s v="Rural"/>
    <s v="Femenino"/>
    <x v="0"/>
    <x v="0"/>
    <x v="0"/>
    <s v="PADD 2023 Y 2024"/>
    <s v="Carap"/>
  </r>
  <r>
    <n v="101"/>
    <x v="4"/>
    <x v="0"/>
    <x v="0"/>
    <x v="50"/>
    <s v="Rural"/>
    <s v="Masculino"/>
    <x v="0"/>
    <x v="0"/>
    <x v="0"/>
    <s v="PADD 2023 Y 2024"/>
    <s v="Carap"/>
  </r>
  <r>
    <n v="102"/>
    <x v="4"/>
    <x v="0"/>
    <x v="0"/>
    <x v="50"/>
    <s v="Rural"/>
    <s v="Masculino"/>
    <x v="0"/>
    <x v="0"/>
    <x v="0"/>
    <s v="PADD 2023 Y 2024"/>
    <s v="Carap"/>
  </r>
  <r>
    <n v="103"/>
    <x v="4"/>
    <x v="0"/>
    <x v="0"/>
    <x v="50"/>
    <s v="Rural"/>
    <s v="Masculino"/>
    <x v="0"/>
    <x v="0"/>
    <x v="0"/>
    <s v="PADD 2023 Y 2024"/>
    <s v="Carap"/>
  </r>
  <r>
    <n v="104"/>
    <x v="4"/>
    <x v="0"/>
    <x v="0"/>
    <x v="50"/>
    <s v="Rural"/>
    <s v="Femenino"/>
    <x v="0"/>
    <x v="0"/>
    <x v="0"/>
    <s v="PADD 2023 Y 2024"/>
    <s v="Carap"/>
  </r>
  <r>
    <n v="105"/>
    <x v="4"/>
    <x v="0"/>
    <x v="1"/>
    <x v="50"/>
    <s v="Rural"/>
    <s v="Femenino"/>
    <x v="0"/>
    <x v="0"/>
    <x v="2"/>
    <s v="PADD 2023 Y 2024"/>
    <s v="Carap"/>
  </r>
  <r>
    <n v="106"/>
    <x v="4"/>
    <x v="0"/>
    <x v="1"/>
    <x v="50"/>
    <s v="Rural"/>
    <s v="Masculino"/>
    <x v="0"/>
    <x v="0"/>
    <x v="2"/>
    <s v="PADD 2023 Y 2024"/>
    <s v="Carap"/>
  </r>
  <r>
    <n v="107"/>
    <x v="4"/>
    <x v="0"/>
    <x v="1"/>
    <x v="50"/>
    <s v="Rural"/>
    <s v="Femenino"/>
    <x v="0"/>
    <x v="0"/>
    <x v="2"/>
    <s v="PADD 2023 Y 2024"/>
    <s v="Carap"/>
  </r>
  <r>
    <n v="108"/>
    <x v="4"/>
    <x v="0"/>
    <x v="4"/>
    <x v="51"/>
    <s v="Rural"/>
    <s v="Masculino"/>
    <x v="0"/>
    <x v="0"/>
    <x v="1"/>
    <s v="PADD 2023 Y 2024"/>
    <s v="Capan"/>
  </r>
  <r>
    <n v="109"/>
    <x v="4"/>
    <x v="0"/>
    <x v="4"/>
    <x v="51"/>
    <s v="Rural"/>
    <s v="Femenino"/>
    <x v="0"/>
    <x v="0"/>
    <x v="1"/>
    <s v="PADD 2023 Y 2024"/>
    <s v="Capan"/>
  </r>
  <r>
    <n v="110"/>
    <x v="4"/>
    <x v="0"/>
    <x v="4"/>
    <x v="51"/>
    <s v="Rural"/>
    <s v="Masculino"/>
    <x v="0"/>
    <x v="0"/>
    <x v="1"/>
    <s v="PADD 2023 Y 2024"/>
    <s v="Capan"/>
  </r>
  <r>
    <n v="111"/>
    <x v="4"/>
    <x v="0"/>
    <x v="4"/>
    <x v="51"/>
    <s v="Rural"/>
    <s v="Femenino"/>
    <x v="0"/>
    <x v="0"/>
    <x v="1"/>
    <s v="PADD 2023 Y 2024"/>
    <s v="Capan"/>
  </r>
  <r>
    <n v="112"/>
    <x v="4"/>
    <x v="0"/>
    <x v="4"/>
    <x v="51"/>
    <s v="Rural"/>
    <s v="Masculino"/>
    <x v="0"/>
    <x v="0"/>
    <x v="1"/>
    <s v="PADD 2023 Y 2024"/>
    <s v="Capan"/>
  </r>
  <r>
    <n v="113"/>
    <x v="4"/>
    <x v="0"/>
    <x v="4"/>
    <x v="51"/>
    <s v="Rural"/>
    <s v="Femenino"/>
    <x v="0"/>
    <x v="0"/>
    <x v="1"/>
    <s v="PADD 2023 Y 2024"/>
    <s v="Capan"/>
  </r>
  <r>
    <n v="114"/>
    <x v="4"/>
    <x v="0"/>
    <x v="0"/>
    <x v="51"/>
    <s v="Rural"/>
    <s v="Femenino"/>
    <x v="0"/>
    <x v="0"/>
    <x v="1"/>
    <s v="PADD 2023 Y 2024"/>
    <s v="Capan"/>
  </r>
  <r>
    <n v="115"/>
    <x v="4"/>
    <x v="0"/>
    <x v="0"/>
    <x v="51"/>
    <s v="Rural"/>
    <s v="Femenino"/>
    <x v="0"/>
    <x v="0"/>
    <x v="1"/>
    <s v="PADD 2023 Y 2024"/>
    <s v="Capan"/>
  </r>
  <r>
    <n v="116"/>
    <x v="4"/>
    <x v="0"/>
    <x v="0"/>
    <x v="51"/>
    <s v="Rural"/>
    <s v="Femenino"/>
    <x v="0"/>
    <x v="0"/>
    <x v="1"/>
    <s v="PADD 2023 Y 2024"/>
    <s v="Capan"/>
  </r>
  <r>
    <n v="117"/>
    <x v="4"/>
    <x v="0"/>
    <x v="0"/>
    <x v="51"/>
    <s v="Rural"/>
    <s v="Masculino"/>
    <x v="0"/>
    <x v="0"/>
    <x v="1"/>
    <s v="PADD 2023 Y 2024"/>
    <s v="Capan"/>
  </r>
  <r>
    <n v="118"/>
    <x v="4"/>
    <x v="0"/>
    <x v="0"/>
    <x v="51"/>
    <s v="Rural"/>
    <s v="Femenino"/>
    <x v="0"/>
    <x v="0"/>
    <x v="1"/>
    <s v="PADD 2023 Y 2024"/>
    <s v="Capan"/>
  </r>
  <r>
    <n v="119"/>
    <x v="4"/>
    <x v="0"/>
    <x v="0"/>
    <x v="51"/>
    <s v="Rural"/>
    <s v="Femenino"/>
    <x v="0"/>
    <x v="0"/>
    <x v="1"/>
    <s v="PADD 2023 Y 2024"/>
    <s v="Capan"/>
  </r>
  <r>
    <n v="120"/>
    <x v="4"/>
    <x v="0"/>
    <x v="0"/>
    <x v="51"/>
    <s v="Rural"/>
    <s v="Femenino"/>
    <x v="0"/>
    <x v="0"/>
    <x v="1"/>
    <s v="PADD 2023 Y 2024"/>
    <s v="Capan"/>
  </r>
  <r>
    <n v="121"/>
    <x v="4"/>
    <x v="0"/>
    <x v="0"/>
    <x v="51"/>
    <s v="Rural"/>
    <s v="Femenino"/>
    <x v="0"/>
    <x v="0"/>
    <x v="1"/>
    <s v="PADD 2023 Y 2024"/>
    <s v="Capan"/>
  </r>
  <r>
    <n v="123"/>
    <x v="4"/>
    <x v="0"/>
    <x v="1"/>
    <x v="51"/>
    <s v="Rural"/>
    <s v="Femenino"/>
    <x v="0"/>
    <x v="0"/>
    <x v="1"/>
    <s v="PADD 2023 Y 2024"/>
    <s v="Capan"/>
  </r>
  <r>
    <n v="124"/>
    <x v="4"/>
    <x v="0"/>
    <x v="1"/>
    <x v="51"/>
    <s v="Rural"/>
    <s v="Femenino"/>
    <x v="0"/>
    <x v="0"/>
    <x v="1"/>
    <s v="PADD 2023 Y 2024"/>
    <s v="Capan"/>
  </r>
  <r>
    <n v="125"/>
    <x v="4"/>
    <x v="0"/>
    <x v="1"/>
    <x v="51"/>
    <s v="Rural"/>
    <s v="Femenino"/>
    <x v="0"/>
    <x v="0"/>
    <x v="1"/>
    <s v="PADD 2023 Y 2024"/>
    <s v="Capan"/>
  </r>
  <r>
    <n v="126"/>
    <x v="4"/>
    <x v="0"/>
    <x v="1"/>
    <x v="51"/>
    <s v="Rural"/>
    <s v="Femenino"/>
    <x v="0"/>
    <x v="0"/>
    <x v="1"/>
    <s v="PADD 2023 Y 2024"/>
    <s v="Capan"/>
  </r>
  <r>
    <n v="127"/>
    <x v="4"/>
    <x v="0"/>
    <x v="1"/>
    <x v="51"/>
    <s v="Rural"/>
    <s v="Masculino"/>
    <x v="0"/>
    <x v="0"/>
    <x v="1"/>
    <s v="PADD 2023 Y 2024"/>
    <s v="Capan"/>
  </r>
  <r>
    <n v="128"/>
    <x v="4"/>
    <x v="0"/>
    <x v="4"/>
    <x v="52"/>
    <s v="Rural"/>
    <s v="Femenino"/>
    <x v="0"/>
    <x v="0"/>
    <x v="0"/>
    <s v="SOLO 2024"/>
    <s v="Huascar"/>
  </r>
  <r>
    <n v="129"/>
    <x v="4"/>
    <x v="0"/>
    <x v="4"/>
    <x v="52"/>
    <s v="Rural"/>
    <s v="Femenino"/>
    <x v="0"/>
    <x v="0"/>
    <x v="0"/>
    <s v="SOLO 2024"/>
    <s v="Huascar"/>
  </r>
  <r>
    <n v="130"/>
    <x v="4"/>
    <x v="0"/>
    <x v="4"/>
    <x v="52"/>
    <s v="Rural"/>
    <s v="Femenino"/>
    <x v="0"/>
    <x v="0"/>
    <x v="0"/>
    <s v="SOLO 2024"/>
    <s v="Huascar"/>
  </r>
  <r>
    <n v="131"/>
    <x v="4"/>
    <x v="0"/>
    <x v="4"/>
    <x v="52"/>
    <s v="Rural"/>
    <s v="Femenino"/>
    <x v="0"/>
    <x v="0"/>
    <x v="0"/>
    <s v="SOLO 2024"/>
    <s v="Huascar"/>
  </r>
  <r>
    <n v="132"/>
    <x v="4"/>
    <x v="0"/>
    <x v="4"/>
    <x v="52"/>
    <s v="Rural"/>
    <s v="Masculino"/>
    <x v="0"/>
    <x v="0"/>
    <x v="0"/>
    <s v="SOLO 2024"/>
    <s v="Huascar"/>
  </r>
  <r>
    <n v="133"/>
    <x v="4"/>
    <x v="0"/>
    <x v="4"/>
    <x v="52"/>
    <s v="Rural"/>
    <s v="Masculino"/>
    <x v="0"/>
    <x v="0"/>
    <x v="0"/>
    <s v="SOLO 2024"/>
    <s v="Huascar"/>
  </r>
  <r>
    <n v="134"/>
    <x v="4"/>
    <x v="0"/>
    <x v="4"/>
    <x v="52"/>
    <s v="Rural"/>
    <s v="Masculino"/>
    <x v="0"/>
    <x v="0"/>
    <x v="0"/>
    <s v="SOLO 2024"/>
    <s v="Huascar"/>
  </r>
  <r>
    <n v="135"/>
    <x v="4"/>
    <x v="0"/>
    <x v="0"/>
    <x v="52"/>
    <s v="Rural"/>
    <s v="Femenino"/>
    <x v="0"/>
    <x v="0"/>
    <x v="2"/>
    <s v="SOLO 2024"/>
    <s v="Huascar"/>
  </r>
  <r>
    <n v="136"/>
    <x v="4"/>
    <x v="0"/>
    <x v="0"/>
    <x v="52"/>
    <s v="Rural"/>
    <s v="Masculino"/>
    <x v="0"/>
    <x v="0"/>
    <x v="2"/>
    <s v="SOLO 2024"/>
    <s v="Huascar"/>
  </r>
  <r>
    <n v="137"/>
    <x v="4"/>
    <x v="0"/>
    <x v="0"/>
    <x v="52"/>
    <s v="Rural"/>
    <s v="Masculino"/>
    <x v="0"/>
    <x v="0"/>
    <x v="2"/>
    <s v="SOLO 2024"/>
    <s v="Huascar"/>
  </r>
  <r>
    <n v="138"/>
    <x v="4"/>
    <x v="0"/>
    <x v="0"/>
    <x v="52"/>
    <s v="Rural"/>
    <s v="Femenino"/>
    <x v="0"/>
    <x v="0"/>
    <x v="2"/>
    <s v="SOLO 2024"/>
    <s v="Huascar"/>
  </r>
  <r>
    <n v="139"/>
    <x v="4"/>
    <x v="0"/>
    <x v="0"/>
    <x v="52"/>
    <s v="Rural"/>
    <s v="Femenino"/>
    <x v="0"/>
    <x v="0"/>
    <x v="2"/>
    <s v="SOLO 2024"/>
    <s v="Huascar"/>
  </r>
  <r>
    <n v="140"/>
    <x v="4"/>
    <x v="0"/>
    <x v="1"/>
    <x v="52"/>
    <s v="Rural"/>
    <s v="Masculino"/>
    <x v="0"/>
    <x v="0"/>
    <x v="2"/>
    <s v="SOLO 2024"/>
    <s v="Huascar"/>
  </r>
  <r>
    <n v="141"/>
    <x v="4"/>
    <x v="0"/>
    <x v="1"/>
    <x v="52"/>
    <s v="Rural"/>
    <s v="Masculino"/>
    <x v="0"/>
    <x v="0"/>
    <x v="2"/>
    <s v="SOLO 2024"/>
    <s v="Huascar"/>
  </r>
  <r>
    <n v="142"/>
    <x v="4"/>
    <x v="0"/>
    <x v="1"/>
    <x v="52"/>
    <s v="Rural"/>
    <s v="Masculino"/>
    <x v="0"/>
    <x v="0"/>
    <x v="2"/>
    <s v="SOLO 2024"/>
    <s v="Huascar"/>
  </r>
  <r>
    <n v="143"/>
    <x v="4"/>
    <x v="0"/>
    <x v="1"/>
    <x v="52"/>
    <s v="Rural"/>
    <s v="Masculino"/>
    <x v="0"/>
    <x v="0"/>
    <x v="2"/>
    <s v="SOLO 2024"/>
    <s v="Huascar"/>
  </r>
  <r>
    <n v="144"/>
    <x v="4"/>
    <x v="0"/>
    <x v="1"/>
    <x v="52"/>
    <s v="Rural"/>
    <s v="Femenino"/>
    <x v="0"/>
    <x v="0"/>
    <x v="2"/>
    <s v="SOLO 2024"/>
    <s v="Huascar"/>
  </r>
  <r>
    <n v="145"/>
    <x v="4"/>
    <x v="1"/>
    <x v="2"/>
    <x v="52"/>
    <s v="Rural"/>
    <s v="Femenino"/>
    <x v="0"/>
    <x v="0"/>
    <x v="2"/>
    <s v="SOLO 2024"/>
    <s v="Huascar"/>
  </r>
  <r>
    <n v="146"/>
    <x v="4"/>
    <x v="1"/>
    <x v="2"/>
    <x v="52"/>
    <s v="Rural"/>
    <s v="Masculino"/>
    <x v="0"/>
    <x v="0"/>
    <x v="2"/>
    <s v="SOLO 2024"/>
    <s v="Huascar"/>
  </r>
  <r>
    <n v="147"/>
    <x v="4"/>
    <x v="1"/>
    <x v="2"/>
    <x v="52"/>
    <s v="Rural"/>
    <s v="Femenino"/>
    <x v="0"/>
    <x v="0"/>
    <x v="2"/>
    <s v="SOLO 2024"/>
    <s v="Huascar"/>
  </r>
  <r>
    <n v="148"/>
    <x v="4"/>
    <x v="1"/>
    <x v="2"/>
    <x v="52"/>
    <s v="Rural"/>
    <s v="Femenino"/>
    <x v="0"/>
    <x v="0"/>
    <x v="2"/>
    <s v="SOLO 2024"/>
    <s v="Huascar"/>
  </r>
  <r>
    <n v="150"/>
    <x v="4"/>
    <x v="1"/>
    <x v="3"/>
    <x v="52"/>
    <s v="Rural"/>
    <s v="Femenino"/>
    <x v="0"/>
    <x v="0"/>
    <x v="0"/>
    <s v="SOLO 2024"/>
    <s v="Huascar"/>
  </r>
  <r>
    <n v="151"/>
    <x v="4"/>
    <x v="1"/>
    <x v="3"/>
    <x v="52"/>
    <s v="Rural"/>
    <s v="Femenino"/>
    <x v="0"/>
    <x v="0"/>
    <x v="0"/>
    <s v="SOLO 2024"/>
    <s v="Huascar"/>
  </r>
  <r>
    <n v="152"/>
    <x v="4"/>
    <x v="1"/>
    <x v="3"/>
    <x v="52"/>
    <s v="Rural"/>
    <s v="Masculino"/>
    <x v="0"/>
    <x v="0"/>
    <x v="0"/>
    <s v="SOLO 2024"/>
    <s v="Huascar"/>
  </r>
  <r>
    <n v="153"/>
    <x v="4"/>
    <x v="1"/>
    <x v="3"/>
    <x v="52"/>
    <s v="Rural"/>
    <s v="Femenino"/>
    <x v="0"/>
    <x v="0"/>
    <x v="0"/>
    <s v="SOLO 2024"/>
    <s v="Huascar"/>
  </r>
  <r>
    <n v="154"/>
    <x v="4"/>
    <x v="1"/>
    <x v="3"/>
    <x v="52"/>
    <s v="Rural"/>
    <s v="Masculino"/>
    <x v="0"/>
    <x v="0"/>
    <x v="0"/>
    <s v="SOLO 2024"/>
    <s v="Huascar"/>
  </r>
  <r>
    <n v="1"/>
    <x v="5"/>
    <x v="1"/>
    <x v="2"/>
    <x v="53"/>
    <s v="Rural"/>
    <s v="Femenino"/>
    <x v="1"/>
    <x v="0"/>
    <x v="0"/>
    <s v="PADD 2023 Y 2024"/>
    <s v="Papa Francisco I"/>
  </r>
  <r>
    <n v="2"/>
    <x v="5"/>
    <x v="1"/>
    <x v="2"/>
    <x v="53"/>
    <s v="Rural"/>
    <s v="Masculino"/>
    <x v="1"/>
    <x v="0"/>
    <x v="0"/>
    <s v="PADD 2023 Y 2024"/>
    <s v="Papa Francisco I"/>
  </r>
  <r>
    <n v="3"/>
    <x v="5"/>
    <x v="1"/>
    <x v="2"/>
    <x v="53"/>
    <s v="Rural"/>
    <s v="Femenino"/>
    <x v="0"/>
    <x v="0"/>
    <x v="0"/>
    <s v="PADD 2023 Y 2024"/>
    <s v="Papa Francisco I"/>
  </r>
  <r>
    <n v="4"/>
    <x v="5"/>
    <x v="1"/>
    <x v="2"/>
    <x v="53"/>
    <s v="Rural"/>
    <s v="Masculino"/>
    <x v="1"/>
    <x v="0"/>
    <x v="0"/>
    <s v="PADD 2023 Y 2024"/>
    <s v="Papa Francisco I"/>
  </r>
  <r>
    <n v="5"/>
    <x v="5"/>
    <x v="1"/>
    <x v="2"/>
    <x v="53"/>
    <s v="Rural"/>
    <s v="Femenino"/>
    <x v="0"/>
    <x v="0"/>
    <x v="0"/>
    <s v="PADD 2023 Y 2024"/>
    <s v="Papa Francisco I"/>
  </r>
  <r>
    <n v="6"/>
    <x v="5"/>
    <x v="1"/>
    <x v="2"/>
    <x v="53"/>
    <s v="Rural"/>
    <s v="Femenino"/>
    <x v="1"/>
    <x v="0"/>
    <x v="0"/>
    <s v="PADD 2023 Y 2024"/>
    <s v="Papa Francisco I"/>
  </r>
  <r>
    <n v="7"/>
    <x v="5"/>
    <x v="1"/>
    <x v="2"/>
    <x v="53"/>
    <s v="Rural"/>
    <s v="Femenino"/>
    <x v="1"/>
    <x v="0"/>
    <x v="0"/>
    <s v="PADD 2023 Y 2024"/>
    <s v="Papa Francisco I"/>
  </r>
  <r>
    <n v="8"/>
    <x v="5"/>
    <x v="1"/>
    <x v="2"/>
    <x v="53"/>
    <s v="Rural"/>
    <s v="Masculino"/>
    <x v="0"/>
    <x v="0"/>
    <x v="0"/>
    <s v="PADD 2023 Y 2024"/>
    <s v="Papa Francisco I"/>
  </r>
  <r>
    <n v="9"/>
    <x v="5"/>
    <x v="1"/>
    <x v="2"/>
    <x v="53"/>
    <s v="Rural"/>
    <s v="Femenino"/>
    <x v="1"/>
    <x v="0"/>
    <x v="0"/>
    <s v="PADD 2023 Y 2024"/>
    <s v="Papa Francisco I"/>
  </r>
  <r>
    <n v="10"/>
    <x v="5"/>
    <x v="1"/>
    <x v="2"/>
    <x v="53"/>
    <s v="Rural"/>
    <s v="Masculino"/>
    <x v="1"/>
    <x v="0"/>
    <x v="0"/>
    <s v="PADD 2023 Y 2024"/>
    <s v="Papa Francisco I"/>
  </r>
  <r>
    <n v="11"/>
    <x v="5"/>
    <x v="1"/>
    <x v="2"/>
    <x v="53"/>
    <s v="Rural"/>
    <s v="Femenino"/>
    <x v="1"/>
    <x v="0"/>
    <x v="0"/>
    <s v="PADD 2023 Y 2024"/>
    <s v="Papa Francisco I"/>
  </r>
  <r>
    <n v="12"/>
    <x v="5"/>
    <x v="1"/>
    <x v="3"/>
    <x v="53"/>
    <s v="Rural"/>
    <s v="Femenino"/>
    <x v="2"/>
    <x v="0"/>
    <x v="0"/>
    <s v="PADD 2023 Y 2024"/>
    <s v="Papa Francisco I"/>
  </r>
  <r>
    <n v="13"/>
    <x v="5"/>
    <x v="1"/>
    <x v="3"/>
    <x v="53"/>
    <s v="Rural"/>
    <s v="Femenino"/>
    <x v="2"/>
    <x v="0"/>
    <x v="0"/>
    <s v="PADD 2023 Y 2024"/>
    <s v="Papa Francisco I"/>
  </r>
  <r>
    <n v="14"/>
    <x v="5"/>
    <x v="1"/>
    <x v="3"/>
    <x v="53"/>
    <s v="Rural"/>
    <s v="Femenino"/>
    <x v="2"/>
    <x v="0"/>
    <x v="0"/>
    <s v="PADD 2023 Y 2024"/>
    <s v="Papa Francisco I"/>
  </r>
  <r>
    <n v="15"/>
    <x v="5"/>
    <x v="1"/>
    <x v="3"/>
    <x v="53"/>
    <s v="Rural"/>
    <s v="Femenino"/>
    <x v="2"/>
    <x v="0"/>
    <x v="0"/>
    <s v="PADD 2023 Y 2024"/>
    <s v="Papa Francisco I"/>
  </r>
  <r>
    <n v="16"/>
    <x v="5"/>
    <x v="1"/>
    <x v="3"/>
    <x v="53"/>
    <s v="Rural"/>
    <s v="Masculino"/>
    <x v="1"/>
    <x v="0"/>
    <x v="0"/>
    <s v="PADD 2023 Y 2024"/>
    <s v="Papa Francisco I"/>
  </r>
  <r>
    <n v="17"/>
    <x v="5"/>
    <x v="1"/>
    <x v="3"/>
    <x v="53"/>
    <s v="Rural"/>
    <s v="Masculino"/>
    <x v="1"/>
    <x v="0"/>
    <x v="0"/>
    <s v="PADD 2023 Y 2024"/>
    <s v="Papa Francisco I"/>
  </r>
  <r>
    <n v="18"/>
    <x v="5"/>
    <x v="1"/>
    <x v="3"/>
    <x v="53"/>
    <s v="Rural"/>
    <s v="Masculino"/>
    <x v="0"/>
    <x v="0"/>
    <x v="0"/>
    <s v="PADD 2023 Y 2024"/>
    <s v="Papa Francisco I"/>
  </r>
  <r>
    <n v="19"/>
    <x v="5"/>
    <x v="1"/>
    <x v="3"/>
    <x v="53"/>
    <s v="Rural"/>
    <s v="Masculino"/>
    <x v="2"/>
    <x v="0"/>
    <x v="0"/>
    <s v="PADD 2023 Y 2024"/>
    <s v="Papa Francisco I"/>
  </r>
  <r>
    <n v="20"/>
    <x v="5"/>
    <x v="1"/>
    <x v="3"/>
    <x v="53"/>
    <s v="Rural"/>
    <s v="Femenino"/>
    <x v="1"/>
    <x v="0"/>
    <x v="0"/>
    <s v="PADD 2023 Y 2024"/>
    <s v="Papa Francisco I"/>
  </r>
  <r>
    <n v="21"/>
    <x v="5"/>
    <x v="1"/>
    <x v="3"/>
    <x v="53"/>
    <s v="Rural"/>
    <s v="Masculino"/>
    <x v="1"/>
    <x v="0"/>
    <x v="0"/>
    <s v="PADD 2023 Y 2024"/>
    <s v="Papa Francisco I"/>
  </r>
  <r>
    <n v="22"/>
    <x v="5"/>
    <x v="1"/>
    <x v="3"/>
    <x v="53"/>
    <s v="Rural"/>
    <s v="Masculino"/>
    <x v="2"/>
    <x v="0"/>
    <x v="0"/>
    <s v="PADD 2023 Y 2024"/>
    <s v="Papa Francisco I"/>
  </r>
  <r>
    <n v="23"/>
    <x v="5"/>
    <x v="1"/>
    <x v="3"/>
    <x v="53"/>
    <s v="Rural"/>
    <s v="Masculino"/>
    <x v="1"/>
    <x v="0"/>
    <x v="0"/>
    <s v="PADD 2023 Y 2024"/>
    <s v="Papa Francisco I"/>
  </r>
  <r>
    <n v="24"/>
    <x v="5"/>
    <x v="1"/>
    <x v="3"/>
    <x v="53"/>
    <s v="Rural"/>
    <s v="Femenino"/>
    <x v="2"/>
    <x v="0"/>
    <x v="0"/>
    <s v="PADD 2023 Y 2024"/>
    <s v="Papa Francisco I"/>
  </r>
  <r>
    <n v="25"/>
    <x v="5"/>
    <x v="1"/>
    <x v="3"/>
    <x v="53"/>
    <s v="Rural"/>
    <s v="Femenino"/>
    <x v="1"/>
    <x v="0"/>
    <x v="0"/>
    <s v="PADD 2023 Y 2024"/>
    <s v="Papa Francisco I"/>
  </r>
  <r>
    <n v="26"/>
    <x v="5"/>
    <x v="1"/>
    <x v="3"/>
    <x v="53"/>
    <s v="Rural"/>
    <s v="Femenino"/>
    <x v="0"/>
    <x v="0"/>
    <x v="0"/>
    <s v="PADD 2023 Y 2024"/>
    <s v="Papa Francisco I"/>
  </r>
  <r>
    <n v="27"/>
    <x v="5"/>
    <x v="1"/>
    <x v="3"/>
    <x v="53"/>
    <s v="Rural"/>
    <s v="Masculino"/>
    <x v="2"/>
    <x v="0"/>
    <x v="0"/>
    <s v="PADD 2023 Y 2024"/>
    <s v="Papa Francisco I"/>
  </r>
  <r>
    <n v="1"/>
    <x v="5"/>
    <x v="1"/>
    <x v="2"/>
    <x v="53"/>
    <s v="Rural"/>
    <s v="Femenino"/>
    <x v="1"/>
    <x v="0"/>
    <x v="0"/>
    <s v="PADD 2023 Y 2024"/>
    <s v="Papa Francisco I"/>
  </r>
  <r>
    <n v="2"/>
    <x v="5"/>
    <x v="1"/>
    <x v="2"/>
    <x v="53"/>
    <s v="Rural"/>
    <s v="Masculino"/>
    <x v="1"/>
    <x v="0"/>
    <x v="0"/>
    <s v="PADD 2023 Y 2024"/>
    <s v="Papa Francisco I"/>
  </r>
  <r>
    <n v="3"/>
    <x v="5"/>
    <x v="1"/>
    <x v="2"/>
    <x v="53"/>
    <s v="Rural"/>
    <s v="Femenino"/>
    <x v="0"/>
    <x v="0"/>
    <x v="0"/>
    <s v="PADD 2023 Y 2024"/>
    <s v="Papa Francisco I"/>
  </r>
  <r>
    <n v="4"/>
    <x v="5"/>
    <x v="1"/>
    <x v="2"/>
    <x v="53"/>
    <s v="Rural"/>
    <s v="Masculino"/>
    <x v="1"/>
    <x v="0"/>
    <x v="0"/>
    <s v="PADD 2023 Y 2024"/>
    <s v="Papa Francisco I"/>
  </r>
  <r>
    <n v="5"/>
    <x v="5"/>
    <x v="1"/>
    <x v="2"/>
    <x v="53"/>
    <s v="Rural"/>
    <s v="Femenino"/>
    <x v="0"/>
    <x v="0"/>
    <x v="0"/>
    <s v="PADD 2023 Y 2024"/>
    <s v="Papa Francisco I"/>
  </r>
  <r>
    <n v="6"/>
    <x v="5"/>
    <x v="1"/>
    <x v="2"/>
    <x v="53"/>
    <s v="Rural"/>
    <s v="Femenino"/>
    <x v="1"/>
    <x v="0"/>
    <x v="0"/>
    <s v="PADD 2023 Y 2024"/>
    <s v="Papa Francisco I"/>
  </r>
  <r>
    <n v="7"/>
    <x v="5"/>
    <x v="1"/>
    <x v="3"/>
    <x v="53"/>
    <s v="Rural"/>
    <s v="Femenino"/>
    <x v="2"/>
    <x v="0"/>
    <x v="0"/>
    <s v="PADD 2023 Y 2024"/>
    <s v="Papa Francisco I"/>
  </r>
  <r>
    <n v="8"/>
    <x v="5"/>
    <x v="1"/>
    <x v="3"/>
    <x v="53"/>
    <s v="Rural"/>
    <s v="Femenino"/>
    <x v="2"/>
    <x v="0"/>
    <x v="0"/>
    <s v="PADD 2023 Y 2024"/>
    <s v="Papa Francisco I"/>
  </r>
  <r>
    <n v="9"/>
    <x v="5"/>
    <x v="1"/>
    <x v="3"/>
    <x v="53"/>
    <s v="Rural"/>
    <s v="Femenino"/>
    <x v="2"/>
    <x v="0"/>
    <x v="0"/>
    <s v="PADD 2023 Y 2024"/>
    <s v="Papa Francisco I"/>
  </r>
  <r>
    <n v="10"/>
    <x v="5"/>
    <x v="1"/>
    <x v="3"/>
    <x v="53"/>
    <s v="Rural"/>
    <s v="Femenino"/>
    <x v="2"/>
    <x v="0"/>
    <x v="0"/>
    <s v="PADD 2023 Y 2024"/>
    <s v="Papa Francisco I"/>
  </r>
  <r>
    <n v="11"/>
    <x v="5"/>
    <x v="1"/>
    <x v="3"/>
    <x v="53"/>
    <s v="Rural"/>
    <s v="Masculino"/>
    <x v="1"/>
    <x v="0"/>
    <x v="0"/>
    <s v="PADD 2023 Y 2024"/>
    <s v="Papa Francisco I"/>
  </r>
  <r>
    <n v="12"/>
    <x v="5"/>
    <x v="1"/>
    <x v="3"/>
    <x v="53"/>
    <s v="Rural"/>
    <s v="Masculino"/>
    <x v="1"/>
    <x v="0"/>
    <x v="0"/>
    <s v="PADD 2023 Y 2024"/>
    <s v="Papa Francisco I"/>
  </r>
  <r>
    <n v="13"/>
    <x v="5"/>
    <x v="1"/>
    <x v="3"/>
    <x v="53"/>
    <s v="Rural"/>
    <s v="Masculino"/>
    <x v="0"/>
    <x v="0"/>
    <x v="0"/>
    <s v="PADD 2023 Y 2024"/>
    <s v="Papa Francisco I"/>
  </r>
  <r>
    <n v="14"/>
    <x v="5"/>
    <x v="1"/>
    <x v="3"/>
    <x v="53"/>
    <s v="Rural"/>
    <s v="Masculino"/>
    <x v="2"/>
    <x v="0"/>
    <x v="0"/>
    <s v="PADD 2023 Y 2024"/>
    <s v="Papa Francisco I"/>
  </r>
  <r>
    <n v="2008"/>
    <x v="3"/>
    <x v="0"/>
    <x v="4"/>
    <x v="35"/>
    <s v="Rural"/>
    <s v="Femenino"/>
    <x v="1"/>
    <x v="1"/>
    <x v="3"/>
    <s v="SOLO 2023"/>
    <s v="601331"/>
  </r>
  <r>
    <n v="2009"/>
    <x v="3"/>
    <x v="0"/>
    <x v="4"/>
    <x v="47"/>
    <s v="Rural"/>
    <s v="Femenino"/>
    <x v="0"/>
    <x v="1"/>
    <x v="3"/>
    <s v="PADD 2023 Y 2024"/>
    <s v="60133"/>
  </r>
  <r>
    <n v="2010"/>
    <x v="3"/>
    <x v="1"/>
    <x v="2"/>
    <x v="31"/>
    <s v="Rural"/>
    <s v="Masculino"/>
    <x v="0"/>
    <x v="1"/>
    <x v="3"/>
    <s v="NO PARTICIPÓ"/>
    <s v="EL MILAGRO"/>
  </r>
  <r>
    <n v="2011"/>
    <x v="3"/>
    <x v="1"/>
    <x v="2"/>
    <x v="31"/>
    <s v="Rural"/>
    <s v="Masculino"/>
    <x v="0"/>
    <x v="1"/>
    <x v="3"/>
    <s v="NO PARTICIPÓ"/>
    <s v="EL MILAGRO"/>
  </r>
  <r>
    <n v="2012"/>
    <x v="3"/>
    <x v="1"/>
    <x v="2"/>
    <x v="31"/>
    <s v="Rural"/>
    <s v="Masculino"/>
    <x v="0"/>
    <x v="1"/>
    <x v="3"/>
    <s v="NO PARTICIPÓ"/>
    <s v="EL MILAGRO"/>
  </r>
  <r>
    <n v="2013"/>
    <x v="3"/>
    <x v="1"/>
    <x v="2"/>
    <x v="31"/>
    <s v="Rural"/>
    <s v="Masculino"/>
    <x v="0"/>
    <x v="1"/>
    <x v="3"/>
    <s v="NO PARTICIPÓ"/>
    <s v="EL MILAGRO"/>
  </r>
  <r>
    <n v="2014"/>
    <x v="3"/>
    <x v="1"/>
    <x v="2"/>
    <x v="31"/>
    <s v="Rural"/>
    <s v="Masculino"/>
    <x v="0"/>
    <x v="1"/>
    <x v="3"/>
    <s v="NO PARTICIPÓ"/>
    <s v="EL MILAGRO"/>
  </r>
  <r>
    <n v="2015"/>
    <x v="3"/>
    <x v="1"/>
    <x v="2"/>
    <x v="31"/>
    <s v="Rural"/>
    <s v="Masculino"/>
    <x v="0"/>
    <x v="1"/>
    <x v="3"/>
    <s v="NO PARTICIPÓ"/>
    <s v="EL MILAGRO"/>
  </r>
  <r>
    <n v="2016"/>
    <x v="3"/>
    <x v="1"/>
    <x v="2"/>
    <x v="31"/>
    <s v="Rural"/>
    <s v="Femenino"/>
    <x v="0"/>
    <x v="1"/>
    <x v="3"/>
    <s v="NO PARTICIPÓ"/>
    <s v="EL MILAGRO"/>
  </r>
  <r>
    <n v="2017"/>
    <x v="3"/>
    <x v="1"/>
    <x v="2"/>
    <x v="31"/>
    <s v="Rural"/>
    <s v="Masculino"/>
    <x v="0"/>
    <x v="1"/>
    <x v="3"/>
    <s v="NO PARTICIPÓ"/>
    <s v="EL MILAGRO"/>
  </r>
  <r>
    <n v="2018"/>
    <x v="3"/>
    <x v="1"/>
    <x v="2"/>
    <x v="31"/>
    <s v="Rural"/>
    <s v="Masculino"/>
    <x v="0"/>
    <x v="1"/>
    <x v="3"/>
    <s v="NO PARTICIPÓ"/>
    <s v="EL MILAGRO"/>
  </r>
  <r>
    <n v="2019"/>
    <x v="3"/>
    <x v="1"/>
    <x v="2"/>
    <x v="31"/>
    <s v="Rural"/>
    <s v="Masculino"/>
    <x v="0"/>
    <x v="1"/>
    <x v="3"/>
    <s v="NO PARTICIPÓ"/>
    <s v="EL MILAGRO"/>
  </r>
  <r>
    <n v="2020"/>
    <x v="3"/>
    <x v="1"/>
    <x v="2"/>
    <x v="31"/>
    <s v="Rural"/>
    <s v="Masculino"/>
    <x v="0"/>
    <x v="1"/>
    <x v="3"/>
    <s v="NO PARTICIPÓ"/>
    <s v="EL MILAGRO"/>
  </r>
  <r>
    <n v="2021"/>
    <x v="3"/>
    <x v="1"/>
    <x v="2"/>
    <x v="31"/>
    <s v="Rural"/>
    <s v="Masculino"/>
    <x v="0"/>
    <x v="1"/>
    <x v="3"/>
    <s v="NO PARTICIPÓ"/>
    <s v="EL MILAGRO"/>
  </r>
  <r>
    <n v="2022"/>
    <x v="3"/>
    <x v="1"/>
    <x v="2"/>
    <x v="31"/>
    <s v="Rural"/>
    <s v="Femenino"/>
    <x v="0"/>
    <x v="1"/>
    <x v="3"/>
    <s v="NO PARTICIPÓ"/>
    <s v="EL MILAGRO"/>
  </r>
  <r>
    <n v="2023"/>
    <x v="3"/>
    <x v="1"/>
    <x v="2"/>
    <x v="31"/>
    <s v="Rural"/>
    <s v="Masculino"/>
    <x v="0"/>
    <x v="1"/>
    <x v="3"/>
    <s v="NO PARTICIPÓ"/>
    <s v="EL MILAGRO"/>
  </r>
  <r>
    <n v="2024"/>
    <x v="3"/>
    <x v="1"/>
    <x v="2"/>
    <x v="31"/>
    <s v="Rural"/>
    <s v="Masculino"/>
    <x v="0"/>
    <x v="1"/>
    <x v="3"/>
    <s v="NO PARTICIPÓ"/>
    <s v="EL MILAGRO"/>
  </r>
  <r>
    <n v="2025"/>
    <x v="3"/>
    <x v="1"/>
    <x v="2"/>
    <x v="35"/>
    <s v="Rural"/>
    <s v="Femenino"/>
    <x v="2"/>
    <x v="1"/>
    <x v="3"/>
    <s v="SOLO 2023"/>
    <s v="601331"/>
  </r>
  <r>
    <n v="2026"/>
    <x v="3"/>
    <x v="1"/>
    <x v="2"/>
    <x v="35"/>
    <s v="Rural"/>
    <s v="Femenino"/>
    <x v="0"/>
    <x v="1"/>
    <x v="3"/>
    <s v="SOLO 2023"/>
    <s v="601331"/>
  </r>
  <r>
    <n v="2027"/>
    <x v="3"/>
    <x v="1"/>
    <x v="2"/>
    <x v="35"/>
    <s v="Rural"/>
    <s v="Masculino"/>
    <x v="0"/>
    <x v="1"/>
    <x v="3"/>
    <s v="SOLO 2023"/>
    <s v="601331"/>
  </r>
  <r>
    <n v="2028"/>
    <x v="3"/>
    <x v="1"/>
    <x v="2"/>
    <x v="35"/>
    <s v="Rural"/>
    <s v="Femenino"/>
    <x v="0"/>
    <x v="1"/>
    <x v="3"/>
    <s v="SOLO 2023"/>
    <s v="601331"/>
  </r>
  <r>
    <n v="2029"/>
    <x v="3"/>
    <x v="1"/>
    <x v="2"/>
    <x v="35"/>
    <s v="Rural"/>
    <s v="Masculino"/>
    <x v="0"/>
    <x v="1"/>
    <x v="3"/>
    <s v="SOLO 2023"/>
    <s v="601331"/>
  </r>
  <r>
    <n v="2030"/>
    <x v="3"/>
    <x v="1"/>
    <x v="2"/>
    <x v="35"/>
    <s v="Rural"/>
    <s v="Femenino"/>
    <x v="0"/>
    <x v="1"/>
    <x v="3"/>
    <s v="SOLO 2023"/>
    <s v="601331"/>
  </r>
  <r>
    <n v="2031"/>
    <x v="3"/>
    <x v="1"/>
    <x v="2"/>
    <x v="35"/>
    <s v="Rural"/>
    <s v="Masculino"/>
    <x v="0"/>
    <x v="1"/>
    <x v="3"/>
    <s v="SOLO 2023"/>
    <s v="601331"/>
  </r>
  <r>
    <n v="2032"/>
    <x v="3"/>
    <x v="1"/>
    <x v="2"/>
    <x v="35"/>
    <s v="Rural"/>
    <s v="Masculino"/>
    <x v="0"/>
    <x v="1"/>
    <x v="3"/>
    <s v="SOLO 2023"/>
    <s v="601331"/>
  </r>
  <r>
    <n v="2033"/>
    <x v="3"/>
    <x v="1"/>
    <x v="2"/>
    <x v="35"/>
    <s v="Rural"/>
    <s v="Masculino"/>
    <x v="0"/>
    <x v="1"/>
    <x v="3"/>
    <s v="SOLO 2023"/>
    <s v="601331"/>
  </r>
  <r>
    <n v="2034"/>
    <x v="3"/>
    <x v="1"/>
    <x v="2"/>
    <x v="35"/>
    <s v="Rural"/>
    <s v="Masculino"/>
    <x v="0"/>
    <x v="1"/>
    <x v="3"/>
    <s v="SOLO 2023"/>
    <s v="601331"/>
  </r>
  <r>
    <n v="2035"/>
    <x v="3"/>
    <x v="1"/>
    <x v="2"/>
    <x v="35"/>
    <s v="Rural"/>
    <s v="Masculino"/>
    <x v="0"/>
    <x v="1"/>
    <x v="3"/>
    <s v="SOLO 2023"/>
    <s v="601331"/>
  </r>
  <r>
    <n v="2036"/>
    <x v="3"/>
    <x v="1"/>
    <x v="2"/>
    <x v="35"/>
    <s v="Rural"/>
    <s v="Femenino"/>
    <x v="0"/>
    <x v="1"/>
    <x v="3"/>
    <s v="SOLO 2023"/>
    <s v="601331"/>
  </r>
  <r>
    <n v="2037"/>
    <x v="3"/>
    <x v="1"/>
    <x v="2"/>
    <x v="35"/>
    <s v="Rural"/>
    <s v="Masculino"/>
    <x v="0"/>
    <x v="1"/>
    <x v="3"/>
    <s v="SOLO 2023"/>
    <s v="601331"/>
  </r>
  <r>
    <n v="2038"/>
    <x v="3"/>
    <x v="1"/>
    <x v="2"/>
    <x v="35"/>
    <s v="Rural"/>
    <s v="Femenino"/>
    <x v="0"/>
    <x v="1"/>
    <x v="3"/>
    <s v="SOLO 2023"/>
    <s v="601331"/>
  </r>
  <r>
    <n v="2039"/>
    <x v="3"/>
    <x v="1"/>
    <x v="2"/>
    <x v="39"/>
    <s v="Rural"/>
    <s v="Femenino"/>
    <x v="0"/>
    <x v="1"/>
    <x v="3"/>
    <s v="PADD 2023 Y 2024"/>
    <s v="6010230"/>
  </r>
  <r>
    <n v="2040"/>
    <x v="3"/>
    <x v="1"/>
    <x v="2"/>
    <x v="39"/>
    <s v="Rural"/>
    <s v="Femenino"/>
    <x v="0"/>
    <x v="1"/>
    <x v="3"/>
    <s v="PADD 2023 Y 2024"/>
    <s v="6010230"/>
  </r>
  <r>
    <n v="2041"/>
    <x v="3"/>
    <x v="1"/>
    <x v="2"/>
    <x v="39"/>
    <s v="Rural"/>
    <s v="Masculino"/>
    <x v="0"/>
    <x v="1"/>
    <x v="3"/>
    <s v="PADD 2023 Y 2024"/>
    <s v="6010230"/>
  </r>
  <r>
    <n v="2042"/>
    <x v="3"/>
    <x v="1"/>
    <x v="2"/>
    <x v="39"/>
    <s v="Rural"/>
    <s v="Masculino"/>
    <x v="0"/>
    <x v="1"/>
    <x v="3"/>
    <s v="PADD 2023 Y 2024"/>
    <s v="6010230"/>
  </r>
  <r>
    <n v="2043"/>
    <x v="3"/>
    <x v="1"/>
    <x v="2"/>
    <x v="39"/>
    <s v="Rural"/>
    <s v="Femenino"/>
    <x v="0"/>
    <x v="1"/>
    <x v="3"/>
    <s v="PADD 2023 Y 2024"/>
    <s v="6010230"/>
  </r>
  <r>
    <n v="2044"/>
    <x v="3"/>
    <x v="1"/>
    <x v="2"/>
    <x v="39"/>
    <s v="Rural"/>
    <s v="Masculino"/>
    <x v="0"/>
    <x v="1"/>
    <x v="3"/>
    <s v="PADD 2023 Y 2024"/>
    <s v="6010230"/>
  </r>
  <r>
    <n v="2045"/>
    <x v="3"/>
    <x v="1"/>
    <x v="2"/>
    <x v="39"/>
    <s v="Rural"/>
    <s v="Femenino"/>
    <x v="0"/>
    <x v="1"/>
    <x v="3"/>
    <s v="PADD 2023 Y 2024"/>
    <s v="6010230"/>
  </r>
  <r>
    <n v="2046"/>
    <x v="3"/>
    <x v="1"/>
    <x v="2"/>
    <x v="47"/>
    <s v="Rural"/>
    <s v="Femenino"/>
    <x v="0"/>
    <x v="1"/>
    <x v="3"/>
    <s v="PADD 2023 Y 2024"/>
    <s v="60133"/>
  </r>
  <r>
    <n v="2047"/>
    <x v="3"/>
    <x v="1"/>
    <x v="2"/>
    <x v="47"/>
    <s v="Rural"/>
    <s v="Femenino"/>
    <x v="0"/>
    <x v="1"/>
    <x v="3"/>
    <s v="PADD 2023 Y 2024"/>
    <s v="60133"/>
  </r>
  <r>
    <n v="2048"/>
    <x v="3"/>
    <x v="1"/>
    <x v="2"/>
    <x v="47"/>
    <s v="Rural"/>
    <s v="Femenino"/>
    <x v="0"/>
    <x v="1"/>
    <x v="3"/>
    <s v="PADD 2023 Y 2024"/>
    <s v="60133"/>
  </r>
  <r>
    <n v="2049"/>
    <x v="3"/>
    <x v="1"/>
    <x v="2"/>
    <x v="47"/>
    <s v="Rural"/>
    <s v="Femenino"/>
    <x v="0"/>
    <x v="1"/>
    <x v="3"/>
    <s v="PADD 2023 Y 2024"/>
    <s v="60133"/>
  </r>
  <r>
    <n v="2050"/>
    <x v="3"/>
    <x v="1"/>
    <x v="2"/>
    <x v="47"/>
    <s v="Rural"/>
    <s v="Masculino"/>
    <x v="0"/>
    <x v="1"/>
    <x v="3"/>
    <s v="PADD 2023 Y 2024"/>
    <s v="60133"/>
  </r>
  <r>
    <n v="2051"/>
    <x v="3"/>
    <x v="1"/>
    <x v="2"/>
    <x v="47"/>
    <s v="Rural"/>
    <s v="Masculino"/>
    <x v="0"/>
    <x v="1"/>
    <x v="3"/>
    <s v="PADD 2023 Y 2024"/>
    <s v="60133"/>
  </r>
  <r>
    <n v="2052"/>
    <x v="3"/>
    <x v="1"/>
    <x v="2"/>
    <x v="47"/>
    <s v="Rural"/>
    <s v="Femenino"/>
    <x v="0"/>
    <x v="1"/>
    <x v="3"/>
    <s v="PADD 2023 Y 2024"/>
    <s v="60133"/>
  </r>
  <r>
    <n v="2053"/>
    <x v="3"/>
    <x v="1"/>
    <x v="2"/>
    <x v="47"/>
    <s v="Rural"/>
    <s v="Masculino"/>
    <x v="0"/>
    <x v="1"/>
    <x v="3"/>
    <s v="PADD 2023 Y 2024"/>
    <s v="60133"/>
  </r>
  <r>
    <n v="2054"/>
    <x v="3"/>
    <x v="1"/>
    <x v="2"/>
    <x v="47"/>
    <s v="Rural"/>
    <s v="Femenino"/>
    <x v="0"/>
    <x v="1"/>
    <x v="3"/>
    <s v="PADD 2023 Y 2024"/>
    <s v="60133"/>
  </r>
  <r>
    <n v="2055"/>
    <x v="3"/>
    <x v="1"/>
    <x v="2"/>
    <x v="47"/>
    <s v="Rural"/>
    <s v="Femenino"/>
    <x v="0"/>
    <x v="1"/>
    <x v="3"/>
    <s v="PADD 2023 Y 2024"/>
    <s v="60133"/>
  </r>
  <r>
    <n v="2056"/>
    <x v="3"/>
    <x v="1"/>
    <x v="2"/>
    <x v="47"/>
    <s v="Rural"/>
    <s v="Femenino"/>
    <x v="0"/>
    <x v="1"/>
    <x v="3"/>
    <s v="PADD 2023 Y 2024"/>
    <s v="60133"/>
  </r>
  <r>
    <n v="2057"/>
    <x v="3"/>
    <x v="1"/>
    <x v="2"/>
    <x v="47"/>
    <s v="Rural"/>
    <s v="Femenino"/>
    <x v="0"/>
    <x v="1"/>
    <x v="3"/>
    <s v="PADD 2023 Y 2024"/>
    <s v="60133"/>
  </r>
  <r>
    <n v="2058"/>
    <x v="3"/>
    <x v="1"/>
    <x v="2"/>
    <x v="47"/>
    <s v="Rural"/>
    <s v="Femenino"/>
    <x v="0"/>
    <x v="1"/>
    <x v="3"/>
    <s v="PADD 2023 Y 2024"/>
    <s v="60133"/>
  </r>
  <r>
    <n v="2059"/>
    <x v="3"/>
    <x v="1"/>
    <x v="2"/>
    <x v="47"/>
    <s v="Rural"/>
    <s v="Femenino"/>
    <x v="0"/>
    <x v="1"/>
    <x v="3"/>
    <s v="PADD 2023 Y 2024"/>
    <s v="60133"/>
  </r>
  <r>
    <n v="2060"/>
    <x v="3"/>
    <x v="1"/>
    <x v="2"/>
    <x v="47"/>
    <s v="Rural"/>
    <s v="Masculino"/>
    <x v="0"/>
    <x v="1"/>
    <x v="3"/>
    <s v="PADD 2023 Y 2024"/>
    <s v="60133"/>
  </r>
  <r>
    <n v="2061"/>
    <x v="3"/>
    <x v="1"/>
    <x v="2"/>
    <x v="47"/>
    <s v="Rural"/>
    <s v="Masculino"/>
    <x v="0"/>
    <x v="1"/>
    <x v="3"/>
    <s v="PADD 2023 Y 2024"/>
    <s v="60133"/>
  </r>
  <r>
    <n v="2062"/>
    <x v="3"/>
    <x v="1"/>
    <x v="2"/>
    <x v="47"/>
    <s v="Rural"/>
    <s v="Femenino"/>
    <x v="0"/>
    <x v="1"/>
    <x v="3"/>
    <s v="PADD 2023 Y 2024"/>
    <s v="60133"/>
  </r>
  <r>
    <n v="2063"/>
    <x v="3"/>
    <x v="1"/>
    <x v="2"/>
    <x v="47"/>
    <s v="Rural"/>
    <s v="Masculino"/>
    <x v="0"/>
    <x v="1"/>
    <x v="3"/>
    <s v="PADD 2023 Y 2024"/>
    <s v="60133"/>
  </r>
  <r>
    <n v="2064"/>
    <x v="3"/>
    <x v="1"/>
    <x v="2"/>
    <x v="47"/>
    <s v="Rural"/>
    <s v="Masculino"/>
    <x v="0"/>
    <x v="1"/>
    <x v="3"/>
    <s v="PADD 2023 Y 2024"/>
    <s v="60133"/>
  </r>
  <r>
    <n v="2065"/>
    <x v="3"/>
    <x v="1"/>
    <x v="2"/>
    <x v="47"/>
    <s v="Rural"/>
    <s v="Femenino"/>
    <x v="0"/>
    <x v="1"/>
    <x v="3"/>
    <s v="PADD 2023 Y 2024"/>
    <s v="60133"/>
  </r>
  <r>
    <n v="2066"/>
    <x v="3"/>
    <x v="1"/>
    <x v="2"/>
    <x v="47"/>
    <s v="Rural"/>
    <s v="Femenino"/>
    <x v="0"/>
    <x v="1"/>
    <x v="3"/>
    <s v="PADD 2023 Y 2024"/>
    <s v="60133"/>
  </r>
  <r>
    <n v="2067"/>
    <x v="3"/>
    <x v="1"/>
    <x v="2"/>
    <x v="47"/>
    <s v="Rural"/>
    <s v="Masculino"/>
    <x v="0"/>
    <x v="1"/>
    <x v="3"/>
    <s v="PADD 2023 Y 2024"/>
    <s v="60133"/>
  </r>
  <r>
    <n v="2068"/>
    <x v="3"/>
    <x v="1"/>
    <x v="2"/>
    <x v="47"/>
    <s v="Rural"/>
    <s v="Masculino"/>
    <x v="0"/>
    <x v="1"/>
    <x v="3"/>
    <s v="PADD 2023 Y 2024"/>
    <s v="60133"/>
  </r>
  <r>
    <n v="2069"/>
    <x v="3"/>
    <x v="1"/>
    <x v="2"/>
    <x v="47"/>
    <s v="Rural"/>
    <s v="Femenino"/>
    <x v="0"/>
    <x v="1"/>
    <x v="3"/>
    <s v="PADD 2023 Y 2024"/>
    <s v="60133"/>
  </r>
  <r>
    <n v="2070"/>
    <x v="3"/>
    <x v="1"/>
    <x v="2"/>
    <x v="47"/>
    <s v="Rural"/>
    <s v="Masculino"/>
    <x v="0"/>
    <x v="1"/>
    <x v="3"/>
    <s v="PADD 2023 Y 2024"/>
    <s v="60133"/>
  </r>
  <r>
    <n v="2071"/>
    <x v="3"/>
    <x v="1"/>
    <x v="2"/>
    <x v="47"/>
    <s v="Rural"/>
    <s v="Femenino"/>
    <x v="0"/>
    <x v="1"/>
    <x v="3"/>
    <s v="PADD 2023 Y 2024"/>
    <s v="60133"/>
  </r>
  <r>
    <n v="2072"/>
    <x v="3"/>
    <x v="1"/>
    <x v="2"/>
    <x v="47"/>
    <s v="Rural"/>
    <s v="Femenino"/>
    <x v="0"/>
    <x v="1"/>
    <x v="3"/>
    <s v="PADD 2023 Y 2024"/>
    <s v="60133"/>
  </r>
  <r>
    <n v="2073"/>
    <x v="3"/>
    <x v="1"/>
    <x v="2"/>
    <x v="47"/>
    <s v="Rural"/>
    <s v="Masculino"/>
    <x v="0"/>
    <x v="1"/>
    <x v="3"/>
    <s v="PADD 2023 Y 2024"/>
    <s v="60133"/>
  </r>
  <r>
    <n v="2074"/>
    <x v="3"/>
    <x v="1"/>
    <x v="2"/>
    <x v="47"/>
    <s v="Rural"/>
    <s v="Masculino"/>
    <x v="0"/>
    <x v="1"/>
    <x v="3"/>
    <s v="PADD 2023 Y 2024"/>
    <s v="60133"/>
  </r>
  <r>
    <n v="2075"/>
    <x v="3"/>
    <x v="1"/>
    <x v="2"/>
    <x v="47"/>
    <s v="Rural"/>
    <s v="Masculino"/>
    <x v="0"/>
    <x v="1"/>
    <x v="3"/>
    <s v="PADD 2023 Y 2024"/>
    <s v="60133"/>
  </r>
  <r>
    <n v="2076"/>
    <x v="3"/>
    <x v="1"/>
    <x v="2"/>
    <x v="47"/>
    <s v="Rural"/>
    <s v="Femenino"/>
    <x v="0"/>
    <x v="1"/>
    <x v="3"/>
    <s v="PADD 2023 Y 2024"/>
    <s v="60133"/>
  </r>
  <r>
    <n v="2077"/>
    <x v="3"/>
    <x v="0"/>
    <x v="0"/>
    <x v="30"/>
    <s v="Rural"/>
    <s v="Femenino"/>
    <x v="0"/>
    <x v="1"/>
    <x v="3"/>
    <s v="PADD 2023 Y 2024"/>
    <s v="601448"/>
  </r>
  <r>
    <n v="2078"/>
    <x v="3"/>
    <x v="0"/>
    <x v="0"/>
    <x v="30"/>
    <s v="Rural"/>
    <s v="Femenino"/>
    <x v="0"/>
    <x v="1"/>
    <x v="3"/>
    <s v="PADD 2023 Y 2024"/>
    <s v="601448"/>
  </r>
  <r>
    <n v="2079"/>
    <x v="3"/>
    <x v="0"/>
    <x v="0"/>
    <x v="30"/>
    <s v="Rural"/>
    <s v="Masculino"/>
    <x v="0"/>
    <x v="1"/>
    <x v="3"/>
    <s v="PADD 2023 Y 2024"/>
    <s v="601448"/>
  </r>
  <r>
    <n v="2080"/>
    <x v="3"/>
    <x v="0"/>
    <x v="0"/>
    <x v="35"/>
    <s v="Rural"/>
    <s v="Femenino"/>
    <x v="2"/>
    <x v="1"/>
    <x v="3"/>
    <s v="SOLO 2023"/>
    <s v="601331"/>
  </r>
  <r>
    <n v="2081"/>
    <x v="3"/>
    <x v="0"/>
    <x v="0"/>
    <x v="39"/>
    <s v="Rural"/>
    <s v="Masculino"/>
    <x v="0"/>
    <x v="1"/>
    <x v="3"/>
    <s v="PADD 2023 Y 2024"/>
    <s v="6010230"/>
  </r>
  <r>
    <n v="2082"/>
    <x v="3"/>
    <x v="0"/>
    <x v="0"/>
    <x v="39"/>
    <s v="Rural"/>
    <s v="Masculino"/>
    <x v="0"/>
    <x v="1"/>
    <x v="3"/>
    <s v="PADD 2023 Y 2024"/>
    <s v="6010230"/>
  </r>
  <r>
    <n v="2083"/>
    <x v="3"/>
    <x v="0"/>
    <x v="0"/>
    <x v="39"/>
    <s v="Rural"/>
    <s v="Masculino"/>
    <x v="0"/>
    <x v="1"/>
    <x v="3"/>
    <s v="PADD 2023 Y 2024"/>
    <s v="6010230"/>
  </r>
  <r>
    <n v="2084"/>
    <x v="3"/>
    <x v="0"/>
    <x v="0"/>
    <x v="39"/>
    <s v="Rural"/>
    <s v="Masculino"/>
    <x v="0"/>
    <x v="1"/>
    <x v="3"/>
    <s v="PADD 2023 Y 2024"/>
    <s v="6010230"/>
  </r>
  <r>
    <n v="2085"/>
    <x v="3"/>
    <x v="0"/>
    <x v="0"/>
    <x v="39"/>
    <s v="Rural"/>
    <s v="Femenino"/>
    <x v="0"/>
    <x v="1"/>
    <x v="3"/>
    <s v="PADD 2023 Y 2024"/>
    <s v="6010230"/>
  </r>
  <r>
    <n v="2086"/>
    <x v="3"/>
    <x v="0"/>
    <x v="0"/>
    <x v="39"/>
    <s v="Rural"/>
    <s v="Masculino"/>
    <x v="0"/>
    <x v="1"/>
    <x v="3"/>
    <s v="PADD 2023 Y 2024"/>
    <s v="6010230"/>
  </r>
  <r>
    <n v="2087"/>
    <x v="3"/>
    <x v="0"/>
    <x v="0"/>
    <x v="39"/>
    <s v="Rural"/>
    <s v="Femenino"/>
    <x v="0"/>
    <x v="1"/>
    <x v="3"/>
    <s v="PADD 2023 Y 2024"/>
    <s v="6010230"/>
  </r>
  <r>
    <n v="2088"/>
    <x v="3"/>
    <x v="0"/>
    <x v="0"/>
    <x v="39"/>
    <s v="Rural"/>
    <s v="Masculino"/>
    <x v="0"/>
    <x v="1"/>
    <x v="3"/>
    <s v="PADD 2023 Y 2024"/>
    <s v="6010230"/>
  </r>
  <r>
    <n v="2089"/>
    <x v="3"/>
    <x v="0"/>
    <x v="0"/>
    <x v="39"/>
    <s v="Rural"/>
    <s v="Femenino"/>
    <x v="0"/>
    <x v="1"/>
    <x v="3"/>
    <s v="PADD 2023 Y 2024"/>
    <s v="6010230"/>
  </r>
  <r>
    <n v="2090"/>
    <x v="3"/>
    <x v="1"/>
    <x v="3"/>
    <x v="31"/>
    <s v="Rural"/>
    <s v="Masculino"/>
    <x v="0"/>
    <x v="1"/>
    <x v="3"/>
    <s v="NO PARTICIPÓ"/>
    <s v="EL MILAGRO"/>
  </r>
  <r>
    <n v="2091"/>
    <x v="3"/>
    <x v="1"/>
    <x v="3"/>
    <x v="31"/>
    <s v="Rural"/>
    <s v="Femenino"/>
    <x v="0"/>
    <x v="1"/>
    <x v="3"/>
    <s v="NO PARTICIPÓ"/>
    <s v="EL MILAGRO"/>
  </r>
  <r>
    <n v="2092"/>
    <x v="3"/>
    <x v="1"/>
    <x v="3"/>
    <x v="31"/>
    <s v="Rural"/>
    <s v="Masculino"/>
    <x v="1"/>
    <x v="1"/>
    <x v="3"/>
    <s v="NO PARTICIPÓ"/>
    <s v="EL MILAGRO"/>
  </r>
  <r>
    <n v="2093"/>
    <x v="3"/>
    <x v="1"/>
    <x v="3"/>
    <x v="31"/>
    <s v="Rural"/>
    <s v="Masculino"/>
    <x v="0"/>
    <x v="1"/>
    <x v="3"/>
    <s v="NO PARTICIPÓ"/>
    <s v="EL MILAGRO"/>
  </r>
  <r>
    <n v="2094"/>
    <x v="3"/>
    <x v="1"/>
    <x v="3"/>
    <x v="31"/>
    <s v="Rural"/>
    <s v="Femenino"/>
    <x v="0"/>
    <x v="1"/>
    <x v="3"/>
    <s v="NO PARTICIPÓ"/>
    <s v="EL MILAGRO"/>
  </r>
  <r>
    <n v="2095"/>
    <x v="3"/>
    <x v="1"/>
    <x v="3"/>
    <x v="31"/>
    <s v="Rural"/>
    <s v="Femenino"/>
    <x v="0"/>
    <x v="1"/>
    <x v="3"/>
    <s v="NO PARTICIPÓ"/>
    <s v="EL MILAGRO"/>
  </r>
  <r>
    <n v="2096"/>
    <x v="3"/>
    <x v="1"/>
    <x v="3"/>
    <x v="31"/>
    <s v="Rural"/>
    <s v="Femenino"/>
    <x v="0"/>
    <x v="1"/>
    <x v="3"/>
    <s v="NO PARTICIPÓ"/>
    <s v="EL MILAGRO"/>
  </r>
  <r>
    <n v="2097"/>
    <x v="3"/>
    <x v="1"/>
    <x v="3"/>
    <x v="31"/>
    <s v="Rural"/>
    <s v="Masculino"/>
    <x v="0"/>
    <x v="1"/>
    <x v="3"/>
    <s v="NO PARTICIPÓ"/>
    <s v="EL MILAGRO"/>
  </r>
  <r>
    <n v="2098"/>
    <x v="3"/>
    <x v="1"/>
    <x v="3"/>
    <x v="31"/>
    <s v="Rural"/>
    <s v="Masculino"/>
    <x v="0"/>
    <x v="1"/>
    <x v="3"/>
    <s v="NO PARTICIPÓ"/>
    <s v="EL MILAGRO"/>
  </r>
  <r>
    <n v="2099"/>
    <x v="3"/>
    <x v="1"/>
    <x v="3"/>
    <x v="31"/>
    <s v="Rural"/>
    <s v="Masculino"/>
    <x v="0"/>
    <x v="1"/>
    <x v="3"/>
    <s v="NO PARTICIPÓ"/>
    <s v="EL MILAGRO"/>
  </r>
  <r>
    <n v="2100"/>
    <x v="3"/>
    <x v="1"/>
    <x v="3"/>
    <x v="31"/>
    <s v="Rural"/>
    <s v="Masculino"/>
    <x v="0"/>
    <x v="1"/>
    <x v="3"/>
    <s v="NO PARTICIPÓ"/>
    <s v="EL MILAGRO"/>
  </r>
  <r>
    <n v="2101"/>
    <x v="3"/>
    <x v="1"/>
    <x v="3"/>
    <x v="31"/>
    <s v="Rural"/>
    <s v="Femenino"/>
    <x v="0"/>
    <x v="1"/>
    <x v="3"/>
    <s v="NO PARTICIPÓ"/>
    <s v="EL MILAGRO"/>
  </r>
  <r>
    <n v="2102"/>
    <x v="3"/>
    <x v="1"/>
    <x v="3"/>
    <x v="31"/>
    <s v="Rural"/>
    <s v="Femenino"/>
    <x v="0"/>
    <x v="1"/>
    <x v="3"/>
    <s v="NO PARTICIPÓ"/>
    <s v="EL MILAGRO"/>
  </r>
  <r>
    <n v="2103"/>
    <x v="3"/>
    <x v="1"/>
    <x v="3"/>
    <x v="31"/>
    <s v="Rural"/>
    <s v="Femenino"/>
    <x v="0"/>
    <x v="1"/>
    <x v="3"/>
    <s v="NO PARTICIPÓ"/>
    <s v="EL MILAGRO"/>
  </r>
  <r>
    <n v="2104"/>
    <x v="3"/>
    <x v="1"/>
    <x v="3"/>
    <x v="31"/>
    <s v="Rural"/>
    <s v="Masculino"/>
    <x v="0"/>
    <x v="1"/>
    <x v="3"/>
    <s v="NO PARTICIPÓ"/>
    <s v="EL MILAGRO"/>
  </r>
  <r>
    <n v="2105"/>
    <x v="3"/>
    <x v="1"/>
    <x v="3"/>
    <x v="31"/>
    <s v="Rural"/>
    <s v="Masculino"/>
    <x v="0"/>
    <x v="1"/>
    <x v="3"/>
    <s v="NO PARTICIPÓ"/>
    <s v="EL MILAGRO"/>
  </r>
  <r>
    <n v="2106"/>
    <x v="3"/>
    <x v="1"/>
    <x v="3"/>
    <x v="31"/>
    <s v="Rural"/>
    <s v="Masculino"/>
    <x v="0"/>
    <x v="1"/>
    <x v="3"/>
    <s v="NO PARTICIPÓ"/>
    <s v="EL MILAGRO"/>
  </r>
  <r>
    <n v="2107"/>
    <x v="3"/>
    <x v="1"/>
    <x v="3"/>
    <x v="31"/>
    <s v="Rural"/>
    <s v="Masculino"/>
    <x v="0"/>
    <x v="1"/>
    <x v="3"/>
    <s v="NO PARTICIPÓ"/>
    <s v="EL MILAGRO"/>
  </r>
  <r>
    <n v="2108"/>
    <x v="3"/>
    <x v="1"/>
    <x v="3"/>
    <x v="31"/>
    <s v="Rural"/>
    <s v="Masculino"/>
    <x v="0"/>
    <x v="1"/>
    <x v="3"/>
    <s v="NO PARTICIPÓ"/>
    <s v="EL MILAGRO"/>
  </r>
  <r>
    <n v="2109"/>
    <x v="3"/>
    <x v="1"/>
    <x v="3"/>
    <x v="31"/>
    <s v="Rural"/>
    <s v="Masculino"/>
    <x v="0"/>
    <x v="1"/>
    <x v="3"/>
    <s v="NO PARTICIPÓ"/>
    <s v="EL MILAGRO"/>
  </r>
  <r>
    <n v="2110"/>
    <x v="3"/>
    <x v="1"/>
    <x v="3"/>
    <x v="31"/>
    <s v="Rural"/>
    <s v="Femenino"/>
    <x v="0"/>
    <x v="1"/>
    <x v="3"/>
    <s v="NO PARTICIPÓ"/>
    <s v="EL MILAGRO"/>
  </r>
  <r>
    <n v="2111"/>
    <x v="3"/>
    <x v="1"/>
    <x v="3"/>
    <x v="31"/>
    <s v="Rural"/>
    <s v="Masculino"/>
    <x v="0"/>
    <x v="1"/>
    <x v="3"/>
    <s v="NO PARTICIPÓ"/>
    <s v="EL MILAGRO"/>
  </r>
  <r>
    <n v="2112"/>
    <x v="3"/>
    <x v="1"/>
    <x v="3"/>
    <x v="31"/>
    <s v="Rural"/>
    <s v="Masculino"/>
    <x v="0"/>
    <x v="1"/>
    <x v="3"/>
    <s v="NO PARTICIPÓ"/>
    <s v="EL MILAGRO"/>
  </r>
  <r>
    <n v="2113"/>
    <x v="3"/>
    <x v="1"/>
    <x v="3"/>
    <x v="31"/>
    <s v="Rural"/>
    <s v="Femenino"/>
    <x v="0"/>
    <x v="1"/>
    <x v="3"/>
    <s v="NO PARTICIPÓ"/>
    <s v="EL MILAGRO"/>
  </r>
  <r>
    <n v="2114"/>
    <x v="3"/>
    <x v="1"/>
    <x v="3"/>
    <x v="35"/>
    <s v="Rural"/>
    <s v="Femenino"/>
    <x v="2"/>
    <x v="1"/>
    <x v="3"/>
    <s v="SOLO 2023"/>
    <s v="601331"/>
  </r>
  <r>
    <n v="2115"/>
    <x v="3"/>
    <x v="1"/>
    <x v="3"/>
    <x v="35"/>
    <s v="Rural"/>
    <s v="Masculino"/>
    <x v="0"/>
    <x v="1"/>
    <x v="3"/>
    <s v="SOLO 2023"/>
    <s v="601331"/>
  </r>
  <r>
    <n v="2116"/>
    <x v="3"/>
    <x v="1"/>
    <x v="3"/>
    <x v="35"/>
    <s v="Rural"/>
    <s v="Femenino"/>
    <x v="0"/>
    <x v="1"/>
    <x v="3"/>
    <s v="SOLO 2023"/>
    <s v="601331"/>
  </r>
  <r>
    <n v="2117"/>
    <x v="3"/>
    <x v="1"/>
    <x v="3"/>
    <x v="35"/>
    <s v="Rural"/>
    <s v="Masculino"/>
    <x v="1"/>
    <x v="1"/>
    <x v="3"/>
    <s v="SOLO 2023"/>
    <s v="601331"/>
  </r>
  <r>
    <n v="2118"/>
    <x v="3"/>
    <x v="1"/>
    <x v="3"/>
    <x v="35"/>
    <s v="Rural"/>
    <s v="Masculino"/>
    <x v="2"/>
    <x v="1"/>
    <x v="3"/>
    <s v="SOLO 2023"/>
    <s v="601331"/>
  </r>
  <r>
    <n v="2119"/>
    <x v="3"/>
    <x v="1"/>
    <x v="3"/>
    <x v="35"/>
    <s v="Rural"/>
    <s v="Masculino"/>
    <x v="0"/>
    <x v="1"/>
    <x v="3"/>
    <s v="SOLO 2023"/>
    <s v="601331"/>
  </r>
  <r>
    <n v="2120"/>
    <x v="3"/>
    <x v="1"/>
    <x v="3"/>
    <x v="35"/>
    <s v="Rural"/>
    <s v="Masculino"/>
    <x v="1"/>
    <x v="1"/>
    <x v="3"/>
    <s v="SOLO 2023"/>
    <s v="601331"/>
  </r>
  <r>
    <n v="2121"/>
    <x v="3"/>
    <x v="1"/>
    <x v="3"/>
    <x v="35"/>
    <s v="Rural"/>
    <s v="Femenino"/>
    <x v="0"/>
    <x v="1"/>
    <x v="3"/>
    <s v="SOLO 2023"/>
    <s v="601331"/>
  </r>
  <r>
    <n v="2122"/>
    <x v="3"/>
    <x v="1"/>
    <x v="3"/>
    <x v="35"/>
    <s v="Rural"/>
    <s v="Masculino"/>
    <x v="0"/>
    <x v="1"/>
    <x v="3"/>
    <s v="SOLO 2023"/>
    <s v="601331"/>
  </r>
  <r>
    <n v="2123"/>
    <x v="3"/>
    <x v="1"/>
    <x v="3"/>
    <x v="35"/>
    <s v="Rural"/>
    <s v="Masculino"/>
    <x v="0"/>
    <x v="1"/>
    <x v="3"/>
    <s v="SOLO 2023"/>
    <s v="601331"/>
  </r>
  <r>
    <n v="2124"/>
    <x v="3"/>
    <x v="1"/>
    <x v="3"/>
    <x v="35"/>
    <s v="Rural"/>
    <s v="Femenino"/>
    <x v="2"/>
    <x v="1"/>
    <x v="3"/>
    <s v="SOLO 2023"/>
    <s v="601331"/>
  </r>
  <r>
    <n v="2125"/>
    <x v="3"/>
    <x v="1"/>
    <x v="3"/>
    <x v="35"/>
    <s v="Rural"/>
    <s v="Femenino"/>
    <x v="0"/>
    <x v="1"/>
    <x v="3"/>
    <s v="SOLO 2023"/>
    <s v="601331"/>
  </r>
  <r>
    <n v="2126"/>
    <x v="3"/>
    <x v="1"/>
    <x v="3"/>
    <x v="35"/>
    <s v="Rural"/>
    <s v="Femenino"/>
    <x v="0"/>
    <x v="1"/>
    <x v="3"/>
    <s v="SOLO 2023"/>
    <s v="601331"/>
  </r>
  <r>
    <n v="2127"/>
    <x v="3"/>
    <x v="1"/>
    <x v="3"/>
    <x v="35"/>
    <s v="Rural"/>
    <s v="Femenino"/>
    <x v="0"/>
    <x v="1"/>
    <x v="3"/>
    <s v="SOLO 2023"/>
    <s v="601331"/>
  </r>
  <r>
    <n v="2128"/>
    <x v="3"/>
    <x v="1"/>
    <x v="3"/>
    <x v="35"/>
    <s v="Rural"/>
    <s v="Masculino"/>
    <x v="0"/>
    <x v="1"/>
    <x v="3"/>
    <s v="SOLO 2023"/>
    <s v="601331"/>
  </r>
  <r>
    <n v="2129"/>
    <x v="3"/>
    <x v="1"/>
    <x v="3"/>
    <x v="35"/>
    <s v="Rural"/>
    <s v="Femenino"/>
    <x v="2"/>
    <x v="1"/>
    <x v="3"/>
    <s v="SOLO 2023"/>
    <s v="601331"/>
  </r>
  <r>
    <n v="2130"/>
    <x v="3"/>
    <x v="1"/>
    <x v="3"/>
    <x v="39"/>
    <s v="Rural"/>
    <s v="Masculino"/>
    <x v="0"/>
    <x v="1"/>
    <x v="3"/>
    <s v="PADD 2023 Y 2024"/>
    <s v="6010230"/>
  </r>
  <r>
    <n v="2131"/>
    <x v="3"/>
    <x v="1"/>
    <x v="3"/>
    <x v="39"/>
    <s v="Rural"/>
    <s v="Masculino"/>
    <x v="0"/>
    <x v="1"/>
    <x v="3"/>
    <s v="PADD 2023 Y 2024"/>
    <s v="6010230"/>
  </r>
  <r>
    <n v="2132"/>
    <x v="3"/>
    <x v="1"/>
    <x v="3"/>
    <x v="39"/>
    <s v="Rural"/>
    <s v="Masculino"/>
    <x v="0"/>
    <x v="1"/>
    <x v="3"/>
    <s v="PADD 2023 Y 2024"/>
    <s v="6010230"/>
  </r>
  <r>
    <n v="2133"/>
    <x v="3"/>
    <x v="1"/>
    <x v="3"/>
    <x v="39"/>
    <s v="Rural"/>
    <s v="Femenino"/>
    <x v="0"/>
    <x v="1"/>
    <x v="3"/>
    <s v="PADD 2023 Y 2024"/>
    <s v="6010230"/>
  </r>
  <r>
    <n v="2134"/>
    <x v="3"/>
    <x v="1"/>
    <x v="3"/>
    <x v="39"/>
    <s v="Rural"/>
    <s v="Femenino"/>
    <x v="0"/>
    <x v="1"/>
    <x v="3"/>
    <s v="PADD 2023 Y 2024"/>
    <s v="6010230"/>
  </r>
  <r>
    <n v="2135"/>
    <x v="3"/>
    <x v="1"/>
    <x v="3"/>
    <x v="39"/>
    <s v="Rural"/>
    <s v="Femenino"/>
    <x v="0"/>
    <x v="1"/>
    <x v="3"/>
    <s v="PADD 2023 Y 2024"/>
    <s v="6010230"/>
  </r>
  <r>
    <n v="2136"/>
    <x v="3"/>
    <x v="1"/>
    <x v="3"/>
    <x v="39"/>
    <s v="Rural"/>
    <s v="Femenino"/>
    <x v="0"/>
    <x v="1"/>
    <x v="3"/>
    <s v="PADD 2023 Y 2024"/>
    <s v="6010230"/>
  </r>
  <r>
    <n v="2137"/>
    <x v="3"/>
    <x v="1"/>
    <x v="3"/>
    <x v="39"/>
    <s v="Rural"/>
    <s v="Masculino"/>
    <x v="0"/>
    <x v="1"/>
    <x v="3"/>
    <s v="PADD 2023 Y 2024"/>
    <s v="6010230"/>
  </r>
  <r>
    <n v="2138"/>
    <x v="3"/>
    <x v="1"/>
    <x v="3"/>
    <x v="39"/>
    <s v="Rural"/>
    <s v="Masculino"/>
    <x v="0"/>
    <x v="1"/>
    <x v="3"/>
    <s v="PADD 2023 Y 2024"/>
    <s v="6010230"/>
  </r>
  <r>
    <n v="2139"/>
    <x v="3"/>
    <x v="1"/>
    <x v="3"/>
    <x v="47"/>
    <s v="Rural"/>
    <s v="Femenino"/>
    <x v="0"/>
    <x v="1"/>
    <x v="3"/>
    <s v="PADD 2023 Y 2024"/>
    <s v="60133"/>
  </r>
  <r>
    <n v="2140"/>
    <x v="3"/>
    <x v="1"/>
    <x v="3"/>
    <x v="47"/>
    <s v="Rural"/>
    <s v="Masculino"/>
    <x v="0"/>
    <x v="1"/>
    <x v="3"/>
    <s v="PADD 2023 Y 2024"/>
    <s v="60133"/>
  </r>
  <r>
    <n v="2141"/>
    <x v="3"/>
    <x v="1"/>
    <x v="3"/>
    <x v="47"/>
    <s v="Rural"/>
    <s v="Masculino"/>
    <x v="0"/>
    <x v="1"/>
    <x v="3"/>
    <s v="PADD 2023 Y 2024"/>
    <s v="60133"/>
  </r>
  <r>
    <n v="2142"/>
    <x v="3"/>
    <x v="1"/>
    <x v="3"/>
    <x v="47"/>
    <s v="Rural"/>
    <s v="Masculino"/>
    <x v="0"/>
    <x v="1"/>
    <x v="3"/>
    <s v="PADD 2023 Y 2024"/>
    <s v="60133"/>
  </r>
  <r>
    <n v="2143"/>
    <x v="3"/>
    <x v="1"/>
    <x v="3"/>
    <x v="47"/>
    <s v="Rural"/>
    <s v="Femenino"/>
    <x v="0"/>
    <x v="1"/>
    <x v="3"/>
    <s v="PADD 2023 Y 2024"/>
    <s v="60133"/>
  </r>
  <r>
    <n v="2144"/>
    <x v="3"/>
    <x v="1"/>
    <x v="3"/>
    <x v="47"/>
    <s v="Rural"/>
    <s v="Femenino"/>
    <x v="0"/>
    <x v="1"/>
    <x v="3"/>
    <s v="PADD 2023 Y 2024"/>
    <s v="60133"/>
  </r>
  <r>
    <n v="2145"/>
    <x v="3"/>
    <x v="1"/>
    <x v="3"/>
    <x v="47"/>
    <s v="Rural"/>
    <s v="Femenino"/>
    <x v="0"/>
    <x v="1"/>
    <x v="3"/>
    <s v="PADD 2023 Y 2024"/>
    <s v="60133"/>
  </r>
  <r>
    <n v="2146"/>
    <x v="3"/>
    <x v="1"/>
    <x v="3"/>
    <x v="47"/>
    <s v="Rural"/>
    <s v="Femenino"/>
    <x v="0"/>
    <x v="1"/>
    <x v="3"/>
    <s v="PADD 2023 Y 2024"/>
    <s v="60133"/>
  </r>
  <r>
    <n v="2147"/>
    <x v="3"/>
    <x v="1"/>
    <x v="3"/>
    <x v="47"/>
    <s v="Rural"/>
    <s v="Masculino"/>
    <x v="0"/>
    <x v="1"/>
    <x v="3"/>
    <s v="PADD 2023 Y 2024"/>
    <s v="60133"/>
  </r>
  <r>
    <n v="2148"/>
    <x v="3"/>
    <x v="1"/>
    <x v="3"/>
    <x v="47"/>
    <s v="Rural"/>
    <s v="Masculino"/>
    <x v="0"/>
    <x v="1"/>
    <x v="3"/>
    <s v="PADD 2023 Y 2024"/>
    <s v="60133"/>
  </r>
  <r>
    <n v="2149"/>
    <x v="3"/>
    <x v="1"/>
    <x v="3"/>
    <x v="47"/>
    <s v="Rural"/>
    <s v="Femenino"/>
    <x v="0"/>
    <x v="1"/>
    <x v="3"/>
    <s v="PADD 2023 Y 2024"/>
    <s v="60133"/>
  </r>
  <r>
    <n v="2150"/>
    <x v="3"/>
    <x v="1"/>
    <x v="3"/>
    <x v="47"/>
    <s v="Rural"/>
    <s v="Masculino"/>
    <x v="0"/>
    <x v="1"/>
    <x v="3"/>
    <s v="PADD 2023 Y 2024"/>
    <s v="60133"/>
  </r>
  <r>
    <n v="2151"/>
    <x v="3"/>
    <x v="1"/>
    <x v="3"/>
    <x v="47"/>
    <s v="Rural"/>
    <s v="Femenino"/>
    <x v="0"/>
    <x v="1"/>
    <x v="3"/>
    <s v="PADD 2023 Y 2024"/>
    <s v="60133"/>
  </r>
  <r>
    <n v="2152"/>
    <x v="3"/>
    <x v="1"/>
    <x v="3"/>
    <x v="47"/>
    <s v="Rural"/>
    <s v="Femenino"/>
    <x v="0"/>
    <x v="1"/>
    <x v="3"/>
    <s v="PADD 2023 Y 2024"/>
    <s v="60133"/>
  </r>
  <r>
    <n v="2153"/>
    <x v="3"/>
    <x v="1"/>
    <x v="3"/>
    <x v="47"/>
    <s v="Rural"/>
    <s v="Femenino"/>
    <x v="0"/>
    <x v="1"/>
    <x v="3"/>
    <s v="PADD 2023 Y 2024"/>
    <s v="60133"/>
  </r>
  <r>
    <n v="2154"/>
    <x v="3"/>
    <x v="1"/>
    <x v="3"/>
    <x v="47"/>
    <s v="Rural"/>
    <s v="Masculino"/>
    <x v="0"/>
    <x v="1"/>
    <x v="3"/>
    <s v="PADD 2023 Y 2024"/>
    <s v="60133"/>
  </r>
  <r>
    <n v="2155"/>
    <x v="3"/>
    <x v="1"/>
    <x v="3"/>
    <x v="47"/>
    <s v="Rural"/>
    <s v="Masculino"/>
    <x v="0"/>
    <x v="1"/>
    <x v="3"/>
    <s v="PADD 2023 Y 2024"/>
    <s v="60133"/>
  </r>
  <r>
    <n v="2156"/>
    <x v="3"/>
    <x v="1"/>
    <x v="3"/>
    <x v="47"/>
    <s v="Rural"/>
    <s v="Masculino"/>
    <x v="0"/>
    <x v="1"/>
    <x v="3"/>
    <s v="PADD 2023 Y 2024"/>
    <s v="60133"/>
  </r>
  <r>
    <n v="2157"/>
    <x v="3"/>
    <x v="0"/>
    <x v="1"/>
    <x v="35"/>
    <s v="Rural"/>
    <s v="Femenino"/>
    <x v="0"/>
    <x v="1"/>
    <x v="3"/>
    <s v="SOLO 2023"/>
    <s v="601331"/>
  </r>
  <r>
    <n v="2158"/>
    <x v="3"/>
    <x v="0"/>
    <x v="1"/>
    <x v="35"/>
    <s v="Rural"/>
    <s v="Masculino"/>
    <x v="0"/>
    <x v="1"/>
    <x v="3"/>
    <s v="SOLO 2023"/>
    <s v="601331"/>
  </r>
  <r>
    <n v="2159"/>
    <x v="3"/>
    <x v="0"/>
    <x v="1"/>
    <x v="35"/>
    <s v="Rural"/>
    <s v="Masculino"/>
    <x v="0"/>
    <x v="1"/>
    <x v="3"/>
    <s v="SOLO 2023"/>
    <s v="601331"/>
  </r>
  <r>
    <n v="2160"/>
    <x v="3"/>
    <x v="0"/>
    <x v="1"/>
    <x v="35"/>
    <s v="Rural"/>
    <s v="Masculino"/>
    <x v="0"/>
    <x v="1"/>
    <x v="3"/>
    <s v="SOLO 2023"/>
    <s v="601331"/>
  </r>
  <r>
    <n v="2161"/>
    <x v="3"/>
    <x v="0"/>
    <x v="1"/>
    <x v="35"/>
    <s v="Rural"/>
    <s v="Femenino"/>
    <x v="0"/>
    <x v="1"/>
    <x v="3"/>
    <s v="SOLO 2023"/>
    <s v="601331"/>
  </r>
  <r>
    <n v="2162"/>
    <x v="3"/>
    <x v="0"/>
    <x v="1"/>
    <x v="35"/>
    <s v="Rural"/>
    <s v="Femenino"/>
    <x v="0"/>
    <x v="1"/>
    <x v="3"/>
    <s v="SOLO 2023"/>
    <s v="601331"/>
  </r>
  <r>
    <n v="2163"/>
    <x v="3"/>
    <x v="0"/>
    <x v="1"/>
    <x v="35"/>
    <s v="Rural"/>
    <s v="Femenino"/>
    <x v="0"/>
    <x v="1"/>
    <x v="3"/>
    <s v="SOLO 2023"/>
    <s v="601331"/>
  </r>
  <r>
    <n v="2164"/>
    <x v="3"/>
    <x v="0"/>
    <x v="1"/>
    <x v="35"/>
    <s v="Rural"/>
    <s v="Masculino"/>
    <x v="0"/>
    <x v="1"/>
    <x v="3"/>
    <s v="SOLO 2023"/>
    <s v="601331"/>
  </r>
  <r>
    <n v="2165"/>
    <x v="3"/>
    <x v="0"/>
    <x v="1"/>
    <x v="35"/>
    <s v="Rural"/>
    <s v="Femenino"/>
    <x v="0"/>
    <x v="1"/>
    <x v="3"/>
    <s v="SOLO 2023"/>
    <s v="601331"/>
  </r>
  <r>
    <n v="2166"/>
    <x v="3"/>
    <x v="0"/>
    <x v="1"/>
    <x v="39"/>
    <s v="Rural"/>
    <s v="Masculino"/>
    <x v="0"/>
    <x v="1"/>
    <x v="3"/>
    <s v="PADD 2023 Y 2024"/>
    <s v="6010230"/>
  </r>
  <r>
    <n v="2167"/>
    <x v="3"/>
    <x v="0"/>
    <x v="1"/>
    <x v="39"/>
    <s v="Rural"/>
    <s v="Femenino"/>
    <x v="0"/>
    <x v="1"/>
    <x v="3"/>
    <s v="PADD 2023 Y 2024"/>
    <s v="6010230"/>
  </r>
  <r>
    <n v="2168"/>
    <x v="3"/>
    <x v="0"/>
    <x v="1"/>
    <x v="39"/>
    <s v="Rural"/>
    <s v="Masculino"/>
    <x v="0"/>
    <x v="1"/>
    <x v="3"/>
    <s v="PADD 2023 Y 2024"/>
    <s v="6010230"/>
  </r>
  <r>
    <n v="2169"/>
    <x v="3"/>
    <x v="0"/>
    <x v="1"/>
    <x v="39"/>
    <s v="Rural"/>
    <s v="Masculino"/>
    <x v="0"/>
    <x v="1"/>
    <x v="3"/>
    <s v="PADD 2023 Y 2024"/>
    <s v="6010230"/>
  </r>
  <r>
    <n v="2170"/>
    <x v="3"/>
    <x v="0"/>
    <x v="1"/>
    <x v="47"/>
    <s v="Rural"/>
    <s v="Masculino"/>
    <x v="0"/>
    <x v="1"/>
    <x v="3"/>
    <s v="PADD 2023 Y 2024"/>
    <s v="60133"/>
  </r>
  <r>
    <n v="2171"/>
    <x v="3"/>
    <x v="0"/>
    <x v="1"/>
    <x v="47"/>
    <s v="Rural"/>
    <s v="Masculino"/>
    <x v="0"/>
    <x v="1"/>
    <x v="3"/>
    <s v="PADD 2023 Y 2024"/>
    <s v="60133"/>
  </r>
  <r>
    <n v="2172"/>
    <x v="3"/>
    <x v="0"/>
    <x v="1"/>
    <x v="47"/>
    <s v="Rural"/>
    <s v="Masculino"/>
    <x v="1"/>
    <x v="1"/>
    <x v="3"/>
    <s v="PADD 2023 Y 2024"/>
    <s v="60133"/>
  </r>
  <r>
    <n v="2731"/>
    <x v="4"/>
    <x v="0"/>
    <x v="4"/>
    <x v="54"/>
    <s v="Rural"/>
    <s v="Femenino"/>
    <x v="0"/>
    <x v="1"/>
    <x v="4"/>
    <s v="NO PARTICIPÓ"/>
    <s v="Captuy"/>
  </r>
  <r>
    <n v="2732"/>
    <x v="4"/>
    <x v="0"/>
    <x v="4"/>
    <x v="48"/>
    <s v="Rural"/>
    <s v="Masculino"/>
    <x v="0"/>
    <x v="1"/>
    <x v="3"/>
    <s v="SOLO 2023"/>
    <s v="Huarac Huran"/>
  </r>
  <r>
    <n v="2733"/>
    <x v="4"/>
    <x v="0"/>
    <x v="4"/>
    <x v="50"/>
    <s v="Rural"/>
    <s v="Masculino"/>
    <x v="0"/>
    <x v="1"/>
    <x v="2"/>
    <s v="PADD 2023 Y 2024"/>
    <s v="Carap"/>
  </r>
  <r>
    <n v="2734"/>
    <x v="4"/>
    <x v="1"/>
    <x v="2"/>
    <x v="49"/>
    <s v="Rural"/>
    <s v="Femenino"/>
    <x v="0"/>
    <x v="1"/>
    <x v="2"/>
    <s v="PADD 2023 Y 2024"/>
    <s v="Pichiu"/>
  </r>
  <r>
    <n v="2735"/>
    <x v="4"/>
    <x v="1"/>
    <x v="2"/>
    <x v="49"/>
    <s v="Rural"/>
    <s v="Femenino"/>
    <x v="0"/>
    <x v="1"/>
    <x v="2"/>
    <s v="PADD 2023 Y 2024"/>
    <s v="Pichiu"/>
  </r>
  <r>
    <n v="2736"/>
    <x v="4"/>
    <x v="1"/>
    <x v="2"/>
    <x v="49"/>
    <s v="Rural"/>
    <s v="Femenino"/>
    <x v="0"/>
    <x v="1"/>
    <x v="2"/>
    <s v="PADD 2023 Y 2024"/>
    <s v="Pichiu"/>
  </r>
  <r>
    <n v="2737"/>
    <x v="4"/>
    <x v="1"/>
    <x v="2"/>
    <x v="49"/>
    <s v="Rural"/>
    <s v="Masculino"/>
    <x v="0"/>
    <x v="1"/>
    <x v="2"/>
    <s v="PADD 2023 Y 2024"/>
    <s v="Pichiu"/>
  </r>
  <r>
    <n v="2738"/>
    <x v="4"/>
    <x v="1"/>
    <x v="2"/>
    <x v="49"/>
    <s v="Rural"/>
    <s v="Femenino"/>
    <x v="0"/>
    <x v="1"/>
    <x v="2"/>
    <s v="PADD 2023 Y 2024"/>
    <s v="Pichiu"/>
  </r>
  <r>
    <n v="2739"/>
    <x v="4"/>
    <x v="1"/>
    <x v="2"/>
    <x v="52"/>
    <s v="Rural"/>
    <s v="Femenino"/>
    <x v="0"/>
    <x v="1"/>
    <x v="2"/>
    <s v="SOLO 2024"/>
    <s v="Huáscar"/>
  </r>
  <r>
    <n v="2740"/>
    <x v="4"/>
    <x v="1"/>
    <x v="2"/>
    <x v="52"/>
    <s v="Rural"/>
    <s v="Femenino"/>
    <x v="0"/>
    <x v="1"/>
    <x v="2"/>
    <s v="SOLO 2024"/>
    <s v="Huáscar"/>
  </r>
  <r>
    <n v="2741"/>
    <x v="4"/>
    <x v="1"/>
    <x v="2"/>
    <x v="52"/>
    <s v="Rural"/>
    <s v="Masculino"/>
    <x v="0"/>
    <x v="1"/>
    <x v="2"/>
    <s v="SOLO 2024"/>
    <s v="Huáscar"/>
  </r>
  <r>
    <n v="2742"/>
    <x v="4"/>
    <x v="0"/>
    <x v="0"/>
    <x v="54"/>
    <s v="Rural"/>
    <s v="Masculino"/>
    <x v="0"/>
    <x v="1"/>
    <x v="4"/>
    <s v="NO PARTICIPÓ"/>
    <s v="Captuy"/>
  </r>
  <r>
    <n v="2743"/>
    <x v="4"/>
    <x v="0"/>
    <x v="0"/>
    <x v="54"/>
    <s v="Rural"/>
    <s v="Femenino"/>
    <x v="0"/>
    <x v="1"/>
    <x v="4"/>
    <s v="NO PARTICIPÓ"/>
    <s v="Captuy"/>
  </r>
  <r>
    <n v="2744"/>
    <x v="4"/>
    <x v="0"/>
    <x v="0"/>
    <x v="54"/>
    <s v="Rural"/>
    <s v="Masculino"/>
    <x v="0"/>
    <x v="1"/>
    <x v="4"/>
    <s v="NO PARTICIPÓ"/>
    <s v="Captuy"/>
  </r>
  <r>
    <n v="2745"/>
    <x v="4"/>
    <x v="0"/>
    <x v="0"/>
    <x v="48"/>
    <s v="Rural"/>
    <s v="Masculino"/>
    <x v="0"/>
    <x v="1"/>
    <x v="3"/>
    <s v="SOLO 2023"/>
    <s v="Huarac Huran"/>
  </r>
  <r>
    <n v="2746"/>
    <x v="4"/>
    <x v="0"/>
    <x v="0"/>
    <x v="52"/>
    <s v="Rural"/>
    <s v="Masculino"/>
    <x v="0"/>
    <x v="1"/>
    <x v="2"/>
    <s v="SOLO 2024"/>
    <s v="Huáscar"/>
  </r>
  <r>
    <n v="2747"/>
    <x v="4"/>
    <x v="0"/>
    <x v="0"/>
    <x v="52"/>
    <s v="Rural"/>
    <s v="Masculino"/>
    <x v="0"/>
    <x v="1"/>
    <x v="2"/>
    <s v="SOLO 2024"/>
    <s v="Huáscar"/>
  </r>
  <r>
    <n v="2748"/>
    <x v="4"/>
    <x v="0"/>
    <x v="0"/>
    <x v="52"/>
    <s v="Rural"/>
    <s v="Masculino"/>
    <x v="0"/>
    <x v="1"/>
    <x v="2"/>
    <s v="SOLO 2024"/>
    <s v="Huáscar"/>
  </r>
  <r>
    <n v="2749"/>
    <x v="4"/>
    <x v="1"/>
    <x v="3"/>
    <x v="49"/>
    <s v="Rural"/>
    <s v="Femenino"/>
    <x v="0"/>
    <x v="1"/>
    <x v="2"/>
    <s v="PADD 2023 Y 2024"/>
    <s v="Pichiu"/>
  </r>
  <r>
    <n v="2750"/>
    <x v="4"/>
    <x v="1"/>
    <x v="3"/>
    <x v="49"/>
    <s v="Rural"/>
    <s v="Femenino"/>
    <x v="0"/>
    <x v="1"/>
    <x v="2"/>
    <s v="PADD 2023 Y 2024"/>
    <s v="Pichiu"/>
  </r>
  <r>
    <n v="2751"/>
    <x v="4"/>
    <x v="0"/>
    <x v="1"/>
    <x v="54"/>
    <s v="Rural"/>
    <s v="Femenino"/>
    <x v="1"/>
    <x v="1"/>
    <x v="4"/>
    <s v="NO PARTICIPÓ"/>
    <s v="Captuy"/>
  </r>
  <r>
    <n v="2752"/>
    <x v="4"/>
    <x v="0"/>
    <x v="1"/>
    <x v="54"/>
    <s v="Rural"/>
    <s v="Femenino"/>
    <x v="1"/>
    <x v="1"/>
    <x v="4"/>
    <s v="NO PARTICIPÓ"/>
    <s v="Captuy"/>
  </r>
  <r>
    <n v="2753"/>
    <x v="4"/>
    <x v="0"/>
    <x v="1"/>
    <x v="54"/>
    <s v="Rural"/>
    <s v="Femenino"/>
    <x v="1"/>
    <x v="1"/>
    <x v="4"/>
    <s v="NO PARTICIPÓ"/>
    <s v="Captuy"/>
  </r>
  <r>
    <n v="2754"/>
    <x v="4"/>
    <x v="0"/>
    <x v="1"/>
    <x v="54"/>
    <s v="Rural"/>
    <s v="Masculino"/>
    <x v="1"/>
    <x v="1"/>
    <x v="4"/>
    <s v="NO PARTICIPÓ"/>
    <s v="Captuy"/>
  </r>
  <r>
    <n v="2755"/>
    <x v="4"/>
    <x v="0"/>
    <x v="1"/>
    <x v="54"/>
    <s v="Rural"/>
    <s v="Masculino"/>
    <x v="1"/>
    <x v="1"/>
    <x v="4"/>
    <s v="NO PARTICIPÓ"/>
    <s v="Captuy"/>
  </r>
  <r>
    <n v="2756"/>
    <x v="4"/>
    <x v="0"/>
    <x v="1"/>
    <x v="54"/>
    <s v="Rural"/>
    <s v="Masculino"/>
    <x v="1"/>
    <x v="1"/>
    <x v="4"/>
    <s v="NO PARTICIPÓ"/>
    <s v="Captuy"/>
  </r>
  <r>
    <n v="2757"/>
    <x v="4"/>
    <x v="0"/>
    <x v="1"/>
    <x v="54"/>
    <s v="Rural"/>
    <s v="Masculino"/>
    <x v="1"/>
    <x v="1"/>
    <x v="4"/>
    <s v="NO PARTICIPÓ"/>
    <s v="Captuy"/>
  </r>
  <r>
    <n v="2758"/>
    <x v="4"/>
    <x v="0"/>
    <x v="1"/>
    <x v="54"/>
    <s v="Rural"/>
    <s v="Masculino"/>
    <x v="1"/>
    <x v="1"/>
    <x v="4"/>
    <s v="NO PARTICIPÓ"/>
    <s v="Captuy"/>
  </r>
  <r>
    <n v="2759"/>
    <x v="4"/>
    <x v="0"/>
    <x v="1"/>
    <x v="54"/>
    <s v="Rural"/>
    <s v="Femenino"/>
    <x v="1"/>
    <x v="1"/>
    <x v="4"/>
    <s v="NO PARTICIPÓ"/>
    <s v="Captuy"/>
  </r>
  <r>
    <n v="2760"/>
    <x v="4"/>
    <x v="0"/>
    <x v="1"/>
    <x v="54"/>
    <s v="Rural"/>
    <s v="Masculino"/>
    <x v="1"/>
    <x v="1"/>
    <x v="4"/>
    <s v="NO PARTICIPÓ"/>
    <s v="Captuy"/>
  </r>
  <r>
    <n v="2761"/>
    <x v="4"/>
    <x v="0"/>
    <x v="1"/>
    <x v="48"/>
    <s v="Rural"/>
    <s v="Masculino"/>
    <x v="1"/>
    <x v="1"/>
    <x v="3"/>
    <s v="SOLO 2023"/>
    <s v="Huran Huran"/>
  </r>
  <r>
    <n v="2762"/>
    <x v="4"/>
    <x v="0"/>
    <x v="1"/>
    <x v="48"/>
    <s v="Rural"/>
    <s v="Femenino"/>
    <x v="0"/>
    <x v="1"/>
    <x v="3"/>
    <s v="SOLO 2023"/>
    <s v="Huran Huran"/>
  </r>
  <r>
    <n v="2763"/>
    <x v="4"/>
    <x v="0"/>
    <x v="1"/>
    <x v="48"/>
    <s v="Rural"/>
    <s v="Masculino"/>
    <x v="1"/>
    <x v="1"/>
    <x v="3"/>
    <s v="SOLO 2023"/>
    <s v="Huran Huran"/>
  </r>
  <r>
    <n v="2764"/>
    <x v="4"/>
    <x v="0"/>
    <x v="1"/>
    <x v="48"/>
    <s v="Rural"/>
    <s v="Masculino"/>
    <x v="1"/>
    <x v="1"/>
    <x v="3"/>
    <s v="SOLO 2023"/>
    <s v="Huran Huran"/>
  </r>
  <r>
    <n v="2765"/>
    <x v="4"/>
    <x v="0"/>
    <x v="1"/>
    <x v="50"/>
    <s v="Rural"/>
    <s v="Masculino"/>
    <x v="0"/>
    <x v="1"/>
    <x v="2"/>
    <s v="PADD 2023 Y 2024"/>
    <s v="Carap"/>
  </r>
  <r>
    <n v="2766"/>
    <x v="4"/>
    <x v="0"/>
    <x v="1"/>
    <x v="50"/>
    <s v="Rural"/>
    <s v="Masculino"/>
    <x v="1"/>
    <x v="1"/>
    <x v="2"/>
    <s v="PADD 2023 Y 2024"/>
    <s v="Carap"/>
  </r>
  <r>
    <n v="2767"/>
    <x v="4"/>
    <x v="0"/>
    <x v="1"/>
    <x v="52"/>
    <s v="Rural"/>
    <s v="Masculino"/>
    <x v="0"/>
    <x v="1"/>
    <x v="2"/>
    <s v="SOLO 2024"/>
    <s v="Huáscar"/>
  </r>
  <r>
    <n v="3349"/>
    <x v="1"/>
    <x v="0"/>
    <x v="4"/>
    <x v="55"/>
    <s v="Rural"/>
    <s v="Masculino"/>
    <x v="1"/>
    <x v="1"/>
    <x v="5"/>
    <s v="SOLO 2023"/>
    <s v="MIRAFLORES 64346"/>
  </r>
  <r>
    <n v="3350"/>
    <x v="1"/>
    <x v="0"/>
    <x v="4"/>
    <x v="16"/>
    <s v="Rural"/>
    <s v="Masculino"/>
    <x v="1"/>
    <x v="1"/>
    <x v="2"/>
    <s v="SOLO 2023"/>
    <s v="BAGAZAN 64115"/>
  </r>
  <r>
    <n v="3351"/>
    <x v="1"/>
    <x v="0"/>
    <x v="4"/>
    <x v="16"/>
    <s v="Rural"/>
    <s v="Masculino"/>
    <x v="1"/>
    <x v="1"/>
    <x v="2"/>
    <s v="SOLO 2023"/>
    <s v="BAGAZAN 64115"/>
  </r>
  <r>
    <n v="3352"/>
    <x v="1"/>
    <x v="0"/>
    <x v="4"/>
    <x v="16"/>
    <s v="Rural"/>
    <s v="Femenino"/>
    <x v="1"/>
    <x v="1"/>
    <x v="2"/>
    <s v="SOLO 2023"/>
    <s v="BAGAZAN 64115"/>
  </r>
  <r>
    <n v="3353"/>
    <x v="1"/>
    <x v="0"/>
    <x v="4"/>
    <x v="16"/>
    <s v="Rural"/>
    <s v="Masculino"/>
    <x v="1"/>
    <x v="1"/>
    <x v="2"/>
    <s v="SOLO 2023"/>
    <s v="BAGAZAN 64115"/>
  </r>
  <r>
    <n v="3354"/>
    <x v="1"/>
    <x v="0"/>
    <x v="4"/>
    <x v="22"/>
    <s v="Rural"/>
    <s v="Masculino"/>
    <x v="1"/>
    <x v="1"/>
    <x v="3"/>
    <s v="PADD 2023 Y 2024"/>
    <s v="MAZARAY 64028"/>
  </r>
  <r>
    <n v="3355"/>
    <x v="1"/>
    <x v="0"/>
    <x v="4"/>
    <x v="22"/>
    <s v="Rural"/>
    <s v="Femenino"/>
    <x v="1"/>
    <x v="1"/>
    <x v="3"/>
    <s v="PADD 2023 Y 2024"/>
    <s v="MAZARAY 64028"/>
  </r>
  <r>
    <n v="3356"/>
    <x v="1"/>
    <x v="0"/>
    <x v="4"/>
    <x v="22"/>
    <s v="Rural"/>
    <s v="Femenino"/>
    <x v="1"/>
    <x v="1"/>
    <x v="3"/>
    <s v="PADD 2023 Y 2024"/>
    <s v="MAZARAY 64028"/>
  </r>
  <r>
    <n v="3357"/>
    <x v="1"/>
    <x v="0"/>
    <x v="4"/>
    <x v="22"/>
    <s v="Rural"/>
    <s v="Femenino"/>
    <x v="2"/>
    <x v="1"/>
    <x v="3"/>
    <s v="PADD 2023 Y 2024"/>
    <s v="MAZARAY 64028"/>
  </r>
  <r>
    <n v="3358"/>
    <x v="1"/>
    <x v="0"/>
    <x v="0"/>
    <x v="56"/>
    <s v="Rural"/>
    <s v="Masculino"/>
    <x v="2"/>
    <x v="1"/>
    <x v="4"/>
    <s v="SOLO 2024"/>
    <s v="3 DE MAYO 65199"/>
  </r>
  <r>
    <n v="3359"/>
    <x v="1"/>
    <x v="0"/>
    <x v="0"/>
    <x v="57"/>
    <s v="Rural"/>
    <s v="Masculino"/>
    <x v="1"/>
    <x v="1"/>
    <x v="4"/>
    <s v="PADD 2023 Y 2024"/>
    <s v="VILLA ESTHER 64829"/>
  </r>
  <r>
    <n v="3360"/>
    <x v="1"/>
    <x v="0"/>
    <x v="0"/>
    <x v="56"/>
    <s v="Rural"/>
    <s v="Femenino"/>
    <x v="2"/>
    <x v="1"/>
    <x v="4"/>
    <s v="SOLO 2024"/>
    <s v="3 DE MAYO 65199"/>
  </r>
  <r>
    <n v="3361"/>
    <x v="1"/>
    <x v="0"/>
    <x v="0"/>
    <x v="16"/>
    <s v="Rural"/>
    <s v="Masculino"/>
    <x v="2"/>
    <x v="1"/>
    <x v="2"/>
    <s v="SOLO 2023"/>
    <s v="BAGAZAN 64115"/>
  </r>
  <r>
    <n v="3362"/>
    <x v="1"/>
    <x v="0"/>
    <x v="0"/>
    <x v="56"/>
    <s v="Rural"/>
    <s v="Femenino"/>
    <x v="2"/>
    <x v="1"/>
    <x v="4"/>
    <s v="SOLO 2024"/>
    <s v="3 DE MAYO 65199"/>
  </r>
  <r>
    <n v="3363"/>
    <x v="1"/>
    <x v="0"/>
    <x v="0"/>
    <x v="56"/>
    <s v="Rural"/>
    <s v="Femenino"/>
    <x v="2"/>
    <x v="1"/>
    <x v="4"/>
    <s v="SOLO 2024"/>
    <s v="3 DE MAYO 65199"/>
  </r>
  <r>
    <n v="3364"/>
    <x v="1"/>
    <x v="0"/>
    <x v="0"/>
    <x v="15"/>
    <s v="Rural"/>
    <s v="Masculino"/>
    <x v="1"/>
    <x v="1"/>
    <x v="2"/>
    <s v="SOLO 2024"/>
    <s v="64048 Barranca"/>
  </r>
  <r>
    <n v="3365"/>
    <x v="1"/>
    <x v="0"/>
    <x v="0"/>
    <x v="15"/>
    <s v="Rural"/>
    <s v="Masculino"/>
    <x v="1"/>
    <x v="1"/>
    <x v="2"/>
    <s v="SOLO 2024"/>
    <s v="64048 Barranca"/>
  </r>
  <r>
    <n v="3366"/>
    <x v="1"/>
    <x v="0"/>
    <x v="0"/>
    <x v="22"/>
    <s v="Rural"/>
    <s v="Masculino"/>
    <x v="1"/>
    <x v="1"/>
    <x v="3"/>
    <s v="PADD 2023 Y 2024"/>
    <s v="MAZARAY 64028"/>
  </r>
  <r>
    <n v="3367"/>
    <x v="1"/>
    <x v="0"/>
    <x v="0"/>
    <x v="22"/>
    <s v="Rural"/>
    <s v="Masculino"/>
    <x v="1"/>
    <x v="1"/>
    <x v="3"/>
    <s v="PADD 2023 Y 2024"/>
    <s v="MAZARAY 64028"/>
  </r>
  <r>
    <n v="3368"/>
    <x v="1"/>
    <x v="0"/>
    <x v="0"/>
    <x v="22"/>
    <s v="Rural"/>
    <s v="Masculino"/>
    <x v="2"/>
    <x v="1"/>
    <x v="3"/>
    <s v="PADD 2023 Y 2024"/>
    <s v="MAZARAY 64028"/>
  </r>
  <r>
    <n v="3369"/>
    <x v="1"/>
    <x v="0"/>
    <x v="0"/>
    <x v="22"/>
    <s v="Rural"/>
    <s v="Femenino"/>
    <x v="1"/>
    <x v="1"/>
    <x v="3"/>
    <s v="PADD 2023 Y 2024"/>
    <s v="MAZARAY 64028"/>
  </r>
  <r>
    <n v="3370"/>
    <x v="1"/>
    <x v="0"/>
    <x v="0"/>
    <x v="22"/>
    <s v="Rural"/>
    <s v="Femenino"/>
    <x v="2"/>
    <x v="1"/>
    <x v="3"/>
    <s v="PADD 2023 Y 2024"/>
    <s v="MAZARAY 64028"/>
  </r>
  <r>
    <n v="3371"/>
    <x v="1"/>
    <x v="0"/>
    <x v="0"/>
    <x v="22"/>
    <s v="Rural"/>
    <s v="Femenino"/>
    <x v="1"/>
    <x v="1"/>
    <x v="3"/>
    <s v="PADD 2023 Y 2024"/>
    <s v="MAZARAY 64028"/>
  </r>
  <r>
    <n v="3372"/>
    <x v="1"/>
    <x v="0"/>
    <x v="0"/>
    <x v="22"/>
    <s v="Rural"/>
    <s v="Femenino"/>
    <x v="1"/>
    <x v="1"/>
    <x v="3"/>
    <s v="PADD 2023 Y 2024"/>
    <s v="MAZARAY 64028"/>
  </r>
  <r>
    <n v="3373"/>
    <x v="1"/>
    <x v="0"/>
    <x v="0"/>
    <x v="22"/>
    <s v="Rural"/>
    <s v="Femenino"/>
    <x v="2"/>
    <x v="1"/>
    <x v="3"/>
    <s v="PADD 2023 Y 2024"/>
    <s v="MAZARAY 64028"/>
  </r>
  <r>
    <n v="3374"/>
    <x v="1"/>
    <x v="0"/>
    <x v="0"/>
    <x v="22"/>
    <s v="Rural"/>
    <s v="Femenino"/>
    <x v="2"/>
    <x v="1"/>
    <x v="3"/>
    <s v="PADD 2023 Y 2024"/>
    <s v="MAZARAY 64028"/>
  </r>
  <r>
    <n v="3375"/>
    <x v="1"/>
    <x v="0"/>
    <x v="0"/>
    <x v="22"/>
    <s v="Rural"/>
    <s v="Femenino"/>
    <x v="1"/>
    <x v="1"/>
    <x v="3"/>
    <s v="PADD 2023 Y 2024"/>
    <s v="MAZARAY 64028"/>
  </r>
  <r>
    <n v="3376"/>
    <x v="1"/>
    <x v="0"/>
    <x v="0"/>
    <x v="22"/>
    <s v="Rural"/>
    <s v="Femenino"/>
    <x v="2"/>
    <x v="1"/>
    <x v="3"/>
    <s v="PADD 2023 Y 2024"/>
    <s v="MAZARAY 64028"/>
  </r>
  <r>
    <n v="3377"/>
    <x v="1"/>
    <x v="0"/>
    <x v="0"/>
    <x v="22"/>
    <s v="Rural"/>
    <s v="Masculino"/>
    <x v="2"/>
    <x v="1"/>
    <x v="3"/>
    <s v="PADD 2023 Y 2024"/>
    <s v="MAZARAY 64028"/>
  </r>
  <r>
    <n v="3378"/>
    <x v="1"/>
    <x v="0"/>
    <x v="1"/>
    <x v="55"/>
    <s v="Rural"/>
    <s v="Masculino"/>
    <x v="2"/>
    <x v="1"/>
    <x v="5"/>
    <s v="SOLO 2023"/>
    <s v="MIRAFLORES 64346"/>
  </r>
  <r>
    <n v="3379"/>
    <x v="1"/>
    <x v="0"/>
    <x v="1"/>
    <x v="57"/>
    <s v="Rural"/>
    <s v="Masculino"/>
    <x v="2"/>
    <x v="1"/>
    <x v="4"/>
    <s v="PADD 2023 Y 2024"/>
    <s v="VILLA ESTHER 64829"/>
  </r>
  <r>
    <n v="3380"/>
    <x v="1"/>
    <x v="0"/>
    <x v="1"/>
    <x v="56"/>
    <s v="Rural"/>
    <s v="Masculino"/>
    <x v="2"/>
    <x v="1"/>
    <x v="4"/>
    <s v="SOLO 2024"/>
    <s v="3 DE MAYO 65199"/>
  </r>
  <r>
    <n v="3381"/>
    <x v="1"/>
    <x v="0"/>
    <x v="1"/>
    <x v="56"/>
    <s v="Rural"/>
    <s v="Masculino"/>
    <x v="2"/>
    <x v="1"/>
    <x v="4"/>
    <s v="SOLO 2024"/>
    <s v="3 DE MAYO 65199"/>
  </r>
  <r>
    <n v="3382"/>
    <x v="1"/>
    <x v="0"/>
    <x v="1"/>
    <x v="56"/>
    <s v="Rural"/>
    <s v="Masculino"/>
    <x v="2"/>
    <x v="1"/>
    <x v="4"/>
    <s v="SOLO 2024"/>
    <s v="3 DE MAYO 65199"/>
  </r>
  <r>
    <n v="3383"/>
    <x v="1"/>
    <x v="0"/>
    <x v="1"/>
    <x v="16"/>
    <s v="Rural"/>
    <s v="Masculino"/>
    <x v="2"/>
    <x v="1"/>
    <x v="2"/>
    <s v="SOLO 2023"/>
    <s v="BAGAZAN 64115"/>
  </r>
  <r>
    <n v="3384"/>
    <x v="1"/>
    <x v="0"/>
    <x v="1"/>
    <x v="16"/>
    <s v="Rural"/>
    <s v="Femenino"/>
    <x v="1"/>
    <x v="1"/>
    <x v="2"/>
    <s v="SOLO 2023"/>
    <s v="BAGAZAN 64115"/>
  </r>
  <r>
    <n v="3385"/>
    <x v="1"/>
    <x v="0"/>
    <x v="1"/>
    <x v="15"/>
    <s v="Rural"/>
    <s v="Masculino"/>
    <x v="1"/>
    <x v="1"/>
    <x v="2"/>
    <s v="SOLO 2024"/>
    <s v="64048 Barranca"/>
  </r>
  <r>
    <n v="3386"/>
    <x v="1"/>
    <x v="0"/>
    <x v="1"/>
    <x v="15"/>
    <s v="Rural"/>
    <s v="Masculino"/>
    <x v="1"/>
    <x v="1"/>
    <x v="2"/>
    <s v="SOLO 2024"/>
    <s v="64048 Barranca"/>
  </r>
  <r>
    <n v="3387"/>
    <x v="1"/>
    <x v="0"/>
    <x v="1"/>
    <x v="16"/>
    <s v="Rural"/>
    <s v="Femenino"/>
    <x v="1"/>
    <x v="1"/>
    <x v="2"/>
    <s v="SOLO 2023"/>
    <s v="BAGAZAN 64115"/>
  </r>
  <r>
    <n v="3388"/>
    <x v="1"/>
    <x v="0"/>
    <x v="1"/>
    <x v="15"/>
    <s v="Rural"/>
    <s v="Femenino"/>
    <x v="2"/>
    <x v="1"/>
    <x v="2"/>
    <s v="SOLO 2024"/>
    <s v="64048 Barranca"/>
  </r>
  <r>
    <n v="3389"/>
    <x v="1"/>
    <x v="0"/>
    <x v="1"/>
    <x v="15"/>
    <s v="Rural"/>
    <s v="Femenino"/>
    <x v="2"/>
    <x v="1"/>
    <x v="2"/>
    <s v="SOLO 2024"/>
    <s v="64048 Barranca"/>
  </r>
  <r>
    <n v="3390"/>
    <x v="1"/>
    <x v="0"/>
    <x v="1"/>
    <x v="22"/>
    <s v="Rural"/>
    <s v="Masculino"/>
    <x v="1"/>
    <x v="1"/>
    <x v="2"/>
    <s v="PADD 2023 Y 2024"/>
    <s v="MAZARAY 64028"/>
  </r>
  <r>
    <n v="3391"/>
    <x v="1"/>
    <x v="0"/>
    <x v="1"/>
    <x v="22"/>
    <s v="Rural"/>
    <s v="Femenino"/>
    <x v="2"/>
    <x v="1"/>
    <x v="2"/>
    <s v="PADD 2023 Y 2024"/>
    <s v="MAZARAY 64028"/>
  </r>
  <r>
    <n v="3392"/>
    <x v="1"/>
    <x v="0"/>
    <x v="1"/>
    <x v="22"/>
    <s v="Rural"/>
    <s v="Femenino"/>
    <x v="2"/>
    <x v="1"/>
    <x v="2"/>
    <s v="PADD 2023 Y 2024"/>
    <s v="MAZARAY 64028"/>
  </r>
  <r>
    <n v="3393"/>
    <x v="1"/>
    <x v="0"/>
    <x v="1"/>
    <x v="22"/>
    <s v="Rural"/>
    <s v="Masculino"/>
    <x v="2"/>
    <x v="1"/>
    <x v="2"/>
    <s v="PADD 2023 Y 2024"/>
    <s v="MAZARAY 64028"/>
  </r>
  <r>
    <n v="3394"/>
    <x v="1"/>
    <x v="0"/>
    <x v="1"/>
    <x v="22"/>
    <s v="Rural"/>
    <s v="Masculino"/>
    <x v="2"/>
    <x v="1"/>
    <x v="2"/>
    <s v="PADD 2023 Y 2024"/>
    <s v="MAZARAY 64028"/>
  </r>
  <r>
    <n v="3395"/>
    <x v="1"/>
    <x v="0"/>
    <x v="1"/>
    <x v="22"/>
    <s v="Rural"/>
    <s v="Masculino"/>
    <x v="2"/>
    <x v="1"/>
    <x v="2"/>
    <s v="PADD 2023 Y 2024"/>
    <s v="MAZARAY 64028"/>
  </r>
  <r>
    <n v="3396"/>
    <x v="1"/>
    <x v="0"/>
    <x v="1"/>
    <x v="22"/>
    <s v="Rural"/>
    <s v="Femenino"/>
    <x v="2"/>
    <x v="1"/>
    <x v="2"/>
    <s v="PADD 2023 Y 2024"/>
    <s v="MAZARAY 64028"/>
  </r>
  <r>
    <n v="3540"/>
    <x v="2"/>
    <x v="0"/>
    <x v="4"/>
    <x v="58"/>
    <s v="Rural"/>
    <s v="Femenino"/>
    <x v="0"/>
    <x v="1"/>
    <x v="4"/>
    <s v="NO PARTICIPÓ"/>
    <s v="36161"/>
  </r>
  <r>
    <n v="3541"/>
    <x v="2"/>
    <x v="0"/>
    <x v="4"/>
    <x v="58"/>
    <s v="Rural"/>
    <s v="Femenino"/>
    <x v="0"/>
    <x v="1"/>
    <x v="4"/>
    <s v="NO PARTICIPÓ"/>
    <s v="36161"/>
  </r>
  <r>
    <n v="3542"/>
    <x v="2"/>
    <x v="0"/>
    <x v="4"/>
    <x v="58"/>
    <s v="Rural"/>
    <s v="Masculino"/>
    <x v="0"/>
    <x v="1"/>
    <x v="4"/>
    <s v="NO PARTICIPÓ"/>
    <s v="36161"/>
  </r>
  <r>
    <n v="3543"/>
    <x v="2"/>
    <x v="0"/>
    <x v="4"/>
    <x v="58"/>
    <s v="Rural"/>
    <s v="Femenino"/>
    <x v="0"/>
    <x v="1"/>
    <x v="4"/>
    <s v="NO PARTICIPÓ"/>
    <s v="36161"/>
  </r>
  <r>
    <n v="3544"/>
    <x v="2"/>
    <x v="0"/>
    <x v="4"/>
    <x v="59"/>
    <s v="Rural"/>
    <s v="Femenino"/>
    <x v="0"/>
    <x v="1"/>
    <x v="4"/>
    <s v="NO PARTICIPÓ"/>
    <s v="36166"/>
  </r>
  <r>
    <n v="3545"/>
    <x v="2"/>
    <x v="0"/>
    <x v="4"/>
    <x v="59"/>
    <s v="Rural"/>
    <s v="Femenino"/>
    <x v="1"/>
    <x v="1"/>
    <x v="4"/>
    <s v="NO PARTICIPÓ"/>
    <s v="36166"/>
  </r>
  <r>
    <n v="3546"/>
    <x v="2"/>
    <x v="0"/>
    <x v="4"/>
    <x v="59"/>
    <s v="Rural"/>
    <s v="Femenino"/>
    <x v="0"/>
    <x v="1"/>
    <x v="4"/>
    <s v="NO PARTICIPÓ"/>
    <s v="36166"/>
  </r>
  <r>
    <n v="3547"/>
    <x v="2"/>
    <x v="0"/>
    <x v="4"/>
    <x v="59"/>
    <s v="Rural"/>
    <s v="Masculino"/>
    <x v="0"/>
    <x v="1"/>
    <x v="4"/>
    <s v="NO PARTICIPÓ"/>
    <s v="36166"/>
  </r>
  <r>
    <n v="3548"/>
    <x v="2"/>
    <x v="0"/>
    <x v="4"/>
    <x v="59"/>
    <s v="Rural"/>
    <s v="Femenino"/>
    <x v="0"/>
    <x v="1"/>
    <x v="4"/>
    <s v="NO PARTICIPÓ"/>
    <s v="36166"/>
  </r>
  <r>
    <n v="3549"/>
    <x v="2"/>
    <x v="0"/>
    <x v="4"/>
    <x v="25"/>
    <s v="Rural"/>
    <s v="Femenino"/>
    <x v="0"/>
    <x v="1"/>
    <x v="2"/>
    <s v="PADD 2023 Y 2024"/>
    <s v="36207"/>
  </r>
  <r>
    <n v="3550"/>
    <x v="2"/>
    <x v="1"/>
    <x v="2"/>
    <x v="60"/>
    <s v="Rural"/>
    <s v="Masculino"/>
    <x v="1"/>
    <x v="1"/>
    <x v="4"/>
    <s v="SOLO 2023"/>
    <s v="JORGE CHAVEZ"/>
  </r>
  <r>
    <n v="3551"/>
    <x v="2"/>
    <x v="1"/>
    <x v="2"/>
    <x v="60"/>
    <s v="Rural"/>
    <s v="Femenino"/>
    <x v="2"/>
    <x v="1"/>
    <x v="4"/>
    <s v="SOLO 2023"/>
    <s v="JORGE CHAVEZ"/>
  </r>
  <r>
    <n v="3552"/>
    <x v="2"/>
    <x v="1"/>
    <x v="2"/>
    <x v="60"/>
    <s v="Rural"/>
    <s v="Masculino"/>
    <x v="0"/>
    <x v="1"/>
    <x v="4"/>
    <s v="SOLO 2023"/>
    <s v="JORGE CHAVEZ"/>
  </r>
  <r>
    <n v="3553"/>
    <x v="2"/>
    <x v="1"/>
    <x v="2"/>
    <x v="60"/>
    <s v="Rural"/>
    <s v="Masculino"/>
    <x v="0"/>
    <x v="1"/>
    <x v="4"/>
    <s v="SOLO 2023"/>
    <s v="JORGE CHAVEZ"/>
  </r>
  <r>
    <n v="3554"/>
    <x v="2"/>
    <x v="1"/>
    <x v="2"/>
    <x v="60"/>
    <s v="Rural"/>
    <s v="Femenino"/>
    <x v="0"/>
    <x v="1"/>
    <x v="4"/>
    <s v="SOLO 2023"/>
    <s v="JORGE CHAVEZ"/>
  </r>
  <r>
    <n v="3555"/>
    <x v="2"/>
    <x v="1"/>
    <x v="2"/>
    <x v="60"/>
    <s v="Rural"/>
    <s v="Femenino"/>
    <x v="2"/>
    <x v="1"/>
    <x v="4"/>
    <s v="SOLO 2023"/>
    <s v="JORGE CHAVEZ"/>
  </r>
  <r>
    <n v="3556"/>
    <x v="2"/>
    <x v="1"/>
    <x v="2"/>
    <x v="60"/>
    <s v="Rural"/>
    <s v="Masculino"/>
    <x v="2"/>
    <x v="1"/>
    <x v="4"/>
    <s v="SOLO 2023"/>
    <s v="JORGE CHAVEZ"/>
  </r>
  <r>
    <n v="3557"/>
    <x v="2"/>
    <x v="1"/>
    <x v="2"/>
    <x v="60"/>
    <s v="Rural"/>
    <s v="Masculino"/>
    <x v="0"/>
    <x v="1"/>
    <x v="4"/>
    <s v="SOLO 2023"/>
    <s v="JORGE CHAVEZ"/>
  </r>
  <r>
    <n v="3558"/>
    <x v="2"/>
    <x v="1"/>
    <x v="2"/>
    <x v="60"/>
    <s v="Rural"/>
    <s v="Masculino"/>
    <x v="1"/>
    <x v="1"/>
    <x v="4"/>
    <s v="SOLO 2023"/>
    <s v="JORGE CHAVEZ"/>
  </r>
  <r>
    <n v="3559"/>
    <x v="2"/>
    <x v="1"/>
    <x v="2"/>
    <x v="60"/>
    <s v="Rural"/>
    <s v="Masculino"/>
    <x v="0"/>
    <x v="1"/>
    <x v="4"/>
    <s v="SOLO 2023"/>
    <s v="JORGE CHAVEZ"/>
  </r>
  <r>
    <n v="3560"/>
    <x v="2"/>
    <x v="1"/>
    <x v="2"/>
    <x v="60"/>
    <s v="Rural"/>
    <s v="Masculino"/>
    <x v="2"/>
    <x v="1"/>
    <x v="4"/>
    <s v="SOLO 2023"/>
    <s v="JORGE CHAVEZ"/>
  </r>
  <r>
    <n v="3561"/>
    <x v="2"/>
    <x v="1"/>
    <x v="2"/>
    <x v="60"/>
    <s v="Rural"/>
    <s v="Masculino"/>
    <x v="0"/>
    <x v="1"/>
    <x v="4"/>
    <s v="SOLO 2023"/>
    <s v="JORGE CHAVEZ"/>
  </r>
  <r>
    <n v="3562"/>
    <x v="2"/>
    <x v="1"/>
    <x v="2"/>
    <x v="60"/>
    <s v="Rural"/>
    <s v="Femenino"/>
    <x v="2"/>
    <x v="1"/>
    <x v="4"/>
    <s v="SOLO 2023"/>
    <s v="JORGE CHAVEZ"/>
  </r>
  <r>
    <n v="3563"/>
    <x v="2"/>
    <x v="1"/>
    <x v="2"/>
    <x v="60"/>
    <s v="Rural"/>
    <s v="Femenino"/>
    <x v="0"/>
    <x v="1"/>
    <x v="4"/>
    <s v="SOLO 2023"/>
    <s v="JORGE CHAVEZ"/>
  </r>
  <r>
    <n v="3564"/>
    <x v="2"/>
    <x v="1"/>
    <x v="2"/>
    <x v="60"/>
    <s v="Rural"/>
    <s v="Femenino"/>
    <x v="0"/>
    <x v="1"/>
    <x v="4"/>
    <s v="SOLO 2023"/>
    <s v="JORGE CHAVEZ"/>
  </r>
  <r>
    <n v="3565"/>
    <x v="2"/>
    <x v="1"/>
    <x v="2"/>
    <x v="60"/>
    <s v="Rural"/>
    <s v="Femenino"/>
    <x v="2"/>
    <x v="1"/>
    <x v="4"/>
    <s v="SOLO 2023"/>
    <s v="JORGE CHAVEZ"/>
  </r>
  <r>
    <n v="3566"/>
    <x v="2"/>
    <x v="1"/>
    <x v="2"/>
    <x v="61"/>
    <s v="Rural"/>
    <s v="Femenino"/>
    <x v="0"/>
    <x v="1"/>
    <x v="4"/>
    <s v="NO PARTICIPÓ"/>
    <s v="JOSE CARLOS MARIATEGUI"/>
  </r>
  <r>
    <n v="3567"/>
    <x v="2"/>
    <x v="1"/>
    <x v="2"/>
    <x v="62"/>
    <s v="Rural"/>
    <s v="Masculino"/>
    <x v="1"/>
    <x v="1"/>
    <x v="4"/>
    <s v="NO PARTICIPÓ"/>
    <s v="RAMON CASTILLA MARQUEZADO"/>
  </r>
  <r>
    <n v="3568"/>
    <x v="2"/>
    <x v="1"/>
    <x v="2"/>
    <x v="62"/>
    <s v="Rural"/>
    <s v="Masculino"/>
    <x v="2"/>
    <x v="1"/>
    <x v="4"/>
    <s v="NO PARTICIPÓ"/>
    <s v="RAMON CASTILLA MARQUEZADO"/>
  </r>
  <r>
    <n v="3569"/>
    <x v="2"/>
    <x v="1"/>
    <x v="2"/>
    <x v="62"/>
    <s v="Rural"/>
    <s v="Masculino"/>
    <x v="0"/>
    <x v="1"/>
    <x v="4"/>
    <s v="NO PARTICIPÓ"/>
    <s v="RAMON CASTILLA MARQUEZADO"/>
  </r>
  <r>
    <n v="3570"/>
    <x v="2"/>
    <x v="1"/>
    <x v="2"/>
    <x v="62"/>
    <s v="Rural"/>
    <s v="Femenino"/>
    <x v="2"/>
    <x v="1"/>
    <x v="4"/>
    <s v="NO PARTICIPÓ"/>
    <s v="RAMON CASTILLA MARQUEZADO"/>
  </r>
  <r>
    <n v="3571"/>
    <x v="2"/>
    <x v="1"/>
    <x v="2"/>
    <x v="62"/>
    <s v="Rural"/>
    <s v="Femenino"/>
    <x v="2"/>
    <x v="1"/>
    <x v="4"/>
    <s v="NO PARTICIPÓ"/>
    <s v="RAMON CASTILLA MARQUEZADO"/>
  </r>
  <r>
    <n v="3572"/>
    <x v="2"/>
    <x v="1"/>
    <x v="2"/>
    <x v="62"/>
    <s v="Rural"/>
    <s v="Femenino"/>
    <x v="0"/>
    <x v="1"/>
    <x v="4"/>
    <s v="NO PARTICIPÓ"/>
    <s v="RAMON CASTILLA MARQUEZADO"/>
  </r>
  <r>
    <n v="3573"/>
    <x v="2"/>
    <x v="1"/>
    <x v="2"/>
    <x v="62"/>
    <s v="Rural"/>
    <s v="Femenino"/>
    <x v="1"/>
    <x v="1"/>
    <x v="4"/>
    <s v="NO PARTICIPÓ"/>
    <s v="RAMON CASTILLA MARQUEZADO"/>
  </r>
  <r>
    <n v="3574"/>
    <x v="2"/>
    <x v="1"/>
    <x v="2"/>
    <x v="62"/>
    <s v="Rural"/>
    <s v="Femenino"/>
    <x v="0"/>
    <x v="1"/>
    <x v="4"/>
    <s v="NO PARTICIPÓ"/>
    <s v="RAMON CASTILLA MARQUEZADO"/>
  </r>
  <r>
    <n v="3575"/>
    <x v="2"/>
    <x v="1"/>
    <x v="2"/>
    <x v="62"/>
    <s v="Rural"/>
    <s v="Femenino"/>
    <x v="0"/>
    <x v="1"/>
    <x v="4"/>
    <s v="NO PARTICIPÓ"/>
    <s v="RAMON CASTILLA MARQUEZADO"/>
  </r>
  <r>
    <n v="3576"/>
    <x v="2"/>
    <x v="1"/>
    <x v="2"/>
    <x v="62"/>
    <s v="Rural"/>
    <s v="Femenino"/>
    <x v="1"/>
    <x v="1"/>
    <x v="4"/>
    <s v="NO PARTICIPÓ"/>
    <s v="RAMON CASTILLA MARQUEZADO"/>
  </r>
  <r>
    <n v="3577"/>
    <x v="2"/>
    <x v="1"/>
    <x v="2"/>
    <x v="62"/>
    <s v="Rural"/>
    <s v="Masculino"/>
    <x v="2"/>
    <x v="1"/>
    <x v="4"/>
    <s v="NO PARTICIPÓ"/>
    <s v="RAMON CASTILLA MARQUEZADO"/>
  </r>
  <r>
    <n v="3578"/>
    <x v="2"/>
    <x v="1"/>
    <x v="2"/>
    <x v="62"/>
    <s v="Rural"/>
    <s v="Masculino"/>
    <x v="2"/>
    <x v="1"/>
    <x v="4"/>
    <s v="NO PARTICIPÓ"/>
    <s v="RAMON CASTILLA MARQUEZADO"/>
  </r>
  <r>
    <n v="3579"/>
    <x v="2"/>
    <x v="1"/>
    <x v="2"/>
    <x v="62"/>
    <s v="Rural"/>
    <s v="Masculino"/>
    <x v="1"/>
    <x v="1"/>
    <x v="4"/>
    <s v="NO PARTICIPÓ"/>
    <s v="RAMON CASTILLA MARQUEZADO"/>
  </r>
  <r>
    <n v="3580"/>
    <x v="2"/>
    <x v="1"/>
    <x v="2"/>
    <x v="62"/>
    <s v="Rural"/>
    <s v="Masculino"/>
    <x v="0"/>
    <x v="1"/>
    <x v="4"/>
    <s v="NO PARTICIPÓ"/>
    <s v="RAMON CASTILLA MARQUEZADO"/>
  </r>
  <r>
    <n v="3581"/>
    <x v="2"/>
    <x v="1"/>
    <x v="2"/>
    <x v="62"/>
    <s v="Rural"/>
    <s v="Femenino"/>
    <x v="0"/>
    <x v="1"/>
    <x v="4"/>
    <s v="NO PARTICIPÓ"/>
    <s v="RAMON CASTILLA MARQUEZADO"/>
  </r>
  <r>
    <n v="3582"/>
    <x v="2"/>
    <x v="1"/>
    <x v="2"/>
    <x v="62"/>
    <s v="Rural"/>
    <s v="Masculino"/>
    <x v="2"/>
    <x v="1"/>
    <x v="4"/>
    <s v="NO PARTICIPÓ"/>
    <s v="RAMON CASTILLA MARQUEZADO"/>
  </r>
  <r>
    <n v="3583"/>
    <x v="2"/>
    <x v="0"/>
    <x v="0"/>
    <x v="25"/>
    <s v="Rural"/>
    <s v="Femenino"/>
    <x v="0"/>
    <x v="1"/>
    <x v="2"/>
    <s v="PADD 2023 Y 2024"/>
    <s v="36207"/>
  </r>
  <r>
    <n v="3584"/>
    <x v="2"/>
    <x v="0"/>
    <x v="0"/>
    <x v="25"/>
    <s v="Rural"/>
    <s v="Femenino"/>
    <x v="2"/>
    <x v="1"/>
    <x v="2"/>
    <s v="PADD 2023 Y 2024"/>
    <s v="36207"/>
  </r>
  <r>
    <n v="3585"/>
    <x v="2"/>
    <x v="1"/>
    <x v="3"/>
    <x v="60"/>
    <s v="Rural"/>
    <s v="Femenino"/>
    <x v="0"/>
    <x v="1"/>
    <x v="4"/>
    <s v="SOLO 2023"/>
    <s v="Jorge Chavez"/>
  </r>
  <r>
    <n v="3586"/>
    <x v="2"/>
    <x v="1"/>
    <x v="3"/>
    <x v="60"/>
    <s v="Rural"/>
    <s v="Masculino"/>
    <x v="0"/>
    <x v="1"/>
    <x v="4"/>
    <s v="SOLO 2023"/>
    <s v="Jorge Chavez"/>
  </r>
  <r>
    <n v="3587"/>
    <x v="2"/>
    <x v="1"/>
    <x v="3"/>
    <x v="60"/>
    <s v="Rural"/>
    <s v="Masculino"/>
    <x v="0"/>
    <x v="1"/>
    <x v="4"/>
    <s v="SOLO 2023"/>
    <s v="Jorge Chavez"/>
  </r>
  <r>
    <n v="3588"/>
    <x v="2"/>
    <x v="1"/>
    <x v="3"/>
    <x v="60"/>
    <s v="Rural"/>
    <s v="Masculino"/>
    <x v="0"/>
    <x v="1"/>
    <x v="4"/>
    <s v="SOLO 2023"/>
    <s v="Jorge Chavez"/>
  </r>
  <r>
    <n v="3589"/>
    <x v="2"/>
    <x v="1"/>
    <x v="3"/>
    <x v="60"/>
    <s v="Rural"/>
    <s v="Masculino"/>
    <x v="1"/>
    <x v="1"/>
    <x v="4"/>
    <s v="SOLO 2023"/>
    <s v="Jorge Chavez"/>
  </r>
  <r>
    <n v="3590"/>
    <x v="2"/>
    <x v="1"/>
    <x v="3"/>
    <x v="60"/>
    <s v="Rural"/>
    <s v="Femenino"/>
    <x v="0"/>
    <x v="1"/>
    <x v="4"/>
    <s v="SOLO 2023"/>
    <s v="Jorge Chavez"/>
  </r>
  <r>
    <n v="3591"/>
    <x v="2"/>
    <x v="1"/>
    <x v="3"/>
    <x v="60"/>
    <s v="Rural"/>
    <s v="Masculino"/>
    <x v="0"/>
    <x v="1"/>
    <x v="4"/>
    <s v="SOLO 2023"/>
    <s v="Jorge Chavez"/>
  </r>
  <r>
    <n v="3592"/>
    <x v="2"/>
    <x v="1"/>
    <x v="3"/>
    <x v="60"/>
    <s v="Rural"/>
    <s v="Femenino"/>
    <x v="0"/>
    <x v="1"/>
    <x v="4"/>
    <s v="SOLO 2023"/>
    <s v="Jorge Chavez"/>
  </r>
  <r>
    <n v="3593"/>
    <x v="2"/>
    <x v="1"/>
    <x v="3"/>
    <x v="60"/>
    <s v="Rural"/>
    <s v="Masculino"/>
    <x v="0"/>
    <x v="1"/>
    <x v="4"/>
    <s v="SOLO 2023"/>
    <s v="Jorge Chavez"/>
  </r>
  <r>
    <n v="3594"/>
    <x v="2"/>
    <x v="1"/>
    <x v="3"/>
    <x v="60"/>
    <s v="Rural"/>
    <s v="Masculino"/>
    <x v="0"/>
    <x v="1"/>
    <x v="4"/>
    <s v="SOLO 2023"/>
    <s v="Jorge Chavez"/>
  </r>
  <r>
    <n v="3595"/>
    <x v="2"/>
    <x v="1"/>
    <x v="3"/>
    <x v="60"/>
    <s v="Rural"/>
    <s v="Femenino"/>
    <x v="0"/>
    <x v="1"/>
    <x v="4"/>
    <s v="SOLO 2023"/>
    <s v="Jorge Chavez"/>
  </r>
  <r>
    <n v="3596"/>
    <x v="2"/>
    <x v="1"/>
    <x v="3"/>
    <x v="60"/>
    <s v="Rural"/>
    <s v="Femenino"/>
    <x v="1"/>
    <x v="1"/>
    <x v="4"/>
    <s v="SOLO 2023"/>
    <s v="Jorge Chavez"/>
  </r>
  <r>
    <n v="3597"/>
    <x v="2"/>
    <x v="1"/>
    <x v="3"/>
    <x v="60"/>
    <s v="Rural"/>
    <s v="Masculino"/>
    <x v="2"/>
    <x v="1"/>
    <x v="4"/>
    <s v="SOLO 2023"/>
    <s v="Jorge Chavez"/>
  </r>
  <r>
    <n v="3598"/>
    <x v="2"/>
    <x v="1"/>
    <x v="3"/>
    <x v="60"/>
    <s v="Rural"/>
    <s v="Femenino"/>
    <x v="1"/>
    <x v="1"/>
    <x v="4"/>
    <s v="SOLO 2023"/>
    <s v="Jorge Chavez"/>
  </r>
  <r>
    <n v="3599"/>
    <x v="2"/>
    <x v="1"/>
    <x v="3"/>
    <x v="60"/>
    <s v="Rural"/>
    <s v="Masculino"/>
    <x v="0"/>
    <x v="1"/>
    <x v="4"/>
    <s v="SOLO 2023"/>
    <s v="Jorge Chavez"/>
  </r>
  <r>
    <n v="3600"/>
    <x v="2"/>
    <x v="1"/>
    <x v="3"/>
    <x v="60"/>
    <s v="Rural"/>
    <s v="Masculino"/>
    <x v="0"/>
    <x v="1"/>
    <x v="4"/>
    <s v="SOLO 2023"/>
    <s v="Jorge Chavez"/>
  </r>
  <r>
    <n v="3601"/>
    <x v="2"/>
    <x v="1"/>
    <x v="3"/>
    <x v="60"/>
    <s v="Rural"/>
    <s v="Masculino"/>
    <x v="0"/>
    <x v="1"/>
    <x v="4"/>
    <s v="SOLO 2023"/>
    <s v="Jorge Chavez"/>
  </r>
  <r>
    <n v="3602"/>
    <x v="2"/>
    <x v="1"/>
    <x v="3"/>
    <x v="60"/>
    <s v="Rural"/>
    <s v="Masculino"/>
    <x v="1"/>
    <x v="1"/>
    <x v="4"/>
    <s v="SOLO 2023"/>
    <s v="Jorge Chavez"/>
  </r>
  <r>
    <n v="3603"/>
    <x v="2"/>
    <x v="1"/>
    <x v="3"/>
    <x v="60"/>
    <s v="Rural"/>
    <s v="Femenino"/>
    <x v="0"/>
    <x v="1"/>
    <x v="4"/>
    <s v="SOLO 2023"/>
    <s v="Jorge Chavez"/>
  </r>
  <r>
    <n v="3604"/>
    <x v="2"/>
    <x v="1"/>
    <x v="3"/>
    <x v="60"/>
    <s v="Rural"/>
    <s v="Masculino"/>
    <x v="0"/>
    <x v="1"/>
    <x v="4"/>
    <s v="SOLO 2023"/>
    <s v="Jorge Chavez"/>
  </r>
  <r>
    <n v="3605"/>
    <x v="2"/>
    <x v="1"/>
    <x v="3"/>
    <x v="60"/>
    <s v="Rural"/>
    <s v="Femenino"/>
    <x v="1"/>
    <x v="1"/>
    <x v="4"/>
    <s v="SOLO 2023"/>
    <s v="Jorge Chavez"/>
  </r>
  <r>
    <n v="3606"/>
    <x v="2"/>
    <x v="1"/>
    <x v="3"/>
    <x v="60"/>
    <s v="Rural"/>
    <s v="Femenino"/>
    <x v="1"/>
    <x v="1"/>
    <x v="4"/>
    <s v="SOLO 2023"/>
    <s v="Jorge Chavez"/>
  </r>
  <r>
    <n v="3607"/>
    <x v="2"/>
    <x v="1"/>
    <x v="3"/>
    <x v="61"/>
    <s v="Rural"/>
    <s v="Masculino"/>
    <x v="1"/>
    <x v="1"/>
    <x v="4"/>
    <s v="NO PARTICIPÓ"/>
    <s v="José Carlos Mariategui"/>
  </r>
  <r>
    <n v="3608"/>
    <x v="2"/>
    <x v="1"/>
    <x v="3"/>
    <x v="61"/>
    <s v="Rural"/>
    <s v="Masculino"/>
    <x v="0"/>
    <x v="1"/>
    <x v="4"/>
    <s v="NO PARTICIPÓ"/>
    <s v="José Carlos Mariategui"/>
  </r>
  <r>
    <n v="3609"/>
    <x v="2"/>
    <x v="1"/>
    <x v="3"/>
    <x v="61"/>
    <s v="Rural"/>
    <s v="Femenino"/>
    <x v="1"/>
    <x v="1"/>
    <x v="4"/>
    <s v="NO PARTICIPÓ"/>
    <s v="José Carlos Mariategui"/>
  </r>
  <r>
    <n v="3610"/>
    <x v="2"/>
    <x v="1"/>
    <x v="3"/>
    <x v="61"/>
    <s v="Rural"/>
    <s v="Masculino"/>
    <x v="1"/>
    <x v="1"/>
    <x v="4"/>
    <s v="NO PARTICIPÓ"/>
    <s v="José Carlos Mariategui"/>
  </r>
  <r>
    <n v="3611"/>
    <x v="2"/>
    <x v="1"/>
    <x v="3"/>
    <x v="61"/>
    <s v="Rural"/>
    <s v="Masculino"/>
    <x v="0"/>
    <x v="1"/>
    <x v="4"/>
    <s v="NO PARTICIPÓ"/>
    <s v="José Carlos Mariategui"/>
  </r>
  <r>
    <n v="3612"/>
    <x v="2"/>
    <x v="1"/>
    <x v="3"/>
    <x v="61"/>
    <s v="Rural"/>
    <s v="Femenino"/>
    <x v="2"/>
    <x v="1"/>
    <x v="4"/>
    <s v="NO PARTICIPÓ"/>
    <s v="José Carlos Mariategui"/>
  </r>
  <r>
    <n v="3613"/>
    <x v="2"/>
    <x v="1"/>
    <x v="3"/>
    <x v="61"/>
    <s v="Rural"/>
    <s v="Masculino"/>
    <x v="0"/>
    <x v="1"/>
    <x v="4"/>
    <s v="NO PARTICIPÓ"/>
    <s v="José Carlos Mariategui"/>
  </r>
  <r>
    <n v="3614"/>
    <x v="2"/>
    <x v="1"/>
    <x v="3"/>
    <x v="61"/>
    <s v="Rural"/>
    <s v="Femenino"/>
    <x v="0"/>
    <x v="1"/>
    <x v="4"/>
    <s v="NO PARTICIPÓ"/>
    <s v="José Carlos Mariategui"/>
  </r>
  <r>
    <n v="3615"/>
    <x v="2"/>
    <x v="1"/>
    <x v="3"/>
    <x v="61"/>
    <s v="Rural"/>
    <s v="Femenino"/>
    <x v="1"/>
    <x v="1"/>
    <x v="4"/>
    <s v="NO PARTICIPÓ"/>
    <s v="José Carlos Mariategui"/>
  </r>
  <r>
    <n v="3616"/>
    <x v="2"/>
    <x v="1"/>
    <x v="3"/>
    <x v="61"/>
    <s v="Rural"/>
    <s v="Masculino"/>
    <x v="0"/>
    <x v="1"/>
    <x v="4"/>
    <s v="NO PARTICIPÓ"/>
    <s v="José Carlos Mariategui"/>
  </r>
  <r>
    <n v="3617"/>
    <x v="2"/>
    <x v="1"/>
    <x v="3"/>
    <x v="61"/>
    <s v="Rural"/>
    <s v="Femenino"/>
    <x v="0"/>
    <x v="1"/>
    <x v="4"/>
    <s v="NO PARTICIPÓ"/>
    <s v="José Carlos Mariategui"/>
  </r>
  <r>
    <n v="3618"/>
    <x v="2"/>
    <x v="1"/>
    <x v="3"/>
    <x v="61"/>
    <s v="Rural"/>
    <s v="Femenino"/>
    <x v="0"/>
    <x v="1"/>
    <x v="4"/>
    <s v="NO PARTICIPÓ"/>
    <s v="José Carlos Mariategui"/>
  </r>
  <r>
    <n v="3619"/>
    <x v="2"/>
    <x v="1"/>
    <x v="3"/>
    <x v="61"/>
    <s v="Rural"/>
    <s v="Femenino"/>
    <x v="0"/>
    <x v="1"/>
    <x v="4"/>
    <s v="NO PARTICIPÓ"/>
    <s v="José Carlos Mariategui"/>
  </r>
  <r>
    <n v="3620"/>
    <x v="2"/>
    <x v="1"/>
    <x v="3"/>
    <x v="61"/>
    <s v="Rural"/>
    <s v="Masculino"/>
    <x v="1"/>
    <x v="1"/>
    <x v="4"/>
    <s v="NO PARTICIPÓ"/>
    <s v="José Carlos Mariategui"/>
  </r>
  <r>
    <n v="3621"/>
    <x v="2"/>
    <x v="1"/>
    <x v="3"/>
    <x v="62"/>
    <s v="Rural"/>
    <s v="Femenino"/>
    <x v="0"/>
    <x v="1"/>
    <x v="4"/>
    <s v="NO PARTICIPÓ"/>
    <s v="Ramón Castilla M."/>
  </r>
  <r>
    <n v="3622"/>
    <x v="2"/>
    <x v="1"/>
    <x v="3"/>
    <x v="62"/>
    <s v="Rural"/>
    <s v="Masculino"/>
    <x v="0"/>
    <x v="1"/>
    <x v="4"/>
    <s v="NO PARTICIPÓ"/>
    <s v="Ramón Castilla M."/>
  </r>
  <r>
    <n v="3623"/>
    <x v="2"/>
    <x v="1"/>
    <x v="3"/>
    <x v="62"/>
    <s v="Rural"/>
    <s v="Masculino"/>
    <x v="1"/>
    <x v="1"/>
    <x v="4"/>
    <s v="NO PARTICIPÓ"/>
    <s v="Ramón Castilla M."/>
  </r>
  <r>
    <n v="3624"/>
    <x v="2"/>
    <x v="1"/>
    <x v="3"/>
    <x v="62"/>
    <s v="Rural"/>
    <s v="Femenino"/>
    <x v="1"/>
    <x v="1"/>
    <x v="4"/>
    <s v="NO PARTICIPÓ"/>
    <s v="Ramón Castilla M."/>
  </r>
  <r>
    <n v="3625"/>
    <x v="2"/>
    <x v="1"/>
    <x v="3"/>
    <x v="62"/>
    <s v="Rural"/>
    <s v="Femenino"/>
    <x v="1"/>
    <x v="1"/>
    <x v="4"/>
    <s v="NO PARTICIPÓ"/>
    <s v="Ramón Castilla M."/>
  </r>
  <r>
    <n v="3626"/>
    <x v="2"/>
    <x v="1"/>
    <x v="3"/>
    <x v="62"/>
    <s v="Rural"/>
    <s v="Masculino"/>
    <x v="0"/>
    <x v="1"/>
    <x v="4"/>
    <s v="NO PARTICIPÓ"/>
    <s v="Ramón Castilla M."/>
  </r>
  <r>
    <n v="3627"/>
    <x v="2"/>
    <x v="1"/>
    <x v="3"/>
    <x v="62"/>
    <s v="Rural"/>
    <s v="Femenino"/>
    <x v="1"/>
    <x v="1"/>
    <x v="4"/>
    <s v="NO PARTICIPÓ"/>
    <s v="Ramón Castilla M."/>
  </r>
  <r>
    <n v="3628"/>
    <x v="2"/>
    <x v="0"/>
    <x v="1"/>
    <x v="59"/>
    <s v="Rural"/>
    <s v="Masculino"/>
    <x v="0"/>
    <x v="1"/>
    <x v="4"/>
    <s v="NO PARTICIPÓ"/>
    <s v="36166"/>
  </r>
  <r>
    <n v="3629"/>
    <x v="2"/>
    <x v="0"/>
    <x v="1"/>
    <x v="59"/>
    <s v="Rural"/>
    <s v="Femenino"/>
    <x v="1"/>
    <x v="1"/>
    <x v="4"/>
    <s v="NO PARTICIPÓ"/>
    <s v="36166"/>
  </r>
  <r>
    <n v="3630"/>
    <x v="2"/>
    <x v="0"/>
    <x v="1"/>
    <x v="59"/>
    <s v="Rural"/>
    <s v="Masculino"/>
    <x v="1"/>
    <x v="1"/>
    <x v="4"/>
    <s v="NO PARTICIPÓ"/>
    <s v="36166"/>
  </r>
  <r>
    <n v="3631"/>
    <x v="2"/>
    <x v="0"/>
    <x v="1"/>
    <x v="59"/>
    <s v="Rural"/>
    <s v="Masculino"/>
    <x v="1"/>
    <x v="1"/>
    <x v="4"/>
    <s v="NO PARTICIPÓ"/>
    <s v="36166"/>
  </r>
  <r>
    <n v="3632"/>
    <x v="2"/>
    <x v="0"/>
    <x v="1"/>
    <x v="59"/>
    <s v="Rural"/>
    <s v="Masculino"/>
    <x v="1"/>
    <x v="1"/>
    <x v="4"/>
    <s v="NO PARTICIPÓ"/>
    <s v="36166"/>
  </r>
  <r>
    <n v="3633"/>
    <x v="2"/>
    <x v="0"/>
    <x v="1"/>
    <x v="59"/>
    <s v="Rural"/>
    <s v="Masculino"/>
    <x v="1"/>
    <x v="1"/>
    <x v="4"/>
    <s v="NO PARTICIPÓ"/>
    <s v="36166"/>
  </r>
  <r>
    <n v="3634"/>
    <x v="2"/>
    <x v="0"/>
    <x v="1"/>
    <x v="59"/>
    <s v="Rural"/>
    <s v="Masculino"/>
    <x v="1"/>
    <x v="1"/>
    <x v="4"/>
    <s v="NO PARTICIPÓ"/>
    <s v="36166"/>
  </r>
  <r>
    <n v="3635"/>
    <x v="2"/>
    <x v="0"/>
    <x v="1"/>
    <x v="59"/>
    <s v="Rural"/>
    <s v="Masculino"/>
    <x v="1"/>
    <x v="1"/>
    <x v="4"/>
    <s v="NO PARTICIPÓ"/>
    <s v="36166"/>
  </r>
  <r>
    <n v="3636"/>
    <x v="2"/>
    <x v="0"/>
    <x v="1"/>
    <x v="59"/>
    <s v="Rural"/>
    <s v="Masculino"/>
    <x v="1"/>
    <x v="1"/>
    <x v="4"/>
    <s v="NO PARTICIPÓ"/>
    <s v="36166"/>
  </r>
  <r>
    <n v="3637"/>
    <x v="2"/>
    <x v="0"/>
    <x v="1"/>
    <x v="25"/>
    <s v="Rural"/>
    <s v="Masculino"/>
    <x v="1"/>
    <x v="1"/>
    <x v="2"/>
    <s v="PADD 2023 Y 2024"/>
    <s v="36207"/>
  </r>
  <r>
    <n v="3638"/>
    <x v="2"/>
    <x v="0"/>
    <x v="1"/>
    <x v="25"/>
    <s v="Rural"/>
    <s v="Femenino"/>
    <x v="1"/>
    <x v="1"/>
    <x v="2"/>
    <s v="PADD 2023 Y 2024"/>
    <s v="36207"/>
  </r>
  <r>
    <n v="3639"/>
    <x v="2"/>
    <x v="0"/>
    <x v="1"/>
    <x v="25"/>
    <s v="Rural"/>
    <s v="Masculino"/>
    <x v="1"/>
    <x v="1"/>
    <x v="2"/>
    <s v="PADD 2023 Y 2024"/>
    <s v="36207"/>
  </r>
  <r>
    <n v="3640"/>
    <x v="2"/>
    <x v="0"/>
    <x v="1"/>
    <x v="25"/>
    <s v="Rural"/>
    <s v="Femenino"/>
    <x v="1"/>
    <x v="1"/>
    <x v="2"/>
    <s v="PADD 2023 Y 2024"/>
    <s v="36207"/>
  </r>
  <r>
    <n v="3641"/>
    <x v="2"/>
    <x v="0"/>
    <x v="1"/>
    <x v="25"/>
    <s v="Rural"/>
    <s v="Masculino"/>
    <x v="1"/>
    <x v="1"/>
    <x v="2"/>
    <s v="PADD 2023 Y 2024"/>
    <s v="36207"/>
  </r>
  <r>
    <n v="3642"/>
    <x v="2"/>
    <x v="0"/>
    <x v="1"/>
    <x v="58"/>
    <s v="Rural"/>
    <s v="Femenino"/>
    <x v="2"/>
    <x v="1"/>
    <x v="4"/>
    <s v="NO PARTICIPÓ"/>
    <s v="36161"/>
  </r>
  <r>
    <n v="3643"/>
    <x v="2"/>
    <x v="0"/>
    <x v="1"/>
    <x v="58"/>
    <s v="Rural"/>
    <s v="Femenino"/>
    <x v="1"/>
    <x v="1"/>
    <x v="4"/>
    <s v="NO PARTICIPÓ"/>
    <s v="36161"/>
  </r>
  <r>
    <n v="3644"/>
    <x v="2"/>
    <x v="0"/>
    <x v="1"/>
    <x v="58"/>
    <s v="Rural"/>
    <s v="Femenino"/>
    <x v="2"/>
    <x v="1"/>
    <x v="4"/>
    <s v="NO PARTICIPÓ"/>
    <s v="36161"/>
  </r>
  <r>
    <n v="1"/>
    <x v="2"/>
    <x v="1"/>
    <x v="2"/>
    <x v="23"/>
    <s v="Rural"/>
    <s v="Femenino"/>
    <x v="0"/>
    <x v="2"/>
    <x v="1"/>
    <s v="PADD 2023 Y 2024"/>
    <s v="Nuestra Señora de la Candelaria"/>
  </r>
  <r>
    <n v="2"/>
    <x v="2"/>
    <x v="1"/>
    <x v="2"/>
    <x v="23"/>
    <s v="Rural"/>
    <s v="Masculino"/>
    <x v="1"/>
    <x v="2"/>
    <x v="1"/>
    <s v="PADD 2023 Y 2024"/>
    <s v="Nuestra Señora de la Candelaria"/>
  </r>
  <r>
    <n v="3"/>
    <x v="2"/>
    <x v="1"/>
    <x v="2"/>
    <x v="23"/>
    <s v="Rural"/>
    <s v="Masculino"/>
    <x v="0"/>
    <x v="2"/>
    <x v="1"/>
    <s v="PADD 2023 Y 2024"/>
    <s v="Nuestra Señora de la Candelaria"/>
  </r>
  <r>
    <n v="4"/>
    <x v="2"/>
    <x v="1"/>
    <x v="2"/>
    <x v="23"/>
    <s v="Rural"/>
    <s v="Femenino"/>
    <x v="0"/>
    <x v="2"/>
    <x v="1"/>
    <s v="PADD 2023 Y 2024"/>
    <s v="Nuestra Señora de la Candelaria"/>
  </r>
  <r>
    <n v="5"/>
    <x v="2"/>
    <x v="1"/>
    <x v="2"/>
    <x v="23"/>
    <s v="Rural"/>
    <s v="Masculino"/>
    <x v="0"/>
    <x v="2"/>
    <x v="1"/>
    <s v="PADD 2023 Y 2024"/>
    <s v="Nuestra Señora de la Candelaria"/>
  </r>
  <r>
    <n v="6"/>
    <x v="2"/>
    <x v="1"/>
    <x v="2"/>
    <x v="23"/>
    <s v="Rural"/>
    <s v="Masculino"/>
    <x v="1"/>
    <x v="2"/>
    <x v="1"/>
    <s v="PADD 2023 Y 2024"/>
    <s v="Nuestra Señora de la Candelaria"/>
  </r>
  <r>
    <n v="7"/>
    <x v="2"/>
    <x v="1"/>
    <x v="2"/>
    <x v="23"/>
    <s v="Rural"/>
    <s v="Masculino"/>
    <x v="0"/>
    <x v="2"/>
    <x v="1"/>
    <s v="PADD 2023 Y 2024"/>
    <s v="Nuestra Señora de la Candelaria"/>
  </r>
  <r>
    <n v="8"/>
    <x v="2"/>
    <x v="1"/>
    <x v="2"/>
    <x v="23"/>
    <s v="Rural"/>
    <s v="Femenino"/>
    <x v="0"/>
    <x v="2"/>
    <x v="1"/>
    <s v="PADD 2023 Y 2024"/>
    <s v="Nuestra Señora de la Candelaria"/>
  </r>
  <r>
    <n v="9"/>
    <x v="2"/>
    <x v="1"/>
    <x v="2"/>
    <x v="23"/>
    <s v="Rural"/>
    <s v="Femenino"/>
    <x v="0"/>
    <x v="2"/>
    <x v="1"/>
    <s v="PADD 2023 Y 2024"/>
    <s v="Nuestra Señora de la Candelaria"/>
  </r>
  <r>
    <n v="10"/>
    <x v="2"/>
    <x v="1"/>
    <x v="2"/>
    <x v="23"/>
    <s v="Rural"/>
    <s v="Masculino"/>
    <x v="2"/>
    <x v="2"/>
    <x v="1"/>
    <s v="PADD 2023 Y 2024"/>
    <s v="Nuestra Señora de la Candelaria"/>
  </r>
  <r>
    <n v="11"/>
    <x v="2"/>
    <x v="1"/>
    <x v="2"/>
    <x v="23"/>
    <s v="Rural"/>
    <s v="Femenino"/>
    <x v="0"/>
    <x v="2"/>
    <x v="1"/>
    <s v="PADD 2023 Y 2024"/>
    <s v="Nuestra Señora de la Candelaria"/>
  </r>
  <r>
    <n v="12"/>
    <x v="2"/>
    <x v="1"/>
    <x v="2"/>
    <x v="23"/>
    <s v="Rural"/>
    <s v="Masculino"/>
    <x v="0"/>
    <x v="2"/>
    <x v="1"/>
    <s v="PADD 2023 Y 2024"/>
    <s v="Nuestra Señora de la Candelaria"/>
  </r>
  <r>
    <n v="13"/>
    <x v="2"/>
    <x v="1"/>
    <x v="2"/>
    <x v="23"/>
    <s v="Rural"/>
    <s v="Femenino"/>
    <x v="0"/>
    <x v="2"/>
    <x v="1"/>
    <s v="PADD 2023 Y 2024"/>
    <s v="Nuestra Señora de la Candelaria"/>
  </r>
  <r>
    <n v="14"/>
    <x v="2"/>
    <x v="1"/>
    <x v="2"/>
    <x v="23"/>
    <s v="Rural"/>
    <s v="Femenino"/>
    <x v="0"/>
    <x v="2"/>
    <x v="1"/>
    <s v="PADD 2023 Y 2024"/>
    <s v="Nuestra Señora de la Candelaria"/>
  </r>
  <r>
    <n v="15"/>
    <x v="2"/>
    <x v="1"/>
    <x v="2"/>
    <x v="23"/>
    <s v="Rural"/>
    <s v="Femenino"/>
    <x v="0"/>
    <x v="2"/>
    <x v="1"/>
    <s v="PADD 2023 Y 2024"/>
    <s v="Nuestra Señora de la Candelaria"/>
  </r>
  <r>
    <n v="16"/>
    <x v="2"/>
    <x v="1"/>
    <x v="2"/>
    <x v="23"/>
    <s v="Rural"/>
    <s v="Masculino"/>
    <x v="0"/>
    <x v="2"/>
    <x v="1"/>
    <s v="PADD 2023 Y 2024"/>
    <s v="Nuestra Señora de la Candelaria"/>
  </r>
  <r>
    <n v="17"/>
    <x v="2"/>
    <x v="1"/>
    <x v="2"/>
    <x v="23"/>
    <s v="Rural"/>
    <s v="Masculino"/>
    <x v="0"/>
    <x v="2"/>
    <x v="1"/>
    <s v="PADD 2023 Y 2024"/>
    <s v="Nuestra Señora de la Candelaria"/>
  </r>
  <r>
    <n v="18"/>
    <x v="2"/>
    <x v="1"/>
    <x v="2"/>
    <x v="23"/>
    <s v="Rural"/>
    <s v="Femenino"/>
    <x v="0"/>
    <x v="2"/>
    <x v="1"/>
    <s v="PADD 2023 Y 2024"/>
    <s v="Nuestra Señora de la Candelaria"/>
  </r>
  <r>
    <n v="19"/>
    <x v="2"/>
    <x v="1"/>
    <x v="2"/>
    <x v="23"/>
    <s v="Rural"/>
    <s v="Masculino"/>
    <x v="0"/>
    <x v="2"/>
    <x v="1"/>
    <s v="PADD 2023 Y 2024"/>
    <s v="Nuestra Señora de la Candelaria"/>
  </r>
  <r>
    <n v="20"/>
    <x v="2"/>
    <x v="1"/>
    <x v="2"/>
    <x v="23"/>
    <s v="Rural"/>
    <s v="Masculino"/>
    <x v="0"/>
    <x v="2"/>
    <x v="1"/>
    <s v="PADD 2023 Y 2024"/>
    <s v="Nuestra Señora de la Candelaria"/>
  </r>
  <r>
    <n v="21"/>
    <x v="2"/>
    <x v="1"/>
    <x v="2"/>
    <x v="23"/>
    <s v="Rural"/>
    <s v="Femenino"/>
    <x v="0"/>
    <x v="2"/>
    <x v="1"/>
    <s v="PADD 2023 Y 2024"/>
    <s v="Nuestra Señora de la Candelaria"/>
  </r>
  <r>
    <n v="22"/>
    <x v="2"/>
    <x v="1"/>
    <x v="2"/>
    <x v="23"/>
    <s v="Rural"/>
    <s v="Masculino"/>
    <x v="0"/>
    <x v="2"/>
    <x v="1"/>
    <s v="PADD 2023 Y 2024"/>
    <s v="Nuestra Señora de la Candelaria"/>
  </r>
  <r>
    <n v="23"/>
    <x v="2"/>
    <x v="1"/>
    <x v="2"/>
    <x v="23"/>
    <s v="Rural"/>
    <s v="Masculino"/>
    <x v="0"/>
    <x v="2"/>
    <x v="1"/>
    <s v="PADD 2023 Y 2024"/>
    <s v="Nuestra Señora de la Candelaria"/>
  </r>
  <r>
    <n v="24"/>
    <x v="2"/>
    <x v="1"/>
    <x v="2"/>
    <x v="23"/>
    <s v="Rural"/>
    <s v="Masculino"/>
    <x v="0"/>
    <x v="2"/>
    <x v="1"/>
    <s v="PADD 2023 Y 2024"/>
    <s v="Nuestra Señora de la Candelaria"/>
  </r>
  <r>
    <n v="25"/>
    <x v="2"/>
    <x v="1"/>
    <x v="2"/>
    <x v="23"/>
    <s v="Rural"/>
    <s v="Femenino"/>
    <x v="0"/>
    <x v="2"/>
    <x v="1"/>
    <s v="PADD 2023 Y 2024"/>
    <s v="Nuestra Señora de la Candelaria"/>
  </r>
  <r>
    <n v="26"/>
    <x v="2"/>
    <x v="1"/>
    <x v="2"/>
    <x v="23"/>
    <s v="Rural"/>
    <s v="Masculino"/>
    <x v="0"/>
    <x v="2"/>
    <x v="1"/>
    <s v="PADD 2023 Y 2024"/>
    <s v="Nuestra Señora de la Candelaria"/>
  </r>
  <r>
    <n v="27"/>
    <x v="2"/>
    <x v="1"/>
    <x v="2"/>
    <x v="23"/>
    <s v="Rural"/>
    <s v="Masculino"/>
    <x v="0"/>
    <x v="2"/>
    <x v="1"/>
    <s v="PADD 2023 Y 2024"/>
    <s v="Nuestra Señora de la Candelaria"/>
  </r>
  <r>
    <n v="28"/>
    <x v="2"/>
    <x v="1"/>
    <x v="2"/>
    <x v="23"/>
    <s v="Rural"/>
    <s v="Femenino"/>
    <x v="0"/>
    <x v="2"/>
    <x v="1"/>
    <s v="PADD 2023 Y 2024"/>
    <s v="Nuestra Señora de la Candelaria"/>
  </r>
  <r>
    <n v="29"/>
    <x v="2"/>
    <x v="1"/>
    <x v="2"/>
    <x v="23"/>
    <s v="Rural"/>
    <s v="Masculino"/>
    <x v="0"/>
    <x v="2"/>
    <x v="1"/>
    <s v="PADD 2023 Y 2024"/>
    <s v="Nuestra Señora de la Candelaria"/>
  </r>
  <r>
    <n v="30"/>
    <x v="2"/>
    <x v="1"/>
    <x v="2"/>
    <x v="23"/>
    <s v="Rural"/>
    <s v="Femenino"/>
    <x v="0"/>
    <x v="2"/>
    <x v="1"/>
    <s v="PADD 2023 Y 2024"/>
    <s v="Nuestra Señora de la Candelaria"/>
  </r>
  <r>
    <n v="31"/>
    <x v="2"/>
    <x v="1"/>
    <x v="2"/>
    <x v="23"/>
    <s v="Rural"/>
    <s v="Femenino"/>
    <x v="0"/>
    <x v="2"/>
    <x v="1"/>
    <s v="PADD 2023 Y 2024"/>
    <s v="Nuestra Señora de la Candelaria"/>
  </r>
  <r>
    <n v="32"/>
    <x v="2"/>
    <x v="1"/>
    <x v="2"/>
    <x v="23"/>
    <s v="Rural"/>
    <s v="Femenino"/>
    <x v="0"/>
    <x v="2"/>
    <x v="1"/>
    <s v="PADD 2023 Y 2024"/>
    <s v="Nuestra Señora de la Candelaria"/>
  </r>
  <r>
    <n v="33"/>
    <x v="2"/>
    <x v="1"/>
    <x v="2"/>
    <x v="23"/>
    <s v="Rural"/>
    <s v="Femenino"/>
    <x v="0"/>
    <x v="2"/>
    <x v="1"/>
    <s v="PADD 2023 Y 2024"/>
    <s v="Nuestra Señora de la Candelaria"/>
  </r>
  <r>
    <n v="34"/>
    <x v="2"/>
    <x v="1"/>
    <x v="2"/>
    <x v="23"/>
    <s v="Rural"/>
    <s v="Femenino"/>
    <x v="0"/>
    <x v="2"/>
    <x v="1"/>
    <s v="PADD 2023 Y 2024"/>
    <s v="Nuestra Señora de la Candelaria"/>
  </r>
  <r>
    <n v="35"/>
    <x v="2"/>
    <x v="1"/>
    <x v="2"/>
    <x v="23"/>
    <s v="Rural"/>
    <s v="Masculino"/>
    <x v="1"/>
    <x v="2"/>
    <x v="1"/>
    <s v="PADD 2023 Y 2024"/>
    <s v="Nuestra Señora de la Candelaria"/>
  </r>
  <r>
    <n v="36"/>
    <x v="2"/>
    <x v="1"/>
    <x v="2"/>
    <x v="23"/>
    <s v="Rural"/>
    <s v="Femenino"/>
    <x v="0"/>
    <x v="2"/>
    <x v="1"/>
    <s v="PADD 2023 Y 2024"/>
    <s v="Nuestra Señora de la Candelaria"/>
  </r>
  <r>
    <n v="37"/>
    <x v="2"/>
    <x v="1"/>
    <x v="2"/>
    <x v="23"/>
    <s v="Rural"/>
    <s v="Masculino"/>
    <x v="0"/>
    <x v="2"/>
    <x v="1"/>
    <s v="PADD 2023 Y 2024"/>
    <s v="Nuestra Señora de la Candelaria"/>
  </r>
  <r>
    <n v="38"/>
    <x v="2"/>
    <x v="1"/>
    <x v="2"/>
    <x v="23"/>
    <s v="Rural"/>
    <s v="Femenino"/>
    <x v="0"/>
    <x v="2"/>
    <x v="1"/>
    <s v="PADD 2023 Y 2024"/>
    <s v="Nuestra Señora de la Candelaria"/>
  </r>
  <r>
    <n v="39"/>
    <x v="2"/>
    <x v="1"/>
    <x v="2"/>
    <x v="23"/>
    <s v="Rural"/>
    <s v="Femenino"/>
    <x v="0"/>
    <x v="2"/>
    <x v="1"/>
    <s v="PADD 2023 Y 2024"/>
    <s v="Nuestra Señora de la Candelaria"/>
  </r>
  <r>
    <n v="40"/>
    <x v="2"/>
    <x v="1"/>
    <x v="2"/>
    <x v="23"/>
    <s v="Rural"/>
    <s v="Masculino"/>
    <x v="0"/>
    <x v="2"/>
    <x v="1"/>
    <s v="PADD 2023 Y 2024"/>
    <s v="Nuestra Señora de la Candelaria"/>
  </r>
  <r>
    <n v="41"/>
    <x v="2"/>
    <x v="1"/>
    <x v="3"/>
    <x v="23"/>
    <s v="Rural"/>
    <s v="Masculino"/>
    <x v="0"/>
    <x v="2"/>
    <x v="1"/>
    <s v="PADD 2023 Y 2024"/>
    <s v="Nuestra Señora de la Candelaria"/>
  </r>
  <r>
    <n v="42"/>
    <x v="2"/>
    <x v="1"/>
    <x v="3"/>
    <x v="23"/>
    <s v="Rural"/>
    <s v="Femenino"/>
    <x v="0"/>
    <x v="2"/>
    <x v="1"/>
    <s v="PADD 2023 Y 2024"/>
    <s v="Nuestra Señora de la Candelaria"/>
  </r>
  <r>
    <n v="43"/>
    <x v="2"/>
    <x v="1"/>
    <x v="3"/>
    <x v="23"/>
    <s v="Rural"/>
    <s v="Masculino"/>
    <x v="1"/>
    <x v="2"/>
    <x v="1"/>
    <s v="PADD 2023 Y 2024"/>
    <s v="Nuestra Señora de la Candelaria"/>
  </r>
  <r>
    <n v="44"/>
    <x v="2"/>
    <x v="1"/>
    <x v="3"/>
    <x v="23"/>
    <s v="Rural"/>
    <s v="Femenino"/>
    <x v="1"/>
    <x v="2"/>
    <x v="1"/>
    <s v="PADD 2023 Y 2024"/>
    <s v="Nuestra Señora de la Candelaria"/>
  </r>
  <r>
    <n v="45"/>
    <x v="2"/>
    <x v="1"/>
    <x v="3"/>
    <x v="23"/>
    <s v="Rural"/>
    <s v="Masculino"/>
    <x v="0"/>
    <x v="2"/>
    <x v="1"/>
    <s v="PADD 2023 Y 2024"/>
    <s v="Nuestra Señora de la Candelaria"/>
  </r>
  <r>
    <n v="46"/>
    <x v="2"/>
    <x v="1"/>
    <x v="3"/>
    <x v="23"/>
    <s v="Rural"/>
    <s v="Masculino"/>
    <x v="1"/>
    <x v="2"/>
    <x v="1"/>
    <s v="PADD 2023 Y 2024"/>
    <s v="Nuestra Señora de la Candelaria"/>
  </r>
  <r>
    <n v="47"/>
    <x v="2"/>
    <x v="1"/>
    <x v="3"/>
    <x v="23"/>
    <s v="Rural"/>
    <s v="Femenino"/>
    <x v="0"/>
    <x v="2"/>
    <x v="1"/>
    <s v="PADD 2023 Y 2024"/>
    <s v="Nuestra Señora de la Candelaria"/>
  </r>
  <r>
    <n v="48"/>
    <x v="2"/>
    <x v="1"/>
    <x v="3"/>
    <x v="23"/>
    <s v="Rural"/>
    <s v="Femenino"/>
    <x v="0"/>
    <x v="2"/>
    <x v="1"/>
    <s v="PADD 2023 Y 2024"/>
    <s v="Nuestra Señora de la Candelaria"/>
  </r>
  <r>
    <n v="49"/>
    <x v="2"/>
    <x v="1"/>
    <x v="3"/>
    <x v="23"/>
    <s v="Rural"/>
    <s v="Masculino"/>
    <x v="0"/>
    <x v="2"/>
    <x v="1"/>
    <s v="PADD 2023 Y 2024"/>
    <s v="Nuestra Señora de la Candelaria"/>
  </r>
  <r>
    <n v="50"/>
    <x v="2"/>
    <x v="1"/>
    <x v="3"/>
    <x v="23"/>
    <s v="Rural"/>
    <s v="Femenino"/>
    <x v="0"/>
    <x v="2"/>
    <x v="1"/>
    <s v="PADD 2023 Y 2024"/>
    <s v="Nuestra Señora de la Candelaria"/>
  </r>
  <r>
    <n v="51"/>
    <x v="2"/>
    <x v="1"/>
    <x v="3"/>
    <x v="23"/>
    <s v="Rural"/>
    <s v="Masculino"/>
    <x v="0"/>
    <x v="2"/>
    <x v="1"/>
    <s v="PADD 2023 Y 2024"/>
    <s v="Nuestra Señora de la Candelaria"/>
  </r>
  <r>
    <n v="52"/>
    <x v="2"/>
    <x v="1"/>
    <x v="3"/>
    <x v="23"/>
    <s v="Rural"/>
    <s v="Femenino"/>
    <x v="0"/>
    <x v="2"/>
    <x v="1"/>
    <s v="PADD 2023 Y 2024"/>
    <s v="Nuestra Señora de la Candelaria"/>
  </r>
  <r>
    <n v="53"/>
    <x v="2"/>
    <x v="1"/>
    <x v="3"/>
    <x v="23"/>
    <s v="Rural"/>
    <s v="Femenino"/>
    <x v="0"/>
    <x v="2"/>
    <x v="1"/>
    <s v="PADD 2023 Y 2024"/>
    <s v="Nuestra Señora de la Candelaria"/>
  </r>
  <r>
    <n v="54"/>
    <x v="2"/>
    <x v="1"/>
    <x v="3"/>
    <x v="23"/>
    <s v="Rural"/>
    <s v="Masculino"/>
    <x v="0"/>
    <x v="2"/>
    <x v="1"/>
    <s v="PADD 2023 Y 2024"/>
    <s v="Nuestra Señora de la Candelaria"/>
  </r>
  <r>
    <n v="55"/>
    <x v="2"/>
    <x v="1"/>
    <x v="3"/>
    <x v="23"/>
    <s v="Rural"/>
    <s v="Masculino"/>
    <x v="0"/>
    <x v="2"/>
    <x v="1"/>
    <s v="PADD 2023 Y 2024"/>
    <s v="Nuestra Señora de la Candelaria"/>
  </r>
  <r>
    <n v="56"/>
    <x v="2"/>
    <x v="1"/>
    <x v="3"/>
    <x v="23"/>
    <s v="Rural"/>
    <s v="Masculino"/>
    <x v="0"/>
    <x v="2"/>
    <x v="1"/>
    <s v="PADD 2023 Y 2024"/>
    <s v="Nuestra Señora de la Candelaria"/>
  </r>
  <r>
    <n v="57"/>
    <x v="2"/>
    <x v="1"/>
    <x v="3"/>
    <x v="23"/>
    <s v="Rural"/>
    <s v="Femenino"/>
    <x v="0"/>
    <x v="2"/>
    <x v="1"/>
    <s v="PADD 2023 Y 2024"/>
    <s v="Nuestra Señora de la Candelaria"/>
  </r>
  <r>
    <n v="58"/>
    <x v="2"/>
    <x v="1"/>
    <x v="3"/>
    <x v="23"/>
    <s v="Rural"/>
    <s v="Femenino"/>
    <x v="0"/>
    <x v="2"/>
    <x v="1"/>
    <s v="PADD 2023 Y 2024"/>
    <s v="Nuestra Señora de la Candelaria"/>
  </r>
  <r>
    <n v="59"/>
    <x v="2"/>
    <x v="1"/>
    <x v="3"/>
    <x v="23"/>
    <s v="Rural"/>
    <s v="Masculino"/>
    <x v="0"/>
    <x v="2"/>
    <x v="1"/>
    <s v="PADD 2023 Y 2024"/>
    <s v="Nuestra Señora de la Candelaria"/>
  </r>
  <r>
    <n v="60"/>
    <x v="2"/>
    <x v="1"/>
    <x v="3"/>
    <x v="23"/>
    <s v="Rural"/>
    <s v="Masculino"/>
    <x v="0"/>
    <x v="2"/>
    <x v="1"/>
    <s v="PADD 2023 Y 2024"/>
    <s v="Nuestra Señora de la Candelaria"/>
  </r>
  <r>
    <n v="61"/>
    <x v="2"/>
    <x v="1"/>
    <x v="3"/>
    <x v="23"/>
    <s v="Rural"/>
    <s v="Masculino"/>
    <x v="0"/>
    <x v="2"/>
    <x v="1"/>
    <s v="PADD 2023 Y 2024"/>
    <s v="Nuestra Señora de la Candelaria"/>
  </r>
  <r>
    <n v="62"/>
    <x v="2"/>
    <x v="1"/>
    <x v="3"/>
    <x v="23"/>
    <s v="Rural"/>
    <s v="Femenino"/>
    <x v="0"/>
    <x v="2"/>
    <x v="1"/>
    <s v="PADD 2023 Y 2024"/>
    <s v="Nuestra Señora de la Candelaria"/>
  </r>
  <r>
    <n v="63"/>
    <x v="2"/>
    <x v="1"/>
    <x v="3"/>
    <x v="23"/>
    <s v="Rural"/>
    <s v="Femenino"/>
    <x v="0"/>
    <x v="2"/>
    <x v="1"/>
    <s v="PADD 2023 Y 2024"/>
    <s v="Nuestra Señora de la Candelaria"/>
  </r>
  <r>
    <n v="64"/>
    <x v="2"/>
    <x v="1"/>
    <x v="3"/>
    <x v="23"/>
    <s v="Rural"/>
    <s v="Femenino"/>
    <x v="0"/>
    <x v="2"/>
    <x v="1"/>
    <s v="PADD 2023 Y 2024"/>
    <s v="Nuestra Señora de la Candelaria"/>
  </r>
  <r>
    <n v="65"/>
    <x v="2"/>
    <x v="1"/>
    <x v="3"/>
    <x v="23"/>
    <s v="Rural"/>
    <s v="Masculino"/>
    <x v="0"/>
    <x v="2"/>
    <x v="1"/>
    <s v="PADD 2023 Y 2024"/>
    <s v="Nuestra Señora de la Candelaria"/>
  </r>
  <r>
    <n v="66"/>
    <x v="2"/>
    <x v="1"/>
    <x v="3"/>
    <x v="23"/>
    <s v="Rural"/>
    <s v="Masculino"/>
    <x v="0"/>
    <x v="2"/>
    <x v="1"/>
    <s v="PADD 2023 Y 2024"/>
    <s v="Nuestra Señora de la Candelaria"/>
  </r>
  <r>
    <n v="67"/>
    <x v="2"/>
    <x v="1"/>
    <x v="3"/>
    <x v="23"/>
    <s v="Rural"/>
    <s v="Femenino"/>
    <x v="0"/>
    <x v="2"/>
    <x v="1"/>
    <s v="PADD 2023 Y 2024"/>
    <s v="Nuestra Señora de la Candelaria"/>
  </r>
  <r>
    <n v="68"/>
    <x v="2"/>
    <x v="1"/>
    <x v="3"/>
    <x v="23"/>
    <s v="Rural"/>
    <s v="Masculino"/>
    <x v="0"/>
    <x v="2"/>
    <x v="1"/>
    <s v="PADD 2023 Y 2024"/>
    <s v="Nuestra Señora de la Candelaria"/>
  </r>
  <r>
    <n v="69"/>
    <x v="2"/>
    <x v="1"/>
    <x v="3"/>
    <x v="23"/>
    <s v="Rural"/>
    <s v="Masculino"/>
    <x v="0"/>
    <x v="2"/>
    <x v="1"/>
    <s v="PADD 2023 Y 2024"/>
    <s v="Nuestra Señora de la Candelaria"/>
  </r>
  <r>
    <n v="70"/>
    <x v="2"/>
    <x v="1"/>
    <x v="3"/>
    <x v="23"/>
    <s v="Rural"/>
    <s v="Femenino"/>
    <x v="0"/>
    <x v="2"/>
    <x v="1"/>
    <s v="PADD 2023 Y 2024"/>
    <s v="Nuestra Señora de la Candelaria"/>
  </r>
  <r>
    <n v="71"/>
    <x v="2"/>
    <x v="1"/>
    <x v="3"/>
    <x v="23"/>
    <s v="Rural"/>
    <s v="Femenino"/>
    <x v="0"/>
    <x v="2"/>
    <x v="1"/>
    <s v="PADD 2023 Y 2024"/>
    <s v="Nuestra Señora de la Candelaria"/>
  </r>
  <r>
    <n v="72"/>
    <x v="2"/>
    <x v="1"/>
    <x v="3"/>
    <x v="23"/>
    <s v="Rural"/>
    <s v="Femenino"/>
    <x v="0"/>
    <x v="2"/>
    <x v="1"/>
    <s v="PADD 2023 Y 2024"/>
    <s v="Nuestra Señora de la Candelaria"/>
  </r>
  <r>
    <n v="73"/>
    <x v="2"/>
    <x v="1"/>
    <x v="3"/>
    <x v="23"/>
    <s v="Rural"/>
    <s v="Masculino"/>
    <x v="0"/>
    <x v="2"/>
    <x v="1"/>
    <s v="PADD 2023 Y 2024"/>
    <s v="Nuestra Señora de la Candelaria"/>
  </r>
  <r>
    <n v="74"/>
    <x v="2"/>
    <x v="1"/>
    <x v="3"/>
    <x v="23"/>
    <s v="Rural"/>
    <s v="Masculino"/>
    <x v="0"/>
    <x v="2"/>
    <x v="1"/>
    <s v="PADD 2023 Y 2024"/>
    <s v="Nuestra Señora de la Candelaria"/>
  </r>
  <r>
    <n v="75"/>
    <x v="2"/>
    <x v="1"/>
    <x v="3"/>
    <x v="23"/>
    <s v="Rural"/>
    <s v="Femenino"/>
    <x v="0"/>
    <x v="2"/>
    <x v="1"/>
    <s v="PADD 2023 Y 2024"/>
    <s v="Nuestra Señora de la Candelaria"/>
  </r>
  <r>
    <n v="76"/>
    <x v="2"/>
    <x v="1"/>
    <x v="3"/>
    <x v="23"/>
    <s v="Rural"/>
    <s v="Masculino"/>
    <x v="0"/>
    <x v="2"/>
    <x v="1"/>
    <s v="PADD 2023 Y 2024"/>
    <s v="Nuestra Señora de la Candelaria"/>
  </r>
  <r>
    <n v="77"/>
    <x v="2"/>
    <x v="1"/>
    <x v="3"/>
    <x v="23"/>
    <s v="Rural"/>
    <s v="Masculino"/>
    <x v="0"/>
    <x v="2"/>
    <x v="1"/>
    <s v="PADD 2023 Y 2024"/>
    <s v="Nuestra Señora de la Candelaria"/>
  </r>
  <r>
    <n v="78"/>
    <x v="2"/>
    <x v="1"/>
    <x v="3"/>
    <x v="23"/>
    <s v="Rural"/>
    <s v="Femenino"/>
    <x v="0"/>
    <x v="2"/>
    <x v="1"/>
    <s v="PADD 2023 Y 2024"/>
    <s v="Nuestra Señora de la Candelaria"/>
  </r>
  <r>
    <n v="79"/>
    <x v="2"/>
    <x v="1"/>
    <x v="3"/>
    <x v="23"/>
    <s v="Rural"/>
    <s v="Masculino"/>
    <x v="1"/>
    <x v="2"/>
    <x v="1"/>
    <s v="PADD 2023 Y 2024"/>
    <s v="Nuestra Señora de la Candelaria"/>
  </r>
  <r>
    <n v="80"/>
    <x v="1"/>
    <x v="0"/>
    <x v="4"/>
    <x v="63"/>
    <s v="Rural"/>
    <s v="Femenino"/>
    <x v="0"/>
    <x v="2"/>
    <x v="6"/>
    <s v="NO PARTICIPÓ"/>
    <s v="64155 Bagazan"/>
  </r>
  <r>
    <n v="81"/>
    <x v="1"/>
    <x v="0"/>
    <x v="4"/>
    <x v="63"/>
    <s v="Rural"/>
    <s v="Masculino"/>
    <x v="0"/>
    <x v="2"/>
    <x v="6"/>
    <s v="NO PARTICIPÓ"/>
    <s v="64155 Bagazan"/>
  </r>
  <r>
    <n v="82"/>
    <x v="1"/>
    <x v="0"/>
    <x v="4"/>
    <x v="55"/>
    <s v="Rural"/>
    <s v="Femenino"/>
    <x v="0"/>
    <x v="2"/>
    <x v="5"/>
    <s v="SOLO 2023"/>
    <s v="64346 Miraflores"/>
  </r>
  <r>
    <n v="83"/>
    <x v="1"/>
    <x v="0"/>
    <x v="4"/>
    <x v="55"/>
    <s v="Rural"/>
    <s v="Femenino"/>
    <x v="0"/>
    <x v="2"/>
    <x v="5"/>
    <s v="SOLO 2023"/>
    <s v="64346 Miraflores"/>
  </r>
  <r>
    <n v="84"/>
    <x v="1"/>
    <x v="0"/>
    <x v="1"/>
    <x v="55"/>
    <s v="Rural"/>
    <s v="Masculino"/>
    <x v="0"/>
    <x v="2"/>
    <x v="5"/>
    <s v="SOLO 2023"/>
    <s v="64346 Miraflores"/>
  </r>
  <r>
    <n v="85"/>
    <x v="1"/>
    <x v="0"/>
    <x v="1"/>
    <x v="55"/>
    <s v="Rural"/>
    <s v="Femenino"/>
    <x v="0"/>
    <x v="2"/>
    <x v="5"/>
    <s v="SOLO 2023"/>
    <s v="64346 Miraflores"/>
  </r>
  <r>
    <n v="86"/>
    <x v="1"/>
    <x v="0"/>
    <x v="1"/>
    <x v="55"/>
    <s v="Rural"/>
    <s v="Masculino"/>
    <x v="0"/>
    <x v="2"/>
    <x v="5"/>
    <s v="SOLO 2023"/>
    <s v="64346 Miraflores"/>
  </r>
  <r>
    <n v="87"/>
    <x v="1"/>
    <x v="0"/>
    <x v="1"/>
    <x v="55"/>
    <s v="Rural"/>
    <s v="Masculino"/>
    <x v="1"/>
    <x v="2"/>
    <x v="5"/>
    <s v="SOLO 2023"/>
    <s v="64346 Miraflores"/>
  </r>
  <r>
    <n v="88"/>
    <x v="1"/>
    <x v="0"/>
    <x v="0"/>
    <x v="64"/>
    <s v="Rural"/>
    <s v="Femenino"/>
    <x v="1"/>
    <x v="2"/>
    <x v="6"/>
    <s v="SOLO 2023"/>
    <s v="64641 Nueva Alianza"/>
  </r>
  <r>
    <n v="89"/>
    <x v="1"/>
    <x v="0"/>
    <x v="0"/>
    <x v="64"/>
    <s v="Rural"/>
    <s v="Masculino"/>
    <x v="0"/>
    <x v="2"/>
    <x v="6"/>
    <s v="SOLO 2023"/>
    <s v="64641 Nueva Alianza"/>
  </r>
  <r>
    <n v="90"/>
    <x v="1"/>
    <x v="0"/>
    <x v="1"/>
    <x v="64"/>
    <s v="Rural"/>
    <s v="Masculino"/>
    <x v="0"/>
    <x v="2"/>
    <x v="6"/>
    <s v="SOLO 2023"/>
    <s v="64641 Nueva Alianza"/>
  </r>
  <r>
    <n v="91"/>
    <x v="1"/>
    <x v="0"/>
    <x v="1"/>
    <x v="64"/>
    <s v="Rural"/>
    <s v="Femenino"/>
    <x v="0"/>
    <x v="2"/>
    <x v="6"/>
    <s v="SOLO 2023"/>
    <s v="64641 Nueva Alianza"/>
  </r>
  <r>
    <n v="92"/>
    <x v="1"/>
    <x v="0"/>
    <x v="1"/>
    <x v="64"/>
    <s v="Rural"/>
    <s v="Femenino"/>
    <x v="1"/>
    <x v="2"/>
    <x v="6"/>
    <s v="SOLO 2023"/>
    <s v="64641 Nueva Alianza"/>
  </r>
  <r>
    <n v="93"/>
    <x v="1"/>
    <x v="0"/>
    <x v="1"/>
    <x v="64"/>
    <s v="Rural"/>
    <s v="Masculino"/>
    <x v="1"/>
    <x v="2"/>
    <x v="6"/>
    <s v="SOLO 2023"/>
    <s v="64641 Nueva Alianza"/>
  </r>
  <r>
    <n v="94"/>
    <x v="1"/>
    <x v="0"/>
    <x v="0"/>
    <x v="21"/>
    <s v="Rural"/>
    <s v="Masculino"/>
    <x v="1"/>
    <x v="2"/>
    <x v="1"/>
    <s v="PADD 2023 Y 2024"/>
    <s v="64872-B Santa Martha"/>
  </r>
  <r>
    <n v="95"/>
    <x v="1"/>
    <x v="0"/>
    <x v="0"/>
    <x v="21"/>
    <s v="Rural"/>
    <s v="Femenino"/>
    <x v="1"/>
    <x v="2"/>
    <x v="1"/>
    <s v="PADD 2023 Y 2024"/>
    <s v="64872-B Santa Martha"/>
  </r>
  <r>
    <n v="96"/>
    <x v="1"/>
    <x v="0"/>
    <x v="0"/>
    <x v="21"/>
    <s v="Rural"/>
    <s v="Femenino"/>
    <x v="1"/>
    <x v="2"/>
    <x v="1"/>
    <s v="PADD 2023 Y 2024"/>
    <s v="64872-B Santa Martha"/>
  </r>
  <r>
    <n v="97"/>
    <x v="1"/>
    <x v="0"/>
    <x v="0"/>
    <x v="21"/>
    <s v="Rural"/>
    <s v="Masculino"/>
    <x v="0"/>
    <x v="2"/>
    <x v="1"/>
    <s v="PADD 2023 Y 2024"/>
    <s v="64872-B Santa Martha"/>
  </r>
  <r>
    <n v="98"/>
    <x v="1"/>
    <x v="0"/>
    <x v="0"/>
    <x v="21"/>
    <s v="Rural"/>
    <s v="Masculino"/>
    <x v="0"/>
    <x v="2"/>
    <x v="1"/>
    <s v="PADD 2023 Y 2024"/>
    <s v="64872-B Santa Martha"/>
  </r>
  <r>
    <n v="99"/>
    <x v="1"/>
    <x v="0"/>
    <x v="0"/>
    <x v="21"/>
    <s v="Rural"/>
    <s v="Femenino"/>
    <x v="1"/>
    <x v="2"/>
    <x v="1"/>
    <s v="PADD 2023 Y 2024"/>
    <s v="64872-B Santa Martha"/>
  </r>
  <r>
    <n v="100"/>
    <x v="1"/>
    <x v="0"/>
    <x v="0"/>
    <x v="21"/>
    <s v="Rural"/>
    <s v="Femenino"/>
    <x v="1"/>
    <x v="2"/>
    <x v="1"/>
    <s v="PADD 2023 Y 2024"/>
    <s v="64872-B Santa Martha"/>
  </r>
  <r>
    <n v="101"/>
    <x v="1"/>
    <x v="0"/>
    <x v="0"/>
    <x v="21"/>
    <s v="Rural"/>
    <s v="Femenino"/>
    <x v="1"/>
    <x v="2"/>
    <x v="1"/>
    <s v="PADD 2023 Y 2024"/>
    <s v="64872-B Santa Martha"/>
  </r>
  <r>
    <n v="102"/>
    <x v="1"/>
    <x v="0"/>
    <x v="0"/>
    <x v="21"/>
    <s v="Rural"/>
    <s v="Femenino"/>
    <x v="0"/>
    <x v="2"/>
    <x v="1"/>
    <s v="PADD 2023 Y 2024"/>
    <s v="64872-B Santa Martha"/>
  </r>
  <r>
    <n v="103"/>
    <x v="1"/>
    <x v="0"/>
    <x v="0"/>
    <x v="21"/>
    <s v="Rural"/>
    <s v="Masculino"/>
    <x v="1"/>
    <x v="2"/>
    <x v="1"/>
    <s v="PADD 2023 Y 2024"/>
    <s v="64872-B Santa Martha"/>
  </r>
  <r>
    <n v="104"/>
    <x v="1"/>
    <x v="0"/>
    <x v="0"/>
    <x v="21"/>
    <s v="Rural"/>
    <s v="Femenino"/>
    <x v="1"/>
    <x v="2"/>
    <x v="1"/>
    <s v="PADD 2023 Y 2024"/>
    <s v="64872-B Santa Martha"/>
  </r>
  <r>
    <n v="105"/>
    <x v="1"/>
    <x v="0"/>
    <x v="0"/>
    <x v="21"/>
    <s v="Rural"/>
    <s v="Femenino"/>
    <x v="1"/>
    <x v="2"/>
    <x v="1"/>
    <s v="PADD 2023 Y 2024"/>
    <s v="64872-B Santa Martha"/>
  </r>
  <r>
    <n v="106"/>
    <x v="1"/>
    <x v="0"/>
    <x v="0"/>
    <x v="21"/>
    <s v="Rural"/>
    <s v="Masculino"/>
    <x v="0"/>
    <x v="2"/>
    <x v="1"/>
    <s v="PADD 2023 Y 2024"/>
    <s v="64872-B Santa Martha"/>
  </r>
  <r>
    <n v="107"/>
    <x v="1"/>
    <x v="0"/>
    <x v="0"/>
    <x v="21"/>
    <s v="Rural"/>
    <s v="Femenino"/>
    <x v="1"/>
    <x v="2"/>
    <x v="1"/>
    <s v="PADD 2023 Y 2024"/>
    <s v="64872-B Santa Martha"/>
  </r>
  <r>
    <n v="108"/>
    <x v="1"/>
    <x v="0"/>
    <x v="0"/>
    <x v="21"/>
    <s v="Rural"/>
    <s v="Masculino"/>
    <x v="0"/>
    <x v="2"/>
    <x v="1"/>
    <s v="PADD 2023 Y 2024"/>
    <s v="64872-B Santa Martha"/>
  </r>
  <r>
    <n v="109"/>
    <x v="1"/>
    <x v="0"/>
    <x v="0"/>
    <x v="21"/>
    <s v="Rural"/>
    <s v="Femenino"/>
    <x v="0"/>
    <x v="2"/>
    <x v="1"/>
    <s v="PADD 2023 Y 2024"/>
    <s v="64872-B Santa Martha"/>
  </r>
  <r>
    <n v="110"/>
    <x v="1"/>
    <x v="0"/>
    <x v="0"/>
    <x v="21"/>
    <s v="Rural"/>
    <s v="Masculino"/>
    <x v="1"/>
    <x v="2"/>
    <x v="1"/>
    <s v="PADD 2023 Y 2024"/>
    <s v="64872-B Santa Martha"/>
  </r>
  <r>
    <n v="111"/>
    <x v="1"/>
    <x v="0"/>
    <x v="4"/>
    <x v="65"/>
    <s v="Rural"/>
    <s v="Femenino"/>
    <x v="0"/>
    <x v="2"/>
    <x v="6"/>
    <s v="SOLO 2023"/>
    <s v="64996 Libertad"/>
  </r>
  <r>
    <n v="112"/>
    <x v="1"/>
    <x v="0"/>
    <x v="0"/>
    <x v="65"/>
    <s v="Rural"/>
    <s v="Masculino"/>
    <x v="1"/>
    <x v="2"/>
    <x v="6"/>
    <s v="SOLO 2023"/>
    <s v="64996 Libertad"/>
  </r>
  <r>
    <n v="113"/>
    <x v="1"/>
    <x v="0"/>
    <x v="1"/>
    <x v="65"/>
    <s v="Rural"/>
    <s v="Femenino"/>
    <x v="1"/>
    <x v="2"/>
    <x v="6"/>
    <s v="SOLO 2023"/>
    <s v="64996 Libertad"/>
  </r>
  <r>
    <n v="114"/>
    <x v="1"/>
    <x v="0"/>
    <x v="1"/>
    <x v="65"/>
    <s v="Rural"/>
    <s v="Femenino"/>
    <x v="1"/>
    <x v="2"/>
    <x v="6"/>
    <s v="SOLO 2023"/>
    <s v="64996 Libertad"/>
  </r>
  <r>
    <n v="115"/>
    <x v="1"/>
    <x v="0"/>
    <x v="1"/>
    <x v="65"/>
    <s v="Rural"/>
    <s v="Masculino"/>
    <x v="1"/>
    <x v="2"/>
    <x v="6"/>
    <s v="SOLO 2023"/>
    <s v="64996 Libertad"/>
  </r>
  <r>
    <n v="116"/>
    <x v="1"/>
    <x v="0"/>
    <x v="4"/>
    <x v="22"/>
    <s v="Rural"/>
    <s v="Femenino"/>
    <x v="0"/>
    <x v="2"/>
    <x v="3"/>
    <s v="PADD 2023 Y 2024"/>
    <s v="64028 Mazaray"/>
  </r>
  <r>
    <n v="117"/>
    <x v="1"/>
    <x v="0"/>
    <x v="4"/>
    <x v="22"/>
    <s v="Rural"/>
    <s v="Femenino"/>
    <x v="1"/>
    <x v="2"/>
    <x v="3"/>
    <s v="PADD 2023 Y 2024"/>
    <s v="64028 Mazaray"/>
  </r>
  <r>
    <n v="118"/>
    <x v="1"/>
    <x v="0"/>
    <x v="4"/>
    <x v="22"/>
    <s v="Rural"/>
    <s v="Femenino"/>
    <x v="1"/>
    <x v="2"/>
    <x v="3"/>
    <s v="PADD 2023 Y 2024"/>
    <s v="64028 Mazaray"/>
  </r>
  <r>
    <n v="119"/>
    <x v="1"/>
    <x v="0"/>
    <x v="4"/>
    <x v="22"/>
    <s v="Rural"/>
    <s v="Femenino"/>
    <x v="1"/>
    <x v="2"/>
    <x v="3"/>
    <s v="PADD 2023 Y 2024"/>
    <s v="64028 Mazaray"/>
  </r>
  <r>
    <n v="120"/>
    <x v="1"/>
    <x v="0"/>
    <x v="4"/>
    <x v="22"/>
    <s v="Rural"/>
    <s v="Femenino"/>
    <x v="1"/>
    <x v="2"/>
    <x v="3"/>
    <s v="PADD 2023 Y 2024"/>
    <s v="64028 Mazaray"/>
  </r>
  <r>
    <n v="121"/>
    <x v="1"/>
    <x v="0"/>
    <x v="4"/>
    <x v="22"/>
    <s v="Rural"/>
    <s v="Masculino"/>
    <x v="0"/>
    <x v="2"/>
    <x v="3"/>
    <s v="PADD 2023 Y 2024"/>
    <s v="64028 Mazaray"/>
  </r>
  <r>
    <n v="122"/>
    <x v="1"/>
    <x v="0"/>
    <x v="4"/>
    <x v="22"/>
    <s v="Rural"/>
    <s v="Femenino"/>
    <x v="0"/>
    <x v="2"/>
    <x v="3"/>
    <s v="PADD 2023 Y 2024"/>
    <s v="64028 Mazaray"/>
  </r>
  <r>
    <n v="123"/>
    <x v="1"/>
    <x v="0"/>
    <x v="4"/>
    <x v="22"/>
    <s v="Rural"/>
    <s v="Femenino"/>
    <x v="0"/>
    <x v="2"/>
    <x v="3"/>
    <s v="PADD 2023 Y 2024"/>
    <s v="64028 Mazaray"/>
  </r>
  <r>
    <n v="124"/>
    <x v="1"/>
    <x v="0"/>
    <x v="4"/>
    <x v="22"/>
    <s v="Rural"/>
    <s v="Femenino"/>
    <x v="1"/>
    <x v="2"/>
    <x v="3"/>
    <s v="PADD 2023 Y 2024"/>
    <s v="64028 Mazaray"/>
  </r>
  <r>
    <n v="125"/>
    <x v="1"/>
    <x v="0"/>
    <x v="4"/>
    <x v="22"/>
    <s v="Rural"/>
    <s v="Femenino"/>
    <x v="1"/>
    <x v="2"/>
    <x v="3"/>
    <s v="PADD 2023 Y 2024"/>
    <s v="64028 Mazaray"/>
  </r>
  <r>
    <n v="126"/>
    <x v="1"/>
    <x v="0"/>
    <x v="4"/>
    <x v="22"/>
    <s v="Rural"/>
    <s v="Femenino"/>
    <x v="1"/>
    <x v="2"/>
    <x v="3"/>
    <s v="PADD 2023 Y 2024"/>
    <s v="64028 Mazaray"/>
  </r>
  <r>
    <n v="127"/>
    <x v="1"/>
    <x v="0"/>
    <x v="4"/>
    <x v="22"/>
    <s v="Rural"/>
    <s v="Femenino"/>
    <x v="1"/>
    <x v="2"/>
    <x v="3"/>
    <s v="PADD 2023 Y 2024"/>
    <s v="64028 Mazaray"/>
  </r>
  <r>
    <n v="128"/>
    <x v="1"/>
    <x v="0"/>
    <x v="4"/>
    <x v="22"/>
    <s v="Rural"/>
    <s v="Femenino"/>
    <x v="0"/>
    <x v="2"/>
    <x v="3"/>
    <s v="PADD 2023 Y 2024"/>
    <s v="64028 Mazaray"/>
  </r>
  <r>
    <n v="129"/>
    <x v="1"/>
    <x v="0"/>
    <x v="4"/>
    <x v="22"/>
    <s v="Rural"/>
    <s v="Femenino"/>
    <x v="1"/>
    <x v="2"/>
    <x v="3"/>
    <s v="PADD 2023 Y 2024"/>
    <s v="64028 Mazaray"/>
  </r>
  <r>
    <n v="130"/>
    <x v="1"/>
    <x v="0"/>
    <x v="4"/>
    <x v="22"/>
    <s v="Rural"/>
    <s v="Masculino"/>
    <x v="1"/>
    <x v="2"/>
    <x v="3"/>
    <s v="PADD 2023 Y 2024"/>
    <s v="64028 Mazaray"/>
  </r>
  <r>
    <n v="131"/>
    <x v="1"/>
    <x v="0"/>
    <x v="0"/>
    <x v="22"/>
    <s v="Rural"/>
    <s v="Masculino"/>
    <x v="0"/>
    <x v="2"/>
    <x v="3"/>
    <s v="PADD 2023 Y 2024"/>
    <s v="64028 Mazaray"/>
  </r>
  <r>
    <n v="132"/>
    <x v="1"/>
    <x v="0"/>
    <x v="0"/>
    <x v="22"/>
    <s v="Rural"/>
    <s v="Femenino"/>
    <x v="0"/>
    <x v="2"/>
    <x v="3"/>
    <s v="PADD 2023 Y 2024"/>
    <s v="64028 Mazaray"/>
  </r>
  <r>
    <n v="133"/>
    <x v="1"/>
    <x v="0"/>
    <x v="0"/>
    <x v="22"/>
    <s v="Rural"/>
    <s v="Femenino"/>
    <x v="1"/>
    <x v="2"/>
    <x v="3"/>
    <s v="PADD 2023 Y 2024"/>
    <s v="64028 Mazaray"/>
  </r>
  <r>
    <n v="134"/>
    <x v="1"/>
    <x v="0"/>
    <x v="0"/>
    <x v="22"/>
    <s v="Rural"/>
    <s v="Masculino"/>
    <x v="0"/>
    <x v="2"/>
    <x v="3"/>
    <s v="PADD 2023 Y 2024"/>
    <s v="64028 Mazaray"/>
  </r>
  <r>
    <n v="135"/>
    <x v="1"/>
    <x v="0"/>
    <x v="0"/>
    <x v="22"/>
    <s v="Rural"/>
    <s v="Femenino"/>
    <x v="2"/>
    <x v="2"/>
    <x v="3"/>
    <s v="PADD 2023 Y 2024"/>
    <s v="64028 Mazaray"/>
  </r>
  <r>
    <n v="136"/>
    <x v="4"/>
    <x v="0"/>
    <x v="4"/>
    <x v="48"/>
    <s v="Rural"/>
    <s v="Femenino"/>
    <x v="1"/>
    <x v="2"/>
    <x v="3"/>
    <s v="SOLO 2023"/>
    <s v="86809 Huarac-huarán"/>
  </r>
  <r>
    <n v="137"/>
    <x v="4"/>
    <x v="0"/>
    <x v="4"/>
    <x v="48"/>
    <s v="Rural"/>
    <s v="Femenino"/>
    <x v="1"/>
    <x v="2"/>
    <x v="3"/>
    <s v="SOLO 2023"/>
    <s v="86809 Huarac-huarán"/>
  </r>
  <r>
    <n v="138"/>
    <x v="4"/>
    <x v="0"/>
    <x v="4"/>
    <x v="48"/>
    <s v="Rural"/>
    <s v="Masculino"/>
    <x v="0"/>
    <x v="2"/>
    <x v="3"/>
    <s v="SOLO 2023"/>
    <s v="86809 Huarac-huarán"/>
  </r>
  <r>
    <n v="139"/>
    <x v="4"/>
    <x v="0"/>
    <x v="4"/>
    <x v="51"/>
    <s v="Rural"/>
    <s v="Masculino"/>
    <x v="0"/>
    <x v="2"/>
    <x v="1"/>
    <s v="PADD 2023 Y 2024"/>
    <s v="88247 - Capan"/>
  </r>
  <r>
    <n v="140"/>
    <x v="4"/>
    <x v="0"/>
    <x v="4"/>
    <x v="51"/>
    <s v="Rural"/>
    <s v="Femenino"/>
    <x v="0"/>
    <x v="2"/>
    <x v="1"/>
    <s v="PADD 2023 Y 2024"/>
    <s v="88247 - Capan"/>
  </r>
  <r>
    <n v="141"/>
    <x v="4"/>
    <x v="0"/>
    <x v="4"/>
    <x v="51"/>
    <s v="Rural"/>
    <s v="Femenino"/>
    <x v="0"/>
    <x v="2"/>
    <x v="1"/>
    <s v="PADD 2023 Y 2024"/>
    <s v="88247 - Capan"/>
  </r>
  <r>
    <n v="142"/>
    <x v="4"/>
    <x v="0"/>
    <x v="4"/>
    <x v="51"/>
    <s v="Rural"/>
    <s v="Femenino"/>
    <x v="0"/>
    <x v="2"/>
    <x v="1"/>
    <s v="PADD 2023 Y 2024"/>
    <s v="88247 - Capan"/>
  </r>
  <r>
    <n v="143"/>
    <x v="4"/>
    <x v="0"/>
    <x v="0"/>
    <x v="48"/>
    <s v="Rural"/>
    <s v="Femenino"/>
    <x v="0"/>
    <x v="2"/>
    <x v="3"/>
    <s v="SOLO 2023"/>
    <s v="86809 Huarac-huarán"/>
  </r>
  <r>
    <n v="144"/>
    <x v="4"/>
    <x v="0"/>
    <x v="0"/>
    <x v="48"/>
    <s v="Rural"/>
    <s v="Femenino"/>
    <x v="0"/>
    <x v="2"/>
    <x v="3"/>
    <s v="SOLO 2023"/>
    <s v="86809 Huarac-huarán"/>
  </r>
  <r>
    <n v="145"/>
    <x v="4"/>
    <x v="0"/>
    <x v="0"/>
    <x v="49"/>
    <s v="Rural"/>
    <s v="Masculino"/>
    <x v="0"/>
    <x v="2"/>
    <x v="1"/>
    <s v="PADD 2023 Y 2024"/>
    <s v="86548 - Pichiu"/>
  </r>
  <r>
    <n v="146"/>
    <x v="4"/>
    <x v="0"/>
    <x v="0"/>
    <x v="49"/>
    <s v="Rural"/>
    <s v="Femenino"/>
    <x v="0"/>
    <x v="2"/>
    <x v="1"/>
    <s v="PADD 2023 Y 2024"/>
    <s v="86548 - Pichiu"/>
  </r>
  <r>
    <n v="147"/>
    <x v="4"/>
    <x v="0"/>
    <x v="0"/>
    <x v="49"/>
    <s v="Rural"/>
    <s v="Masculino"/>
    <x v="0"/>
    <x v="2"/>
    <x v="1"/>
    <s v="PADD 2023 Y 2024"/>
    <s v="86548 - Pichiu"/>
  </r>
  <r>
    <n v="148"/>
    <x v="4"/>
    <x v="0"/>
    <x v="0"/>
    <x v="49"/>
    <s v="Rural"/>
    <s v="Masculino"/>
    <x v="0"/>
    <x v="2"/>
    <x v="1"/>
    <s v="PADD 2023 Y 2024"/>
    <s v="86548 - Pichiu"/>
  </r>
  <r>
    <n v="149"/>
    <x v="4"/>
    <x v="0"/>
    <x v="0"/>
    <x v="49"/>
    <s v="Rural"/>
    <s v="Masculino"/>
    <x v="0"/>
    <x v="2"/>
    <x v="1"/>
    <s v="PADD 2023 Y 2024"/>
    <s v="86548 - Pichiu"/>
  </r>
  <r>
    <n v="150"/>
    <x v="4"/>
    <x v="0"/>
    <x v="0"/>
    <x v="49"/>
    <s v="Rural"/>
    <s v="Masculino"/>
    <x v="0"/>
    <x v="2"/>
    <x v="1"/>
    <s v="PADD 2023 Y 2024"/>
    <s v="86548 - Pichiu"/>
  </r>
  <r>
    <n v="151"/>
    <x v="4"/>
    <x v="0"/>
    <x v="0"/>
    <x v="49"/>
    <s v="Rural"/>
    <s v="Masculino"/>
    <x v="0"/>
    <x v="2"/>
    <x v="1"/>
    <s v="PADD 2023 Y 2024"/>
    <s v="86548 - Pichiu"/>
  </r>
  <r>
    <n v="152"/>
    <x v="4"/>
    <x v="0"/>
    <x v="0"/>
    <x v="49"/>
    <s v="Rural"/>
    <s v="Masculino"/>
    <x v="0"/>
    <x v="2"/>
    <x v="1"/>
    <s v="PADD 2023 Y 2024"/>
    <s v="86548 - Pichiu"/>
  </r>
  <r>
    <n v="153"/>
    <x v="4"/>
    <x v="0"/>
    <x v="0"/>
    <x v="49"/>
    <s v="Rural"/>
    <s v="Femenino"/>
    <x v="0"/>
    <x v="2"/>
    <x v="1"/>
    <s v="PADD 2023 Y 2024"/>
    <s v="86548 - Pichiu"/>
  </r>
  <r>
    <n v="154"/>
    <x v="4"/>
    <x v="0"/>
    <x v="0"/>
    <x v="49"/>
    <s v="Rural"/>
    <s v="Femenino"/>
    <x v="0"/>
    <x v="2"/>
    <x v="1"/>
    <s v="PADD 2023 Y 2024"/>
    <s v="86548 - Pichiu"/>
  </r>
  <r>
    <n v="155"/>
    <x v="4"/>
    <x v="0"/>
    <x v="0"/>
    <x v="49"/>
    <s v="Rural"/>
    <s v="Femenino"/>
    <x v="0"/>
    <x v="2"/>
    <x v="1"/>
    <s v="PADD 2023 Y 2024"/>
    <s v="86548 - Pichiu"/>
  </r>
  <r>
    <n v="156"/>
    <x v="4"/>
    <x v="0"/>
    <x v="0"/>
    <x v="49"/>
    <s v="Rural"/>
    <s v="Femenino"/>
    <x v="0"/>
    <x v="2"/>
    <x v="1"/>
    <s v="PADD 2023 Y 2024"/>
    <s v="86548 - Pichiu"/>
  </r>
  <r>
    <n v="157"/>
    <x v="4"/>
    <x v="0"/>
    <x v="0"/>
    <x v="49"/>
    <s v="Rural"/>
    <s v="Femenino"/>
    <x v="0"/>
    <x v="2"/>
    <x v="1"/>
    <s v="PADD 2023 Y 2024"/>
    <s v="86548 - Pichiu"/>
  </r>
  <r>
    <n v="158"/>
    <x v="4"/>
    <x v="0"/>
    <x v="0"/>
    <x v="51"/>
    <s v="Rural"/>
    <s v="Masculino"/>
    <x v="0"/>
    <x v="2"/>
    <x v="1"/>
    <s v="PADD 2023 Y 2024"/>
    <s v="88247 - Capan"/>
  </r>
  <r>
    <n v="159"/>
    <x v="4"/>
    <x v="0"/>
    <x v="0"/>
    <x v="51"/>
    <s v="Rural"/>
    <s v="Masculino"/>
    <x v="0"/>
    <x v="2"/>
    <x v="1"/>
    <s v="PADD 2023 Y 2024"/>
    <s v="88247 - Capan"/>
  </r>
  <r>
    <n v="160"/>
    <x v="4"/>
    <x v="0"/>
    <x v="0"/>
    <x v="51"/>
    <s v="Rural"/>
    <s v="Masculino"/>
    <x v="0"/>
    <x v="2"/>
    <x v="1"/>
    <s v="PADD 2023 Y 2024"/>
    <s v="88247 - Capan"/>
  </r>
  <r>
    <n v="161"/>
    <x v="4"/>
    <x v="0"/>
    <x v="0"/>
    <x v="51"/>
    <s v="Rural"/>
    <s v="Femenino"/>
    <x v="0"/>
    <x v="2"/>
    <x v="1"/>
    <s v="PADD 2023 Y 2024"/>
    <s v="88247 - Capan"/>
  </r>
  <r>
    <n v="162"/>
    <x v="4"/>
    <x v="0"/>
    <x v="1"/>
    <x v="48"/>
    <s v="Rural"/>
    <s v="Masculino"/>
    <x v="0"/>
    <x v="2"/>
    <x v="3"/>
    <s v="SOLO 2023"/>
    <s v="86809 Huarac-huarán"/>
  </r>
  <r>
    <n v="163"/>
    <x v="4"/>
    <x v="0"/>
    <x v="1"/>
    <x v="48"/>
    <s v="Rural"/>
    <s v="Masculino"/>
    <x v="0"/>
    <x v="2"/>
    <x v="3"/>
    <s v="SOLO 2023"/>
    <s v="86809 Huarac-huarán"/>
  </r>
  <r>
    <n v="164"/>
    <x v="4"/>
    <x v="0"/>
    <x v="1"/>
    <x v="48"/>
    <s v="Rural"/>
    <s v="Femenino"/>
    <x v="0"/>
    <x v="2"/>
    <x v="3"/>
    <s v="SOLO 2023"/>
    <s v="86809 Huarac-huarán"/>
  </r>
  <r>
    <n v="165"/>
    <x v="4"/>
    <x v="0"/>
    <x v="1"/>
    <x v="48"/>
    <s v="Rural"/>
    <s v="Femenino"/>
    <x v="0"/>
    <x v="2"/>
    <x v="3"/>
    <s v="SOLO 2023"/>
    <s v="86809 Huarac-huarán"/>
  </r>
  <r>
    <n v="166"/>
    <x v="4"/>
    <x v="0"/>
    <x v="1"/>
    <x v="49"/>
    <s v="Rural"/>
    <s v="Femenino"/>
    <x v="0"/>
    <x v="2"/>
    <x v="1"/>
    <s v="PADD 2023 Y 2024"/>
    <s v="86548 - Pichiu"/>
  </r>
  <r>
    <n v="167"/>
    <x v="4"/>
    <x v="0"/>
    <x v="1"/>
    <x v="49"/>
    <s v="Rural"/>
    <s v="Masculino"/>
    <x v="0"/>
    <x v="2"/>
    <x v="1"/>
    <s v="PADD 2023 Y 2024"/>
    <s v="86548 - Pichiu"/>
  </r>
  <r>
    <n v="168"/>
    <x v="4"/>
    <x v="0"/>
    <x v="1"/>
    <x v="49"/>
    <s v="Rural"/>
    <s v="Masculino"/>
    <x v="0"/>
    <x v="2"/>
    <x v="1"/>
    <s v="PADD 2023 Y 2024"/>
    <s v="86548 - Pichiu"/>
  </r>
  <r>
    <n v="169"/>
    <x v="4"/>
    <x v="0"/>
    <x v="1"/>
    <x v="49"/>
    <s v="Rural"/>
    <s v="Masculino"/>
    <x v="0"/>
    <x v="2"/>
    <x v="1"/>
    <s v="PADD 2023 Y 2024"/>
    <s v="86548 - Pichiu"/>
  </r>
  <r>
    <n v="170"/>
    <x v="4"/>
    <x v="0"/>
    <x v="1"/>
    <x v="49"/>
    <s v="Rural"/>
    <s v="Masculino"/>
    <x v="0"/>
    <x v="2"/>
    <x v="1"/>
    <s v="PADD 2023 Y 2024"/>
    <s v="86548 - Pichiu"/>
  </r>
  <r>
    <n v="171"/>
    <x v="4"/>
    <x v="0"/>
    <x v="1"/>
    <x v="49"/>
    <s v="Rural"/>
    <s v="Femenino"/>
    <x v="0"/>
    <x v="2"/>
    <x v="1"/>
    <s v="PADD 2023 Y 2024"/>
    <s v="86548 - Pichiu"/>
  </r>
  <r>
    <n v="172"/>
    <x v="4"/>
    <x v="0"/>
    <x v="1"/>
    <x v="49"/>
    <s v="Rural"/>
    <s v="Femenino"/>
    <x v="0"/>
    <x v="2"/>
    <x v="1"/>
    <s v="PADD 2023 Y 2024"/>
    <s v="86548 - Pichiu"/>
  </r>
  <r>
    <n v="173"/>
    <x v="4"/>
    <x v="0"/>
    <x v="1"/>
    <x v="49"/>
    <s v="Rural"/>
    <s v="Masculino"/>
    <x v="0"/>
    <x v="2"/>
    <x v="1"/>
    <s v="PADD 2023 Y 2024"/>
    <s v="86548 - Pichiu"/>
  </r>
  <r>
    <n v="174"/>
    <x v="4"/>
    <x v="0"/>
    <x v="1"/>
    <x v="51"/>
    <s v="Rural"/>
    <s v="Masculino"/>
    <x v="0"/>
    <x v="2"/>
    <x v="1"/>
    <s v="PADD 2023 Y 2024"/>
    <s v="88247 - Capan"/>
  </r>
  <r>
    <n v="175"/>
    <x v="4"/>
    <x v="0"/>
    <x v="1"/>
    <x v="51"/>
    <s v="Rural"/>
    <s v="Masculino"/>
    <x v="0"/>
    <x v="2"/>
    <x v="1"/>
    <s v="PADD 2023 Y 2024"/>
    <s v="88247 - Capan"/>
  </r>
  <r>
    <n v="176"/>
    <x v="4"/>
    <x v="0"/>
    <x v="1"/>
    <x v="51"/>
    <s v="Rural"/>
    <s v="Masculino"/>
    <x v="0"/>
    <x v="2"/>
    <x v="1"/>
    <s v="PADD 2023 Y 2024"/>
    <s v="88247 - Capan"/>
  </r>
  <r>
    <n v="177"/>
    <x v="0"/>
    <x v="0"/>
    <x v="4"/>
    <x v="7"/>
    <s v="Rural"/>
    <s v="Masculino"/>
    <x v="0"/>
    <x v="2"/>
    <x v="6"/>
    <s v="PADD 2023 Y 2024"/>
    <s v="15383 Totoral Bajo"/>
  </r>
  <r>
    <n v="178"/>
    <x v="0"/>
    <x v="0"/>
    <x v="0"/>
    <x v="7"/>
    <s v="Rural"/>
    <s v="Femenino"/>
    <x v="0"/>
    <x v="2"/>
    <x v="1"/>
    <s v="PADD 2023 Y 2024"/>
    <s v="15383 Totoral Bajo"/>
  </r>
  <r>
    <n v="179"/>
    <x v="0"/>
    <x v="0"/>
    <x v="0"/>
    <x v="7"/>
    <s v="Rural"/>
    <s v="Femenino"/>
    <x v="1"/>
    <x v="2"/>
    <x v="1"/>
    <s v="PADD 2023 Y 2024"/>
    <s v="15383 Totoral Bajo"/>
  </r>
  <r>
    <n v="180"/>
    <x v="0"/>
    <x v="0"/>
    <x v="0"/>
    <x v="7"/>
    <s v="Rural"/>
    <s v="Masculino"/>
    <x v="1"/>
    <x v="2"/>
    <x v="1"/>
    <s v="PADD 2023 Y 2024"/>
    <s v="15383 Totoral Bajo"/>
  </r>
  <r>
    <n v="181"/>
    <x v="0"/>
    <x v="0"/>
    <x v="1"/>
    <x v="7"/>
    <s v="Rural"/>
    <s v="Femenino"/>
    <x v="1"/>
    <x v="2"/>
    <x v="6"/>
    <s v="PADD 2023 Y 2024"/>
    <s v="15383 Totoral Bajo"/>
  </r>
  <r>
    <n v="182"/>
    <x v="0"/>
    <x v="0"/>
    <x v="1"/>
    <x v="7"/>
    <s v="Rural"/>
    <s v="Masculino"/>
    <x v="1"/>
    <x v="2"/>
    <x v="6"/>
    <s v="PADD 2023 Y 2024"/>
    <s v="15383 Totoral Bajo"/>
  </r>
  <r>
    <n v="183"/>
    <x v="0"/>
    <x v="0"/>
    <x v="4"/>
    <x v="13"/>
    <s v="Rural"/>
    <s v="Masculino"/>
    <x v="1"/>
    <x v="2"/>
    <x v="1"/>
    <s v="SOLO 2023"/>
    <s v="15219 Tinajones"/>
  </r>
  <r>
    <n v="184"/>
    <x v="0"/>
    <x v="0"/>
    <x v="1"/>
    <x v="13"/>
    <s v="Rural"/>
    <s v="Femenino"/>
    <x v="1"/>
    <x v="2"/>
    <x v="1"/>
    <s v="SOLO 2023"/>
    <s v="15219 Tinajones"/>
  </r>
  <r>
    <n v="185"/>
    <x v="0"/>
    <x v="0"/>
    <x v="4"/>
    <x v="4"/>
    <s v="Rural"/>
    <s v="Femenino"/>
    <x v="2"/>
    <x v="2"/>
    <x v="6"/>
    <s v="NO PARTICIPÓ"/>
    <s v="SCJ PUEBLO LIBRE"/>
  </r>
  <r>
    <n v="186"/>
    <x v="0"/>
    <x v="0"/>
    <x v="4"/>
    <x v="4"/>
    <s v="Rural"/>
    <s v="Masculino"/>
    <x v="1"/>
    <x v="2"/>
    <x v="6"/>
    <s v="NO PARTICIPÓ"/>
    <s v="SCJ PUEBLO LIBRE"/>
  </r>
  <r>
    <n v="187"/>
    <x v="0"/>
    <x v="0"/>
    <x v="4"/>
    <x v="4"/>
    <s v="Rural"/>
    <s v="Femenino"/>
    <x v="1"/>
    <x v="2"/>
    <x v="6"/>
    <s v="NO PARTICIPÓ"/>
    <s v="SCJ PUEBLO LIBRE"/>
  </r>
  <r>
    <n v="188"/>
    <x v="0"/>
    <x v="0"/>
    <x v="4"/>
    <x v="4"/>
    <s v="Rural"/>
    <s v="Masculino"/>
    <x v="1"/>
    <x v="2"/>
    <x v="6"/>
    <s v="NO PARTICIPÓ"/>
    <s v="SCJ PUEBLO LIBRE"/>
  </r>
  <r>
    <n v="189"/>
    <x v="0"/>
    <x v="0"/>
    <x v="4"/>
    <x v="4"/>
    <s v="Rural"/>
    <s v="Masculino"/>
    <x v="1"/>
    <x v="2"/>
    <x v="6"/>
    <s v="NO PARTICIPÓ"/>
    <s v="SCJ PUEBLO LIBRE"/>
  </r>
  <r>
    <n v="190"/>
    <x v="0"/>
    <x v="0"/>
    <x v="4"/>
    <x v="4"/>
    <s v="Rural"/>
    <s v="Masculino"/>
    <x v="1"/>
    <x v="2"/>
    <x v="6"/>
    <s v="NO PARTICIPÓ"/>
    <s v="SCJ PUEBLO LIBRE"/>
  </r>
  <r>
    <n v="191"/>
    <x v="0"/>
    <x v="0"/>
    <x v="4"/>
    <x v="4"/>
    <s v="Rural"/>
    <s v="Masculino"/>
    <x v="1"/>
    <x v="2"/>
    <x v="6"/>
    <s v="NO PARTICIPÓ"/>
    <s v="SCJ PUEBLO LIBRE"/>
  </r>
  <r>
    <n v="192"/>
    <x v="0"/>
    <x v="0"/>
    <x v="4"/>
    <x v="4"/>
    <s v="Rural"/>
    <s v="Femenino"/>
    <x v="1"/>
    <x v="2"/>
    <x v="6"/>
    <s v="NO PARTICIPÓ"/>
    <s v="SCJ PUEBLO LIBRE"/>
  </r>
  <r>
    <n v="193"/>
    <x v="0"/>
    <x v="0"/>
    <x v="4"/>
    <x v="4"/>
    <s v="Rural"/>
    <s v="Femenino"/>
    <x v="1"/>
    <x v="2"/>
    <x v="6"/>
    <s v="NO PARTICIPÓ"/>
    <s v="SCJ PUEBLO LIBRE"/>
  </r>
  <r>
    <n v="194"/>
    <x v="0"/>
    <x v="0"/>
    <x v="4"/>
    <x v="4"/>
    <s v="Rural"/>
    <s v="Masculino"/>
    <x v="1"/>
    <x v="2"/>
    <x v="6"/>
    <s v="NO PARTICIPÓ"/>
    <s v="SCJ PUEBLO LIBRE"/>
  </r>
  <r>
    <n v="195"/>
    <x v="0"/>
    <x v="0"/>
    <x v="4"/>
    <x v="4"/>
    <s v="Rural"/>
    <s v="Masculino"/>
    <x v="1"/>
    <x v="2"/>
    <x v="6"/>
    <s v="NO PARTICIPÓ"/>
    <s v="SCJ PUEBLO LIBRE"/>
  </r>
  <r>
    <n v="196"/>
    <x v="0"/>
    <x v="0"/>
    <x v="4"/>
    <x v="4"/>
    <s v="Rural"/>
    <s v="Masculino"/>
    <x v="0"/>
    <x v="2"/>
    <x v="6"/>
    <s v="NO PARTICIPÓ"/>
    <s v="SCJ PUEBLO LIBRE"/>
  </r>
  <r>
    <n v="197"/>
    <x v="0"/>
    <x v="0"/>
    <x v="4"/>
    <x v="4"/>
    <s v="Rural"/>
    <s v="Masculino"/>
    <x v="0"/>
    <x v="2"/>
    <x v="6"/>
    <s v="NO PARTICIPÓ"/>
    <s v="SCJ PUEBLO LIBRE"/>
  </r>
  <r>
    <n v="198"/>
    <x v="0"/>
    <x v="0"/>
    <x v="4"/>
    <x v="4"/>
    <s v="Rural"/>
    <s v="Femenino"/>
    <x v="0"/>
    <x v="2"/>
    <x v="6"/>
    <s v="NO PARTICIPÓ"/>
    <s v="SCJ PUEBLO LIBRE"/>
  </r>
  <r>
    <n v="199"/>
    <x v="0"/>
    <x v="0"/>
    <x v="0"/>
    <x v="4"/>
    <s v="Rural"/>
    <s v="Femenino"/>
    <x v="1"/>
    <x v="2"/>
    <x v="1"/>
    <s v="NO PARTICIPÓ"/>
    <s v="SCJ PUEBLO LIBRE"/>
  </r>
  <r>
    <n v="200"/>
    <x v="0"/>
    <x v="0"/>
    <x v="0"/>
    <x v="4"/>
    <s v="Rural"/>
    <s v="Masculino"/>
    <x v="1"/>
    <x v="2"/>
    <x v="1"/>
    <s v="NO PARTICIPÓ"/>
    <s v="SCJ PUEBLO LIBRE"/>
  </r>
  <r>
    <n v="201"/>
    <x v="0"/>
    <x v="0"/>
    <x v="0"/>
    <x v="4"/>
    <s v="Rural"/>
    <s v="Femenino"/>
    <x v="0"/>
    <x v="2"/>
    <x v="1"/>
    <s v="NO PARTICIPÓ"/>
    <s v="SCJ PUEBLO LIBRE"/>
  </r>
  <r>
    <n v="202"/>
    <x v="0"/>
    <x v="0"/>
    <x v="0"/>
    <x v="4"/>
    <s v="Rural"/>
    <s v="Masculino"/>
    <x v="0"/>
    <x v="2"/>
    <x v="1"/>
    <s v="NO PARTICIPÓ"/>
    <s v="SCJ PUEBLO LIBRE"/>
  </r>
  <r>
    <n v="203"/>
    <x v="0"/>
    <x v="0"/>
    <x v="0"/>
    <x v="4"/>
    <s v="Rural"/>
    <s v="Masculino"/>
    <x v="0"/>
    <x v="2"/>
    <x v="1"/>
    <s v="NO PARTICIPÓ"/>
    <s v="SCJ PUEBLO LIBRE"/>
  </r>
  <r>
    <n v="204"/>
    <x v="0"/>
    <x v="0"/>
    <x v="0"/>
    <x v="4"/>
    <s v="Rural"/>
    <s v="Masculino"/>
    <x v="0"/>
    <x v="2"/>
    <x v="1"/>
    <s v="NO PARTICIPÓ"/>
    <s v="SCJ PUEBLO LIBRE"/>
  </r>
  <r>
    <n v="205"/>
    <x v="0"/>
    <x v="0"/>
    <x v="0"/>
    <x v="4"/>
    <s v="Rural"/>
    <s v="Femenino"/>
    <x v="0"/>
    <x v="2"/>
    <x v="1"/>
    <s v="NO PARTICIPÓ"/>
    <s v="SCJ PUEBLO LIBRE"/>
  </r>
  <r>
    <n v="206"/>
    <x v="0"/>
    <x v="0"/>
    <x v="0"/>
    <x v="4"/>
    <s v="Rural"/>
    <s v="Femenino"/>
    <x v="0"/>
    <x v="2"/>
    <x v="1"/>
    <s v="NO PARTICIPÓ"/>
    <s v="SCJ PUEBLO LIBRE"/>
  </r>
  <r>
    <n v="207"/>
    <x v="0"/>
    <x v="0"/>
    <x v="0"/>
    <x v="4"/>
    <s v="Rural"/>
    <s v="Femenino"/>
    <x v="0"/>
    <x v="2"/>
    <x v="1"/>
    <s v="NO PARTICIPÓ"/>
    <s v="SCJ PUEBLO LIBRE"/>
  </r>
  <r>
    <n v="208"/>
    <x v="0"/>
    <x v="0"/>
    <x v="0"/>
    <x v="4"/>
    <s v="Rural"/>
    <s v="Femenino"/>
    <x v="0"/>
    <x v="2"/>
    <x v="1"/>
    <s v="NO PARTICIPÓ"/>
    <s v="SCJ PUEBLO LIBRE"/>
  </r>
  <r>
    <n v="209"/>
    <x v="0"/>
    <x v="0"/>
    <x v="0"/>
    <x v="4"/>
    <s v="Rural"/>
    <s v="Masculino"/>
    <x v="0"/>
    <x v="2"/>
    <x v="1"/>
    <s v="NO PARTICIPÓ"/>
    <s v="SCJ PUEBLO LIBRE"/>
  </r>
  <r>
    <n v="210"/>
    <x v="0"/>
    <x v="0"/>
    <x v="0"/>
    <x v="4"/>
    <s v="Rural"/>
    <s v="Masculino"/>
    <x v="0"/>
    <x v="2"/>
    <x v="1"/>
    <s v="NO PARTICIPÓ"/>
    <s v="SCJ PUEBLO LIBRE"/>
  </r>
  <r>
    <n v="211"/>
    <x v="0"/>
    <x v="0"/>
    <x v="0"/>
    <x v="4"/>
    <s v="Rural"/>
    <s v="Masculino"/>
    <x v="1"/>
    <x v="2"/>
    <x v="1"/>
    <s v="NO PARTICIPÓ"/>
    <s v="SCJ PUEBLO LIBRE"/>
  </r>
  <r>
    <n v="212"/>
    <x v="0"/>
    <x v="0"/>
    <x v="1"/>
    <x v="4"/>
    <s v="Rural"/>
    <s v="Masculino"/>
    <x v="1"/>
    <x v="2"/>
    <x v="1"/>
    <s v="NO PARTICIPÓ"/>
    <s v="SCJ PUEBLO LIBRE"/>
  </r>
  <r>
    <n v="213"/>
    <x v="0"/>
    <x v="0"/>
    <x v="1"/>
    <x v="4"/>
    <s v="Rural"/>
    <s v="Femenino"/>
    <x v="1"/>
    <x v="2"/>
    <x v="1"/>
    <s v="NO PARTICIPÓ"/>
    <s v="SCJ PUEBLO LIBRE"/>
  </r>
  <r>
    <n v="214"/>
    <x v="0"/>
    <x v="0"/>
    <x v="1"/>
    <x v="4"/>
    <s v="Rural"/>
    <s v="Masculino"/>
    <x v="1"/>
    <x v="2"/>
    <x v="1"/>
    <s v="NO PARTICIPÓ"/>
    <s v="SCJ PUEBLO LIBRE"/>
  </r>
  <r>
    <n v="215"/>
    <x v="0"/>
    <x v="0"/>
    <x v="1"/>
    <x v="4"/>
    <s v="Rural"/>
    <s v="Masculino"/>
    <x v="0"/>
    <x v="2"/>
    <x v="1"/>
    <s v="NO PARTICIPÓ"/>
    <s v="SCJ PUEBLO LIBRE"/>
  </r>
  <r>
    <n v="216"/>
    <x v="0"/>
    <x v="0"/>
    <x v="1"/>
    <x v="4"/>
    <s v="Rural"/>
    <s v="Masculino"/>
    <x v="1"/>
    <x v="2"/>
    <x v="1"/>
    <s v="NO PARTICIPÓ"/>
    <s v="SCJ PUEBLO LIBRE"/>
  </r>
  <r>
    <n v="217"/>
    <x v="0"/>
    <x v="0"/>
    <x v="1"/>
    <x v="4"/>
    <s v="Rural"/>
    <s v="Femenino"/>
    <x v="1"/>
    <x v="2"/>
    <x v="1"/>
    <s v="NO PARTICIPÓ"/>
    <s v="SCJ PUEBLO LIBRE"/>
  </r>
  <r>
    <n v="218"/>
    <x v="0"/>
    <x v="0"/>
    <x v="1"/>
    <x v="4"/>
    <s v="Rural"/>
    <s v="Femenino"/>
    <x v="1"/>
    <x v="2"/>
    <x v="1"/>
    <s v="NO PARTICIPÓ"/>
    <s v="SCJ PUEBLO LIBRE"/>
  </r>
  <r>
    <n v="219"/>
    <x v="0"/>
    <x v="0"/>
    <x v="1"/>
    <x v="4"/>
    <s v="Rural"/>
    <s v="Femenino"/>
    <x v="1"/>
    <x v="2"/>
    <x v="1"/>
    <s v="NO PARTICIPÓ"/>
    <s v="SCJ PUEBLO LIBRE"/>
  </r>
  <r>
    <n v="220"/>
    <x v="0"/>
    <x v="0"/>
    <x v="1"/>
    <x v="4"/>
    <s v="Rural"/>
    <s v="Femenino"/>
    <x v="2"/>
    <x v="2"/>
    <x v="1"/>
    <s v="NO PARTICIPÓ"/>
    <s v="SCJ PUEBLO LIBRE"/>
  </r>
  <r>
    <n v="221"/>
    <x v="0"/>
    <x v="0"/>
    <x v="1"/>
    <x v="4"/>
    <s v="Rural"/>
    <s v="Masculino"/>
    <x v="2"/>
    <x v="2"/>
    <x v="1"/>
    <s v="NO PARTICIPÓ"/>
    <s v="SCJ PUEBLO LIBRE"/>
  </r>
  <r>
    <n v="222"/>
    <x v="0"/>
    <x v="0"/>
    <x v="1"/>
    <x v="4"/>
    <s v="Rural"/>
    <s v="Masculino"/>
    <x v="1"/>
    <x v="2"/>
    <x v="1"/>
    <s v="NO PARTICIPÓ"/>
    <s v="SCJ PUEBLO LIBRE"/>
  </r>
  <r>
    <n v="223"/>
    <x v="0"/>
    <x v="0"/>
    <x v="1"/>
    <x v="4"/>
    <s v="Rural"/>
    <s v="Femenino"/>
    <x v="1"/>
    <x v="2"/>
    <x v="1"/>
    <s v="NO PARTICIPÓ"/>
    <s v="SCJ PUEBLO LIBRE"/>
  </r>
  <r>
    <n v="224"/>
    <x v="0"/>
    <x v="0"/>
    <x v="1"/>
    <x v="4"/>
    <s v="Rural"/>
    <s v="Femenino"/>
    <x v="1"/>
    <x v="2"/>
    <x v="1"/>
    <s v="NO PARTICIPÓ"/>
    <s v="SCJ PUEBLO LIBRE"/>
  </r>
  <r>
    <n v="225"/>
    <x v="0"/>
    <x v="0"/>
    <x v="1"/>
    <x v="4"/>
    <s v="Rural"/>
    <s v="Masculino"/>
    <x v="1"/>
    <x v="2"/>
    <x v="1"/>
    <s v="NO PARTICIPÓ"/>
    <s v="SCJ PUEBLO LIBRE"/>
  </r>
  <r>
    <n v="226"/>
    <x v="0"/>
    <x v="0"/>
    <x v="1"/>
    <x v="4"/>
    <s v="Rural"/>
    <s v="Masculino"/>
    <x v="2"/>
    <x v="2"/>
    <x v="1"/>
    <s v="NO PARTICIPÓ"/>
    <s v="SCJ PUEBLO LIBRE"/>
  </r>
  <r>
    <n v="227"/>
    <x v="0"/>
    <x v="0"/>
    <x v="4"/>
    <x v="5"/>
    <s v="Rural"/>
    <s v="Masculino"/>
    <x v="0"/>
    <x v="2"/>
    <x v="1"/>
    <s v="SOLO 2023"/>
    <s v="14144 SantaRosa-Palominos"/>
  </r>
  <r>
    <n v="228"/>
    <x v="0"/>
    <x v="0"/>
    <x v="4"/>
    <x v="5"/>
    <s v="Rural"/>
    <s v="Masculino"/>
    <x v="2"/>
    <x v="2"/>
    <x v="1"/>
    <s v="SOLO 2023"/>
    <s v="14144 SantaRosa-Palominos"/>
  </r>
  <r>
    <n v="229"/>
    <x v="0"/>
    <x v="0"/>
    <x v="4"/>
    <x v="5"/>
    <s v="Rural"/>
    <s v="Femenino"/>
    <x v="1"/>
    <x v="2"/>
    <x v="1"/>
    <s v="SOLO 2023"/>
    <s v="14144 SantaRosa-Palominos"/>
  </r>
  <r>
    <n v="230"/>
    <x v="0"/>
    <x v="0"/>
    <x v="4"/>
    <x v="5"/>
    <s v="Rural"/>
    <s v="Femenino"/>
    <x v="2"/>
    <x v="2"/>
    <x v="1"/>
    <s v="SOLO 2023"/>
    <s v="14144 SantaRosa-Palominos"/>
  </r>
  <r>
    <n v="231"/>
    <x v="0"/>
    <x v="0"/>
    <x v="4"/>
    <x v="5"/>
    <s v="Rural"/>
    <s v="Femenino"/>
    <x v="1"/>
    <x v="2"/>
    <x v="1"/>
    <s v="SOLO 2023"/>
    <s v="14144 SantaRosa-Palominos"/>
  </r>
  <r>
    <n v="232"/>
    <x v="0"/>
    <x v="0"/>
    <x v="4"/>
    <x v="5"/>
    <s v="Rural"/>
    <s v="Masculino"/>
    <x v="0"/>
    <x v="2"/>
    <x v="1"/>
    <s v="SOLO 2023"/>
    <s v="14144 SantaRosa-Palominos"/>
  </r>
  <r>
    <n v="233"/>
    <x v="0"/>
    <x v="0"/>
    <x v="4"/>
    <x v="5"/>
    <s v="Rural"/>
    <s v="Masculino"/>
    <x v="1"/>
    <x v="2"/>
    <x v="1"/>
    <s v="SOLO 2023"/>
    <s v="14144 SantaRosa-Palominos"/>
  </r>
  <r>
    <n v="234"/>
    <x v="0"/>
    <x v="0"/>
    <x v="4"/>
    <x v="5"/>
    <s v="Rural"/>
    <s v="Femenino"/>
    <x v="0"/>
    <x v="2"/>
    <x v="1"/>
    <s v="SOLO 2023"/>
    <s v="14144 SantaRosa-Palominos"/>
  </r>
  <r>
    <n v="235"/>
    <x v="0"/>
    <x v="0"/>
    <x v="4"/>
    <x v="5"/>
    <s v="Rural"/>
    <s v="Femenino"/>
    <x v="2"/>
    <x v="2"/>
    <x v="1"/>
    <s v="SOLO 2023"/>
    <s v="14144 SantaRosa-Palominos"/>
  </r>
  <r>
    <n v="236"/>
    <x v="0"/>
    <x v="0"/>
    <x v="4"/>
    <x v="5"/>
    <s v="Rural"/>
    <s v="Femenino"/>
    <x v="0"/>
    <x v="2"/>
    <x v="1"/>
    <s v="SOLO 2023"/>
    <s v="14144 SantaRosa-Palominos"/>
  </r>
  <r>
    <n v="237"/>
    <x v="0"/>
    <x v="0"/>
    <x v="4"/>
    <x v="5"/>
    <s v="Rural"/>
    <s v="Masculino"/>
    <x v="0"/>
    <x v="2"/>
    <x v="1"/>
    <s v="SOLO 2023"/>
    <s v="14144 SantaRosa-Palominos"/>
  </r>
  <r>
    <n v="238"/>
    <x v="0"/>
    <x v="0"/>
    <x v="4"/>
    <x v="5"/>
    <s v="Rural"/>
    <s v="Masculino"/>
    <x v="0"/>
    <x v="2"/>
    <x v="1"/>
    <s v="SOLO 2023"/>
    <s v="14144 SantaRosa-Palominos"/>
  </r>
  <r>
    <n v="239"/>
    <x v="0"/>
    <x v="0"/>
    <x v="4"/>
    <x v="5"/>
    <s v="Rural"/>
    <s v="Femenino"/>
    <x v="0"/>
    <x v="2"/>
    <x v="1"/>
    <s v="SOLO 2023"/>
    <s v="14144 SantaRosa-Palominos"/>
  </r>
  <r>
    <n v="240"/>
    <x v="0"/>
    <x v="0"/>
    <x v="4"/>
    <x v="5"/>
    <s v="Rural"/>
    <s v="Femenino"/>
    <x v="1"/>
    <x v="2"/>
    <x v="1"/>
    <s v="SOLO 2023"/>
    <s v="14144 SantaRosa-Palominos"/>
  </r>
  <r>
    <n v="241"/>
    <x v="0"/>
    <x v="0"/>
    <x v="4"/>
    <x v="5"/>
    <s v="Rural"/>
    <s v="Masculino"/>
    <x v="1"/>
    <x v="2"/>
    <x v="1"/>
    <s v="SOLO 2023"/>
    <s v="14144 SantaRosa-Palominos"/>
  </r>
  <r>
    <n v="242"/>
    <x v="0"/>
    <x v="0"/>
    <x v="4"/>
    <x v="5"/>
    <s v="Rural"/>
    <s v="Masculino"/>
    <x v="0"/>
    <x v="2"/>
    <x v="1"/>
    <s v="SOLO 2023"/>
    <s v="14144 SantaRosa-Palominos"/>
  </r>
  <r>
    <n v="243"/>
    <x v="0"/>
    <x v="0"/>
    <x v="4"/>
    <x v="5"/>
    <s v="Rural"/>
    <s v="Masculino"/>
    <x v="2"/>
    <x v="2"/>
    <x v="1"/>
    <s v="SOLO 2023"/>
    <s v="14144 SantaRosa-Palominos"/>
  </r>
  <r>
    <n v="244"/>
    <x v="0"/>
    <x v="0"/>
    <x v="4"/>
    <x v="5"/>
    <s v="Rural"/>
    <s v="Masculino"/>
    <x v="1"/>
    <x v="2"/>
    <x v="1"/>
    <s v="SOLO 2023"/>
    <s v="14144 SantaRosa-Palominos"/>
  </r>
  <r>
    <n v="245"/>
    <x v="0"/>
    <x v="0"/>
    <x v="4"/>
    <x v="5"/>
    <s v="Rural"/>
    <s v="Femenino"/>
    <x v="1"/>
    <x v="2"/>
    <x v="1"/>
    <s v="SOLO 2023"/>
    <s v="14144 SantaRosa-Palominos"/>
  </r>
  <r>
    <n v="246"/>
    <x v="0"/>
    <x v="0"/>
    <x v="4"/>
    <x v="5"/>
    <s v="Rural"/>
    <s v="Masculino"/>
    <x v="0"/>
    <x v="2"/>
    <x v="1"/>
    <s v="SOLO 2023"/>
    <s v="14144 SantaRosa-Palominos"/>
  </r>
  <r>
    <n v="247"/>
    <x v="0"/>
    <x v="0"/>
    <x v="4"/>
    <x v="5"/>
    <s v="Rural"/>
    <s v="Femenino"/>
    <x v="2"/>
    <x v="2"/>
    <x v="1"/>
    <s v="SOLO 2023"/>
    <s v="14144 SantaRosa-Palominos"/>
  </r>
  <r>
    <n v="248"/>
    <x v="0"/>
    <x v="0"/>
    <x v="4"/>
    <x v="5"/>
    <s v="Rural"/>
    <s v="Masculino"/>
    <x v="0"/>
    <x v="2"/>
    <x v="1"/>
    <s v="SOLO 2023"/>
    <s v="14144 SantaRosa-Palominos"/>
  </r>
  <r>
    <n v="249"/>
    <x v="0"/>
    <x v="0"/>
    <x v="4"/>
    <x v="5"/>
    <s v="Rural"/>
    <s v="Masculino"/>
    <x v="0"/>
    <x v="2"/>
    <x v="1"/>
    <s v="SOLO 2023"/>
    <s v="14144 SantaRosa-Palominos"/>
  </r>
  <r>
    <n v="250"/>
    <x v="0"/>
    <x v="0"/>
    <x v="4"/>
    <x v="5"/>
    <s v="Rural"/>
    <s v="Femenino"/>
    <x v="2"/>
    <x v="2"/>
    <x v="1"/>
    <s v="SOLO 2023"/>
    <s v="14144 SantaRosa-Palominos"/>
  </r>
  <r>
    <n v="251"/>
    <x v="0"/>
    <x v="0"/>
    <x v="4"/>
    <x v="5"/>
    <s v="Rural"/>
    <s v="Femenino"/>
    <x v="1"/>
    <x v="2"/>
    <x v="1"/>
    <s v="SOLO 2023"/>
    <s v="14144 SantaRosa-Palominos"/>
  </r>
  <r>
    <n v="252"/>
    <x v="0"/>
    <x v="0"/>
    <x v="4"/>
    <x v="5"/>
    <s v="Rural"/>
    <s v="Masculino"/>
    <x v="1"/>
    <x v="2"/>
    <x v="1"/>
    <s v="SOLO 2023"/>
    <s v="14144 SantaRosa-Palominos"/>
  </r>
  <r>
    <n v="253"/>
    <x v="0"/>
    <x v="0"/>
    <x v="4"/>
    <x v="5"/>
    <s v="Rural"/>
    <s v="Masculino"/>
    <x v="0"/>
    <x v="2"/>
    <x v="1"/>
    <s v="SOLO 2023"/>
    <s v="14144 SantaRosa-Palominos"/>
  </r>
  <r>
    <n v="254"/>
    <x v="0"/>
    <x v="0"/>
    <x v="4"/>
    <x v="5"/>
    <s v="Rural"/>
    <s v="Femenino"/>
    <x v="2"/>
    <x v="2"/>
    <x v="1"/>
    <s v="SOLO 2023"/>
    <s v="14144 SantaRosa-Palominos"/>
  </r>
  <r>
    <n v="255"/>
    <x v="0"/>
    <x v="0"/>
    <x v="4"/>
    <x v="5"/>
    <s v="Rural"/>
    <s v="Femenino"/>
    <x v="1"/>
    <x v="2"/>
    <x v="1"/>
    <s v="SOLO 2023"/>
    <s v="14144 SantaRosa-Palominos"/>
  </r>
  <r>
    <n v="256"/>
    <x v="0"/>
    <x v="0"/>
    <x v="4"/>
    <x v="5"/>
    <s v="Rural"/>
    <s v="Femenino"/>
    <x v="2"/>
    <x v="2"/>
    <x v="1"/>
    <s v="SOLO 2023"/>
    <s v="14144 SantaRosa-Palominos"/>
  </r>
  <r>
    <n v="257"/>
    <x v="0"/>
    <x v="0"/>
    <x v="4"/>
    <x v="5"/>
    <s v="Rural"/>
    <s v="Femenino"/>
    <x v="1"/>
    <x v="2"/>
    <x v="1"/>
    <s v="SOLO 2023"/>
    <s v="14144 SantaRosa-Palominos"/>
  </r>
  <r>
    <n v="258"/>
    <x v="0"/>
    <x v="0"/>
    <x v="4"/>
    <x v="5"/>
    <s v="Rural"/>
    <s v="Femenino"/>
    <x v="1"/>
    <x v="2"/>
    <x v="1"/>
    <s v="SOLO 2023"/>
    <s v="14144 SantaRosa-Palominos"/>
  </r>
  <r>
    <n v="259"/>
    <x v="0"/>
    <x v="0"/>
    <x v="4"/>
    <x v="5"/>
    <s v="Rural"/>
    <s v="Masculino"/>
    <x v="1"/>
    <x v="2"/>
    <x v="1"/>
    <s v="SOLO 2023"/>
    <s v="14144 SantaRosa-Palominos"/>
  </r>
  <r>
    <n v="260"/>
    <x v="0"/>
    <x v="0"/>
    <x v="4"/>
    <x v="5"/>
    <s v="Rural"/>
    <s v="Masculino"/>
    <x v="1"/>
    <x v="2"/>
    <x v="1"/>
    <s v="SOLO 2023"/>
    <s v="14144 SantaRosa-Palominos"/>
  </r>
  <r>
    <n v="261"/>
    <x v="0"/>
    <x v="0"/>
    <x v="4"/>
    <x v="5"/>
    <s v="Rural"/>
    <s v="Masculino"/>
    <x v="0"/>
    <x v="2"/>
    <x v="1"/>
    <s v="SOLO 2023"/>
    <s v="14144 SantaRosa-Palominos"/>
  </r>
  <r>
    <n v="262"/>
    <x v="0"/>
    <x v="0"/>
    <x v="4"/>
    <x v="5"/>
    <s v="Rural"/>
    <s v="Femenino"/>
    <x v="0"/>
    <x v="2"/>
    <x v="1"/>
    <s v="SOLO 2023"/>
    <s v="14144 SantaRosa-Palominos"/>
  </r>
  <r>
    <n v="263"/>
    <x v="0"/>
    <x v="0"/>
    <x v="4"/>
    <x v="5"/>
    <s v="Rural"/>
    <s v="Femenino"/>
    <x v="1"/>
    <x v="2"/>
    <x v="1"/>
    <s v="SOLO 2023"/>
    <s v="14144 SantaRosa-Palominos"/>
  </r>
  <r>
    <n v="264"/>
    <x v="0"/>
    <x v="0"/>
    <x v="4"/>
    <x v="5"/>
    <s v="Rural"/>
    <s v="Femenino"/>
    <x v="1"/>
    <x v="2"/>
    <x v="1"/>
    <s v="SOLO 2023"/>
    <s v="14144 SantaRosa-Palominos"/>
  </r>
  <r>
    <n v="265"/>
    <x v="0"/>
    <x v="0"/>
    <x v="4"/>
    <x v="5"/>
    <s v="Rural"/>
    <s v="Femenino"/>
    <x v="1"/>
    <x v="2"/>
    <x v="1"/>
    <s v="SOLO 2023"/>
    <s v="14144 SantaRosa-Palominos"/>
  </r>
  <r>
    <n v="266"/>
    <x v="0"/>
    <x v="0"/>
    <x v="4"/>
    <x v="5"/>
    <s v="Rural"/>
    <s v="Femenino"/>
    <x v="0"/>
    <x v="2"/>
    <x v="1"/>
    <s v="SOLO 2023"/>
    <s v="14144 SantaRosa-Palominos"/>
  </r>
  <r>
    <n v="267"/>
    <x v="0"/>
    <x v="0"/>
    <x v="4"/>
    <x v="5"/>
    <s v="Rural"/>
    <s v="Masculino"/>
    <x v="0"/>
    <x v="2"/>
    <x v="1"/>
    <s v="SOLO 2023"/>
    <s v="14144 SantaRosa-Palominos"/>
  </r>
  <r>
    <n v="268"/>
    <x v="0"/>
    <x v="0"/>
    <x v="4"/>
    <x v="5"/>
    <s v="Rural"/>
    <s v="Masculino"/>
    <x v="1"/>
    <x v="2"/>
    <x v="1"/>
    <s v="SOLO 2023"/>
    <s v="14144 SantaRosa-Palominos"/>
  </r>
  <r>
    <n v="269"/>
    <x v="0"/>
    <x v="0"/>
    <x v="4"/>
    <x v="5"/>
    <s v="Rural"/>
    <s v="Masculino"/>
    <x v="1"/>
    <x v="2"/>
    <x v="1"/>
    <s v="SOLO 2023"/>
    <s v="14144 SantaRosa-Palominos"/>
  </r>
  <r>
    <n v="270"/>
    <x v="0"/>
    <x v="0"/>
    <x v="4"/>
    <x v="5"/>
    <s v="Rural"/>
    <s v="Femenino"/>
    <x v="1"/>
    <x v="2"/>
    <x v="1"/>
    <s v="SOLO 2023"/>
    <s v="14144 SantaRosa-Palominos"/>
  </r>
  <r>
    <n v="271"/>
    <x v="0"/>
    <x v="0"/>
    <x v="4"/>
    <x v="5"/>
    <s v="Rural"/>
    <s v="Masculino"/>
    <x v="1"/>
    <x v="2"/>
    <x v="1"/>
    <s v="SOLO 2023"/>
    <s v="14144 SantaRosa-Palominos"/>
  </r>
  <r>
    <n v="272"/>
    <x v="0"/>
    <x v="0"/>
    <x v="4"/>
    <x v="5"/>
    <s v="Rural"/>
    <s v="Masculino"/>
    <x v="1"/>
    <x v="2"/>
    <x v="1"/>
    <s v="SOLO 2023"/>
    <s v="14144 SantaRosa-Palominos"/>
  </r>
  <r>
    <n v="273"/>
    <x v="0"/>
    <x v="0"/>
    <x v="4"/>
    <x v="5"/>
    <s v="Rural"/>
    <s v="Femenino"/>
    <x v="0"/>
    <x v="2"/>
    <x v="1"/>
    <s v="SOLO 2023"/>
    <s v="14144 SantaRosa-Palominos"/>
  </r>
  <r>
    <n v="274"/>
    <x v="0"/>
    <x v="0"/>
    <x v="4"/>
    <x v="5"/>
    <s v="Rural"/>
    <s v="Masculino"/>
    <x v="0"/>
    <x v="2"/>
    <x v="1"/>
    <s v="SOLO 2023"/>
    <s v="14144 SantaRosa-Palominos"/>
  </r>
  <r>
    <n v="275"/>
    <x v="0"/>
    <x v="0"/>
    <x v="4"/>
    <x v="5"/>
    <s v="Rural"/>
    <s v="Femenino"/>
    <x v="1"/>
    <x v="2"/>
    <x v="1"/>
    <s v="SOLO 2023"/>
    <s v="14144 SantaRosa-Palominos"/>
  </r>
  <r>
    <n v="276"/>
    <x v="0"/>
    <x v="0"/>
    <x v="4"/>
    <x v="5"/>
    <s v="Rural"/>
    <s v="Femenino"/>
    <x v="0"/>
    <x v="2"/>
    <x v="1"/>
    <s v="SOLO 2023"/>
    <s v="14144 SantaRosa-Palominos"/>
  </r>
  <r>
    <n v="277"/>
    <x v="0"/>
    <x v="0"/>
    <x v="4"/>
    <x v="5"/>
    <s v="Rural"/>
    <s v="Masculino"/>
    <x v="1"/>
    <x v="2"/>
    <x v="1"/>
    <s v="SOLO 2023"/>
    <s v="14144 SantaRosa-Palominos"/>
  </r>
  <r>
    <n v="278"/>
    <x v="0"/>
    <x v="0"/>
    <x v="4"/>
    <x v="5"/>
    <s v="Rural"/>
    <s v="Masculino"/>
    <x v="1"/>
    <x v="2"/>
    <x v="1"/>
    <s v="SOLO 2023"/>
    <s v="14144 SantaRosa-Palominos"/>
  </r>
  <r>
    <n v="279"/>
    <x v="0"/>
    <x v="0"/>
    <x v="4"/>
    <x v="5"/>
    <s v="Rural"/>
    <s v="Masculino"/>
    <x v="2"/>
    <x v="2"/>
    <x v="1"/>
    <s v="SOLO 2023"/>
    <s v="14144 SantaRosa-Palominos"/>
  </r>
  <r>
    <n v="280"/>
    <x v="0"/>
    <x v="0"/>
    <x v="4"/>
    <x v="5"/>
    <s v="Rural"/>
    <s v="Femenino"/>
    <x v="2"/>
    <x v="2"/>
    <x v="1"/>
    <s v="SOLO 2023"/>
    <s v="14144 SantaRosa-Palominos"/>
  </r>
  <r>
    <n v="281"/>
    <x v="0"/>
    <x v="0"/>
    <x v="4"/>
    <x v="5"/>
    <s v="Rural"/>
    <s v="Masculino"/>
    <x v="2"/>
    <x v="2"/>
    <x v="1"/>
    <s v="SOLO 2023"/>
    <s v="14144 SantaRosa-Palominos"/>
  </r>
  <r>
    <n v="282"/>
    <x v="0"/>
    <x v="0"/>
    <x v="4"/>
    <x v="5"/>
    <s v="Rural"/>
    <s v="Masculino"/>
    <x v="0"/>
    <x v="2"/>
    <x v="1"/>
    <s v="SOLO 2023"/>
    <s v="14144 SantaRosa-Palominos"/>
  </r>
  <r>
    <n v="283"/>
    <x v="0"/>
    <x v="0"/>
    <x v="4"/>
    <x v="5"/>
    <s v="Rural"/>
    <s v="Femenino"/>
    <x v="1"/>
    <x v="2"/>
    <x v="1"/>
    <s v="SOLO 2023"/>
    <s v="14144 SantaRosa-Palominos"/>
  </r>
  <r>
    <n v="284"/>
    <x v="0"/>
    <x v="0"/>
    <x v="0"/>
    <x v="5"/>
    <s v="Rural"/>
    <s v="Femenino"/>
    <x v="1"/>
    <x v="2"/>
    <x v="1"/>
    <s v="SOLO 2023"/>
    <s v="14144 SantaRosa-Palominos"/>
  </r>
  <r>
    <n v="285"/>
    <x v="0"/>
    <x v="0"/>
    <x v="0"/>
    <x v="5"/>
    <s v="Rural"/>
    <s v="Masculino"/>
    <x v="1"/>
    <x v="2"/>
    <x v="1"/>
    <s v="SOLO 2023"/>
    <s v="14144 SantaRosa-Palominos"/>
  </r>
  <r>
    <n v="286"/>
    <x v="0"/>
    <x v="0"/>
    <x v="0"/>
    <x v="5"/>
    <s v="Rural"/>
    <s v="Femenino"/>
    <x v="0"/>
    <x v="2"/>
    <x v="1"/>
    <s v="SOLO 2023"/>
    <s v="14144 SantaRosa-Palominos"/>
  </r>
  <r>
    <n v="287"/>
    <x v="0"/>
    <x v="0"/>
    <x v="0"/>
    <x v="5"/>
    <s v="Rural"/>
    <s v="Femenino"/>
    <x v="0"/>
    <x v="2"/>
    <x v="1"/>
    <s v="SOLO 2023"/>
    <s v="14144 SantaRosa-Palominos"/>
  </r>
  <r>
    <n v="288"/>
    <x v="0"/>
    <x v="0"/>
    <x v="0"/>
    <x v="5"/>
    <s v="Rural"/>
    <s v="Femenino"/>
    <x v="1"/>
    <x v="2"/>
    <x v="1"/>
    <s v="SOLO 2023"/>
    <s v="14144 SantaRosa-Palominos"/>
  </r>
  <r>
    <n v="289"/>
    <x v="0"/>
    <x v="0"/>
    <x v="0"/>
    <x v="5"/>
    <s v="Rural"/>
    <s v="Femenino"/>
    <x v="0"/>
    <x v="2"/>
    <x v="1"/>
    <s v="SOLO 2023"/>
    <s v="14144 SantaRosa-Palominos"/>
  </r>
  <r>
    <n v="290"/>
    <x v="0"/>
    <x v="0"/>
    <x v="0"/>
    <x v="5"/>
    <s v="Rural"/>
    <s v="Femenino"/>
    <x v="0"/>
    <x v="2"/>
    <x v="1"/>
    <s v="SOLO 2023"/>
    <s v="14144 SantaRosa-Palominos"/>
  </r>
  <r>
    <n v="291"/>
    <x v="0"/>
    <x v="0"/>
    <x v="0"/>
    <x v="5"/>
    <s v="Rural"/>
    <s v="Masculino"/>
    <x v="0"/>
    <x v="2"/>
    <x v="1"/>
    <s v="SOLO 2023"/>
    <s v="14144 SantaRosa-Palominos"/>
  </r>
  <r>
    <n v="292"/>
    <x v="0"/>
    <x v="0"/>
    <x v="0"/>
    <x v="5"/>
    <s v="Rural"/>
    <s v="Masculino"/>
    <x v="1"/>
    <x v="2"/>
    <x v="1"/>
    <s v="SOLO 2023"/>
    <s v="14144 SantaRosa-Palominos"/>
  </r>
  <r>
    <n v="293"/>
    <x v="0"/>
    <x v="0"/>
    <x v="0"/>
    <x v="5"/>
    <s v="Rural"/>
    <s v="Femenino"/>
    <x v="0"/>
    <x v="2"/>
    <x v="1"/>
    <s v="SOLO 2023"/>
    <s v="14144 SantaRosa-Palominos"/>
  </r>
  <r>
    <n v="294"/>
    <x v="0"/>
    <x v="0"/>
    <x v="0"/>
    <x v="5"/>
    <s v="Rural"/>
    <s v="Masculino"/>
    <x v="0"/>
    <x v="2"/>
    <x v="1"/>
    <s v="SOLO 2023"/>
    <s v="14144 SantaRosa-Palominos"/>
  </r>
  <r>
    <n v="295"/>
    <x v="0"/>
    <x v="0"/>
    <x v="0"/>
    <x v="5"/>
    <s v="Rural"/>
    <s v="Femenino"/>
    <x v="2"/>
    <x v="2"/>
    <x v="1"/>
    <s v="SOLO 2023"/>
    <s v="14144 SantaRosa-Palominos"/>
  </r>
  <r>
    <n v="296"/>
    <x v="0"/>
    <x v="0"/>
    <x v="0"/>
    <x v="5"/>
    <s v="Rural"/>
    <s v="Femenino"/>
    <x v="1"/>
    <x v="2"/>
    <x v="1"/>
    <s v="SOLO 2023"/>
    <s v="14144 SantaRosa-Palominos"/>
  </r>
  <r>
    <n v="297"/>
    <x v="0"/>
    <x v="0"/>
    <x v="0"/>
    <x v="5"/>
    <s v="Rural"/>
    <s v="Femenino"/>
    <x v="1"/>
    <x v="2"/>
    <x v="1"/>
    <s v="SOLO 2023"/>
    <s v="14144 SantaRosa-Palominos"/>
  </r>
  <r>
    <n v="298"/>
    <x v="0"/>
    <x v="0"/>
    <x v="0"/>
    <x v="5"/>
    <s v="Rural"/>
    <s v="Femenino"/>
    <x v="1"/>
    <x v="2"/>
    <x v="1"/>
    <s v="SOLO 2023"/>
    <s v="14144 SantaRosa-Palominos"/>
  </r>
  <r>
    <n v="299"/>
    <x v="0"/>
    <x v="0"/>
    <x v="0"/>
    <x v="5"/>
    <s v="Rural"/>
    <s v="Femenino"/>
    <x v="1"/>
    <x v="2"/>
    <x v="1"/>
    <s v="SOLO 2023"/>
    <s v="14144 SantaRosa-Palominos"/>
  </r>
  <r>
    <n v="300"/>
    <x v="0"/>
    <x v="0"/>
    <x v="0"/>
    <x v="5"/>
    <s v="Rural"/>
    <s v="Femenino"/>
    <x v="0"/>
    <x v="2"/>
    <x v="1"/>
    <s v="SOLO 2023"/>
    <s v="14144 SantaRosa-Palominos"/>
  </r>
  <r>
    <n v="301"/>
    <x v="0"/>
    <x v="0"/>
    <x v="0"/>
    <x v="5"/>
    <s v="Rural"/>
    <s v="Femenino"/>
    <x v="0"/>
    <x v="2"/>
    <x v="1"/>
    <s v="SOLO 2023"/>
    <s v="14144 SantaRosa-Palominos"/>
  </r>
  <r>
    <n v="302"/>
    <x v="0"/>
    <x v="0"/>
    <x v="0"/>
    <x v="5"/>
    <s v="Rural"/>
    <s v="Femenino"/>
    <x v="1"/>
    <x v="2"/>
    <x v="1"/>
    <s v="SOLO 2023"/>
    <s v="14144 SantaRosa-Palominos"/>
  </r>
  <r>
    <n v="303"/>
    <x v="0"/>
    <x v="0"/>
    <x v="0"/>
    <x v="5"/>
    <s v="Rural"/>
    <s v="Femenino"/>
    <x v="0"/>
    <x v="2"/>
    <x v="1"/>
    <s v="SOLO 2023"/>
    <s v="14144 SantaRosa-Palominos"/>
  </r>
  <r>
    <n v="304"/>
    <x v="0"/>
    <x v="0"/>
    <x v="0"/>
    <x v="5"/>
    <s v="Rural"/>
    <s v="Masculino"/>
    <x v="1"/>
    <x v="2"/>
    <x v="1"/>
    <s v="SOLO 2023"/>
    <s v="14144 SantaRosa-Palominos"/>
  </r>
  <r>
    <n v="305"/>
    <x v="0"/>
    <x v="0"/>
    <x v="0"/>
    <x v="5"/>
    <s v="Rural"/>
    <s v="Masculino"/>
    <x v="2"/>
    <x v="2"/>
    <x v="1"/>
    <s v="SOLO 2023"/>
    <s v="14144 SantaRosa-Palominos"/>
  </r>
  <r>
    <n v="306"/>
    <x v="0"/>
    <x v="0"/>
    <x v="0"/>
    <x v="5"/>
    <s v="Rural"/>
    <s v="Femenino"/>
    <x v="1"/>
    <x v="2"/>
    <x v="1"/>
    <s v="SOLO 2023"/>
    <s v="14144 SantaRosa-Palominos"/>
  </r>
  <r>
    <n v="307"/>
    <x v="0"/>
    <x v="0"/>
    <x v="0"/>
    <x v="5"/>
    <s v="Rural"/>
    <s v="Femenino"/>
    <x v="0"/>
    <x v="2"/>
    <x v="1"/>
    <s v="SOLO 2023"/>
    <s v="14144 SantaRosa-Palominos"/>
  </r>
  <r>
    <n v="308"/>
    <x v="0"/>
    <x v="0"/>
    <x v="0"/>
    <x v="5"/>
    <s v="Rural"/>
    <s v="Femenino"/>
    <x v="1"/>
    <x v="2"/>
    <x v="1"/>
    <s v="SOLO 2023"/>
    <s v="14144 SantaRosa-Palominos"/>
  </r>
  <r>
    <n v="309"/>
    <x v="0"/>
    <x v="0"/>
    <x v="0"/>
    <x v="5"/>
    <s v="Rural"/>
    <s v="Femenino"/>
    <x v="0"/>
    <x v="2"/>
    <x v="1"/>
    <s v="SOLO 2023"/>
    <s v="14144 SantaRosa-Palominos"/>
  </r>
  <r>
    <n v="310"/>
    <x v="0"/>
    <x v="0"/>
    <x v="0"/>
    <x v="5"/>
    <s v="Rural"/>
    <s v="Femenino"/>
    <x v="1"/>
    <x v="2"/>
    <x v="1"/>
    <s v="SOLO 2023"/>
    <s v="14144 SantaRosa-Palominos"/>
  </r>
  <r>
    <n v="311"/>
    <x v="0"/>
    <x v="0"/>
    <x v="0"/>
    <x v="5"/>
    <s v="Rural"/>
    <s v="Masculino"/>
    <x v="0"/>
    <x v="2"/>
    <x v="1"/>
    <s v="SOLO 2023"/>
    <s v="14144 SantaRosa-Palominos"/>
  </r>
  <r>
    <n v="312"/>
    <x v="0"/>
    <x v="0"/>
    <x v="0"/>
    <x v="5"/>
    <s v="Rural"/>
    <s v="Femenino"/>
    <x v="2"/>
    <x v="2"/>
    <x v="1"/>
    <s v="SOLO 2023"/>
    <s v="14144 SantaRosa-Palominos"/>
  </r>
  <r>
    <n v="313"/>
    <x v="0"/>
    <x v="0"/>
    <x v="0"/>
    <x v="5"/>
    <s v="Rural"/>
    <s v="Masculino"/>
    <x v="1"/>
    <x v="2"/>
    <x v="1"/>
    <s v="SOLO 2023"/>
    <s v="14144 SantaRosa-Palominos"/>
  </r>
  <r>
    <n v="314"/>
    <x v="0"/>
    <x v="0"/>
    <x v="0"/>
    <x v="5"/>
    <s v="Rural"/>
    <s v="Femenino"/>
    <x v="0"/>
    <x v="2"/>
    <x v="1"/>
    <s v="SOLO 2023"/>
    <s v="14144 SantaRosa-Palominos"/>
  </r>
  <r>
    <n v="315"/>
    <x v="0"/>
    <x v="0"/>
    <x v="0"/>
    <x v="5"/>
    <s v="Rural"/>
    <s v="Masculino"/>
    <x v="0"/>
    <x v="2"/>
    <x v="1"/>
    <s v="SOLO 2023"/>
    <s v="14144 SantaRosa-Palominos"/>
  </r>
  <r>
    <n v="316"/>
    <x v="0"/>
    <x v="0"/>
    <x v="0"/>
    <x v="5"/>
    <s v="Rural"/>
    <s v="Masculino"/>
    <x v="0"/>
    <x v="2"/>
    <x v="1"/>
    <s v="SOLO 2023"/>
    <s v="14144 SantaRosa-Palominos"/>
  </r>
  <r>
    <n v="317"/>
    <x v="0"/>
    <x v="0"/>
    <x v="0"/>
    <x v="5"/>
    <s v="Rural"/>
    <s v="Femenino"/>
    <x v="0"/>
    <x v="2"/>
    <x v="1"/>
    <s v="SOLO 2023"/>
    <s v="14144 SantaRosa-Palominos"/>
  </r>
  <r>
    <n v="318"/>
    <x v="0"/>
    <x v="0"/>
    <x v="0"/>
    <x v="5"/>
    <s v="Rural"/>
    <s v="Masculino"/>
    <x v="1"/>
    <x v="2"/>
    <x v="1"/>
    <s v="SOLO 2023"/>
    <s v="14144 SantaRosa-Palominos"/>
  </r>
  <r>
    <n v="319"/>
    <x v="0"/>
    <x v="0"/>
    <x v="0"/>
    <x v="5"/>
    <s v="Rural"/>
    <s v="Femenino"/>
    <x v="0"/>
    <x v="2"/>
    <x v="1"/>
    <s v="SOLO 2023"/>
    <s v="14144 SantaRosa-Palominos"/>
  </r>
  <r>
    <n v="320"/>
    <x v="0"/>
    <x v="0"/>
    <x v="0"/>
    <x v="5"/>
    <s v="Rural"/>
    <s v="Masculino"/>
    <x v="0"/>
    <x v="2"/>
    <x v="1"/>
    <s v="SOLO 2023"/>
    <s v="14144 SantaRosa-Palominos"/>
  </r>
  <r>
    <n v="321"/>
    <x v="0"/>
    <x v="0"/>
    <x v="0"/>
    <x v="5"/>
    <s v="Rural"/>
    <s v="Femenino"/>
    <x v="1"/>
    <x v="2"/>
    <x v="1"/>
    <s v="SOLO 2023"/>
    <s v="14144 SantaRosa-Palominos"/>
  </r>
  <r>
    <n v="322"/>
    <x v="0"/>
    <x v="0"/>
    <x v="0"/>
    <x v="5"/>
    <s v="Rural"/>
    <s v="Masculino"/>
    <x v="0"/>
    <x v="2"/>
    <x v="1"/>
    <s v="SOLO 2023"/>
    <s v="14144 SantaRosa-Palominos"/>
  </r>
  <r>
    <n v="323"/>
    <x v="0"/>
    <x v="0"/>
    <x v="0"/>
    <x v="5"/>
    <s v="Rural"/>
    <s v="Masculino"/>
    <x v="0"/>
    <x v="2"/>
    <x v="1"/>
    <s v="SOLO 2023"/>
    <s v="14144 SantaRosa-Palominos"/>
  </r>
  <r>
    <n v="324"/>
    <x v="0"/>
    <x v="0"/>
    <x v="0"/>
    <x v="5"/>
    <s v="Rural"/>
    <s v="Masculino"/>
    <x v="2"/>
    <x v="2"/>
    <x v="1"/>
    <s v="SOLO 2023"/>
    <s v="14144 SantaRosa-Palominos"/>
  </r>
  <r>
    <n v="325"/>
    <x v="0"/>
    <x v="0"/>
    <x v="0"/>
    <x v="5"/>
    <s v="Rural"/>
    <s v="Femenino"/>
    <x v="0"/>
    <x v="2"/>
    <x v="1"/>
    <s v="SOLO 2023"/>
    <s v="14144 SantaRosa-Palominos"/>
  </r>
  <r>
    <n v="326"/>
    <x v="0"/>
    <x v="0"/>
    <x v="0"/>
    <x v="5"/>
    <s v="Rural"/>
    <s v="Femenino"/>
    <x v="0"/>
    <x v="2"/>
    <x v="1"/>
    <s v="SOLO 2023"/>
    <s v="14144 SantaRosa-Palominos"/>
  </r>
  <r>
    <n v="327"/>
    <x v="0"/>
    <x v="0"/>
    <x v="0"/>
    <x v="5"/>
    <s v="Rural"/>
    <s v="Femenino"/>
    <x v="0"/>
    <x v="2"/>
    <x v="1"/>
    <s v="SOLO 2023"/>
    <s v="14144 SantaRosa-Palominos"/>
  </r>
  <r>
    <n v="328"/>
    <x v="0"/>
    <x v="0"/>
    <x v="0"/>
    <x v="5"/>
    <s v="Rural"/>
    <s v="Masculino"/>
    <x v="2"/>
    <x v="2"/>
    <x v="1"/>
    <s v="SOLO 2023"/>
    <s v="14144 SantaRosa-Palominos"/>
  </r>
  <r>
    <n v="329"/>
    <x v="0"/>
    <x v="0"/>
    <x v="0"/>
    <x v="5"/>
    <s v="Rural"/>
    <s v="Masculino"/>
    <x v="0"/>
    <x v="2"/>
    <x v="1"/>
    <s v="SOLO 2023"/>
    <s v="14144 SantaRosa-Palominos"/>
  </r>
  <r>
    <n v="330"/>
    <x v="0"/>
    <x v="0"/>
    <x v="0"/>
    <x v="5"/>
    <s v="Rural"/>
    <s v="Masculino"/>
    <x v="0"/>
    <x v="2"/>
    <x v="1"/>
    <s v="SOLO 2023"/>
    <s v="14144 SantaRosa-Palominos"/>
  </r>
  <r>
    <n v="331"/>
    <x v="0"/>
    <x v="0"/>
    <x v="0"/>
    <x v="5"/>
    <s v="Rural"/>
    <s v="Masculino"/>
    <x v="0"/>
    <x v="2"/>
    <x v="1"/>
    <s v="SOLO 2023"/>
    <s v="14144 SantaRosa-Palominos"/>
  </r>
  <r>
    <n v="332"/>
    <x v="0"/>
    <x v="0"/>
    <x v="0"/>
    <x v="5"/>
    <s v="Rural"/>
    <s v="Masculino"/>
    <x v="0"/>
    <x v="2"/>
    <x v="1"/>
    <s v="SOLO 2023"/>
    <s v="14144 SantaRosa-Palominos"/>
  </r>
  <r>
    <n v="333"/>
    <x v="0"/>
    <x v="0"/>
    <x v="0"/>
    <x v="5"/>
    <s v="Rural"/>
    <s v="Masculino"/>
    <x v="0"/>
    <x v="2"/>
    <x v="1"/>
    <s v="SOLO 2023"/>
    <s v="14144 SantaRosa-Palominos"/>
  </r>
  <r>
    <n v="334"/>
    <x v="0"/>
    <x v="0"/>
    <x v="0"/>
    <x v="5"/>
    <s v="Rural"/>
    <s v="Femenino"/>
    <x v="0"/>
    <x v="2"/>
    <x v="1"/>
    <s v="SOLO 2023"/>
    <s v="14144 SantaRosa-Palominos"/>
  </r>
  <r>
    <n v="335"/>
    <x v="0"/>
    <x v="0"/>
    <x v="0"/>
    <x v="5"/>
    <s v="Rural"/>
    <s v="Femenino"/>
    <x v="2"/>
    <x v="2"/>
    <x v="1"/>
    <s v="SOLO 2023"/>
    <s v="14144 SantaRosa-Palominos"/>
  </r>
  <r>
    <n v="336"/>
    <x v="0"/>
    <x v="0"/>
    <x v="0"/>
    <x v="5"/>
    <s v="Rural"/>
    <s v="Femenino"/>
    <x v="0"/>
    <x v="2"/>
    <x v="1"/>
    <s v="SOLO 2023"/>
    <s v="14144 SantaRosa-Palominos"/>
  </r>
  <r>
    <n v="337"/>
    <x v="0"/>
    <x v="0"/>
    <x v="0"/>
    <x v="5"/>
    <s v="Rural"/>
    <s v="Masculino"/>
    <x v="0"/>
    <x v="2"/>
    <x v="1"/>
    <s v="SOLO 2023"/>
    <s v="14144 SantaRosa-Palominos"/>
  </r>
  <r>
    <n v="338"/>
    <x v="0"/>
    <x v="0"/>
    <x v="0"/>
    <x v="5"/>
    <s v="Rural"/>
    <s v="Masculino"/>
    <x v="0"/>
    <x v="2"/>
    <x v="1"/>
    <s v="SOLO 2023"/>
    <s v="14144 SantaRosa-Palominos"/>
  </r>
  <r>
    <n v="339"/>
    <x v="0"/>
    <x v="0"/>
    <x v="0"/>
    <x v="5"/>
    <s v="Rural"/>
    <s v="Masculino"/>
    <x v="0"/>
    <x v="2"/>
    <x v="1"/>
    <s v="SOLO 2023"/>
    <s v="14144 SantaRosa-Palominos"/>
  </r>
  <r>
    <n v="340"/>
    <x v="0"/>
    <x v="0"/>
    <x v="0"/>
    <x v="5"/>
    <s v="Rural"/>
    <s v="Femenino"/>
    <x v="0"/>
    <x v="2"/>
    <x v="1"/>
    <s v="SOLO 2023"/>
    <s v="14144 SantaRosa-Palominos"/>
  </r>
  <r>
    <n v="341"/>
    <x v="0"/>
    <x v="0"/>
    <x v="0"/>
    <x v="5"/>
    <s v="Rural"/>
    <s v="Femenino"/>
    <x v="0"/>
    <x v="2"/>
    <x v="1"/>
    <s v="SOLO 2023"/>
    <s v="14144 SantaRosa-Palominos"/>
  </r>
  <r>
    <n v="342"/>
    <x v="0"/>
    <x v="0"/>
    <x v="0"/>
    <x v="5"/>
    <s v="Rural"/>
    <s v="Masculino"/>
    <x v="0"/>
    <x v="2"/>
    <x v="1"/>
    <s v="SOLO 2023"/>
    <s v="14144 SantaRosa-Palominos"/>
  </r>
  <r>
    <n v="343"/>
    <x v="0"/>
    <x v="0"/>
    <x v="0"/>
    <x v="5"/>
    <s v="Rural"/>
    <s v="Masculino"/>
    <x v="0"/>
    <x v="2"/>
    <x v="1"/>
    <s v="SOLO 2023"/>
    <s v="14144 SantaRosa-Palominos"/>
  </r>
  <r>
    <n v="344"/>
    <x v="0"/>
    <x v="0"/>
    <x v="0"/>
    <x v="5"/>
    <s v="Rural"/>
    <s v="Femenino"/>
    <x v="0"/>
    <x v="2"/>
    <x v="1"/>
    <s v="SOLO 2023"/>
    <s v="14144 SantaRosa-Palominos"/>
  </r>
  <r>
    <n v="345"/>
    <x v="0"/>
    <x v="0"/>
    <x v="0"/>
    <x v="5"/>
    <s v="Rural"/>
    <s v="Masculino"/>
    <x v="0"/>
    <x v="2"/>
    <x v="1"/>
    <s v="SOLO 2023"/>
    <s v="14144 SantaRosa-Palominos"/>
  </r>
  <r>
    <n v="346"/>
    <x v="0"/>
    <x v="0"/>
    <x v="0"/>
    <x v="5"/>
    <s v="Rural"/>
    <s v="Femenino"/>
    <x v="0"/>
    <x v="2"/>
    <x v="1"/>
    <s v="SOLO 2023"/>
    <s v="14144 SantaRosa-Palominos"/>
  </r>
  <r>
    <n v="347"/>
    <x v="0"/>
    <x v="0"/>
    <x v="0"/>
    <x v="5"/>
    <s v="Rural"/>
    <s v="Femenino"/>
    <x v="0"/>
    <x v="2"/>
    <x v="1"/>
    <s v="SOLO 2023"/>
    <s v="14144 SantaRosa-Palominos"/>
  </r>
  <r>
    <n v="348"/>
    <x v="0"/>
    <x v="0"/>
    <x v="0"/>
    <x v="5"/>
    <s v="Rural"/>
    <s v="Femenino"/>
    <x v="0"/>
    <x v="2"/>
    <x v="1"/>
    <s v="SOLO 2023"/>
    <s v="14144 SantaRosa-Palominos"/>
  </r>
  <r>
    <n v="349"/>
    <x v="0"/>
    <x v="0"/>
    <x v="0"/>
    <x v="5"/>
    <s v="Rural"/>
    <s v="Femenino"/>
    <x v="0"/>
    <x v="2"/>
    <x v="1"/>
    <s v="SOLO 2023"/>
    <s v="14144 SantaRosa-Palominos"/>
  </r>
  <r>
    <n v="350"/>
    <x v="0"/>
    <x v="0"/>
    <x v="0"/>
    <x v="5"/>
    <s v="Rural"/>
    <s v="Masculino"/>
    <x v="0"/>
    <x v="2"/>
    <x v="1"/>
    <s v="SOLO 2023"/>
    <s v="14144 SantaRosa-Palominos"/>
  </r>
  <r>
    <n v="351"/>
    <x v="0"/>
    <x v="0"/>
    <x v="0"/>
    <x v="5"/>
    <s v="Rural"/>
    <s v="Femenino"/>
    <x v="0"/>
    <x v="2"/>
    <x v="1"/>
    <s v="SOLO 2023"/>
    <s v="14144 SantaRosa-Palominos"/>
  </r>
  <r>
    <n v="352"/>
    <x v="0"/>
    <x v="0"/>
    <x v="0"/>
    <x v="5"/>
    <s v="Rural"/>
    <s v="Masculino"/>
    <x v="0"/>
    <x v="2"/>
    <x v="1"/>
    <s v="SOLO 2023"/>
    <s v="14144 SantaRosa-Palominos"/>
  </r>
  <r>
    <n v="353"/>
    <x v="0"/>
    <x v="0"/>
    <x v="0"/>
    <x v="5"/>
    <s v="Rural"/>
    <s v="Femenino"/>
    <x v="0"/>
    <x v="2"/>
    <x v="1"/>
    <s v="SOLO 2023"/>
    <s v="14144 SantaRosa-Palominos"/>
  </r>
  <r>
    <n v="354"/>
    <x v="0"/>
    <x v="0"/>
    <x v="0"/>
    <x v="5"/>
    <s v="Rural"/>
    <s v="Femenino"/>
    <x v="0"/>
    <x v="2"/>
    <x v="1"/>
    <s v="SOLO 2023"/>
    <s v="14144 SantaRosa-Palominos"/>
  </r>
  <r>
    <n v="355"/>
    <x v="0"/>
    <x v="0"/>
    <x v="0"/>
    <x v="5"/>
    <s v="Rural"/>
    <s v="Femenino"/>
    <x v="0"/>
    <x v="2"/>
    <x v="1"/>
    <s v="SOLO 2023"/>
    <s v="14144 SantaRosa-Palominos"/>
  </r>
  <r>
    <n v="356"/>
    <x v="0"/>
    <x v="0"/>
    <x v="0"/>
    <x v="5"/>
    <s v="Rural"/>
    <s v="Femenino"/>
    <x v="0"/>
    <x v="2"/>
    <x v="1"/>
    <s v="SOLO 2023"/>
    <s v="14144 SantaRosa-Palominos"/>
  </r>
  <r>
    <n v="357"/>
    <x v="0"/>
    <x v="0"/>
    <x v="0"/>
    <x v="5"/>
    <s v="Rural"/>
    <s v="Masculino"/>
    <x v="0"/>
    <x v="2"/>
    <x v="1"/>
    <s v="SOLO 2023"/>
    <s v="14144 SantaRosa-Palominos"/>
  </r>
  <r>
    <n v="358"/>
    <x v="0"/>
    <x v="0"/>
    <x v="0"/>
    <x v="5"/>
    <s v="Rural"/>
    <s v="Masculino"/>
    <x v="0"/>
    <x v="2"/>
    <x v="1"/>
    <s v="SOLO 2023"/>
    <s v="14144 SantaRosa-Palominos"/>
  </r>
  <r>
    <n v="359"/>
    <x v="0"/>
    <x v="0"/>
    <x v="0"/>
    <x v="5"/>
    <s v="Rural"/>
    <s v="Femenino"/>
    <x v="0"/>
    <x v="2"/>
    <x v="1"/>
    <s v="SOLO 2023"/>
    <s v="14144 SantaRosa-Palominos"/>
  </r>
  <r>
    <n v="360"/>
    <x v="0"/>
    <x v="0"/>
    <x v="0"/>
    <x v="5"/>
    <s v="Rural"/>
    <s v="Femenino"/>
    <x v="0"/>
    <x v="2"/>
    <x v="1"/>
    <s v="SOLO 2023"/>
    <s v="14144 SantaRosa-Palominos"/>
  </r>
  <r>
    <n v="361"/>
    <x v="0"/>
    <x v="0"/>
    <x v="0"/>
    <x v="5"/>
    <s v="Rural"/>
    <s v="Masculino"/>
    <x v="0"/>
    <x v="2"/>
    <x v="1"/>
    <s v="SOLO 2023"/>
    <s v="14144 SantaRosa-Palominos"/>
  </r>
  <r>
    <n v="362"/>
    <x v="0"/>
    <x v="0"/>
    <x v="0"/>
    <x v="5"/>
    <s v="Rural"/>
    <s v="Masculino"/>
    <x v="0"/>
    <x v="2"/>
    <x v="1"/>
    <s v="SOLO 2023"/>
    <s v="14144 SantaRosa-Palominos"/>
  </r>
  <r>
    <n v="363"/>
    <x v="0"/>
    <x v="0"/>
    <x v="0"/>
    <x v="5"/>
    <s v="Rural"/>
    <s v="Femenino"/>
    <x v="0"/>
    <x v="2"/>
    <x v="1"/>
    <s v="SOLO 2023"/>
    <s v="14144 SantaRosa-Palominos"/>
  </r>
  <r>
    <n v="364"/>
    <x v="0"/>
    <x v="0"/>
    <x v="1"/>
    <x v="5"/>
    <s v="Rural"/>
    <s v="Femenino"/>
    <x v="0"/>
    <x v="2"/>
    <x v="1"/>
    <s v="SOLO 2023"/>
    <s v="14144 SantaRosa-Palominos"/>
  </r>
  <r>
    <n v="365"/>
    <x v="0"/>
    <x v="0"/>
    <x v="1"/>
    <x v="5"/>
    <s v="Rural"/>
    <s v="Femenino"/>
    <x v="1"/>
    <x v="2"/>
    <x v="1"/>
    <s v="SOLO 2023"/>
    <s v="14144 SantaRosa-Palominos"/>
  </r>
  <r>
    <n v="366"/>
    <x v="0"/>
    <x v="0"/>
    <x v="1"/>
    <x v="5"/>
    <s v="Rural"/>
    <s v="Femenino"/>
    <x v="1"/>
    <x v="2"/>
    <x v="1"/>
    <s v="SOLO 2023"/>
    <s v="14144 SantaRosa-Palominos"/>
  </r>
  <r>
    <n v="367"/>
    <x v="0"/>
    <x v="0"/>
    <x v="1"/>
    <x v="5"/>
    <s v="Rural"/>
    <s v="Femenino"/>
    <x v="1"/>
    <x v="2"/>
    <x v="1"/>
    <s v="SOLO 2023"/>
    <s v="14144 SantaRosa-Palominos"/>
  </r>
  <r>
    <n v="368"/>
    <x v="0"/>
    <x v="0"/>
    <x v="1"/>
    <x v="5"/>
    <s v="Rural"/>
    <s v="Masculino"/>
    <x v="1"/>
    <x v="2"/>
    <x v="1"/>
    <s v="SOLO 2023"/>
    <s v="14144 SantaRosa-Palominos"/>
  </r>
  <r>
    <n v="369"/>
    <x v="0"/>
    <x v="0"/>
    <x v="1"/>
    <x v="5"/>
    <s v="Rural"/>
    <s v="Masculino"/>
    <x v="1"/>
    <x v="2"/>
    <x v="1"/>
    <s v="SOLO 2023"/>
    <s v="14144 SantaRosa-Palominos"/>
  </r>
  <r>
    <n v="370"/>
    <x v="0"/>
    <x v="0"/>
    <x v="1"/>
    <x v="5"/>
    <s v="Rural"/>
    <s v="Masculino"/>
    <x v="2"/>
    <x v="2"/>
    <x v="1"/>
    <s v="SOLO 2023"/>
    <s v="14144 SantaRosa-Palominos"/>
  </r>
  <r>
    <n v="371"/>
    <x v="0"/>
    <x v="0"/>
    <x v="1"/>
    <x v="5"/>
    <s v="Rural"/>
    <s v="Masculino"/>
    <x v="2"/>
    <x v="2"/>
    <x v="1"/>
    <s v="SOLO 2023"/>
    <s v="14144 SantaRosa-Palominos"/>
  </r>
  <r>
    <n v="372"/>
    <x v="0"/>
    <x v="0"/>
    <x v="1"/>
    <x v="5"/>
    <s v="Rural"/>
    <s v="Masculino"/>
    <x v="1"/>
    <x v="2"/>
    <x v="1"/>
    <s v="SOLO 2023"/>
    <s v="14144 SantaRosa-Palominos"/>
  </r>
  <r>
    <n v="373"/>
    <x v="0"/>
    <x v="0"/>
    <x v="1"/>
    <x v="5"/>
    <s v="Rural"/>
    <s v="Masculino"/>
    <x v="2"/>
    <x v="2"/>
    <x v="1"/>
    <s v="SOLO 2023"/>
    <s v="14144 SantaRosa-Palominos"/>
  </r>
  <r>
    <n v="374"/>
    <x v="0"/>
    <x v="0"/>
    <x v="1"/>
    <x v="5"/>
    <s v="Rural"/>
    <s v="Femenino"/>
    <x v="2"/>
    <x v="2"/>
    <x v="1"/>
    <s v="SOLO 2023"/>
    <s v="14144 SantaRosa-Palominos"/>
  </r>
  <r>
    <n v="375"/>
    <x v="0"/>
    <x v="0"/>
    <x v="1"/>
    <x v="5"/>
    <s v="Rural"/>
    <s v="Femenino"/>
    <x v="2"/>
    <x v="2"/>
    <x v="1"/>
    <s v="SOLO 2023"/>
    <s v="14144 SantaRosa-Palominos"/>
  </r>
  <r>
    <n v="376"/>
    <x v="0"/>
    <x v="0"/>
    <x v="1"/>
    <x v="5"/>
    <s v="Rural"/>
    <s v="Masculino"/>
    <x v="1"/>
    <x v="2"/>
    <x v="1"/>
    <s v="SOLO 2023"/>
    <s v="14144 SantaRosa-Palominos"/>
  </r>
  <r>
    <n v="377"/>
    <x v="0"/>
    <x v="0"/>
    <x v="1"/>
    <x v="5"/>
    <s v="Rural"/>
    <s v="Masculino"/>
    <x v="1"/>
    <x v="2"/>
    <x v="1"/>
    <s v="SOLO 2023"/>
    <s v="14144 SantaRosa-Palominos"/>
  </r>
  <r>
    <n v="378"/>
    <x v="0"/>
    <x v="0"/>
    <x v="1"/>
    <x v="5"/>
    <s v="Rural"/>
    <s v="Femenino"/>
    <x v="2"/>
    <x v="2"/>
    <x v="1"/>
    <s v="SOLO 2023"/>
    <s v="14144 SantaRosa-Palominos"/>
  </r>
  <r>
    <n v="379"/>
    <x v="0"/>
    <x v="0"/>
    <x v="1"/>
    <x v="5"/>
    <s v="Rural"/>
    <s v="Masculino"/>
    <x v="2"/>
    <x v="2"/>
    <x v="1"/>
    <s v="SOLO 2023"/>
    <s v="14144 SantaRosa-Palominos"/>
  </r>
  <r>
    <n v="380"/>
    <x v="0"/>
    <x v="0"/>
    <x v="1"/>
    <x v="5"/>
    <s v="Rural"/>
    <s v="Masculino"/>
    <x v="2"/>
    <x v="2"/>
    <x v="1"/>
    <s v="SOLO 2023"/>
    <s v="14144 SantaRosa-Palominos"/>
  </r>
  <r>
    <n v="381"/>
    <x v="0"/>
    <x v="0"/>
    <x v="1"/>
    <x v="5"/>
    <s v="Rural"/>
    <s v="Femenino"/>
    <x v="2"/>
    <x v="2"/>
    <x v="1"/>
    <s v="SOLO 2023"/>
    <s v="14144 SantaRosa-Palominos"/>
  </r>
  <r>
    <n v="382"/>
    <x v="0"/>
    <x v="0"/>
    <x v="1"/>
    <x v="5"/>
    <s v="Rural"/>
    <s v="Femenino"/>
    <x v="2"/>
    <x v="2"/>
    <x v="1"/>
    <s v="SOLO 2023"/>
    <s v="14144 SantaRosa-Palominos"/>
  </r>
  <r>
    <n v="383"/>
    <x v="0"/>
    <x v="0"/>
    <x v="1"/>
    <x v="5"/>
    <s v="Rural"/>
    <s v="Masculino"/>
    <x v="2"/>
    <x v="2"/>
    <x v="1"/>
    <s v="SOLO 2023"/>
    <s v="14144 SantaRosa-Palominos"/>
  </r>
  <r>
    <n v="384"/>
    <x v="0"/>
    <x v="0"/>
    <x v="1"/>
    <x v="5"/>
    <s v="Rural"/>
    <s v="Femenino"/>
    <x v="2"/>
    <x v="2"/>
    <x v="1"/>
    <s v="SOLO 2023"/>
    <s v="14144 SantaRosa-Palominos"/>
  </r>
  <r>
    <n v="385"/>
    <x v="0"/>
    <x v="0"/>
    <x v="1"/>
    <x v="5"/>
    <s v="Rural"/>
    <s v="Masculino"/>
    <x v="2"/>
    <x v="2"/>
    <x v="1"/>
    <s v="SOLO 2023"/>
    <s v="14144 SantaRosa-Palominos"/>
  </r>
  <r>
    <n v="386"/>
    <x v="0"/>
    <x v="0"/>
    <x v="1"/>
    <x v="5"/>
    <s v="Rural"/>
    <s v="Femenino"/>
    <x v="2"/>
    <x v="2"/>
    <x v="1"/>
    <s v="SOLO 2023"/>
    <s v="14144 SantaRosa-Palominos"/>
  </r>
  <r>
    <n v="387"/>
    <x v="0"/>
    <x v="0"/>
    <x v="1"/>
    <x v="5"/>
    <s v="Rural"/>
    <s v="Femenino"/>
    <x v="2"/>
    <x v="2"/>
    <x v="1"/>
    <s v="SOLO 2023"/>
    <s v="14144 SantaRosa-Palominos"/>
  </r>
  <r>
    <n v="388"/>
    <x v="0"/>
    <x v="0"/>
    <x v="4"/>
    <x v="11"/>
    <s v="Rural"/>
    <s v="Femenino"/>
    <x v="2"/>
    <x v="2"/>
    <x v="1"/>
    <s v="SOLO 2023"/>
    <s v="14145 SJB"/>
  </r>
  <r>
    <n v="389"/>
    <x v="0"/>
    <x v="0"/>
    <x v="4"/>
    <x v="11"/>
    <s v="Rural"/>
    <s v="Masculino"/>
    <x v="1"/>
    <x v="2"/>
    <x v="1"/>
    <s v="SOLO 2023"/>
    <s v="14145 SJB"/>
  </r>
  <r>
    <n v="390"/>
    <x v="0"/>
    <x v="0"/>
    <x v="4"/>
    <x v="11"/>
    <s v="Rural"/>
    <s v="Masculino"/>
    <x v="0"/>
    <x v="2"/>
    <x v="1"/>
    <s v="SOLO 2023"/>
    <s v="14145 SJB"/>
  </r>
  <r>
    <n v="391"/>
    <x v="0"/>
    <x v="0"/>
    <x v="4"/>
    <x v="11"/>
    <s v="Rural"/>
    <s v="Masculino"/>
    <x v="0"/>
    <x v="2"/>
    <x v="1"/>
    <s v="SOLO 2023"/>
    <s v="14145 SJB"/>
  </r>
  <r>
    <n v="392"/>
    <x v="0"/>
    <x v="0"/>
    <x v="4"/>
    <x v="11"/>
    <s v="Rural"/>
    <s v="Masculino"/>
    <x v="0"/>
    <x v="2"/>
    <x v="1"/>
    <s v="SOLO 2023"/>
    <s v="14145 SJB"/>
  </r>
  <r>
    <n v="393"/>
    <x v="0"/>
    <x v="0"/>
    <x v="4"/>
    <x v="11"/>
    <s v="Rural"/>
    <s v="Masculino"/>
    <x v="1"/>
    <x v="2"/>
    <x v="1"/>
    <s v="SOLO 2023"/>
    <s v="14145 SJB"/>
  </r>
  <r>
    <n v="394"/>
    <x v="0"/>
    <x v="0"/>
    <x v="4"/>
    <x v="11"/>
    <s v="Rural"/>
    <s v="Femenino"/>
    <x v="1"/>
    <x v="2"/>
    <x v="1"/>
    <s v="SOLO 2023"/>
    <s v="14145 SJB"/>
  </r>
  <r>
    <n v="395"/>
    <x v="0"/>
    <x v="0"/>
    <x v="4"/>
    <x v="11"/>
    <s v="Rural"/>
    <s v="Femenino"/>
    <x v="1"/>
    <x v="2"/>
    <x v="1"/>
    <s v="SOLO 2023"/>
    <s v="14145 SJB"/>
  </r>
  <r>
    <n v="396"/>
    <x v="0"/>
    <x v="0"/>
    <x v="4"/>
    <x v="11"/>
    <s v="Rural"/>
    <s v="Femenino"/>
    <x v="1"/>
    <x v="2"/>
    <x v="1"/>
    <s v="SOLO 2023"/>
    <s v="14145 SJB"/>
  </r>
  <r>
    <n v="397"/>
    <x v="0"/>
    <x v="0"/>
    <x v="4"/>
    <x v="11"/>
    <s v="Rural"/>
    <s v="Masculino"/>
    <x v="1"/>
    <x v="2"/>
    <x v="1"/>
    <s v="SOLO 2023"/>
    <s v="14145 SJB"/>
  </r>
  <r>
    <n v="398"/>
    <x v="0"/>
    <x v="0"/>
    <x v="4"/>
    <x v="11"/>
    <s v="Rural"/>
    <s v="Femenino"/>
    <x v="0"/>
    <x v="2"/>
    <x v="1"/>
    <s v="SOLO 2023"/>
    <s v="14145 SJB"/>
  </r>
  <r>
    <n v="399"/>
    <x v="0"/>
    <x v="0"/>
    <x v="4"/>
    <x v="11"/>
    <s v="Rural"/>
    <s v="Masculino"/>
    <x v="0"/>
    <x v="2"/>
    <x v="1"/>
    <s v="SOLO 2023"/>
    <s v="14145 SJB"/>
  </r>
  <r>
    <n v="400"/>
    <x v="0"/>
    <x v="0"/>
    <x v="4"/>
    <x v="11"/>
    <s v="Rural"/>
    <s v="Femenino"/>
    <x v="1"/>
    <x v="2"/>
    <x v="1"/>
    <s v="SOLO 2023"/>
    <s v="14145 SJB"/>
  </r>
  <r>
    <n v="401"/>
    <x v="0"/>
    <x v="0"/>
    <x v="4"/>
    <x v="11"/>
    <s v="Rural"/>
    <s v="Femenino"/>
    <x v="2"/>
    <x v="2"/>
    <x v="1"/>
    <s v="SOLO 2023"/>
    <s v="14145 SJB"/>
  </r>
  <r>
    <n v="402"/>
    <x v="0"/>
    <x v="0"/>
    <x v="0"/>
    <x v="11"/>
    <s v="Rural"/>
    <s v="Masculino"/>
    <x v="0"/>
    <x v="2"/>
    <x v="1"/>
    <s v="SOLO 2023"/>
    <s v="14145 SJB"/>
  </r>
  <r>
    <n v="403"/>
    <x v="0"/>
    <x v="0"/>
    <x v="0"/>
    <x v="11"/>
    <s v="Rural"/>
    <s v="Femenino"/>
    <x v="0"/>
    <x v="2"/>
    <x v="1"/>
    <s v="SOLO 2023"/>
    <s v="14145 SJB"/>
  </r>
  <r>
    <n v="404"/>
    <x v="0"/>
    <x v="0"/>
    <x v="0"/>
    <x v="11"/>
    <s v="Rural"/>
    <s v="Femenino"/>
    <x v="0"/>
    <x v="2"/>
    <x v="1"/>
    <s v="SOLO 2023"/>
    <s v="14145 SJB"/>
  </r>
  <r>
    <n v="405"/>
    <x v="0"/>
    <x v="0"/>
    <x v="0"/>
    <x v="11"/>
    <s v="Rural"/>
    <s v="Masculino"/>
    <x v="0"/>
    <x v="2"/>
    <x v="1"/>
    <s v="SOLO 2023"/>
    <s v="14145 SJB"/>
  </r>
  <r>
    <n v="406"/>
    <x v="0"/>
    <x v="0"/>
    <x v="0"/>
    <x v="11"/>
    <s v="Rural"/>
    <s v="Masculino"/>
    <x v="0"/>
    <x v="2"/>
    <x v="1"/>
    <s v="SOLO 2023"/>
    <s v="14145 SJB"/>
  </r>
  <r>
    <n v="407"/>
    <x v="0"/>
    <x v="0"/>
    <x v="0"/>
    <x v="11"/>
    <s v="Rural"/>
    <s v="Femenino"/>
    <x v="0"/>
    <x v="2"/>
    <x v="1"/>
    <s v="SOLO 2023"/>
    <s v="14145 SJB"/>
  </r>
  <r>
    <n v="408"/>
    <x v="0"/>
    <x v="0"/>
    <x v="0"/>
    <x v="11"/>
    <s v="Rural"/>
    <s v="Masculino"/>
    <x v="0"/>
    <x v="2"/>
    <x v="1"/>
    <s v="SOLO 2023"/>
    <s v="14145 SJB"/>
  </r>
  <r>
    <n v="409"/>
    <x v="0"/>
    <x v="0"/>
    <x v="0"/>
    <x v="11"/>
    <s v="Rural"/>
    <s v="Femenino"/>
    <x v="0"/>
    <x v="2"/>
    <x v="1"/>
    <s v="SOLO 2023"/>
    <s v="14145 SJB"/>
  </r>
  <r>
    <n v="410"/>
    <x v="0"/>
    <x v="0"/>
    <x v="0"/>
    <x v="11"/>
    <s v="Rural"/>
    <s v="Masculino"/>
    <x v="0"/>
    <x v="2"/>
    <x v="1"/>
    <s v="SOLO 2023"/>
    <s v="14145 SJB"/>
  </r>
  <r>
    <n v="411"/>
    <x v="0"/>
    <x v="0"/>
    <x v="0"/>
    <x v="11"/>
    <s v="Rural"/>
    <s v="Femenino"/>
    <x v="0"/>
    <x v="2"/>
    <x v="1"/>
    <s v="SOLO 2023"/>
    <s v="14145 SJB"/>
  </r>
  <r>
    <n v="412"/>
    <x v="0"/>
    <x v="0"/>
    <x v="0"/>
    <x v="11"/>
    <s v="Rural"/>
    <s v="Masculino"/>
    <x v="0"/>
    <x v="2"/>
    <x v="1"/>
    <s v="SOLO 2023"/>
    <s v="14145 SJB"/>
  </r>
  <r>
    <n v="413"/>
    <x v="0"/>
    <x v="0"/>
    <x v="0"/>
    <x v="11"/>
    <s v="Rural"/>
    <s v="Femenino"/>
    <x v="0"/>
    <x v="2"/>
    <x v="1"/>
    <s v="SOLO 2023"/>
    <s v="14145 SJB"/>
  </r>
  <r>
    <n v="414"/>
    <x v="0"/>
    <x v="0"/>
    <x v="0"/>
    <x v="11"/>
    <s v="Rural"/>
    <s v="Masculino"/>
    <x v="0"/>
    <x v="2"/>
    <x v="1"/>
    <s v="SOLO 2023"/>
    <s v="14145 SJB"/>
  </r>
  <r>
    <n v="415"/>
    <x v="0"/>
    <x v="0"/>
    <x v="0"/>
    <x v="11"/>
    <s v="Rural"/>
    <s v="Femenino"/>
    <x v="0"/>
    <x v="2"/>
    <x v="1"/>
    <s v="SOLO 2023"/>
    <s v="14145 SJB"/>
  </r>
  <r>
    <n v="416"/>
    <x v="0"/>
    <x v="0"/>
    <x v="0"/>
    <x v="11"/>
    <s v="Rural"/>
    <s v="Masculino"/>
    <x v="0"/>
    <x v="2"/>
    <x v="1"/>
    <s v="SOLO 2023"/>
    <s v="14145 SJB"/>
  </r>
  <r>
    <n v="417"/>
    <x v="0"/>
    <x v="0"/>
    <x v="0"/>
    <x v="11"/>
    <s v="Rural"/>
    <s v="Femenino"/>
    <x v="0"/>
    <x v="2"/>
    <x v="1"/>
    <s v="SOLO 2023"/>
    <s v="14145 SJB"/>
  </r>
  <r>
    <n v="418"/>
    <x v="0"/>
    <x v="0"/>
    <x v="0"/>
    <x v="11"/>
    <s v="Rural"/>
    <s v="Femenino"/>
    <x v="0"/>
    <x v="2"/>
    <x v="1"/>
    <s v="SOLO 2023"/>
    <s v="14145 SJB"/>
  </r>
  <r>
    <n v="419"/>
    <x v="0"/>
    <x v="0"/>
    <x v="0"/>
    <x v="11"/>
    <s v="Rural"/>
    <s v="Femenino"/>
    <x v="0"/>
    <x v="2"/>
    <x v="1"/>
    <s v="SOLO 2023"/>
    <s v="14145 SJB"/>
  </r>
  <r>
    <n v="420"/>
    <x v="0"/>
    <x v="0"/>
    <x v="0"/>
    <x v="11"/>
    <s v="Rural"/>
    <s v="Femenino"/>
    <x v="0"/>
    <x v="2"/>
    <x v="1"/>
    <s v="SOLO 2023"/>
    <s v="14145 SJB"/>
  </r>
  <r>
    <n v="421"/>
    <x v="0"/>
    <x v="0"/>
    <x v="0"/>
    <x v="11"/>
    <s v="Rural"/>
    <s v="Masculino"/>
    <x v="0"/>
    <x v="2"/>
    <x v="1"/>
    <s v="SOLO 2023"/>
    <s v="14145 SJB"/>
  </r>
  <r>
    <n v="422"/>
    <x v="0"/>
    <x v="0"/>
    <x v="0"/>
    <x v="11"/>
    <s v="Rural"/>
    <s v="Femenino"/>
    <x v="0"/>
    <x v="2"/>
    <x v="1"/>
    <s v="SOLO 2023"/>
    <s v="14145 SJB"/>
  </r>
  <r>
    <n v="423"/>
    <x v="0"/>
    <x v="0"/>
    <x v="0"/>
    <x v="11"/>
    <s v="Rural"/>
    <s v="Masculino"/>
    <x v="0"/>
    <x v="2"/>
    <x v="1"/>
    <s v="SOLO 2023"/>
    <s v="14145 SJB"/>
  </r>
  <r>
    <n v="424"/>
    <x v="0"/>
    <x v="0"/>
    <x v="0"/>
    <x v="11"/>
    <s v="Rural"/>
    <s v="Masculino"/>
    <x v="0"/>
    <x v="2"/>
    <x v="1"/>
    <s v="SOLO 2023"/>
    <s v="14145 SJB"/>
  </r>
  <r>
    <n v="425"/>
    <x v="0"/>
    <x v="0"/>
    <x v="0"/>
    <x v="11"/>
    <s v="Rural"/>
    <s v="Femenino"/>
    <x v="0"/>
    <x v="2"/>
    <x v="1"/>
    <s v="SOLO 2023"/>
    <s v="14145 SJB"/>
  </r>
  <r>
    <n v="426"/>
    <x v="0"/>
    <x v="0"/>
    <x v="0"/>
    <x v="11"/>
    <s v="Rural"/>
    <s v="Masculino"/>
    <x v="0"/>
    <x v="2"/>
    <x v="1"/>
    <s v="SOLO 2023"/>
    <s v="14145 SJB"/>
  </r>
  <r>
    <n v="427"/>
    <x v="0"/>
    <x v="0"/>
    <x v="0"/>
    <x v="11"/>
    <s v="Rural"/>
    <s v="Masculino"/>
    <x v="0"/>
    <x v="2"/>
    <x v="1"/>
    <s v="SOLO 2023"/>
    <s v="14145 SJB"/>
  </r>
  <r>
    <n v="428"/>
    <x v="0"/>
    <x v="0"/>
    <x v="0"/>
    <x v="11"/>
    <s v="Rural"/>
    <s v="Femenino"/>
    <x v="1"/>
    <x v="2"/>
    <x v="1"/>
    <s v="SOLO 2023"/>
    <s v="14145 SJB"/>
  </r>
  <r>
    <n v="429"/>
    <x v="0"/>
    <x v="0"/>
    <x v="0"/>
    <x v="11"/>
    <s v="Rural"/>
    <s v="Masculino"/>
    <x v="0"/>
    <x v="2"/>
    <x v="1"/>
    <s v="SOLO 2023"/>
    <s v="14145 SJB"/>
  </r>
  <r>
    <n v="430"/>
    <x v="0"/>
    <x v="0"/>
    <x v="1"/>
    <x v="11"/>
    <s v="Rural"/>
    <s v="Femenino"/>
    <x v="1"/>
    <x v="2"/>
    <x v="1"/>
    <s v="SOLO 2023"/>
    <s v="14145 SJB"/>
  </r>
  <r>
    <n v="431"/>
    <x v="0"/>
    <x v="0"/>
    <x v="1"/>
    <x v="11"/>
    <s v="Rural"/>
    <s v="Masculino"/>
    <x v="1"/>
    <x v="2"/>
    <x v="1"/>
    <s v="SOLO 2023"/>
    <s v="14145 SJB"/>
  </r>
  <r>
    <n v="432"/>
    <x v="0"/>
    <x v="0"/>
    <x v="1"/>
    <x v="11"/>
    <s v="Rural"/>
    <s v="Femenino"/>
    <x v="1"/>
    <x v="2"/>
    <x v="1"/>
    <s v="SOLO 2023"/>
    <s v="14145 SJB"/>
  </r>
  <r>
    <n v="433"/>
    <x v="0"/>
    <x v="0"/>
    <x v="1"/>
    <x v="11"/>
    <s v="Rural"/>
    <s v="Femenino"/>
    <x v="2"/>
    <x v="2"/>
    <x v="1"/>
    <s v="SOLO 2023"/>
    <s v="14145 SJB"/>
  </r>
  <r>
    <n v="434"/>
    <x v="0"/>
    <x v="0"/>
    <x v="1"/>
    <x v="11"/>
    <s v="Rural"/>
    <s v="Femenino"/>
    <x v="2"/>
    <x v="2"/>
    <x v="1"/>
    <s v="SOLO 2023"/>
    <s v="14145 SJB"/>
  </r>
  <r>
    <n v="435"/>
    <x v="0"/>
    <x v="0"/>
    <x v="1"/>
    <x v="11"/>
    <s v="Rural"/>
    <s v="Masculino"/>
    <x v="0"/>
    <x v="2"/>
    <x v="1"/>
    <s v="SOLO 2023"/>
    <s v="14145 SJB"/>
  </r>
  <r>
    <n v="436"/>
    <x v="0"/>
    <x v="0"/>
    <x v="1"/>
    <x v="11"/>
    <s v="Rural"/>
    <s v="Femenino"/>
    <x v="1"/>
    <x v="2"/>
    <x v="1"/>
    <s v="SOLO 2023"/>
    <s v="14145 SJB"/>
  </r>
  <r>
    <n v="437"/>
    <x v="0"/>
    <x v="0"/>
    <x v="1"/>
    <x v="11"/>
    <s v="Rural"/>
    <s v="Masculino"/>
    <x v="1"/>
    <x v="2"/>
    <x v="1"/>
    <s v="SOLO 2023"/>
    <s v="14145 SJB"/>
  </r>
  <r>
    <n v="438"/>
    <x v="0"/>
    <x v="0"/>
    <x v="1"/>
    <x v="11"/>
    <s v="Rural"/>
    <s v="Masculino"/>
    <x v="0"/>
    <x v="2"/>
    <x v="1"/>
    <s v="SOLO 2023"/>
    <s v="14145 SJB"/>
  </r>
  <r>
    <n v="439"/>
    <x v="0"/>
    <x v="0"/>
    <x v="1"/>
    <x v="11"/>
    <s v="Rural"/>
    <s v="Femenino"/>
    <x v="0"/>
    <x v="2"/>
    <x v="1"/>
    <s v="SOLO 2023"/>
    <s v="14145 SJB"/>
  </r>
  <r>
    <n v="440"/>
    <x v="0"/>
    <x v="0"/>
    <x v="1"/>
    <x v="11"/>
    <s v="Rural"/>
    <s v="Masculino"/>
    <x v="0"/>
    <x v="2"/>
    <x v="1"/>
    <s v="SOLO 2023"/>
    <s v="14145 SJB"/>
  </r>
  <r>
    <n v="441"/>
    <x v="0"/>
    <x v="0"/>
    <x v="1"/>
    <x v="11"/>
    <s v="Rural"/>
    <s v="Masculino"/>
    <x v="1"/>
    <x v="2"/>
    <x v="1"/>
    <s v="SOLO 2023"/>
    <s v="14145 SJB"/>
  </r>
  <r>
    <n v="442"/>
    <x v="0"/>
    <x v="0"/>
    <x v="1"/>
    <x v="11"/>
    <s v="Rural"/>
    <s v="Masculino"/>
    <x v="1"/>
    <x v="2"/>
    <x v="1"/>
    <s v="SOLO 2023"/>
    <s v="14145 SJB"/>
  </r>
  <r>
    <n v="443"/>
    <x v="0"/>
    <x v="0"/>
    <x v="1"/>
    <x v="11"/>
    <s v="Rural"/>
    <s v="Femenino"/>
    <x v="1"/>
    <x v="2"/>
    <x v="1"/>
    <s v="SOLO 2023"/>
    <s v="14145 SJB"/>
  </r>
  <r>
    <n v="444"/>
    <x v="0"/>
    <x v="0"/>
    <x v="1"/>
    <x v="11"/>
    <s v="Rural"/>
    <s v="Femenino"/>
    <x v="1"/>
    <x v="2"/>
    <x v="1"/>
    <s v="SOLO 2023"/>
    <s v="14145 SJB"/>
  </r>
  <r>
    <n v="445"/>
    <x v="0"/>
    <x v="0"/>
    <x v="1"/>
    <x v="11"/>
    <s v="Rural"/>
    <s v="Masculino"/>
    <x v="0"/>
    <x v="2"/>
    <x v="1"/>
    <s v="SOLO 2023"/>
    <s v="14145 SJB"/>
  </r>
  <r>
    <n v="446"/>
    <x v="0"/>
    <x v="0"/>
    <x v="1"/>
    <x v="11"/>
    <s v="Rural"/>
    <s v="Masculino"/>
    <x v="1"/>
    <x v="2"/>
    <x v="1"/>
    <s v="SOLO 2023"/>
    <s v="14145 SJB"/>
  </r>
  <r>
    <n v="447"/>
    <x v="0"/>
    <x v="0"/>
    <x v="1"/>
    <x v="11"/>
    <s v="Rural"/>
    <s v="Masculino"/>
    <x v="0"/>
    <x v="2"/>
    <x v="1"/>
    <s v="SOLO 2023"/>
    <s v="14145 SJB"/>
  </r>
  <r>
    <n v="448"/>
    <x v="0"/>
    <x v="0"/>
    <x v="1"/>
    <x v="11"/>
    <s v="Rural"/>
    <s v="Femenino"/>
    <x v="1"/>
    <x v="2"/>
    <x v="1"/>
    <s v="SOLO 2023"/>
    <s v="14145 SJB"/>
  </r>
  <r>
    <n v="449"/>
    <x v="0"/>
    <x v="0"/>
    <x v="1"/>
    <x v="11"/>
    <s v="Rural"/>
    <s v="Masculino"/>
    <x v="1"/>
    <x v="2"/>
    <x v="1"/>
    <s v="SOLO 2023"/>
    <s v="14145 SJB"/>
  </r>
  <r>
    <n v="450"/>
    <x v="0"/>
    <x v="0"/>
    <x v="1"/>
    <x v="11"/>
    <s v="Rural"/>
    <s v="Femenino"/>
    <x v="1"/>
    <x v="2"/>
    <x v="1"/>
    <s v="SOLO 2023"/>
    <s v="14145 SJB"/>
  </r>
  <r>
    <n v="451"/>
    <x v="0"/>
    <x v="0"/>
    <x v="1"/>
    <x v="11"/>
    <s v="Rural"/>
    <s v="Masculino"/>
    <x v="1"/>
    <x v="2"/>
    <x v="1"/>
    <s v="SOLO 2023"/>
    <s v="14145 SJB"/>
  </r>
  <r>
    <n v="452"/>
    <x v="0"/>
    <x v="0"/>
    <x v="1"/>
    <x v="11"/>
    <s v="Rural"/>
    <s v="Femenino"/>
    <x v="2"/>
    <x v="2"/>
    <x v="1"/>
    <s v="SOLO 2023"/>
    <s v="14145 SJB"/>
  </r>
  <r>
    <n v="453"/>
    <x v="0"/>
    <x v="0"/>
    <x v="1"/>
    <x v="11"/>
    <s v="Rural"/>
    <s v="Masculino"/>
    <x v="1"/>
    <x v="2"/>
    <x v="1"/>
    <s v="SOLO 2023"/>
    <s v="14145 SJB"/>
  </r>
  <r>
    <n v="454"/>
    <x v="0"/>
    <x v="0"/>
    <x v="1"/>
    <x v="11"/>
    <s v="Rural"/>
    <s v="Masculino"/>
    <x v="0"/>
    <x v="2"/>
    <x v="1"/>
    <s v="SOLO 2023"/>
    <s v="14145 SJB"/>
  </r>
  <r>
    <n v="455"/>
    <x v="0"/>
    <x v="0"/>
    <x v="1"/>
    <x v="11"/>
    <s v="Rural"/>
    <s v="Masculino"/>
    <x v="0"/>
    <x v="2"/>
    <x v="1"/>
    <s v="SOLO 2023"/>
    <s v="14145 SJB"/>
  </r>
  <r>
    <n v="456"/>
    <x v="0"/>
    <x v="0"/>
    <x v="1"/>
    <x v="11"/>
    <s v="Rural"/>
    <s v="Masculino"/>
    <x v="1"/>
    <x v="2"/>
    <x v="1"/>
    <s v="SOLO 2023"/>
    <s v="14145 SJB"/>
  </r>
  <r>
    <n v="457"/>
    <x v="0"/>
    <x v="0"/>
    <x v="1"/>
    <x v="11"/>
    <s v="Rural"/>
    <s v="Masculino"/>
    <x v="0"/>
    <x v="2"/>
    <x v="1"/>
    <s v="SOLO 2023"/>
    <s v="14145 SJB"/>
  </r>
  <r>
    <n v="458"/>
    <x v="0"/>
    <x v="0"/>
    <x v="1"/>
    <x v="11"/>
    <s v="Rural"/>
    <s v="Femenino"/>
    <x v="1"/>
    <x v="2"/>
    <x v="1"/>
    <s v="SOLO 2023"/>
    <s v="14145 SJB"/>
  </r>
  <r>
    <n v="459"/>
    <x v="0"/>
    <x v="0"/>
    <x v="1"/>
    <x v="11"/>
    <s v="Rural"/>
    <s v="Masculino"/>
    <x v="1"/>
    <x v="2"/>
    <x v="1"/>
    <s v="SOLO 2023"/>
    <s v="14145 SJB"/>
  </r>
  <r>
    <n v="460"/>
    <x v="0"/>
    <x v="0"/>
    <x v="4"/>
    <x v="9"/>
    <s v="Rural"/>
    <s v="Masculino"/>
    <x v="2"/>
    <x v="2"/>
    <x v="1"/>
    <s v="PADD 2023 Y 2024"/>
    <s v="15478 Cerro de Leones"/>
  </r>
  <r>
    <n v="461"/>
    <x v="0"/>
    <x v="0"/>
    <x v="0"/>
    <x v="9"/>
    <s v="Rural"/>
    <s v="Masculino"/>
    <x v="1"/>
    <x v="2"/>
    <x v="1"/>
    <s v="PADD 2023 Y 2024"/>
    <s v="15478 Cerro de Leones"/>
  </r>
  <r>
    <n v="462"/>
    <x v="0"/>
    <x v="0"/>
    <x v="1"/>
    <x v="9"/>
    <s v="Rural"/>
    <s v="Femenino"/>
    <x v="1"/>
    <x v="2"/>
    <x v="1"/>
    <s v="PADD 2023 Y 2024"/>
    <s v="15478 Cerro de Leones"/>
  </r>
  <r>
    <n v="463"/>
    <x v="0"/>
    <x v="0"/>
    <x v="1"/>
    <x v="9"/>
    <s v="Rural"/>
    <s v="Masculino"/>
    <x v="0"/>
    <x v="2"/>
    <x v="1"/>
    <s v="PADD 2023 Y 2024"/>
    <s v="15478 Cerro de Leones"/>
  </r>
  <r>
    <n v="464"/>
    <x v="0"/>
    <x v="0"/>
    <x v="1"/>
    <x v="1"/>
    <s v="Rural"/>
    <s v="Masculino"/>
    <x v="1"/>
    <x v="2"/>
    <x v="1"/>
    <s v="PADD 2023 Y 2024"/>
    <s v="20104 CP-8"/>
  </r>
  <r>
    <n v="465"/>
    <x v="0"/>
    <x v="0"/>
    <x v="1"/>
    <x v="1"/>
    <s v="Rural"/>
    <s v="Masculino"/>
    <x v="0"/>
    <x v="2"/>
    <x v="1"/>
    <s v="PADD 2023 Y 2024"/>
    <s v="20104 CP-8"/>
  </r>
  <r>
    <n v="466"/>
    <x v="0"/>
    <x v="0"/>
    <x v="1"/>
    <x v="1"/>
    <s v="Rural"/>
    <s v="Masculino"/>
    <x v="1"/>
    <x v="2"/>
    <x v="1"/>
    <s v="PADD 2023 Y 2024"/>
    <s v="20104 CP-8"/>
  </r>
  <r>
    <n v="467"/>
    <x v="0"/>
    <x v="0"/>
    <x v="1"/>
    <x v="1"/>
    <s v="Rural"/>
    <s v="Masculino"/>
    <x v="0"/>
    <x v="2"/>
    <x v="1"/>
    <s v="PADD 2023 Y 2024"/>
    <s v="20104 CP-8"/>
  </r>
  <r>
    <n v="468"/>
    <x v="0"/>
    <x v="0"/>
    <x v="1"/>
    <x v="1"/>
    <s v="Rural"/>
    <s v="Femenino"/>
    <x v="0"/>
    <x v="2"/>
    <x v="1"/>
    <s v="PADD 2023 Y 2024"/>
    <s v="20104 CP-8"/>
  </r>
  <r>
    <n v="469"/>
    <x v="0"/>
    <x v="0"/>
    <x v="1"/>
    <x v="1"/>
    <s v="Rural"/>
    <s v="Femenino"/>
    <x v="0"/>
    <x v="2"/>
    <x v="1"/>
    <s v="PADD 2023 Y 2024"/>
    <s v="20104 CP-8"/>
  </r>
  <r>
    <n v="470"/>
    <x v="0"/>
    <x v="0"/>
    <x v="1"/>
    <x v="1"/>
    <s v="Rural"/>
    <s v="Masculino"/>
    <x v="0"/>
    <x v="2"/>
    <x v="1"/>
    <s v="PADD 2023 Y 2024"/>
    <s v="20104 CP-8"/>
  </r>
  <r>
    <n v="471"/>
    <x v="0"/>
    <x v="0"/>
    <x v="1"/>
    <x v="1"/>
    <s v="Rural"/>
    <s v="Masculino"/>
    <x v="1"/>
    <x v="2"/>
    <x v="1"/>
    <s v="PADD 2023 Y 2024"/>
    <s v="20104 CP-8"/>
  </r>
  <r>
    <n v="472"/>
    <x v="0"/>
    <x v="0"/>
    <x v="1"/>
    <x v="1"/>
    <s v="Rural"/>
    <s v="Masculino"/>
    <x v="0"/>
    <x v="2"/>
    <x v="1"/>
    <s v="PADD 2023 Y 2024"/>
    <s v="20104 CP-8"/>
  </r>
  <r>
    <n v="473"/>
    <x v="0"/>
    <x v="0"/>
    <x v="1"/>
    <x v="1"/>
    <s v="Rural"/>
    <s v="Femenino"/>
    <x v="0"/>
    <x v="2"/>
    <x v="1"/>
    <s v="PADD 2023 Y 2024"/>
    <s v="20104 CP-8"/>
  </r>
  <r>
    <n v="474"/>
    <x v="0"/>
    <x v="0"/>
    <x v="1"/>
    <x v="1"/>
    <s v="Rural"/>
    <s v="Masculino"/>
    <x v="1"/>
    <x v="2"/>
    <x v="1"/>
    <s v="PADD 2023 Y 2024"/>
    <s v="20104 CP-8"/>
  </r>
  <r>
    <n v="475"/>
    <x v="0"/>
    <x v="0"/>
    <x v="1"/>
    <x v="1"/>
    <s v="Rural"/>
    <s v="Femenino"/>
    <x v="1"/>
    <x v="2"/>
    <x v="1"/>
    <s v="PADD 2023 Y 2024"/>
    <s v="20104 CP-8"/>
  </r>
  <r>
    <n v="476"/>
    <x v="0"/>
    <x v="0"/>
    <x v="1"/>
    <x v="1"/>
    <s v="Rural"/>
    <s v="Femenino"/>
    <x v="1"/>
    <x v="2"/>
    <x v="1"/>
    <s v="PADD 2023 Y 2024"/>
    <s v="20104 CP-8"/>
  </r>
  <r>
    <n v="477"/>
    <x v="0"/>
    <x v="0"/>
    <x v="1"/>
    <x v="1"/>
    <s v="Rural"/>
    <s v="Femenino"/>
    <x v="0"/>
    <x v="2"/>
    <x v="1"/>
    <s v="PADD 2023 Y 2024"/>
    <s v="20104 CP-8"/>
  </r>
  <r>
    <n v="478"/>
    <x v="0"/>
    <x v="0"/>
    <x v="1"/>
    <x v="1"/>
    <s v="Rural"/>
    <s v="Masculino"/>
    <x v="1"/>
    <x v="2"/>
    <x v="1"/>
    <s v="PADD 2023 Y 2024"/>
    <s v="20104 CP-8"/>
  </r>
  <r>
    <n v="479"/>
    <x v="0"/>
    <x v="0"/>
    <x v="1"/>
    <x v="1"/>
    <s v="Rural"/>
    <s v="Femenino"/>
    <x v="1"/>
    <x v="2"/>
    <x v="1"/>
    <s v="PADD 2023 Y 2024"/>
    <s v="20104 CP-8"/>
  </r>
  <r>
    <n v="480"/>
    <x v="0"/>
    <x v="0"/>
    <x v="1"/>
    <x v="1"/>
    <s v="Rural"/>
    <s v="Femenino"/>
    <x v="1"/>
    <x v="2"/>
    <x v="1"/>
    <s v="PADD 2023 Y 2024"/>
    <s v="20104 CP-8"/>
  </r>
  <r>
    <n v="481"/>
    <x v="0"/>
    <x v="0"/>
    <x v="1"/>
    <x v="1"/>
    <s v="Rural"/>
    <s v="Masculino"/>
    <x v="0"/>
    <x v="2"/>
    <x v="1"/>
    <s v="PADD 2023 Y 2024"/>
    <s v="20104 CP-8"/>
  </r>
  <r>
    <n v="482"/>
    <x v="0"/>
    <x v="0"/>
    <x v="1"/>
    <x v="1"/>
    <s v="Rural"/>
    <s v="Masculino"/>
    <x v="0"/>
    <x v="2"/>
    <x v="1"/>
    <s v="PADD 2023 Y 2024"/>
    <s v="20104 CP-8"/>
  </r>
  <r>
    <n v="483"/>
    <x v="0"/>
    <x v="0"/>
    <x v="4"/>
    <x v="1"/>
    <s v="Rural"/>
    <s v="Masculino"/>
    <x v="0"/>
    <x v="2"/>
    <x v="1"/>
    <s v="PADD 2023 Y 2024"/>
    <s v="20104 CP-8"/>
  </r>
  <r>
    <n v="484"/>
    <x v="0"/>
    <x v="0"/>
    <x v="4"/>
    <x v="1"/>
    <s v="Rural"/>
    <s v="Femenino"/>
    <x v="0"/>
    <x v="2"/>
    <x v="1"/>
    <s v="PADD 2023 Y 2024"/>
    <s v="20104 CP-8"/>
  </r>
  <r>
    <n v="485"/>
    <x v="0"/>
    <x v="0"/>
    <x v="4"/>
    <x v="1"/>
    <s v="Rural"/>
    <s v="Femenino"/>
    <x v="0"/>
    <x v="2"/>
    <x v="1"/>
    <s v="PADD 2023 Y 2024"/>
    <s v="20104 CP-8"/>
  </r>
  <r>
    <n v="486"/>
    <x v="0"/>
    <x v="0"/>
    <x v="4"/>
    <x v="1"/>
    <s v="Rural"/>
    <s v="Femenino"/>
    <x v="0"/>
    <x v="2"/>
    <x v="1"/>
    <s v="PADD 2023 Y 2024"/>
    <s v="20104 CP-8"/>
  </r>
  <r>
    <n v="487"/>
    <x v="0"/>
    <x v="0"/>
    <x v="4"/>
    <x v="1"/>
    <s v="Rural"/>
    <s v="Masculino"/>
    <x v="0"/>
    <x v="2"/>
    <x v="1"/>
    <s v="PADD 2023 Y 2024"/>
    <s v="20104 CP-8"/>
  </r>
  <r>
    <n v="488"/>
    <x v="0"/>
    <x v="0"/>
    <x v="4"/>
    <x v="1"/>
    <s v="Rural"/>
    <s v="Masculino"/>
    <x v="0"/>
    <x v="2"/>
    <x v="1"/>
    <s v="PADD 2023 Y 2024"/>
    <s v="20104 CP-8"/>
  </r>
  <r>
    <n v="489"/>
    <x v="0"/>
    <x v="0"/>
    <x v="4"/>
    <x v="1"/>
    <s v="Rural"/>
    <s v="Masculino"/>
    <x v="1"/>
    <x v="2"/>
    <x v="1"/>
    <s v="PADD 2023 Y 2024"/>
    <s v="20104 CP-8"/>
  </r>
  <r>
    <n v="490"/>
    <x v="0"/>
    <x v="0"/>
    <x v="4"/>
    <x v="1"/>
    <s v="Rural"/>
    <s v="Femenino"/>
    <x v="1"/>
    <x v="2"/>
    <x v="1"/>
    <s v="PADD 2023 Y 2024"/>
    <s v="20104 CP-8"/>
  </r>
  <r>
    <n v="491"/>
    <x v="0"/>
    <x v="0"/>
    <x v="4"/>
    <x v="1"/>
    <s v="Rural"/>
    <s v="Masculino"/>
    <x v="1"/>
    <x v="2"/>
    <x v="1"/>
    <s v="PADD 2023 Y 2024"/>
    <s v="20104 CP-8"/>
  </r>
  <r>
    <n v="492"/>
    <x v="0"/>
    <x v="0"/>
    <x v="4"/>
    <x v="0"/>
    <s v="Rural"/>
    <s v="Masculino"/>
    <x v="0"/>
    <x v="2"/>
    <x v="1"/>
    <s v="PADD 2023 Y 2024"/>
    <s v="14924 DAC"/>
  </r>
  <r>
    <n v="493"/>
    <x v="0"/>
    <x v="0"/>
    <x v="4"/>
    <x v="0"/>
    <s v="Rural"/>
    <s v="Femenino"/>
    <x v="1"/>
    <x v="2"/>
    <x v="1"/>
    <s v="PADD 2023 Y 2024"/>
    <s v="14924 DAC"/>
  </r>
  <r>
    <n v="494"/>
    <x v="0"/>
    <x v="0"/>
    <x v="4"/>
    <x v="0"/>
    <s v="Rural"/>
    <s v="Masculino"/>
    <x v="1"/>
    <x v="2"/>
    <x v="1"/>
    <s v="PADD 2023 Y 2024"/>
    <s v="14924 DAC"/>
  </r>
  <r>
    <n v="495"/>
    <x v="0"/>
    <x v="0"/>
    <x v="4"/>
    <x v="0"/>
    <s v="Rural"/>
    <s v="Femenino"/>
    <x v="1"/>
    <x v="2"/>
    <x v="1"/>
    <s v="PADD 2023 Y 2024"/>
    <s v="14924 DAC"/>
  </r>
  <r>
    <n v="496"/>
    <x v="0"/>
    <x v="0"/>
    <x v="4"/>
    <x v="0"/>
    <s v="Rural"/>
    <s v="Femenino"/>
    <x v="1"/>
    <x v="2"/>
    <x v="1"/>
    <s v="PADD 2023 Y 2024"/>
    <s v="14924 DAC"/>
  </r>
  <r>
    <n v="497"/>
    <x v="0"/>
    <x v="0"/>
    <x v="4"/>
    <x v="0"/>
    <s v="Rural"/>
    <s v="Femenino"/>
    <x v="2"/>
    <x v="2"/>
    <x v="1"/>
    <s v="PADD 2023 Y 2024"/>
    <s v="14924 DAC"/>
  </r>
  <r>
    <n v="498"/>
    <x v="0"/>
    <x v="0"/>
    <x v="4"/>
    <x v="0"/>
    <s v="Rural"/>
    <s v="Femenino"/>
    <x v="1"/>
    <x v="2"/>
    <x v="1"/>
    <s v="PADD 2023 Y 2024"/>
    <s v="14924 DAC"/>
  </r>
  <r>
    <n v="499"/>
    <x v="0"/>
    <x v="0"/>
    <x v="4"/>
    <x v="0"/>
    <s v="Rural"/>
    <s v="Masculino"/>
    <x v="0"/>
    <x v="2"/>
    <x v="1"/>
    <s v="PADD 2023 Y 2024"/>
    <s v="14924 DAC"/>
  </r>
  <r>
    <n v="500"/>
    <x v="0"/>
    <x v="0"/>
    <x v="4"/>
    <x v="0"/>
    <s v="Rural"/>
    <s v="Femenino"/>
    <x v="1"/>
    <x v="2"/>
    <x v="1"/>
    <s v="PADD 2023 Y 2024"/>
    <s v="14924 DAC"/>
  </r>
  <r>
    <n v="501"/>
    <x v="0"/>
    <x v="0"/>
    <x v="4"/>
    <x v="0"/>
    <s v="Rural"/>
    <s v="Femenino"/>
    <x v="1"/>
    <x v="2"/>
    <x v="1"/>
    <s v="PADD 2023 Y 2024"/>
    <s v="14924 DAC"/>
  </r>
  <r>
    <n v="502"/>
    <x v="0"/>
    <x v="0"/>
    <x v="4"/>
    <x v="0"/>
    <s v="Rural"/>
    <s v="Masculino"/>
    <x v="1"/>
    <x v="2"/>
    <x v="1"/>
    <s v="PADD 2023 Y 2024"/>
    <s v="14924 DAC"/>
  </r>
  <r>
    <n v="503"/>
    <x v="0"/>
    <x v="0"/>
    <x v="4"/>
    <x v="0"/>
    <s v="Rural"/>
    <s v="Masculino"/>
    <x v="1"/>
    <x v="2"/>
    <x v="1"/>
    <s v="PADD 2023 Y 2024"/>
    <s v="14924 DAC"/>
  </r>
  <r>
    <n v="504"/>
    <x v="0"/>
    <x v="0"/>
    <x v="4"/>
    <x v="0"/>
    <s v="Rural"/>
    <s v="Femenino"/>
    <x v="0"/>
    <x v="2"/>
    <x v="1"/>
    <s v="PADD 2023 Y 2024"/>
    <s v="14924 DAC"/>
  </r>
  <r>
    <n v="505"/>
    <x v="0"/>
    <x v="0"/>
    <x v="4"/>
    <x v="0"/>
    <s v="Rural"/>
    <s v="Femenino"/>
    <x v="1"/>
    <x v="2"/>
    <x v="1"/>
    <s v="PADD 2023 Y 2024"/>
    <s v="14924 DAC"/>
  </r>
  <r>
    <n v="506"/>
    <x v="0"/>
    <x v="0"/>
    <x v="4"/>
    <x v="0"/>
    <s v="Rural"/>
    <s v="Masculino"/>
    <x v="1"/>
    <x v="2"/>
    <x v="1"/>
    <s v="PADD 2023 Y 2024"/>
    <s v="14924 DAC"/>
  </r>
  <r>
    <n v="507"/>
    <x v="0"/>
    <x v="0"/>
    <x v="4"/>
    <x v="0"/>
    <s v="Rural"/>
    <s v="Femenino"/>
    <x v="0"/>
    <x v="2"/>
    <x v="1"/>
    <s v="PADD 2023 Y 2024"/>
    <s v="14924 DAC"/>
  </r>
  <r>
    <n v="508"/>
    <x v="0"/>
    <x v="0"/>
    <x v="4"/>
    <x v="0"/>
    <s v="Rural"/>
    <s v="Femenino"/>
    <x v="1"/>
    <x v="2"/>
    <x v="1"/>
    <s v="PADD 2023 Y 2024"/>
    <s v="14924 DAC"/>
  </r>
  <r>
    <n v="509"/>
    <x v="0"/>
    <x v="0"/>
    <x v="4"/>
    <x v="0"/>
    <s v="Rural"/>
    <s v="Femenino"/>
    <x v="0"/>
    <x v="2"/>
    <x v="1"/>
    <s v="PADD 2023 Y 2024"/>
    <s v="14924 DAC"/>
  </r>
  <r>
    <n v="510"/>
    <x v="0"/>
    <x v="0"/>
    <x v="4"/>
    <x v="0"/>
    <s v="Rural"/>
    <s v="Femenino"/>
    <x v="1"/>
    <x v="2"/>
    <x v="1"/>
    <s v="PADD 2023 Y 2024"/>
    <s v="14924 DAC"/>
  </r>
  <r>
    <n v="511"/>
    <x v="0"/>
    <x v="0"/>
    <x v="4"/>
    <x v="0"/>
    <s v="Rural"/>
    <s v="Masculino"/>
    <x v="0"/>
    <x v="2"/>
    <x v="1"/>
    <s v="PADD 2023 Y 2024"/>
    <s v="14924 DAC"/>
  </r>
  <r>
    <n v="512"/>
    <x v="0"/>
    <x v="0"/>
    <x v="4"/>
    <x v="0"/>
    <s v="Rural"/>
    <s v="Femenino"/>
    <x v="1"/>
    <x v="2"/>
    <x v="1"/>
    <s v="PADD 2023 Y 2024"/>
    <s v="14924 DAC"/>
  </r>
  <r>
    <n v="513"/>
    <x v="0"/>
    <x v="0"/>
    <x v="4"/>
    <x v="0"/>
    <s v="Rural"/>
    <s v="Masculino"/>
    <x v="0"/>
    <x v="2"/>
    <x v="1"/>
    <s v="PADD 2023 Y 2024"/>
    <s v="14924 DAC"/>
  </r>
  <r>
    <n v="514"/>
    <x v="0"/>
    <x v="0"/>
    <x v="4"/>
    <x v="0"/>
    <s v="Rural"/>
    <s v="Femenino"/>
    <x v="0"/>
    <x v="2"/>
    <x v="1"/>
    <s v="PADD 2023 Y 2024"/>
    <s v="14924 DAC"/>
  </r>
  <r>
    <n v="515"/>
    <x v="0"/>
    <x v="0"/>
    <x v="4"/>
    <x v="0"/>
    <s v="Rural"/>
    <s v="Masculino"/>
    <x v="1"/>
    <x v="2"/>
    <x v="1"/>
    <s v="PADD 2023 Y 2024"/>
    <s v="14924 DAC"/>
  </r>
  <r>
    <n v="516"/>
    <x v="0"/>
    <x v="0"/>
    <x v="4"/>
    <x v="0"/>
    <s v="Rural"/>
    <s v="Masculino"/>
    <x v="0"/>
    <x v="2"/>
    <x v="1"/>
    <s v="PADD 2023 Y 2024"/>
    <s v="14924 DAC"/>
  </r>
  <r>
    <n v="517"/>
    <x v="0"/>
    <x v="0"/>
    <x v="4"/>
    <x v="0"/>
    <s v="Rural"/>
    <s v="Femenino"/>
    <x v="1"/>
    <x v="2"/>
    <x v="1"/>
    <s v="PADD 2023 Y 2024"/>
    <s v="14924 DAC"/>
  </r>
  <r>
    <n v="518"/>
    <x v="0"/>
    <x v="0"/>
    <x v="4"/>
    <x v="0"/>
    <s v="Rural"/>
    <s v="Femenino"/>
    <x v="0"/>
    <x v="2"/>
    <x v="1"/>
    <s v="PADD 2023 Y 2024"/>
    <s v="14924 DAC"/>
  </r>
  <r>
    <n v="519"/>
    <x v="0"/>
    <x v="0"/>
    <x v="4"/>
    <x v="0"/>
    <s v="Rural"/>
    <s v="Femenino"/>
    <x v="0"/>
    <x v="2"/>
    <x v="1"/>
    <s v="PADD 2023 Y 2024"/>
    <s v="14924 DAC"/>
  </r>
  <r>
    <n v="520"/>
    <x v="0"/>
    <x v="0"/>
    <x v="4"/>
    <x v="0"/>
    <s v="Rural"/>
    <s v="Masculino"/>
    <x v="0"/>
    <x v="2"/>
    <x v="1"/>
    <s v="PADD 2023 Y 2024"/>
    <s v="14924 DAC"/>
  </r>
  <r>
    <n v="521"/>
    <x v="0"/>
    <x v="0"/>
    <x v="4"/>
    <x v="0"/>
    <s v="Rural"/>
    <s v="Masculino"/>
    <x v="0"/>
    <x v="2"/>
    <x v="1"/>
    <s v="PADD 2023 Y 2024"/>
    <s v="14924 DAC"/>
  </r>
  <r>
    <n v="522"/>
    <x v="0"/>
    <x v="0"/>
    <x v="4"/>
    <x v="0"/>
    <s v="Rural"/>
    <s v="Masculino"/>
    <x v="0"/>
    <x v="2"/>
    <x v="1"/>
    <s v="PADD 2023 Y 2024"/>
    <s v="14924 DAC"/>
  </r>
  <r>
    <n v="523"/>
    <x v="0"/>
    <x v="0"/>
    <x v="4"/>
    <x v="0"/>
    <s v="Rural"/>
    <s v="Femenino"/>
    <x v="1"/>
    <x v="2"/>
    <x v="1"/>
    <s v="PADD 2023 Y 2024"/>
    <s v="14924 DAC"/>
  </r>
  <r>
    <n v="524"/>
    <x v="0"/>
    <x v="0"/>
    <x v="4"/>
    <x v="0"/>
    <s v="Rural"/>
    <s v="Masculino"/>
    <x v="0"/>
    <x v="2"/>
    <x v="1"/>
    <s v="PADD 2023 Y 2024"/>
    <s v="14924 DAC"/>
  </r>
  <r>
    <n v="525"/>
    <x v="0"/>
    <x v="0"/>
    <x v="4"/>
    <x v="0"/>
    <s v="Rural"/>
    <s v="Masculino"/>
    <x v="0"/>
    <x v="2"/>
    <x v="1"/>
    <s v="PADD 2023 Y 2024"/>
    <s v="14924 DAC"/>
  </r>
  <r>
    <n v="526"/>
    <x v="0"/>
    <x v="0"/>
    <x v="4"/>
    <x v="0"/>
    <s v="Rural"/>
    <s v="Femenino"/>
    <x v="0"/>
    <x v="2"/>
    <x v="1"/>
    <s v="PADD 2023 Y 2024"/>
    <s v="14924 DAC"/>
  </r>
  <r>
    <n v="527"/>
    <x v="0"/>
    <x v="0"/>
    <x v="4"/>
    <x v="0"/>
    <s v="Rural"/>
    <s v="Femenino"/>
    <x v="0"/>
    <x v="2"/>
    <x v="1"/>
    <s v="PADD 2023 Y 2024"/>
    <s v="14924 DAC"/>
  </r>
  <r>
    <n v="528"/>
    <x v="0"/>
    <x v="0"/>
    <x v="4"/>
    <x v="0"/>
    <s v="Rural"/>
    <s v="Masculino"/>
    <x v="0"/>
    <x v="2"/>
    <x v="1"/>
    <s v="PADD 2023 Y 2024"/>
    <s v="14924 DAC"/>
  </r>
  <r>
    <n v="529"/>
    <x v="0"/>
    <x v="0"/>
    <x v="4"/>
    <x v="0"/>
    <s v="Rural"/>
    <s v="Femenino"/>
    <x v="1"/>
    <x v="2"/>
    <x v="1"/>
    <s v="PADD 2023 Y 2024"/>
    <s v="14924 DAC"/>
  </r>
  <r>
    <n v="530"/>
    <x v="0"/>
    <x v="0"/>
    <x v="4"/>
    <x v="0"/>
    <s v="Rural"/>
    <s v="Femenino"/>
    <x v="0"/>
    <x v="2"/>
    <x v="1"/>
    <s v="PADD 2023 Y 2024"/>
    <s v="14924 DAC"/>
  </r>
  <r>
    <n v="531"/>
    <x v="0"/>
    <x v="0"/>
    <x v="4"/>
    <x v="0"/>
    <s v="Rural"/>
    <s v="Femenino"/>
    <x v="1"/>
    <x v="2"/>
    <x v="1"/>
    <s v="PADD 2023 Y 2024"/>
    <s v="14924 DAC"/>
  </r>
  <r>
    <n v="532"/>
    <x v="0"/>
    <x v="0"/>
    <x v="4"/>
    <x v="0"/>
    <s v="Rural"/>
    <s v="Femenino"/>
    <x v="0"/>
    <x v="2"/>
    <x v="1"/>
    <s v="PADD 2023 Y 2024"/>
    <s v="14924 DAC"/>
  </r>
  <r>
    <n v="533"/>
    <x v="0"/>
    <x v="0"/>
    <x v="4"/>
    <x v="0"/>
    <s v="Rural"/>
    <s v="Femenino"/>
    <x v="1"/>
    <x v="2"/>
    <x v="1"/>
    <s v="PADD 2023 Y 2024"/>
    <s v="14924 DAC"/>
  </r>
  <r>
    <n v="534"/>
    <x v="0"/>
    <x v="0"/>
    <x v="4"/>
    <x v="0"/>
    <s v="Rural"/>
    <s v="Femenino"/>
    <x v="0"/>
    <x v="2"/>
    <x v="1"/>
    <s v="PADD 2023 Y 2024"/>
    <s v="14924 DAC"/>
  </r>
  <r>
    <n v="535"/>
    <x v="0"/>
    <x v="0"/>
    <x v="4"/>
    <x v="0"/>
    <s v="Rural"/>
    <s v="Femenino"/>
    <x v="0"/>
    <x v="2"/>
    <x v="1"/>
    <s v="PADD 2023 Y 2024"/>
    <s v="14924 DAC"/>
  </r>
  <r>
    <n v="536"/>
    <x v="0"/>
    <x v="0"/>
    <x v="4"/>
    <x v="0"/>
    <s v="Rural"/>
    <s v="Femenino"/>
    <x v="0"/>
    <x v="2"/>
    <x v="1"/>
    <s v="PADD 2023 Y 2024"/>
    <s v="14924 DAC"/>
  </r>
  <r>
    <n v="537"/>
    <x v="0"/>
    <x v="0"/>
    <x v="4"/>
    <x v="0"/>
    <s v="Rural"/>
    <s v="Femenino"/>
    <x v="0"/>
    <x v="2"/>
    <x v="1"/>
    <s v="PADD 2023 Y 2024"/>
    <s v="14924 DAC"/>
  </r>
  <r>
    <n v="538"/>
    <x v="0"/>
    <x v="0"/>
    <x v="4"/>
    <x v="0"/>
    <s v="Rural"/>
    <s v="Femenino"/>
    <x v="0"/>
    <x v="2"/>
    <x v="1"/>
    <s v="PADD 2023 Y 2024"/>
    <s v="14924 DAC"/>
  </r>
  <r>
    <n v="539"/>
    <x v="0"/>
    <x v="0"/>
    <x v="4"/>
    <x v="0"/>
    <s v="Rural"/>
    <s v="Masculino"/>
    <x v="0"/>
    <x v="2"/>
    <x v="1"/>
    <s v="PADD 2023 Y 2024"/>
    <s v="14924 DAC"/>
  </r>
  <r>
    <n v="540"/>
    <x v="0"/>
    <x v="0"/>
    <x v="4"/>
    <x v="0"/>
    <s v="Rural"/>
    <s v="Masculino"/>
    <x v="0"/>
    <x v="2"/>
    <x v="1"/>
    <s v="PADD 2023 Y 2024"/>
    <s v="14924 DAC"/>
  </r>
  <r>
    <n v="541"/>
    <x v="0"/>
    <x v="0"/>
    <x v="4"/>
    <x v="0"/>
    <s v="Rural"/>
    <s v="Masculino"/>
    <x v="1"/>
    <x v="2"/>
    <x v="1"/>
    <s v="PADD 2023 Y 2024"/>
    <s v="14924 DAC"/>
  </r>
  <r>
    <n v="542"/>
    <x v="0"/>
    <x v="0"/>
    <x v="4"/>
    <x v="0"/>
    <s v="Rural"/>
    <s v="Femenino"/>
    <x v="0"/>
    <x v="2"/>
    <x v="1"/>
    <s v="PADD 2023 Y 2024"/>
    <s v="14924 DAC"/>
  </r>
  <r>
    <n v="543"/>
    <x v="0"/>
    <x v="0"/>
    <x v="4"/>
    <x v="0"/>
    <s v="Rural"/>
    <s v="Masculino"/>
    <x v="0"/>
    <x v="2"/>
    <x v="1"/>
    <s v="PADD 2023 Y 2024"/>
    <s v="14924 DAC"/>
  </r>
  <r>
    <n v="544"/>
    <x v="0"/>
    <x v="0"/>
    <x v="4"/>
    <x v="0"/>
    <s v="Rural"/>
    <s v="Masculino"/>
    <x v="0"/>
    <x v="2"/>
    <x v="1"/>
    <s v="PADD 2023 Y 2024"/>
    <s v="14924 DAC"/>
  </r>
  <r>
    <n v="545"/>
    <x v="0"/>
    <x v="0"/>
    <x v="4"/>
    <x v="0"/>
    <s v="Rural"/>
    <s v="Masculino"/>
    <x v="0"/>
    <x v="2"/>
    <x v="1"/>
    <s v="PADD 2023 Y 2024"/>
    <s v="14924 DAC"/>
  </r>
  <r>
    <n v="546"/>
    <x v="0"/>
    <x v="0"/>
    <x v="4"/>
    <x v="0"/>
    <s v="Rural"/>
    <s v="Masculino"/>
    <x v="0"/>
    <x v="2"/>
    <x v="1"/>
    <s v="PADD 2023 Y 2024"/>
    <s v="14924 DAC"/>
  </r>
  <r>
    <n v="547"/>
    <x v="0"/>
    <x v="0"/>
    <x v="1"/>
    <x v="10"/>
    <s v="Rural"/>
    <s v="Femenino"/>
    <x v="0"/>
    <x v="2"/>
    <x v="1"/>
    <s v="SOLO 2023"/>
    <s v="14045 Miraflores Bajo"/>
  </r>
  <r>
    <n v="548"/>
    <x v="0"/>
    <x v="0"/>
    <x v="1"/>
    <x v="10"/>
    <s v="Rural"/>
    <s v="Femenino"/>
    <x v="1"/>
    <x v="2"/>
    <x v="1"/>
    <s v="SOLO 2023"/>
    <s v="14045 Miraflores Bajo"/>
  </r>
  <r>
    <n v="549"/>
    <x v="0"/>
    <x v="0"/>
    <x v="1"/>
    <x v="10"/>
    <s v="Rural"/>
    <s v="Masculino"/>
    <x v="1"/>
    <x v="2"/>
    <x v="1"/>
    <s v="SOLO 2023"/>
    <s v="14045 Miraflores Bajo"/>
  </r>
  <r>
    <n v="550"/>
    <x v="0"/>
    <x v="0"/>
    <x v="1"/>
    <x v="14"/>
    <s v="Rural"/>
    <s v="Masculino"/>
    <x v="1"/>
    <x v="2"/>
    <x v="1"/>
    <s v="SOLO 2023"/>
    <s v="15220 Miraflores Alto"/>
  </r>
  <r>
    <n v="551"/>
    <x v="0"/>
    <x v="0"/>
    <x v="4"/>
    <x v="12"/>
    <s v="Rural"/>
    <s v="Masculino"/>
    <x v="1"/>
    <x v="2"/>
    <x v="1"/>
    <s v="SOLO 2023"/>
    <s v="20123 Cruce de Vega"/>
  </r>
  <r>
    <n v="552"/>
    <x v="0"/>
    <x v="0"/>
    <x v="4"/>
    <x v="12"/>
    <s v="Rural"/>
    <s v="Masculino"/>
    <x v="1"/>
    <x v="2"/>
    <x v="1"/>
    <s v="SOLO 2023"/>
    <s v="20123 Cruce de Vega"/>
  </r>
  <r>
    <n v="553"/>
    <x v="0"/>
    <x v="0"/>
    <x v="4"/>
    <x v="12"/>
    <s v="Rural"/>
    <s v="Femenino"/>
    <x v="1"/>
    <x v="2"/>
    <x v="1"/>
    <s v="SOLO 2023"/>
    <s v="20123 Cruce de Vega"/>
  </r>
  <r>
    <n v="554"/>
    <x v="0"/>
    <x v="0"/>
    <x v="4"/>
    <x v="12"/>
    <s v="Rural"/>
    <s v="Masculino"/>
    <x v="1"/>
    <x v="2"/>
    <x v="1"/>
    <s v="SOLO 2023"/>
    <s v="20123 Cruce de Vega"/>
  </r>
  <r>
    <n v="555"/>
    <x v="0"/>
    <x v="0"/>
    <x v="4"/>
    <x v="12"/>
    <s v="Rural"/>
    <s v="Femenino"/>
    <x v="1"/>
    <x v="2"/>
    <x v="1"/>
    <s v="SOLO 2023"/>
    <s v="20123 Cruce de Vega"/>
  </r>
  <r>
    <n v="556"/>
    <x v="0"/>
    <x v="0"/>
    <x v="4"/>
    <x v="12"/>
    <s v="Rural"/>
    <s v="Femenino"/>
    <x v="0"/>
    <x v="2"/>
    <x v="1"/>
    <s v="SOLO 2023"/>
    <s v="20123 Cruce de Vega"/>
  </r>
  <r>
    <n v="557"/>
    <x v="0"/>
    <x v="0"/>
    <x v="4"/>
    <x v="12"/>
    <s v="Rural"/>
    <s v="Femenino"/>
    <x v="1"/>
    <x v="2"/>
    <x v="1"/>
    <s v="SOLO 2023"/>
    <s v="20123 Cruce de Vega"/>
  </r>
  <r>
    <n v="558"/>
    <x v="0"/>
    <x v="0"/>
    <x v="4"/>
    <x v="8"/>
    <s v="Rural"/>
    <s v="Femenino"/>
    <x v="1"/>
    <x v="2"/>
    <x v="1"/>
    <s v="PADD 2023 Y 2024"/>
    <s v="14141 Pueblo Nuevo"/>
  </r>
  <r>
    <n v="559"/>
    <x v="0"/>
    <x v="0"/>
    <x v="4"/>
    <x v="8"/>
    <s v="Rural"/>
    <s v="Femenino"/>
    <x v="1"/>
    <x v="2"/>
    <x v="1"/>
    <s v="PADD 2023 Y 2024"/>
    <s v="14141 Pueblo Nuevo"/>
  </r>
  <r>
    <n v="560"/>
    <x v="0"/>
    <x v="0"/>
    <x v="0"/>
    <x v="8"/>
    <s v="Rural"/>
    <s v="Masculino"/>
    <x v="1"/>
    <x v="2"/>
    <x v="1"/>
    <s v="PADD 2023 Y 2024"/>
    <s v="14141 Pueblo Nuevo"/>
  </r>
  <r>
    <n v="561"/>
    <x v="0"/>
    <x v="0"/>
    <x v="0"/>
    <x v="8"/>
    <s v="Rural"/>
    <s v="Masculino"/>
    <x v="0"/>
    <x v="2"/>
    <x v="1"/>
    <s v="PADD 2023 Y 2024"/>
    <s v="14141 Pueblo Nuevo"/>
  </r>
  <r>
    <n v="562"/>
    <x v="0"/>
    <x v="0"/>
    <x v="0"/>
    <x v="8"/>
    <s v="Rural"/>
    <s v="Masculino"/>
    <x v="0"/>
    <x v="2"/>
    <x v="1"/>
    <s v="PADD 2023 Y 2024"/>
    <s v="14141 Pueblo Nuevo"/>
  </r>
  <r>
    <n v="563"/>
    <x v="0"/>
    <x v="0"/>
    <x v="0"/>
    <x v="8"/>
    <s v="Rural"/>
    <s v="Masculino"/>
    <x v="0"/>
    <x v="2"/>
    <x v="1"/>
    <s v="PADD 2023 Y 2024"/>
    <s v="14141 Pueblo Nuevo"/>
  </r>
  <r>
    <n v="564"/>
    <x v="0"/>
    <x v="0"/>
    <x v="0"/>
    <x v="8"/>
    <s v="Rural"/>
    <s v="Masculino"/>
    <x v="1"/>
    <x v="2"/>
    <x v="1"/>
    <s v="PADD 2023 Y 2024"/>
    <s v="14141 Pueblo Nuevo"/>
  </r>
  <r>
    <n v="565"/>
    <x v="0"/>
    <x v="0"/>
    <x v="0"/>
    <x v="8"/>
    <s v="Rural"/>
    <s v="Masculino"/>
    <x v="1"/>
    <x v="2"/>
    <x v="1"/>
    <s v="PADD 2023 Y 2024"/>
    <s v="14141 Pueblo Nuevo"/>
  </r>
  <r>
    <n v="566"/>
    <x v="0"/>
    <x v="0"/>
    <x v="1"/>
    <x v="8"/>
    <s v="Rural"/>
    <s v="Masculino"/>
    <x v="1"/>
    <x v="2"/>
    <x v="1"/>
    <s v="PADD 2023 Y 2024"/>
    <s v="14141 Pueblo Nuevo"/>
  </r>
  <r>
    <n v="567"/>
    <x v="0"/>
    <x v="0"/>
    <x v="1"/>
    <x v="8"/>
    <s v="Rural"/>
    <s v="Masculino"/>
    <x v="1"/>
    <x v="2"/>
    <x v="1"/>
    <s v="PADD 2023 Y 2024"/>
    <s v="14141 Pueblo Nuevo"/>
  </r>
  <r>
    <n v="568"/>
    <x v="0"/>
    <x v="0"/>
    <x v="1"/>
    <x v="8"/>
    <s v="Rural"/>
    <s v="Masculino"/>
    <x v="1"/>
    <x v="2"/>
    <x v="1"/>
    <s v="PADD 2023 Y 2024"/>
    <s v="14141 Pueblo Nuevo"/>
  </r>
  <r>
    <n v="569"/>
    <x v="0"/>
    <x v="0"/>
    <x v="1"/>
    <x v="8"/>
    <s v="Rural"/>
    <s v="Masculino"/>
    <x v="1"/>
    <x v="2"/>
    <x v="1"/>
    <s v="PADD 2023 Y 2024"/>
    <s v="14141 Pueblo Nuevo"/>
  </r>
  <r>
    <n v="570"/>
    <x v="0"/>
    <x v="0"/>
    <x v="1"/>
    <x v="8"/>
    <s v="Rural"/>
    <s v="Femenino"/>
    <x v="1"/>
    <x v="2"/>
    <x v="1"/>
    <s v="PADD 2023 Y 2024"/>
    <s v="14141 Pueblo Nuevo"/>
  </r>
  <r>
    <n v="571"/>
    <x v="0"/>
    <x v="0"/>
    <x v="4"/>
    <x v="3"/>
    <s v="Rural"/>
    <s v="Masculino"/>
    <x v="0"/>
    <x v="2"/>
    <x v="1"/>
    <s v="SOLO 2023"/>
    <s v="15304 Guaraguaos.B"/>
  </r>
  <r>
    <n v="572"/>
    <x v="0"/>
    <x v="0"/>
    <x v="4"/>
    <x v="3"/>
    <s v="Rural"/>
    <s v="Femenino"/>
    <x v="1"/>
    <x v="2"/>
    <x v="1"/>
    <s v="SOLO 2023"/>
    <s v="15304 Guaraguaos.B"/>
  </r>
  <r>
    <n v="573"/>
    <x v="0"/>
    <x v="0"/>
    <x v="4"/>
    <x v="3"/>
    <s v="Rural"/>
    <s v="Femenino"/>
    <x v="0"/>
    <x v="2"/>
    <x v="1"/>
    <s v="SOLO 2023"/>
    <s v="15304 Guaraguaos.B"/>
  </r>
  <r>
    <n v="574"/>
    <x v="0"/>
    <x v="0"/>
    <x v="4"/>
    <x v="3"/>
    <s v="Rural"/>
    <s v="Masculino"/>
    <x v="1"/>
    <x v="2"/>
    <x v="1"/>
    <s v="SOLO 2023"/>
    <s v="15304 Guaraguaos.B"/>
  </r>
  <r>
    <n v="575"/>
    <x v="0"/>
    <x v="0"/>
    <x v="0"/>
    <x v="3"/>
    <s v="Rural"/>
    <s v="Masculino"/>
    <x v="1"/>
    <x v="2"/>
    <x v="1"/>
    <s v="SOLO 2023"/>
    <s v="15304 Guaraguaos.B"/>
  </r>
  <r>
    <n v="576"/>
    <x v="0"/>
    <x v="0"/>
    <x v="0"/>
    <x v="3"/>
    <s v="Rural"/>
    <s v="Masculino"/>
    <x v="0"/>
    <x v="2"/>
    <x v="1"/>
    <s v="SOLO 2023"/>
    <s v="15304 Guaraguaos.B"/>
  </r>
  <r>
    <n v="577"/>
    <x v="0"/>
    <x v="0"/>
    <x v="0"/>
    <x v="3"/>
    <s v="Rural"/>
    <s v="Femenino"/>
    <x v="0"/>
    <x v="2"/>
    <x v="1"/>
    <s v="SOLO 2023"/>
    <s v="15304 Guaraguaos.B"/>
  </r>
  <r>
    <n v="578"/>
    <x v="0"/>
    <x v="0"/>
    <x v="0"/>
    <x v="3"/>
    <s v="Rural"/>
    <s v="Masculino"/>
    <x v="0"/>
    <x v="2"/>
    <x v="1"/>
    <s v="SOLO 2023"/>
    <s v="15304 Guaraguaos.B"/>
  </r>
  <r>
    <n v="579"/>
    <x v="0"/>
    <x v="0"/>
    <x v="0"/>
    <x v="3"/>
    <s v="Rural"/>
    <s v="Femenino"/>
    <x v="2"/>
    <x v="2"/>
    <x v="1"/>
    <s v="SOLO 2023"/>
    <s v="15304 Guaraguaos.B"/>
  </r>
  <r>
    <n v="580"/>
    <x v="0"/>
    <x v="0"/>
    <x v="0"/>
    <x v="3"/>
    <s v="Rural"/>
    <s v="Masculino"/>
    <x v="1"/>
    <x v="2"/>
    <x v="1"/>
    <s v="SOLO 2023"/>
    <s v="15304 Guaraguaos.B"/>
  </r>
  <r>
    <n v="581"/>
    <x v="0"/>
    <x v="0"/>
    <x v="0"/>
    <x v="3"/>
    <s v="Rural"/>
    <s v="Masculino"/>
    <x v="1"/>
    <x v="2"/>
    <x v="1"/>
    <s v="SOLO 2023"/>
    <s v="15304 Guaraguaos.B"/>
  </r>
  <r>
    <n v="582"/>
    <x v="0"/>
    <x v="0"/>
    <x v="1"/>
    <x v="3"/>
    <s v="Rural"/>
    <s v="Masculino"/>
    <x v="0"/>
    <x v="2"/>
    <x v="1"/>
    <s v="SOLO 2023"/>
    <s v="15304 Guaraguaos.B"/>
  </r>
  <r>
    <n v="583"/>
    <x v="0"/>
    <x v="0"/>
    <x v="1"/>
    <x v="3"/>
    <s v="Rural"/>
    <s v="Masculino"/>
    <x v="1"/>
    <x v="2"/>
    <x v="1"/>
    <s v="SOLO 2023"/>
    <s v="15304 Guaraguaos.B"/>
  </r>
  <r>
    <n v="584"/>
    <x v="0"/>
    <x v="0"/>
    <x v="1"/>
    <x v="3"/>
    <s v="Rural"/>
    <s v="Masculino"/>
    <x v="1"/>
    <x v="2"/>
    <x v="1"/>
    <s v="SOLO 2023"/>
    <s v="15304 Guaraguaos.B"/>
  </r>
  <r>
    <n v="585"/>
    <x v="0"/>
    <x v="0"/>
    <x v="1"/>
    <x v="3"/>
    <s v="Rural"/>
    <s v="Femenino"/>
    <x v="1"/>
    <x v="2"/>
    <x v="1"/>
    <s v="SOLO 2023"/>
    <s v="15304 Guaraguaos.B"/>
  </r>
  <r>
    <n v="586"/>
    <x v="0"/>
    <x v="0"/>
    <x v="1"/>
    <x v="3"/>
    <s v="Rural"/>
    <s v="Femenino"/>
    <x v="1"/>
    <x v="2"/>
    <x v="1"/>
    <s v="SOLO 2023"/>
    <s v="15304 Guaraguaos.B"/>
  </r>
  <r>
    <n v="587"/>
    <x v="0"/>
    <x v="0"/>
    <x v="1"/>
    <x v="3"/>
    <s v="Rural"/>
    <s v="Masculino"/>
    <x v="1"/>
    <x v="2"/>
    <x v="1"/>
    <s v="SOLO 2023"/>
    <s v="15304 Guaraguaos.B"/>
  </r>
  <r>
    <n v="588"/>
    <x v="0"/>
    <x v="0"/>
    <x v="1"/>
    <x v="3"/>
    <s v="Rural"/>
    <s v="Femenino"/>
    <x v="0"/>
    <x v="2"/>
    <x v="1"/>
    <s v="SOLO 2023"/>
    <s v="15304 Guaraguaos.B"/>
  </r>
  <r>
    <n v="589"/>
    <x v="0"/>
    <x v="0"/>
    <x v="1"/>
    <x v="3"/>
    <s v="Rural"/>
    <s v="Femenino"/>
    <x v="0"/>
    <x v="2"/>
    <x v="1"/>
    <s v="SOLO 2023"/>
    <s v="15304 Guaraguaos.B"/>
  </r>
  <r>
    <n v="590"/>
    <x v="0"/>
    <x v="0"/>
    <x v="4"/>
    <x v="2"/>
    <s v="Rural"/>
    <s v="Masculino"/>
    <x v="0"/>
    <x v="2"/>
    <x v="1"/>
    <s v="PADD 2023 Y 2024"/>
    <s v="14975 El Carbon"/>
  </r>
  <r>
    <n v="591"/>
    <x v="0"/>
    <x v="0"/>
    <x v="4"/>
    <x v="2"/>
    <s v="Rural"/>
    <s v="Femenino"/>
    <x v="1"/>
    <x v="2"/>
    <x v="1"/>
    <s v="PADD 2023 Y 2024"/>
    <s v="14975 El Carbon"/>
  </r>
  <r>
    <n v="592"/>
    <x v="0"/>
    <x v="0"/>
    <x v="4"/>
    <x v="2"/>
    <s v="Rural"/>
    <s v="Masculino"/>
    <x v="1"/>
    <x v="2"/>
    <x v="1"/>
    <s v="PADD 2023 Y 2024"/>
    <s v="14975 El Carbon"/>
  </r>
  <r>
    <n v="593"/>
    <x v="0"/>
    <x v="0"/>
    <x v="4"/>
    <x v="2"/>
    <s v="Rural"/>
    <s v="Femenino"/>
    <x v="0"/>
    <x v="2"/>
    <x v="1"/>
    <s v="PADD 2023 Y 2024"/>
    <s v="14975 El Carbon"/>
  </r>
  <r>
    <n v="594"/>
    <x v="0"/>
    <x v="0"/>
    <x v="4"/>
    <x v="2"/>
    <s v="Rural"/>
    <s v="Masculino"/>
    <x v="0"/>
    <x v="2"/>
    <x v="1"/>
    <s v="PADD 2023 Y 2024"/>
    <s v="14975 El Carbon"/>
  </r>
  <r>
    <n v="595"/>
    <x v="0"/>
    <x v="0"/>
    <x v="4"/>
    <x v="2"/>
    <s v="Rural"/>
    <s v="Masculino"/>
    <x v="0"/>
    <x v="2"/>
    <x v="1"/>
    <s v="PADD 2023 Y 2024"/>
    <s v="14975 El Carbon"/>
  </r>
  <r>
    <n v="596"/>
    <x v="0"/>
    <x v="0"/>
    <x v="4"/>
    <x v="2"/>
    <s v="Rural"/>
    <s v="Femenino"/>
    <x v="1"/>
    <x v="2"/>
    <x v="1"/>
    <s v="PADD 2023 Y 2024"/>
    <s v="14975 El Carbon"/>
  </r>
  <r>
    <n v="597"/>
    <x v="0"/>
    <x v="0"/>
    <x v="4"/>
    <x v="2"/>
    <s v="Rural"/>
    <s v="Masculino"/>
    <x v="0"/>
    <x v="2"/>
    <x v="1"/>
    <s v="PADD 2023 Y 2024"/>
    <s v="14975 El Carbon"/>
  </r>
  <r>
    <n v="598"/>
    <x v="0"/>
    <x v="0"/>
    <x v="4"/>
    <x v="2"/>
    <s v="Rural"/>
    <s v="Femenino"/>
    <x v="1"/>
    <x v="2"/>
    <x v="1"/>
    <s v="PADD 2023 Y 2024"/>
    <s v="14975 El Carbon"/>
  </r>
  <r>
    <n v="599"/>
    <x v="0"/>
    <x v="0"/>
    <x v="1"/>
    <x v="2"/>
    <s v="Rural"/>
    <s v="Femenino"/>
    <x v="2"/>
    <x v="2"/>
    <x v="1"/>
    <s v="PADD 2023 Y 2024"/>
    <s v="14975 El Carbon"/>
  </r>
  <r>
    <n v="600"/>
    <x v="0"/>
    <x v="0"/>
    <x v="1"/>
    <x v="2"/>
    <s v="Rural"/>
    <s v="Femenino"/>
    <x v="1"/>
    <x v="2"/>
    <x v="1"/>
    <s v="PADD 2023 Y 2024"/>
    <s v="14975 El Carbon"/>
  </r>
  <r>
    <n v="601"/>
    <x v="0"/>
    <x v="0"/>
    <x v="1"/>
    <x v="2"/>
    <s v="Rural"/>
    <s v="Femenino"/>
    <x v="0"/>
    <x v="2"/>
    <x v="1"/>
    <s v="PADD 2023 Y 2024"/>
    <s v="14975 El Carbon"/>
  </r>
  <r>
    <n v="602"/>
    <x v="0"/>
    <x v="0"/>
    <x v="1"/>
    <x v="2"/>
    <s v="Rural"/>
    <s v="Femenino"/>
    <x v="1"/>
    <x v="2"/>
    <x v="1"/>
    <s v="PADD 2023 Y 2024"/>
    <s v="14975 El Carbon"/>
  </r>
  <r>
    <n v="603"/>
    <x v="0"/>
    <x v="0"/>
    <x v="1"/>
    <x v="2"/>
    <s v="Rural"/>
    <s v="Masculino"/>
    <x v="0"/>
    <x v="2"/>
    <x v="1"/>
    <s v="PADD 2023 Y 2024"/>
    <s v="14975 El Carbon"/>
  </r>
  <r>
    <n v="604"/>
    <x v="0"/>
    <x v="0"/>
    <x v="1"/>
    <x v="2"/>
    <s v="Rural"/>
    <s v="Femenino"/>
    <x v="2"/>
    <x v="2"/>
    <x v="1"/>
    <s v="PADD 2023 Y 2024"/>
    <s v="14975 El Carbon"/>
  </r>
  <r>
    <n v="605"/>
    <x v="0"/>
    <x v="0"/>
    <x v="1"/>
    <x v="2"/>
    <s v="Rural"/>
    <s v="Masculino"/>
    <x v="1"/>
    <x v="2"/>
    <x v="1"/>
    <s v="PADD 2023 Y 2024"/>
    <s v="14975 El Carbon"/>
  </r>
  <r>
    <n v="606"/>
    <x v="0"/>
    <x v="0"/>
    <x v="1"/>
    <x v="2"/>
    <s v="Rural"/>
    <s v="Femenino"/>
    <x v="1"/>
    <x v="2"/>
    <x v="1"/>
    <s v="PADD 2023 Y 2024"/>
    <s v="14975 El Carbon"/>
  </r>
  <r>
    <n v="607"/>
    <x v="0"/>
    <x v="0"/>
    <x v="1"/>
    <x v="2"/>
    <s v="Rural"/>
    <s v="Masculino"/>
    <x v="0"/>
    <x v="2"/>
    <x v="1"/>
    <s v="PADD 2023 Y 2024"/>
    <s v="14975 El Carbon"/>
  </r>
  <r>
    <n v="608"/>
    <x v="0"/>
    <x v="0"/>
    <x v="1"/>
    <x v="2"/>
    <s v="Rural"/>
    <s v="Femenino"/>
    <x v="1"/>
    <x v="2"/>
    <x v="1"/>
    <s v="PADD 2023 Y 2024"/>
    <s v="14975 El Carbon"/>
  </r>
  <r>
    <n v="609"/>
    <x v="0"/>
    <x v="0"/>
    <x v="1"/>
    <x v="2"/>
    <s v="Rural"/>
    <s v="Masculino"/>
    <x v="1"/>
    <x v="2"/>
    <x v="1"/>
    <s v="PADD 2023 Y 2024"/>
    <s v="14975 El Carbon"/>
  </r>
  <r>
    <n v="610"/>
    <x v="0"/>
    <x v="0"/>
    <x v="1"/>
    <x v="2"/>
    <s v="Rural"/>
    <s v="Masculino"/>
    <x v="1"/>
    <x v="2"/>
    <x v="1"/>
    <s v="PADD 2023 Y 2024"/>
    <s v="14975 El Carbon"/>
  </r>
  <r>
    <n v="611"/>
    <x v="0"/>
    <x v="0"/>
    <x v="1"/>
    <x v="2"/>
    <s v="Rural"/>
    <s v="Masculino"/>
    <x v="0"/>
    <x v="2"/>
    <x v="1"/>
    <s v="PADD 2023 Y 2024"/>
    <s v="14975 El Carbon"/>
  </r>
  <r>
    <n v="612"/>
    <x v="0"/>
    <x v="0"/>
    <x v="1"/>
    <x v="2"/>
    <s v="Rural"/>
    <s v="Masculino"/>
    <x v="1"/>
    <x v="2"/>
    <x v="1"/>
    <s v="PADD 2023 Y 2024"/>
    <s v="14975 El Carbon"/>
  </r>
  <r>
    <n v="613"/>
    <x v="0"/>
    <x v="0"/>
    <x v="1"/>
    <x v="2"/>
    <s v="Rural"/>
    <s v="Femenino"/>
    <x v="1"/>
    <x v="2"/>
    <x v="1"/>
    <s v="PADD 2023 Y 2024"/>
    <s v="14975 El Carbon"/>
  </r>
  <r>
    <n v="614"/>
    <x v="0"/>
    <x v="0"/>
    <x v="1"/>
    <x v="2"/>
    <s v="Rural"/>
    <s v="Femenino"/>
    <x v="1"/>
    <x v="2"/>
    <x v="1"/>
    <s v="PADD 2023 Y 2024"/>
    <s v="14975 El Carbon"/>
  </r>
  <r>
    <n v="615"/>
    <x v="0"/>
    <x v="0"/>
    <x v="1"/>
    <x v="2"/>
    <s v="Rural"/>
    <s v="Masculino"/>
    <x v="1"/>
    <x v="2"/>
    <x v="1"/>
    <s v="PADD 2023 Y 2024"/>
    <s v="14975 El Carbon"/>
  </r>
  <r>
    <n v="616"/>
    <x v="0"/>
    <x v="0"/>
    <x v="1"/>
    <x v="2"/>
    <s v="Rural"/>
    <s v="Masculino"/>
    <x v="1"/>
    <x v="2"/>
    <x v="1"/>
    <s v="PADD 2023 Y 2024"/>
    <s v="14975 El Carbon"/>
  </r>
  <r>
    <n v="617"/>
    <x v="0"/>
    <x v="0"/>
    <x v="1"/>
    <x v="2"/>
    <s v="Rural"/>
    <s v="Femenino"/>
    <x v="1"/>
    <x v="2"/>
    <x v="1"/>
    <s v="PADD 2023 Y 2024"/>
    <s v="14975 El Carbon"/>
  </r>
  <r>
    <n v="618"/>
    <x v="0"/>
    <x v="0"/>
    <x v="1"/>
    <x v="2"/>
    <s v="Rural"/>
    <s v="Masculino"/>
    <x v="1"/>
    <x v="2"/>
    <x v="1"/>
    <s v="PADD 2023 Y 2024"/>
    <s v="14975 El Carbon"/>
  </r>
  <r>
    <n v="619"/>
    <x v="0"/>
    <x v="0"/>
    <x v="1"/>
    <x v="2"/>
    <s v="Rural"/>
    <s v="Femenino"/>
    <x v="0"/>
    <x v="2"/>
    <x v="1"/>
    <s v="PADD 2023 Y 2024"/>
    <s v="14975 El Carbon"/>
  </r>
  <r>
    <n v="620"/>
    <x v="0"/>
    <x v="0"/>
    <x v="1"/>
    <x v="2"/>
    <s v="Rural"/>
    <s v="Femenino"/>
    <x v="0"/>
    <x v="2"/>
    <x v="1"/>
    <s v="PADD 2023 Y 2024"/>
    <s v="14975 El Carbon"/>
  </r>
  <r>
    <n v="621"/>
    <x v="0"/>
    <x v="0"/>
    <x v="1"/>
    <x v="2"/>
    <s v="Rural"/>
    <s v="Femenino"/>
    <x v="0"/>
    <x v="2"/>
    <x v="1"/>
    <s v="PADD 2023 Y 2024"/>
    <s v="14975 El Carbon"/>
  </r>
  <r>
    <n v="622"/>
    <x v="3"/>
    <x v="0"/>
    <x v="4"/>
    <x v="30"/>
    <s v="Rural"/>
    <s v="Masculino"/>
    <x v="1"/>
    <x v="2"/>
    <x v="1"/>
    <s v="PADD 2023 Y 2024"/>
    <s v="601448"/>
  </r>
  <r>
    <n v="623"/>
    <x v="3"/>
    <x v="0"/>
    <x v="4"/>
    <x v="30"/>
    <s v="Rural"/>
    <s v="Femenino"/>
    <x v="2"/>
    <x v="2"/>
    <x v="1"/>
    <s v="PADD 2023 Y 2024"/>
    <s v="601448"/>
  </r>
  <r>
    <n v="624"/>
    <x v="3"/>
    <x v="0"/>
    <x v="4"/>
    <x v="30"/>
    <s v="Rural"/>
    <s v="Masculino"/>
    <x v="0"/>
    <x v="2"/>
    <x v="1"/>
    <s v="PADD 2023 Y 2024"/>
    <s v="601448"/>
  </r>
  <r>
    <n v="625"/>
    <x v="3"/>
    <x v="0"/>
    <x v="4"/>
    <x v="30"/>
    <s v="Rural"/>
    <s v="Masculino"/>
    <x v="2"/>
    <x v="2"/>
    <x v="1"/>
    <s v="PADD 2023 Y 2024"/>
    <s v="601448"/>
  </r>
  <r>
    <n v="626"/>
    <x v="3"/>
    <x v="0"/>
    <x v="4"/>
    <x v="30"/>
    <s v="Rural"/>
    <s v="Masculino"/>
    <x v="0"/>
    <x v="2"/>
    <x v="1"/>
    <s v="PADD 2023 Y 2024"/>
    <s v="601448"/>
  </r>
  <r>
    <n v="627"/>
    <x v="3"/>
    <x v="0"/>
    <x v="4"/>
    <x v="30"/>
    <s v="Rural"/>
    <s v="Femenino"/>
    <x v="1"/>
    <x v="2"/>
    <x v="1"/>
    <s v="PADD 2023 Y 2024"/>
    <s v="601148"/>
  </r>
  <r>
    <n v="628"/>
    <x v="3"/>
    <x v="0"/>
    <x v="4"/>
    <x v="30"/>
    <s v="Rural"/>
    <s v="Masculino"/>
    <x v="1"/>
    <x v="2"/>
    <x v="1"/>
    <s v="PADD 2023 Y 2024"/>
    <s v="601448"/>
  </r>
  <r>
    <n v="629"/>
    <x v="3"/>
    <x v="0"/>
    <x v="4"/>
    <x v="30"/>
    <s v="Rural"/>
    <s v="Femenino"/>
    <x v="1"/>
    <x v="2"/>
    <x v="1"/>
    <s v="PADD 2023 Y 2024"/>
    <s v="601448"/>
  </r>
  <r>
    <n v="630"/>
    <x v="3"/>
    <x v="0"/>
    <x v="0"/>
    <x v="30"/>
    <s v="Rural"/>
    <s v="Masculino"/>
    <x v="2"/>
    <x v="2"/>
    <x v="3"/>
    <s v="PADD 2023 Y 2024"/>
    <s v="601448"/>
  </r>
  <r>
    <n v="631"/>
    <x v="3"/>
    <x v="0"/>
    <x v="0"/>
    <x v="30"/>
    <s v="Rural"/>
    <s v="Masculino"/>
    <x v="0"/>
    <x v="2"/>
    <x v="3"/>
    <s v="PADD 2023 Y 2024"/>
    <s v="601448"/>
  </r>
  <r>
    <n v="632"/>
    <x v="3"/>
    <x v="0"/>
    <x v="0"/>
    <x v="30"/>
    <s v="Rural"/>
    <s v="Masculino"/>
    <x v="1"/>
    <x v="2"/>
    <x v="3"/>
    <s v="PADD 2023 Y 2024"/>
    <s v="601448"/>
  </r>
  <r>
    <n v="633"/>
    <x v="3"/>
    <x v="0"/>
    <x v="0"/>
    <x v="30"/>
    <s v="Rural"/>
    <s v="Masculino"/>
    <x v="0"/>
    <x v="2"/>
    <x v="3"/>
    <s v="PADD 2023 Y 2024"/>
    <s v="601448"/>
  </r>
  <r>
    <n v="634"/>
    <x v="3"/>
    <x v="0"/>
    <x v="0"/>
    <x v="30"/>
    <s v="Rural"/>
    <s v="Masculino"/>
    <x v="0"/>
    <x v="2"/>
    <x v="3"/>
    <s v="PADD 2023 Y 2024"/>
    <s v="601448"/>
  </r>
  <r>
    <n v="635"/>
    <x v="3"/>
    <x v="0"/>
    <x v="0"/>
    <x v="30"/>
    <s v="Rural"/>
    <s v="Masculino"/>
    <x v="1"/>
    <x v="2"/>
    <x v="3"/>
    <s v="PADD 2023 Y 2024"/>
    <s v="601448"/>
  </r>
  <r>
    <n v="636"/>
    <x v="3"/>
    <x v="0"/>
    <x v="0"/>
    <x v="30"/>
    <s v="Rural"/>
    <s v="Masculino"/>
    <x v="0"/>
    <x v="2"/>
    <x v="3"/>
    <s v="PADD 2023 Y 2024"/>
    <s v="601448"/>
  </r>
  <r>
    <n v="637"/>
    <x v="3"/>
    <x v="0"/>
    <x v="1"/>
    <x v="30"/>
    <s v="Rural"/>
    <s v="Masculino"/>
    <x v="0"/>
    <x v="2"/>
    <x v="1"/>
    <s v="PADD 2023 Y 2024"/>
    <s v="601448"/>
  </r>
  <r>
    <n v="638"/>
    <x v="3"/>
    <x v="0"/>
    <x v="1"/>
    <x v="30"/>
    <s v="Rural"/>
    <s v="Masculino"/>
    <x v="2"/>
    <x v="2"/>
    <x v="1"/>
    <s v="PADD 2023 Y 2024"/>
    <s v="601448"/>
  </r>
  <r>
    <n v="639"/>
    <x v="3"/>
    <x v="0"/>
    <x v="1"/>
    <x v="30"/>
    <s v="Rural"/>
    <s v="Femenino"/>
    <x v="0"/>
    <x v="2"/>
    <x v="1"/>
    <s v="PADD 2023 Y 2024"/>
    <s v="601448"/>
  </r>
  <r>
    <n v="640"/>
    <x v="3"/>
    <x v="0"/>
    <x v="1"/>
    <x v="30"/>
    <s v="Rural"/>
    <s v="Masculino"/>
    <x v="0"/>
    <x v="2"/>
    <x v="1"/>
    <s v="PADD 2023 Y 2024"/>
    <s v="601448"/>
  </r>
  <r>
    <n v="641"/>
    <x v="3"/>
    <x v="0"/>
    <x v="1"/>
    <x v="30"/>
    <s v="Rural"/>
    <s v="Masculino"/>
    <x v="1"/>
    <x v="2"/>
    <x v="1"/>
    <s v="PADD 2023 Y 2024"/>
    <s v="601448"/>
  </r>
  <r>
    <n v="642"/>
    <x v="3"/>
    <x v="0"/>
    <x v="0"/>
    <x v="32"/>
    <s v="Rural"/>
    <s v="Masculino"/>
    <x v="1"/>
    <x v="2"/>
    <x v="1"/>
    <s v="PADD 2023 Y 2024"/>
    <s v="601614"/>
  </r>
  <r>
    <n v="643"/>
    <x v="3"/>
    <x v="0"/>
    <x v="1"/>
    <x v="32"/>
    <s v="Rural"/>
    <s v="Masculino"/>
    <x v="2"/>
    <x v="2"/>
    <x v="6"/>
    <s v="PADD 2023 Y 2024"/>
    <s v="601614"/>
  </r>
  <r>
    <n v="644"/>
    <x v="3"/>
    <x v="0"/>
    <x v="1"/>
    <x v="32"/>
    <s v="Rural"/>
    <s v="Femenino"/>
    <x v="1"/>
    <x v="2"/>
    <x v="6"/>
    <s v="PADD 2023 Y 2024"/>
    <s v="601614"/>
  </r>
  <r>
    <n v="645"/>
    <x v="3"/>
    <x v="0"/>
    <x v="1"/>
    <x v="32"/>
    <s v="Rural"/>
    <s v="Masculino"/>
    <x v="1"/>
    <x v="2"/>
    <x v="6"/>
    <s v="PADD 2023 Y 2024"/>
    <s v="601614"/>
  </r>
  <r>
    <n v="646"/>
    <x v="3"/>
    <x v="1"/>
    <x v="2"/>
    <x v="31"/>
    <s v="Rural"/>
    <s v="Femenino"/>
    <x v="0"/>
    <x v="2"/>
    <x v="3"/>
    <s v="NO PARTICIPÓ"/>
    <s v="El Milagro"/>
  </r>
  <r>
    <n v="647"/>
    <x v="3"/>
    <x v="1"/>
    <x v="2"/>
    <x v="31"/>
    <s v="Rural"/>
    <s v="Masculino"/>
    <x v="0"/>
    <x v="2"/>
    <x v="3"/>
    <s v="NO PARTICIPÓ"/>
    <s v="El Milagro"/>
  </r>
  <r>
    <n v="648"/>
    <x v="3"/>
    <x v="1"/>
    <x v="2"/>
    <x v="31"/>
    <s v="Rural"/>
    <s v="Femenino"/>
    <x v="1"/>
    <x v="2"/>
    <x v="3"/>
    <s v="NO PARTICIPÓ"/>
    <s v="El Milagro"/>
  </r>
  <r>
    <n v="649"/>
    <x v="3"/>
    <x v="1"/>
    <x v="2"/>
    <x v="31"/>
    <s v="Rural"/>
    <s v="Masculino"/>
    <x v="1"/>
    <x v="2"/>
    <x v="3"/>
    <s v="NO PARTICIPÓ"/>
    <s v="El Milagro"/>
  </r>
  <r>
    <n v="650"/>
    <x v="3"/>
    <x v="1"/>
    <x v="2"/>
    <x v="31"/>
    <s v="Rural"/>
    <s v="Masculino"/>
    <x v="0"/>
    <x v="2"/>
    <x v="3"/>
    <s v="NO PARTICIPÓ"/>
    <s v="El Milagro"/>
  </r>
  <r>
    <n v="651"/>
    <x v="3"/>
    <x v="1"/>
    <x v="2"/>
    <x v="31"/>
    <s v="Rural"/>
    <s v="Masculino"/>
    <x v="0"/>
    <x v="2"/>
    <x v="3"/>
    <s v="NO PARTICIPÓ"/>
    <s v="El Milagro"/>
  </r>
  <r>
    <n v="652"/>
    <x v="3"/>
    <x v="1"/>
    <x v="2"/>
    <x v="31"/>
    <s v="Rural"/>
    <s v="Femenino"/>
    <x v="2"/>
    <x v="2"/>
    <x v="3"/>
    <s v="NO PARTICIPÓ"/>
    <s v="El Milagro"/>
  </r>
  <r>
    <n v="653"/>
    <x v="3"/>
    <x v="1"/>
    <x v="2"/>
    <x v="31"/>
    <s v="Rural"/>
    <s v="Femenino"/>
    <x v="0"/>
    <x v="2"/>
    <x v="3"/>
    <s v="NO PARTICIPÓ"/>
    <s v="El Milagro"/>
  </r>
  <r>
    <n v="654"/>
    <x v="3"/>
    <x v="1"/>
    <x v="2"/>
    <x v="31"/>
    <s v="Rural"/>
    <s v="Masculino"/>
    <x v="0"/>
    <x v="2"/>
    <x v="3"/>
    <s v="NO PARTICIPÓ"/>
    <s v="El Milagro"/>
  </r>
  <r>
    <n v="655"/>
    <x v="3"/>
    <x v="1"/>
    <x v="2"/>
    <x v="31"/>
    <s v="Rural"/>
    <s v="Masculino"/>
    <x v="0"/>
    <x v="2"/>
    <x v="3"/>
    <s v="NO PARTICIPÓ"/>
    <s v="El Milagro"/>
  </r>
  <r>
    <n v="656"/>
    <x v="3"/>
    <x v="1"/>
    <x v="2"/>
    <x v="31"/>
    <s v="Rural"/>
    <s v="Femenino"/>
    <x v="0"/>
    <x v="2"/>
    <x v="3"/>
    <s v="NO PARTICIPÓ"/>
    <s v="El Milagro"/>
  </r>
  <r>
    <n v="657"/>
    <x v="3"/>
    <x v="1"/>
    <x v="2"/>
    <x v="31"/>
    <s v="Rural"/>
    <s v="Masculino"/>
    <x v="2"/>
    <x v="2"/>
    <x v="3"/>
    <s v="NO PARTICIPÓ"/>
    <s v="El Milagro"/>
  </r>
  <r>
    <n v="658"/>
    <x v="3"/>
    <x v="1"/>
    <x v="2"/>
    <x v="31"/>
    <s v="Rural"/>
    <s v="Masculino"/>
    <x v="0"/>
    <x v="2"/>
    <x v="3"/>
    <s v="NO PARTICIPÓ"/>
    <s v="El Milagro"/>
  </r>
  <r>
    <n v="659"/>
    <x v="3"/>
    <x v="1"/>
    <x v="2"/>
    <x v="31"/>
    <s v="Rural"/>
    <s v="Masculino"/>
    <x v="0"/>
    <x v="2"/>
    <x v="3"/>
    <s v="NO PARTICIPÓ"/>
    <s v="El Milagro"/>
  </r>
  <r>
    <n v="660"/>
    <x v="3"/>
    <x v="1"/>
    <x v="2"/>
    <x v="31"/>
    <s v="Rural"/>
    <s v="Masculino"/>
    <x v="0"/>
    <x v="2"/>
    <x v="3"/>
    <s v="NO PARTICIPÓ"/>
    <s v="El Milagro"/>
  </r>
  <r>
    <n v="661"/>
    <x v="3"/>
    <x v="1"/>
    <x v="2"/>
    <x v="31"/>
    <s v="Rural"/>
    <s v="Masculino"/>
    <x v="1"/>
    <x v="2"/>
    <x v="3"/>
    <s v="NO PARTICIPÓ"/>
    <s v="El Milagro"/>
  </r>
  <r>
    <n v="662"/>
    <x v="3"/>
    <x v="1"/>
    <x v="2"/>
    <x v="31"/>
    <s v="Rural"/>
    <s v="Masculino"/>
    <x v="0"/>
    <x v="2"/>
    <x v="3"/>
    <s v="NO PARTICIPÓ"/>
    <s v="El Milagro"/>
  </r>
  <r>
    <n v="663"/>
    <x v="3"/>
    <x v="1"/>
    <x v="2"/>
    <x v="31"/>
    <s v="Rural"/>
    <s v="Masculino"/>
    <x v="0"/>
    <x v="2"/>
    <x v="3"/>
    <s v="NO PARTICIPÓ"/>
    <s v="El Milagro"/>
  </r>
  <r>
    <n v="664"/>
    <x v="3"/>
    <x v="1"/>
    <x v="2"/>
    <x v="31"/>
    <s v="Rural"/>
    <s v="Masculino"/>
    <x v="0"/>
    <x v="2"/>
    <x v="3"/>
    <s v="NO PARTICIPÓ"/>
    <s v="El Milagro"/>
  </r>
  <r>
    <n v="665"/>
    <x v="3"/>
    <x v="1"/>
    <x v="2"/>
    <x v="31"/>
    <s v="Rural"/>
    <s v="Masculino"/>
    <x v="0"/>
    <x v="2"/>
    <x v="3"/>
    <s v="NO PARTICIPÓ"/>
    <s v="El Milagro"/>
  </r>
  <r>
    <n v="666"/>
    <x v="3"/>
    <x v="1"/>
    <x v="2"/>
    <x v="31"/>
    <s v="Rural"/>
    <s v="Masculino"/>
    <x v="0"/>
    <x v="2"/>
    <x v="3"/>
    <s v="NO PARTICIPÓ"/>
    <s v="El Milagro"/>
  </r>
  <r>
    <n v="667"/>
    <x v="3"/>
    <x v="1"/>
    <x v="2"/>
    <x v="31"/>
    <s v="Rural"/>
    <s v="Masculino"/>
    <x v="0"/>
    <x v="2"/>
    <x v="3"/>
    <s v="NO PARTICIPÓ"/>
    <s v="El Milagro"/>
  </r>
  <r>
    <n v="668"/>
    <x v="3"/>
    <x v="1"/>
    <x v="2"/>
    <x v="31"/>
    <s v="Rural"/>
    <s v="Masculino"/>
    <x v="0"/>
    <x v="2"/>
    <x v="3"/>
    <s v="NO PARTICIPÓ"/>
    <s v="El Milagro"/>
  </r>
  <r>
    <n v="669"/>
    <x v="3"/>
    <x v="1"/>
    <x v="2"/>
    <x v="31"/>
    <s v="Rural"/>
    <s v="Masculino"/>
    <x v="0"/>
    <x v="2"/>
    <x v="3"/>
    <s v="NO PARTICIPÓ"/>
    <s v="El Milagro"/>
  </r>
  <r>
    <n v="670"/>
    <x v="3"/>
    <x v="1"/>
    <x v="2"/>
    <x v="31"/>
    <s v="Rural"/>
    <s v="Femenino"/>
    <x v="0"/>
    <x v="2"/>
    <x v="3"/>
    <s v="NO PARTICIPÓ"/>
    <s v="El Milagro"/>
  </r>
  <r>
    <n v="671"/>
    <x v="3"/>
    <x v="1"/>
    <x v="2"/>
    <x v="31"/>
    <s v="Rural"/>
    <s v="Masculino"/>
    <x v="0"/>
    <x v="2"/>
    <x v="3"/>
    <s v="NO PARTICIPÓ"/>
    <s v="El Milagro"/>
  </r>
  <r>
    <n v="672"/>
    <x v="3"/>
    <x v="1"/>
    <x v="2"/>
    <x v="31"/>
    <s v="Rural"/>
    <s v="Masculino"/>
    <x v="0"/>
    <x v="2"/>
    <x v="3"/>
    <s v="NO PARTICIPÓ"/>
    <s v="El Milagro"/>
  </r>
  <r>
    <n v="673"/>
    <x v="3"/>
    <x v="1"/>
    <x v="2"/>
    <x v="31"/>
    <s v="Rural"/>
    <s v="Femenino"/>
    <x v="0"/>
    <x v="2"/>
    <x v="3"/>
    <s v="NO PARTICIPÓ"/>
    <s v="El Milagro"/>
  </r>
  <r>
    <n v="674"/>
    <x v="3"/>
    <x v="1"/>
    <x v="2"/>
    <x v="31"/>
    <s v="Rural"/>
    <s v="Femenino"/>
    <x v="1"/>
    <x v="2"/>
    <x v="3"/>
    <s v="NO PARTICIPÓ"/>
    <s v="El Milagro"/>
  </r>
  <r>
    <n v="675"/>
    <x v="3"/>
    <x v="1"/>
    <x v="2"/>
    <x v="31"/>
    <s v="Rural"/>
    <s v="Masculino"/>
    <x v="0"/>
    <x v="2"/>
    <x v="3"/>
    <s v="NO PARTICIPÓ"/>
    <s v="El Milagro"/>
  </r>
  <r>
    <n v="676"/>
    <x v="3"/>
    <x v="1"/>
    <x v="2"/>
    <x v="31"/>
    <s v="Rural"/>
    <s v="Femenino"/>
    <x v="1"/>
    <x v="2"/>
    <x v="3"/>
    <s v="NO PARTICIPÓ"/>
    <s v="El Milagro"/>
  </r>
  <r>
    <n v="677"/>
    <x v="3"/>
    <x v="1"/>
    <x v="2"/>
    <x v="31"/>
    <s v="Rural"/>
    <s v="Femenino"/>
    <x v="0"/>
    <x v="2"/>
    <x v="3"/>
    <s v="NO PARTICIPÓ"/>
    <s v="El Milagro"/>
  </r>
  <r>
    <n v="678"/>
    <x v="3"/>
    <x v="1"/>
    <x v="2"/>
    <x v="31"/>
    <s v="Rural"/>
    <s v="Femenino"/>
    <x v="0"/>
    <x v="2"/>
    <x v="3"/>
    <s v="NO PARTICIPÓ"/>
    <s v="El Milagro"/>
  </r>
  <r>
    <n v="679"/>
    <x v="3"/>
    <x v="1"/>
    <x v="2"/>
    <x v="31"/>
    <s v="Rural"/>
    <s v="Masculino"/>
    <x v="0"/>
    <x v="2"/>
    <x v="3"/>
    <s v="NO PARTICIPÓ"/>
    <s v="El Milagro"/>
  </r>
  <r>
    <n v="680"/>
    <x v="3"/>
    <x v="1"/>
    <x v="2"/>
    <x v="31"/>
    <s v="Rural"/>
    <s v="Femenino"/>
    <x v="0"/>
    <x v="2"/>
    <x v="3"/>
    <s v="NO PARTICIPÓ"/>
    <s v="El Milagro"/>
  </r>
  <r>
    <n v="681"/>
    <x v="3"/>
    <x v="1"/>
    <x v="2"/>
    <x v="31"/>
    <s v="Rural"/>
    <s v="Femenino"/>
    <x v="0"/>
    <x v="2"/>
    <x v="3"/>
    <s v="NO PARTICIPÓ"/>
    <s v="El Milagro"/>
  </r>
  <r>
    <n v="682"/>
    <x v="3"/>
    <x v="1"/>
    <x v="2"/>
    <x v="31"/>
    <s v="Rural"/>
    <s v="Femenino"/>
    <x v="0"/>
    <x v="2"/>
    <x v="3"/>
    <s v="NO PARTICIPÓ"/>
    <s v="El Milagro"/>
  </r>
  <r>
    <n v="683"/>
    <x v="3"/>
    <x v="1"/>
    <x v="2"/>
    <x v="31"/>
    <s v="Rural"/>
    <s v="Femenino"/>
    <x v="0"/>
    <x v="2"/>
    <x v="3"/>
    <s v="NO PARTICIPÓ"/>
    <s v="El Milagro"/>
  </r>
  <r>
    <n v="684"/>
    <x v="3"/>
    <x v="1"/>
    <x v="2"/>
    <x v="31"/>
    <s v="Rural"/>
    <s v="Femenino"/>
    <x v="0"/>
    <x v="2"/>
    <x v="3"/>
    <s v="NO PARTICIPÓ"/>
    <s v="El Milagro"/>
  </r>
  <r>
    <n v="685"/>
    <x v="3"/>
    <x v="1"/>
    <x v="2"/>
    <x v="31"/>
    <s v="Rural"/>
    <s v="Femenino"/>
    <x v="0"/>
    <x v="2"/>
    <x v="3"/>
    <s v="NO PARTICIPÓ"/>
    <s v="El Milagro"/>
  </r>
  <r>
    <n v="686"/>
    <x v="3"/>
    <x v="1"/>
    <x v="3"/>
    <x v="31"/>
    <s v="Rural"/>
    <s v="Masculino"/>
    <x v="1"/>
    <x v="2"/>
    <x v="3"/>
    <s v="NO PARTICIPÓ"/>
    <s v="El Milagro"/>
  </r>
  <r>
    <n v="687"/>
    <x v="3"/>
    <x v="1"/>
    <x v="3"/>
    <x v="31"/>
    <s v="Rural"/>
    <s v="Masculino"/>
    <x v="1"/>
    <x v="2"/>
    <x v="3"/>
    <s v="NO PARTICIPÓ"/>
    <s v="El Milagro"/>
  </r>
  <r>
    <n v="688"/>
    <x v="3"/>
    <x v="1"/>
    <x v="3"/>
    <x v="31"/>
    <s v="Rural"/>
    <s v="Femenino"/>
    <x v="2"/>
    <x v="2"/>
    <x v="3"/>
    <s v="NO PARTICIPÓ"/>
    <s v="El Milagro"/>
  </r>
  <r>
    <n v="689"/>
    <x v="3"/>
    <x v="1"/>
    <x v="3"/>
    <x v="31"/>
    <s v="Rural"/>
    <s v="Masculino"/>
    <x v="1"/>
    <x v="2"/>
    <x v="3"/>
    <s v="NO PARTICIPÓ"/>
    <s v="El Milagro"/>
  </r>
  <r>
    <n v="690"/>
    <x v="3"/>
    <x v="1"/>
    <x v="3"/>
    <x v="31"/>
    <s v="Rural"/>
    <s v="Femenino"/>
    <x v="1"/>
    <x v="2"/>
    <x v="3"/>
    <s v="NO PARTICIPÓ"/>
    <s v="El Milagro"/>
  </r>
  <r>
    <n v="691"/>
    <x v="3"/>
    <x v="1"/>
    <x v="3"/>
    <x v="31"/>
    <s v="Rural"/>
    <s v="Femenino"/>
    <x v="1"/>
    <x v="2"/>
    <x v="3"/>
    <s v="NO PARTICIPÓ"/>
    <s v="El Milagro"/>
  </r>
  <r>
    <n v="692"/>
    <x v="3"/>
    <x v="1"/>
    <x v="3"/>
    <x v="31"/>
    <s v="Rural"/>
    <s v="Femenino"/>
    <x v="2"/>
    <x v="2"/>
    <x v="3"/>
    <s v="NO PARTICIPÓ"/>
    <s v="El Milagro"/>
  </r>
  <r>
    <n v="693"/>
    <x v="3"/>
    <x v="1"/>
    <x v="3"/>
    <x v="31"/>
    <s v="Rural"/>
    <s v="Femenino"/>
    <x v="1"/>
    <x v="2"/>
    <x v="3"/>
    <s v="NO PARTICIPÓ"/>
    <s v="El Milagro"/>
  </r>
  <r>
    <n v="694"/>
    <x v="3"/>
    <x v="1"/>
    <x v="3"/>
    <x v="31"/>
    <s v="Rural"/>
    <s v="Masculino"/>
    <x v="0"/>
    <x v="2"/>
    <x v="3"/>
    <s v="NO PARTICIPÓ"/>
    <s v="El Milagro"/>
  </r>
  <r>
    <n v="695"/>
    <x v="3"/>
    <x v="1"/>
    <x v="3"/>
    <x v="31"/>
    <s v="Rural"/>
    <s v="Femenino"/>
    <x v="0"/>
    <x v="2"/>
    <x v="3"/>
    <s v="NO PARTICIPÓ"/>
    <s v="El Milagro"/>
  </r>
  <r>
    <n v="696"/>
    <x v="3"/>
    <x v="1"/>
    <x v="3"/>
    <x v="31"/>
    <s v="Rural"/>
    <s v="Masculino"/>
    <x v="0"/>
    <x v="2"/>
    <x v="3"/>
    <s v="NO PARTICIPÓ"/>
    <s v="El Milagro"/>
  </r>
  <r>
    <n v="697"/>
    <x v="3"/>
    <x v="1"/>
    <x v="3"/>
    <x v="31"/>
    <s v="Rural"/>
    <s v="Masculino"/>
    <x v="1"/>
    <x v="2"/>
    <x v="3"/>
    <s v="NO PARTICIPÓ"/>
    <s v="El Milagro"/>
  </r>
  <r>
    <n v="698"/>
    <x v="3"/>
    <x v="1"/>
    <x v="3"/>
    <x v="31"/>
    <s v="Rural"/>
    <s v="Masculino"/>
    <x v="0"/>
    <x v="2"/>
    <x v="3"/>
    <s v="NO PARTICIPÓ"/>
    <s v="El Milagro"/>
  </r>
  <r>
    <n v="699"/>
    <x v="3"/>
    <x v="1"/>
    <x v="3"/>
    <x v="31"/>
    <s v="Rural"/>
    <s v="Masculino"/>
    <x v="0"/>
    <x v="2"/>
    <x v="3"/>
    <s v="NO PARTICIPÓ"/>
    <s v="El Milagro"/>
  </r>
  <r>
    <n v="700"/>
    <x v="3"/>
    <x v="1"/>
    <x v="3"/>
    <x v="31"/>
    <s v="Rural"/>
    <s v="Femenino"/>
    <x v="0"/>
    <x v="2"/>
    <x v="3"/>
    <s v="NO PARTICIPÓ"/>
    <s v="El Milagro"/>
  </r>
  <r>
    <n v="701"/>
    <x v="3"/>
    <x v="1"/>
    <x v="3"/>
    <x v="31"/>
    <s v="Rural"/>
    <s v="Masculino"/>
    <x v="0"/>
    <x v="2"/>
    <x v="3"/>
    <s v="NO PARTICIPÓ"/>
    <s v="El Milagro"/>
  </r>
  <r>
    <n v="702"/>
    <x v="3"/>
    <x v="1"/>
    <x v="3"/>
    <x v="31"/>
    <s v="Rural"/>
    <s v="Femenino"/>
    <x v="0"/>
    <x v="2"/>
    <x v="3"/>
    <s v="NO PARTICIPÓ"/>
    <s v="El Milagro"/>
  </r>
  <r>
    <n v="703"/>
    <x v="3"/>
    <x v="1"/>
    <x v="3"/>
    <x v="31"/>
    <s v="Rural"/>
    <s v="Masculino"/>
    <x v="0"/>
    <x v="2"/>
    <x v="3"/>
    <s v="NO PARTICIPÓ"/>
    <s v="El Milagro"/>
  </r>
  <r>
    <n v="704"/>
    <x v="3"/>
    <x v="1"/>
    <x v="3"/>
    <x v="31"/>
    <s v="Rural"/>
    <s v="Masculino"/>
    <x v="0"/>
    <x v="2"/>
    <x v="3"/>
    <s v="NO PARTICIPÓ"/>
    <s v="El Milagro"/>
  </r>
  <r>
    <n v="705"/>
    <x v="3"/>
    <x v="1"/>
    <x v="3"/>
    <x v="31"/>
    <s v="Rural"/>
    <s v="Femenino"/>
    <x v="1"/>
    <x v="2"/>
    <x v="3"/>
    <s v="NO PARTICIPÓ"/>
    <s v="El Milagro"/>
  </r>
  <r>
    <n v="706"/>
    <x v="3"/>
    <x v="1"/>
    <x v="3"/>
    <x v="31"/>
    <s v="Rural"/>
    <s v="Masculino"/>
    <x v="0"/>
    <x v="2"/>
    <x v="3"/>
    <s v="NO PARTICIPÓ"/>
    <s v="El Milagro"/>
  </r>
  <r>
    <n v="707"/>
    <x v="3"/>
    <x v="1"/>
    <x v="3"/>
    <x v="31"/>
    <s v="Rural"/>
    <s v="Masculino"/>
    <x v="0"/>
    <x v="2"/>
    <x v="3"/>
    <s v="NO PARTICIPÓ"/>
    <s v="El Milagro"/>
  </r>
  <r>
    <n v="708"/>
    <x v="3"/>
    <x v="1"/>
    <x v="3"/>
    <x v="31"/>
    <s v="Rural"/>
    <s v="Masculino"/>
    <x v="0"/>
    <x v="2"/>
    <x v="3"/>
    <s v="NO PARTICIPÓ"/>
    <s v="El Milagro"/>
  </r>
  <r>
    <n v="709"/>
    <x v="3"/>
    <x v="0"/>
    <x v="4"/>
    <x v="34"/>
    <s v="Rural"/>
    <s v="Masculino"/>
    <x v="0"/>
    <x v="2"/>
    <x v="1"/>
    <s v="SOLO 2023"/>
    <s v="601514"/>
  </r>
  <r>
    <n v="710"/>
    <x v="3"/>
    <x v="0"/>
    <x v="4"/>
    <x v="34"/>
    <s v="Rural"/>
    <s v="Femenino"/>
    <x v="1"/>
    <x v="2"/>
    <x v="1"/>
    <s v="SOLO 2023"/>
    <s v="601514"/>
  </r>
  <r>
    <n v="711"/>
    <x v="3"/>
    <x v="0"/>
    <x v="4"/>
    <x v="34"/>
    <s v="Rural"/>
    <s v="Femenino"/>
    <x v="0"/>
    <x v="2"/>
    <x v="1"/>
    <s v="SOLO 2023"/>
    <s v="601514"/>
  </r>
  <r>
    <n v="712"/>
    <x v="3"/>
    <x v="0"/>
    <x v="4"/>
    <x v="34"/>
    <s v="Rural"/>
    <s v="Femenino"/>
    <x v="0"/>
    <x v="2"/>
    <x v="1"/>
    <s v="SOLO 2023"/>
    <s v="601514"/>
  </r>
  <r>
    <n v="713"/>
    <x v="3"/>
    <x v="0"/>
    <x v="0"/>
    <x v="34"/>
    <s v="Rural"/>
    <s v="Femenino"/>
    <x v="1"/>
    <x v="2"/>
    <x v="1"/>
    <s v="SOLO 2023"/>
    <s v="601514"/>
  </r>
  <r>
    <n v="714"/>
    <x v="3"/>
    <x v="0"/>
    <x v="0"/>
    <x v="34"/>
    <s v="Rural"/>
    <s v="Masculino"/>
    <x v="1"/>
    <x v="2"/>
    <x v="1"/>
    <s v="SOLO 2023"/>
    <s v="601514"/>
  </r>
  <r>
    <n v="715"/>
    <x v="3"/>
    <x v="0"/>
    <x v="0"/>
    <x v="34"/>
    <s v="Rural"/>
    <s v="Masculino"/>
    <x v="1"/>
    <x v="2"/>
    <x v="1"/>
    <s v="SOLO 2023"/>
    <s v="601514"/>
  </r>
  <r>
    <n v="716"/>
    <x v="3"/>
    <x v="0"/>
    <x v="0"/>
    <x v="34"/>
    <s v="Rural"/>
    <s v="Femenino"/>
    <x v="0"/>
    <x v="2"/>
    <x v="1"/>
    <s v="SOLO 2023"/>
    <s v="601514"/>
  </r>
  <r>
    <n v="717"/>
    <x v="3"/>
    <x v="0"/>
    <x v="0"/>
    <x v="34"/>
    <s v="Rural"/>
    <s v="Masculino"/>
    <x v="0"/>
    <x v="2"/>
    <x v="1"/>
    <s v="SOLO 2023"/>
    <s v="601514"/>
  </r>
  <r>
    <n v="718"/>
    <x v="3"/>
    <x v="0"/>
    <x v="0"/>
    <x v="34"/>
    <s v="Rural"/>
    <s v="Masculino"/>
    <x v="1"/>
    <x v="2"/>
    <x v="1"/>
    <s v="SOLO 2023"/>
    <s v="601514"/>
  </r>
  <r>
    <n v="719"/>
    <x v="3"/>
    <x v="0"/>
    <x v="0"/>
    <x v="34"/>
    <s v="Rural"/>
    <s v="Femenino"/>
    <x v="1"/>
    <x v="2"/>
    <x v="1"/>
    <s v="SOLO 2023"/>
    <s v="601514"/>
  </r>
  <r>
    <n v="720"/>
    <x v="3"/>
    <x v="0"/>
    <x v="0"/>
    <x v="34"/>
    <s v="Rural"/>
    <s v="Femenino"/>
    <x v="0"/>
    <x v="2"/>
    <x v="1"/>
    <s v="SOLO 2023"/>
    <s v="601514"/>
  </r>
  <r>
    <n v="721"/>
    <x v="3"/>
    <x v="0"/>
    <x v="1"/>
    <x v="34"/>
    <s v="Rural"/>
    <s v="Femenino"/>
    <x v="0"/>
    <x v="2"/>
    <x v="1"/>
    <s v="SOLO 2023"/>
    <s v="601514"/>
  </r>
  <r>
    <n v="722"/>
    <x v="3"/>
    <x v="0"/>
    <x v="1"/>
    <x v="34"/>
    <s v="Rural"/>
    <s v="Masculino"/>
    <x v="1"/>
    <x v="2"/>
    <x v="1"/>
    <s v="SOLO 2023"/>
    <s v="601514"/>
  </r>
  <r>
    <n v="723"/>
    <x v="3"/>
    <x v="0"/>
    <x v="1"/>
    <x v="34"/>
    <s v="Rural"/>
    <s v="Masculino"/>
    <x v="1"/>
    <x v="2"/>
    <x v="1"/>
    <s v="SOLO 2023"/>
    <s v="601514"/>
  </r>
  <r>
    <n v="724"/>
    <x v="3"/>
    <x v="0"/>
    <x v="1"/>
    <x v="34"/>
    <s v="Rural"/>
    <s v="Masculino"/>
    <x v="0"/>
    <x v="2"/>
    <x v="1"/>
    <s v="SOLO 2023"/>
    <s v="601514"/>
  </r>
  <r>
    <n v="725"/>
    <x v="3"/>
    <x v="0"/>
    <x v="1"/>
    <x v="34"/>
    <s v="Rural"/>
    <s v="Masculino"/>
    <x v="0"/>
    <x v="2"/>
    <x v="1"/>
    <s v="SOLO 2023"/>
    <s v="601514"/>
  </r>
  <r>
    <n v="726"/>
    <x v="3"/>
    <x v="0"/>
    <x v="1"/>
    <x v="34"/>
    <s v="Rural"/>
    <s v="Masculino"/>
    <x v="0"/>
    <x v="2"/>
    <x v="1"/>
    <s v="SOLO 2023"/>
    <s v="601514"/>
  </r>
  <r>
    <n v="727"/>
    <x v="3"/>
    <x v="0"/>
    <x v="1"/>
    <x v="34"/>
    <s v="Rural"/>
    <s v="Masculino"/>
    <x v="0"/>
    <x v="2"/>
    <x v="1"/>
    <s v="SOLO 2023"/>
    <s v="601514"/>
  </r>
  <r>
    <n v="728"/>
    <x v="3"/>
    <x v="0"/>
    <x v="1"/>
    <x v="34"/>
    <s v="Rural"/>
    <s v="Masculino"/>
    <x v="0"/>
    <x v="2"/>
    <x v="1"/>
    <s v="SOLO 2023"/>
    <s v="601514"/>
  </r>
  <r>
    <n v="729"/>
    <x v="3"/>
    <x v="0"/>
    <x v="1"/>
    <x v="34"/>
    <s v="Rural"/>
    <s v="Femenino"/>
    <x v="0"/>
    <x v="2"/>
    <x v="1"/>
    <s v="SOLO 2023"/>
    <s v="601514"/>
  </r>
  <r>
    <n v="730"/>
    <x v="3"/>
    <x v="0"/>
    <x v="4"/>
    <x v="35"/>
    <s v="Rural"/>
    <s v="Masculino"/>
    <x v="0"/>
    <x v="2"/>
    <x v="3"/>
    <s v="SOLO 2023"/>
    <s v="601331"/>
  </r>
  <r>
    <n v="731"/>
    <x v="3"/>
    <x v="0"/>
    <x v="4"/>
    <x v="35"/>
    <s v="Rural"/>
    <s v="Masculino"/>
    <x v="1"/>
    <x v="2"/>
    <x v="3"/>
    <s v="SOLO 2023"/>
    <s v="601331"/>
  </r>
  <r>
    <n v="732"/>
    <x v="3"/>
    <x v="0"/>
    <x v="4"/>
    <x v="35"/>
    <s v="Rural"/>
    <s v="Masculino"/>
    <x v="0"/>
    <x v="2"/>
    <x v="3"/>
    <s v="SOLO 2023"/>
    <s v="601331"/>
  </r>
  <r>
    <n v="733"/>
    <x v="3"/>
    <x v="0"/>
    <x v="4"/>
    <x v="35"/>
    <s v="Rural"/>
    <s v="Femenino"/>
    <x v="0"/>
    <x v="2"/>
    <x v="3"/>
    <s v="SOLO 2023"/>
    <s v="601331"/>
  </r>
  <r>
    <n v="734"/>
    <x v="3"/>
    <x v="0"/>
    <x v="4"/>
    <x v="35"/>
    <s v="Rural"/>
    <s v="Masculino"/>
    <x v="0"/>
    <x v="2"/>
    <x v="3"/>
    <s v="SOLO 2023"/>
    <s v="601331"/>
  </r>
  <r>
    <n v="735"/>
    <x v="3"/>
    <x v="0"/>
    <x v="4"/>
    <x v="35"/>
    <s v="Rural"/>
    <s v="Femenino"/>
    <x v="0"/>
    <x v="2"/>
    <x v="3"/>
    <s v="SOLO 2023"/>
    <s v="601331"/>
  </r>
  <r>
    <n v="736"/>
    <x v="3"/>
    <x v="0"/>
    <x v="4"/>
    <x v="35"/>
    <s v="Rural"/>
    <s v="Femenino"/>
    <x v="0"/>
    <x v="2"/>
    <x v="3"/>
    <s v="SOLO 2023"/>
    <s v="601331"/>
  </r>
  <r>
    <n v="737"/>
    <x v="3"/>
    <x v="0"/>
    <x v="4"/>
    <x v="35"/>
    <s v="Rural"/>
    <s v="Masculino"/>
    <x v="0"/>
    <x v="2"/>
    <x v="3"/>
    <s v="SOLO 2023"/>
    <s v="601331"/>
  </r>
  <r>
    <n v="738"/>
    <x v="3"/>
    <x v="0"/>
    <x v="4"/>
    <x v="35"/>
    <s v="Rural"/>
    <s v="Masculino"/>
    <x v="0"/>
    <x v="2"/>
    <x v="3"/>
    <s v="SOLO 2023"/>
    <s v="601331"/>
  </r>
  <r>
    <n v="739"/>
    <x v="3"/>
    <x v="0"/>
    <x v="4"/>
    <x v="35"/>
    <s v="Rural"/>
    <s v="Femenino"/>
    <x v="0"/>
    <x v="2"/>
    <x v="3"/>
    <s v="SOLO 2023"/>
    <s v="601331"/>
  </r>
  <r>
    <n v="740"/>
    <x v="3"/>
    <x v="0"/>
    <x v="4"/>
    <x v="35"/>
    <s v="Rural"/>
    <s v="Masculino"/>
    <x v="0"/>
    <x v="2"/>
    <x v="3"/>
    <s v="SOLO 2023"/>
    <s v="601331"/>
  </r>
  <r>
    <n v="741"/>
    <x v="3"/>
    <x v="0"/>
    <x v="4"/>
    <x v="35"/>
    <s v="Rural"/>
    <s v="Femenino"/>
    <x v="0"/>
    <x v="2"/>
    <x v="3"/>
    <s v="SOLO 2023"/>
    <s v="601331"/>
  </r>
  <r>
    <n v="742"/>
    <x v="3"/>
    <x v="0"/>
    <x v="4"/>
    <x v="35"/>
    <s v="Rural"/>
    <s v="Masculino"/>
    <x v="0"/>
    <x v="2"/>
    <x v="3"/>
    <s v="SOLO 2023"/>
    <s v="601331"/>
  </r>
  <r>
    <n v="743"/>
    <x v="3"/>
    <x v="0"/>
    <x v="4"/>
    <x v="35"/>
    <s v="Rural"/>
    <s v="Masculino"/>
    <x v="0"/>
    <x v="2"/>
    <x v="3"/>
    <s v="SOLO 2023"/>
    <s v="601331"/>
  </r>
  <r>
    <n v="744"/>
    <x v="3"/>
    <x v="0"/>
    <x v="4"/>
    <x v="35"/>
    <s v="Rural"/>
    <s v="Femenino"/>
    <x v="0"/>
    <x v="2"/>
    <x v="3"/>
    <s v="SOLO 2023"/>
    <s v="601331"/>
  </r>
  <r>
    <n v="745"/>
    <x v="3"/>
    <x v="0"/>
    <x v="4"/>
    <x v="35"/>
    <s v="Rural"/>
    <s v="Femenino"/>
    <x v="0"/>
    <x v="2"/>
    <x v="3"/>
    <s v="SOLO 2023"/>
    <s v="601331"/>
  </r>
  <r>
    <n v="746"/>
    <x v="3"/>
    <x v="0"/>
    <x v="4"/>
    <x v="35"/>
    <s v="Rural"/>
    <s v="Femenino"/>
    <x v="0"/>
    <x v="2"/>
    <x v="3"/>
    <s v="SOLO 2023"/>
    <s v="601331"/>
  </r>
  <r>
    <n v="747"/>
    <x v="3"/>
    <x v="0"/>
    <x v="4"/>
    <x v="35"/>
    <s v="Rural"/>
    <s v="Masculino"/>
    <x v="0"/>
    <x v="2"/>
    <x v="3"/>
    <s v="SOLO 2023"/>
    <s v="601331"/>
  </r>
  <r>
    <n v="748"/>
    <x v="3"/>
    <x v="0"/>
    <x v="4"/>
    <x v="35"/>
    <s v="Rural"/>
    <s v="Masculino"/>
    <x v="0"/>
    <x v="2"/>
    <x v="3"/>
    <s v="SOLO 2023"/>
    <s v="601331"/>
  </r>
  <r>
    <n v="749"/>
    <x v="3"/>
    <x v="0"/>
    <x v="4"/>
    <x v="35"/>
    <s v="Rural"/>
    <s v="Masculino"/>
    <x v="0"/>
    <x v="2"/>
    <x v="3"/>
    <s v="SOLO 2023"/>
    <s v="601331"/>
  </r>
  <r>
    <n v="750"/>
    <x v="3"/>
    <x v="0"/>
    <x v="4"/>
    <x v="35"/>
    <s v="Rural"/>
    <s v="Femenino"/>
    <x v="1"/>
    <x v="2"/>
    <x v="3"/>
    <s v="SOLO 2023"/>
    <s v="601331"/>
  </r>
  <r>
    <n v="751"/>
    <x v="3"/>
    <x v="0"/>
    <x v="4"/>
    <x v="35"/>
    <s v="Rural"/>
    <s v="Masculino"/>
    <x v="0"/>
    <x v="2"/>
    <x v="3"/>
    <s v="SOLO 2023"/>
    <s v="601331"/>
  </r>
  <r>
    <n v="752"/>
    <x v="3"/>
    <x v="0"/>
    <x v="0"/>
    <x v="35"/>
    <s v="Rural"/>
    <s v="Femenino"/>
    <x v="0"/>
    <x v="2"/>
    <x v="3"/>
    <s v="SOLO 2023"/>
    <s v="601331"/>
  </r>
  <r>
    <n v="753"/>
    <x v="3"/>
    <x v="0"/>
    <x v="0"/>
    <x v="35"/>
    <s v="Rural"/>
    <s v="Femenino"/>
    <x v="0"/>
    <x v="2"/>
    <x v="3"/>
    <s v="SOLO 2023"/>
    <s v="601331"/>
  </r>
  <r>
    <n v="754"/>
    <x v="3"/>
    <x v="0"/>
    <x v="0"/>
    <x v="35"/>
    <s v="Rural"/>
    <s v="Femenino"/>
    <x v="0"/>
    <x v="2"/>
    <x v="3"/>
    <s v="SOLO 2023"/>
    <s v="601331"/>
  </r>
  <r>
    <n v="755"/>
    <x v="3"/>
    <x v="0"/>
    <x v="0"/>
    <x v="35"/>
    <s v="Rural"/>
    <s v="Masculino"/>
    <x v="0"/>
    <x v="2"/>
    <x v="3"/>
    <s v="SOLO 2023"/>
    <s v="601331"/>
  </r>
  <r>
    <n v="756"/>
    <x v="3"/>
    <x v="0"/>
    <x v="0"/>
    <x v="35"/>
    <s v="Rural"/>
    <s v="Masculino"/>
    <x v="0"/>
    <x v="2"/>
    <x v="3"/>
    <s v="SOLO 2023"/>
    <s v="601331"/>
  </r>
  <r>
    <n v="757"/>
    <x v="3"/>
    <x v="0"/>
    <x v="0"/>
    <x v="35"/>
    <s v="Rural"/>
    <s v="Femenino"/>
    <x v="0"/>
    <x v="2"/>
    <x v="3"/>
    <s v="SOLO 2023"/>
    <s v="601331"/>
  </r>
  <r>
    <n v="758"/>
    <x v="3"/>
    <x v="0"/>
    <x v="0"/>
    <x v="35"/>
    <s v="Rural"/>
    <s v="Masculino"/>
    <x v="1"/>
    <x v="2"/>
    <x v="3"/>
    <s v="SOLO 2023"/>
    <s v="601331"/>
  </r>
  <r>
    <n v="759"/>
    <x v="3"/>
    <x v="0"/>
    <x v="0"/>
    <x v="35"/>
    <s v="Rural"/>
    <s v="Masculino"/>
    <x v="0"/>
    <x v="2"/>
    <x v="3"/>
    <s v="SOLO 2023"/>
    <s v="601331"/>
  </r>
  <r>
    <n v="760"/>
    <x v="3"/>
    <x v="0"/>
    <x v="0"/>
    <x v="35"/>
    <s v="Rural"/>
    <s v="Masculino"/>
    <x v="0"/>
    <x v="2"/>
    <x v="3"/>
    <s v="SOLO 2023"/>
    <s v="601331"/>
  </r>
  <r>
    <n v="761"/>
    <x v="3"/>
    <x v="0"/>
    <x v="0"/>
    <x v="35"/>
    <s v="Rural"/>
    <s v="Femenino"/>
    <x v="0"/>
    <x v="2"/>
    <x v="3"/>
    <s v="SOLO 2023"/>
    <s v="601331"/>
  </r>
  <r>
    <n v="762"/>
    <x v="3"/>
    <x v="0"/>
    <x v="0"/>
    <x v="35"/>
    <s v="Rural"/>
    <s v="Femenino"/>
    <x v="0"/>
    <x v="2"/>
    <x v="3"/>
    <s v="SOLO 2023"/>
    <s v="601331"/>
  </r>
  <r>
    <n v="763"/>
    <x v="3"/>
    <x v="0"/>
    <x v="0"/>
    <x v="35"/>
    <s v="Rural"/>
    <s v="Masculino"/>
    <x v="0"/>
    <x v="2"/>
    <x v="3"/>
    <s v="SOLO 2023"/>
    <s v="601331"/>
  </r>
  <r>
    <n v="764"/>
    <x v="3"/>
    <x v="0"/>
    <x v="0"/>
    <x v="35"/>
    <s v="Rural"/>
    <s v="Femenino"/>
    <x v="0"/>
    <x v="2"/>
    <x v="3"/>
    <s v="SOLO 2023"/>
    <s v="601331"/>
  </r>
  <r>
    <n v="765"/>
    <x v="3"/>
    <x v="0"/>
    <x v="1"/>
    <x v="35"/>
    <s v="Rural"/>
    <s v="Femenino"/>
    <x v="0"/>
    <x v="2"/>
    <x v="3"/>
    <s v="SOLO 2023"/>
    <s v="601331"/>
  </r>
  <r>
    <n v="766"/>
    <x v="3"/>
    <x v="0"/>
    <x v="1"/>
    <x v="35"/>
    <s v="Rural"/>
    <s v="Femenino"/>
    <x v="0"/>
    <x v="2"/>
    <x v="3"/>
    <s v="SOLO 2023"/>
    <s v="601331"/>
  </r>
  <r>
    <n v="767"/>
    <x v="3"/>
    <x v="0"/>
    <x v="1"/>
    <x v="35"/>
    <s v="Rural"/>
    <s v="Masculino"/>
    <x v="0"/>
    <x v="2"/>
    <x v="3"/>
    <s v="SOLO 2023"/>
    <s v="601331"/>
  </r>
  <r>
    <n v="768"/>
    <x v="3"/>
    <x v="0"/>
    <x v="1"/>
    <x v="35"/>
    <s v="Rural"/>
    <s v="Femenino"/>
    <x v="0"/>
    <x v="2"/>
    <x v="3"/>
    <s v="SOLO 2023"/>
    <s v="601331"/>
  </r>
  <r>
    <n v="769"/>
    <x v="3"/>
    <x v="0"/>
    <x v="1"/>
    <x v="35"/>
    <s v="Rural"/>
    <s v="Femenino"/>
    <x v="0"/>
    <x v="2"/>
    <x v="3"/>
    <s v="SOLO 2023"/>
    <s v="601331"/>
  </r>
  <r>
    <n v="770"/>
    <x v="3"/>
    <x v="0"/>
    <x v="1"/>
    <x v="35"/>
    <s v="Rural"/>
    <s v="Femenino"/>
    <x v="0"/>
    <x v="2"/>
    <x v="3"/>
    <s v="SOLO 2023"/>
    <s v="601331"/>
  </r>
  <r>
    <n v="771"/>
    <x v="3"/>
    <x v="0"/>
    <x v="1"/>
    <x v="35"/>
    <s v="Rural"/>
    <s v="Femenino"/>
    <x v="0"/>
    <x v="2"/>
    <x v="3"/>
    <s v="SOLO 2023"/>
    <s v="601331"/>
  </r>
  <r>
    <n v="772"/>
    <x v="3"/>
    <x v="0"/>
    <x v="1"/>
    <x v="35"/>
    <s v="Rural"/>
    <s v="Femenino"/>
    <x v="0"/>
    <x v="2"/>
    <x v="3"/>
    <s v="SOLO 2023"/>
    <s v="601331"/>
  </r>
  <r>
    <n v="773"/>
    <x v="3"/>
    <x v="0"/>
    <x v="1"/>
    <x v="35"/>
    <s v="Rural"/>
    <s v="Masculino"/>
    <x v="0"/>
    <x v="2"/>
    <x v="3"/>
    <s v="SOLO 2023"/>
    <s v="601331"/>
  </r>
  <r>
    <n v="774"/>
    <x v="3"/>
    <x v="0"/>
    <x v="1"/>
    <x v="35"/>
    <s v="Rural"/>
    <s v="Masculino"/>
    <x v="0"/>
    <x v="2"/>
    <x v="3"/>
    <s v="SOLO 2023"/>
    <s v="601331"/>
  </r>
  <r>
    <n v="775"/>
    <x v="3"/>
    <x v="0"/>
    <x v="1"/>
    <x v="35"/>
    <s v="Rural"/>
    <s v="Masculino"/>
    <x v="0"/>
    <x v="2"/>
    <x v="3"/>
    <s v="SOLO 2023"/>
    <s v="601331"/>
  </r>
  <r>
    <n v="776"/>
    <x v="3"/>
    <x v="0"/>
    <x v="1"/>
    <x v="35"/>
    <s v="Rural"/>
    <s v="Masculino"/>
    <x v="0"/>
    <x v="2"/>
    <x v="3"/>
    <s v="SOLO 2023"/>
    <s v="601331"/>
  </r>
  <r>
    <n v="777"/>
    <x v="3"/>
    <x v="0"/>
    <x v="1"/>
    <x v="35"/>
    <s v="Rural"/>
    <s v="Masculino"/>
    <x v="0"/>
    <x v="2"/>
    <x v="3"/>
    <s v="SOLO 2023"/>
    <s v="601331"/>
  </r>
  <r>
    <n v="778"/>
    <x v="3"/>
    <x v="0"/>
    <x v="1"/>
    <x v="35"/>
    <s v="Rural"/>
    <s v="Masculino"/>
    <x v="0"/>
    <x v="2"/>
    <x v="3"/>
    <s v="SOLO 2023"/>
    <s v="601331"/>
  </r>
  <r>
    <n v="779"/>
    <x v="3"/>
    <x v="0"/>
    <x v="1"/>
    <x v="35"/>
    <s v="Rural"/>
    <s v="Masculino"/>
    <x v="0"/>
    <x v="2"/>
    <x v="3"/>
    <s v="SOLO 2023"/>
    <s v="601331"/>
  </r>
  <r>
    <n v="780"/>
    <x v="3"/>
    <x v="0"/>
    <x v="1"/>
    <x v="35"/>
    <s v="Rural"/>
    <s v="Masculino"/>
    <x v="0"/>
    <x v="2"/>
    <x v="3"/>
    <s v="SOLO 2023"/>
    <s v="601331"/>
  </r>
  <r>
    <n v="781"/>
    <x v="3"/>
    <x v="0"/>
    <x v="1"/>
    <x v="35"/>
    <s v="Rural"/>
    <s v="Femenino"/>
    <x v="0"/>
    <x v="2"/>
    <x v="3"/>
    <s v="SOLO 2023"/>
    <s v="601331"/>
  </r>
  <r>
    <n v="782"/>
    <x v="3"/>
    <x v="0"/>
    <x v="1"/>
    <x v="35"/>
    <s v="Rural"/>
    <s v="Masculino"/>
    <x v="1"/>
    <x v="2"/>
    <x v="3"/>
    <s v="SOLO 2023"/>
    <s v="601331"/>
  </r>
  <r>
    <n v="783"/>
    <x v="3"/>
    <x v="1"/>
    <x v="2"/>
    <x v="35"/>
    <s v="Rural"/>
    <s v="Masculino"/>
    <x v="1"/>
    <x v="2"/>
    <x v="3"/>
    <s v="SOLO 2023"/>
    <s v="601331"/>
  </r>
  <r>
    <n v="784"/>
    <x v="3"/>
    <x v="1"/>
    <x v="2"/>
    <x v="35"/>
    <s v="Rural"/>
    <s v="Masculino"/>
    <x v="1"/>
    <x v="2"/>
    <x v="3"/>
    <s v="SOLO 2023"/>
    <s v="601331"/>
  </r>
  <r>
    <n v="785"/>
    <x v="3"/>
    <x v="1"/>
    <x v="2"/>
    <x v="35"/>
    <s v="Rural"/>
    <s v="Femenino"/>
    <x v="0"/>
    <x v="2"/>
    <x v="3"/>
    <s v="SOLO 2023"/>
    <s v="601331"/>
  </r>
  <r>
    <n v="786"/>
    <x v="3"/>
    <x v="1"/>
    <x v="2"/>
    <x v="35"/>
    <s v="Rural"/>
    <s v="Femenino"/>
    <x v="0"/>
    <x v="2"/>
    <x v="3"/>
    <s v="SOLO 2023"/>
    <s v="601331"/>
  </r>
  <r>
    <n v="787"/>
    <x v="3"/>
    <x v="1"/>
    <x v="2"/>
    <x v="35"/>
    <s v="Rural"/>
    <s v="Femenino"/>
    <x v="1"/>
    <x v="2"/>
    <x v="3"/>
    <s v="SOLO 2023"/>
    <s v="601331"/>
  </r>
  <r>
    <n v="788"/>
    <x v="3"/>
    <x v="1"/>
    <x v="2"/>
    <x v="35"/>
    <s v="Rural"/>
    <s v="Femenino"/>
    <x v="1"/>
    <x v="2"/>
    <x v="3"/>
    <s v="SOLO 2023"/>
    <s v="601331"/>
  </r>
  <r>
    <n v="789"/>
    <x v="3"/>
    <x v="1"/>
    <x v="2"/>
    <x v="35"/>
    <s v="Rural"/>
    <s v="Femenino"/>
    <x v="0"/>
    <x v="2"/>
    <x v="3"/>
    <s v="SOLO 2023"/>
    <s v="601331"/>
  </r>
  <r>
    <n v="790"/>
    <x v="3"/>
    <x v="1"/>
    <x v="2"/>
    <x v="35"/>
    <s v="Rural"/>
    <s v="Masculino"/>
    <x v="0"/>
    <x v="2"/>
    <x v="3"/>
    <s v="SOLO 2023"/>
    <s v="601331"/>
  </r>
  <r>
    <n v="791"/>
    <x v="3"/>
    <x v="1"/>
    <x v="2"/>
    <x v="35"/>
    <s v="Rural"/>
    <s v="Femenino"/>
    <x v="0"/>
    <x v="2"/>
    <x v="3"/>
    <s v="SOLO 2023"/>
    <s v="601331"/>
  </r>
  <r>
    <n v="792"/>
    <x v="3"/>
    <x v="1"/>
    <x v="2"/>
    <x v="35"/>
    <s v="Rural"/>
    <s v="Masculino"/>
    <x v="0"/>
    <x v="2"/>
    <x v="3"/>
    <s v="SOLO 2023"/>
    <s v="601331"/>
  </r>
  <r>
    <n v="793"/>
    <x v="3"/>
    <x v="1"/>
    <x v="2"/>
    <x v="35"/>
    <s v="Rural"/>
    <s v="Masculino"/>
    <x v="0"/>
    <x v="2"/>
    <x v="3"/>
    <s v="SOLO 2023"/>
    <s v="601331"/>
  </r>
  <r>
    <n v="794"/>
    <x v="3"/>
    <x v="1"/>
    <x v="2"/>
    <x v="35"/>
    <s v="Rural"/>
    <s v="Femenino"/>
    <x v="0"/>
    <x v="2"/>
    <x v="3"/>
    <s v="SOLO 2023"/>
    <s v="601331"/>
  </r>
  <r>
    <n v="795"/>
    <x v="3"/>
    <x v="1"/>
    <x v="2"/>
    <x v="35"/>
    <s v="Rural"/>
    <s v="Masculino"/>
    <x v="0"/>
    <x v="2"/>
    <x v="3"/>
    <s v="SOLO 2023"/>
    <s v="601331"/>
  </r>
  <r>
    <n v="796"/>
    <x v="3"/>
    <x v="1"/>
    <x v="2"/>
    <x v="35"/>
    <s v="Rural"/>
    <s v="Masculino"/>
    <x v="0"/>
    <x v="2"/>
    <x v="3"/>
    <s v="SOLO 2023"/>
    <s v="601331"/>
  </r>
  <r>
    <n v="797"/>
    <x v="3"/>
    <x v="1"/>
    <x v="3"/>
    <x v="35"/>
    <s v="Rural"/>
    <s v="Masculino"/>
    <x v="0"/>
    <x v="2"/>
    <x v="3"/>
    <s v="SOLO 2023"/>
    <s v="601331"/>
  </r>
  <r>
    <n v="798"/>
    <x v="3"/>
    <x v="1"/>
    <x v="3"/>
    <x v="35"/>
    <s v="Rural"/>
    <s v="Femenino"/>
    <x v="0"/>
    <x v="2"/>
    <x v="3"/>
    <s v="SOLO 2023"/>
    <s v="601331"/>
  </r>
  <r>
    <n v="799"/>
    <x v="3"/>
    <x v="1"/>
    <x v="3"/>
    <x v="35"/>
    <s v="Rural"/>
    <s v="Femenino"/>
    <x v="0"/>
    <x v="2"/>
    <x v="3"/>
    <s v="SOLO 2023"/>
    <s v="601331"/>
  </r>
  <r>
    <n v="800"/>
    <x v="3"/>
    <x v="1"/>
    <x v="3"/>
    <x v="35"/>
    <s v="Rural"/>
    <s v="Femenino"/>
    <x v="0"/>
    <x v="2"/>
    <x v="3"/>
    <s v="SOLO 2023"/>
    <s v="601331"/>
  </r>
  <r>
    <n v="801"/>
    <x v="3"/>
    <x v="1"/>
    <x v="3"/>
    <x v="35"/>
    <s v="Rural"/>
    <s v="Masculino"/>
    <x v="0"/>
    <x v="2"/>
    <x v="3"/>
    <s v="SOLO 2023"/>
    <s v="601331"/>
  </r>
  <r>
    <n v="802"/>
    <x v="3"/>
    <x v="1"/>
    <x v="3"/>
    <x v="35"/>
    <s v="Rural"/>
    <s v="Femenino"/>
    <x v="0"/>
    <x v="2"/>
    <x v="3"/>
    <s v="SOLO 2023"/>
    <s v="601331"/>
  </r>
  <r>
    <n v="803"/>
    <x v="3"/>
    <x v="1"/>
    <x v="3"/>
    <x v="35"/>
    <s v="Rural"/>
    <s v="Masculino"/>
    <x v="0"/>
    <x v="2"/>
    <x v="3"/>
    <s v="SOLO 2023"/>
    <s v="601331"/>
  </r>
  <r>
    <n v="804"/>
    <x v="3"/>
    <x v="1"/>
    <x v="3"/>
    <x v="35"/>
    <s v="Rural"/>
    <s v="Masculino"/>
    <x v="0"/>
    <x v="2"/>
    <x v="3"/>
    <s v="SOLO 2023"/>
    <s v="601331"/>
  </r>
  <r>
    <n v="805"/>
    <x v="3"/>
    <x v="1"/>
    <x v="3"/>
    <x v="35"/>
    <s v="Rural"/>
    <s v="Femenino"/>
    <x v="0"/>
    <x v="2"/>
    <x v="3"/>
    <s v="SOLO 2023"/>
    <s v="601331"/>
  </r>
  <r>
    <n v="806"/>
    <x v="3"/>
    <x v="1"/>
    <x v="3"/>
    <x v="35"/>
    <s v="Rural"/>
    <s v="Femenino"/>
    <x v="0"/>
    <x v="2"/>
    <x v="3"/>
    <s v="SOLO 2023"/>
    <s v="601331"/>
  </r>
  <r>
    <n v="807"/>
    <x v="3"/>
    <x v="1"/>
    <x v="3"/>
    <x v="35"/>
    <s v="Rural"/>
    <s v="Femenino"/>
    <x v="0"/>
    <x v="2"/>
    <x v="3"/>
    <s v="SOLO 2023"/>
    <s v="601331"/>
  </r>
  <r>
    <n v="808"/>
    <x v="3"/>
    <x v="1"/>
    <x v="3"/>
    <x v="35"/>
    <s v="Rural"/>
    <s v="Femenino"/>
    <x v="0"/>
    <x v="2"/>
    <x v="3"/>
    <s v="SOLO 2023"/>
    <s v="601331"/>
  </r>
  <r>
    <n v="809"/>
    <x v="3"/>
    <x v="1"/>
    <x v="3"/>
    <x v="35"/>
    <s v="Rural"/>
    <s v="Masculino"/>
    <x v="0"/>
    <x v="2"/>
    <x v="3"/>
    <s v="SOLO 2023"/>
    <s v="601331"/>
  </r>
  <r>
    <n v="810"/>
    <x v="3"/>
    <x v="1"/>
    <x v="3"/>
    <x v="35"/>
    <s v="Rural"/>
    <s v="Femenino"/>
    <x v="0"/>
    <x v="2"/>
    <x v="3"/>
    <s v="SOLO 2023"/>
    <s v="601331"/>
  </r>
  <r>
    <n v="811"/>
    <x v="3"/>
    <x v="1"/>
    <x v="3"/>
    <x v="35"/>
    <s v="Rural"/>
    <s v="Femenino"/>
    <x v="0"/>
    <x v="2"/>
    <x v="3"/>
    <s v="SOLO 2023"/>
    <s v="601331"/>
  </r>
  <r>
    <n v="812"/>
    <x v="3"/>
    <x v="0"/>
    <x v="4"/>
    <x v="39"/>
    <s v="Rural"/>
    <s v="Masculino"/>
    <x v="0"/>
    <x v="2"/>
    <x v="1"/>
    <s v="PADD 2023 Y 2024"/>
    <s v="6010230"/>
  </r>
  <r>
    <n v="813"/>
    <x v="3"/>
    <x v="0"/>
    <x v="4"/>
    <x v="39"/>
    <s v="Rural"/>
    <s v="Masculino"/>
    <x v="0"/>
    <x v="2"/>
    <x v="1"/>
    <s v="PADD 2023 Y 2024"/>
    <s v="6010230"/>
  </r>
  <r>
    <n v="814"/>
    <x v="3"/>
    <x v="0"/>
    <x v="4"/>
    <x v="39"/>
    <s v="Rural"/>
    <s v="Masculino"/>
    <x v="0"/>
    <x v="2"/>
    <x v="1"/>
    <s v="PADD 2023 Y 2024"/>
    <s v="6010230"/>
  </r>
  <r>
    <n v="815"/>
    <x v="3"/>
    <x v="0"/>
    <x v="4"/>
    <x v="39"/>
    <s v="Rural"/>
    <s v="Masculino"/>
    <x v="1"/>
    <x v="2"/>
    <x v="1"/>
    <s v="PADD 2023 Y 2024"/>
    <s v="6010230"/>
  </r>
  <r>
    <n v="816"/>
    <x v="3"/>
    <x v="0"/>
    <x v="0"/>
    <x v="39"/>
    <s v="Rural"/>
    <s v="Masculino"/>
    <x v="0"/>
    <x v="2"/>
    <x v="3"/>
    <s v="PADD 2023 Y 2024"/>
    <s v="6010230"/>
  </r>
  <r>
    <n v="817"/>
    <x v="3"/>
    <x v="0"/>
    <x v="0"/>
    <x v="39"/>
    <s v="Rural"/>
    <s v="Femenino"/>
    <x v="0"/>
    <x v="2"/>
    <x v="3"/>
    <s v="PADD 2023 Y 2024"/>
    <s v="6010230"/>
  </r>
  <r>
    <n v="818"/>
    <x v="3"/>
    <x v="0"/>
    <x v="0"/>
    <x v="39"/>
    <s v="Rural"/>
    <s v="Masculino"/>
    <x v="0"/>
    <x v="2"/>
    <x v="3"/>
    <s v="PADD 2023 Y 2024"/>
    <s v="6010230"/>
  </r>
  <r>
    <n v="819"/>
    <x v="3"/>
    <x v="0"/>
    <x v="0"/>
    <x v="39"/>
    <s v="Rural"/>
    <s v="Masculino"/>
    <x v="0"/>
    <x v="2"/>
    <x v="3"/>
    <s v="PADD 2023 Y 2024"/>
    <s v="6010230"/>
  </r>
  <r>
    <n v="820"/>
    <x v="3"/>
    <x v="0"/>
    <x v="0"/>
    <x v="39"/>
    <s v="Rural"/>
    <s v="Femenino"/>
    <x v="0"/>
    <x v="2"/>
    <x v="3"/>
    <s v="PADD 2023 Y 2024"/>
    <s v="6010230"/>
  </r>
  <r>
    <n v="821"/>
    <x v="3"/>
    <x v="0"/>
    <x v="0"/>
    <x v="39"/>
    <s v="Rural"/>
    <s v="Masculino"/>
    <x v="0"/>
    <x v="2"/>
    <x v="3"/>
    <s v="PADD 2023 Y 2024"/>
    <s v="6010230"/>
  </r>
  <r>
    <n v="822"/>
    <x v="3"/>
    <x v="0"/>
    <x v="0"/>
    <x v="39"/>
    <s v="Rural"/>
    <s v="Masculino"/>
    <x v="0"/>
    <x v="2"/>
    <x v="3"/>
    <s v="PADD 2023 Y 2024"/>
    <s v="6010230"/>
  </r>
  <r>
    <n v="823"/>
    <x v="3"/>
    <x v="0"/>
    <x v="0"/>
    <x v="39"/>
    <s v="Rural"/>
    <s v="Masculino"/>
    <x v="0"/>
    <x v="2"/>
    <x v="3"/>
    <s v="PADD 2023 Y 2024"/>
    <s v="6010230"/>
  </r>
  <r>
    <n v="824"/>
    <x v="3"/>
    <x v="0"/>
    <x v="1"/>
    <x v="39"/>
    <s v="Rural"/>
    <s v="Femenino"/>
    <x v="0"/>
    <x v="2"/>
    <x v="3"/>
    <s v="PADD 2023 Y 2024"/>
    <s v="6010230"/>
  </r>
  <r>
    <n v="825"/>
    <x v="3"/>
    <x v="0"/>
    <x v="1"/>
    <x v="39"/>
    <s v="Rural"/>
    <s v="Femenino"/>
    <x v="1"/>
    <x v="2"/>
    <x v="3"/>
    <s v="PADD 2023 Y 2024"/>
    <s v="6010230"/>
  </r>
  <r>
    <n v="826"/>
    <x v="3"/>
    <x v="0"/>
    <x v="1"/>
    <x v="39"/>
    <s v="Rural"/>
    <s v="Femenino"/>
    <x v="1"/>
    <x v="2"/>
    <x v="3"/>
    <s v="PADD 2023 Y 2024"/>
    <s v="6010230"/>
  </r>
  <r>
    <n v="827"/>
    <x v="3"/>
    <x v="0"/>
    <x v="1"/>
    <x v="39"/>
    <s v="Rural"/>
    <s v="Masculino"/>
    <x v="0"/>
    <x v="2"/>
    <x v="3"/>
    <s v="PADD 2023 Y 2024"/>
    <s v="6010230"/>
  </r>
  <r>
    <n v="828"/>
    <x v="3"/>
    <x v="0"/>
    <x v="1"/>
    <x v="39"/>
    <s v="Rural"/>
    <s v="Femenino"/>
    <x v="0"/>
    <x v="2"/>
    <x v="3"/>
    <s v="PADD 2023 Y 2024"/>
    <s v="6010230"/>
  </r>
  <r>
    <n v="829"/>
    <x v="3"/>
    <x v="1"/>
    <x v="2"/>
    <x v="39"/>
    <s v="Rural"/>
    <s v="Masculino"/>
    <x v="1"/>
    <x v="2"/>
    <x v="3"/>
    <s v="PADD 2023 Y 2024"/>
    <s v="6010230"/>
  </r>
  <r>
    <n v="830"/>
    <x v="3"/>
    <x v="1"/>
    <x v="2"/>
    <x v="39"/>
    <s v="Rural"/>
    <s v="Femenino"/>
    <x v="1"/>
    <x v="2"/>
    <x v="3"/>
    <s v="PADD 2023 Y 2024"/>
    <s v="6010230"/>
  </r>
  <r>
    <n v="831"/>
    <x v="3"/>
    <x v="1"/>
    <x v="2"/>
    <x v="39"/>
    <s v="Rural"/>
    <s v="Femenino"/>
    <x v="1"/>
    <x v="2"/>
    <x v="3"/>
    <s v="PADD 2023 Y 2024"/>
    <s v="6010230"/>
  </r>
  <r>
    <n v="832"/>
    <x v="3"/>
    <x v="1"/>
    <x v="2"/>
    <x v="39"/>
    <s v="Rural"/>
    <s v="Masculino"/>
    <x v="1"/>
    <x v="2"/>
    <x v="3"/>
    <s v="PADD 2023 Y 2024"/>
    <s v="6010230"/>
  </r>
  <r>
    <n v="833"/>
    <x v="3"/>
    <x v="1"/>
    <x v="2"/>
    <x v="39"/>
    <s v="Rural"/>
    <s v="Masculino"/>
    <x v="0"/>
    <x v="2"/>
    <x v="3"/>
    <s v="PADD 2023 Y 2024"/>
    <s v="6010230"/>
  </r>
  <r>
    <n v="834"/>
    <x v="3"/>
    <x v="1"/>
    <x v="2"/>
    <x v="39"/>
    <s v="Rural"/>
    <s v="Femenino"/>
    <x v="1"/>
    <x v="2"/>
    <x v="3"/>
    <s v="PADD 2023 Y 2024"/>
    <s v="6010230"/>
  </r>
  <r>
    <n v="835"/>
    <x v="3"/>
    <x v="1"/>
    <x v="2"/>
    <x v="39"/>
    <s v="Rural"/>
    <s v="Masculino"/>
    <x v="0"/>
    <x v="2"/>
    <x v="3"/>
    <s v="PADD 2023 Y 2024"/>
    <s v="6010230"/>
  </r>
  <r>
    <n v="836"/>
    <x v="3"/>
    <x v="1"/>
    <x v="2"/>
    <x v="39"/>
    <s v="Rural"/>
    <s v="Femenino"/>
    <x v="1"/>
    <x v="2"/>
    <x v="3"/>
    <s v="PADD 2023 Y 2024"/>
    <s v="6010230"/>
  </r>
  <r>
    <n v="837"/>
    <x v="3"/>
    <x v="1"/>
    <x v="2"/>
    <x v="39"/>
    <s v="Rural"/>
    <s v="Femenino"/>
    <x v="1"/>
    <x v="2"/>
    <x v="3"/>
    <s v="PADD 2023 Y 2024"/>
    <s v="6010230"/>
  </r>
  <r>
    <n v="838"/>
    <x v="3"/>
    <x v="1"/>
    <x v="3"/>
    <x v="39"/>
    <s v="Rural"/>
    <s v="Femenino"/>
    <x v="1"/>
    <x v="2"/>
    <x v="3"/>
    <s v="PADD 2023 Y 2024"/>
    <s v="6010230"/>
  </r>
  <r>
    <n v="839"/>
    <x v="3"/>
    <x v="1"/>
    <x v="3"/>
    <x v="39"/>
    <s v="Rural"/>
    <s v="Masculino"/>
    <x v="1"/>
    <x v="2"/>
    <x v="3"/>
    <s v="PADD 2023 Y 2024"/>
    <s v="6010230"/>
  </r>
  <r>
    <n v="840"/>
    <x v="3"/>
    <x v="1"/>
    <x v="3"/>
    <x v="39"/>
    <s v="Rural"/>
    <s v="Masculino"/>
    <x v="0"/>
    <x v="2"/>
    <x v="3"/>
    <s v="PADD 2023 Y 2024"/>
    <s v="6010230"/>
  </r>
  <r>
    <n v="841"/>
    <x v="3"/>
    <x v="1"/>
    <x v="3"/>
    <x v="39"/>
    <s v="Rural"/>
    <s v="Femenino"/>
    <x v="0"/>
    <x v="2"/>
    <x v="3"/>
    <s v="PADD 2023 Y 2024"/>
    <s v="6010230"/>
  </r>
  <r>
    <n v="842"/>
    <x v="3"/>
    <x v="1"/>
    <x v="3"/>
    <x v="39"/>
    <s v="Rural"/>
    <s v="Femenino"/>
    <x v="1"/>
    <x v="2"/>
    <x v="3"/>
    <s v="PADD 2023 Y 2024"/>
    <s v="6010230"/>
  </r>
  <r>
    <n v="843"/>
    <x v="3"/>
    <x v="0"/>
    <x v="4"/>
    <x v="47"/>
    <s v="Rural"/>
    <s v="Femenino"/>
    <x v="1"/>
    <x v="2"/>
    <x v="3"/>
    <s v="PADD 2023 Y 2024"/>
    <s v="60133"/>
  </r>
  <r>
    <n v="844"/>
    <x v="3"/>
    <x v="0"/>
    <x v="4"/>
    <x v="47"/>
    <s v="Rural"/>
    <s v="Femenino"/>
    <x v="1"/>
    <x v="2"/>
    <x v="3"/>
    <s v="PADD 2023 Y 2024"/>
    <s v="60133"/>
  </r>
  <r>
    <n v="845"/>
    <x v="3"/>
    <x v="0"/>
    <x v="4"/>
    <x v="47"/>
    <s v="Rural"/>
    <s v="Femenino"/>
    <x v="0"/>
    <x v="2"/>
    <x v="3"/>
    <s v="PADD 2023 Y 2024"/>
    <s v="60133"/>
  </r>
  <r>
    <n v="846"/>
    <x v="3"/>
    <x v="0"/>
    <x v="4"/>
    <x v="47"/>
    <s v="Rural"/>
    <s v="Masculino"/>
    <x v="0"/>
    <x v="2"/>
    <x v="3"/>
    <s v="PADD 2023 Y 2024"/>
    <s v="60133"/>
  </r>
  <r>
    <n v="847"/>
    <x v="3"/>
    <x v="0"/>
    <x v="4"/>
    <x v="47"/>
    <s v="Rural"/>
    <s v="Femenino"/>
    <x v="0"/>
    <x v="2"/>
    <x v="3"/>
    <s v="PADD 2023 Y 2024"/>
    <s v="60133"/>
  </r>
  <r>
    <n v="848"/>
    <x v="3"/>
    <x v="0"/>
    <x v="4"/>
    <x v="47"/>
    <s v="Rural"/>
    <s v="Femenino"/>
    <x v="1"/>
    <x v="2"/>
    <x v="3"/>
    <s v="PADD 2023 Y 2024"/>
    <s v="60133"/>
  </r>
  <r>
    <n v="849"/>
    <x v="3"/>
    <x v="0"/>
    <x v="4"/>
    <x v="47"/>
    <s v="Rural"/>
    <s v="Masculino"/>
    <x v="0"/>
    <x v="2"/>
    <x v="3"/>
    <s v="PADD 2023 Y 2024"/>
    <s v="60133"/>
  </r>
  <r>
    <n v="850"/>
    <x v="3"/>
    <x v="0"/>
    <x v="4"/>
    <x v="47"/>
    <s v="Rural"/>
    <s v="Masculino"/>
    <x v="0"/>
    <x v="2"/>
    <x v="3"/>
    <s v="PADD 2023 Y 2024"/>
    <s v="60133"/>
  </r>
  <r>
    <n v="851"/>
    <x v="3"/>
    <x v="0"/>
    <x v="4"/>
    <x v="47"/>
    <s v="Rural"/>
    <s v="Masculino"/>
    <x v="1"/>
    <x v="2"/>
    <x v="3"/>
    <s v="PADD 2023 Y 2024"/>
    <s v="60133"/>
  </r>
  <r>
    <n v="852"/>
    <x v="3"/>
    <x v="0"/>
    <x v="4"/>
    <x v="47"/>
    <s v="Rural"/>
    <s v="Masculino"/>
    <x v="1"/>
    <x v="2"/>
    <x v="3"/>
    <s v="PADD 2023 Y 2024"/>
    <s v="60133"/>
  </r>
  <r>
    <n v="853"/>
    <x v="3"/>
    <x v="0"/>
    <x v="4"/>
    <x v="47"/>
    <s v="Rural"/>
    <s v="Femenino"/>
    <x v="0"/>
    <x v="2"/>
    <x v="3"/>
    <s v="PADD 2023 Y 2024"/>
    <s v="60133"/>
  </r>
  <r>
    <n v="854"/>
    <x v="3"/>
    <x v="0"/>
    <x v="4"/>
    <x v="47"/>
    <s v="Rural"/>
    <s v="Masculino"/>
    <x v="0"/>
    <x v="2"/>
    <x v="3"/>
    <s v="PADD 2023 Y 2024"/>
    <s v="60133"/>
  </r>
  <r>
    <n v="855"/>
    <x v="3"/>
    <x v="0"/>
    <x v="4"/>
    <x v="47"/>
    <s v="Rural"/>
    <s v="Femenino"/>
    <x v="0"/>
    <x v="2"/>
    <x v="3"/>
    <s v="PADD 2023 Y 2024"/>
    <s v="60133"/>
  </r>
  <r>
    <n v="856"/>
    <x v="3"/>
    <x v="0"/>
    <x v="4"/>
    <x v="47"/>
    <s v="Rural"/>
    <s v="Masculino"/>
    <x v="0"/>
    <x v="2"/>
    <x v="3"/>
    <s v="PADD 2023 Y 2024"/>
    <s v="60133"/>
  </r>
  <r>
    <n v="857"/>
    <x v="3"/>
    <x v="0"/>
    <x v="0"/>
    <x v="47"/>
    <s v="Rural"/>
    <s v="Femenino"/>
    <x v="0"/>
    <x v="2"/>
    <x v="1"/>
    <s v="PADD 2023 Y 2024"/>
    <s v="60133"/>
  </r>
  <r>
    <n v="858"/>
    <x v="3"/>
    <x v="0"/>
    <x v="0"/>
    <x v="47"/>
    <s v="Rural"/>
    <s v="Masculino"/>
    <x v="0"/>
    <x v="2"/>
    <x v="1"/>
    <s v="PADD 2023 Y 2024"/>
    <s v="60133"/>
  </r>
  <r>
    <n v="859"/>
    <x v="3"/>
    <x v="0"/>
    <x v="0"/>
    <x v="47"/>
    <s v="Rural"/>
    <s v="Masculino"/>
    <x v="0"/>
    <x v="2"/>
    <x v="1"/>
    <s v="PADD 2023 Y 2024"/>
    <s v="60133"/>
  </r>
  <r>
    <n v="860"/>
    <x v="3"/>
    <x v="0"/>
    <x v="0"/>
    <x v="47"/>
    <s v="Rural"/>
    <s v="Masculino"/>
    <x v="0"/>
    <x v="2"/>
    <x v="1"/>
    <s v="PADD 2023 Y 2024"/>
    <s v="60133"/>
  </r>
  <r>
    <n v="861"/>
    <x v="3"/>
    <x v="0"/>
    <x v="0"/>
    <x v="47"/>
    <s v="Rural"/>
    <s v="Femenino"/>
    <x v="0"/>
    <x v="2"/>
    <x v="1"/>
    <s v="PADD 2023 Y 2024"/>
    <s v="60133"/>
  </r>
  <r>
    <n v="862"/>
    <x v="3"/>
    <x v="0"/>
    <x v="0"/>
    <x v="47"/>
    <s v="Rural"/>
    <s v="Femenino"/>
    <x v="0"/>
    <x v="2"/>
    <x v="1"/>
    <s v="PADD 2023 Y 2024"/>
    <s v="60133"/>
  </r>
  <r>
    <n v="863"/>
    <x v="3"/>
    <x v="0"/>
    <x v="0"/>
    <x v="47"/>
    <s v="Rural"/>
    <s v="Femenino"/>
    <x v="0"/>
    <x v="2"/>
    <x v="1"/>
    <s v="PADD 2023 Y 2024"/>
    <s v="60133"/>
  </r>
  <r>
    <n v="864"/>
    <x v="3"/>
    <x v="0"/>
    <x v="0"/>
    <x v="47"/>
    <s v="Rural"/>
    <s v="Femenino"/>
    <x v="0"/>
    <x v="2"/>
    <x v="1"/>
    <s v="PADD 2023 Y 2024"/>
    <s v="60133"/>
  </r>
  <r>
    <n v="865"/>
    <x v="3"/>
    <x v="0"/>
    <x v="0"/>
    <x v="47"/>
    <s v="Rural"/>
    <s v="Femenino"/>
    <x v="0"/>
    <x v="2"/>
    <x v="1"/>
    <s v="PADD 2023 Y 2024"/>
    <s v="60133"/>
  </r>
  <r>
    <n v="866"/>
    <x v="3"/>
    <x v="0"/>
    <x v="0"/>
    <x v="47"/>
    <s v="Rural"/>
    <s v="Femenino"/>
    <x v="0"/>
    <x v="2"/>
    <x v="1"/>
    <s v="PADD 2023 Y 2024"/>
    <s v="60133"/>
  </r>
  <r>
    <n v="867"/>
    <x v="3"/>
    <x v="0"/>
    <x v="0"/>
    <x v="47"/>
    <s v="Rural"/>
    <s v="Femenino"/>
    <x v="0"/>
    <x v="2"/>
    <x v="1"/>
    <s v="PADD 2023 Y 2024"/>
    <s v="60133"/>
  </r>
  <r>
    <n v="868"/>
    <x v="3"/>
    <x v="0"/>
    <x v="0"/>
    <x v="47"/>
    <s v="Rural"/>
    <s v="Femenino"/>
    <x v="0"/>
    <x v="2"/>
    <x v="1"/>
    <s v="PADD 2023 Y 2024"/>
    <s v="60133"/>
  </r>
  <r>
    <n v="869"/>
    <x v="3"/>
    <x v="0"/>
    <x v="0"/>
    <x v="47"/>
    <s v="Rural"/>
    <s v="Masculino"/>
    <x v="0"/>
    <x v="2"/>
    <x v="1"/>
    <s v="PADD 2023 Y 2024"/>
    <s v="60133"/>
  </r>
  <r>
    <n v="870"/>
    <x v="3"/>
    <x v="0"/>
    <x v="0"/>
    <x v="47"/>
    <s v="Rural"/>
    <s v="Masculino"/>
    <x v="0"/>
    <x v="2"/>
    <x v="1"/>
    <s v="PADD 2023 Y 2024"/>
    <s v="60133"/>
  </r>
  <r>
    <n v="871"/>
    <x v="3"/>
    <x v="0"/>
    <x v="0"/>
    <x v="47"/>
    <s v="Rural"/>
    <s v="Femenino"/>
    <x v="0"/>
    <x v="2"/>
    <x v="1"/>
    <s v="PADD 2023 Y 2024"/>
    <s v="60133"/>
  </r>
  <r>
    <n v="872"/>
    <x v="3"/>
    <x v="0"/>
    <x v="0"/>
    <x v="47"/>
    <s v="Rural"/>
    <s v="Masculino"/>
    <x v="0"/>
    <x v="2"/>
    <x v="1"/>
    <s v="PADD 2023 Y 2024"/>
    <s v="60133"/>
  </r>
  <r>
    <n v="873"/>
    <x v="3"/>
    <x v="0"/>
    <x v="1"/>
    <x v="47"/>
    <s v="Rural"/>
    <s v="Masculino"/>
    <x v="0"/>
    <x v="2"/>
    <x v="3"/>
    <s v="PADD 2023 Y 2024"/>
    <s v="60133"/>
  </r>
  <r>
    <n v="874"/>
    <x v="3"/>
    <x v="0"/>
    <x v="1"/>
    <x v="47"/>
    <s v="Rural"/>
    <s v="Femenino"/>
    <x v="0"/>
    <x v="2"/>
    <x v="3"/>
    <s v="PADD 2023 Y 2024"/>
    <s v="60133"/>
  </r>
  <r>
    <n v="875"/>
    <x v="3"/>
    <x v="0"/>
    <x v="1"/>
    <x v="47"/>
    <s v="Rural"/>
    <s v="Masculino"/>
    <x v="0"/>
    <x v="2"/>
    <x v="3"/>
    <s v="PADD 2023 Y 2024"/>
    <s v="60133"/>
  </r>
  <r>
    <n v="876"/>
    <x v="3"/>
    <x v="0"/>
    <x v="1"/>
    <x v="47"/>
    <s v="Rural"/>
    <s v="Masculino"/>
    <x v="0"/>
    <x v="2"/>
    <x v="3"/>
    <s v="PADD 2023 Y 2024"/>
    <s v="60133"/>
  </r>
  <r>
    <n v="877"/>
    <x v="3"/>
    <x v="0"/>
    <x v="1"/>
    <x v="47"/>
    <s v="Rural"/>
    <s v="Masculino"/>
    <x v="0"/>
    <x v="2"/>
    <x v="3"/>
    <s v="PADD 2023 Y 2024"/>
    <s v="60133"/>
  </r>
  <r>
    <n v="878"/>
    <x v="3"/>
    <x v="0"/>
    <x v="1"/>
    <x v="47"/>
    <s v="Rural"/>
    <s v="Femenino"/>
    <x v="0"/>
    <x v="2"/>
    <x v="3"/>
    <s v="PADD 2023 Y 2024"/>
    <s v="60133"/>
  </r>
  <r>
    <n v="879"/>
    <x v="3"/>
    <x v="0"/>
    <x v="1"/>
    <x v="47"/>
    <s v="Rural"/>
    <s v="Femenino"/>
    <x v="0"/>
    <x v="2"/>
    <x v="3"/>
    <s v="PADD 2023 Y 2024"/>
    <s v="60133"/>
  </r>
  <r>
    <n v="880"/>
    <x v="3"/>
    <x v="0"/>
    <x v="1"/>
    <x v="47"/>
    <s v="Rural"/>
    <s v="Femenino"/>
    <x v="0"/>
    <x v="2"/>
    <x v="3"/>
    <s v="PADD 2023 Y 2024"/>
    <s v="60133"/>
  </r>
  <r>
    <n v="881"/>
    <x v="3"/>
    <x v="0"/>
    <x v="1"/>
    <x v="47"/>
    <s v="Rural"/>
    <s v="Masculino"/>
    <x v="0"/>
    <x v="2"/>
    <x v="3"/>
    <s v="PADD 2023 Y 2024"/>
    <s v="60133"/>
  </r>
  <r>
    <n v="882"/>
    <x v="3"/>
    <x v="0"/>
    <x v="1"/>
    <x v="47"/>
    <s v="Rural"/>
    <s v="Masculino"/>
    <x v="0"/>
    <x v="2"/>
    <x v="3"/>
    <s v="PADD 2023 Y 2024"/>
    <s v="60133"/>
  </r>
  <r>
    <n v="883"/>
    <x v="3"/>
    <x v="0"/>
    <x v="1"/>
    <x v="47"/>
    <s v="Rural"/>
    <s v="Masculino"/>
    <x v="0"/>
    <x v="2"/>
    <x v="3"/>
    <s v="PADD 2023 Y 2024"/>
    <s v="60133"/>
  </r>
  <r>
    <n v="884"/>
    <x v="3"/>
    <x v="0"/>
    <x v="1"/>
    <x v="47"/>
    <s v="Rural"/>
    <s v="Femenino"/>
    <x v="0"/>
    <x v="2"/>
    <x v="3"/>
    <s v="PADD 2023 Y 2024"/>
    <s v="60133"/>
  </r>
  <r>
    <n v="885"/>
    <x v="3"/>
    <x v="0"/>
    <x v="1"/>
    <x v="47"/>
    <s v="Rural"/>
    <s v="Masculino"/>
    <x v="0"/>
    <x v="2"/>
    <x v="3"/>
    <s v="PADD 2023 Y 2024"/>
    <s v="60133"/>
  </r>
  <r>
    <n v="886"/>
    <x v="3"/>
    <x v="0"/>
    <x v="1"/>
    <x v="47"/>
    <s v="Rural"/>
    <s v="Masculino"/>
    <x v="0"/>
    <x v="2"/>
    <x v="3"/>
    <s v="PADD 2023 Y 2024"/>
    <s v="60133"/>
  </r>
  <r>
    <n v="887"/>
    <x v="3"/>
    <x v="0"/>
    <x v="1"/>
    <x v="47"/>
    <s v="Rural"/>
    <s v="Femenino"/>
    <x v="0"/>
    <x v="2"/>
    <x v="3"/>
    <s v="PADD 2023 Y 2024"/>
    <s v="60133"/>
  </r>
  <r>
    <n v="888"/>
    <x v="3"/>
    <x v="0"/>
    <x v="1"/>
    <x v="47"/>
    <s v="Rural"/>
    <s v="Femenino"/>
    <x v="0"/>
    <x v="2"/>
    <x v="3"/>
    <s v="PADD 2023 Y 2024"/>
    <s v="60133"/>
  </r>
  <r>
    <n v="889"/>
    <x v="3"/>
    <x v="0"/>
    <x v="1"/>
    <x v="47"/>
    <s v="Rural"/>
    <s v="Femenino"/>
    <x v="0"/>
    <x v="2"/>
    <x v="3"/>
    <s v="PADD 2023 Y 2024"/>
    <s v="60133"/>
  </r>
  <r>
    <n v="890"/>
    <x v="3"/>
    <x v="0"/>
    <x v="1"/>
    <x v="47"/>
    <s v="Rural"/>
    <s v="Masculino"/>
    <x v="0"/>
    <x v="2"/>
    <x v="3"/>
    <s v="PADD 2023 Y 2024"/>
    <s v="60133"/>
  </r>
  <r>
    <n v="891"/>
    <x v="3"/>
    <x v="0"/>
    <x v="1"/>
    <x v="47"/>
    <s v="Rural"/>
    <s v="Masculino"/>
    <x v="0"/>
    <x v="2"/>
    <x v="3"/>
    <s v="PADD 2023 Y 2024"/>
    <s v="60133"/>
  </r>
  <r>
    <n v="892"/>
    <x v="3"/>
    <x v="0"/>
    <x v="1"/>
    <x v="47"/>
    <s v="Rural"/>
    <s v="Masculino"/>
    <x v="0"/>
    <x v="2"/>
    <x v="3"/>
    <s v="PADD 2023 Y 2024"/>
    <s v="60133"/>
  </r>
  <r>
    <n v="893"/>
    <x v="3"/>
    <x v="0"/>
    <x v="1"/>
    <x v="47"/>
    <s v="Rural"/>
    <s v="Masculino"/>
    <x v="0"/>
    <x v="2"/>
    <x v="3"/>
    <s v="PADD 2023 Y 2024"/>
    <s v="60133"/>
  </r>
  <r>
    <n v="894"/>
    <x v="3"/>
    <x v="0"/>
    <x v="1"/>
    <x v="47"/>
    <s v="Rural"/>
    <s v="Masculino"/>
    <x v="0"/>
    <x v="2"/>
    <x v="3"/>
    <s v="PADD 2023 Y 2024"/>
    <s v="60133"/>
  </r>
  <r>
    <n v="895"/>
    <x v="3"/>
    <x v="0"/>
    <x v="1"/>
    <x v="47"/>
    <s v="Rural"/>
    <s v="Masculino"/>
    <x v="1"/>
    <x v="2"/>
    <x v="3"/>
    <s v="PADD 2023 Y 2024"/>
    <s v="60133"/>
  </r>
  <r>
    <n v="896"/>
    <x v="3"/>
    <x v="0"/>
    <x v="1"/>
    <x v="47"/>
    <s v="Rural"/>
    <s v="Masculino"/>
    <x v="1"/>
    <x v="2"/>
    <x v="3"/>
    <s v="PADD 2023 Y 2024"/>
    <s v="60133"/>
  </r>
  <r>
    <n v="897"/>
    <x v="3"/>
    <x v="1"/>
    <x v="2"/>
    <x v="47"/>
    <s v="Rural"/>
    <s v="Femenino"/>
    <x v="1"/>
    <x v="2"/>
    <x v="3"/>
    <s v="PADD 2023 Y 2024"/>
    <s v="60133"/>
  </r>
  <r>
    <n v="898"/>
    <x v="3"/>
    <x v="1"/>
    <x v="2"/>
    <x v="47"/>
    <s v="Rural"/>
    <s v="Femenino"/>
    <x v="1"/>
    <x v="2"/>
    <x v="3"/>
    <s v="PADD 2023 Y 2024"/>
    <s v="60133"/>
  </r>
  <r>
    <n v="899"/>
    <x v="3"/>
    <x v="1"/>
    <x v="2"/>
    <x v="47"/>
    <s v="Rural"/>
    <s v="Femenino"/>
    <x v="1"/>
    <x v="2"/>
    <x v="3"/>
    <s v="PADD 2023 Y 2024"/>
    <s v="60133"/>
  </r>
  <r>
    <n v="900"/>
    <x v="3"/>
    <x v="1"/>
    <x v="2"/>
    <x v="47"/>
    <s v="Rural"/>
    <s v="Masculino"/>
    <x v="1"/>
    <x v="2"/>
    <x v="3"/>
    <s v="PADD 2023 Y 2024"/>
    <s v="60133"/>
  </r>
  <r>
    <n v="901"/>
    <x v="3"/>
    <x v="1"/>
    <x v="2"/>
    <x v="47"/>
    <s v="Rural"/>
    <s v="Femenino"/>
    <x v="1"/>
    <x v="2"/>
    <x v="3"/>
    <s v="PADD 2023 Y 2024"/>
    <s v="60133"/>
  </r>
  <r>
    <n v="902"/>
    <x v="3"/>
    <x v="1"/>
    <x v="2"/>
    <x v="47"/>
    <s v="Rural"/>
    <s v="Masculino"/>
    <x v="1"/>
    <x v="2"/>
    <x v="3"/>
    <s v="PADD 2023 Y 2024"/>
    <s v="60133"/>
  </r>
  <r>
    <n v="903"/>
    <x v="3"/>
    <x v="1"/>
    <x v="2"/>
    <x v="47"/>
    <s v="Rural"/>
    <s v="Femenino"/>
    <x v="1"/>
    <x v="2"/>
    <x v="3"/>
    <s v="PADD 2023 Y 2024"/>
    <s v="60133"/>
  </r>
  <r>
    <n v="904"/>
    <x v="3"/>
    <x v="1"/>
    <x v="2"/>
    <x v="47"/>
    <s v="Rural"/>
    <s v="Masculino"/>
    <x v="1"/>
    <x v="2"/>
    <x v="3"/>
    <s v="PADD 2023 Y 2024"/>
    <s v="60133"/>
  </r>
  <r>
    <n v="905"/>
    <x v="3"/>
    <x v="1"/>
    <x v="2"/>
    <x v="47"/>
    <s v="Rural"/>
    <s v="Femenino"/>
    <x v="1"/>
    <x v="2"/>
    <x v="3"/>
    <s v="PADD 2023 Y 2024"/>
    <s v="60133"/>
  </r>
  <r>
    <n v="906"/>
    <x v="3"/>
    <x v="1"/>
    <x v="2"/>
    <x v="47"/>
    <s v="Rural"/>
    <s v="Femenino"/>
    <x v="1"/>
    <x v="2"/>
    <x v="3"/>
    <s v="PADD 2023 Y 2024"/>
    <s v="60133"/>
  </r>
  <r>
    <n v="907"/>
    <x v="3"/>
    <x v="1"/>
    <x v="2"/>
    <x v="47"/>
    <s v="Rural"/>
    <s v="Femenino"/>
    <x v="1"/>
    <x v="2"/>
    <x v="3"/>
    <s v="PADD 2023 Y 2024"/>
    <s v="60133"/>
  </r>
  <r>
    <n v="908"/>
    <x v="3"/>
    <x v="1"/>
    <x v="2"/>
    <x v="47"/>
    <s v="Rural"/>
    <s v="Femenino"/>
    <x v="1"/>
    <x v="2"/>
    <x v="3"/>
    <s v="PADD 2023 Y 2024"/>
    <s v="60133"/>
  </r>
  <r>
    <n v="909"/>
    <x v="3"/>
    <x v="1"/>
    <x v="2"/>
    <x v="47"/>
    <s v="Rural"/>
    <s v="Masculino"/>
    <x v="1"/>
    <x v="2"/>
    <x v="3"/>
    <s v="PADD 2023 Y 2024"/>
    <s v="60133"/>
  </r>
  <r>
    <n v="910"/>
    <x v="3"/>
    <x v="1"/>
    <x v="2"/>
    <x v="47"/>
    <s v="Rural"/>
    <s v="Masculino"/>
    <x v="1"/>
    <x v="2"/>
    <x v="3"/>
    <s v="PADD 2023 Y 2024"/>
    <s v="60133"/>
  </r>
  <r>
    <n v="911"/>
    <x v="3"/>
    <x v="1"/>
    <x v="2"/>
    <x v="47"/>
    <s v="Rural"/>
    <s v="Femenino"/>
    <x v="1"/>
    <x v="2"/>
    <x v="3"/>
    <s v="PADD 2023 Y 2024"/>
    <s v="60133"/>
  </r>
  <r>
    <n v="912"/>
    <x v="3"/>
    <x v="1"/>
    <x v="2"/>
    <x v="47"/>
    <s v="Rural"/>
    <s v="Masculino"/>
    <x v="1"/>
    <x v="2"/>
    <x v="3"/>
    <s v="PADD 2023 Y 2024"/>
    <s v="60133"/>
  </r>
  <r>
    <n v="913"/>
    <x v="3"/>
    <x v="1"/>
    <x v="2"/>
    <x v="47"/>
    <s v="Rural"/>
    <s v="Femenino"/>
    <x v="1"/>
    <x v="2"/>
    <x v="3"/>
    <s v="PADD 2023 Y 2024"/>
    <s v="60133"/>
  </r>
  <r>
    <n v="914"/>
    <x v="3"/>
    <x v="1"/>
    <x v="2"/>
    <x v="47"/>
    <s v="Rural"/>
    <s v="Femenino"/>
    <x v="1"/>
    <x v="2"/>
    <x v="3"/>
    <s v="PADD 2023 Y 2024"/>
    <s v="60133"/>
  </r>
  <r>
    <n v="915"/>
    <x v="3"/>
    <x v="1"/>
    <x v="2"/>
    <x v="47"/>
    <s v="Rural"/>
    <s v="Masculino"/>
    <x v="1"/>
    <x v="2"/>
    <x v="3"/>
    <s v="PADD 2023 Y 2024"/>
    <s v="60133"/>
  </r>
  <r>
    <n v="916"/>
    <x v="3"/>
    <x v="1"/>
    <x v="2"/>
    <x v="47"/>
    <s v="Rural"/>
    <s v="Femenino"/>
    <x v="1"/>
    <x v="2"/>
    <x v="3"/>
    <s v="PADD 2023 Y 2024"/>
    <s v="60133"/>
  </r>
  <r>
    <n v="917"/>
    <x v="3"/>
    <x v="1"/>
    <x v="2"/>
    <x v="47"/>
    <s v="Rural"/>
    <s v="Masculino"/>
    <x v="1"/>
    <x v="2"/>
    <x v="3"/>
    <s v="PADD 2023 Y 2024"/>
    <s v="60133"/>
  </r>
  <r>
    <n v="918"/>
    <x v="3"/>
    <x v="1"/>
    <x v="2"/>
    <x v="47"/>
    <s v="Rural"/>
    <s v="Masculino"/>
    <x v="1"/>
    <x v="2"/>
    <x v="3"/>
    <s v="PADD 2023 Y 2024"/>
    <s v="60133"/>
  </r>
  <r>
    <n v="919"/>
    <x v="3"/>
    <x v="1"/>
    <x v="3"/>
    <x v="47"/>
    <s v="Rural"/>
    <s v="Masculino"/>
    <x v="1"/>
    <x v="2"/>
    <x v="3"/>
    <s v="PADD 2023 Y 2024"/>
    <s v="60133"/>
  </r>
  <r>
    <n v="920"/>
    <x v="3"/>
    <x v="1"/>
    <x v="3"/>
    <x v="47"/>
    <s v="Rural"/>
    <s v="Femenino"/>
    <x v="1"/>
    <x v="2"/>
    <x v="3"/>
    <s v="PADD 2023 Y 2024"/>
    <s v="60133"/>
  </r>
  <r>
    <n v="921"/>
    <x v="3"/>
    <x v="1"/>
    <x v="3"/>
    <x v="47"/>
    <s v="Rural"/>
    <s v="Masculino"/>
    <x v="1"/>
    <x v="2"/>
    <x v="3"/>
    <s v="PADD 2023 Y 2024"/>
    <s v="60133"/>
  </r>
  <r>
    <n v="922"/>
    <x v="3"/>
    <x v="1"/>
    <x v="3"/>
    <x v="47"/>
    <s v="Rural"/>
    <s v="Masculino"/>
    <x v="1"/>
    <x v="2"/>
    <x v="3"/>
    <s v="PADD 2023 Y 2024"/>
    <s v="60133"/>
  </r>
  <r>
    <n v="923"/>
    <x v="3"/>
    <x v="1"/>
    <x v="3"/>
    <x v="47"/>
    <s v="Rural"/>
    <s v="Masculino"/>
    <x v="1"/>
    <x v="2"/>
    <x v="3"/>
    <s v="PADD 2023 Y 2024"/>
    <s v="60133"/>
  </r>
  <r>
    <n v="924"/>
    <x v="3"/>
    <x v="1"/>
    <x v="3"/>
    <x v="47"/>
    <s v="Rural"/>
    <s v="Masculino"/>
    <x v="1"/>
    <x v="2"/>
    <x v="3"/>
    <s v="PADD 2023 Y 2024"/>
    <s v="60133"/>
  </r>
  <r>
    <n v="925"/>
    <x v="3"/>
    <x v="1"/>
    <x v="3"/>
    <x v="47"/>
    <s v="Rural"/>
    <s v="Femenino"/>
    <x v="1"/>
    <x v="2"/>
    <x v="3"/>
    <s v="PADD 2023 Y 2024"/>
    <s v="60133"/>
  </r>
  <r>
    <n v="926"/>
    <x v="3"/>
    <x v="1"/>
    <x v="3"/>
    <x v="47"/>
    <s v="Rural"/>
    <s v="Femenino"/>
    <x v="0"/>
    <x v="2"/>
    <x v="3"/>
    <s v="PADD 2023 Y 2024"/>
    <s v="60133"/>
  </r>
  <r>
    <n v="927"/>
    <x v="3"/>
    <x v="1"/>
    <x v="3"/>
    <x v="47"/>
    <s v="Rural"/>
    <s v="Femenino"/>
    <x v="1"/>
    <x v="2"/>
    <x v="3"/>
    <s v="PADD 2023 Y 2024"/>
    <s v="60133"/>
  </r>
  <r>
    <n v="928"/>
    <x v="3"/>
    <x v="1"/>
    <x v="3"/>
    <x v="47"/>
    <s v="Rural"/>
    <s v="Femenino"/>
    <x v="1"/>
    <x v="2"/>
    <x v="3"/>
    <s v="PADD 2023 Y 2024"/>
    <s v="60133"/>
  </r>
  <r>
    <n v="929"/>
    <x v="3"/>
    <x v="1"/>
    <x v="3"/>
    <x v="47"/>
    <s v="Rural"/>
    <s v="Femenino"/>
    <x v="1"/>
    <x v="2"/>
    <x v="3"/>
    <s v="PADD 2023 Y 2024"/>
    <s v="60133"/>
  </r>
  <r>
    <n v="930"/>
    <x v="3"/>
    <x v="1"/>
    <x v="3"/>
    <x v="47"/>
    <s v="Rural"/>
    <s v="Femenino"/>
    <x v="1"/>
    <x v="2"/>
    <x v="3"/>
    <s v="PADD 2023 Y 2024"/>
    <s v="60133"/>
  </r>
  <r>
    <n v="931"/>
    <x v="3"/>
    <x v="1"/>
    <x v="3"/>
    <x v="47"/>
    <s v="Rural"/>
    <s v="Femenino"/>
    <x v="1"/>
    <x v="2"/>
    <x v="3"/>
    <s v="PADD 2023 Y 2024"/>
    <s v="60133"/>
  </r>
  <r>
    <n v="932"/>
    <x v="3"/>
    <x v="1"/>
    <x v="3"/>
    <x v="47"/>
    <s v="Rural"/>
    <s v="Femenino"/>
    <x v="1"/>
    <x v="2"/>
    <x v="3"/>
    <s v="PADD 2023 Y 2024"/>
    <s v="60133"/>
  </r>
  <r>
    <n v="1"/>
    <x v="2"/>
    <x v="0"/>
    <x v="5"/>
    <x v="25"/>
    <s v="Rural"/>
    <s v="Femenino"/>
    <x v="0"/>
    <x v="0"/>
    <x v="0"/>
    <s v="PADD 2023 Y 2024"/>
    <s v="36207"/>
  </r>
  <r>
    <n v="2"/>
    <x v="2"/>
    <x v="0"/>
    <x v="5"/>
    <x v="25"/>
    <s v="Rural"/>
    <s v="Masculino"/>
    <x v="0"/>
    <x v="0"/>
    <x v="0"/>
    <s v="PADD 2023 Y 2024"/>
    <s v="36207"/>
  </r>
  <r>
    <n v="3"/>
    <x v="2"/>
    <x v="0"/>
    <x v="5"/>
    <x v="25"/>
    <s v="Rural"/>
    <s v="Femenino"/>
    <x v="1"/>
    <x v="0"/>
    <x v="0"/>
    <s v="PADD 2023 Y 2024"/>
    <s v="36207"/>
  </r>
  <r>
    <n v="4"/>
    <x v="2"/>
    <x v="0"/>
    <x v="5"/>
    <x v="25"/>
    <s v="Rural"/>
    <s v="Masculino"/>
    <x v="0"/>
    <x v="0"/>
    <x v="0"/>
    <s v="PADD 2023 Y 2024"/>
    <s v="36207"/>
  </r>
  <r>
    <n v="5"/>
    <x v="2"/>
    <x v="0"/>
    <x v="5"/>
    <x v="25"/>
    <s v="Rural"/>
    <s v="Masculino"/>
    <x v="0"/>
    <x v="0"/>
    <x v="0"/>
    <s v="PADD 2023 Y 2024"/>
    <s v="36207"/>
  </r>
  <r>
    <n v="6"/>
    <x v="2"/>
    <x v="0"/>
    <x v="5"/>
    <x v="25"/>
    <s v="Rural"/>
    <s v="Femenino"/>
    <x v="0"/>
    <x v="0"/>
    <x v="0"/>
    <s v="PADD 2023 Y 2024"/>
    <s v="36207"/>
  </r>
  <r>
    <n v="7"/>
    <x v="2"/>
    <x v="0"/>
    <x v="5"/>
    <x v="25"/>
    <s v="Rural"/>
    <s v="Masculino"/>
    <x v="0"/>
    <x v="0"/>
    <x v="0"/>
    <s v="PADD 2023 Y 2024"/>
    <s v="36207"/>
  </r>
  <r>
    <n v="8"/>
    <x v="2"/>
    <x v="0"/>
    <x v="5"/>
    <x v="25"/>
    <s v="Rural"/>
    <s v="Femenino"/>
    <x v="0"/>
    <x v="0"/>
    <x v="0"/>
    <s v="PADD 2023 Y 2024"/>
    <s v="36207"/>
  </r>
  <r>
    <n v="1"/>
    <x v="2"/>
    <x v="0"/>
    <x v="5"/>
    <x v="27"/>
    <s v="Rural"/>
    <s v="Masculino"/>
    <x v="1"/>
    <x v="0"/>
    <x v="0"/>
    <s v="PADD 2023 Y 2024"/>
    <s v="36173"/>
  </r>
  <r>
    <n v="2"/>
    <x v="2"/>
    <x v="0"/>
    <x v="5"/>
    <x v="27"/>
    <s v="Rural"/>
    <s v="Masculino"/>
    <x v="0"/>
    <x v="0"/>
    <x v="0"/>
    <s v="PADD 2023 Y 2024"/>
    <s v="36173"/>
  </r>
  <r>
    <n v="3"/>
    <x v="2"/>
    <x v="0"/>
    <x v="5"/>
    <x v="27"/>
    <s v="Rural"/>
    <s v="Femenino"/>
    <x v="0"/>
    <x v="0"/>
    <x v="0"/>
    <s v="PADD 2023 Y 2024"/>
    <s v="36173"/>
  </r>
  <r>
    <n v="4"/>
    <x v="2"/>
    <x v="0"/>
    <x v="5"/>
    <x v="27"/>
    <s v="Rural"/>
    <s v="Femenino"/>
    <x v="0"/>
    <x v="0"/>
    <x v="0"/>
    <s v="PADD 2023 Y 2024"/>
    <s v="36173"/>
  </r>
  <r>
    <n v="5"/>
    <x v="2"/>
    <x v="0"/>
    <x v="5"/>
    <x v="27"/>
    <s v="Rural"/>
    <s v="Femenino"/>
    <x v="0"/>
    <x v="0"/>
    <x v="0"/>
    <s v="PADD 2023 Y 2024"/>
    <s v="36173"/>
  </r>
  <r>
    <n v="6"/>
    <x v="2"/>
    <x v="0"/>
    <x v="5"/>
    <x v="27"/>
    <s v="Rural"/>
    <s v="Femenino"/>
    <x v="0"/>
    <x v="0"/>
    <x v="0"/>
    <s v="PADD 2023 Y 2024"/>
    <s v="36173"/>
  </r>
  <r>
    <n v="7"/>
    <x v="2"/>
    <x v="0"/>
    <x v="5"/>
    <x v="27"/>
    <s v="Rural"/>
    <s v="Masculino"/>
    <x v="0"/>
    <x v="0"/>
    <x v="0"/>
    <s v="PADD 2023 Y 2024"/>
    <s v="36173"/>
  </r>
  <r>
    <n v="8"/>
    <x v="2"/>
    <x v="0"/>
    <x v="5"/>
    <x v="27"/>
    <s v="Rural"/>
    <s v="Femenino"/>
    <x v="0"/>
    <x v="0"/>
    <x v="0"/>
    <s v="PADD 2023 Y 2024"/>
    <s v="36173"/>
  </r>
  <r>
    <n v="9"/>
    <x v="2"/>
    <x v="0"/>
    <x v="5"/>
    <x v="27"/>
    <s v="Rural"/>
    <s v="Masculino"/>
    <x v="0"/>
    <x v="0"/>
    <x v="0"/>
    <s v="PADD 2023 Y 2024"/>
    <s v="36173"/>
  </r>
  <r>
    <n v="10"/>
    <x v="2"/>
    <x v="0"/>
    <x v="5"/>
    <x v="27"/>
    <s v="Rural"/>
    <s v="Masculino"/>
    <x v="0"/>
    <x v="0"/>
    <x v="0"/>
    <s v="PADD 2023 Y 2024"/>
    <s v="36173"/>
  </r>
  <r>
    <n v="2005"/>
    <x v="3"/>
    <x v="0"/>
    <x v="5"/>
    <x v="47"/>
    <s v="Rural"/>
    <s v="Masculino"/>
    <x v="1"/>
    <x v="1"/>
    <x v="4"/>
    <s v="PADD 2023 Y 2024"/>
    <s v="60133"/>
  </r>
  <r>
    <n v="2006"/>
    <x v="3"/>
    <x v="0"/>
    <x v="5"/>
    <x v="47"/>
    <s v="Rural"/>
    <s v="Femenino"/>
    <x v="0"/>
    <x v="1"/>
    <x v="4"/>
    <s v="PADD 2023 Y 2024"/>
    <s v="60133"/>
  </r>
  <r>
    <n v="2007"/>
    <x v="3"/>
    <x v="0"/>
    <x v="5"/>
    <x v="47"/>
    <s v="Rural"/>
    <s v="Femenino"/>
    <x v="0"/>
    <x v="1"/>
    <x v="4"/>
    <s v="PADD 2023 Y 2024"/>
    <s v="60133"/>
  </r>
  <r>
    <n v="2728"/>
    <x v="4"/>
    <x v="0"/>
    <x v="5"/>
    <x v="54"/>
    <s v="Rural"/>
    <s v="Masculino"/>
    <x v="0"/>
    <x v="1"/>
    <x v="4"/>
    <s v="NO PARTICIPÓ"/>
    <s v="Captuy"/>
  </r>
  <r>
    <n v="2729"/>
    <x v="4"/>
    <x v="0"/>
    <x v="5"/>
    <x v="54"/>
    <s v="Rural"/>
    <s v="Femenino"/>
    <x v="0"/>
    <x v="1"/>
    <x v="4"/>
    <s v="NO PARTICIPÓ"/>
    <s v="Captuy"/>
  </r>
  <r>
    <n v="2730"/>
    <x v="4"/>
    <x v="0"/>
    <x v="5"/>
    <x v="48"/>
    <s v="Rural"/>
    <s v="Masculino"/>
    <x v="0"/>
    <x v="1"/>
    <x v="4"/>
    <s v="SOLO 2023"/>
    <s v="Huarac Huran"/>
  </r>
  <r>
    <n v="1"/>
    <x v="0"/>
    <x v="0"/>
    <x v="4"/>
    <x v="0"/>
    <s v="Rural"/>
    <s v="Masculino"/>
    <x v="2"/>
    <x v="0"/>
    <x v="1"/>
    <s v="PADD 2023 Y 2024"/>
    <s v="14924 DANIEL ALCIDES CARRION"/>
  </r>
  <r>
    <n v="2"/>
    <x v="0"/>
    <x v="0"/>
    <x v="4"/>
    <x v="0"/>
    <s v="Rural"/>
    <s v="Femenino"/>
    <x v="0"/>
    <x v="0"/>
    <x v="1"/>
    <s v="PADD 2023 Y 2024"/>
    <s v="14924 DANIEL ALCIDES CARRION"/>
  </r>
  <r>
    <n v="3"/>
    <x v="0"/>
    <x v="0"/>
    <x v="4"/>
    <x v="0"/>
    <s v="Rural"/>
    <s v="Masculino"/>
    <x v="2"/>
    <x v="0"/>
    <x v="1"/>
    <s v="PADD 2023 Y 2024"/>
    <s v="14924 DANIEL ALCIDES CARRION"/>
  </r>
  <r>
    <n v="4"/>
    <x v="0"/>
    <x v="0"/>
    <x v="4"/>
    <x v="0"/>
    <s v="Rural"/>
    <s v="Masculino"/>
    <x v="1"/>
    <x v="0"/>
    <x v="1"/>
    <s v="PADD 2023 Y 2024"/>
    <s v="14924 DANIEL ALCIDES CARRION"/>
  </r>
  <r>
    <n v="5"/>
    <x v="0"/>
    <x v="0"/>
    <x v="4"/>
    <x v="0"/>
    <s v="Rural"/>
    <s v="Masculino"/>
    <x v="0"/>
    <x v="0"/>
    <x v="1"/>
    <s v="PADD 2023 Y 2024"/>
    <s v="14924 DANIEL ALCIDES CARRION"/>
  </r>
  <r>
    <n v="6"/>
    <x v="0"/>
    <x v="0"/>
    <x v="4"/>
    <x v="0"/>
    <s v="Rural"/>
    <s v="Femenino"/>
    <x v="0"/>
    <x v="0"/>
    <x v="1"/>
    <s v="PADD 2023 Y 2024"/>
    <s v="14924 DANIEL ALCIDES CARRION"/>
  </r>
  <r>
    <n v="7"/>
    <x v="0"/>
    <x v="0"/>
    <x v="4"/>
    <x v="0"/>
    <s v="Rural"/>
    <s v="Femenino"/>
    <x v="0"/>
    <x v="0"/>
    <x v="1"/>
    <s v="PADD 2023 Y 2024"/>
    <s v="14924 DANIEL ALCIDES CARRION"/>
  </r>
  <r>
    <n v="8"/>
    <x v="0"/>
    <x v="0"/>
    <x v="4"/>
    <x v="0"/>
    <s v="Rural"/>
    <s v="Femenino"/>
    <x v="0"/>
    <x v="0"/>
    <x v="1"/>
    <s v="PADD 2023 Y 2024"/>
    <s v="14924 DANIEL ALCIDES CARRION"/>
  </r>
  <r>
    <n v="9"/>
    <x v="0"/>
    <x v="0"/>
    <x v="4"/>
    <x v="0"/>
    <s v="Rural"/>
    <s v="Femenino"/>
    <x v="2"/>
    <x v="0"/>
    <x v="1"/>
    <s v="PADD 2023 Y 2024"/>
    <s v="14924 DANIEL ALCIDES CARRION"/>
  </r>
  <r>
    <n v="10"/>
    <x v="0"/>
    <x v="0"/>
    <x v="4"/>
    <x v="0"/>
    <s v="Rural"/>
    <s v="Masculino"/>
    <x v="0"/>
    <x v="0"/>
    <x v="1"/>
    <s v="PADD 2023 Y 2024"/>
    <s v="14924 DANIEL ALCIDES CARRION"/>
  </r>
  <r>
    <n v="11"/>
    <x v="0"/>
    <x v="0"/>
    <x v="4"/>
    <x v="0"/>
    <s v="Rural"/>
    <s v="Masculino"/>
    <x v="0"/>
    <x v="0"/>
    <x v="1"/>
    <s v="PADD 2023 Y 2024"/>
    <s v="14924 DANIEL ALCIDES CARRION"/>
  </r>
  <r>
    <n v="12"/>
    <x v="0"/>
    <x v="0"/>
    <x v="4"/>
    <x v="0"/>
    <s v="Rural"/>
    <s v="Femenino"/>
    <x v="2"/>
    <x v="0"/>
    <x v="1"/>
    <s v="PADD 2023 Y 2024"/>
    <s v="14924 DANIEL ALCIDES CARRION"/>
  </r>
  <r>
    <n v="13"/>
    <x v="0"/>
    <x v="0"/>
    <x v="4"/>
    <x v="0"/>
    <s v="Rural"/>
    <s v="Masculino"/>
    <x v="2"/>
    <x v="0"/>
    <x v="1"/>
    <s v="PADD 2023 Y 2024"/>
    <s v="14924 DANIEL ALCIDES CARRION"/>
  </r>
  <r>
    <n v="14"/>
    <x v="0"/>
    <x v="0"/>
    <x v="4"/>
    <x v="0"/>
    <s v="Rural"/>
    <s v="Masculino"/>
    <x v="2"/>
    <x v="0"/>
    <x v="1"/>
    <s v="PADD 2023 Y 2024"/>
    <s v="14924 DANIEL ALCIDES CARRION"/>
  </r>
  <r>
    <n v="15"/>
    <x v="0"/>
    <x v="0"/>
    <x v="4"/>
    <x v="0"/>
    <s v="Rural"/>
    <s v="Masculino"/>
    <x v="0"/>
    <x v="0"/>
    <x v="1"/>
    <s v="PADD 2023 Y 2024"/>
    <s v="14924 DANIEL ALCIDES CARRION"/>
  </r>
  <r>
    <n v="16"/>
    <x v="0"/>
    <x v="0"/>
    <x v="4"/>
    <x v="0"/>
    <s v="Rural"/>
    <s v="Masculino"/>
    <x v="0"/>
    <x v="0"/>
    <x v="1"/>
    <s v="PADD 2023 Y 2024"/>
    <s v="14924 DANIEL ALCIDES CARRION"/>
  </r>
  <r>
    <n v="17"/>
    <x v="0"/>
    <x v="0"/>
    <x v="4"/>
    <x v="0"/>
    <s v="Rural"/>
    <s v="Femenino"/>
    <x v="0"/>
    <x v="0"/>
    <x v="1"/>
    <s v="PADD 2023 Y 2024"/>
    <s v="14924 DANIEL ALCIDES CARRION"/>
  </r>
  <r>
    <n v="18"/>
    <x v="0"/>
    <x v="0"/>
    <x v="4"/>
    <x v="0"/>
    <s v="Rural"/>
    <s v="Masculino"/>
    <x v="2"/>
    <x v="0"/>
    <x v="1"/>
    <s v="PADD 2023 Y 2024"/>
    <s v="14924 DANIEL ALCIDES CARRION"/>
  </r>
  <r>
    <n v="19"/>
    <x v="0"/>
    <x v="0"/>
    <x v="4"/>
    <x v="0"/>
    <s v="Rural"/>
    <s v="Femenino"/>
    <x v="0"/>
    <x v="0"/>
    <x v="1"/>
    <s v="PADD 2023 Y 2024"/>
    <s v="14924 DANIEL ALCIDES CARRION"/>
  </r>
  <r>
    <n v="20"/>
    <x v="0"/>
    <x v="0"/>
    <x v="4"/>
    <x v="0"/>
    <s v="Rural"/>
    <s v="Masculino"/>
    <x v="0"/>
    <x v="0"/>
    <x v="1"/>
    <s v="PADD 2023 Y 2024"/>
    <s v="14924 DANIEL ALCIDES CARRION"/>
  </r>
  <r>
    <n v="21"/>
    <x v="0"/>
    <x v="0"/>
    <x v="4"/>
    <x v="0"/>
    <s v="Rural"/>
    <s v="Femenino"/>
    <x v="0"/>
    <x v="0"/>
    <x v="1"/>
    <s v="PADD 2023 Y 2024"/>
    <s v="14924 DANIEL ALCIDES CARRION"/>
  </r>
  <r>
    <n v="22"/>
    <x v="0"/>
    <x v="0"/>
    <x v="4"/>
    <x v="1"/>
    <s v="Rural"/>
    <s v="Masculino"/>
    <x v="2"/>
    <x v="0"/>
    <x v="1"/>
    <s v="PADD 2023 Y 2024"/>
    <s v="20104"/>
  </r>
  <r>
    <n v="23"/>
    <x v="0"/>
    <x v="0"/>
    <x v="4"/>
    <x v="1"/>
    <s v="Rural"/>
    <s v="Masculino"/>
    <x v="0"/>
    <x v="0"/>
    <x v="1"/>
    <s v="PADD 2023 Y 2024"/>
    <s v="20104"/>
  </r>
  <r>
    <n v="24"/>
    <x v="0"/>
    <x v="0"/>
    <x v="4"/>
    <x v="1"/>
    <s v="Rural"/>
    <s v="Masculino"/>
    <x v="0"/>
    <x v="0"/>
    <x v="1"/>
    <s v="PADD 2023 Y 2024"/>
    <s v="20104"/>
  </r>
  <r>
    <n v="25"/>
    <x v="0"/>
    <x v="0"/>
    <x v="4"/>
    <x v="1"/>
    <s v="Rural"/>
    <s v="Femenino"/>
    <x v="1"/>
    <x v="0"/>
    <x v="1"/>
    <s v="PADD 2023 Y 2024"/>
    <s v="20104"/>
  </r>
  <r>
    <n v="26"/>
    <x v="0"/>
    <x v="0"/>
    <x v="4"/>
    <x v="1"/>
    <s v="Rural"/>
    <s v="Femenino"/>
    <x v="0"/>
    <x v="0"/>
    <x v="1"/>
    <s v="PADD 2023 Y 2024"/>
    <s v="20104"/>
  </r>
  <r>
    <n v="27"/>
    <x v="0"/>
    <x v="0"/>
    <x v="4"/>
    <x v="2"/>
    <s v="Rural"/>
    <s v="Masculino"/>
    <x v="0"/>
    <x v="0"/>
    <x v="1"/>
    <s v="PADD 2023 Y 2024"/>
    <s v="14975"/>
  </r>
  <r>
    <n v="28"/>
    <x v="0"/>
    <x v="0"/>
    <x v="4"/>
    <x v="2"/>
    <s v="Rural"/>
    <s v="Masculino"/>
    <x v="2"/>
    <x v="0"/>
    <x v="1"/>
    <s v="PADD 2023 Y 2024"/>
    <s v="14975"/>
  </r>
  <r>
    <n v="29"/>
    <x v="0"/>
    <x v="0"/>
    <x v="4"/>
    <x v="2"/>
    <s v="Rural"/>
    <s v="Masculino"/>
    <x v="0"/>
    <x v="0"/>
    <x v="1"/>
    <s v="PADD 2023 Y 2024"/>
    <s v="14975"/>
  </r>
  <r>
    <n v="30"/>
    <x v="0"/>
    <x v="0"/>
    <x v="4"/>
    <x v="2"/>
    <s v="Rural"/>
    <s v="Femenino"/>
    <x v="0"/>
    <x v="0"/>
    <x v="1"/>
    <s v="PADD 2023 Y 2024"/>
    <s v="14975"/>
  </r>
  <r>
    <n v="31"/>
    <x v="0"/>
    <x v="0"/>
    <x v="4"/>
    <x v="2"/>
    <s v="Rural"/>
    <s v="Femenino"/>
    <x v="2"/>
    <x v="0"/>
    <x v="1"/>
    <s v="PADD 2023 Y 2024"/>
    <s v="14975"/>
  </r>
  <r>
    <n v="32"/>
    <x v="0"/>
    <x v="0"/>
    <x v="4"/>
    <x v="3"/>
    <s v="Rural"/>
    <s v="Masculino"/>
    <x v="1"/>
    <x v="0"/>
    <x v="1"/>
    <s v="SOLO 2023"/>
    <s v="15304"/>
  </r>
  <r>
    <n v="33"/>
    <x v="0"/>
    <x v="0"/>
    <x v="4"/>
    <x v="3"/>
    <s v="Rural"/>
    <s v="Masculino"/>
    <x v="0"/>
    <x v="0"/>
    <x v="1"/>
    <s v="SOLO 2023"/>
    <s v="15304"/>
  </r>
  <r>
    <n v="34"/>
    <x v="0"/>
    <x v="0"/>
    <x v="4"/>
    <x v="3"/>
    <s v="Rural"/>
    <s v="Femenino"/>
    <x v="0"/>
    <x v="0"/>
    <x v="1"/>
    <s v="SOLO 2023"/>
    <s v="15304"/>
  </r>
  <r>
    <n v="35"/>
    <x v="0"/>
    <x v="0"/>
    <x v="4"/>
    <x v="3"/>
    <s v="Rural"/>
    <s v="Femenino"/>
    <x v="2"/>
    <x v="0"/>
    <x v="1"/>
    <s v="SOLO 2023"/>
    <s v="15304"/>
  </r>
  <r>
    <n v="36"/>
    <x v="0"/>
    <x v="0"/>
    <x v="4"/>
    <x v="66"/>
    <s v="Rural"/>
    <s v="Masculino"/>
    <x v="0"/>
    <x v="0"/>
    <x v="0"/>
    <s v="SOLO 2023"/>
    <s v="SAGRADO CORAZON DE JESÚS"/>
  </r>
  <r>
    <n v="37"/>
    <x v="0"/>
    <x v="0"/>
    <x v="4"/>
    <x v="66"/>
    <s v="Rural"/>
    <s v="Masculino"/>
    <x v="1"/>
    <x v="0"/>
    <x v="0"/>
    <s v="SOLO 2023"/>
    <s v="SAGRADO CORAZON DE JESÚS"/>
  </r>
  <r>
    <n v="38"/>
    <x v="0"/>
    <x v="0"/>
    <x v="4"/>
    <x v="66"/>
    <s v="Rural"/>
    <s v="Masculino"/>
    <x v="2"/>
    <x v="0"/>
    <x v="0"/>
    <s v="SOLO 2023"/>
    <s v="SAGRADO CORAZON DE JESÚS"/>
  </r>
  <r>
    <n v="39"/>
    <x v="0"/>
    <x v="0"/>
    <x v="4"/>
    <x v="66"/>
    <s v="Rural"/>
    <s v="Femenino"/>
    <x v="0"/>
    <x v="0"/>
    <x v="0"/>
    <s v="SOLO 2023"/>
    <s v="SAGRADO CORAZON DE JESÚS"/>
  </r>
  <r>
    <n v="40"/>
    <x v="0"/>
    <x v="0"/>
    <x v="4"/>
    <x v="66"/>
    <s v="Rural"/>
    <s v="Femenino"/>
    <x v="1"/>
    <x v="0"/>
    <x v="0"/>
    <s v="SOLO 2023"/>
    <s v="SAGRADO CORAZON DE JESÚS"/>
  </r>
  <r>
    <n v="41"/>
    <x v="0"/>
    <x v="0"/>
    <x v="4"/>
    <x v="66"/>
    <s v="Rural"/>
    <s v="Femenino"/>
    <x v="0"/>
    <x v="0"/>
    <x v="0"/>
    <s v="SOLO 2023"/>
    <s v="SAGRADO CORAZON DE JESÚS"/>
  </r>
  <r>
    <n v="42"/>
    <x v="0"/>
    <x v="0"/>
    <x v="4"/>
    <x v="66"/>
    <s v="Rural"/>
    <s v="Femenino"/>
    <x v="0"/>
    <x v="0"/>
    <x v="0"/>
    <s v="SOLO 2023"/>
    <s v="SAGRADO CORAZON DE JESÚS"/>
  </r>
  <r>
    <n v="43"/>
    <x v="0"/>
    <x v="0"/>
    <x v="4"/>
    <x v="12"/>
    <s v="Rural"/>
    <s v="Femenino"/>
    <x v="2"/>
    <x v="0"/>
    <x v="1"/>
    <s v="SOLO 2023"/>
    <s v="20123"/>
  </r>
  <r>
    <n v="44"/>
    <x v="0"/>
    <x v="0"/>
    <x v="4"/>
    <x v="5"/>
    <s v="Rural"/>
    <s v="Femenino"/>
    <x v="0"/>
    <x v="0"/>
    <x v="1"/>
    <s v="SOLO 2023"/>
    <s v="14144 SANTA ROSA"/>
  </r>
  <r>
    <n v="45"/>
    <x v="0"/>
    <x v="0"/>
    <x v="4"/>
    <x v="5"/>
    <s v="Rural"/>
    <s v="Masculino"/>
    <x v="1"/>
    <x v="0"/>
    <x v="1"/>
    <s v="SOLO 2023"/>
    <s v="14144 SANTA ROSA"/>
  </r>
  <r>
    <n v="46"/>
    <x v="0"/>
    <x v="0"/>
    <x v="4"/>
    <x v="5"/>
    <s v="Rural"/>
    <s v="Masculino"/>
    <x v="1"/>
    <x v="0"/>
    <x v="1"/>
    <s v="SOLO 2023"/>
    <s v="14144 SANTA ROSA"/>
  </r>
  <r>
    <n v="47"/>
    <x v="0"/>
    <x v="0"/>
    <x v="4"/>
    <x v="5"/>
    <s v="Rural"/>
    <s v="Femenino"/>
    <x v="2"/>
    <x v="0"/>
    <x v="1"/>
    <s v="SOLO 2023"/>
    <s v="14144 SANTA ROSA"/>
  </r>
  <r>
    <n v="48"/>
    <x v="0"/>
    <x v="0"/>
    <x v="4"/>
    <x v="5"/>
    <s v="Rural"/>
    <s v="Masculino"/>
    <x v="0"/>
    <x v="0"/>
    <x v="1"/>
    <s v="SOLO 2023"/>
    <s v="14144 SANTA ROSA"/>
  </r>
  <r>
    <n v="49"/>
    <x v="0"/>
    <x v="0"/>
    <x v="4"/>
    <x v="5"/>
    <s v="Rural"/>
    <s v="Femenino"/>
    <x v="1"/>
    <x v="0"/>
    <x v="1"/>
    <s v="SOLO 2023"/>
    <s v="14144 SANTA ROSA"/>
  </r>
  <r>
    <n v="50"/>
    <x v="0"/>
    <x v="0"/>
    <x v="4"/>
    <x v="5"/>
    <s v="Rural"/>
    <s v="Femenino"/>
    <x v="0"/>
    <x v="0"/>
    <x v="1"/>
    <s v="SOLO 2023"/>
    <s v="14144 SANTA ROSA"/>
  </r>
  <r>
    <n v="51"/>
    <x v="0"/>
    <x v="0"/>
    <x v="4"/>
    <x v="5"/>
    <s v="Rural"/>
    <s v="Femenino"/>
    <x v="2"/>
    <x v="0"/>
    <x v="1"/>
    <s v="SOLO 2023"/>
    <s v="14144 SANTA ROSA"/>
  </r>
  <r>
    <n v="52"/>
    <x v="0"/>
    <x v="0"/>
    <x v="4"/>
    <x v="5"/>
    <s v="Rural"/>
    <s v="Femenino"/>
    <x v="1"/>
    <x v="0"/>
    <x v="1"/>
    <s v="SOLO 2023"/>
    <s v="14144 SANTA ROSA"/>
  </r>
  <r>
    <n v="53"/>
    <x v="0"/>
    <x v="0"/>
    <x v="4"/>
    <x v="5"/>
    <s v="Rural"/>
    <s v="Masculino"/>
    <x v="1"/>
    <x v="0"/>
    <x v="1"/>
    <s v="SOLO 2023"/>
    <s v="14144 SANTA ROSA"/>
  </r>
  <r>
    <n v="54"/>
    <x v="0"/>
    <x v="0"/>
    <x v="4"/>
    <x v="5"/>
    <s v="Rural"/>
    <s v="Masculino"/>
    <x v="1"/>
    <x v="0"/>
    <x v="1"/>
    <s v="SOLO 2023"/>
    <s v="14144 SANTA ROSA"/>
  </r>
  <r>
    <n v="55"/>
    <x v="0"/>
    <x v="0"/>
    <x v="4"/>
    <x v="5"/>
    <s v="Rural"/>
    <s v="Femenino"/>
    <x v="0"/>
    <x v="0"/>
    <x v="1"/>
    <s v="SOLO 2023"/>
    <s v="14144 SANTA ROSA"/>
  </r>
  <r>
    <n v="56"/>
    <x v="0"/>
    <x v="0"/>
    <x v="4"/>
    <x v="5"/>
    <s v="Rural"/>
    <s v="Femenino"/>
    <x v="1"/>
    <x v="0"/>
    <x v="1"/>
    <s v="SOLO 2023"/>
    <s v="14144 SANTA ROSA"/>
  </r>
  <r>
    <n v="57"/>
    <x v="0"/>
    <x v="0"/>
    <x v="4"/>
    <x v="5"/>
    <s v="Rural"/>
    <s v="Masculino"/>
    <x v="0"/>
    <x v="0"/>
    <x v="1"/>
    <s v="SOLO 2023"/>
    <s v="14144 SANTA ROSA"/>
  </r>
  <r>
    <n v="58"/>
    <x v="0"/>
    <x v="0"/>
    <x v="4"/>
    <x v="5"/>
    <s v="Rural"/>
    <s v="Masculino"/>
    <x v="2"/>
    <x v="0"/>
    <x v="1"/>
    <s v="SOLO 2023"/>
    <s v="14144 SANTA ROSA"/>
  </r>
  <r>
    <n v="59"/>
    <x v="0"/>
    <x v="0"/>
    <x v="4"/>
    <x v="5"/>
    <s v="Rural"/>
    <s v="Masculino"/>
    <x v="0"/>
    <x v="0"/>
    <x v="1"/>
    <s v="SOLO 2023"/>
    <s v="14144 SANTA ROSA"/>
  </r>
  <r>
    <n v="60"/>
    <x v="0"/>
    <x v="0"/>
    <x v="4"/>
    <x v="5"/>
    <s v="Rural"/>
    <s v="Masculino"/>
    <x v="0"/>
    <x v="0"/>
    <x v="1"/>
    <s v="SOLO 2023"/>
    <s v="14144 SANTA ROSA"/>
  </r>
  <r>
    <n v="61"/>
    <x v="0"/>
    <x v="0"/>
    <x v="4"/>
    <x v="5"/>
    <s v="Rural"/>
    <s v="Masculino"/>
    <x v="2"/>
    <x v="0"/>
    <x v="1"/>
    <s v="SOLO 2023"/>
    <s v="14144 SANTA ROSA"/>
  </r>
  <r>
    <n v="62"/>
    <x v="0"/>
    <x v="0"/>
    <x v="4"/>
    <x v="5"/>
    <s v="Rural"/>
    <s v="Masculino"/>
    <x v="2"/>
    <x v="0"/>
    <x v="1"/>
    <s v="SOLO 2023"/>
    <s v="14144 SANTA ROSA"/>
  </r>
  <r>
    <n v="63"/>
    <x v="0"/>
    <x v="0"/>
    <x v="4"/>
    <x v="5"/>
    <s v="Rural"/>
    <s v="Femenino"/>
    <x v="2"/>
    <x v="0"/>
    <x v="1"/>
    <s v="SOLO 2023"/>
    <s v="14144 SANTA ROSA"/>
  </r>
  <r>
    <n v="64"/>
    <x v="0"/>
    <x v="0"/>
    <x v="4"/>
    <x v="5"/>
    <s v="Rural"/>
    <s v="Femenino"/>
    <x v="2"/>
    <x v="0"/>
    <x v="1"/>
    <s v="SOLO 2023"/>
    <s v="14144 SANTA ROSA"/>
  </r>
  <r>
    <n v="65"/>
    <x v="0"/>
    <x v="0"/>
    <x v="4"/>
    <x v="5"/>
    <s v="Rural"/>
    <s v="Femenino"/>
    <x v="2"/>
    <x v="0"/>
    <x v="1"/>
    <s v="SOLO 2023"/>
    <s v="14144 SANTA ROSA"/>
  </r>
  <r>
    <n v="66"/>
    <x v="0"/>
    <x v="0"/>
    <x v="4"/>
    <x v="5"/>
    <s v="Rural"/>
    <s v="Femenino"/>
    <x v="2"/>
    <x v="0"/>
    <x v="1"/>
    <s v="SOLO 2023"/>
    <s v="14144 SANTA ROSA"/>
  </r>
  <r>
    <n v="67"/>
    <x v="0"/>
    <x v="0"/>
    <x v="4"/>
    <x v="5"/>
    <s v="Rural"/>
    <s v="Femenino"/>
    <x v="0"/>
    <x v="0"/>
    <x v="1"/>
    <s v="SOLO 2023"/>
    <s v="14144 SANTA ROSA"/>
  </r>
  <r>
    <n v="68"/>
    <x v="0"/>
    <x v="0"/>
    <x v="4"/>
    <x v="5"/>
    <s v="Rural"/>
    <s v="Femenino"/>
    <x v="2"/>
    <x v="0"/>
    <x v="1"/>
    <s v="SOLO 2023"/>
    <s v="14144 SANTA ROSA"/>
  </r>
  <r>
    <n v="69"/>
    <x v="0"/>
    <x v="0"/>
    <x v="4"/>
    <x v="6"/>
    <s v="Rural"/>
    <s v="Femenino"/>
    <x v="0"/>
    <x v="0"/>
    <x v="0"/>
    <s v="SOLO 2024"/>
    <s v="14894"/>
  </r>
  <r>
    <n v="70"/>
    <x v="0"/>
    <x v="0"/>
    <x v="4"/>
    <x v="13"/>
    <s v="Rural"/>
    <s v="Femenino"/>
    <x v="0"/>
    <x v="0"/>
    <x v="1"/>
    <s v="SOLO 2023"/>
    <s v="15219"/>
  </r>
  <r>
    <n v="71"/>
    <x v="0"/>
    <x v="0"/>
    <x v="4"/>
    <x v="13"/>
    <s v="Rural"/>
    <s v="Femenino"/>
    <x v="0"/>
    <x v="0"/>
    <x v="1"/>
    <s v="SOLO 2023"/>
    <s v="15219"/>
  </r>
  <r>
    <n v="72"/>
    <x v="0"/>
    <x v="0"/>
    <x v="4"/>
    <x v="8"/>
    <s v="Rural"/>
    <s v="Masculino"/>
    <x v="0"/>
    <x v="0"/>
    <x v="1"/>
    <s v="PADD 2023 Y 2024"/>
    <s v="14141"/>
  </r>
  <r>
    <n v="73"/>
    <x v="0"/>
    <x v="0"/>
    <x v="4"/>
    <x v="9"/>
    <s v="Rural"/>
    <s v="Femenino"/>
    <x v="0"/>
    <x v="0"/>
    <x v="1"/>
    <s v="PADD 2023 Y 2024"/>
    <s v="15478"/>
  </r>
  <r>
    <n v="74"/>
    <x v="0"/>
    <x v="0"/>
    <x v="4"/>
    <x v="9"/>
    <s v="Rural"/>
    <s v="Femenino"/>
    <x v="0"/>
    <x v="0"/>
    <x v="1"/>
    <s v="PADD 2023 Y 2024"/>
    <s v="15478"/>
  </r>
  <r>
    <n v="75"/>
    <x v="0"/>
    <x v="0"/>
    <x v="4"/>
    <x v="10"/>
    <s v="Rural"/>
    <s v="Masculino"/>
    <x v="0"/>
    <x v="0"/>
    <x v="0"/>
    <s v="SOLO 2023"/>
    <s v="14045"/>
  </r>
  <r>
    <n v="76"/>
    <x v="0"/>
    <x v="0"/>
    <x v="4"/>
    <x v="10"/>
    <s v="Rural"/>
    <s v="Femenino"/>
    <x v="1"/>
    <x v="0"/>
    <x v="0"/>
    <s v="SOLO 2023"/>
    <s v="14045"/>
  </r>
  <r>
    <n v="77"/>
    <x v="0"/>
    <x v="0"/>
    <x v="4"/>
    <x v="11"/>
    <s v="Rural"/>
    <s v="Femenino"/>
    <x v="0"/>
    <x v="0"/>
    <x v="1"/>
    <s v="SOLO 2023"/>
    <s v="14145 SANTA JULIA BILLIART"/>
  </r>
  <r>
    <n v="78"/>
    <x v="0"/>
    <x v="0"/>
    <x v="4"/>
    <x v="11"/>
    <s v="Rural"/>
    <s v="Femenino"/>
    <x v="0"/>
    <x v="0"/>
    <x v="1"/>
    <s v="SOLO 2023"/>
    <s v="14145 SANTA JULIA BILLIART"/>
  </r>
  <r>
    <n v="79"/>
    <x v="0"/>
    <x v="0"/>
    <x v="4"/>
    <x v="11"/>
    <s v="Rural"/>
    <s v="Femenino"/>
    <x v="0"/>
    <x v="0"/>
    <x v="1"/>
    <s v="SOLO 2023"/>
    <s v="14145 SANTA JULIA BILLIART"/>
  </r>
  <r>
    <n v="80"/>
    <x v="0"/>
    <x v="0"/>
    <x v="4"/>
    <x v="11"/>
    <s v="Rural"/>
    <s v="Femenino"/>
    <x v="2"/>
    <x v="0"/>
    <x v="1"/>
    <s v="SOLO 2023"/>
    <s v="14145 SANTA JULIA BILLIART"/>
  </r>
  <r>
    <n v="81"/>
    <x v="0"/>
    <x v="0"/>
    <x v="4"/>
    <x v="11"/>
    <s v="Rural"/>
    <s v="Femenino"/>
    <x v="0"/>
    <x v="0"/>
    <x v="1"/>
    <s v="SOLO 2023"/>
    <s v="14145 SANTA JULIA BILLIART"/>
  </r>
  <r>
    <n v="82"/>
    <x v="0"/>
    <x v="0"/>
    <x v="4"/>
    <x v="11"/>
    <s v="Rural"/>
    <s v="Masculino"/>
    <x v="0"/>
    <x v="0"/>
    <x v="1"/>
    <s v="SOLO 2023"/>
    <s v="14145 SANTA JULIA BILLIART"/>
  </r>
  <r>
    <n v="83"/>
    <x v="0"/>
    <x v="0"/>
    <x v="4"/>
    <x v="11"/>
    <s v="Rural"/>
    <s v="Masculino"/>
    <x v="0"/>
    <x v="0"/>
    <x v="1"/>
    <s v="SOLO 2023"/>
    <s v="14145 SANTA JULIA BILLIART"/>
  </r>
  <r>
    <n v="84"/>
    <x v="0"/>
    <x v="0"/>
    <x v="4"/>
    <x v="11"/>
    <s v="Rural"/>
    <s v="Masculino"/>
    <x v="0"/>
    <x v="0"/>
    <x v="1"/>
    <s v="SOLO 2023"/>
    <s v="14145 SANTA JULIA BILLIART"/>
  </r>
  <r>
    <n v="85"/>
    <x v="0"/>
    <x v="0"/>
    <x v="4"/>
    <x v="11"/>
    <s v="Rural"/>
    <s v="Masculino"/>
    <x v="0"/>
    <x v="0"/>
    <x v="1"/>
    <s v="SOLO 2023"/>
    <s v="14145 SANTA JULIA BILLIART"/>
  </r>
  <r>
    <n v="86"/>
    <x v="0"/>
    <x v="0"/>
    <x v="4"/>
    <x v="11"/>
    <s v="Rural"/>
    <s v="Masculino"/>
    <x v="0"/>
    <x v="0"/>
    <x v="1"/>
    <s v="SOLO 2023"/>
    <s v="14145 SANTA JULIA BILLIART"/>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8">
  <r>
    <n v="1"/>
    <x v="0"/>
    <s v="Primaria"/>
    <x v="0"/>
    <x v="0"/>
    <s v="Rural"/>
    <s v="Masculino"/>
    <x v="0"/>
    <x v="0"/>
    <s v="SOLO 2024"/>
    <s v="PADD 2023 Y 2024"/>
    <x v="0"/>
    <s v="14924 DANIEL ALCIDES CARRION4 Primaria"/>
  </r>
  <r>
    <n v="2"/>
    <x v="0"/>
    <s v="Primaria"/>
    <x v="0"/>
    <x v="0"/>
    <s v="Rural"/>
    <s v="Masculino"/>
    <x v="0"/>
    <x v="0"/>
    <s v="SOLO 2024"/>
    <s v="PADD 2023 Y 2024"/>
    <x v="0"/>
    <s v="14924 DANIEL ALCIDES CARRION4 Primaria"/>
  </r>
  <r>
    <n v="3"/>
    <x v="0"/>
    <s v="Primaria"/>
    <x v="0"/>
    <x v="0"/>
    <s v="Rural"/>
    <s v="Masculino"/>
    <x v="1"/>
    <x v="0"/>
    <s v="SOLO 2024"/>
    <s v="PADD 2023 Y 2024"/>
    <x v="0"/>
    <s v="14924 DANIEL ALCIDES CARRION4 Primaria"/>
  </r>
  <r>
    <n v="4"/>
    <x v="0"/>
    <s v="Primaria"/>
    <x v="0"/>
    <x v="0"/>
    <s v="Rural"/>
    <s v="Femenino"/>
    <x v="1"/>
    <x v="0"/>
    <s v="SOLO 2024"/>
    <s v="PADD 2023 Y 2024"/>
    <x v="0"/>
    <s v="14924 DANIEL ALCIDES CARRION4 Primaria"/>
  </r>
  <r>
    <n v="5"/>
    <x v="0"/>
    <s v="Primaria"/>
    <x v="0"/>
    <x v="0"/>
    <s v="Rural"/>
    <s v="Masculino"/>
    <x v="1"/>
    <x v="0"/>
    <s v="SOLO 2024"/>
    <s v="PADD 2023 Y 2024"/>
    <x v="0"/>
    <s v="14924 DANIEL ALCIDES CARRION4 Primaria"/>
  </r>
  <r>
    <n v="6"/>
    <x v="0"/>
    <s v="Primaria"/>
    <x v="0"/>
    <x v="0"/>
    <s v="Rural"/>
    <s v="Femenino"/>
    <x v="0"/>
    <x v="0"/>
    <s v="SOLO 2024"/>
    <s v="PADD 2023 Y 2024"/>
    <x v="0"/>
    <s v="14924 DANIEL ALCIDES CARRION4 Primaria"/>
  </r>
  <r>
    <n v="7"/>
    <x v="0"/>
    <s v="Primaria"/>
    <x v="0"/>
    <x v="0"/>
    <s v="Rural"/>
    <s v="Femenino"/>
    <x v="0"/>
    <x v="0"/>
    <s v="SOLO 2024"/>
    <s v="PADD 2023 Y 2024"/>
    <x v="0"/>
    <s v="14924 DANIEL ALCIDES CARRION4 Primaria"/>
  </r>
  <r>
    <n v="8"/>
    <x v="0"/>
    <s v="Primaria"/>
    <x v="0"/>
    <x v="0"/>
    <s v="Rural"/>
    <s v="Femenino"/>
    <x v="0"/>
    <x v="0"/>
    <s v="SOLO 2024"/>
    <s v="PADD 2023 Y 2024"/>
    <x v="0"/>
    <s v="14924 DANIEL ALCIDES CARRION4 Primaria"/>
  </r>
  <r>
    <n v="9"/>
    <x v="0"/>
    <s v="Primaria"/>
    <x v="0"/>
    <x v="0"/>
    <s v="Rural"/>
    <s v="Masculino"/>
    <x v="1"/>
    <x v="0"/>
    <s v="SOLO 2024"/>
    <s v="PADD 2023 Y 2024"/>
    <x v="0"/>
    <s v="14924 DANIEL ALCIDES CARRION4 Primaria"/>
  </r>
  <r>
    <n v="10"/>
    <x v="0"/>
    <s v="Primaria"/>
    <x v="0"/>
    <x v="0"/>
    <s v="Rural"/>
    <s v="Femenino"/>
    <x v="2"/>
    <x v="0"/>
    <s v="SOLO 2024"/>
    <s v="PADD 2023 Y 2024"/>
    <x v="0"/>
    <s v="14924 DANIEL ALCIDES CARRION4 Primaria"/>
  </r>
  <r>
    <n v="11"/>
    <x v="0"/>
    <s v="Primaria"/>
    <x v="0"/>
    <x v="0"/>
    <s v="Rural"/>
    <s v="Masculino"/>
    <x v="1"/>
    <x v="0"/>
    <s v="SOLO 2024"/>
    <s v="PADD 2023 Y 2024"/>
    <x v="0"/>
    <s v="14924 DANIEL ALCIDES CARRION4 Primaria"/>
  </r>
  <r>
    <n v="12"/>
    <x v="0"/>
    <s v="Primaria"/>
    <x v="0"/>
    <x v="0"/>
    <s v="Rural"/>
    <s v="Femenino"/>
    <x v="0"/>
    <x v="0"/>
    <s v="SOLO 2024"/>
    <s v="PADD 2023 Y 2024"/>
    <x v="0"/>
    <s v="14924 DANIEL ALCIDES CARRION4 Primaria"/>
  </r>
  <r>
    <n v="13"/>
    <x v="0"/>
    <s v="Primaria"/>
    <x v="0"/>
    <x v="0"/>
    <s v="Rural"/>
    <s v="Femenino"/>
    <x v="0"/>
    <x v="0"/>
    <s v="SOLO 2024"/>
    <s v="PADD 2023 Y 2024"/>
    <x v="0"/>
    <s v="14924 DANIEL ALCIDES CARRION4 Primaria"/>
  </r>
  <r>
    <n v="14"/>
    <x v="0"/>
    <s v="Primaria"/>
    <x v="0"/>
    <x v="0"/>
    <s v="Rural"/>
    <s v="Femenino"/>
    <x v="1"/>
    <x v="0"/>
    <s v="SOLO 2024"/>
    <s v="PADD 2023 Y 2024"/>
    <x v="0"/>
    <s v="14924 DANIEL ALCIDES CARRION4 Primaria"/>
  </r>
  <r>
    <n v="15"/>
    <x v="0"/>
    <s v="Primaria"/>
    <x v="0"/>
    <x v="0"/>
    <s v="Rural"/>
    <s v="Masculino"/>
    <x v="0"/>
    <x v="0"/>
    <s v="SOLO 2024"/>
    <s v="PADD 2023 Y 2024"/>
    <x v="0"/>
    <s v="14924 DANIEL ALCIDES CARRION4 Primaria"/>
  </r>
  <r>
    <n v="16"/>
    <x v="0"/>
    <s v="Primaria"/>
    <x v="0"/>
    <x v="0"/>
    <s v="Rural"/>
    <s v="Masculino"/>
    <x v="0"/>
    <x v="0"/>
    <s v="SOLO 2024"/>
    <s v="PADD 2023 Y 2024"/>
    <x v="0"/>
    <s v="14924 DANIEL ALCIDES CARRION4 Primaria"/>
  </r>
  <r>
    <n v="17"/>
    <x v="0"/>
    <s v="Primaria"/>
    <x v="0"/>
    <x v="0"/>
    <s v="Rural"/>
    <s v="Femenino"/>
    <x v="0"/>
    <x v="0"/>
    <s v="SOLO 2024"/>
    <s v="PADD 2023 Y 2024"/>
    <x v="0"/>
    <s v="14924 DANIEL ALCIDES CARRION4 Primaria"/>
  </r>
  <r>
    <n v="18"/>
    <x v="0"/>
    <s v="Primaria"/>
    <x v="0"/>
    <x v="0"/>
    <s v="Rural"/>
    <s v="Femenino"/>
    <x v="2"/>
    <x v="0"/>
    <s v="SOLO 2024"/>
    <s v="PADD 2023 Y 2024"/>
    <x v="0"/>
    <s v="14924 DANIEL ALCIDES CARRION4 Primaria"/>
  </r>
  <r>
    <n v="19"/>
    <x v="0"/>
    <s v="Primaria"/>
    <x v="0"/>
    <x v="0"/>
    <s v="Rural"/>
    <s v="Femenino"/>
    <x v="0"/>
    <x v="0"/>
    <s v="SOLO 2024"/>
    <s v="PADD 2023 Y 2024"/>
    <x v="0"/>
    <s v="14924 DANIEL ALCIDES CARRION4 Primaria"/>
  </r>
  <r>
    <n v="20"/>
    <x v="0"/>
    <s v="Primaria"/>
    <x v="0"/>
    <x v="0"/>
    <s v="Rural"/>
    <s v="Masculino"/>
    <x v="0"/>
    <x v="0"/>
    <s v="SOLO 2024"/>
    <s v="PADD 2023 Y 2024"/>
    <x v="0"/>
    <s v="14924 DANIEL ALCIDES CARRION4 Primaria"/>
  </r>
  <r>
    <n v="21"/>
    <x v="0"/>
    <s v="Primaria"/>
    <x v="0"/>
    <x v="0"/>
    <s v="Rural"/>
    <s v="Masculino"/>
    <x v="0"/>
    <x v="0"/>
    <s v="SOLO 2024"/>
    <s v="PADD 2023 Y 2024"/>
    <x v="0"/>
    <s v="14924 DANIEL ALCIDES CARRION4 Primaria"/>
  </r>
  <r>
    <n v="22"/>
    <x v="0"/>
    <s v="Primaria"/>
    <x v="0"/>
    <x v="0"/>
    <s v="Rural"/>
    <s v="Masculino"/>
    <x v="0"/>
    <x v="0"/>
    <s v="SOLO 2024"/>
    <s v="PADD 2023 Y 2024"/>
    <x v="0"/>
    <s v="14924 DANIEL ALCIDES CARRION4 Primaria"/>
  </r>
  <r>
    <n v="23"/>
    <x v="0"/>
    <s v="Primaria"/>
    <x v="0"/>
    <x v="1"/>
    <s v="Rural"/>
    <s v="Masculino"/>
    <x v="0"/>
    <x v="0"/>
    <s v="SOLO 2024"/>
    <s v="PADD 2023 Y 2024"/>
    <x v="1"/>
    <s v="201044 Primaria"/>
  </r>
  <r>
    <n v="24"/>
    <x v="0"/>
    <s v="Primaria"/>
    <x v="0"/>
    <x v="1"/>
    <s v="Rural"/>
    <s v="Masculino"/>
    <x v="0"/>
    <x v="0"/>
    <s v="SOLO 2024"/>
    <s v="PADD 2023 Y 2024"/>
    <x v="1"/>
    <s v="201044 Primaria"/>
  </r>
  <r>
    <n v="25"/>
    <x v="0"/>
    <s v="Primaria"/>
    <x v="0"/>
    <x v="1"/>
    <s v="Rural"/>
    <s v="Masculino"/>
    <x v="0"/>
    <x v="0"/>
    <s v="SOLO 2024"/>
    <s v="PADD 2023 Y 2024"/>
    <x v="1"/>
    <s v="201044 Primaria"/>
  </r>
  <r>
    <n v="26"/>
    <x v="0"/>
    <s v="Primaria"/>
    <x v="0"/>
    <x v="1"/>
    <s v="Rural"/>
    <s v="Masculino"/>
    <x v="0"/>
    <x v="0"/>
    <s v="SOLO 2024"/>
    <s v="PADD 2023 Y 2024"/>
    <x v="1"/>
    <s v="201044 Primaria"/>
  </r>
  <r>
    <n v="27"/>
    <x v="0"/>
    <s v="Primaria"/>
    <x v="0"/>
    <x v="1"/>
    <s v="Rural"/>
    <s v="Femenino"/>
    <x v="0"/>
    <x v="0"/>
    <s v="SOLO 2024"/>
    <s v="PADD 2023 Y 2024"/>
    <x v="1"/>
    <s v="201044 Primaria"/>
  </r>
  <r>
    <n v="28"/>
    <x v="0"/>
    <s v="Primaria"/>
    <x v="0"/>
    <x v="1"/>
    <s v="Rural"/>
    <s v="Femenino"/>
    <x v="0"/>
    <x v="0"/>
    <s v="SOLO 2024"/>
    <s v="PADD 2023 Y 2024"/>
    <x v="1"/>
    <s v="201044 Primaria"/>
  </r>
  <r>
    <n v="29"/>
    <x v="0"/>
    <s v="Primaria"/>
    <x v="0"/>
    <x v="1"/>
    <s v="Rural"/>
    <s v="Femenino"/>
    <x v="0"/>
    <x v="0"/>
    <s v="SOLO 2024"/>
    <s v="PADD 2023 Y 2024"/>
    <x v="1"/>
    <s v="201044 Primaria"/>
  </r>
  <r>
    <n v="30"/>
    <x v="0"/>
    <s v="Primaria"/>
    <x v="0"/>
    <x v="2"/>
    <s v="Rural"/>
    <s v="Masculino"/>
    <x v="0"/>
    <x v="0"/>
    <s v="SOLO 2024"/>
    <s v="PADD 2023 Y 2024"/>
    <x v="2"/>
    <s v="149754 Primaria"/>
  </r>
  <r>
    <n v="31"/>
    <x v="0"/>
    <s v="Primaria"/>
    <x v="0"/>
    <x v="2"/>
    <s v="Rural"/>
    <s v="Masculino"/>
    <x v="0"/>
    <x v="0"/>
    <s v="SOLO 2024"/>
    <s v="PADD 2023 Y 2024"/>
    <x v="2"/>
    <s v="149754 Primaria"/>
  </r>
  <r>
    <n v="32"/>
    <x v="0"/>
    <s v="Primaria"/>
    <x v="0"/>
    <x v="2"/>
    <s v="Rural"/>
    <s v="Masculino"/>
    <x v="1"/>
    <x v="0"/>
    <s v="SOLO 2024"/>
    <s v="PADD 2023 Y 2024"/>
    <x v="2"/>
    <s v="149754 Primaria"/>
  </r>
  <r>
    <n v="33"/>
    <x v="0"/>
    <s v="Primaria"/>
    <x v="0"/>
    <x v="2"/>
    <s v="Rural"/>
    <s v="Femenino"/>
    <x v="0"/>
    <x v="0"/>
    <s v="SOLO 2024"/>
    <s v="PADD 2023 Y 2024"/>
    <x v="2"/>
    <s v="149754 Primaria"/>
  </r>
  <r>
    <n v="34"/>
    <x v="0"/>
    <s v="Primaria"/>
    <x v="0"/>
    <x v="2"/>
    <s v="Rural"/>
    <s v="Femenino"/>
    <x v="0"/>
    <x v="0"/>
    <s v="SOLO 2024"/>
    <s v="PADD 2023 Y 2024"/>
    <x v="2"/>
    <s v="149754 Primaria"/>
  </r>
  <r>
    <n v="35"/>
    <x v="0"/>
    <s v="Primaria"/>
    <x v="0"/>
    <x v="2"/>
    <s v="Rural"/>
    <s v="Femenino"/>
    <x v="1"/>
    <x v="0"/>
    <s v="SOLO 2024"/>
    <s v="PADD 2023 Y 2024"/>
    <x v="2"/>
    <s v="149754 Primaria"/>
  </r>
  <r>
    <n v="36"/>
    <x v="0"/>
    <s v="Primaria"/>
    <x v="0"/>
    <x v="3"/>
    <s v="Rural"/>
    <s v="Masculino"/>
    <x v="0"/>
    <x v="0"/>
    <s v="2023 Y 2024"/>
    <s v="SOLO 2023"/>
    <x v="3"/>
    <s v="153044 Primaria"/>
  </r>
  <r>
    <n v="37"/>
    <x v="0"/>
    <s v="Primaria"/>
    <x v="0"/>
    <x v="3"/>
    <s v="Rural"/>
    <s v="Masculino"/>
    <x v="0"/>
    <x v="0"/>
    <s v="2023 Y 2024"/>
    <s v="SOLO 2023"/>
    <x v="3"/>
    <s v="153044 Primaria"/>
  </r>
  <r>
    <n v="38"/>
    <x v="0"/>
    <s v="Primaria"/>
    <x v="0"/>
    <x v="4"/>
    <s v="Rural"/>
    <s v="Masculino"/>
    <x v="0"/>
    <x v="0"/>
    <s v="2023 Y 2024"/>
    <s v="NO PARTICIPÓ"/>
    <x v="4"/>
    <s v="SAGRADO CORAZON DE JESUS4 Primaria"/>
  </r>
  <r>
    <n v="39"/>
    <x v="0"/>
    <s v="Primaria"/>
    <x v="0"/>
    <x v="4"/>
    <s v="Rural"/>
    <s v="Masculino"/>
    <x v="0"/>
    <x v="0"/>
    <s v="2023 Y 2024"/>
    <s v="NO PARTICIPÓ"/>
    <x v="4"/>
    <s v="SAGRADO CORAZON DE JESUS4 Primaria"/>
  </r>
  <r>
    <n v="40"/>
    <x v="0"/>
    <s v="Primaria"/>
    <x v="0"/>
    <x v="4"/>
    <s v="Rural"/>
    <s v="Masculino"/>
    <x v="0"/>
    <x v="0"/>
    <s v="2023 Y 2024"/>
    <s v="NO PARTICIPÓ"/>
    <x v="4"/>
    <s v="SAGRADO CORAZON DE JESUS4 Primaria"/>
  </r>
  <r>
    <n v="41"/>
    <x v="0"/>
    <s v="Primaria"/>
    <x v="0"/>
    <x v="4"/>
    <s v="Rural"/>
    <s v="Masculino"/>
    <x v="0"/>
    <x v="0"/>
    <s v="2023 Y 2024"/>
    <s v="NO PARTICIPÓ"/>
    <x v="4"/>
    <s v="SAGRADO CORAZON DE JESUS4 Primaria"/>
  </r>
  <r>
    <n v="42"/>
    <x v="0"/>
    <s v="Primaria"/>
    <x v="0"/>
    <x v="4"/>
    <s v="Rural"/>
    <s v="Femenino"/>
    <x v="0"/>
    <x v="0"/>
    <s v="2023 Y 2024"/>
    <s v="NO PARTICIPÓ"/>
    <x v="4"/>
    <s v="SAGRADO CORAZON DE JESUS4 Primaria"/>
  </r>
  <r>
    <n v="43"/>
    <x v="0"/>
    <s v="Primaria"/>
    <x v="0"/>
    <x v="4"/>
    <s v="Rural"/>
    <s v="Femenino"/>
    <x v="0"/>
    <x v="0"/>
    <s v="2023 Y 2024"/>
    <s v="NO PARTICIPÓ"/>
    <x v="4"/>
    <s v="SAGRADO CORAZON DE JESUS4 Primaria"/>
  </r>
  <r>
    <n v="44"/>
    <x v="0"/>
    <s v="Primaria"/>
    <x v="0"/>
    <x v="4"/>
    <s v="Rural"/>
    <s v="Femenino"/>
    <x v="0"/>
    <x v="0"/>
    <s v="2023 Y 2024"/>
    <s v="NO PARTICIPÓ"/>
    <x v="4"/>
    <s v="SAGRADO CORAZON DE JESUS4 Primaria"/>
  </r>
  <r>
    <n v="45"/>
    <x v="0"/>
    <s v="Primaria"/>
    <x v="0"/>
    <x v="5"/>
    <s v="Rural"/>
    <s v="Femenino"/>
    <x v="1"/>
    <x v="0"/>
    <s v="2023 Y 2024"/>
    <s v="SOLO 2023"/>
    <x v="5"/>
    <s v="14144 SANTA ROSA4 Primaria"/>
  </r>
  <r>
    <n v="46"/>
    <x v="0"/>
    <s v="Primaria"/>
    <x v="0"/>
    <x v="5"/>
    <s v="Rural"/>
    <s v="Femenino"/>
    <x v="0"/>
    <x v="0"/>
    <s v="2023 Y 2024"/>
    <s v="SOLO 2023"/>
    <x v="5"/>
    <s v="14144 SANTA ROSA4 Primaria"/>
  </r>
  <r>
    <n v="47"/>
    <x v="0"/>
    <s v="Primaria"/>
    <x v="0"/>
    <x v="5"/>
    <s v="Rural"/>
    <s v="Femenino"/>
    <x v="0"/>
    <x v="0"/>
    <s v="2023 Y 2024"/>
    <s v="SOLO 2023"/>
    <x v="5"/>
    <s v="14144 SANTA ROSA4 Primaria"/>
  </r>
  <r>
    <n v="48"/>
    <x v="0"/>
    <s v="Primaria"/>
    <x v="0"/>
    <x v="5"/>
    <s v="Rural"/>
    <s v="Femenino"/>
    <x v="1"/>
    <x v="0"/>
    <s v="2023 Y 2024"/>
    <s v="SOLO 2023"/>
    <x v="5"/>
    <s v="14144 SANTA ROSA4 Primaria"/>
  </r>
  <r>
    <n v="49"/>
    <x v="0"/>
    <s v="Primaria"/>
    <x v="0"/>
    <x v="5"/>
    <s v="Rural"/>
    <s v="Masculino"/>
    <x v="0"/>
    <x v="0"/>
    <s v="2023 Y 2024"/>
    <s v="SOLO 2023"/>
    <x v="5"/>
    <s v="14144 SANTA ROSA4 Primaria"/>
  </r>
  <r>
    <n v="50"/>
    <x v="0"/>
    <s v="Primaria"/>
    <x v="0"/>
    <x v="5"/>
    <s v="Rural"/>
    <s v="Masculino"/>
    <x v="0"/>
    <x v="0"/>
    <s v="2023 Y 2024"/>
    <s v="SOLO 2023"/>
    <x v="5"/>
    <s v="14144 SANTA ROSA4 Primaria"/>
  </r>
  <r>
    <n v="51"/>
    <x v="0"/>
    <s v="Primaria"/>
    <x v="0"/>
    <x v="5"/>
    <s v="Rural"/>
    <s v="Masculino"/>
    <x v="0"/>
    <x v="0"/>
    <s v="2023 Y 2024"/>
    <s v="SOLO 2023"/>
    <x v="5"/>
    <s v="14144 SANTA ROSA4 Primaria"/>
  </r>
  <r>
    <n v="52"/>
    <x v="0"/>
    <s v="Primaria"/>
    <x v="0"/>
    <x v="5"/>
    <s v="Rural"/>
    <s v="Masculino"/>
    <x v="0"/>
    <x v="0"/>
    <s v="2023 Y 2024"/>
    <s v="SOLO 2023"/>
    <x v="5"/>
    <s v="14144 SANTA ROSA4 Primaria"/>
  </r>
  <r>
    <n v="53"/>
    <x v="0"/>
    <s v="Primaria"/>
    <x v="0"/>
    <x v="5"/>
    <s v="Rural"/>
    <s v="Masculino"/>
    <x v="0"/>
    <x v="0"/>
    <s v="2023 Y 2024"/>
    <s v="SOLO 2023"/>
    <x v="5"/>
    <s v="14144 SANTA ROSA4 Primaria"/>
  </r>
  <r>
    <n v="54"/>
    <x v="0"/>
    <s v="Primaria"/>
    <x v="0"/>
    <x v="5"/>
    <s v="Rural"/>
    <s v="Masculino"/>
    <x v="0"/>
    <x v="0"/>
    <s v="2023 Y 2024"/>
    <s v="SOLO 2023"/>
    <x v="5"/>
    <s v="14144 SANTA ROSA4 Primaria"/>
  </r>
  <r>
    <n v="55"/>
    <x v="0"/>
    <s v="Primaria"/>
    <x v="0"/>
    <x v="5"/>
    <s v="Rural"/>
    <s v="Masculino"/>
    <x v="0"/>
    <x v="0"/>
    <s v="2023 Y 2024"/>
    <s v="SOLO 2023"/>
    <x v="5"/>
    <s v="14144 SANTA ROSA4 Primaria"/>
  </r>
  <r>
    <n v="56"/>
    <x v="0"/>
    <s v="Primaria"/>
    <x v="0"/>
    <x v="5"/>
    <s v="Rural"/>
    <s v="Masculino"/>
    <x v="1"/>
    <x v="0"/>
    <s v="2023 Y 2024"/>
    <s v="SOLO 2023"/>
    <x v="5"/>
    <s v="14144 SANTA ROSA4 Primaria"/>
  </r>
  <r>
    <n v="57"/>
    <x v="0"/>
    <s v="Primaria"/>
    <x v="0"/>
    <x v="5"/>
    <s v="Rural"/>
    <s v="Masculino"/>
    <x v="1"/>
    <x v="0"/>
    <s v="2023 Y 2024"/>
    <s v="SOLO 2023"/>
    <x v="5"/>
    <s v="14144 SANTA ROSA4 Primaria"/>
  </r>
  <r>
    <n v="58"/>
    <x v="0"/>
    <s v="Primaria"/>
    <x v="0"/>
    <x v="5"/>
    <s v="Rural"/>
    <s v="Masculino"/>
    <x v="1"/>
    <x v="0"/>
    <s v="2023 Y 2024"/>
    <s v="SOLO 2023"/>
    <x v="5"/>
    <s v="14144 SANTA ROSA4 Primaria"/>
  </r>
  <r>
    <n v="59"/>
    <x v="0"/>
    <s v="Primaria"/>
    <x v="0"/>
    <x v="5"/>
    <s v="Rural"/>
    <s v="Masculino"/>
    <x v="2"/>
    <x v="0"/>
    <s v="2023 Y 2024"/>
    <s v="SOLO 2023"/>
    <x v="5"/>
    <s v="14144 SANTA ROSA4 Primaria"/>
  </r>
  <r>
    <n v="60"/>
    <x v="0"/>
    <s v="Primaria"/>
    <x v="0"/>
    <x v="5"/>
    <s v="Rural"/>
    <s v="Femenino"/>
    <x v="2"/>
    <x v="0"/>
    <s v="2023 Y 2024"/>
    <s v="SOLO 2023"/>
    <x v="5"/>
    <s v="14144 SANTA ROSA4 Primaria"/>
  </r>
  <r>
    <n v="61"/>
    <x v="0"/>
    <s v="Primaria"/>
    <x v="0"/>
    <x v="5"/>
    <s v="Rural"/>
    <s v="Femenino"/>
    <x v="1"/>
    <x v="0"/>
    <s v="2023 Y 2024"/>
    <s v="SOLO 2023"/>
    <x v="5"/>
    <s v="14144 SANTA ROSA4 Primaria"/>
  </r>
  <r>
    <n v="62"/>
    <x v="0"/>
    <s v="Primaria"/>
    <x v="0"/>
    <x v="5"/>
    <s v="Rural"/>
    <s v="Femenino"/>
    <x v="1"/>
    <x v="0"/>
    <s v="2023 Y 2024"/>
    <s v="SOLO 2023"/>
    <x v="5"/>
    <s v="14144 SANTA ROSA4 Primaria"/>
  </r>
  <r>
    <n v="63"/>
    <x v="0"/>
    <s v="Primaria"/>
    <x v="0"/>
    <x v="5"/>
    <s v="Rural"/>
    <s v="Femenino"/>
    <x v="1"/>
    <x v="0"/>
    <s v="2023 Y 2024"/>
    <s v="SOLO 2023"/>
    <x v="5"/>
    <s v="14144 SANTA ROSA4 Primaria"/>
  </r>
  <r>
    <n v="64"/>
    <x v="0"/>
    <s v="Primaria"/>
    <x v="0"/>
    <x v="5"/>
    <s v="Rural"/>
    <s v="Femenino"/>
    <x v="1"/>
    <x v="0"/>
    <s v="2023 Y 2024"/>
    <s v="SOLO 2023"/>
    <x v="5"/>
    <s v="14144 SANTA ROSA4 Primaria"/>
  </r>
  <r>
    <n v="65"/>
    <x v="0"/>
    <s v="Primaria"/>
    <x v="0"/>
    <x v="6"/>
    <s v="Rural"/>
    <s v="Femenino"/>
    <x v="0"/>
    <x v="0"/>
    <s v="SOLO 2024"/>
    <s v="SOLO 2024"/>
    <x v="6"/>
    <s v="148944 Primaria"/>
  </r>
  <r>
    <n v="66"/>
    <x v="0"/>
    <s v="Primaria"/>
    <x v="0"/>
    <x v="7"/>
    <s v="Rural"/>
    <s v="Masculino"/>
    <x v="0"/>
    <x v="0"/>
    <s v="2023 Y 2024"/>
    <s v="PADD 2023 Y 2024"/>
    <x v="7"/>
    <s v="153834 Primaria"/>
  </r>
  <r>
    <n v="67"/>
    <x v="0"/>
    <s v="Primaria"/>
    <x v="0"/>
    <x v="8"/>
    <s v="Rural"/>
    <s v="Masculino"/>
    <x v="0"/>
    <x v="0"/>
    <s v="2023 Y 2024"/>
    <s v="PADD 2023 Y 2024"/>
    <x v="8"/>
    <s v="141414 Primaria"/>
  </r>
  <r>
    <n v="68"/>
    <x v="0"/>
    <s v="Primaria"/>
    <x v="0"/>
    <x v="9"/>
    <s v="Rural"/>
    <s v="Masculino"/>
    <x v="0"/>
    <x v="0"/>
    <s v="2023 Y 2024"/>
    <s v="PADD 2023 Y 2024"/>
    <x v="9"/>
    <s v="154784 Primaria"/>
  </r>
  <r>
    <n v="69"/>
    <x v="0"/>
    <s v="Primaria"/>
    <x v="0"/>
    <x v="10"/>
    <s v="Rural"/>
    <s v="Masculino"/>
    <x v="0"/>
    <x v="0"/>
    <s v="SOLO 2024"/>
    <s v="SOLO 2023"/>
    <x v="10"/>
    <s v="140454 Primaria"/>
  </r>
  <r>
    <n v="70"/>
    <x v="0"/>
    <s v="Primaria"/>
    <x v="0"/>
    <x v="10"/>
    <s v="Rural"/>
    <s v="Femenino"/>
    <x v="0"/>
    <x v="0"/>
    <s v="SOLO 2024"/>
    <s v="SOLO 2023"/>
    <x v="10"/>
    <s v="140454 Primaria"/>
  </r>
  <r>
    <n v="71"/>
    <x v="0"/>
    <s v="Primaria"/>
    <x v="0"/>
    <x v="11"/>
    <s v="Rural"/>
    <s v="Masculino"/>
    <x v="1"/>
    <x v="0"/>
    <s v="2023 Y 2024"/>
    <s v="SOLO 2023"/>
    <x v="11"/>
    <s v="14145 SANTA JULIA BILLIART4 Primaria"/>
  </r>
  <r>
    <n v="72"/>
    <x v="0"/>
    <s v="Primaria"/>
    <x v="0"/>
    <x v="11"/>
    <s v="Rural"/>
    <s v="Masculino"/>
    <x v="0"/>
    <x v="0"/>
    <s v="2023 Y 2024"/>
    <s v="SOLO 2023"/>
    <x v="11"/>
    <s v="14145 SANTA JULIA BILLIART4 Primaria"/>
  </r>
  <r>
    <n v="73"/>
    <x v="0"/>
    <s v="Primaria"/>
    <x v="0"/>
    <x v="11"/>
    <s v="Rural"/>
    <s v="Masculino"/>
    <x v="0"/>
    <x v="0"/>
    <s v="2023 Y 2024"/>
    <s v="SOLO 2023"/>
    <x v="11"/>
    <s v="14145 SANTA JULIA BILLIART4 Primaria"/>
  </r>
  <r>
    <n v="74"/>
    <x v="0"/>
    <s v="Primaria"/>
    <x v="0"/>
    <x v="11"/>
    <s v="Rural"/>
    <s v="Masculino"/>
    <x v="0"/>
    <x v="0"/>
    <s v="2023 Y 2024"/>
    <s v="SOLO 2023"/>
    <x v="11"/>
    <s v="14145 SANTA JULIA BILLIART4 Primaria"/>
  </r>
  <r>
    <n v="75"/>
    <x v="0"/>
    <s v="Primaria"/>
    <x v="0"/>
    <x v="11"/>
    <s v="Rural"/>
    <s v="Masculino"/>
    <x v="0"/>
    <x v="0"/>
    <s v="2023 Y 2024"/>
    <s v="SOLO 2023"/>
    <x v="11"/>
    <s v="14145 SANTA JULIA BILLIART4 Primaria"/>
  </r>
  <r>
    <n v="76"/>
    <x v="0"/>
    <s v="Primaria"/>
    <x v="0"/>
    <x v="11"/>
    <s v="Rural"/>
    <s v="Masculino"/>
    <x v="0"/>
    <x v="0"/>
    <s v="2023 Y 2024"/>
    <s v="SOLO 2023"/>
    <x v="11"/>
    <s v="14145 SANTA JULIA BILLIART4 Primaria"/>
  </r>
  <r>
    <n v="77"/>
    <x v="0"/>
    <s v="Primaria"/>
    <x v="0"/>
    <x v="11"/>
    <s v="Rural"/>
    <s v="Femenino"/>
    <x v="0"/>
    <x v="0"/>
    <s v="2023 Y 2024"/>
    <s v="SOLO 2023"/>
    <x v="11"/>
    <s v="14145 SANTA JULIA BILLIART4 Primaria"/>
  </r>
  <r>
    <n v="78"/>
    <x v="0"/>
    <s v="Primaria"/>
    <x v="0"/>
    <x v="11"/>
    <s v="Rural"/>
    <s v="Femenino"/>
    <x v="0"/>
    <x v="0"/>
    <s v="2023 Y 2024"/>
    <s v="SOLO 2023"/>
    <x v="11"/>
    <s v="14145 SANTA JULIA BILLIART4 Primaria"/>
  </r>
  <r>
    <n v="79"/>
    <x v="0"/>
    <s v="Primaria"/>
    <x v="0"/>
    <x v="11"/>
    <s v="Rural"/>
    <s v="Femenino"/>
    <x v="1"/>
    <x v="0"/>
    <s v="2023 Y 2024"/>
    <s v="SOLO 2023"/>
    <x v="11"/>
    <s v="14145 SANTA JULIA BILLIART4 Primaria"/>
  </r>
  <r>
    <n v="80"/>
    <x v="0"/>
    <s v="Primaria"/>
    <x v="0"/>
    <x v="11"/>
    <s v="Rural"/>
    <s v="Femenino"/>
    <x v="0"/>
    <x v="0"/>
    <s v="2023 Y 2024"/>
    <s v="SOLO 2023"/>
    <x v="11"/>
    <s v="14145 SANTA JULIA BILLIART4 Primaria"/>
  </r>
  <r>
    <n v="1"/>
    <x v="0"/>
    <s v="Primaria"/>
    <x v="1"/>
    <x v="0"/>
    <s v="Rural"/>
    <s v="Femenino"/>
    <x v="0"/>
    <x v="0"/>
    <s v="SOLO 2024"/>
    <s v="PADD 2023 Y 2024"/>
    <x v="0"/>
    <s v="14924 DANIEL ALCIDES CARRION6 Primaria"/>
  </r>
  <r>
    <n v="2"/>
    <x v="0"/>
    <s v="Primaria"/>
    <x v="1"/>
    <x v="0"/>
    <s v="Rural"/>
    <s v="Femenino"/>
    <x v="0"/>
    <x v="0"/>
    <s v="SOLO 2024"/>
    <s v="PADD 2023 Y 2024"/>
    <x v="0"/>
    <s v="14924 DANIEL ALCIDES CARRION6 Primaria"/>
  </r>
  <r>
    <n v="3"/>
    <x v="0"/>
    <s v="Primaria"/>
    <x v="1"/>
    <x v="0"/>
    <s v="Rural"/>
    <s v="Femenino"/>
    <x v="1"/>
    <x v="0"/>
    <s v="SOLO 2024"/>
    <s v="PADD 2023 Y 2024"/>
    <x v="0"/>
    <s v="14924 DANIEL ALCIDES CARRION6 Primaria"/>
  </r>
  <r>
    <n v="4"/>
    <x v="0"/>
    <s v="Primaria"/>
    <x v="1"/>
    <x v="0"/>
    <s v="Rural"/>
    <s v="Femenino"/>
    <x v="2"/>
    <x v="0"/>
    <s v="SOLO 2024"/>
    <s v="PADD 2023 Y 2024"/>
    <x v="0"/>
    <s v="14924 DANIEL ALCIDES CARRION6 Primaria"/>
  </r>
  <r>
    <n v="5"/>
    <x v="0"/>
    <s v="Primaria"/>
    <x v="1"/>
    <x v="0"/>
    <s v="Rural"/>
    <s v="Femenino"/>
    <x v="2"/>
    <x v="0"/>
    <s v="SOLO 2024"/>
    <s v="PADD 2023 Y 2024"/>
    <x v="0"/>
    <s v="14924 DANIEL ALCIDES CARRION6 Primaria"/>
  </r>
  <r>
    <n v="6"/>
    <x v="0"/>
    <s v="Primaria"/>
    <x v="1"/>
    <x v="0"/>
    <s v="Rural"/>
    <s v="Femenino"/>
    <x v="0"/>
    <x v="0"/>
    <s v="SOLO 2024"/>
    <s v="PADD 2023 Y 2024"/>
    <x v="0"/>
    <s v="14924 DANIEL ALCIDES CARRION6 Primaria"/>
  </r>
  <r>
    <n v="7"/>
    <x v="0"/>
    <s v="Primaria"/>
    <x v="1"/>
    <x v="0"/>
    <s v="Rural"/>
    <s v="Femenino"/>
    <x v="1"/>
    <x v="0"/>
    <s v="SOLO 2024"/>
    <s v="PADD 2023 Y 2024"/>
    <x v="0"/>
    <s v="14924 DANIEL ALCIDES CARRION6 Primaria"/>
  </r>
  <r>
    <n v="8"/>
    <x v="0"/>
    <s v="Primaria"/>
    <x v="1"/>
    <x v="0"/>
    <s v="Rural"/>
    <s v="Femenino"/>
    <x v="0"/>
    <x v="0"/>
    <s v="SOLO 2024"/>
    <s v="PADD 2023 Y 2024"/>
    <x v="0"/>
    <s v="14924 DANIEL ALCIDES CARRION6 Primaria"/>
  </r>
  <r>
    <n v="9"/>
    <x v="0"/>
    <s v="Primaria"/>
    <x v="1"/>
    <x v="0"/>
    <s v="Rural"/>
    <s v="Masculino"/>
    <x v="0"/>
    <x v="0"/>
    <s v="SOLO 2024"/>
    <s v="PADD 2023 Y 2024"/>
    <x v="0"/>
    <s v="14924 DANIEL ALCIDES CARRION6 Primaria"/>
  </r>
  <r>
    <n v="10"/>
    <x v="0"/>
    <s v="Primaria"/>
    <x v="1"/>
    <x v="0"/>
    <s v="Rural"/>
    <s v="Masculino"/>
    <x v="0"/>
    <x v="0"/>
    <s v="SOLO 2024"/>
    <s v="PADD 2023 Y 2024"/>
    <x v="0"/>
    <s v="14924 DANIEL ALCIDES CARRION6 Primaria"/>
  </r>
  <r>
    <n v="11"/>
    <x v="0"/>
    <s v="Primaria"/>
    <x v="1"/>
    <x v="0"/>
    <s v="Rural"/>
    <s v="Masculino"/>
    <x v="0"/>
    <x v="0"/>
    <s v="SOLO 2024"/>
    <s v="PADD 2023 Y 2024"/>
    <x v="0"/>
    <s v="14924 DANIEL ALCIDES CARRION6 Primaria"/>
  </r>
  <r>
    <n v="12"/>
    <x v="0"/>
    <s v="Primaria"/>
    <x v="1"/>
    <x v="0"/>
    <s v="Rural"/>
    <s v="Masculino"/>
    <x v="0"/>
    <x v="0"/>
    <s v="SOLO 2024"/>
    <s v="PADD 2023 Y 2024"/>
    <x v="0"/>
    <s v="14924 DANIEL ALCIDES CARRION6 Primaria"/>
  </r>
  <r>
    <n v="13"/>
    <x v="0"/>
    <s v="Primaria"/>
    <x v="1"/>
    <x v="0"/>
    <s v="Rural"/>
    <s v="Masculino"/>
    <x v="0"/>
    <x v="0"/>
    <s v="SOLO 2024"/>
    <s v="PADD 2023 Y 2024"/>
    <x v="0"/>
    <s v="14924 DANIEL ALCIDES CARRION6 Primaria"/>
  </r>
  <r>
    <n v="14"/>
    <x v="0"/>
    <s v="Primaria"/>
    <x v="1"/>
    <x v="0"/>
    <s v="Rural"/>
    <s v="Masculino"/>
    <x v="1"/>
    <x v="0"/>
    <s v="SOLO 2024"/>
    <s v="PADD 2023 Y 2024"/>
    <x v="0"/>
    <s v="14924 DANIEL ALCIDES CARRION6 Primaria"/>
  </r>
  <r>
    <n v="15"/>
    <x v="0"/>
    <s v="Primaria"/>
    <x v="1"/>
    <x v="0"/>
    <s v="Rural"/>
    <s v="Femenino"/>
    <x v="0"/>
    <x v="0"/>
    <s v="SOLO 2024"/>
    <s v="PADD 2023 Y 2024"/>
    <x v="0"/>
    <s v="14924 DANIEL ALCIDES CARRION6 Primaria"/>
  </r>
  <r>
    <n v="16"/>
    <x v="0"/>
    <s v="Primaria"/>
    <x v="1"/>
    <x v="0"/>
    <s v="Rural"/>
    <s v="Femenino"/>
    <x v="0"/>
    <x v="0"/>
    <s v="SOLO 2024"/>
    <s v="PADD 2023 Y 2024"/>
    <x v="0"/>
    <s v="14924 DANIEL ALCIDES CARRION6 Primaria"/>
  </r>
  <r>
    <n v="17"/>
    <x v="0"/>
    <s v="Primaria"/>
    <x v="1"/>
    <x v="0"/>
    <s v="Rural"/>
    <s v="Femenino"/>
    <x v="0"/>
    <x v="0"/>
    <s v="SOLO 2024"/>
    <s v="PADD 2023 Y 2024"/>
    <x v="0"/>
    <s v="14924 DANIEL ALCIDES CARRION6 Primaria"/>
  </r>
  <r>
    <n v="18"/>
    <x v="0"/>
    <s v="Primaria"/>
    <x v="1"/>
    <x v="0"/>
    <s v="Rural"/>
    <s v="Femenino"/>
    <x v="0"/>
    <x v="0"/>
    <s v="SOLO 2024"/>
    <s v="PADD 2023 Y 2024"/>
    <x v="0"/>
    <s v="14924 DANIEL ALCIDES CARRION6 Primaria"/>
  </r>
  <r>
    <n v="19"/>
    <x v="0"/>
    <s v="Primaria"/>
    <x v="1"/>
    <x v="0"/>
    <s v="Rural"/>
    <s v="Femenino"/>
    <x v="0"/>
    <x v="0"/>
    <s v="SOLO 2024"/>
    <s v="PADD 2023 Y 2024"/>
    <x v="0"/>
    <s v="14924 DANIEL ALCIDES CARRION6 Primaria"/>
  </r>
  <r>
    <n v="20"/>
    <x v="0"/>
    <s v="Primaria"/>
    <x v="1"/>
    <x v="0"/>
    <s v="Rural"/>
    <s v="Masculino"/>
    <x v="0"/>
    <x v="0"/>
    <s v="SOLO 2024"/>
    <s v="PADD 2023 Y 2024"/>
    <x v="0"/>
    <s v="14924 DANIEL ALCIDES CARRION6 Primaria"/>
  </r>
  <r>
    <n v="21"/>
    <x v="0"/>
    <s v="Primaria"/>
    <x v="1"/>
    <x v="0"/>
    <s v="Rural"/>
    <s v="Masculino"/>
    <x v="0"/>
    <x v="0"/>
    <s v="SOLO 2024"/>
    <s v="PADD 2023 Y 2024"/>
    <x v="0"/>
    <s v="14924 DANIEL ALCIDES CARRION6 Primaria"/>
  </r>
  <r>
    <n v="22"/>
    <x v="0"/>
    <s v="Primaria"/>
    <x v="1"/>
    <x v="0"/>
    <s v="Rural"/>
    <s v="Masculino"/>
    <x v="0"/>
    <x v="0"/>
    <s v="SOLO 2024"/>
    <s v="PADD 2023 Y 2024"/>
    <x v="0"/>
    <s v="14924 DANIEL ALCIDES CARRION6 Primaria"/>
  </r>
  <r>
    <n v="23"/>
    <x v="0"/>
    <s v="Primaria"/>
    <x v="1"/>
    <x v="0"/>
    <s v="Rural"/>
    <s v="Masculino"/>
    <x v="0"/>
    <x v="0"/>
    <s v="SOLO 2024"/>
    <s v="PADD 2023 Y 2024"/>
    <x v="0"/>
    <s v="14924 DANIEL ALCIDES CARRION6 Primaria"/>
  </r>
  <r>
    <n v="24"/>
    <x v="0"/>
    <s v="Primaria"/>
    <x v="1"/>
    <x v="0"/>
    <s v="Rural"/>
    <s v="Masculino"/>
    <x v="0"/>
    <x v="0"/>
    <s v="SOLO 2024"/>
    <s v="PADD 2023 Y 2024"/>
    <x v="0"/>
    <s v="14924 DANIEL ALCIDES CARRION6 Primaria"/>
  </r>
  <r>
    <n v="25"/>
    <x v="0"/>
    <s v="Primaria"/>
    <x v="1"/>
    <x v="1"/>
    <s v="Rural"/>
    <s v="Masculino"/>
    <x v="0"/>
    <x v="0"/>
    <s v="2023 Y 2024"/>
    <s v="PADD 2023 Y 2024"/>
    <x v="1"/>
    <s v="201046 Primaria"/>
  </r>
  <r>
    <n v="26"/>
    <x v="0"/>
    <s v="Primaria"/>
    <x v="1"/>
    <x v="1"/>
    <s v="Rural"/>
    <s v="Masculino"/>
    <x v="0"/>
    <x v="0"/>
    <s v="2023 Y 2024"/>
    <s v="PADD 2023 Y 2024"/>
    <x v="1"/>
    <s v="201046 Primaria"/>
  </r>
  <r>
    <n v="27"/>
    <x v="0"/>
    <s v="Primaria"/>
    <x v="1"/>
    <x v="1"/>
    <s v="Rural"/>
    <s v="Masculino"/>
    <x v="0"/>
    <x v="0"/>
    <s v="2023 Y 2024"/>
    <s v="PADD 2023 Y 2024"/>
    <x v="1"/>
    <s v="201046 Primaria"/>
  </r>
  <r>
    <n v="28"/>
    <x v="0"/>
    <s v="Primaria"/>
    <x v="1"/>
    <x v="1"/>
    <s v="Rural"/>
    <s v="Femenino"/>
    <x v="0"/>
    <x v="0"/>
    <s v="2023 Y 2024"/>
    <s v="PADD 2023 Y 2024"/>
    <x v="1"/>
    <s v="201046 Primaria"/>
  </r>
  <r>
    <n v="29"/>
    <x v="0"/>
    <s v="Primaria"/>
    <x v="1"/>
    <x v="2"/>
    <s v="Rural"/>
    <s v="Masculino"/>
    <x v="0"/>
    <x v="0"/>
    <s v="2023 Y 2024"/>
    <s v="PADD 2023 Y 2024"/>
    <x v="2"/>
    <s v="149756 Primaria"/>
  </r>
  <r>
    <n v="30"/>
    <x v="0"/>
    <s v="Primaria"/>
    <x v="1"/>
    <x v="2"/>
    <s v="Rural"/>
    <s v="Masculino"/>
    <x v="0"/>
    <x v="0"/>
    <s v="2023 Y 2024"/>
    <s v="PADD 2023 Y 2024"/>
    <x v="2"/>
    <s v="149756 Primaria"/>
  </r>
  <r>
    <n v="31"/>
    <x v="0"/>
    <s v="Primaria"/>
    <x v="1"/>
    <x v="2"/>
    <s v="Rural"/>
    <s v="Femenino"/>
    <x v="0"/>
    <x v="0"/>
    <s v="2023 Y 2024"/>
    <s v="PADD 2023 Y 2024"/>
    <x v="2"/>
    <s v="149756 Primaria"/>
  </r>
  <r>
    <n v="32"/>
    <x v="0"/>
    <s v="Primaria"/>
    <x v="1"/>
    <x v="2"/>
    <s v="Rural"/>
    <s v="Femenino"/>
    <x v="0"/>
    <x v="0"/>
    <s v="2023 Y 2024"/>
    <s v="PADD 2023 Y 2024"/>
    <x v="2"/>
    <s v="149756 Primaria"/>
  </r>
  <r>
    <n v="33"/>
    <x v="0"/>
    <s v="Primaria"/>
    <x v="1"/>
    <x v="2"/>
    <s v="Rural"/>
    <s v="Femenino"/>
    <x v="0"/>
    <x v="0"/>
    <s v="2023 Y 2024"/>
    <s v="PADD 2023 Y 2024"/>
    <x v="2"/>
    <s v="149756 Primaria"/>
  </r>
  <r>
    <n v="34"/>
    <x v="0"/>
    <s v="Primaria"/>
    <x v="1"/>
    <x v="3"/>
    <s v="Rural"/>
    <s v="Masculino"/>
    <x v="1"/>
    <x v="0"/>
    <s v="2023 Y 2024"/>
    <s v="SOLO 2023"/>
    <x v="3"/>
    <s v="153046 Primaria"/>
  </r>
  <r>
    <n v="35"/>
    <x v="0"/>
    <s v="Primaria"/>
    <x v="1"/>
    <x v="3"/>
    <s v="Rural"/>
    <s v="Femenino"/>
    <x v="0"/>
    <x v="0"/>
    <s v="2023 Y 2024"/>
    <s v="SOLO 2023"/>
    <x v="3"/>
    <s v="153046 Primaria"/>
  </r>
  <r>
    <n v="36"/>
    <x v="0"/>
    <s v="Primaria"/>
    <x v="1"/>
    <x v="3"/>
    <s v="Rural"/>
    <s v="Femenino"/>
    <x v="0"/>
    <x v="0"/>
    <s v="2023 Y 2024"/>
    <s v="SOLO 2023"/>
    <x v="3"/>
    <s v="153046 Primaria"/>
  </r>
  <r>
    <n v="37"/>
    <x v="0"/>
    <s v="Primaria"/>
    <x v="1"/>
    <x v="4"/>
    <s v="Rural"/>
    <s v="Masculino"/>
    <x v="0"/>
    <x v="0"/>
    <s v="2023 Y 2024"/>
    <s v="NO PARTICIPÓ"/>
    <x v="4"/>
    <s v="SAGRADO CORAZON DE JESUS6 Primaria"/>
  </r>
  <r>
    <n v="38"/>
    <x v="0"/>
    <s v="Primaria"/>
    <x v="1"/>
    <x v="4"/>
    <s v="Rural"/>
    <s v="Masculino"/>
    <x v="0"/>
    <x v="0"/>
    <s v="2023 Y 2024"/>
    <s v="NO PARTICIPÓ"/>
    <x v="4"/>
    <s v="SAGRADO CORAZON DE JESUS6 Primaria"/>
  </r>
  <r>
    <n v="39"/>
    <x v="0"/>
    <s v="Primaria"/>
    <x v="1"/>
    <x v="4"/>
    <s v="Rural"/>
    <s v="Masculino"/>
    <x v="0"/>
    <x v="0"/>
    <s v="2023 Y 2024"/>
    <s v="NO PARTICIPÓ"/>
    <x v="4"/>
    <s v="SAGRADO CORAZON DE JESUS6 Primaria"/>
  </r>
  <r>
    <n v="40"/>
    <x v="0"/>
    <s v="Primaria"/>
    <x v="1"/>
    <x v="4"/>
    <s v="Rural"/>
    <s v="Masculino"/>
    <x v="0"/>
    <x v="0"/>
    <s v="2023 Y 2024"/>
    <s v="NO PARTICIPÓ"/>
    <x v="4"/>
    <s v="SAGRADO CORAZON DE JESUS6 Primaria"/>
  </r>
  <r>
    <n v="41"/>
    <x v="0"/>
    <s v="Primaria"/>
    <x v="1"/>
    <x v="4"/>
    <s v="Rural"/>
    <s v="Femenino"/>
    <x v="0"/>
    <x v="0"/>
    <s v="2023 Y 2024"/>
    <s v="NO PARTICIPÓ"/>
    <x v="4"/>
    <s v="SAGRADO CORAZON DE JESUS6 Primaria"/>
  </r>
  <r>
    <n v="42"/>
    <x v="0"/>
    <s v="Primaria"/>
    <x v="1"/>
    <x v="4"/>
    <s v="Rural"/>
    <s v="Femenino"/>
    <x v="0"/>
    <x v="0"/>
    <s v="2023 Y 2024"/>
    <s v="NO PARTICIPÓ"/>
    <x v="4"/>
    <s v="SAGRADO CORAZON DE JESUS6 Primaria"/>
  </r>
  <r>
    <n v="43"/>
    <x v="0"/>
    <s v="Primaria"/>
    <x v="1"/>
    <x v="4"/>
    <s v="Rural"/>
    <s v="Femenino"/>
    <x v="0"/>
    <x v="0"/>
    <s v="2023 Y 2024"/>
    <s v="NO PARTICIPÓ"/>
    <x v="4"/>
    <s v="SAGRADO CORAZON DE JESUS6 Primaria"/>
  </r>
  <r>
    <n v="44"/>
    <x v="0"/>
    <s v="Primaria"/>
    <x v="1"/>
    <x v="4"/>
    <s v="Rural"/>
    <s v="Femenino"/>
    <x v="0"/>
    <x v="0"/>
    <s v="2023 Y 2024"/>
    <s v="NO PARTICIPÓ"/>
    <x v="4"/>
    <s v="SAGRADO CORAZON DE JESUS6 Primaria"/>
  </r>
  <r>
    <n v="45"/>
    <x v="0"/>
    <s v="Primaria"/>
    <x v="1"/>
    <x v="4"/>
    <s v="Rural"/>
    <s v="Femenino"/>
    <x v="0"/>
    <x v="0"/>
    <s v="2023 Y 2024"/>
    <s v="NO PARTICIPÓ"/>
    <x v="4"/>
    <s v="SAGRADO CORAZON DE JESUS6 Primaria"/>
  </r>
  <r>
    <n v="46"/>
    <x v="0"/>
    <s v="Primaria"/>
    <x v="1"/>
    <x v="12"/>
    <s v="Rural"/>
    <s v="Femenino"/>
    <x v="1"/>
    <x v="0"/>
    <s v="SOLO 2024"/>
    <s v="SOLO 2023"/>
    <x v="12"/>
    <s v="201236 Primaria"/>
  </r>
  <r>
    <n v="47"/>
    <x v="0"/>
    <s v="Primaria"/>
    <x v="1"/>
    <x v="12"/>
    <s v="Rural"/>
    <s v="Masculino"/>
    <x v="1"/>
    <x v="0"/>
    <s v="SOLO 2024"/>
    <s v="SOLO 2023"/>
    <x v="12"/>
    <s v="201236 Primaria"/>
  </r>
  <r>
    <n v="48"/>
    <x v="0"/>
    <s v="Primaria"/>
    <x v="1"/>
    <x v="5"/>
    <s v="Rural"/>
    <s v="Femenino"/>
    <x v="0"/>
    <x v="0"/>
    <s v="2023 Y 2024"/>
    <s v="SOLO 2023"/>
    <x v="5"/>
    <s v="14144 SANTA ROSA6 Primaria"/>
  </r>
  <r>
    <n v="49"/>
    <x v="0"/>
    <s v="Primaria"/>
    <x v="1"/>
    <x v="5"/>
    <s v="Rural"/>
    <s v="Femenino"/>
    <x v="0"/>
    <x v="0"/>
    <s v="2023 Y 2024"/>
    <s v="SOLO 2023"/>
    <x v="5"/>
    <s v="14144 SANTA ROSA6 Primaria"/>
  </r>
  <r>
    <n v="50"/>
    <x v="0"/>
    <s v="Primaria"/>
    <x v="1"/>
    <x v="5"/>
    <s v="Rural"/>
    <s v="Femenino"/>
    <x v="0"/>
    <x v="0"/>
    <s v="2023 Y 2024"/>
    <s v="SOLO 2023"/>
    <x v="5"/>
    <s v="14144 SANTA ROSA6 Primaria"/>
  </r>
  <r>
    <n v="51"/>
    <x v="0"/>
    <s v="Primaria"/>
    <x v="1"/>
    <x v="5"/>
    <s v="Rural"/>
    <s v="Femenino"/>
    <x v="1"/>
    <x v="0"/>
    <s v="2023 Y 2024"/>
    <s v="SOLO 2023"/>
    <x v="5"/>
    <s v="14144 SANTA ROSA6 Primaria"/>
  </r>
  <r>
    <n v="52"/>
    <x v="0"/>
    <s v="Primaria"/>
    <x v="1"/>
    <x v="5"/>
    <s v="Rural"/>
    <s v="Masculino"/>
    <x v="0"/>
    <x v="0"/>
    <s v="2023 Y 2024"/>
    <s v="SOLO 2023"/>
    <x v="5"/>
    <s v="14144 SANTA ROSA6 Primaria"/>
  </r>
  <r>
    <n v="53"/>
    <x v="0"/>
    <s v="Primaria"/>
    <x v="1"/>
    <x v="5"/>
    <s v="Rural"/>
    <s v="Masculino"/>
    <x v="0"/>
    <x v="0"/>
    <s v="2023 Y 2024"/>
    <s v="SOLO 2023"/>
    <x v="5"/>
    <s v="14144 SANTA ROSA6 Primaria"/>
  </r>
  <r>
    <n v="54"/>
    <x v="0"/>
    <s v="Primaria"/>
    <x v="1"/>
    <x v="5"/>
    <s v="Rural"/>
    <s v="Masculino"/>
    <x v="0"/>
    <x v="0"/>
    <s v="2023 Y 2024"/>
    <s v="SOLO 2023"/>
    <x v="5"/>
    <s v="14144 SANTA ROSA6 Primaria"/>
  </r>
  <r>
    <n v="55"/>
    <x v="0"/>
    <s v="Primaria"/>
    <x v="1"/>
    <x v="5"/>
    <s v="Rural"/>
    <s v="Masculino"/>
    <x v="1"/>
    <x v="0"/>
    <s v="2023 Y 2024"/>
    <s v="SOLO 2023"/>
    <x v="5"/>
    <s v="14144 SANTA ROSA6 Primaria"/>
  </r>
  <r>
    <n v="56"/>
    <x v="0"/>
    <s v="Primaria"/>
    <x v="1"/>
    <x v="5"/>
    <s v="Rural"/>
    <s v="Masculino"/>
    <x v="0"/>
    <x v="0"/>
    <s v="2023 Y 2024"/>
    <s v="SOLO 2023"/>
    <x v="5"/>
    <s v="14144 SANTA ROSA6 Primaria"/>
  </r>
  <r>
    <n v="57"/>
    <x v="0"/>
    <s v="Primaria"/>
    <x v="1"/>
    <x v="5"/>
    <s v="Rural"/>
    <s v="Masculino"/>
    <x v="0"/>
    <x v="0"/>
    <s v="2023 Y 2024"/>
    <s v="SOLO 2023"/>
    <x v="5"/>
    <s v="14144 SANTA ROSA6 Primaria"/>
  </r>
  <r>
    <n v="58"/>
    <x v="0"/>
    <s v="Primaria"/>
    <x v="1"/>
    <x v="5"/>
    <s v="Rural"/>
    <s v="Masculino"/>
    <x v="2"/>
    <x v="0"/>
    <s v="2023 Y 2024"/>
    <s v="SOLO 2023"/>
    <x v="5"/>
    <s v="14144 SANTA ROSA6 Primaria"/>
  </r>
  <r>
    <n v="59"/>
    <x v="0"/>
    <s v="Primaria"/>
    <x v="1"/>
    <x v="5"/>
    <s v="Rural"/>
    <s v="Masculino"/>
    <x v="0"/>
    <x v="0"/>
    <s v="2023 Y 2024"/>
    <s v="SOLO 2023"/>
    <x v="5"/>
    <s v="14144 SANTA ROSA6 Primaria"/>
  </r>
  <r>
    <n v="60"/>
    <x v="0"/>
    <s v="Primaria"/>
    <x v="1"/>
    <x v="5"/>
    <s v="Rural"/>
    <s v="Femenino"/>
    <x v="0"/>
    <x v="0"/>
    <s v="2023 Y 2024"/>
    <s v="SOLO 2023"/>
    <x v="5"/>
    <s v="14144 SANTA ROSA6 Primaria"/>
  </r>
  <r>
    <n v="61"/>
    <x v="0"/>
    <s v="Primaria"/>
    <x v="1"/>
    <x v="5"/>
    <s v="Rural"/>
    <s v="Femenino"/>
    <x v="0"/>
    <x v="0"/>
    <s v="2023 Y 2024"/>
    <s v="SOLO 2023"/>
    <x v="5"/>
    <s v="14144 SANTA ROSA6 Primaria"/>
  </r>
  <r>
    <n v="62"/>
    <x v="0"/>
    <s v="Primaria"/>
    <x v="1"/>
    <x v="5"/>
    <s v="Rural"/>
    <s v="Femenino"/>
    <x v="0"/>
    <x v="0"/>
    <s v="2023 Y 2024"/>
    <s v="SOLO 2023"/>
    <x v="5"/>
    <s v="14144 SANTA ROSA6 Primaria"/>
  </r>
  <r>
    <n v="63"/>
    <x v="0"/>
    <s v="Primaria"/>
    <x v="1"/>
    <x v="5"/>
    <s v="Rural"/>
    <s v="Femenino"/>
    <x v="0"/>
    <x v="0"/>
    <s v="2023 Y 2024"/>
    <s v="SOLO 2023"/>
    <x v="5"/>
    <s v="14144 SANTA ROSA6 Primaria"/>
  </r>
  <r>
    <n v="64"/>
    <x v="0"/>
    <s v="Primaria"/>
    <x v="1"/>
    <x v="5"/>
    <s v="Rural"/>
    <s v="Femenino"/>
    <x v="2"/>
    <x v="0"/>
    <s v="2023 Y 2024"/>
    <s v="SOLO 2023"/>
    <x v="5"/>
    <s v="14144 SANTA ROSA6 Primaria"/>
  </r>
  <r>
    <n v="65"/>
    <x v="0"/>
    <s v="Primaria"/>
    <x v="1"/>
    <x v="5"/>
    <s v="Rural"/>
    <s v="Femenino"/>
    <x v="0"/>
    <x v="0"/>
    <s v="2023 Y 2024"/>
    <s v="SOLO 2023"/>
    <x v="5"/>
    <s v="14144 SANTA ROSA6 Primaria"/>
  </r>
  <r>
    <n v="66"/>
    <x v="0"/>
    <s v="Primaria"/>
    <x v="1"/>
    <x v="5"/>
    <s v="Rural"/>
    <s v="Femenino"/>
    <x v="0"/>
    <x v="0"/>
    <s v="2023 Y 2024"/>
    <s v="SOLO 2023"/>
    <x v="5"/>
    <s v="14144 SANTA ROSA6 Primaria"/>
  </r>
  <r>
    <n v="67"/>
    <x v="0"/>
    <s v="Primaria"/>
    <x v="1"/>
    <x v="5"/>
    <s v="Rural"/>
    <s v="Masculino"/>
    <x v="1"/>
    <x v="0"/>
    <s v="2023 Y 2024"/>
    <s v="SOLO 2023"/>
    <x v="5"/>
    <s v="14144 SANTA ROSA6 Primaria"/>
  </r>
  <r>
    <n v="68"/>
    <x v="0"/>
    <s v="Primaria"/>
    <x v="1"/>
    <x v="5"/>
    <s v="Rural"/>
    <s v="Masculino"/>
    <x v="0"/>
    <x v="0"/>
    <s v="2023 Y 2024"/>
    <s v="SOLO 2023"/>
    <x v="5"/>
    <s v="14144 SANTA ROSA6 Primaria"/>
  </r>
  <r>
    <n v="69"/>
    <x v="0"/>
    <s v="Primaria"/>
    <x v="1"/>
    <x v="5"/>
    <s v="Rural"/>
    <s v="Masculino"/>
    <x v="0"/>
    <x v="0"/>
    <s v="2023 Y 2024"/>
    <s v="SOLO 2023"/>
    <x v="5"/>
    <s v="14144 SANTA ROSA6 Primaria"/>
  </r>
  <r>
    <n v="70"/>
    <x v="0"/>
    <s v="Primaria"/>
    <x v="1"/>
    <x v="5"/>
    <s v="Rural"/>
    <s v="Masculino"/>
    <x v="0"/>
    <x v="0"/>
    <s v="2023 Y 2024"/>
    <s v="SOLO 2023"/>
    <x v="5"/>
    <s v="14144 SANTA ROSA6 Primaria"/>
  </r>
  <r>
    <n v="71"/>
    <x v="0"/>
    <s v="Primaria"/>
    <x v="1"/>
    <x v="5"/>
    <s v="Rural"/>
    <s v="Masculino"/>
    <x v="0"/>
    <x v="0"/>
    <s v="2023 Y 2024"/>
    <s v="SOLO 2023"/>
    <x v="5"/>
    <s v="14144 SANTA ROSA6 Primaria"/>
  </r>
  <r>
    <n v="72"/>
    <x v="0"/>
    <s v="Primaria"/>
    <x v="1"/>
    <x v="13"/>
    <s v="Rural"/>
    <s v="Femenino"/>
    <x v="1"/>
    <x v="0"/>
    <s v="2023 Y 2024"/>
    <s v="SOLO 2023"/>
    <x v="13"/>
    <s v="152196 Primaria"/>
  </r>
  <r>
    <n v="73"/>
    <x v="0"/>
    <s v="Primaria"/>
    <x v="1"/>
    <x v="8"/>
    <s v="Rural"/>
    <s v="Masculino"/>
    <x v="0"/>
    <x v="0"/>
    <s v="2023 Y 2024"/>
    <s v="PADD 2023 Y 2024"/>
    <x v="8"/>
    <s v="141416 Primaria"/>
  </r>
  <r>
    <n v="74"/>
    <x v="0"/>
    <s v="Primaria"/>
    <x v="1"/>
    <x v="9"/>
    <s v="Rural"/>
    <s v="Femenino"/>
    <x v="1"/>
    <x v="0"/>
    <s v="2023 Y 2024"/>
    <s v="PADD 2023 Y 2024"/>
    <x v="9"/>
    <s v="154786 Primaria"/>
  </r>
  <r>
    <n v="75"/>
    <x v="0"/>
    <s v="Primaria"/>
    <x v="1"/>
    <x v="9"/>
    <s v="Rural"/>
    <s v="Femenino"/>
    <x v="1"/>
    <x v="0"/>
    <s v="2023 Y 2024"/>
    <s v="PADD 2023 Y 2024"/>
    <x v="9"/>
    <s v="154786 Primaria"/>
  </r>
  <r>
    <n v="76"/>
    <x v="0"/>
    <s v="Primaria"/>
    <x v="1"/>
    <x v="14"/>
    <s v="Rural"/>
    <s v="Masculino"/>
    <x v="2"/>
    <x v="0"/>
    <s v="2023 Y 2024"/>
    <s v="SOLO 2023"/>
    <x v="14"/>
    <s v="152206 Primaria"/>
  </r>
  <r>
    <n v="77"/>
    <x v="0"/>
    <s v="Primaria"/>
    <x v="1"/>
    <x v="10"/>
    <s v="Rural"/>
    <s v="Masculino"/>
    <x v="1"/>
    <x v="0"/>
    <s v="2023 Y 2024"/>
    <s v="SOLO 2023"/>
    <x v="10"/>
    <s v="140456 Primaria"/>
  </r>
  <r>
    <n v="78"/>
    <x v="0"/>
    <s v="Primaria"/>
    <x v="1"/>
    <x v="11"/>
    <s v="Rural"/>
    <s v="Masculino"/>
    <x v="1"/>
    <x v="0"/>
    <s v="2023 Y 2024"/>
    <s v="SOLO 2023"/>
    <x v="11"/>
    <s v="14145 SANTA JULIA BILLIART6 Primaria"/>
  </r>
  <r>
    <n v="79"/>
    <x v="0"/>
    <s v="Primaria"/>
    <x v="1"/>
    <x v="11"/>
    <s v="Rural"/>
    <s v="Masculino"/>
    <x v="0"/>
    <x v="0"/>
    <s v="2023 Y 2024"/>
    <s v="SOLO 2023"/>
    <x v="11"/>
    <s v="14145 SANTA JULIA BILLIART6 Primaria"/>
  </r>
  <r>
    <n v="80"/>
    <x v="0"/>
    <s v="Primaria"/>
    <x v="1"/>
    <x v="11"/>
    <s v="Rural"/>
    <s v="Masculino"/>
    <x v="0"/>
    <x v="0"/>
    <s v="2023 Y 2024"/>
    <s v="SOLO 2023"/>
    <x v="11"/>
    <s v="14145 SANTA JULIA BILLIART6 Primaria"/>
  </r>
  <r>
    <n v="81"/>
    <x v="0"/>
    <s v="Primaria"/>
    <x v="1"/>
    <x v="11"/>
    <s v="Rural"/>
    <s v="Masculino"/>
    <x v="1"/>
    <x v="0"/>
    <s v="2023 Y 2024"/>
    <s v="SOLO 2023"/>
    <x v="11"/>
    <s v="14145 SANTA JULIA BILLIART6 Primaria"/>
  </r>
  <r>
    <n v="82"/>
    <x v="0"/>
    <s v="Primaria"/>
    <x v="1"/>
    <x v="11"/>
    <s v="Rural"/>
    <s v="Masculino"/>
    <x v="0"/>
    <x v="0"/>
    <s v="2023 Y 2024"/>
    <s v="SOLO 2023"/>
    <x v="11"/>
    <s v="14145 SANTA JULIA BILLIART6 Primaria"/>
  </r>
  <r>
    <n v="83"/>
    <x v="0"/>
    <s v="Primaria"/>
    <x v="1"/>
    <x v="11"/>
    <s v="Rural"/>
    <s v="Femenino"/>
    <x v="0"/>
    <x v="0"/>
    <s v="2023 Y 2024"/>
    <s v="SOLO 2023"/>
    <x v="11"/>
    <s v="14145 SANTA JULIA BILLIART6 Primaria"/>
  </r>
  <r>
    <n v="84"/>
    <x v="0"/>
    <s v="Primaria"/>
    <x v="1"/>
    <x v="11"/>
    <s v="Rural"/>
    <s v="Femenino"/>
    <x v="0"/>
    <x v="0"/>
    <s v="2023 Y 2024"/>
    <s v="SOLO 2023"/>
    <x v="11"/>
    <s v="14145 SANTA JULIA BILLIART6 Primaria"/>
  </r>
  <r>
    <n v="85"/>
    <x v="0"/>
    <s v="Primaria"/>
    <x v="1"/>
    <x v="11"/>
    <s v="Rural"/>
    <s v="Femenino"/>
    <x v="0"/>
    <x v="0"/>
    <s v="2023 Y 2024"/>
    <s v="SOLO 2023"/>
    <x v="11"/>
    <s v="14145 SANTA JULIA BILLIART6 Primaria"/>
  </r>
  <r>
    <n v="86"/>
    <x v="0"/>
    <s v="Primaria"/>
    <x v="1"/>
    <x v="11"/>
    <s v="Rural"/>
    <s v="Femenino"/>
    <x v="0"/>
    <x v="0"/>
    <s v="2023 Y 2024"/>
    <s v="SOLO 2023"/>
    <x v="11"/>
    <s v="14145 SANTA JULIA BILLIART6 Primaria"/>
  </r>
  <r>
    <n v="87"/>
    <x v="0"/>
    <s v="Primaria"/>
    <x v="1"/>
    <x v="11"/>
    <s v="Rural"/>
    <s v="Femenino"/>
    <x v="1"/>
    <x v="0"/>
    <s v="2023 Y 2024"/>
    <s v="SOLO 2023"/>
    <x v="11"/>
    <s v="14145 SANTA JULIA BILLIART6 Primaria"/>
  </r>
  <r>
    <n v="1"/>
    <x v="0"/>
    <s v="Secundaria"/>
    <x v="2"/>
    <x v="5"/>
    <s v="Rural"/>
    <s v="Masculino"/>
    <x v="0"/>
    <x v="0"/>
    <s v="SOLO 2024"/>
    <s v="SOLO 2023"/>
    <x v="5"/>
    <s v="14144 SANTA ROSA2 Secundaria"/>
  </r>
  <r>
    <n v="2"/>
    <x v="0"/>
    <s v="Secundaria"/>
    <x v="2"/>
    <x v="5"/>
    <s v="Rural"/>
    <s v="Masculino"/>
    <x v="1"/>
    <x v="0"/>
    <s v="SOLO 2024"/>
    <s v="SOLO 2023"/>
    <x v="5"/>
    <s v="14144 SANTA ROSA2 Secundaria"/>
  </r>
  <r>
    <n v="3"/>
    <x v="0"/>
    <s v="Secundaria"/>
    <x v="2"/>
    <x v="5"/>
    <s v="Rural"/>
    <s v="Masculino"/>
    <x v="0"/>
    <x v="0"/>
    <s v="SOLO 2024"/>
    <s v="SOLO 2023"/>
    <x v="5"/>
    <s v="14144 SANTA ROSA2 Secundaria"/>
  </r>
  <r>
    <n v="4"/>
    <x v="0"/>
    <s v="Secundaria"/>
    <x v="2"/>
    <x v="5"/>
    <s v="Rural"/>
    <s v="Masculino"/>
    <x v="0"/>
    <x v="0"/>
    <s v="SOLO 2024"/>
    <s v="SOLO 2023"/>
    <x v="5"/>
    <s v="14144 SANTA ROSA2 Secundaria"/>
  </r>
  <r>
    <n v="5"/>
    <x v="0"/>
    <s v="Secundaria"/>
    <x v="2"/>
    <x v="5"/>
    <s v="Rural"/>
    <s v="Masculino"/>
    <x v="0"/>
    <x v="0"/>
    <s v="SOLO 2024"/>
    <s v="SOLO 2023"/>
    <x v="5"/>
    <s v="14144 SANTA ROSA2 Secundaria"/>
  </r>
  <r>
    <n v="6"/>
    <x v="0"/>
    <s v="Secundaria"/>
    <x v="2"/>
    <x v="5"/>
    <s v="Rural"/>
    <s v="Masculino"/>
    <x v="0"/>
    <x v="0"/>
    <s v="SOLO 2024"/>
    <s v="SOLO 2023"/>
    <x v="5"/>
    <s v="14144 SANTA ROSA2 Secundaria"/>
  </r>
  <r>
    <n v="7"/>
    <x v="0"/>
    <s v="Secundaria"/>
    <x v="2"/>
    <x v="5"/>
    <s v="Rural"/>
    <s v="Masculino"/>
    <x v="0"/>
    <x v="0"/>
    <s v="SOLO 2024"/>
    <s v="SOLO 2023"/>
    <x v="5"/>
    <s v="14144 SANTA ROSA2 Secundaria"/>
  </r>
  <r>
    <n v="8"/>
    <x v="0"/>
    <s v="Secundaria"/>
    <x v="2"/>
    <x v="5"/>
    <s v="Rural"/>
    <s v="Masculino"/>
    <x v="0"/>
    <x v="0"/>
    <s v="SOLO 2024"/>
    <s v="SOLO 2023"/>
    <x v="5"/>
    <s v="14144 SANTA ROSA2 Secundaria"/>
  </r>
  <r>
    <n v="9"/>
    <x v="0"/>
    <s v="Secundaria"/>
    <x v="2"/>
    <x v="5"/>
    <s v="Rural"/>
    <s v="Masculino"/>
    <x v="0"/>
    <x v="0"/>
    <s v="SOLO 2024"/>
    <s v="SOLO 2023"/>
    <x v="5"/>
    <s v="14144 SANTA ROSA2 Secundaria"/>
  </r>
  <r>
    <n v="10"/>
    <x v="0"/>
    <s v="Secundaria"/>
    <x v="2"/>
    <x v="5"/>
    <s v="Rural"/>
    <s v="Masculino"/>
    <x v="0"/>
    <x v="0"/>
    <s v="SOLO 2024"/>
    <s v="SOLO 2023"/>
    <x v="5"/>
    <s v="14144 SANTA ROSA2 Secundaria"/>
  </r>
  <r>
    <n v="11"/>
    <x v="0"/>
    <s v="Secundaria"/>
    <x v="2"/>
    <x v="5"/>
    <s v="Rural"/>
    <s v="Masculino"/>
    <x v="0"/>
    <x v="0"/>
    <s v="SOLO 2024"/>
    <s v="SOLO 2023"/>
    <x v="5"/>
    <s v="14144 SANTA ROSA2 Secundaria"/>
  </r>
  <r>
    <n v="12"/>
    <x v="0"/>
    <s v="Secundaria"/>
    <x v="2"/>
    <x v="5"/>
    <s v="Rural"/>
    <s v="Masculino"/>
    <x v="0"/>
    <x v="0"/>
    <s v="SOLO 2024"/>
    <s v="SOLO 2023"/>
    <x v="5"/>
    <s v="14144 SANTA ROSA2 Secundaria"/>
  </r>
  <r>
    <n v="13"/>
    <x v="0"/>
    <s v="Secundaria"/>
    <x v="2"/>
    <x v="5"/>
    <s v="Rural"/>
    <s v="Masculino"/>
    <x v="0"/>
    <x v="0"/>
    <s v="SOLO 2024"/>
    <s v="SOLO 2023"/>
    <x v="5"/>
    <s v="14144 SANTA ROSA2 Secundaria"/>
  </r>
  <r>
    <n v="14"/>
    <x v="0"/>
    <s v="Secundaria"/>
    <x v="2"/>
    <x v="5"/>
    <s v="Rural"/>
    <s v="Masculino"/>
    <x v="0"/>
    <x v="0"/>
    <s v="SOLO 2024"/>
    <s v="SOLO 2023"/>
    <x v="5"/>
    <s v="14144 SANTA ROSA2 Secundaria"/>
  </r>
  <r>
    <n v="15"/>
    <x v="0"/>
    <s v="Secundaria"/>
    <x v="2"/>
    <x v="5"/>
    <s v="Rural"/>
    <s v="Masculino"/>
    <x v="1"/>
    <x v="0"/>
    <s v="SOLO 2024"/>
    <s v="SOLO 2023"/>
    <x v="5"/>
    <s v="14144 SANTA ROSA2 Secundaria"/>
  </r>
  <r>
    <n v="16"/>
    <x v="0"/>
    <s v="Secundaria"/>
    <x v="2"/>
    <x v="5"/>
    <s v="Rural"/>
    <s v="Masculino"/>
    <x v="0"/>
    <x v="0"/>
    <s v="SOLO 2024"/>
    <s v="SOLO 2023"/>
    <x v="5"/>
    <s v="14144 SANTA ROSA2 Secundaria"/>
  </r>
  <r>
    <n v="17"/>
    <x v="0"/>
    <s v="Secundaria"/>
    <x v="2"/>
    <x v="5"/>
    <s v="Rural"/>
    <s v="Masculino"/>
    <x v="0"/>
    <x v="0"/>
    <s v="SOLO 2024"/>
    <s v="SOLO 2023"/>
    <x v="5"/>
    <s v="14144 SANTA ROSA2 Secundaria"/>
  </r>
  <r>
    <n v="18"/>
    <x v="0"/>
    <s v="Secundaria"/>
    <x v="2"/>
    <x v="5"/>
    <s v="Rural"/>
    <s v="Masculino"/>
    <x v="0"/>
    <x v="0"/>
    <s v="SOLO 2024"/>
    <s v="SOLO 2023"/>
    <x v="5"/>
    <s v="14144 SANTA ROSA2 Secundaria"/>
  </r>
  <r>
    <n v="19"/>
    <x v="0"/>
    <s v="Secundaria"/>
    <x v="2"/>
    <x v="5"/>
    <s v="Rural"/>
    <s v="Masculino"/>
    <x v="0"/>
    <x v="0"/>
    <s v="SOLO 2024"/>
    <s v="SOLO 2023"/>
    <x v="5"/>
    <s v="14144 SANTA ROSA2 Secundaria"/>
  </r>
  <r>
    <n v="20"/>
    <x v="0"/>
    <s v="Secundaria"/>
    <x v="2"/>
    <x v="5"/>
    <s v="Rural"/>
    <s v="Masculino"/>
    <x v="0"/>
    <x v="0"/>
    <s v="SOLO 2024"/>
    <s v="SOLO 2023"/>
    <x v="5"/>
    <s v="14144 SANTA ROSA2 Secundaria"/>
  </r>
  <r>
    <n v="21"/>
    <x v="0"/>
    <s v="Secundaria"/>
    <x v="2"/>
    <x v="5"/>
    <s v="Rural"/>
    <s v="Femenino"/>
    <x v="0"/>
    <x v="0"/>
    <s v="SOLO 2024"/>
    <s v="SOLO 2023"/>
    <x v="5"/>
    <s v="14144 SANTA ROSA2 Secundaria"/>
  </r>
  <r>
    <n v="22"/>
    <x v="0"/>
    <s v="Secundaria"/>
    <x v="2"/>
    <x v="5"/>
    <s v="Rural"/>
    <s v="Femenino"/>
    <x v="0"/>
    <x v="0"/>
    <s v="SOLO 2024"/>
    <s v="SOLO 2023"/>
    <x v="5"/>
    <s v="14144 SANTA ROSA2 Secundaria"/>
  </r>
  <r>
    <n v="23"/>
    <x v="0"/>
    <s v="Secundaria"/>
    <x v="2"/>
    <x v="5"/>
    <s v="Rural"/>
    <s v="Femenino"/>
    <x v="0"/>
    <x v="0"/>
    <s v="SOLO 2024"/>
    <s v="SOLO 2023"/>
    <x v="5"/>
    <s v="14144 SANTA ROSA2 Secundaria"/>
  </r>
  <r>
    <n v="24"/>
    <x v="0"/>
    <s v="Secundaria"/>
    <x v="2"/>
    <x v="5"/>
    <s v="Rural"/>
    <s v="Femenino"/>
    <x v="1"/>
    <x v="0"/>
    <s v="SOLO 2024"/>
    <s v="SOLO 2023"/>
    <x v="5"/>
    <s v="14144 SANTA ROSA2 Secundaria"/>
  </r>
  <r>
    <n v="25"/>
    <x v="0"/>
    <s v="Secundaria"/>
    <x v="2"/>
    <x v="5"/>
    <s v="Rural"/>
    <s v="Femenino"/>
    <x v="0"/>
    <x v="0"/>
    <s v="SOLO 2024"/>
    <s v="SOLO 2023"/>
    <x v="5"/>
    <s v="14144 SANTA ROSA2 Secundaria"/>
  </r>
  <r>
    <n v="26"/>
    <x v="0"/>
    <s v="Secundaria"/>
    <x v="2"/>
    <x v="5"/>
    <s v="Rural"/>
    <s v="Femenino"/>
    <x v="0"/>
    <x v="0"/>
    <s v="SOLO 2024"/>
    <s v="SOLO 2023"/>
    <x v="5"/>
    <s v="14144 SANTA ROSA2 Secundaria"/>
  </r>
  <r>
    <n v="27"/>
    <x v="0"/>
    <s v="Secundaria"/>
    <x v="2"/>
    <x v="5"/>
    <s v="Rural"/>
    <s v="Femenino"/>
    <x v="1"/>
    <x v="0"/>
    <s v="SOLO 2024"/>
    <s v="SOLO 2023"/>
    <x v="5"/>
    <s v="14144 SANTA ROSA2 Secundaria"/>
  </r>
  <r>
    <n v="28"/>
    <x v="0"/>
    <s v="Secundaria"/>
    <x v="2"/>
    <x v="5"/>
    <s v="Rural"/>
    <s v="Femenino"/>
    <x v="1"/>
    <x v="0"/>
    <s v="SOLO 2024"/>
    <s v="SOLO 2023"/>
    <x v="5"/>
    <s v="14144 SANTA ROSA2 Secundaria"/>
  </r>
  <r>
    <n v="29"/>
    <x v="0"/>
    <s v="Secundaria"/>
    <x v="2"/>
    <x v="5"/>
    <s v="Rural"/>
    <s v="Femenino"/>
    <x v="0"/>
    <x v="0"/>
    <s v="SOLO 2024"/>
    <s v="SOLO 2023"/>
    <x v="5"/>
    <s v="14144 SANTA ROSA2 Secundaria"/>
  </r>
  <r>
    <n v="30"/>
    <x v="0"/>
    <s v="Secundaria"/>
    <x v="2"/>
    <x v="5"/>
    <s v="Rural"/>
    <s v="Femenino"/>
    <x v="1"/>
    <x v="0"/>
    <s v="SOLO 2024"/>
    <s v="SOLO 2023"/>
    <x v="5"/>
    <s v="14144 SANTA ROSA2 Secundaria"/>
  </r>
  <r>
    <n v="31"/>
    <x v="0"/>
    <s v="Secundaria"/>
    <x v="2"/>
    <x v="5"/>
    <s v="Rural"/>
    <s v="Femenino"/>
    <x v="1"/>
    <x v="0"/>
    <s v="SOLO 2024"/>
    <s v="SOLO 2023"/>
    <x v="5"/>
    <s v="14144 SANTA ROSA2 Secundaria"/>
  </r>
  <r>
    <n v="32"/>
    <x v="0"/>
    <s v="Secundaria"/>
    <x v="2"/>
    <x v="5"/>
    <s v="Rural"/>
    <s v="Femenino"/>
    <x v="0"/>
    <x v="0"/>
    <s v="SOLO 2024"/>
    <s v="SOLO 2023"/>
    <x v="5"/>
    <s v="14144 SANTA ROSA2 Secundaria"/>
  </r>
  <r>
    <n v="33"/>
    <x v="0"/>
    <s v="Secundaria"/>
    <x v="2"/>
    <x v="5"/>
    <s v="Rural"/>
    <s v="Femenino"/>
    <x v="0"/>
    <x v="0"/>
    <s v="SOLO 2024"/>
    <s v="SOLO 2023"/>
    <x v="5"/>
    <s v="14144 SANTA ROSA2 Secundaria"/>
  </r>
  <r>
    <n v="34"/>
    <x v="0"/>
    <s v="Secundaria"/>
    <x v="2"/>
    <x v="5"/>
    <s v="Rural"/>
    <s v="Femenino"/>
    <x v="0"/>
    <x v="0"/>
    <s v="SOLO 2024"/>
    <s v="SOLO 2023"/>
    <x v="5"/>
    <s v="14144 SANTA ROSA2 Secundaria"/>
  </r>
  <r>
    <n v="35"/>
    <x v="0"/>
    <s v="Secundaria"/>
    <x v="2"/>
    <x v="5"/>
    <s v="Rural"/>
    <s v="Femenino"/>
    <x v="0"/>
    <x v="0"/>
    <s v="SOLO 2024"/>
    <s v="SOLO 2023"/>
    <x v="5"/>
    <s v="14144 SANTA ROSA2 Secundaria"/>
  </r>
  <r>
    <n v="36"/>
    <x v="0"/>
    <s v="Secundaria"/>
    <x v="2"/>
    <x v="5"/>
    <s v="Rural"/>
    <s v="Femenino"/>
    <x v="0"/>
    <x v="0"/>
    <s v="SOLO 2024"/>
    <s v="SOLO 2023"/>
    <x v="5"/>
    <s v="14144 SANTA ROSA2 Secundaria"/>
  </r>
  <r>
    <n v="37"/>
    <x v="0"/>
    <s v="Secundaria"/>
    <x v="2"/>
    <x v="5"/>
    <s v="Rural"/>
    <s v="Femenino"/>
    <x v="0"/>
    <x v="0"/>
    <s v="SOLO 2024"/>
    <s v="SOLO 2023"/>
    <x v="5"/>
    <s v="14144 SANTA ROSA2 Secundaria"/>
  </r>
  <r>
    <n v="1"/>
    <x v="0"/>
    <s v="Secundaria"/>
    <x v="3"/>
    <x v="5"/>
    <s v="Rural"/>
    <s v="Masculino"/>
    <x v="0"/>
    <x v="0"/>
    <s v="SOLO 2024"/>
    <s v="SOLO 2023"/>
    <x v="5"/>
    <s v="14144 SANTA ROSA4 Secundaria"/>
  </r>
  <r>
    <n v="2"/>
    <x v="0"/>
    <s v="Secundaria"/>
    <x v="3"/>
    <x v="5"/>
    <s v="Rural"/>
    <s v="Masculino"/>
    <x v="0"/>
    <x v="0"/>
    <s v="SOLO 2024"/>
    <s v="SOLO 2023"/>
    <x v="5"/>
    <s v="14144 SANTA ROSA4 Secundaria"/>
  </r>
  <r>
    <n v="3"/>
    <x v="0"/>
    <s v="Secundaria"/>
    <x v="3"/>
    <x v="5"/>
    <s v="Rural"/>
    <s v="Masculino"/>
    <x v="0"/>
    <x v="0"/>
    <s v="SOLO 2024"/>
    <s v="SOLO 2023"/>
    <x v="5"/>
    <s v="14144 SANTA ROSA4 Secundaria"/>
  </r>
  <r>
    <n v="4"/>
    <x v="0"/>
    <s v="Secundaria"/>
    <x v="3"/>
    <x v="5"/>
    <s v="Rural"/>
    <s v="Masculino"/>
    <x v="0"/>
    <x v="0"/>
    <s v="SOLO 2024"/>
    <s v="SOLO 2023"/>
    <x v="5"/>
    <s v="14144 SANTA ROSA4 Secundaria"/>
  </r>
  <r>
    <n v="5"/>
    <x v="0"/>
    <s v="Secundaria"/>
    <x v="3"/>
    <x v="5"/>
    <s v="Rural"/>
    <s v="Masculino"/>
    <x v="0"/>
    <x v="0"/>
    <s v="SOLO 2024"/>
    <s v="SOLO 2023"/>
    <x v="5"/>
    <s v="14144 SANTA ROSA4 Secundaria"/>
  </r>
  <r>
    <n v="6"/>
    <x v="0"/>
    <s v="Secundaria"/>
    <x v="3"/>
    <x v="5"/>
    <s v="Rural"/>
    <s v="Masculino"/>
    <x v="0"/>
    <x v="0"/>
    <s v="SOLO 2024"/>
    <s v="SOLO 2023"/>
    <x v="5"/>
    <s v="14144 SANTA ROSA4 Secundaria"/>
  </r>
  <r>
    <n v="7"/>
    <x v="0"/>
    <s v="Secundaria"/>
    <x v="3"/>
    <x v="5"/>
    <s v="Rural"/>
    <s v="Masculino"/>
    <x v="0"/>
    <x v="0"/>
    <s v="SOLO 2024"/>
    <s v="SOLO 2023"/>
    <x v="5"/>
    <s v="14144 SANTA ROSA4 Secundaria"/>
  </r>
  <r>
    <n v="8"/>
    <x v="0"/>
    <s v="Secundaria"/>
    <x v="3"/>
    <x v="5"/>
    <s v="Rural"/>
    <s v="Masculino"/>
    <x v="0"/>
    <x v="0"/>
    <s v="SOLO 2024"/>
    <s v="SOLO 2023"/>
    <x v="5"/>
    <s v="14144 SANTA ROSA4 Secundaria"/>
  </r>
  <r>
    <n v="9"/>
    <x v="0"/>
    <s v="Secundaria"/>
    <x v="3"/>
    <x v="5"/>
    <s v="Rural"/>
    <s v="Masculino"/>
    <x v="1"/>
    <x v="0"/>
    <s v="SOLO 2024"/>
    <s v="SOLO 2023"/>
    <x v="5"/>
    <s v="14144 SANTA ROSA4 Secundaria"/>
  </r>
  <r>
    <n v="10"/>
    <x v="0"/>
    <s v="Secundaria"/>
    <x v="3"/>
    <x v="5"/>
    <s v="Rural"/>
    <s v="Masculino"/>
    <x v="1"/>
    <x v="0"/>
    <s v="SOLO 2024"/>
    <s v="SOLO 2023"/>
    <x v="5"/>
    <s v="14144 SANTA ROSA4 Secundaria"/>
  </r>
  <r>
    <n v="11"/>
    <x v="0"/>
    <s v="Secundaria"/>
    <x v="3"/>
    <x v="5"/>
    <s v="Rural"/>
    <s v="Masculino"/>
    <x v="1"/>
    <x v="0"/>
    <s v="SOLO 2024"/>
    <s v="SOLO 2023"/>
    <x v="5"/>
    <s v="14144 SANTA ROSA4 Secundaria"/>
  </r>
  <r>
    <n v="12"/>
    <x v="0"/>
    <s v="Secundaria"/>
    <x v="3"/>
    <x v="5"/>
    <s v="Rural"/>
    <s v="Masculino"/>
    <x v="0"/>
    <x v="0"/>
    <s v="SOLO 2024"/>
    <s v="SOLO 2023"/>
    <x v="5"/>
    <s v="14144 SANTA ROSA4 Secundaria"/>
  </r>
  <r>
    <n v="13"/>
    <x v="0"/>
    <s v="Secundaria"/>
    <x v="3"/>
    <x v="5"/>
    <s v="Rural"/>
    <s v="Masculino"/>
    <x v="0"/>
    <x v="0"/>
    <s v="SOLO 2024"/>
    <s v="SOLO 2023"/>
    <x v="5"/>
    <s v="14144 SANTA ROSA4 Secundaria"/>
  </r>
  <r>
    <n v="14"/>
    <x v="0"/>
    <s v="Secundaria"/>
    <x v="3"/>
    <x v="5"/>
    <s v="Rural"/>
    <s v="Masculino"/>
    <x v="0"/>
    <x v="0"/>
    <s v="SOLO 2024"/>
    <s v="SOLO 2023"/>
    <x v="5"/>
    <s v="14144 SANTA ROSA4 Secundaria"/>
  </r>
  <r>
    <n v="15"/>
    <x v="0"/>
    <s v="Secundaria"/>
    <x v="3"/>
    <x v="5"/>
    <s v="Rural"/>
    <s v="Masculino"/>
    <x v="0"/>
    <x v="0"/>
    <s v="SOLO 2024"/>
    <s v="SOLO 2023"/>
    <x v="5"/>
    <s v="14144 SANTA ROSA4 Secundaria"/>
  </r>
  <r>
    <n v="16"/>
    <x v="0"/>
    <s v="Secundaria"/>
    <x v="3"/>
    <x v="5"/>
    <s v="Rural"/>
    <s v="Femenino"/>
    <x v="0"/>
    <x v="0"/>
    <s v="SOLO 2024"/>
    <s v="SOLO 2023"/>
    <x v="5"/>
    <s v="14144 SANTA ROSA4 Secundaria"/>
  </r>
  <r>
    <n v="17"/>
    <x v="0"/>
    <s v="Secundaria"/>
    <x v="3"/>
    <x v="5"/>
    <s v="Rural"/>
    <s v="Femenino"/>
    <x v="0"/>
    <x v="0"/>
    <s v="SOLO 2024"/>
    <s v="SOLO 2023"/>
    <x v="5"/>
    <s v="14144 SANTA ROSA4 Secundaria"/>
  </r>
  <r>
    <n v="18"/>
    <x v="0"/>
    <s v="Secundaria"/>
    <x v="3"/>
    <x v="5"/>
    <s v="Rural"/>
    <s v="Femenino"/>
    <x v="1"/>
    <x v="0"/>
    <s v="SOLO 2024"/>
    <s v="SOLO 2023"/>
    <x v="5"/>
    <s v="14144 SANTA ROSA4 Secundaria"/>
  </r>
  <r>
    <n v="19"/>
    <x v="0"/>
    <s v="Secundaria"/>
    <x v="3"/>
    <x v="5"/>
    <s v="Rural"/>
    <s v="Femenino"/>
    <x v="0"/>
    <x v="0"/>
    <s v="SOLO 2024"/>
    <s v="SOLO 2023"/>
    <x v="5"/>
    <s v="14144 SANTA ROSA4 Secundaria"/>
  </r>
  <r>
    <n v="20"/>
    <x v="0"/>
    <s v="Secundaria"/>
    <x v="3"/>
    <x v="5"/>
    <s v="Rural"/>
    <s v="Femenino"/>
    <x v="0"/>
    <x v="0"/>
    <s v="SOLO 2024"/>
    <s v="SOLO 2023"/>
    <x v="5"/>
    <s v="14144 SANTA ROSA4 Secundaria"/>
  </r>
  <r>
    <n v="21"/>
    <x v="0"/>
    <s v="Secundaria"/>
    <x v="3"/>
    <x v="5"/>
    <s v="Rural"/>
    <s v="Femenino"/>
    <x v="0"/>
    <x v="0"/>
    <s v="SOLO 2024"/>
    <s v="SOLO 2023"/>
    <x v="5"/>
    <s v="14144 SANTA ROSA4 Secundaria"/>
  </r>
  <r>
    <n v="22"/>
    <x v="0"/>
    <s v="Secundaria"/>
    <x v="3"/>
    <x v="5"/>
    <s v="Rural"/>
    <s v="Femenino"/>
    <x v="0"/>
    <x v="0"/>
    <s v="SOLO 2024"/>
    <s v="SOLO 2023"/>
    <x v="5"/>
    <s v="14144 SANTA ROSA4 Secundaria"/>
  </r>
  <r>
    <n v="23"/>
    <x v="0"/>
    <s v="Secundaria"/>
    <x v="3"/>
    <x v="5"/>
    <s v="Rural"/>
    <s v="Femenino"/>
    <x v="1"/>
    <x v="0"/>
    <s v="SOLO 2024"/>
    <s v="SOLO 2023"/>
    <x v="5"/>
    <s v="14144 SANTA ROSA4 Secundaria"/>
  </r>
  <r>
    <n v="24"/>
    <x v="0"/>
    <s v="Secundaria"/>
    <x v="3"/>
    <x v="5"/>
    <s v="Rural"/>
    <s v="Femenino"/>
    <x v="0"/>
    <x v="0"/>
    <s v="SOLO 2024"/>
    <s v="SOLO 2023"/>
    <x v="5"/>
    <s v="14144 SANTA ROSA4 Secundaria"/>
  </r>
  <r>
    <n v="25"/>
    <x v="0"/>
    <s v="Secundaria"/>
    <x v="3"/>
    <x v="5"/>
    <s v="Rural"/>
    <s v="Femenino"/>
    <x v="1"/>
    <x v="0"/>
    <s v="SOLO 2024"/>
    <s v="SOLO 2023"/>
    <x v="5"/>
    <s v="14144 SANTA ROSA4 Secundaria"/>
  </r>
  <r>
    <n v="26"/>
    <x v="0"/>
    <s v="Secundaria"/>
    <x v="3"/>
    <x v="5"/>
    <s v="Rural"/>
    <s v="Femenino"/>
    <x v="0"/>
    <x v="0"/>
    <s v="SOLO 2024"/>
    <s v="SOLO 2023"/>
    <x v="5"/>
    <s v="14144 SANTA ROSA4 Secundaria"/>
  </r>
  <r>
    <n v="27"/>
    <x v="0"/>
    <s v="Secundaria"/>
    <x v="3"/>
    <x v="5"/>
    <s v="Rural"/>
    <s v="Femenino"/>
    <x v="0"/>
    <x v="0"/>
    <s v="SOLO 2024"/>
    <s v="SOLO 2023"/>
    <x v="5"/>
    <s v="14144 SANTA ROSA4 Secundaria"/>
  </r>
  <r>
    <n v="28"/>
    <x v="0"/>
    <s v="Secundaria"/>
    <x v="3"/>
    <x v="5"/>
    <s v="Rural"/>
    <s v="Femenino"/>
    <x v="0"/>
    <x v="0"/>
    <s v="SOLO 2024"/>
    <s v="SOLO 2023"/>
    <x v="5"/>
    <s v="14144 SANTA ROSA4 Secundaria"/>
  </r>
  <r>
    <n v="29"/>
    <x v="0"/>
    <s v="Secundaria"/>
    <x v="3"/>
    <x v="5"/>
    <s v="Rural"/>
    <s v="Femenino"/>
    <x v="0"/>
    <x v="0"/>
    <s v="SOLO 2024"/>
    <s v="SOLO 2023"/>
    <x v="5"/>
    <s v="14144 SANTA ROSA4 Secundaria"/>
  </r>
  <r>
    <n v="1"/>
    <x v="1"/>
    <s v="Primaria"/>
    <x v="4"/>
    <x v="15"/>
    <s v="Rural"/>
    <s v="Masculino"/>
    <x v="1"/>
    <x v="0"/>
    <s v="SOLO 2024"/>
    <s v="SOLO 2024"/>
    <x v="15"/>
    <s v="640482 Primaria"/>
  </r>
  <r>
    <n v="2"/>
    <x v="1"/>
    <s v="Primaria"/>
    <x v="4"/>
    <x v="15"/>
    <s v="Rural"/>
    <s v="Femenino"/>
    <x v="0"/>
    <x v="0"/>
    <s v="SOLO 2024"/>
    <s v="SOLO 2024"/>
    <x v="15"/>
    <s v="640482 Primaria"/>
  </r>
  <r>
    <n v="3"/>
    <x v="1"/>
    <s v="Primaria"/>
    <x v="0"/>
    <x v="15"/>
    <s v="Rural"/>
    <s v="Masculino"/>
    <x v="0"/>
    <x v="0"/>
    <s v="SOLO 2022 Y 2024"/>
    <s v="SOLO 2024"/>
    <x v="15"/>
    <s v="640484 Primaria"/>
  </r>
  <r>
    <n v="4"/>
    <x v="1"/>
    <s v="Primaria"/>
    <x v="0"/>
    <x v="15"/>
    <s v="Rural"/>
    <s v="Femenino"/>
    <x v="0"/>
    <x v="0"/>
    <s v="SOLO 2022 Y 2024"/>
    <s v="SOLO 2024"/>
    <x v="15"/>
    <s v="640484 Primaria"/>
  </r>
  <r>
    <n v="5"/>
    <x v="1"/>
    <s v="Primaria"/>
    <x v="1"/>
    <x v="15"/>
    <s v="Rural"/>
    <s v="Masculino"/>
    <x v="0"/>
    <x v="0"/>
    <s v="SOLO 2022 Y 2024"/>
    <s v="SOLO 2024"/>
    <x v="15"/>
    <s v="640486 Primaria"/>
  </r>
  <r>
    <n v="6"/>
    <x v="1"/>
    <s v="Primaria"/>
    <x v="1"/>
    <x v="15"/>
    <s v="Rural"/>
    <s v="Femenino"/>
    <x v="0"/>
    <x v="0"/>
    <s v="SOLO 2022 Y 2024"/>
    <s v="SOLO 2024"/>
    <x v="15"/>
    <s v="640486 Primaria"/>
  </r>
  <r>
    <n v="7"/>
    <x v="1"/>
    <s v="Primaria"/>
    <x v="1"/>
    <x v="15"/>
    <s v="Rural"/>
    <s v="Femenino"/>
    <x v="0"/>
    <x v="0"/>
    <s v="SOLO 2022 Y 2024"/>
    <s v="SOLO 2024"/>
    <x v="15"/>
    <s v="640486 Primaria"/>
  </r>
  <r>
    <n v="1"/>
    <x v="1"/>
    <s v="Primaria"/>
    <x v="4"/>
    <x v="16"/>
    <s v="Rural"/>
    <s v="Masculino"/>
    <x v="0"/>
    <x v="0"/>
    <s v="SOLO 2022 Y 2024"/>
    <s v="SOLO 2023"/>
    <x v="16"/>
    <s v="641152 Primaria"/>
  </r>
  <r>
    <n v="2"/>
    <x v="1"/>
    <s v="Primaria"/>
    <x v="4"/>
    <x v="16"/>
    <s v="Rural"/>
    <s v="Masculino"/>
    <x v="0"/>
    <x v="0"/>
    <s v="SOLO 2022 Y 2024"/>
    <s v="SOLO 2023"/>
    <x v="16"/>
    <s v="641152 Primaria"/>
  </r>
  <r>
    <n v="3"/>
    <x v="1"/>
    <s v="Primaria"/>
    <x v="4"/>
    <x v="16"/>
    <s v="Rural"/>
    <s v="Femenino"/>
    <x v="1"/>
    <x v="0"/>
    <s v="SOLO 2022 Y 2024"/>
    <s v="SOLO 2023"/>
    <x v="16"/>
    <s v="641152 Primaria"/>
  </r>
  <r>
    <n v="4"/>
    <x v="1"/>
    <s v="Primaria"/>
    <x v="0"/>
    <x v="16"/>
    <s v="Rural"/>
    <s v="Masculino"/>
    <x v="0"/>
    <x v="0"/>
    <s v="SOLO 2022 Y 2024"/>
    <s v="SOLO 2023"/>
    <x v="16"/>
    <s v="641154 Primaria"/>
  </r>
  <r>
    <n v="5"/>
    <x v="1"/>
    <s v="Primaria"/>
    <x v="0"/>
    <x v="16"/>
    <s v="Rural"/>
    <s v="Masculino"/>
    <x v="1"/>
    <x v="0"/>
    <s v="SOLO 2022 Y 2024"/>
    <s v="SOLO 2023"/>
    <x v="16"/>
    <s v="641154 Primaria"/>
  </r>
  <r>
    <n v="6"/>
    <x v="1"/>
    <s v="Primaria"/>
    <x v="1"/>
    <x v="16"/>
    <s v="Rural"/>
    <s v="Masculino"/>
    <x v="0"/>
    <x v="0"/>
    <s v="SOLO 2022 Y 2024"/>
    <s v="SOLO 2023"/>
    <x v="16"/>
    <s v="641156 Primaria"/>
  </r>
  <r>
    <n v="7"/>
    <x v="1"/>
    <s v="Primaria"/>
    <x v="1"/>
    <x v="16"/>
    <s v="Rural"/>
    <s v="Femenino"/>
    <x v="0"/>
    <x v="0"/>
    <s v="SOLO 2022 Y 2024"/>
    <s v="SOLO 2023"/>
    <x v="16"/>
    <s v="641156 Primaria"/>
  </r>
  <r>
    <n v="1"/>
    <x v="1"/>
    <s v="Primaria"/>
    <x v="4"/>
    <x v="17"/>
    <s v="Rural"/>
    <s v="Masculino"/>
    <x v="0"/>
    <x v="0"/>
    <s v="SOLO 2024"/>
    <s v="PADD 2023 Y 2024"/>
    <x v="17"/>
    <s v="64508-B2 Primaria"/>
  </r>
  <r>
    <n v="2"/>
    <x v="1"/>
    <s v="Primaria"/>
    <x v="4"/>
    <x v="17"/>
    <s v="Rural"/>
    <s v="Masculino"/>
    <x v="0"/>
    <x v="0"/>
    <s v="SOLO 2024"/>
    <s v="PADD 2023 Y 2024"/>
    <x v="17"/>
    <s v="64508-B2 Primaria"/>
  </r>
  <r>
    <n v="3"/>
    <x v="1"/>
    <s v="Primaria"/>
    <x v="4"/>
    <x v="17"/>
    <s v="Rural"/>
    <s v="Masculino"/>
    <x v="0"/>
    <x v="0"/>
    <s v="SOLO 2024"/>
    <s v="PADD 2023 Y 2024"/>
    <x v="17"/>
    <s v="64508-B2 Primaria"/>
  </r>
  <r>
    <n v="4"/>
    <x v="1"/>
    <s v="Primaria"/>
    <x v="4"/>
    <x v="17"/>
    <s v="Rural"/>
    <s v="Masculino"/>
    <x v="0"/>
    <x v="0"/>
    <s v="SOLO 2024"/>
    <s v="PADD 2023 Y 2024"/>
    <x v="17"/>
    <s v="64508-B2 Primaria"/>
  </r>
  <r>
    <n v="5"/>
    <x v="1"/>
    <s v="Primaria"/>
    <x v="4"/>
    <x v="17"/>
    <s v="Rural"/>
    <s v="Masculino"/>
    <x v="0"/>
    <x v="0"/>
    <s v="SOLO 2024"/>
    <s v="PADD 2023 Y 2024"/>
    <x v="17"/>
    <s v="64508-B2 Primaria"/>
  </r>
  <r>
    <n v="6"/>
    <x v="1"/>
    <s v="Primaria"/>
    <x v="4"/>
    <x v="17"/>
    <s v="Rural"/>
    <s v="Femenino"/>
    <x v="0"/>
    <x v="0"/>
    <s v="SOLO 2024"/>
    <s v="PADD 2023 Y 2024"/>
    <x v="17"/>
    <s v="64508-B2 Primaria"/>
  </r>
  <r>
    <n v="7"/>
    <x v="1"/>
    <s v="Primaria"/>
    <x v="4"/>
    <x v="17"/>
    <s v="Rural"/>
    <s v="Femenino"/>
    <x v="0"/>
    <x v="0"/>
    <s v="SOLO 2024"/>
    <s v="PADD 2023 Y 2024"/>
    <x v="17"/>
    <s v="64508-B2 Primaria"/>
  </r>
  <r>
    <n v="8"/>
    <x v="1"/>
    <s v="Primaria"/>
    <x v="4"/>
    <x v="17"/>
    <s v="Rural"/>
    <s v="Femenino"/>
    <x v="0"/>
    <x v="0"/>
    <s v="SOLO 2024"/>
    <s v="PADD 2023 Y 2024"/>
    <x v="17"/>
    <s v="64508-B2 Primaria"/>
  </r>
  <r>
    <n v="9"/>
    <x v="1"/>
    <s v="Primaria"/>
    <x v="0"/>
    <x v="17"/>
    <s v="Rural"/>
    <s v="Masculino"/>
    <x v="0"/>
    <x v="0"/>
    <s v="SOLO 2024"/>
    <s v="PADD 2023 Y 2024"/>
    <x v="17"/>
    <s v="64508-B4 Primaria"/>
  </r>
  <r>
    <n v="10"/>
    <x v="1"/>
    <s v="Primaria"/>
    <x v="0"/>
    <x v="17"/>
    <s v="Rural"/>
    <s v="Masculino"/>
    <x v="0"/>
    <x v="0"/>
    <s v="SOLO 2024"/>
    <s v="PADD 2023 Y 2024"/>
    <x v="17"/>
    <s v="64508-B4 Primaria"/>
  </r>
  <r>
    <n v="11"/>
    <x v="1"/>
    <s v="Primaria"/>
    <x v="0"/>
    <x v="17"/>
    <s v="Rural"/>
    <s v="Masculino"/>
    <x v="0"/>
    <x v="0"/>
    <s v="SOLO 2024"/>
    <s v="PADD 2023 Y 2024"/>
    <x v="17"/>
    <s v="64508-B4 Primaria"/>
  </r>
  <r>
    <n v="12"/>
    <x v="1"/>
    <s v="Primaria"/>
    <x v="0"/>
    <x v="17"/>
    <s v="Rural"/>
    <s v="Masculino"/>
    <x v="0"/>
    <x v="0"/>
    <s v="SOLO 2024"/>
    <s v="PADD 2023 Y 2024"/>
    <x v="17"/>
    <s v="64508-B4 Primaria"/>
  </r>
  <r>
    <n v="13"/>
    <x v="1"/>
    <s v="Primaria"/>
    <x v="0"/>
    <x v="17"/>
    <s v="Rural"/>
    <s v="Femenino"/>
    <x v="0"/>
    <x v="0"/>
    <s v="SOLO 2024"/>
    <s v="PADD 2023 Y 2024"/>
    <x v="17"/>
    <s v="64508-B4 Primaria"/>
  </r>
  <r>
    <n v="14"/>
    <x v="1"/>
    <s v="Primaria"/>
    <x v="0"/>
    <x v="17"/>
    <s v="Rural"/>
    <s v="Femenino"/>
    <x v="0"/>
    <x v="0"/>
    <s v="SOLO 2024"/>
    <s v="PADD 2023 Y 2024"/>
    <x v="17"/>
    <s v="64508-B4 Primaria"/>
  </r>
  <r>
    <n v="15"/>
    <x v="1"/>
    <s v="Primaria"/>
    <x v="0"/>
    <x v="17"/>
    <s v="Rural"/>
    <s v="Femenino"/>
    <x v="0"/>
    <x v="0"/>
    <s v="SOLO 2024"/>
    <s v="PADD 2023 Y 2024"/>
    <x v="17"/>
    <s v="64508-B4 Primaria"/>
  </r>
  <r>
    <n v="16"/>
    <x v="1"/>
    <s v="Primaria"/>
    <x v="0"/>
    <x v="17"/>
    <s v="Rural"/>
    <s v="Femenino"/>
    <x v="0"/>
    <x v="0"/>
    <s v="SOLO 2024"/>
    <s v="PADD 2023 Y 2024"/>
    <x v="17"/>
    <s v="64508-B4 Primaria"/>
  </r>
  <r>
    <n v="17"/>
    <x v="1"/>
    <s v="Primaria"/>
    <x v="0"/>
    <x v="17"/>
    <s v="Rural"/>
    <s v="Femenino"/>
    <x v="0"/>
    <x v="0"/>
    <s v="SOLO 2024"/>
    <s v="PADD 2023 Y 2024"/>
    <x v="17"/>
    <s v="64508-B4 Primaria"/>
  </r>
  <r>
    <n v="18"/>
    <x v="1"/>
    <s v="Primaria"/>
    <x v="1"/>
    <x v="17"/>
    <s v="Rural"/>
    <s v="Masculino"/>
    <x v="0"/>
    <x v="0"/>
    <s v="SOLO 2024"/>
    <s v="PADD 2023 Y 2024"/>
    <x v="17"/>
    <s v="64508-B6 Primaria"/>
  </r>
  <r>
    <n v="19"/>
    <x v="1"/>
    <s v="Primaria"/>
    <x v="1"/>
    <x v="17"/>
    <s v="Rural"/>
    <s v="Masculino"/>
    <x v="0"/>
    <x v="0"/>
    <s v="SOLO 2024"/>
    <s v="PADD 2023 Y 2024"/>
    <x v="17"/>
    <s v="64508-B6 Primaria"/>
  </r>
  <r>
    <n v="20"/>
    <x v="1"/>
    <s v="Primaria"/>
    <x v="1"/>
    <x v="17"/>
    <s v="Rural"/>
    <s v="Masculino"/>
    <x v="0"/>
    <x v="0"/>
    <s v="SOLO 2024"/>
    <s v="PADD 2023 Y 2024"/>
    <x v="17"/>
    <s v="64508-B6 Primaria"/>
  </r>
  <r>
    <n v="21"/>
    <x v="1"/>
    <s v="Primaria"/>
    <x v="1"/>
    <x v="17"/>
    <s v="Rural"/>
    <s v="Masculino"/>
    <x v="0"/>
    <x v="0"/>
    <s v="SOLO 2024"/>
    <s v="PADD 2023 Y 2024"/>
    <x v="17"/>
    <s v="64508-B6 Primaria"/>
  </r>
  <r>
    <n v="22"/>
    <x v="1"/>
    <s v="Primaria"/>
    <x v="1"/>
    <x v="17"/>
    <s v="Rural"/>
    <s v="Femenino"/>
    <x v="0"/>
    <x v="0"/>
    <s v="SOLO 2024"/>
    <s v="PADD 2023 Y 2024"/>
    <x v="17"/>
    <s v="64508-B6 Primaria"/>
  </r>
  <r>
    <n v="23"/>
    <x v="1"/>
    <s v="Primaria"/>
    <x v="1"/>
    <x v="17"/>
    <s v="Rural"/>
    <s v="Femenino"/>
    <x v="0"/>
    <x v="0"/>
    <s v="SOLO 2024"/>
    <s v="PADD 2023 Y 2024"/>
    <x v="17"/>
    <s v="64508-B6 Primaria"/>
  </r>
  <r>
    <n v="24"/>
    <x v="1"/>
    <s v="Primaria"/>
    <x v="1"/>
    <x v="17"/>
    <s v="Rural"/>
    <s v="Femenino"/>
    <x v="0"/>
    <x v="0"/>
    <s v="SOLO 2024"/>
    <s v="PADD 2023 Y 2024"/>
    <x v="17"/>
    <s v="64508-B6 Primaria"/>
  </r>
  <r>
    <n v="25"/>
    <x v="1"/>
    <s v="Primaria"/>
    <x v="1"/>
    <x v="17"/>
    <s v="Rural"/>
    <s v="Femenino"/>
    <x v="0"/>
    <x v="0"/>
    <s v="SOLO 2024"/>
    <s v="PADD 2023 Y 2024"/>
    <x v="17"/>
    <s v="64508-B6 Primaria"/>
  </r>
  <r>
    <n v="1"/>
    <x v="1"/>
    <s v="Primaria"/>
    <x v="4"/>
    <x v="18"/>
    <s v="Rural"/>
    <s v="Masculino"/>
    <x v="0"/>
    <x v="0"/>
    <s v="SOLO 2024"/>
    <s v="PADD 2023 Y 2024"/>
    <x v="18"/>
    <s v="64873-B2 Primaria"/>
  </r>
  <r>
    <n v="2"/>
    <x v="1"/>
    <s v="Primaria"/>
    <x v="4"/>
    <x v="18"/>
    <s v="Rural"/>
    <s v="Masculino"/>
    <x v="0"/>
    <x v="0"/>
    <s v="SOLO 2024"/>
    <s v="PADD 2023 Y 2024"/>
    <x v="18"/>
    <s v="64873-B2 Primaria"/>
  </r>
  <r>
    <n v="3"/>
    <x v="1"/>
    <s v="Primaria"/>
    <x v="4"/>
    <x v="18"/>
    <s v="Rural"/>
    <s v="Masculino"/>
    <x v="0"/>
    <x v="0"/>
    <s v="SOLO 2024"/>
    <s v="PADD 2023 Y 2024"/>
    <x v="18"/>
    <s v="64873-B2 Primaria"/>
  </r>
  <r>
    <n v="4"/>
    <x v="1"/>
    <s v="Primaria"/>
    <x v="4"/>
    <x v="18"/>
    <s v="Rural"/>
    <s v="Masculino"/>
    <x v="0"/>
    <x v="0"/>
    <s v="SOLO 2024"/>
    <s v="PADD 2023 Y 2024"/>
    <x v="18"/>
    <s v="64873-B2 Primaria"/>
  </r>
  <r>
    <n v="5"/>
    <x v="1"/>
    <s v="Primaria"/>
    <x v="4"/>
    <x v="18"/>
    <s v="Rural"/>
    <s v="Femenino"/>
    <x v="0"/>
    <x v="0"/>
    <s v="SOLO 2024"/>
    <s v="PADD 2023 Y 2024"/>
    <x v="18"/>
    <s v="64873-B2 Primaria"/>
  </r>
  <r>
    <n v="6"/>
    <x v="1"/>
    <s v="Primaria"/>
    <x v="4"/>
    <x v="18"/>
    <s v="Rural"/>
    <s v="Femenino"/>
    <x v="0"/>
    <x v="0"/>
    <s v="SOLO 2024"/>
    <s v="PADD 2023 Y 2024"/>
    <x v="18"/>
    <s v="64873-B2 Primaria"/>
  </r>
  <r>
    <n v="7"/>
    <x v="1"/>
    <s v="Primaria"/>
    <x v="4"/>
    <x v="18"/>
    <s v="Rural"/>
    <s v="Femenino"/>
    <x v="0"/>
    <x v="0"/>
    <s v="SOLO 2024"/>
    <s v="PADD 2023 Y 2024"/>
    <x v="18"/>
    <s v="64873-B2 Primaria"/>
  </r>
  <r>
    <n v="8"/>
    <x v="1"/>
    <s v="Primaria"/>
    <x v="0"/>
    <x v="18"/>
    <s v="Rural"/>
    <s v="Masculino"/>
    <x v="0"/>
    <x v="0"/>
    <s v="SOLO 2024"/>
    <s v="PADD 2023 Y 2024"/>
    <x v="18"/>
    <s v="64873-B4 Primaria"/>
  </r>
  <r>
    <n v="9"/>
    <x v="1"/>
    <s v="Primaria"/>
    <x v="0"/>
    <x v="18"/>
    <s v="Rural"/>
    <s v="Masculino"/>
    <x v="0"/>
    <x v="0"/>
    <s v="SOLO 2024"/>
    <s v="PADD 2023 Y 2024"/>
    <x v="18"/>
    <s v="64873-B4 Primaria"/>
  </r>
  <r>
    <n v="10"/>
    <x v="1"/>
    <s v="Primaria"/>
    <x v="0"/>
    <x v="18"/>
    <s v="Rural"/>
    <s v="Femenino"/>
    <x v="0"/>
    <x v="0"/>
    <s v="SOLO 2024"/>
    <s v="PADD 2023 Y 2024"/>
    <x v="18"/>
    <s v="64873-B4 Primaria"/>
  </r>
  <r>
    <n v="11"/>
    <x v="1"/>
    <s v="Primaria"/>
    <x v="0"/>
    <x v="18"/>
    <s v="Rural"/>
    <s v="Femenino"/>
    <x v="0"/>
    <x v="0"/>
    <s v="SOLO 2024"/>
    <s v="PADD 2023 Y 2024"/>
    <x v="18"/>
    <s v="64873-B4 Primaria"/>
  </r>
  <r>
    <n v="12"/>
    <x v="1"/>
    <s v="Primaria"/>
    <x v="1"/>
    <x v="18"/>
    <s v="Rural"/>
    <s v="Masculino"/>
    <x v="0"/>
    <x v="0"/>
    <s v="SOLO 2024"/>
    <s v="PADD 2023 Y 2024"/>
    <x v="18"/>
    <s v="64873-B6 Primaria"/>
  </r>
  <r>
    <n v="13"/>
    <x v="1"/>
    <s v="Primaria"/>
    <x v="1"/>
    <x v="18"/>
    <s v="Rural"/>
    <s v="Masculino"/>
    <x v="0"/>
    <x v="0"/>
    <s v="SOLO 2024"/>
    <s v="PADD 2023 Y 2024"/>
    <x v="18"/>
    <s v="64873-B6 Primaria"/>
  </r>
  <r>
    <n v="14"/>
    <x v="1"/>
    <s v="Primaria"/>
    <x v="1"/>
    <x v="18"/>
    <s v="Rural"/>
    <s v="Femenino"/>
    <x v="0"/>
    <x v="0"/>
    <s v="SOLO 2024"/>
    <s v="PADD 2023 Y 2024"/>
    <x v="18"/>
    <s v="64873-B6 Primaria"/>
  </r>
  <r>
    <n v="15"/>
    <x v="1"/>
    <s v="Primaria"/>
    <x v="1"/>
    <x v="18"/>
    <s v="Rural"/>
    <s v="Femenino"/>
    <x v="0"/>
    <x v="0"/>
    <s v="SOLO 2024"/>
    <s v="PADD 2023 Y 2024"/>
    <x v="18"/>
    <s v="64873-B6 Primaria"/>
  </r>
  <r>
    <n v="1"/>
    <x v="1"/>
    <s v="Primaria"/>
    <x v="4"/>
    <x v="19"/>
    <s v="Rural"/>
    <s v="Masculino"/>
    <x v="0"/>
    <x v="0"/>
    <s v="SOLO 2024"/>
    <s v="SOLO 2024"/>
    <x v="19"/>
    <s v="64545-B2 Primaria"/>
  </r>
  <r>
    <n v="2"/>
    <x v="1"/>
    <s v="Primaria"/>
    <x v="4"/>
    <x v="19"/>
    <s v="Rural"/>
    <s v="Masculino"/>
    <x v="0"/>
    <x v="0"/>
    <s v="SOLO 2024"/>
    <s v="SOLO 2024"/>
    <x v="19"/>
    <s v="64545-B2 Primaria"/>
  </r>
  <r>
    <n v="3"/>
    <x v="1"/>
    <s v="Primaria"/>
    <x v="0"/>
    <x v="19"/>
    <s v="Rural"/>
    <s v="Femenino"/>
    <x v="0"/>
    <x v="0"/>
    <s v="SOLO 2024"/>
    <s v="SOLO 2024"/>
    <x v="19"/>
    <s v="64545-B4 Primaria"/>
  </r>
  <r>
    <n v="4"/>
    <x v="1"/>
    <s v="Primaria"/>
    <x v="1"/>
    <x v="19"/>
    <s v="Rural"/>
    <s v="Femenino"/>
    <x v="0"/>
    <x v="0"/>
    <s v="SOLO 2024"/>
    <s v="SOLO 2024"/>
    <x v="19"/>
    <s v="64545-B6 Primaria"/>
  </r>
  <r>
    <n v="1"/>
    <x v="1"/>
    <s v="Primaria"/>
    <x v="4"/>
    <x v="20"/>
    <s v="Rural"/>
    <s v="Femenino"/>
    <x v="0"/>
    <x v="0"/>
    <s v="SOLO 2024"/>
    <s v="SOLO 2024"/>
    <x v="20"/>
    <s v="649492 Primaria"/>
  </r>
  <r>
    <n v="3"/>
    <x v="1"/>
    <s v="Primaria"/>
    <x v="1"/>
    <x v="20"/>
    <s v="Rural"/>
    <s v="Masculino"/>
    <x v="1"/>
    <x v="0"/>
    <s v="SOLO 2024"/>
    <s v="SOLO 2024"/>
    <x v="20"/>
    <s v="649496 Primaria"/>
  </r>
  <r>
    <n v="1"/>
    <x v="1"/>
    <s v="Primaria"/>
    <x v="4"/>
    <x v="21"/>
    <s v="Rural"/>
    <s v="Masculino"/>
    <x v="0"/>
    <x v="0"/>
    <s v="SOLO 2024"/>
    <s v="PADD 2023 Y 2024"/>
    <x v="21"/>
    <s v="64871-B2 Primaria"/>
  </r>
  <r>
    <n v="2"/>
    <x v="1"/>
    <s v="Primaria"/>
    <x v="4"/>
    <x v="21"/>
    <s v="Rural"/>
    <s v="Masculino"/>
    <x v="0"/>
    <x v="0"/>
    <s v="SOLO 2024"/>
    <s v="PADD 2023 Y 2024"/>
    <x v="21"/>
    <s v="64871-B2 Primaria"/>
  </r>
  <r>
    <n v="3"/>
    <x v="1"/>
    <s v="Primaria"/>
    <x v="4"/>
    <x v="21"/>
    <s v="Rural"/>
    <s v="Masculino"/>
    <x v="0"/>
    <x v="0"/>
    <s v="SOLO 2024"/>
    <s v="PADD 2023 Y 2024"/>
    <x v="21"/>
    <s v="64871-B2 Primaria"/>
  </r>
  <r>
    <n v="4"/>
    <x v="1"/>
    <s v="Primaria"/>
    <x v="4"/>
    <x v="21"/>
    <s v="Rural"/>
    <s v="Masculino"/>
    <x v="0"/>
    <x v="0"/>
    <s v="SOLO 2024"/>
    <s v="PADD 2023 Y 2024"/>
    <x v="21"/>
    <s v="64871-B2 Primaria"/>
  </r>
  <r>
    <n v="5"/>
    <x v="1"/>
    <s v="Primaria"/>
    <x v="4"/>
    <x v="21"/>
    <s v="Rural"/>
    <s v="Masculino"/>
    <x v="0"/>
    <x v="0"/>
    <s v="SOLO 2024"/>
    <s v="PADD 2023 Y 2024"/>
    <x v="21"/>
    <s v="64871-B2 Primaria"/>
  </r>
  <r>
    <n v="6"/>
    <x v="1"/>
    <s v="Primaria"/>
    <x v="4"/>
    <x v="21"/>
    <s v="Rural"/>
    <s v="Femenino"/>
    <x v="0"/>
    <x v="0"/>
    <s v="SOLO 2024"/>
    <s v="PADD 2023 Y 2024"/>
    <x v="21"/>
    <s v="64871-B2 Primaria"/>
  </r>
  <r>
    <n v="7"/>
    <x v="1"/>
    <s v="Primaria"/>
    <x v="4"/>
    <x v="21"/>
    <s v="Rural"/>
    <s v="Femenino"/>
    <x v="0"/>
    <x v="0"/>
    <s v="SOLO 2024"/>
    <s v="PADD 2023 Y 2024"/>
    <x v="21"/>
    <s v="64871-B2 Primaria"/>
  </r>
  <r>
    <n v="8"/>
    <x v="1"/>
    <s v="Primaria"/>
    <x v="4"/>
    <x v="21"/>
    <s v="Rural"/>
    <s v="Femenino"/>
    <x v="0"/>
    <x v="0"/>
    <s v="SOLO 2024"/>
    <s v="PADD 2023 Y 2024"/>
    <x v="21"/>
    <s v="64871-B2 Primaria"/>
  </r>
  <r>
    <n v="9"/>
    <x v="1"/>
    <s v="Primaria"/>
    <x v="4"/>
    <x v="21"/>
    <s v="Rural"/>
    <s v="Femenino"/>
    <x v="0"/>
    <x v="0"/>
    <s v="SOLO 2024"/>
    <s v="PADD 2023 Y 2024"/>
    <x v="21"/>
    <s v="64871-B2 Primaria"/>
  </r>
  <r>
    <n v="10"/>
    <x v="1"/>
    <s v="Primaria"/>
    <x v="0"/>
    <x v="21"/>
    <s v="Rural"/>
    <s v="Masculino"/>
    <x v="0"/>
    <x v="0"/>
    <s v="2023 Y 2024"/>
    <s v="PADD 2023 Y 2024"/>
    <x v="21"/>
    <s v="64871-B4 Primaria"/>
  </r>
  <r>
    <n v="11"/>
    <x v="1"/>
    <s v="Primaria"/>
    <x v="0"/>
    <x v="21"/>
    <s v="Rural"/>
    <s v="Masculino"/>
    <x v="0"/>
    <x v="0"/>
    <s v="2023 Y 2024"/>
    <s v="PADD 2023 Y 2024"/>
    <x v="21"/>
    <s v="64871-B4 Primaria"/>
  </r>
  <r>
    <n v="12"/>
    <x v="1"/>
    <s v="Primaria"/>
    <x v="0"/>
    <x v="21"/>
    <s v="Rural"/>
    <s v="Masculino"/>
    <x v="0"/>
    <x v="0"/>
    <s v="2023 Y 2024"/>
    <s v="PADD 2023 Y 2024"/>
    <x v="21"/>
    <s v="64871-B4 Primaria"/>
  </r>
  <r>
    <n v="13"/>
    <x v="1"/>
    <s v="Primaria"/>
    <x v="0"/>
    <x v="21"/>
    <s v="Rural"/>
    <s v="Masculino"/>
    <x v="0"/>
    <x v="0"/>
    <s v="2023 Y 2024"/>
    <s v="PADD 2023 Y 2024"/>
    <x v="21"/>
    <s v="64871-B4 Primaria"/>
  </r>
  <r>
    <n v="14"/>
    <x v="1"/>
    <s v="Primaria"/>
    <x v="0"/>
    <x v="21"/>
    <s v="Rural"/>
    <s v="Masculino"/>
    <x v="0"/>
    <x v="0"/>
    <s v="2023 Y 2024"/>
    <s v="PADD 2023 Y 2024"/>
    <x v="21"/>
    <s v="64871-B4 Primaria"/>
  </r>
  <r>
    <n v="15"/>
    <x v="1"/>
    <s v="Primaria"/>
    <x v="0"/>
    <x v="21"/>
    <s v="Rural"/>
    <s v="Masculino"/>
    <x v="0"/>
    <x v="0"/>
    <s v="2023 Y 2024"/>
    <s v="PADD 2023 Y 2024"/>
    <x v="21"/>
    <s v="64871-B4 Primaria"/>
  </r>
  <r>
    <n v="16"/>
    <x v="1"/>
    <s v="Primaria"/>
    <x v="0"/>
    <x v="21"/>
    <s v="Rural"/>
    <s v="Femenino"/>
    <x v="0"/>
    <x v="0"/>
    <s v="2023 Y 2024"/>
    <s v="PADD 2023 Y 2024"/>
    <x v="21"/>
    <s v="64871-B4 Primaria"/>
  </r>
  <r>
    <n v="17"/>
    <x v="1"/>
    <s v="Primaria"/>
    <x v="0"/>
    <x v="21"/>
    <s v="Rural"/>
    <s v="Femenino"/>
    <x v="0"/>
    <x v="0"/>
    <s v="2023 Y 2024"/>
    <s v="PADD 2023 Y 2024"/>
    <x v="21"/>
    <s v="64871-B4 Primaria"/>
  </r>
  <r>
    <n v="18"/>
    <x v="1"/>
    <s v="Primaria"/>
    <x v="0"/>
    <x v="21"/>
    <s v="Rural"/>
    <s v="Femenino"/>
    <x v="0"/>
    <x v="0"/>
    <s v="2023 Y 2024"/>
    <s v="PADD 2023 Y 2024"/>
    <x v="21"/>
    <s v="64871-B4 Primaria"/>
  </r>
  <r>
    <n v="19"/>
    <x v="1"/>
    <s v="Primaria"/>
    <x v="0"/>
    <x v="21"/>
    <s v="Rural"/>
    <s v="Femenino"/>
    <x v="0"/>
    <x v="0"/>
    <s v="2023 Y 2024"/>
    <s v="PADD 2023 Y 2024"/>
    <x v="21"/>
    <s v="64871-B4 Primaria"/>
  </r>
  <r>
    <n v="20"/>
    <x v="1"/>
    <s v="Primaria"/>
    <x v="1"/>
    <x v="21"/>
    <s v="Rural"/>
    <s v="Masculino"/>
    <x v="0"/>
    <x v="0"/>
    <s v="SOLO 2024"/>
    <s v="PADD 2023 Y 2024"/>
    <x v="21"/>
    <s v="64871-B6 Primaria"/>
  </r>
  <r>
    <n v="21"/>
    <x v="1"/>
    <s v="Primaria"/>
    <x v="1"/>
    <x v="21"/>
    <s v="Rural"/>
    <s v="Masculino"/>
    <x v="0"/>
    <x v="0"/>
    <s v="SOLO 2024"/>
    <s v="PADD 2023 Y 2024"/>
    <x v="21"/>
    <s v="64871-B6 Primaria"/>
  </r>
  <r>
    <n v="22"/>
    <x v="1"/>
    <s v="Primaria"/>
    <x v="1"/>
    <x v="21"/>
    <s v="Rural"/>
    <s v="Masculino"/>
    <x v="0"/>
    <x v="0"/>
    <s v="SOLO 2024"/>
    <s v="PADD 2023 Y 2024"/>
    <x v="21"/>
    <s v="64871-B6 Primaria"/>
  </r>
  <r>
    <n v="23"/>
    <x v="1"/>
    <s v="Primaria"/>
    <x v="1"/>
    <x v="21"/>
    <s v="Rural"/>
    <s v="Masculino"/>
    <x v="0"/>
    <x v="0"/>
    <s v="SOLO 2024"/>
    <s v="PADD 2023 Y 2024"/>
    <x v="21"/>
    <s v="64871-B6 Primaria"/>
  </r>
  <r>
    <n v="24"/>
    <x v="1"/>
    <s v="Primaria"/>
    <x v="1"/>
    <x v="21"/>
    <s v="Rural"/>
    <s v="Femenino"/>
    <x v="0"/>
    <x v="0"/>
    <s v="SOLO 2024"/>
    <s v="PADD 2023 Y 2024"/>
    <x v="21"/>
    <s v="64871-B6 Primaria"/>
  </r>
  <r>
    <n v="25"/>
    <x v="1"/>
    <s v="Primaria"/>
    <x v="1"/>
    <x v="21"/>
    <s v="Rural"/>
    <s v="Femenino"/>
    <x v="0"/>
    <x v="0"/>
    <s v="SOLO 2024"/>
    <s v="PADD 2023 Y 2024"/>
    <x v="21"/>
    <s v="64871-B6 Primaria"/>
  </r>
  <r>
    <n v="26"/>
    <x v="1"/>
    <s v="Primaria"/>
    <x v="1"/>
    <x v="21"/>
    <s v="Rural"/>
    <s v="Femenino"/>
    <x v="0"/>
    <x v="0"/>
    <s v="SOLO 2024"/>
    <s v="PADD 2023 Y 2024"/>
    <x v="21"/>
    <s v="64871-B6 Primaria"/>
  </r>
  <r>
    <n v="27"/>
    <x v="1"/>
    <s v="Primaria"/>
    <x v="1"/>
    <x v="21"/>
    <s v="Rural"/>
    <s v="Femenino"/>
    <x v="0"/>
    <x v="0"/>
    <s v="SOLO 2024"/>
    <s v="PADD 2023 Y 2024"/>
    <x v="21"/>
    <s v="64871-B6 Primaria"/>
  </r>
  <r>
    <n v="28"/>
    <x v="1"/>
    <s v="Primaria"/>
    <x v="1"/>
    <x v="21"/>
    <s v="Rural"/>
    <s v="Femenino"/>
    <x v="0"/>
    <x v="0"/>
    <s v="SOLO 2024"/>
    <s v="PADD 2023 Y 2024"/>
    <x v="21"/>
    <s v="64871-B6 Primaria"/>
  </r>
  <r>
    <n v="29"/>
    <x v="1"/>
    <s v="Primaria"/>
    <x v="1"/>
    <x v="21"/>
    <s v="Rural"/>
    <s v="Femenino"/>
    <x v="0"/>
    <x v="0"/>
    <s v="SOLO 2024"/>
    <s v="PADD 2023 Y 2024"/>
    <x v="21"/>
    <s v="64871-B6 Primaria"/>
  </r>
  <r>
    <n v="1"/>
    <x v="1"/>
    <s v="Primaria"/>
    <x v="4"/>
    <x v="22"/>
    <s v="Rural"/>
    <s v="Masculino"/>
    <x v="0"/>
    <x v="0"/>
    <s v="LOS 3 AÑOS"/>
    <s v="PADD 2023 Y 2024"/>
    <x v="22"/>
    <s v="640282 Primaria"/>
  </r>
  <r>
    <n v="2"/>
    <x v="1"/>
    <s v="Primaria"/>
    <x v="4"/>
    <x v="22"/>
    <s v="Rural"/>
    <s v="Femenino"/>
    <x v="0"/>
    <x v="0"/>
    <s v="LOS 3 AÑOS"/>
    <s v="PADD 2023 Y 2024"/>
    <x v="22"/>
    <s v="640282 Primaria"/>
  </r>
  <r>
    <n v="3"/>
    <x v="1"/>
    <s v="Primaria"/>
    <x v="4"/>
    <x v="22"/>
    <s v="Rural"/>
    <s v="Femenino"/>
    <x v="0"/>
    <x v="0"/>
    <s v="LOS 3 AÑOS"/>
    <s v="PADD 2023 Y 2024"/>
    <x v="22"/>
    <s v="640282 Primaria"/>
  </r>
  <r>
    <n v="4"/>
    <x v="1"/>
    <s v="Primaria"/>
    <x v="0"/>
    <x v="22"/>
    <s v="Rural"/>
    <s v="Masculino"/>
    <x v="0"/>
    <x v="0"/>
    <s v="LOS 3 AÑOS"/>
    <s v="PADD 2023 Y 2024"/>
    <x v="22"/>
    <s v="640284 Primaria"/>
  </r>
  <r>
    <n v="5"/>
    <x v="1"/>
    <s v="Primaria"/>
    <x v="0"/>
    <x v="22"/>
    <s v="Rural"/>
    <s v="Masculino"/>
    <x v="0"/>
    <x v="0"/>
    <s v="LOS 3 AÑOS"/>
    <s v="PADD 2023 Y 2024"/>
    <x v="22"/>
    <s v="640284 Primaria"/>
  </r>
  <r>
    <n v="6"/>
    <x v="1"/>
    <s v="Primaria"/>
    <x v="0"/>
    <x v="22"/>
    <s v="Rural"/>
    <s v="Femenino"/>
    <x v="1"/>
    <x v="0"/>
    <s v="LOS 3 AÑOS"/>
    <s v="PADD 2023 Y 2024"/>
    <x v="22"/>
    <s v="640284 Primaria"/>
  </r>
  <r>
    <n v="7"/>
    <x v="1"/>
    <s v="Primaria"/>
    <x v="0"/>
    <x v="22"/>
    <s v="Rural"/>
    <s v="Femenino"/>
    <x v="1"/>
    <x v="0"/>
    <s v="LOS 3 AÑOS"/>
    <s v="PADD 2023 Y 2024"/>
    <x v="22"/>
    <s v="640284 Primaria"/>
  </r>
  <r>
    <n v="8"/>
    <x v="1"/>
    <s v="Primaria"/>
    <x v="1"/>
    <x v="22"/>
    <s v="Rural"/>
    <s v="Masculino"/>
    <x v="1"/>
    <x v="0"/>
    <s v="SOLO 2022 Y 2024"/>
    <s v="PADD 2023 Y 2024"/>
    <x v="22"/>
    <s v="640286 Primaria"/>
  </r>
  <r>
    <n v="9"/>
    <x v="1"/>
    <s v="Primaria"/>
    <x v="1"/>
    <x v="22"/>
    <s v="Rural"/>
    <s v="Masculino"/>
    <x v="1"/>
    <x v="0"/>
    <s v="SOLO 2022 Y 2024"/>
    <s v="PADD 2023 Y 2024"/>
    <x v="22"/>
    <s v="640286 Primaria"/>
  </r>
  <r>
    <n v="10"/>
    <x v="1"/>
    <s v="Primaria"/>
    <x v="1"/>
    <x v="22"/>
    <s v="Rural"/>
    <s v="Femenino"/>
    <x v="1"/>
    <x v="0"/>
    <s v="SOLO 2022 Y 2024"/>
    <s v="PADD 2023 Y 2024"/>
    <x v="22"/>
    <s v="640286 Primaria"/>
  </r>
  <r>
    <n v="11"/>
    <x v="1"/>
    <s v="Primaria"/>
    <x v="1"/>
    <x v="22"/>
    <s v="Rural"/>
    <s v="Femenino"/>
    <x v="0"/>
    <x v="0"/>
    <s v="SOLO 2022 Y 2024"/>
    <s v="PADD 2023 Y 2024"/>
    <x v="22"/>
    <s v="640286 Primaria"/>
  </r>
  <r>
    <n v="1"/>
    <x v="2"/>
    <s v="Secundaria"/>
    <x v="2"/>
    <x v="23"/>
    <s v="Rural"/>
    <s v="Femenino"/>
    <x v="0"/>
    <x v="0"/>
    <s v="2023 Y 2024"/>
    <s v="PADD 2023 Y 2024"/>
    <x v="23"/>
    <s v="NUESTRA SEÑORA DE LA CANDELARIA2 Secundaria"/>
  </r>
  <r>
    <n v="5"/>
    <x v="2"/>
    <s v="Secundaria"/>
    <x v="2"/>
    <x v="23"/>
    <s v="Rural"/>
    <s v="Femenino"/>
    <x v="0"/>
    <x v="0"/>
    <s v="2023 Y 2024"/>
    <s v="PADD 2023 Y 2024"/>
    <x v="23"/>
    <s v="NUESTRA SEÑORA DE LA CANDELARIA2 Secundaria"/>
  </r>
  <r>
    <n v="6"/>
    <x v="2"/>
    <s v="Secundaria"/>
    <x v="2"/>
    <x v="23"/>
    <s v="Rural"/>
    <s v="Masculino"/>
    <x v="0"/>
    <x v="0"/>
    <s v="2023 Y 2024"/>
    <s v="PADD 2023 Y 2024"/>
    <x v="23"/>
    <s v="NUESTRA SEÑORA DE LA CANDELARIA2 Secundaria"/>
  </r>
  <r>
    <n v="7"/>
    <x v="2"/>
    <s v="Secundaria"/>
    <x v="2"/>
    <x v="23"/>
    <s v="Rural"/>
    <s v="Femenino"/>
    <x v="0"/>
    <x v="0"/>
    <s v="2023 Y 2024"/>
    <s v="PADD 2023 Y 2024"/>
    <x v="23"/>
    <s v="NUESTRA SEÑORA DE LA CANDELARIA2 Secundaria"/>
  </r>
  <r>
    <n v="8"/>
    <x v="2"/>
    <s v="Secundaria"/>
    <x v="2"/>
    <x v="23"/>
    <s v="Rural"/>
    <s v="Femenino"/>
    <x v="0"/>
    <x v="0"/>
    <s v="2023 Y 2024"/>
    <s v="PADD 2023 Y 2024"/>
    <x v="23"/>
    <s v="NUESTRA SEÑORA DE LA CANDELARIA2 Secundaria"/>
  </r>
  <r>
    <n v="9"/>
    <x v="2"/>
    <s v="Secundaria"/>
    <x v="2"/>
    <x v="23"/>
    <s v="Rural"/>
    <s v="Masculino"/>
    <x v="0"/>
    <x v="0"/>
    <s v="2023 Y 2024"/>
    <s v="PADD 2023 Y 2024"/>
    <x v="23"/>
    <s v="NUESTRA SEÑORA DE LA CANDELARIA2 Secundaria"/>
  </r>
  <r>
    <n v="10"/>
    <x v="2"/>
    <s v="Secundaria"/>
    <x v="2"/>
    <x v="23"/>
    <s v="Rural"/>
    <s v="Femenino"/>
    <x v="0"/>
    <x v="0"/>
    <s v="2023 Y 2024"/>
    <s v="PADD 2023 Y 2024"/>
    <x v="23"/>
    <s v="NUESTRA SEÑORA DE LA CANDELARIA2 Secundaria"/>
  </r>
  <r>
    <n v="11"/>
    <x v="2"/>
    <s v="Secundaria"/>
    <x v="2"/>
    <x v="23"/>
    <s v="Rural"/>
    <s v="Masculino"/>
    <x v="0"/>
    <x v="0"/>
    <s v="2023 Y 2024"/>
    <s v="PADD 2023 Y 2024"/>
    <x v="23"/>
    <s v="NUESTRA SEÑORA DE LA CANDELARIA2 Secundaria"/>
  </r>
  <r>
    <n v="12"/>
    <x v="2"/>
    <s v="Secundaria"/>
    <x v="2"/>
    <x v="23"/>
    <s v="Rural"/>
    <s v="Masculino"/>
    <x v="0"/>
    <x v="0"/>
    <s v="2023 Y 2024"/>
    <s v="PADD 2023 Y 2024"/>
    <x v="23"/>
    <s v="NUESTRA SEÑORA DE LA CANDELARIA2 Secundaria"/>
  </r>
  <r>
    <n v="13"/>
    <x v="2"/>
    <s v="Secundaria"/>
    <x v="2"/>
    <x v="23"/>
    <s v="Rural"/>
    <s v="Femenino"/>
    <x v="0"/>
    <x v="0"/>
    <s v="2023 Y 2024"/>
    <s v="PADD 2023 Y 2024"/>
    <x v="23"/>
    <s v="NUESTRA SEÑORA DE LA CANDELARIA2 Secundaria"/>
  </r>
  <r>
    <n v="14"/>
    <x v="2"/>
    <s v="Secundaria"/>
    <x v="2"/>
    <x v="23"/>
    <s v="Rural"/>
    <s v="Masculino"/>
    <x v="1"/>
    <x v="0"/>
    <s v="2023 Y 2024"/>
    <s v="PADD 2023 Y 2024"/>
    <x v="23"/>
    <s v="NUESTRA SEÑORA DE LA CANDELARIA2 Secundaria"/>
  </r>
  <r>
    <n v="15"/>
    <x v="2"/>
    <s v="Secundaria"/>
    <x v="2"/>
    <x v="23"/>
    <s v="Rural"/>
    <s v="Masculino"/>
    <x v="0"/>
    <x v="0"/>
    <s v="2023 Y 2024"/>
    <s v="PADD 2023 Y 2024"/>
    <x v="23"/>
    <s v="NUESTRA SEÑORA DE LA CANDELARIA2 Secundaria"/>
  </r>
  <r>
    <n v="16"/>
    <x v="2"/>
    <s v="Secundaria"/>
    <x v="2"/>
    <x v="23"/>
    <s v="Rural"/>
    <s v="Masculino"/>
    <x v="0"/>
    <x v="0"/>
    <s v="2023 Y 2024"/>
    <s v="PADD 2023 Y 2024"/>
    <x v="23"/>
    <s v="NUESTRA SEÑORA DE LA CANDELARIA2 Secundaria"/>
  </r>
  <r>
    <n v="17"/>
    <x v="2"/>
    <s v="Secundaria"/>
    <x v="2"/>
    <x v="23"/>
    <s v="Rural"/>
    <s v="Femenino"/>
    <x v="0"/>
    <x v="0"/>
    <s v="2023 Y 2024"/>
    <s v="PADD 2023 Y 2024"/>
    <x v="23"/>
    <s v="NUESTRA SEÑORA DE LA CANDELARIA2 Secundaria"/>
  </r>
  <r>
    <n v="18"/>
    <x v="2"/>
    <s v="Secundaria"/>
    <x v="2"/>
    <x v="23"/>
    <s v="Rural"/>
    <s v="Masculino"/>
    <x v="0"/>
    <x v="0"/>
    <s v="2023 Y 2024"/>
    <s v="PADD 2023 Y 2024"/>
    <x v="23"/>
    <s v="NUESTRA SEÑORA DE LA CANDELARIA2 Secundaria"/>
  </r>
  <r>
    <n v="19"/>
    <x v="2"/>
    <s v="Secundaria"/>
    <x v="2"/>
    <x v="23"/>
    <s v="Rural"/>
    <s v="Masculino"/>
    <x v="0"/>
    <x v="0"/>
    <s v="2023 Y 2024"/>
    <s v="PADD 2023 Y 2024"/>
    <x v="23"/>
    <s v="NUESTRA SEÑORA DE LA CANDELARIA2 Secundaria"/>
  </r>
  <r>
    <n v="20"/>
    <x v="2"/>
    <s v="Secundaria"/>
    <x v="2"/>
    <x v="23"/>
    <s v="Rural"/>
    <s v="Femenino"/>
    <x v="0"/>
    <x v="0"/>
    <s v="2023 Y 2024"/>
    <s v="PADD 2023 Y 2024"/>
    <x v="23"/>
    <s v="NUESTRA SEÑORA DE LA CANDELARIA2 Secundaria"/>
  </r>
  <r>
    <n v="21"/>
    <x v="2"/>
    <s v="Secundaria"/>
    <x v="2"/>
    <x v="23"/>
    <s v="Rural"/>
    <s v="Masculino"/>
    <x v="0"/>
    <x v="0"/>
    <s v="2023 Y 2024"/>
    <s v="PADD 2023 Y 2024"/>
    <x v="23"/>
    <s v="NUESTRA SEÑORA DE LA CANDELARIA2 Secundaria"/>
  </r>
  <r>
    <n v="22"/>
    <x v="2"/>
    <s v="Secundaria"/>
    <x v="2"/>
    <x v="23"/>
    <s v="Rural"/>
    <s v="Femenino"/>
    <x v="0"/>
    <x v="0"/>
    <s v="2023 Y 2024"/>
    <s v="PADD 2023 Y 2024"/>
    <x v="23"/>
    <s v="NUESTRA SEÑORA DE LA CANDELARIA2 Secundaria"/>
  </r>
  <r>
    <n v="23"/>
    <x v="2"/>
    <s v="Secundaria"/>
    <x v="2"/>
    <x v="23"/>
    <s v="Rural"/>
    <s v="Femenino"/>
    <x v="1"/>
    <x v="0"/>
    <s v="2023 Y 2024"/>
    <s v="PADD 2023 Y 2024"/>
    <x v="23"/>
    <s v="NUESTRA SEÑORA DE LA CANDELARIA2 Secundaria"/>
  </r>
  <r>
    <n v="24"/>
    <x v="2"/>
    <s v="Secundaria"/>
    <x v="2"/>
    <x v="23"/>
    <s v="Rural"/>
    <s v="Femenino"/>
    <x v="0"/>
    <x v="0"/>
    <s v="2023 Y 2024"/>
    <s v="PADD 2023 Y 2024"/>
    <x v="23"/>
    <s v="NUESTRA SEÑORA DE LA CANDELARIA2 Secundaria"/>
  </r>
  <r>
    <n v="25"/>
    <x v="2"/>
    <s v="Secundaria"/>
    <x v="2"/>
    <x v="23"/>
    <s v="Rural"/>
    <s v="Femenino"/>
    <x v="0"/>
    <x v="0"/>
    <s v="2023 Y 2024"/>
    <s v="PADD 2023 Y 2024"/>
    <x v="23"/>
    <s v="NUESTRA SEÑORA DE LA CANDELARIA2 Secundaria"/>
  </r>
  <r>
    <n v="26"/>
    <x v="2"/>
    <s v="Secundaria"/>
    <x v="2"/>
    <x v="23"/>
    <s v="Rural"/>
    <s v="Femenino"/>
    <x v="0"/>
    <x v="0"/>
    <s v="2023 Y 2024"/>
    <s v="PADD 2023 Y 2024"/>
    <x v="23"/>
    <s v="NUESTRA SEÑORA DE LA CANDELARIA2 Secundaria"/>
  </r>
  <r>
    <n v="27"/>
    <x v="2"/>
    <s v="Secundaria"/>
    <x v="2"/>
    <x v="23"/>
    <s v="Rural"/>
    <s v="Femenino"/>
    <x v="0"/>
    <x v="0"/>
    <s v="2023 Y 2024"/>
    <s v="PADD 2023 Y 2024"/>
    <x v="23"/>
    <s v="NUESTRA SEÑORA DE LA CANDELARIA2 Secundaria"/>
  </r>
  <r>
    <n v="28"/>
    <x v="2"/>
    <s v="Secundaria"/>
    <x v="2"/>
    <x v="23"/>
    <s v="Rural"/>
    <s v="Femenino"/>
    <x v="1"/>
    <x v="0"/>
    <s v="2023 Y 2024"/>
    <s v="PADD 2023 Y 2024"/>
    <x v="23"/>
    <s v="NUESTRA SEÑORA DE LA CANDELARIA2 Secundaria"/>
  </r>
  <r>
    <n v="29"/>
    <x v="2"/>
    <s v="Secundaria"/>
    <x v="2"/>
    <x v="23"/>
    <s v="Rural"/>
    <s v="Femenino"/>
    <x v="1"/>
    <x v="0"/>
    <s v="2023 Y 2024"/>
    <s v="PADD 2023 Y 2024"/>
    <x v="23"/>
    <s v="NUESTRA SEÑORA DE LA CANDELARIA2 Secundaria"/>
  </r>
  <r>
    <n v="30"/>
    <x v="2"/>
    <s v="Secundaria"/>
    <x v="2"/>
    <x v="23"/>
    <s v="Rural"/>
    <s v="Masculino"/>
    <x v="0"/>
    <x v="0"/>
    <s v="2023 Y 2024"/>
    <s v="PADD 2023 Y 2024"/>
    <x v="23"/>
    <s v="NUESTRA SEÑORA DE LA CANDELARIA2 Secundaria"/>
  </r>
  <r>
    <n v="31"/>
    <x v="2"/>
    <s v="Secundaria"/>
    <x v="2"/>
    <x v="23"/>
    <s v="Rural"/>
    <s v="Femenino"/>
    <x v="0"/>
    <x v="0"/>
    <s v="2023 Y 2024"/>
    <s v="PADD 2023 Y 2024"/>
    <x v="23"/>
    <s v="NUESTRA SEÑORA DE LA CANDELARIA2 Secundaria"/>
  </r>
  <r>
    <n v="32"/>
    <x v="2"/>
    <s v="Secundaria"/>
    <x v="2"/>
    <x v="23"/>
    <s v="Rural"/>
    <s v="Femenino"/>
    <x v="0"/>
    <x v="0"/>
    <s v="2023 Y 2024"/>
    <s v="PADD 2023 Y 2024"/>
    <x v="23"/>
    <s v="NUESTRA SEÑORA DE LA CANDELARIA2 Secundaria"/>
  </r>
  <r>
    <n v="33"/>
    <x v="2"/>
    <s v="Secundaria"/>
    <x v="2"/>
    <x v="23"/>
    <s v="Rural"/>
    <s v="Femenino"/>
    <x v="0"/>
    <x v="0"/>
    <s v="2023 Y 2024"/>
    <s v="PADD 2023 Y 2024"/>
    <x v="23"/>
    <s v="NUESTRA SEÑORA DE LA CANDELARIA2 Secundaria"/>
  </r>
  <r>
    <n v="34"/>
    <x v="2"/>
    <s v="Secundaria"/>
    <x v="2"/>
    <x v="23"/>
    <s v="Rural"/>
    <s v="Femenino"/>
    <x v="0"/>
    <x v="0"/>
    <s v="2023 Y 2024"/>
    <s v="PADD 2023 Y 2024"/>
    <x v="23"/>
    <s v="NUESTRA SEÑORA DE LA CANDELARIA2 Secundaria"/>
  </r>
  <r>
    <n v="36"/>
    <x v="2"/>
    <s v="Secundaria"/>
    <x v="2"/>
    <x v="23"/>
    <s v="Rural"/>
    <s v="Femenino"/>
    <x v="1"/>
    <x v="0"/>
    <s v="2023 Y 2024"/>
    <s v="PADD 2023 Y 2024"/>
    <x v="23"/>
    <s v="NUESTRA SEÑORA DE LA CANDELARIA2 Secundaria"/>
  </r>
  <r>
    <n v="37"/>
    <x v="2"/>
    <s v="Secundaria"/>
    <x v="2"/>
    <x v="23"/>
    <s v="Rural"/>
    <s v="Femenino"/>
    <x v="1"/>
    <x v="0"/>
    <s v="2023 Y 2024"/>
    <s v="PADD 2023 Y 2024"/>
    <x v="23"/>
    <s v="NUESTRA SEÑORA DE LA CANDELARIA2 Secundaria"/>
  </r>
  <r>
    <n v="38"/>
    <x v="2"/>
    <s v="Secundaria"/>
    <x v="2"/>
    <x v="23"/>
    <s v="Rural"/>
    <s v="Femenino"/>
    <x v="0"/>
    <x v="0"/>
    <s v="2023 Y 2024"/>
    <s v="PADD 2023 Y 2024"/>
    <x v="23"/>
    <s v="NUESTRA SEÑORA DE LA CANDELARIA2 Secundaria"/>
  </r>
  <r>
    <n v="39"/>
    <x v="2"/>
    <s v="Secundaria"/>
    <x v="2"/>
    <x v="23"/>
    <s v="Rural"/>
    <s v="Femenino"/>
    <x v="1"/>
    <x v="0"/>
    <s v="2023 Y 2024"/>
    <s v="PADD 2023 Y 2024"/>
    <x v="23"/>
    <s v="NUESTRA SEÑORA DE LA CANDELARIA2 Secundaria"/>
  </r>
  <r>
    <n v="40"/>
    <x v="2"/>
    <s v="Secundaria"/>
    <x v="2"/>
    <x v="23"/>
    <s v="Rural"/>
    <s v="Femenino"/>
    <x v="0"/>
    <x v="0"/>
    <s v="2023 Y 2024"/>
    <s v="PADD 2023 Y 2024"/>
    <x v="23"/>
    <s v="NUESTRA SEÑORA DE LA CANDELARIA2 Secundaria"/>
  </r>
  <r>
    <n v="41"/>
    <x v="2"/>
    <s v="Secundaria"/>
    <x v="2"/>
    <x v="23"/>
    <s v="Rural"/>
    <s v="Femenino"/>
    <x v="1"/>
    <x v="0"/>
    <s v="2023 Y 2024"/>
    <s v="PADD 2023 Y 2024"/>
    <x v="23"/>
    <s v="NUESTRA SEÑORA DE LA CANDELARIA2 Secundaria"/>
  </r>
  <r>
    <n v="42"/>
    <x v="2"/>
    <s v="Secundaria"/>
    <x v="2"/>
    <x v="23"/>
    <s v="Rural"/>
    <s v="Femenino"/>
    <x v="0"/>
    <x v="0"/>
    <s v="2023 Y 2024"/>
    <s v="PADD 2023 Y 2024"/>
    <x v="23"/>
    <s v="NUESTRA SEÑORA DE LA CANDELARIA2 Secundaria"/>
  </r>
  <r>
    <n v="43"/>
    <x v="2"/>
    <s v="Secundaria"/>
    <x v="2"/>
    <x v="23"/>
    <s v="Rural"/>
    <s v="Femenino"/>
    <x v="0"/>
    <x v="0"/>
    <s v="2023 Y 2024"/>
    <s v="PADD 2023 Y 2024"/>
    <x v="23"/>
    <s v="NUESTRA SEÑORA DE LA CANDELARIA2 Secundaria"/>
  </r>
  <r>
    <n v="1"/>
    <x v="2"/>
    <s v="Secundaria"/>
    <x v="3"/>
    <x v="23"/>
    <s v="Rural"/>
    <s v="Femenino"/>
    <x v="0"/>
    <x v="0"/>
    <s v="2023 Y 2024"/>
    <s v="PADD 2023 Y 2024"/>
    <x v="23"/>
    <s v="NUESTRA SEÑORA DE LA CANDELARIA4 Secundaria"/>
  </r>
  <r>
    <n v="2"/>
    <x v="2"/>
    <s v="Secundaria"/>
    <x v="3"/>
    <x v="23"/>
    <s v="Rural"/>
    <s v="Femenino"/>
    <x v="1"/>
    <x v="0"/>
    <s v="2023 Y 2024"/>
    <s v="PADD 2023 Y 2024"/>
    <x v="23"/>
    <s v="NUESTRA SEÑORA DE LA CANDELARIA4 Secundaria"/>
  </r>
  <r>
    <n v="3"/>
    <x v="2"/>
    <s v="Secundaria"/>
    <x v="3"/>
    <x v="23"/>
    <s v="Rural"/>
    <s v="Masculino"/>
    <x v="0"/>
    <x v="0"/>
    <s v="2023 Y 2024"/>
    <s v="PADD 2023 Y 2024"/>
    <x v="23"/>
    <s v="NUESTRA SEÑORA DE LA CANDELARIA4 Secundaria"/>
  </r>
  <r>
    <n v="4"/>
    <x v="2"/>
    <s v="Secundaria"/>
    <x v="3"/>
    <x v="23"/>
    <s v="Rural"/>
    <s v="Masculino"/>
    <x v="0"/>
    <x v="0"/>
    <s v="2023 Y 2024"/>
    <s v="PADD 2023 Y 2024"/>
    <x v="23"/>
    <s v="NUESTRA SEÑORA DE LA CANDELARIA4 Secundaria"/>
  </r>
  <r>
    <n v="5"/>
    <x v="2"/>
    <s v="Secundaria"/>
    <x v="3"/>
    <x v="23"/>
    <s v="Rural"/>
    <s v="Masculino"/>
    <x v="0"/>
    <x v="0"/>
    <s v="2023 Y 2024"/>
    <s v="PADD 2023 Y 2024"/>
    <x v="23"/>
    <s v="NUESTRA SEÑORA DE LA CANDELARIA4 Secundaria"/>
  </r>
  <r>
    <n v="6"/>
    <x v="2"/>
    <s v="Secundaria"/>
    <x v="3"/>
    <x v="23"/>
    <s v="Rural"/>
    <s v="Masculino"/>
    <x v="0"/>
    <x v="0"/>
    <s v="2023 Y 2024"/>
    <s v="PADD 2023 Y 2024"/>
    <x v="23"/>
    <s v="NUESTRA SEÑORA DE LA CANDELARIA4 Secundaria"/>
  </r>
  <r>
    <n v="7"/>
    <x v="2"/>
    <s v="Secundaria"/>
    <x v="3"/>
    <x v="23"/>
    <s v="Rural"/>
    <s v="Masculino"/>
    <x v="0"/>
    <x v="0"/>
    <s v="2023 Y 2024"/>
    <s v="PADD 2023 Y 2024"/>
    <x v="23"/>
    <s v="NUESTRA SEÑORA DE LA CANDELARIA4 Secundaria"/>
  </r>
  <r>
    <n v="8"/>
    <x v="2"/>
    <s v="Secundaria"/>
    <x v="3"/>
    <x v="23"/>
    <s v="Rural"/>
    <s v="Femenino"/>
    <x v="0"/>
    <x v="0"/>
    <s v="2023 Y 2024"/>
    <s v="PADD 2023 Y 2024"/>
    <x v="23"/>
    <s v="NUESTRA SEÑORA DE LA CANDELARIA4 Secundaria"/>
  </r>
  <r>
    <n v="9"/>
    <x v="2"/>
    <s v="Secundaria"/>
    <x v="3"/>
    <x v="23"/>
    <s v="Rural"/>
    <s v="Femenino"/>
    <x v="0"/>
    <x v="0"/>
    <s v="2023 Y 2024"/>
    <s v="PADD 2023 Y 2024"/>
    <x v="23"/>
    <s v="NUESTRA SEÑORA DE LA CANDELARIA4 Secundaria"/>
  </r>
  <r>
    <n v="10"/>
    <x v="2"/>
    <s v="Secundaria"/>
    <x v="3"/>
    <x v="23"/>
    <s v="Rural"/>
    <s v="Masculino"/>
    <x v="0"/>
    <x v="0"/>
    <s v="2023 Y 2024"/>
    <s v="PADD 2023 Y 2024"/>
    <x v="23"/>
    <s v="NUESTRA SEÑORA DE LA CANDELARIA4 Secundaria"/>
  </r>
  <r>
    <n v="13"/>
    <x v="2"/>
    <s v="Secundaria"/>
    <x v="3"/>
    <x v="23"/>
    <s v="Rural"/>
    <s v="Femenino"/>
    <x v="0"/>
    <x v="0"/>
    <s v="2023 Y 2024"/>
    <s v="PADD 2023 Y 2024"/>
    <x v="23"/>
    <s v="NUESTRA SEÑORA DE LA CANDELARIA4 Secundaria"/>
  </r>
  <r>
    <n v="14"/>
    <x v="2"/>
    <s v="Secundaria"/>
    <x v="3"/>
    <x v="23"/>
    <s v="Rural"/>
    <s v="Femenino"/>
    <x v="0"/>
    <x v="0"/>
    <s v="2023 Y 2024"/>
    <s v="PADD 2023 Y 2024"/>
    <x v="23"/>
    <s v="NUESTRA SEÑORA DE LA CANDELARIA4 Secundaria"/>
  </r>
  <r>
    <n v="17"/>
    <x v="2"/>
    <s v="Secundaria"/>
    <x v="3"/>
    <x v="23"/>
    <s v="Rural"/>
    <s v="Femenino"/>
    <x v="0"/>
    <x v="0"/>
    <s v="2023 Y 2024"/>
    <s v="PADD 2023 Y 2024"/>
    <x v="23"/>
    <s v="NUESTRA SEÑORA DE LA CANDELARIA4 Secundaria"/>
  </r>
  <r>
    <n v="18"/>
    <x v="2"/>
    <s v="Secundaria"/>
    <x v="3"/>
    <x v="23"/>
    <s v="Rural"/>
    <s v="Masculino"/>
    <x v="0"/>
    <x v="0"/>
    <s v="2023 Y 2024"/>
    <s v="PADD 2023 Y 2024"/>
    <x v="23"/>
    <s v="NUESTRA SEÑORA DE LA CANDELARIA4 Secundaria"/>
  </r>
  <r>
    <n v="20"/>
    <x v="2"/>
    <s v="Secundaria"/>
    <x v="3"/>
    <x v="23"/>
    <s v="Rural"/>
    <s v="Femenino"/>
    <x v="0"/>
    <x v="0"/>
    <s v="2023 Y 2024"/>
    <s v="PADD 2023 Y 2024"/>
    <x v="23"/>
    <s v="NUESTRA SEÑORA DE LA CANDELARIA4 Secundaria"/>
  </r>
  <r>
    <n v="21"/>
    <x v="2"/>
    <s v="Secundaria"/>
    <x v="3"/>
    <x v="23"/>
    <s v="Rural"/>
    <s v="Masculino"/>
    <x v="0"/>
    <x v="0"/>
    <s v="2023 Y 2024"/>
    <s v="PADD 2023 Y 2024"/>
    <x v="23"/>
    <s v="NUESTRA SEÑORA DE LA CANDELARIA4 Secundaria"/>
  </r>
  <r>
    <n v="23"/>
    <x v="2"/>
    <s v="Secundaria"/>
    <x v="3"/>
    <x v="23"/>
    <s v="Rural"/>
    <s v="Masculino"/>
    <x v="0"/>
    <x v="0"/>
    <s v="2023 Y 2024"/>
    <s v="PADD 2023 Y 2024"/>
    <x v="23"/>
    <s v="NUESTRA SEÑORA DE LA CANDELARIA4 Secundaria"/>
  </r>
  <r>
    <n v="24"/>
    <x v="2"/>
    <s v="Secundaria"/>
    <x v="3"/>
    <x v="23"/>
    <s v="Rural"/>
    <s v="Femenino"/>
    <x v="1"/>
    <x v="0"/>
    <s v="2023 Y 2024"/>
    <s v="PADD 2023 Y 2024"/>
    <x v="23"/>
    <s v="NUESTRA SEÑORA DE LA CANDELARIA4 Secundaria"/>
  </r>
  <r>
    <n v="26"/>
    <x v="2"/>
    <s v="Secundaria"/>
    <x v="3"/>
    <x v="23"/>
    <s v="Rural"/>
    <s v="Masculino"/>
    <x v="1"/>
    <x v="0"/>
    <s v="2023 Y 2024"/>
    <s v="PADD 2023 Y 2024"/>
    <x v="23"/>
    <s v="NUESTRA SEÑORA DE LA CANDELARIA4 Secundaria"/>
  </r>
  <r>
    <n v="27"/>
    <x v="2"/>
    <s v="Secundaria"/>
    <x v="3"/>
    <x v="23"/>
    <s v="Rural"/>
    <s v="Femenino"/>
    <x v="0"/>
    <x v="0"/>
    <s v="2023 Y 2024"/>
    <s v="PADD 2023 Y 2024"/>
    <x v="23"/>
    <s v="NUESTRA SEÑORA DE LA CANDELARIA4 Secundaria"/>
  </r>
  <r>
    <n v="28"/>
    <x v="2"/>
    <s v="Secundaria"/>
    <x v="3"/>
    <x v="23"/>
    <s v="Rural"/>
    <s v="Masculino"/>
    <x v="0"/>
    <x v="0"/>
    <s v="2023 Y 2024"/>
    <s v="PADD 2023 Y 2024"/>
    <x v="23"/>
    <s v="NUESTRA SEÑORA DE LA CANDELARIA4 Secundaria"/>
  </r>
  <r>
    <n v="32"/>
    <x v="2"/>
    <s v="Secundaria"/>
    <x v="3"/>
    <x v="23"/>
    <s v="Rural"/>
    <s v="Masculino"/>
    <x v="0"/>
    <x v="0"/>
    <s v="2023 Y 2024"/>
    <s v="PADD 2023 Y 2024"/>
    <x v="23"/>
    <s v="NUESTRA SEÑORA DE LA CANDELARIA4 Secundaria"/>
  </r>
  <r>
    <n v="33"/>
    <x v="2"/>
    <s v="Secundaria"/>
    <x v="3"/>
    <x v="23"/>
    <s v="Rural"/>
    <s v="Femenino"/>
    <x v="1"/>
    <x v="0"/>
    <s v="2023 Y 2024"/>
    <s v="PADD 2023 Y 2024"/>
    <x v="23"/>
    <s v="NUESTRA SEÑORA DE LA CANDELARIA4 Secundaria"/>
  </r>
  <r>
    <n v="34"/>
    <x v="2"/>
    <s v="Secundaria"/>
    <x v="3"/>
    <x v="23"/>
    <s v="Rural"/>
    <s v="Masculino"/>
    <x v="0"/>
    <x v="0"/>
    <s v="2023 Y 2024"/>
    <s v="PADD 2023 Y 2024"/>
    <x v="23"/>
    <s v="NUESTRA SEÑORA DE LA CANDELARIA4 Secundaria"/>
  </r>
  <r>
    <n v="37"/>
    <x v="2"/>
    <s v="Secundaria"/>
    <x v="3"/>
    <x v="23"/>
    <s v="Rural"/>
    <s v="Masculino"/>
    <x v="0"/>
    <x v="0"/>
    <s v="2023 Y 2024"/>
    <s v="PADD 2023 Y 2024"/>
    <x v="23"/>
    <s v="NUESTRA SEÑORA DE LA CANDELARIA4 Secundaria"/>
  </r>
  <r>
    <n v="38"/>
    <x v="2"/>
    <s v="Secundaria"/>
    <x v="3"/>
    <x v="23"/>
    <s v="Rural"/>
    <s v="Masculino"/>
    <x v="0"/>
    <x v="0"/>
    <s v="2023 Y 2024"/>
    <s v="PADD 2023 Y 2024"/>
    <x v="23"/>
    <s v="NUESTRA SEÑORA DE LA CANDELARIA4 Secundaria"/>
  </r>
  <r>
    <n v="39"/>
    <x v="2"/>
    <s v="Secundaria"/>
    <x v="3"/>
    <x v="23"/>
    <s v="Rural"/>
    <s v="Femenino"/>
    <x v="1"/>
    <x v="0"/>
    <s v="2023 Y 2024"/>
    <s v="PADD 2023 Y 2024"/>
    <x v="23"/>
    <s v="NUESTRA SEÑORA DE LA CANDELARIA4 Secundaria"/>
  </r>
  <r>
    <n v="40"/>
    <x v="2"/>
    <s v="Secundaria"/>
    <x v="3"/>
    <x v="23"/>
    <s v="Rural"/>
    <s v="Masculino"/>
    <x v="0"/>
    <x v="0"/>
    <s v="2023 Y 2024"/>
    <s v="PADD 2023 Y 2024"/>
    <x v="23"/>
    <s v="NUESTRA SEÑORA DE LA CANDELARIA4 Secundaria"/>
  </r>
  <r>
    <n v="41"/>
    <x v="2"/>
    <s v="Secundaria"/>
    <x v="3"/>
    <x v="23"/>
    <s v="Rural"/>
    <s v="Masculino"/>
    <x v="0"/>
    <x v="0"/>
    <s v="2023 Y 2024"/>
    <s v="PADD 2023 Y 2024"/>
    <x v="23"/>
    <s v="NUESTRA SEÑORA DE LA CANDELARIA4 Secundaria"/>
  </r>
  <r>
    <n v="42"/>
    <x v="2"/>
    <s v="Secundaria"/>
    <x v="3"/>
    <x v="23"/>
    <s v="Rural"/>
    <s v="Masculino"/>
    <x v="0"/>
    <x v="0"/>
    <s v="2023 Y 2024"/>
    <s v="PADD 2023 Y 2024"/>
    <x v="23"/>
    <s v="NUESTRA SEÑORA DE LA CANDELARIA4 Secundaria"/>
  </r>
  <r>
    <n v="43"/>
    <x v="2"/>
    <s v="Secundaria"/>
    <x v="3"/>
    <x v="23"/>
    <s v="Rural"/>
    <s v="Masculino"/>
    <x v="0"/>
    <x v="0"/>
    <s v="2023 Y 2024"/>
    <s v="PADD 2023 Y 2024"/>
    <x v="23"/>
    <s v="NUESTRA SEÑORA DE LA CANDELARIA4 Secundaria"/>
  </r>
  <r>
    <n v="45"/>
    <x v="2"/>
    <s v="Secundaria"/>
    <x v="3"/>
    <x v="23"/>
    <s v="Rural"/>
    <s v="Femenino"/>
    <x v="1"/>
    <x v="0"/>
    <s v="2023 Y 2024"/>
    <s v="PADD 2023 Y 2024"/>
    <x v="23"/>
    <s v="NUESTRA SEÑORA DE LA CANDELARIA4 Secundaria"/>
  </r>
  <r>
    <n v="46"/>
    <x v="2"/>
    <s v="Secundaria"/>
    <x v="3"/>
    <x v="23"/>
    <s v="Rural"/>
    <s v="Masculino"/>
    <x v="0"/>
    <x v="0"/>
    <s v="2023 Y 2024"/>
    <s v="PADD 2023 Y 2024"/>
    <x v="23"/>
    <s v="NUESTRA SEÑORA DE LA CANDELARIA4 Secundaria"/>
  </r>
  <r>
    <n v="47"/>
    <x v="2"/>
    <s v="Secundaria"/>
    <x v="3"/>
    <x v="23"/>
    <s v="Rural"/>
    <s v="Femenino"/>
    <x v="0"/>
    <x v="0"/>
    <s v="2023 Y 2024"/>
    <s v="PADD 2023 Y 2024"/>
    <x v="23"/>
    <s v="NUESTRA SEÑORA DE LA CANDELARIA4 Secundaria"/>
  </r>
  <r>
    <n v="49"/>
    <x v="2"/>
    <s v="Secundaria"/>
    <x v="3"/>
    <x v="23"/>
    <s v="Rural"/>
    <s v="Femenino"/>
    <x v="0"/>
    <x v="0"/>
    <s v="2023 Y 2024"/>
    <s v="PADD 2023 Y 2024"/>
    <x v="23"/>
    <s v="NUESTRA SEÑORA DE LA CANDELARIA4 Secundaria"/>
  </r>
  <r>
    <n v="50"/>
    <x v="2"/>
    <s v="Secundaria"/>
    <x v="3"/>
    <x v="23"/>
    <s v="Rural"/>
    <s v="Masculino"/>
    <x v="0"/>
    <x v="0"/>
    <s v="2023 Y 2024"/>
    <s v="PADD 2023 Y 2024"/>
    <x v="23"/>
    <s v="NUESTRA SEÑORA DE LA CANDELARIA4 Secundaria"/>
  </r>
  <r>
    <n v="51"/>
    <x v="2"/>
    <s v="Secundaria"/>
    <x v="3"/>
    <x v="23"/>
    <s v="Rural"/>
    <s v="Femenino"/>
    <x v="0"/>
    <x v="0"/>
    <s v="2023 Y 2024"/>
    <s v="PADD 2023 Y 2024"/>
    <x v="23"/>
    <s v="NUESTRA SEÑORA DE LA CANDELARIA4 Secundaria"/>
  </r>
  <r>
    <n v="52"/>
    <x v="2"/>
    <s v="Secundaria"/>
    <x v="3"/>
    <x v="23"/>
    <s v="Rural"/>
    <s v="Masculino"/>
    <x v="1"/>
    <x v="0"/>
    <s v="2023 Y 2024"/>
    <s v="PADD 2023 Y 2024"/>
    <x v="23"/>
    <s v="NUESTRA SEÑORA DE LA CANDELARIA4 Secundaria"/>
  </r>
  <r>
    <n v="54"/>
    <x v="2"/>
    <s v="Secundaria"/>
    <x v="3"/>
    <x v="23"/>
    <s v="Rural"/>
    <s v="Femenino"/>
    <x v="0"/>
    <x v="0"/>
    <s v="2023 Y 2024"/>
    <s v="PADD 2023 Y 2024"/>
    <x v="23"/>
    <s v="NUESTRA SEÑORA DE LA CANDELARIA4 Secundaria"/>
  </r>
  <r>
    <n v="57"/>
    <x v="2"/>
    <s v="Secundaria"/>
    <x v="3"/>
    <x v="23"/>
    <s v="Rural"/>
    <s v="Femenino"/>
    <x v="0"/>
    <x v="0"/>
    <s v="2023 Y 2024"/>
    <s v="PADD 2023 Y 2024"/>
    <x v="23"/>
    <s v="NUESTRA SEÑORA DE LA CANDELARIA4 Secundaria"/>
  </r>
  <r>
    <n v="58"/>
    <x v="2"/>
    <s v="Secundaria"/>
    <x v="3"/>
    <x v="23"/>
    <s v="Rural"/>
    <s v="Femenino"/>
    <x v="1"/>
    <x v="0"/>
    <s v="2023 Y 2024"/>
    <s v="PADD 2023 Y 2024"/>
    <x v="23"/>
    <s v="NUESTRA SEÑORA DE LA CANDELARIA4 Secundaria"/>
  </r>
  <r>
    <n v="61"/>
    <x v="2"/>
    <s v="Secundaria"/>
    <x v="3"/>
    <x v="23"/>
    <s v="Rural"/>
    <s v="Femenino"/>
    <x v="0"/>
    <x v="0"/>
    <s v="2023 Y 2024"/>
    <s v="PADD 2023 Y 2024"/>
    <x v="23"/>
    <s v="NUESTRA SEÑORA DE LA CANDELARIA4 Secundaria"/>
  </r>
  <r>
    <n v="62"/>
    <x v="2"/>
    <s v="Secundaria"/>
    <x v="3"/>
    <x v="23"/>
    <s v="Rural"/>
    <s v="Femenino"/>
    <x v="0"/>
    <x v="0"/>
    <s v="2023 Y 2024"/>
    <s v="PADD 2023 Y 2024"/>
    <x v="23"/>
    <s v="NUESTRA SEÑORA DE LA CANDELARIA4 Secundaria"/>
  </r>
  <r>
    <n v="63"/>
    <x v="2"/>
    <s v="Secundaria"/>
    <x v="3"/>
    <x v="23"/>
    <s v="Rural"/>
    <s v="Femenino"/>
    <x v="0"/>
    <x v="0"/>
    <s v="2023 Y 2024"/>
    <s v="PADD 2023 Y 2024"/>
    <x v="23"/>
    <s v="NUESTRA SEÑORA DE LA CANDELARIA4 Secundaria"/>
  </r>
  <r>
    <n v="64"/>
    <x v="2"/>
    <s v="Secundaria"/>
    <x v="3"/>
    <x v="23"/>
    <s v="Rural"/>
    <s v="Femenino"/>
    <x v="0"/>
    <x v="0"/>
    <s v="2023 Y 2024"/>
    <s v="PADD 2023 Y 2024"/>
    <x v="23"/>
    <s v="NUESTRA SEÑORA DE LA CANDELARIA4 Secundaria"/>
  </r>
  <r>
    <n v="65"/>
    <x v="2"/>
    <s v="Secundaria"/>
    <x v="3"/>
    <x v="23"/>
    <s v="Rural"/>
    <s v="Femenino"/>
    <x v="0"/>
    <x v="0"/>
    <s v="2023 Y 2024"/>
    <s v="PADD 2023 Y 2024"/>
    <x v="23"/>
    <s v="NUESTRA SEÑORA DE LA CANDELARIA4 Secundaria"/>
  </r>
  <r>
    <n v="1"/>
    <x v="2"/>
    <s v="Primaria"/>
    <x v="4"/>
    <x v="24"/>
    <s v="Rural"/>
    <s v="Masculino"/>
    <x v="0"/>
    <x v="0"/>
    <s v="SOLO 2024"/>
    <s v="SOLO 2024"/>
    <x v="24"/>
    <s v="36789 NUESTRA SEÑORA DEL CARMEN2 Primaria"/>
  </r>
  <r>
    <n v="2"/>
    <x v="2"/>
    <s v="Primaria"/>
    <x v="4"/>
    <x v="24"/>
    <s v="Rural"/>
    <s v="Femenino"/>
    <x v="0"/>
    <x v="0"/>
    <s v="SOLO 2024"/>
    <s v="SOLO 2024"/>
    <x v="24"/>
    <s v="36789 NUESTRA SEÑORA DEL CARMEN2 Primaria"/>
  </r>
  <r>
    <n v="3"/>
    <x v="2"/>
    <s v="Primaria"/>
    <x v="0"/>
    <x v="24"/>
    <s v="Rural"/>
    <s v="Femenino"/>
    <x v="0"/>
    <x v="0"/>
    <s v="SOLO 2024"/>
    <s v="SOLO 2024"/>
    <x v="24"/>
    <s v="36789 NUESTRA SEÑORA DEL CARMEN4 Primaria"/>
  </r>
  <r>
    <n v="4"/>
    <x v="2"/>
    <s v="Primaria"/>
    <x v="1"/>
    <x v="24"/>
    <s v="Rural"/>
    <s v="Masculino"/>
    <x v="0"/>
    <x v="0"/>
    <s v="SOLO 2024"/>
    <s v="SOLO 2024"/>
    <x v="24"/>
    <s v="36789 NUESTRA SEÑORA DEL CARMEN6 Primaria"/>
  </r>
  <r>
    <n v="5"/>
    <x v="2"/>
    <s v="Primaria"/>
    <x v="1"/>
    <x v="24"/>
    <s v="Rural"/>
    <s v="Masculino"/>
    <x v="0"/>
    <x v="0"/>
    <s v="SOLO 2024"/>
    <s v="SOLO 2024"/>
    <x v="24"/>
    <s v="36789 NUESTRA SEÑORA DEL CARMEN6 Primaria"/>
  </r>
  <r>
    <n v="6"/>
    <x v="2"/>
    <s v="Primaria"/>
    <x v="1"/>
    <x v="24"/>
    <s v="Rural"/>
    <s v="Masculino"/>
    <x v="0"/>
    <x v="0"/>
    <s v="SOLO 2024"/>
    <s v="SOLO 2024"/>
    <x v="24"/>
    <s v="36789 NUESTRA SEÑORA DEL CARMEN6 Primaria"/>
  </r>
  <r>
    <n v="7"/>
    <x v="2"/>
    <s v="Primaria"/>
    <x v="1"/>
    <x v="24"/>
    <s v="Rural"/>
    <s v="Masculino"/>
    <x v="0"/>
    <x v="0"/>
    <s v="SOLO 2024"/>
    <s v="SOLO 2024"/>
    <x v="24"/>
    <s v="36789 NUESTRA SEÑORA DEL CARMEN6 Primaria"/>
  </r>
  <r>
    <n v="9"/>
    <x v="2"/>
    <s v="Primaria"/>
    <x v="4"/>
    <x v="25"/>
    <s v="Rural"/>
    <s v="Femenino"/>
    <x v="1"/>
    <x v="0"/>
    <s v="SOLO 2022 Y 2024"/>
    <s v="PADD 2023 Y 2024"/>
    <x v="25"/>
    <s v="362072 Primaria"/>
  </r>
  <r>
    <n v="10"/>
    <x v="2"/>
    <s v="Primaria"/>
    <x v="4"/>
    <x v="25"/>
    <s v="Rural"/>
    <s v="Masculino"/>
    <x v="0"/>
    <x v="0"/>
    <s v="SOLO 2022 Y 2024"/>
    <s v="PADD 2023 Y 2024"/>
    <x v="25"/>
    <s v="362072 Primaria"/>
  </r>
  <r>
    <n v="11"/>
    <x v="2"/>
    <s v="Primaria"/>
    <x v="4"/>
    <x v="25"/>
    <s v="Rural"/>
    <s v="Femenino"/>
    <x v="1"/>
    <x v="0"/>
    <s v="SOLO 2022 Y 2024"/>
    <s v="PADD 2023 Y 2024"/>
    <x v="25"/>
    <s v="362072 Primaria"/>
  </r>
  <r>
    <n v="12"/>
    <x v="2"/>
    <s v="Primaria"/>
    <x v="4"/>
    <x v="25"/>
    <s v="Rural"/>
    <s v="Masculino"/>
    <x v="1"/>
    <x v="0"/>
    <s v="SOLO 2022 Y 2024"/>
    <s v="PADD 2023 Y 2024"/>
    <x v="25"/>
    <s v="362072 Primaria"/>
  </r>
  <r>
    <n v="13"/>
    <x v="2"/>
    <s v="Primaria"/>
    <x v="4"/>
    <x v="25"/>
    <s v="Rural"/>
    <s v="Femenino"/>
    <x v="1"/>
    <x v="0"/>
    <s v="SOLO 2022 Y 2024"/>
    <s v="PADD 2023 Y 2024"/>
    <x v="25"/>
    <s v="362072 Primaria"/>
  </r>
  <r>
    <n v="14"/>
    <x v="2"/>
    <s v="Primaria"/>
    <x v="4"/>
    <x v="25"/>
    <s v="Rural"/>
    <s v="Masculino"/>
    <x v="0"/>
    <x v="0"/>
    <s v="SOLO 2022 Y 2024"/>
    <s v="PADD 2023 Y 2024"/>
    <x v="25"/>
    <s v="362072 Primaria"/>
  </r>
  <r>
    <n v="15"/>
    <x v="2"/>
    <s v="Primaria"/>
    <x v="4"/>
    <x v="25"/>
    <s v="Rural"/>
    <s v="Masculino"/>
    <x v="0"/>
    <x v="0"/>
    <s v="SOLO 2022 Y 2024"/>
    <s v="PADD 2023 Y 2024"/>
    <x v="25"/>
    <s v="362072 Primaria"/>
  </r>
  <r>
    <n v="16"/>
    <x v="2"/>
    <s v="Primaria"/>
    <x v="4"/>
    <x v="25"/>
    <s v="Rural"/>
    <s v="Masculino"/>
    <x v="0"/>
    <x v="0"/>
    <s v="SOLO 2022 Y 2024"/>
    <s v="PADD 2023 Y 2024"/>
    <x v="25"/>
    <s v="362072 Primaria"/>
  </r>
  <r>
    <n v="17"/>
    <x v="2"/>
    <s v="Primaria"/>
    <x v="0"/>
    <x v="25"/>
    <s v="Rural"/>
    <s v="Femenino"/>
    <x v="1"/>
    <x v="0"/>
    <s v="SOLO 2022 Y 2024"/>
    <s v="PADD 2023 Y 2024"/>
    <x v="25"/>
    <s v="362074 Primaria"/>
  </r>
  <r>
    <n v="18"/>
    <x v="2"/>
    <s v="Primaria"/>
    <x v="0"/>
    <x v="25"/>
    <s v="Rural"/>
    <s v="Masculino"/>
    <x v="2"/>
    <x v="0"/>
    <s v="SOLO 2022 Y 2024"/>
    <s v="PADD 2023 Y 2024"/>
    <x v="25"/>
    <s v="362074 Primaria"/>
  </r>
  <r>
    <n v="19"/>
    <x v="2"/>
    <s v="Primaria"/>
    <x v="0"/>
    <x v="25"/>
    <s v="Rural"/>
    <s v="Femenino"/>
    <x v="1"/>
    <x v="0"/>
    <s v="SOLO 2022 Y 2024"/>
    <s v="PADD 2023 Y 2024"/>
    <x v="25"/>
    <s v="362074 Primaria"/>
  </r>
  <r>
    <n v="20"/>
    <x v="2"/>
    <s v="Primaria"/>
    <x v="0"/>
    <x v="25"/>
    <s v="Rural"/>
    <s v="Femenino"/>
    <x v="1"/>
    <x v="0"/>
    <s v="SOLO 2022 Y 2024"/>
    <s v="PADD 2023 Y 2024"/>
    <x v="25"/>
    <s v="362074 Primaria"/>
  </r>
  <r>
    <n v="21"/>
    <x v="2"/>
    <s v="Primaria"/>
    <x v="1"/>
    <x v="25"/>
    <s v="Rural"/>
    <s v="Femenino"/>
    <x v="1"/>
    <x v="0"/>
    <s v="SOLO 2022 Y 2024"/>
    <s v="PADD 2023 Y 2024"/>
    <x v="25"/>
    <s v="362076 Primaria"/>
  </r>
  <r>
    <n v="22"/>
    <x v="2"/>
    <s v="Primaria"/>
    <x v="1"/>
    <x v="25"/>
    <s v="Rural"/>
    <s v="Femenino"/>
    <x v="2"/>
    <x v="0"/>
    <s v="SOLO 2022 Y 2024"/>
    <s v="PADD 2023 Y 2024"/>
    <x v="25"/>
    <s v="362076 Primaria"/>
  </r>
  <r>
    <n v="23"/>
    <x v="2"/>
    <s v="Primaria"/>
    <x v="1"/>
    <x v="25"/>
    <s v="Rural"/>
    <s v="Masculino"/>
    <x v="2"/>
    <x v="0"/>
    <s v="SOLO 2022 Y 2024"/>
    <s v="PADD 2023 Y 2024"/>
    <x v="25"/>
    <s v="362076 Primaria"/>
  </r>
  <r>
    <n v="24"/>
    <x v="2"/>
    <s v="Primaria"/>
    <x v="1"/>
    <x v="25"/>
    <s v="Rural"/>
    <s v="Femenino"/>
    <x v="2"/>
    <x v="0"/>
    <s v="SOLO 2022 Y 2024"/>
    <s v="PADD 2023 Y 2024"/>
    <x v="25"/>
    <s v="362076 Primaria"/>
  </r>
  <r>
    <n v="1"/>
    <x v="2"/>
    <s v="Secundaria"/>
    <x v="2"/>
    <x v="26"/>
    <s v="Rural"/>
    <s v="Masculino"/>
    <x v="1"/>
    <x v="0"/>
    <s v="SOLO 2024"/>
    <s v="PADD 2023 Y 2024"/>
    <x v="26"/>
    <s v="CORAS2 Secundaria"/>
  </r>
  <r>
    <n v="2"/>
    <x v="2"/>
    <s v="Secundaria"/>
    <x v="2"/>
    <x v="26"/>
    <s v="Rural"/>
    <s v="Femenino"/>
    <x v="0"/>
    <x v="0"/>
    <s v="SOLO 2024"/>
    <s v="PADD 2023 Y 2024"/>
    <x v="26"/>
    <s v="CORAS2 Secundaria"/>
  </r>
  <r>
    <n v="3"/>
    <x v="2"/>
    <s v="Secundaria"/>
    <x v="2"/>
    <x v="26"/>
    <s v="Rural"/>
    <s v="Femenino"/>
    <x v="0"/>
    <x v="0"/>
    <s v="SOLO 2024"/>
    <s v="PADD 2023 Y 2024"/>
    <x v="26"/>
    <s v="CORAS2 Secundaria"/>
  </r>
  <r>
    <n v="4"/>
    <x v="2"/>
    <s v="Secundaria"/>
    <x v="2"/>
    <x v="26"/>
    <s v="Rural"/>
    <s v="Masculino"/>
    <x v="0"/>
    <x v="0"/>
    <s v="SOLO 2024"/>
    <s v="PADD 2023 Y 2024"/>
    <x v="26"/>
    <s v="CORAS2 Secundaria"/>
  </r>
  <r>
    <n v="5"/>
    <x v="2"/>
    <s v="Secundaria"/>
    <x v="2"/>
    <x v="26"/>
    <s v="Rural"/>
    <s v="Femenino"/>
    <x v="0"/>
    <x v="0"/>
    <s v="SOLO 2024"/>
    <s v="PADD 2023 Y 2024"/>
    <x v="26"/>
    <s v="CORAS2 Secundaria"/>
  </r>
  <r>
    <n v="6"/>
    <x v="2"/>
    <s v="Secundaria"/>
    <x v="2"/>
    <x v="26"/>
    <s v="Rural"/>
    <s v="Masculino"/>
    <x v="0"/>
    <x v="0"/>
    <s v="SOLO 2024"/>
    <s v="PADD 2023 Y 2024"/>
    <x v="26"/>
    <s v="CORAS2 Secundaria"/>
  </r>
  <r>
    <n v="7"/>
    <x v="2"/>
    <s v="Secundaria"/>
    <x v="2"/>
    <x v="26"/>
    <s v="Rural"/>
    <s v="Femenino"/>
    <x v="0"/>
    <x v="0"/>
    <s v="SOLO 2024"/>
    <s v="PADD 2023 Y 2024"/>
    <x v="26"/>
    <s v="CORAS2 Secundaria"/>
  </r>
  <r>
    <n v="8"/>
    <x v="2"/>
    <s v="Secundaria"/>
    <x v="2"/>
    <x v="26"/>
    <s v="Rural"/>
    <s v="Masculino"/>
    <x v="0"/>
    <x v="0"/>
    <s v="SOLO 2024"/>
    <s v="PADD 2023 Y 2024"/>
    <x v="26"/>
    <s v="CORAS2 Secundaria"/>
  </r>
  <r>
    <n v="9"/>
    <x v="2"/>
    <s v="Secundaria"/>
    <x v="2"/>
    <x v="26"/>
    <s v="Rural"/>
    <s v="Masculino"/>
    <x v="0"/>
    <x v="0"/>
    <s v="SOLO 2024"/>
    <s v="PADD 2023 Y 2024"/>
    <x v="26"/>
    <s v="CORAS2 Secundaria"/>
  </r>
  <r>
    <n v="10"/>
    <x v="2"/>
    <s v="Secundaria"/>
    <x v="2"/>
    <x v="26"/>
    <s v="Rural"/>
    <s v="Femenino"/>
    <x v="0"/>
    <x v="0"/>
    <s v="SOLO 2024"/>
    <s v="PADD 2023 Y 2024"/>
    <x v="26"/>
    <s v="CORAS2 Secundaria"/>
  </r>
  <r>
    <n v="11"/>
    <x v="2"/>
    <s v="Secundaria"/>
    <x v="2"/>
    <x v="26"/>
    <s v="Rural"/>
    <s v="Masculino"/>
    <x v="0"/>
    <x v="0"/>
    <s v="SOLO 2024"/>
    <s v="PADD 2023 Y 2024"/>
    <x v="26"/>
    <s v="CORAS2 Secundaria"/>
  </r>
  <r>
    <n v="12"/>
    <x v="2"/>
    <s v="Secundaria"/>
    <x v="2"/>
    <x v="26"/>
    <s v="Rural"/>
    <s v="Femenino"/>
    <x v="0"/>
    <x v="0"/>
    <s v="SOLO 2024"/>
    <s v="PADD 2023 Y 2024"/>
    <x v="26"/>
    <s v="CORAS2 Secundaria"/>
  </r>
  <r>
    <n v="13"/>
    <x v="2"/>
    <s v="Secundaria"/>
    <x v="2"/>
    <x v="26"/>
    <s v="Rural"/>
    <s v="Femenino"/>
    <x v="0"/>
    <x v="0"/>
    <s v="SOLO 2024"/>
    <s v="PADD 2023 Y 2024"/>
    <x v="26"/>
    <s v="CORAS2 Secundaria"/>
  </r>
  <r>
    <n v="14"/>
    <x v="2"/>
    <s v="Secundaria"/>
    <x v="2"/>
    <x v="26"/>
    <s v="Rural"/>
    <s v="Femenino"/>
    <x v="0"/>
    <x v="0"/>
    <s v="SOLO 2024"/>
    <s v="PADD 2023 Y 2024"/>
    <x v="26"/>
    <s v="CORAS2 Secundaria"/>
  </r>
  <r>
    <n v="15"/>
    <x v="2"/>
    <s v="Secundaria"/>
    <x v="2"/>
    <x v="26"/>
    <s v="Rural"/>
    <s v="Masculino"/>
    <x v="0"/>
    <x v="0"/>
    <s v="SOLO 2024"/>
    <s v="PADD 2023 Y 2024"/>
    <x v="26"/>
    <s v="CORAS2 Secundaria"/>
  </r>
  <r>
    <n v="16"/>
    <x v="2"/>
    <s v="Secundaria"/>
    <x v="2"/>
    <x v="26"/>
    <s v="Rural"/>
    <s v="Masculino"/>
    <x v="0"/>
    <x v="0"/>
    <s v="SOLO 2024"/>
    <s v="PADD 2023 Y 2024"/>
    <x v="26"/>
    <s v="CORAS2 Secundaria"/>
  </r>
  <r>
    <n v="17"/>
    <x v="2"/>
    <s v="Secundaria"/>
    <x v="2"/>
    <x v="26"/>
    <s v="Rural"/>
    <s v="Femenino"/>
    <x v="0"/>
    <x v="0"/>
    <s v="SOLO 2024"/>
    <s v="PADD 2023 Y 2024"/>
    <x v="26"/>
    <s v="CORAS2 Secundaria"/>
  </r>
  <r>
    <n v="18"/>
    <x v="2"/>
    <s v="Secundaria"/>
    <x v="2"/>
    <x v="26"/>
    <s v="Rural"/>
    <s v="Femenino"/>
    <x v="0"/>
    <x v="0"/>
    <s v="SOLO 2024"/>
    <s v="PADD 2023 Y 2024"/>
    <x v="26"/>
    <s v="CORAS2 Secundaria"/>
  </r>
  <r>
    <n v="19"/>
    <x v="2"/>
    <s v="Secundaria"/>
    <x v="2"/>
    <x v="26"/>
    <s v="Rural"/>
    <s v="Femenino"/>
    <x v="0"/>
    <x v="0"/>
    <s v="SOLO 2024"/>
    <s v="PADD 2023 Y 2024"/>
    <x v="26"/>
    <s v="CORAS2 Secundaria"/>
  </r>
  <r>
    <n v="20"/>
    <x v="2"/>
    <s v="Secundaria"/>
    <x v="2"/>
    <x v="26"/>
    <s v="Rural"/>
    <s v="Masculino"/>
    <x v="0"/>
    <x v="0"/>
    <s v="SOLO 2024"/>
    <s v="PADD 2023 Y 2024"/>
    <x v="26"/>
    <s v="CORAS2 Secundaria"/>
  </r>
  <r>
    <n v="21"/>
    <x v="2"/>
    <s v="Secundaria"/>
    <x v="2"/>
    <x v="26"/>
    <s v="Rural"/>
    <s v="Femenino"/>
    <x v="0"/>
    <x v="0"/>
    <s v="SOLO 2024"/>
    <s v="PADD 2023 Y 2024"/>
    <x v="26"/>
    <s v="CORAS2 Secundaria"/>
  </r>
  <r>
    <n v="22"/>
    <x v="2"/>
    <s v="Secundaria"/>
    <x v="2"/>
    <x v="26"/>
    <s v="Rural"/>
    <s v="Femenino"/>
    <x v="0"/>
    <x v="0"/>
    <s v="SOLO 2024"/>
    <s v="PADD 2023 Y 2024"/>
    <x v="26"/>
    <s v="CORAS2 Secundaria"/>
  </r>
  <r>
    <n v="23"/>
    <x v="2"/>
    <s v="Secundaria"/>
    <x v="2"/>
    <x v="26"/>
    <s v="Rural"/>
    <s v="Femenino"/>
    <x v="0"/>
    <x v="0"/>
    <s v="SOLO 2024"/>
    <s v="PADD 2023 Y 2024"/>
    <x v="26"/>
    <s v="CORAS2 Secundaria"/>
  </r>
  <r>
    <n v="24"/>
    <x v="2"/>
    <s v="Secundaria"/>
    <x v="2"/>
    <x v="26"/>
    <s v="Rural"/>
    <s v="Masculino"/>
    <x v="0"/>
    <x v="0"/>
    <s v="SOLO 2024"/>
    <s v="PADD 2023 Y 2024"/>
    <x v="26"/>
    <s v="CORAS2 Secundaria"/>
  </r>
  <r>
    <n v="25"/>
    <x v="2"/>
    <s v="Secundaria"/>
    <x v="2"/>
    <x v="26"/>
    <s v="Rural"/>
    <s v="Masculino"/>
    <x v="0"/>
    <x v="0"/>
    <s v="SOLO 2024"/>
    <s v="PADD 2023 Y 2024"/>
    <x v="26"/>
    <s v="CORAS2 Secundaria"/>
  </r>
  <r>
    <n v="26"/>
    <x v="2"/>
    <s v="Secundaria"/>
    <x v="3"/>
    <x v="26"/>
    <s v="Rural"/>
    <s v="Femenino"/>
    <x v="1"/>
    <x v="0"/>
    <s v="SOLO 2024"/>
    <s v="PADD 2023 Y 2024"/>
    <x v="26"/>
    <s v="CORAS4 Secundaria"/>
  </r>
  <r>
    <n v="27"/>
    <x v="2"/>
    <s v="Secundaria"/>
    <x v="3"/>
    <x v="26"/>
    <s v="Rural"/>
    <s v="Masculino"/>
    <x v="0"/>
    <x v="0"/>
    <s v="SOLO 2024"/>
    <s v="PADD 2023 Y 2024"/>
    <x v="26"/>
    <s v="CORAS4 Secundaria"/>
  </r>
  <r>
    <n v="28"/>
    <x v="2"/>
    <s v="Secundaria"/>
    <x v="3"/>
    <x v="26"/>
    <s v="Rural"/>
    <s v="Femenino"/>
    <x v="1"/>
    <x v="0"/>
    <s v="SOLO 2024"/>
    <s v="PADD 2023 Y 2024"/>
    <x v="26"/>
    <s v="CORAS4 Secundaria"/>
  </r>
  <r>
    <n v="29"/>
    <x v="2"/>
    <s v="Secundaria"/>
    <x v="3"/>
    <x v="26"/>
    <s v="Rural"/>
    <s v="Femenino"/>
    <x v="2"/>
    <x v="0"/>
    <s v="SOLO 2024"/>
    <s v="PADD 2023 Y 2024"/>
    <x v="26"/>
    <s v="CORAS4 Secundaria"/>
  </r>
  <r>
    <n v="30"/>
    <x v="2"/>
    <s v="Secundaria"/>
    <x v="3"/>
    <x v="26"/>
    <s v="Rural"/>
    <s v="Femenino"/>
    <x v="0"/>
    <x v="0"/>
    <s v="SOLO 2024"/>
    <s v="PADD 2023 Y 2024"/>
    <x v="26"/>
    <s v="CORAS4 Secundaria"/>
  </r>
  <r>
    <n v="31"/>
    <x v="2"/>
    <s v="Secundaria"/>
    <x v="3"/>
    <x v="26"/>
    <s v="Rural"/>
    <s v="Masculino"/>
    <x v="0"/>
    <x v="0"/>
    <s v="SOLO 2024"/>
    <s v="PADD 2023 Y 2024"/>
    <x v="26"/>
    <s v="CORAS4 Secundaria"/>
  </r>
  <r>
    <n v="32"/>
    <x v="2"/>
    <s v="Secundaria"/>
    <x v="3"/>
    <x v="26"/>
    <s v="Rural"/>
    <s v="Masculino"/>
    <x v="0"/>
    <x v="0"/>
    <s v="SOLO 2024"/>
    <s v="PADD 2023 Y 2024"/>
    <x v="26"/>
    <s v="CORAS4 Secundaria"/>
  </r>
  <r>
    <n v="33"/>
    <x v="2"/>
    <s v="Secundaria"/>
    <x v="3"/>
    <x v="26"/>
    <s v="Rural"/>
    <s v="Masculino"/>
    <x v="0"/>
    <x v="0"/>
    <s v="SOLO 2024"/>
    <s v="PADD 2023 Y 2024"/>
    <x v="26"/>
    <s v="CORAS4 Secundaria"/>
  </r>
  <r>
    <n v="34"/>
    <x v="2"/>
    <s v="Secundaria"/>
    <x v="3"/>
    <x v="26"/>
    <s v="Rural"/>
    <s v="Masculino"/>
    <x v="0"/>
    <x v="0"/>
    <s v="SOLO 2024"/>
    <s v="PADD 2023 Y 2024"/>
    <x v="26"/>
    <s v="CORAS4 Secundaria"/>
  </r>
  <r>
    <n v="35"/>
    <x v="2"/>
    <s v="Secundaria"/>
    <x v="3"/>
    <x v="26"/>
    <s v="Rural"/>
    <s v="Masculino"/>
    <x v="0"/>
    <x v="0"/>
    <s v="SOLO 2024"/>
    <s v="PADD 2023 Y 2024"/>
    <x v="26"/>
    <s v="CORAS4 Secundaria"/>
  </r>
  <r>
    <n v="36"/>
    <x v="2"/>
    <s v="Secundaria"/>
    <x v="3"/>
    <x v="26"/>
    <s v="Rural"/>
    <s v="Masculino"/>
    <x v="0"/>
    <x v="0"/>
    <s v="SOLO 2024"/>
    <s v="PADD 2023 Y 2024"/>
    <x v="26"/>
    <s v="CORAS4 Secundaria"/>
  </r>
  <r>
    <n v="37"/>
    <x v="2"/>
    <s v="Secundaria"/>
    <x v="3"/>
    <x v="26"/>
    <s v="Rural"/>
    <s v="Femenino"/>
    <x v="0"/>
    <x v="0"/>
    <s v="SOLO 2024"/>
    <s v="PADD 2023 Y 2024"/>
    <x v="26"/>
    <s v="CORAS4 Secundaria"/>
  </r>
  <r>
    <n v="38"/>
    <x v="2"/>
    <s v="Secundaria"/>
    <x v="3"/>
    <x v="26"/>
    <s v="Rural"/>
    <s v="Femenino"/>
    <x v="0"/>
    <x v="0"/>
    <s v="SOLO 2024"/>
    <s v="PADD 2023 Y 2024"/>
    <x v="26"/>
    <s v="CORAS4 Secundaria"/>
  </r>
  <r>
    <n v="39"/>
    <x v="2"/>
    <s v="Secundaria"/>
    <x v="3"/>
    <x v="26"/>
    <s v="Rural"/>
    <s v="Masculino"/>
    <x v="0"/>
    <x v="0"/>
    <s v="SOLO 2024"/>
    <s v="PADD 2023 Y 2024"/>
    <x v="26"/>
    <s v="CORAS4 Secundaria"/>
  </r>
  <r>
    <n v="40"/>
    <x v="2"/>
    <s v="Secundaria"/>
    <x v="3"/>
    <x v="26"/>
    <s v="Rural"/>
    <s v="Femenino"/>
    <x v="0"/>
    <x v="0"/>
    <s v="SOLO 2024"/>
    <s v="PADD 2023 Y 2024"/>
    <x v="26"/>
    <s v="CORAS4 Secundaria"/>
  </r>
  <r>
    <n v="41"/>
    <x v="2"/>
    <s v="Secundaria"/>
    <x v="3"/>
    <x v="26"/>
    <s v="Rural"/>
    <s v="Femenino"/>
    <x v="0"/>
    <x v="0"/>
    <s v="SOLO 2024"/>
    <s v="PADD 2023 Y 2024"/>
    <x v="26"/>
    <s v="CORAS4 Secundaria"/>
  </r>
  <r>
    <n v="42"/>
    <x v="2"/>
    <s v="Secundaria"/>
    <x v="3"/>
    <x v="26"/>
    <s v="Rural"/>
    <s v="Masculino"/>
    <x v="0"/>
    <x v="0"/>
    <s v="SOLO 2024"/>
    <s v="PADD 2023 Y 2024"/>
    <x v="26"/>
    <s v="CORAS4 Secundaria"/>
  </r>
  <r>
    <n v="43"/>
    <x v="2"/>
    <s v="Secundaria"/>
    <x v="3"/>
    <x v="26"/>
    <s v="Rural"/>
    <s v="Femenino"/>
    <x v="0"/>
    <x v="0"/>
    <s v="SOLO 2024"/>
    <s v="PADD 2023 Y 2024"/>
    <x v="26"/>
    <s v="CORAS4 Secundaria"/>
  </r>
  <r>
    <n v="44"/>
    <x v="2"/>
    <s v="Secundaria"/>
    <x v="3"/>
    <x v="26"/>
    <s v="Rural"/>
    <s v="Masculino"/>
    <x v="0"/>
    <x v="0"/>
    <s v="SOLO 2024"/>
    <s v="PADD 2023 Y 2024"/>
    <x v="26"/>
    <s v="CORAS4 Secundaria"/>
  </r>
  <r>
    <n v="45"/>
    <x v="2"/>
    <s v="Secundaria"/>
    <x v="3"/>
    <x v="26"/>
    <s v="Rural"/>
    <s v="Femenino"/>
    <x v="0"/>
    <x v="0"/>
    <s v="SOLO 2024"/>
    <s v="PADD 2023 Y 2024"/>
    <x v="26"/>
    <s v="CORAS4 Secundaria"/>
  </r>
  <r>
    <n v="46"/>
    <x v="2"/>
    <s v="Secundaria"/>
    <x v="3"/>
    <x v="26"/>
    <s v="Rural"/>
    <s v="Masculino"/>
    <x v="0"/>
    <x v="0"/>
    <s v="SOLO 2024"/>
    <s v="PADD 2023 Y 2024"/>
    <x v="26"/>
    <s v="CORAS4 Secundaria"/>
  </r>
  <r>
    <n v="47"/>
    <x v="2"/>
    <s v="Secundaria"/>
    <x v="3"/>
    <x v="26"/>
    <s v="Rural"/>
    <s v="Femenino"/>
    <x v="0"/>
    <x v="0"/>
    <s v="SOLO 2024"/>
    <s v="PADD 2023 Y 2024"/>
    <x v="26"/>
    <s v="CORAS4 Secundaria"/>
  </r>
  <r>
    <n v="48"/>
    <x v="2"/>
    <s v="Secundaria"/>
    <x v="3"/>
    <x v="26"/>
    <s v="Rural"/>
    <s v="Femenino"/>
    <x v="0"/>
    <x v="0"/>
    <s v="SOLO 2024"/>
    <s v="PADD 2023 Y 2024"/>
    <x v="26"/>
    <s v="CORAS4 Secundaria"/>
  </r>
  <r>
    <n v="49"/>
    <x v="2"/>
    <s v="Secundaria"/>
    <x v="3"/>
    <x v="26"/>
    <s v="Rural"/>
    <s v="Femenino"/>
    <x v="0"/>
    <x v="0"/>
    <s v="SOLO 2024"/>
    <s v="PADD 2023 Y 2024"/>
    <x v="26"/>
    <s v="CORAS4 Secundaria"/>
  </r>
  <r>
    <n v="50"/>
    <x v="2"/>
    <s v="Secundaria"/>
    <x v="3"/>
    <x v="26"/>
    <s v="Rural"/>
    <s v="Masculino"/>
    <x v="0"/>
    <x v="0"/>
    <s v="SOLO 2024"/>
    <s v="PADD 2023 Y 2024"/>
    <x v="26"/>
    <s v="CORAS4 Secundaria"/>
  </r>
  <r>
    <n v="51"/>
    <x v="2"/>
    <s v="Secundaria"/>
    <x v="3"/>
    <x v="26"/>
    <s v="Rural"/>
    <s v="Masculino"/>
    <x v="0"/>
    <x v="0"/>
    <s v="SOLO 2024"/>
    <s v="PADD 2023 Y 2024"/>
    <x v="26"/>
    <s v="CORAS4 Secundaria"/>
  </r>
  <r>
    <n v="11"/>
    <x v="2"/>
    <s v="Primaria"/>
    <x v="4"/>
    <x v="27"/>
    <s v="Rural"/>
    <s v="Femenino"/>
    <x v="0"/>
    <x v="0"/>
    <s v="SOLO 2024"/>
    <s v="PADD 2023 Y 2024"/>
    <x v="27"/>
    <s v="361732 Primaria"/>
  </r>
  <r>
    <n v="12"/>
    <x v="2"/>
    <s v="Primaria"/>
    <x v="4"/>
    <x v="27"/>
    <s v="Rural"/>
    <s v="Masculino"/>
    <x v="0"/>
    <x v="0"/>
    <s v="SOLO 2024"/>
    <s v="PADD 2023 Y 2024"/>
    <x v="27"/>
    <s v="361732 Primaria"/>
  </r>
  <r>
    <n v="13"/>
    <x v="2"/>
    <s v="Primaria"/>
    <x v="4"/>
    <x v="27"/>
    <s v="Rural"/>
    <s v="Femenino"/>
    <x v="0"/>
    <x v="0"/>
    <s v="SOLO 2024"/>
    <s v="PADD 2023 Y 2024"/>
    <x v="27"/>
    <s v="361732 Primaria"/>
  </r>
  <r>
    <n v="14"/>
    <x v="2"/>
    <s v="Primaria"/>
    <x v="4"/>
    <x v="27"/>
    <s v="Rural"/>
    <s v="Masculino"/>
    <x v="1"/>
    <x v="0"/>
    <s v="SOLO 2024"/>
    <s v="PADD 2023 Y 2024"/>
    <x v="27"/>
    <s v="361732 Primaria"/>
  </r>
  <r>
    <n v="15"/>
    <x v="2"/>
    <s v="Primaria"/>
    <x v="4"/>
    <x v="27"/>
    <s v="Rural"/>
    <s v="Masculino"/>
    <x v="1"/>
    <x v="0"/>
    <s v="SOLO 2024"/>
    <s v="PADD 2023 Y 2024"/>
    <x v="27"/>
    <s v="361732 Primaria"/>
  </r>
  <r>
    <n v="16"/>
    <x v="2"/>
    <s v="Primaria"/>
    <x v="4"/>
    <x v="27"/>
    <s v="Rural"/>
    <s v="Masculino"/>
    <x v="1"/>
    <x v="0"/>
    <s v="SOLO 2024"/>
    <s v="PADD 2023 Y 2024"/>
    <x v="27"/>
    <s v="361732 Primaria"/>
  </r>
  <r>
    <n v="17"/>
    <x v="2"/>
    <s v="Primaria"/>
    <x v="4"/>
    <x v="27"/>
    <s v="Rural"/>
    <s v="Masculino"/>
    <x v="1"/>
    <x v="0"/>
    <s v="SOLO 2024"/>
    <s v="PADD 2023 Y 2024"/>
    <x v="27"/>
    <s v="361732 Primaria"/>
  </r>
  <r>
    <n v="18"/>
    <x v="2"/>
    <s v="Primaria"/>
    <x v="4"/>
    <x v="27"/>
    <s v="Rural"/>
    <s v="Masculino"/>
    <x v="1"/>
    <x v="0"/>
    <s v="SOLO 2024"/>
    <s v="PADD 2023 Y 2024"/>
    <x v="27"/>
    <s v="361732 Primaria"/>
  </r>
  <r>
    <n v="19"/>
    <x v="2"/>
    <s v="Primaria"/>
    <x v="4"/>
    <x v="27"/>
    <s v="Rural"/>
    <s v="Femenino"/>
    <x v="1"/>
    <x v="0"/>
    <s v="SOLO 2024"/>
    <s v="PADD 2023 Y 2024"/>
    <x v="27"/>
    <s v="361732 Primaria"/>
  </r>
  <r>
    <n v="20"/>
    <x v="2"/>
    <s v="Primaria"/>
    <x v="4"/>
    <x v="27"/>
    <s v="Rural"/>
    <s v="Femenino"/>
    <x v="1"/>
    <x v="0"/>
    <s v="SOLO 2024"/>
    <s v="PADD 2023 Y 2024"/>
    <x v="27"/>
    <s v="361732 Primaria"/>
  </r>
  <r>
    <n v="21"/>
    <x v="2"/>
    <s v="Primaria"/>
    <x v="4"/>
    <x v="27"/>
    <s v="Rural"/>
    <s v="Femenino"/>
    <x v="0"/>
    <x v="0"/>
    <s v="SOLO 2024"/>
    <s v="PADD 2023 Y 2024"/>
    <x v="27"/>
    <s v="361732 Primaria"/>
  </r>
  <r>
    <n v="22"/>
    <x v="2"/>
    <s v="Primaria"/>
    <x v="4"/>
    <x v="27"/>
    <s v="Rural"/>
    <s v="Femenino"/>
    <x v="1"/>
    <x v="0"/>
    <s v="SOLO 2024"/>
    <s v="PADD 2023 Y 2024"/>
    <x v="27"/>
    <s v="361732 Primaria"/>
  </r>
  <r>
    <n v="23"/>
    <x v="2"/>
    <s v="Primaria"/>
    <x v="0"/>
    <x v="27"/>
    <s v="Rural"/>
    <s v="Masculino"/>
    <x v="1"/>
    <x v="0"/>
    <s v="SOLO 2024"/>
    <s v="PADD 2023 Y 2024"/>
    <x v="27"/>
    <s v="361734 Primaria"/>
  </r>
  <r>
    <n v="24"/>
    <x v="2"/>
    <s v="Primaria"/>
    <x v="0"/>
    <x v="27"/>
    <s v="Rural"/>
    <s v="Femenino"/>
    <x v="1"/>
    <x v="0"/>
    <s v="SOLO 2024"/>
    <s v="PADD 2023 Y 2024"/>
    <x v="27"/>
    <s v="361734 Primaria"/>
  </r>
  <r>
    <n v="25"/>
    <x v="2"/>
    <s v="Primaria"/>
    <x v="0"/>
    <x v="27"/>
    <s v="Rural"/>
    <s v="Masculino"/>
    <x v="0"/>
    <x v="0"/>
    <s v="SOLO 2024"/>
    <s v="PADD 2023 Y 2024"/>
    <x v="27"/>
    <s v="361734 Primaria"/>
  </r>
  <r>
    <n v="26"/>
    <x v="2"/>
    <s v="Primaria"/>
    <x v="0"/>
    <x v="27"/>
    <s v="Rural"/>
    <s v="Masculino"/>
    <x v="0"/>
    <x v="0"/>
    <s v="SOLO 2024"/>
    <s v="PADD 2023 Y 2024"/>
    <x v="27"/>
    <s v="361734 Primaria"/>
  </r>
  <r>
    <n v="27"/>
    <x v="2"/>
    <s v="Primaria"/>
    <x v="0"/>
    <x v="27"/>
    <s v="Rural"/>
    <s v="Masculino"/>
    <x v="1"/>
    <x v="0"/>
    <s v="SOLO 2024"/>
    <s v="PADD 2023 Y 2024"/>
    <x v="27"/>
    <s v="361734 Primaria"/>
  </r>
  <r>
    <n v="28"/>
    <x v="2"/>
    <s v="Primaria"/>
    <x v="0"/>
    <x v="27"/>
    <s v="Rural"/>
    <s v="Femenino"/>
    <x v="0"/>
    <x v="0"/>
    <s v="SOLO 2024"/>
    <s v="PADD 2023 Y 2024"/>
    <x v="27"/>
    <s v="361734 Primaria"/>
  </r>
  <r>
    <n v="29"/>
    <x v="2"/>
    <s v="Primaria"/>
    <x v="0"/>
    <x v="27"/>
    <s v="Rural"/>
    <s v="Femenino"/>
    <x v="1"/>
    <x v="0"/>
    <s v="SOLO 2024"/>
    <s v="PADD 2023 Y 2024"/>
    <x v="27"/>
    <s v="361734 Primaria"/>
  </r>
  <r>
    <n v="30"/>
    <x v="2"/>
    <s v="Primaria"/>
    <x v="1"/>
    <x v="27"/>
    <s v="Rural"/>
    <s v="Masculino"/>
    <x v="1"/>
    <x v="0"/>
    <s v="SOLO 2024"/>
    <s v="PADD 2023 Y 2024"/>
    <x v="27"/>
    <s v="361736 Primaria"/>
  </r>
  <r>
    <n v="31"/>
    <x v="2"/>
    <s v="Primaria"/>
    <x v="1"/>
    <x v="27"/>
    <s v="Rural"/>
    <s v="Femenino"/>
    <x v="1"/>
    <x v="0"/>
    <s v="SOLO 2024"/>
    <s v="PADD 2023 Y 2024"/>
    <x v="27"/>
    <s v="361736 Primaria"/>
  </r>
  <r>
    <n v="32"/>
    <x v="2"/>
    <s v="Primaria"/>
    <x v="1"/>
    <x v="27"/>
    <s v="Rural"/>
    <s v="Masculino"/>
    <x v="1"/>
    <x v="0"/>
    <s v="SOLO 2024"/>
    <s v="PADD 2023 Y 2024"/>
    <x v="27"/>
    <s v="361736 Primaria"/>
  </r>
  <r>
    <n v="33"/>
    <x v="2"/>
    <s v="Primaria"/>
    <x v="1"/>
    <x v="27"/>
    <s v="Rural"/>
    <s v="Femenino"/>
    <x v="1"/>
    <x v="0"/>
    <s v="SOLO 2024"/>
    <s v="PADD 2023 Y 2024"/>
    <x v="27"/>
    <s v="361736 Primaria"/>
  </r>
  <r>
    <n v="34"/>
    <x v="2"/>
    <s v="Primaria"/>
    <x v="1"/>
    <x v="27"/>
    <s v="Rural"/>
    <s v="Femenino"/>
    <x v="1"/>
    <x v="0"/>
    <s v="SOLO 2024"/>
    <s v="PADD 2023 Y 2024"/>
    <x v="27"/>
    <s v="361736 Primaria"/>
  </r>
  <r>
    <n v="35"/>
    <x v="2"/>
    <s v="Primaria"/>
    <x v="1"/>
    <x v="27"/>
    <s v="Rural"/>
    <s v="Femenino"/>
    <x v="1"/>
    <x v="0"/>
    <s v="SOLO 2024"/>
    <s v="PADD 2023 Y 2024"/>
    <x v="27"/>
    <s v="361736 Primaria"/>
  </r>
  <r>
    <n v="36"/>
    <x v="2"/>
    <s v="Primaria"/>
    <x v="1"/>
    <x v="27"/>
    <s v="Rural"/>
    <s v="Masculino"/>
    <x v="1"/>
    <x v="0"/>
    <s v="SOLO 2024"/>
    <s v="PADD 2023 Y 2024"/>
    <x v="27"/>
    <s v="361736 Primaria"/>
  </r>
  <r>
    <n v="37"/>
    <x v="2"/>
    <s v="Primaria"/>
    <x v="1"/>
    <x v="27"/>
    <s v="Rural"/>
    <s v="Masculino"/>
    <x v="1"/>
    <x v="0"/>
    <s v="SOLO 2024"/>
    <s v="PADD 2023 Y 2024"/>
    <x v="27"/>
    <s v="361736 Primaria"/>
  </r>
  <r>
    <n v="1"/>
    <x v="3"/>
    <s v="Primaria"/>
    <x v="4"/>
    <x v="28"/>
    <s v="Rural"/>
    <s v="Femenino"/>
    <x v="0"/>
    <x v="0"/>
    <s v="SOLO 2024"/>
    <s v="SOLO 2024"/>
    <x v="28"/>
    <s v="601362 Primaria"/>
  </r>
  <r>
    <n v="2"/>
    <x v="3"/>
    <s v="Primaria"/>
    <x v="0"/>
    <x v="28"/>
    <s v="Rural"/>
    <s v="Masculino"/>
    <x v="0"/>
    <x v="0"/>
    <s v="SOLO 2024"/>
    <s v="SOLO 2024"/>
    <x v="28"/>
    <s v="601364 Primaria"/>
  </r>
  <r>
    <n v="3"/>
    <x v="3"/>
    <s v="Primaria"/>
    <x v="0"/>
    <x v="28"/>
    <s v="Rural"/>
    <s v="Femenino"/>
    <x v="0"/>
    <x v="0"/>
    <s v="SOLO 2024"/>
    <s v="SOLO 2024"/>
    <x v="28"/>
    <s v="601364 Primaria"/>
  </r>
  <r>
    <n v="4"/>
    <x v="3"/>
    <s v="Primaria"/>
    <x v="1"/>
    <x v="28"/>
    <s v="Rural"/>
    <s v="Masculino"/>
    <x v="0"/>
    <x v="0"/>
    <s v="SOLO 2024"/>
    <s v="SOLO 2024"/>
    <x v="29"/>
    <s v="601366 Primaria"/>
  </r>
  <r>
    <n v="5"/>
    <x v="3"/>
    <s v="Primaria"/>
    <x v="1"/>
    <x v="28"/>
    <s v="Rural"/>
    <s v="Femenino"/>
    <x v="1"/>
    <x v="0"/>
    <s v="SOLO 2024"/>
    <s v="SOLO 2024"/>
    <x v="28"/>
    <s v="601366 Primaria"/>
  </r>
  <r>
    <n v="6"/>
    <x v="3"/>
    <s v="Primaria"/>
    <x v="4"/>
    <x v="29"/>
    <s v="Rural"/>
    <s v="Masculino"/>
    <x v="1"/>
    <x v="0"/>
    <s v="SOLO 2024"/>
    <s v="SOLO 2024"/>
    <x v="30"/>
    <s v="60101022 Primaria"/>
  </r>
  <r>
    <n v="7"/>
    <x v="3"/>
    <s v="Primaria"/>
    <x v="4"/>
    <x v="29"/>
    <s v="Rural"/>
    <s v="Femenino"/>
    <x v="1"/>
    <x v="0"/>
    <s v="SOLO 2024"/>
    <s v="SOLO 2024"/>
    <x v="30"/>
    <s v="60101022 Primaria"/>
  </r>
  <r>
    <n v="8"/>
    <x v="3"/>
    <s v="Primaria"/>
    <x v="4"/>
    <x v="29"/>
    <s v="Rural"/>
    <s v="Masculino"/>
    <x v="0"/>
    <x v="0"/>
    <s v="SOLO 2024"/>
    <s v="SOLO 2024"/>
    <x v="30"/>
    <s v="60101022 Primaria"/>
  </r>
  <r>
    <n v="9"/>
    <x v="3"/>
    <s v="Primaria"/>
    <x v="0"/>
    <x v="29"/>
    <s v="Rural"/>
    <s v="Masculino"/>
    <x v="0"/>
    <x v="0"/>
    <s v="SOLO 2024"/>
    <s v="SOLO 2024"/>
    <x v="30"/>
    <s v="60101024 Primaria"/>
  </r>
  <r>
    <n v="10"/>
    <x v="3"/>
    <s v="Primaria"/>
    <x v="0"/>
    <x v="29"/>
    <s v="Rural"/>
    <s v="Femenino"/>
    <x v="0"/>
    <x v="0"/>
    <s v="SOLO 2024"/>
    <s v="SOLO 2024"/>
    <x v="30"/>
    <s v="60101024 Primaria"/>
  </r>
  <r>
    <n v="11"/>
    <x v="3"/>
    <s v="Primaria"/>
    <x v="0"/>
    <x v="29"/>
    <s v="Rural"/>
    <s v="Femenino"/>
    <x v="0"/>
    <x v="0"/>
    <s v="SOLO 2024"/>
    <s v="SOLO 2024"/>
    <x v="30"/>
    <s v="60101024 Primaria"/>
  </r>
  <r>
    <n v="12"/>
    <x v="3"/>
    <s v="Primaria"/>
    <x v="0"/>
    <x v="29"/>
    <s v="Rural"/>
    <s v="Masculino"/>
    <x v="1"/>
    <x v="0"/>
    <s v="SOLO 2024"/>
    <s v="SOLO 2024"/>
    <x v="30"/>
    <s v="60101024 Primaria"/>
  </r>
  <r>
    <n v="13"/>
    <x v="3"/>
    <s v="Primaria"/>
    <x v="0"/>
    <x v="29"/>
    <s v="Rural"/>
    <s v="Masculino"/>
    <x v="0"/>
    <x v="0"/>
    <s v="SOLO 2024"/>
    <s v="SOLO 2024"/>
    <x v="30"/>
    <s v="60101024 Primaria"/>
  </r>
  <r>
    <n v="14"/>
    <x v="3"/>
    <s v="Primaria"/>
    <x v="1"/>
    <x v="29"/>
    <s v="Rural"/>
    <s v="Femenino"/>
    <x v="0"/>
    <x v="0"/>
    <s v="SOLO 2024"/>
    <s v="SOLO 2024"/>
    <x v="30"/>
    <s v="60101026 Primaria"/>
  </r>
  <r>
    <n v="15"/>
    <x v="3"/>
    <s v="Primaria"/>
    <x v="1"/>
    <x v="29"/>
    <s v="Rural"/>
    <s v="Femenino"/>
    <x v="1"/>
    <x v="0"/>
    <s v="SOLO 2024"/>
    <s v="SOLO 2024"/>
    <x v="30"/>
    <s v="60101026 Primaria"/>
  </r>
  <r>
    <n v="16"/>
    <x v="3"/>
    <s v="Primaria"/>
    <x v="4"/>
    <x v="30"/>
    <s v="Rural"/>
    <s v="Femenino"/>
    <x v="1"/>
    <x v="0"/>
    <s v="2023 Y 2024"/>
    <s v="PADD 2023 Y 2024"/>
    <x v="31"/>
    <s v="6014482 Primaria"/>
  </r>
  <r>
    <n v="17"/>
    <x v="3"/>
    <s v="Primaria"/>
    <x v="4"/>
    <x v="30"/>
    <s v="Rural"/>
    <s v="Masculino"/>
    <x v="0"/>
    <x v="0"/>
    <s v="2023 Y 2024"/>
    <s v="PADD 2023 Y 2024"/>
    <x v="31"/>
    <s v="6014482 Primaria"/>
  </r>
  <r>
    <n v="18"/>
    <x v="3"/>
    <s v="Primaria"/>
    <x v="4"/>
    <x v="30"/>
    <s v="Rural"/>
    <s v="Masculino"/>
    <x v="0"/>
    <x v="0"/>
    <s v="2023 Y 2024"/>
    <s v="PADD 2023 Y 2024"/>
    <x v="31"/>
    <s v="6014482 Primaria"/>
  </r>
  <r>
    <n v="19"/>
    <x v="3"/>
    <s v="Primaria"/>
    <x v="0"/>
    <x v="30"/>
    <s v="Rural"/>
    <s v="Masculino"/>
    <x v="0"/>
    <x v="0"/>
    <s v="LOS 3 AÑOS"/>
    <s v="PADD 2023 Y 2024"/>
    <x v="31"/>
    <s v="6014484 Primaria"/>
  </r>
  <r>
    <n v="20"/>
    <x v="3"/>
    <s v="Primaria"/>
    <x v="0"/>
    <x v="30"/>
    <s v="Rural"/>
    <s v="Femenino"/>
    <x v="0"/>
    <x v="0"/>
    <s v="LOS 3 AÑOS"/>
    <s v="PADD 2023 Y 2024"/>
    <x v="31"/>
    <s v="6014484 Primaria"/>
  </r>
  <r>
    <n v="21"/>
    <x v="3"/>
    <s v="Primaria"/>
    <x v="1"/>
    <x v="30"/>
    <s v="Rural"/>
    <s v="Masculino"/>
    <x v="0"/>
    <x v="0"/>
    <s v="2023 Y 2024"/>
    <s v="PADD 2023 Y 2024"/>
    <x v="31"/>
    <s v="6014486 Primaria"/>
  </r>
  <r>
    <n v="22"/>
    <x v="3"/>
    <s v="Primaria"/>
    <x v="1"/>
    <x v="30"/>
    <s v="Rural"/>
    <s v="Femenino"/>
    <x v="0"/>
    <x v="0"/>
    <s v="2023 Y 2024"/>
    <s v="PADD 2023 Y 2024"/>
    <x v="31"/>
    <s v="6014486 Primaria"/>
  </r>
  <r>
    <n v="23"/>
    <x v="3"/>
    <s v="Secundaria"/>
    <x v="2"/>
    <x v="31"/>
    <s v="Rural"/>
    <s v="Masculino"/>
    <x v="1"/>
    <x v="0"/>
    <s v="LOS 3 AÑOS"/>
    <s v="NO PARTICIPÓ"/>
    <x v="32"/>
    <s v="EL MILAGRO2 Secundaria"/>
  </r>
  <r>
    <n v="24"/>
    <x v="3"/>
    <s v="Secundaria"/>
    <x v="2"/>
    <x v="31"/>
    <s v="Rural"/>
    <s v="Femenino"/>
    <x v="0"/>
    <x v="0"/>
    <s v="LOS 3 AÑOS"/>
    <s v="NO PARTICIPÓ"/>
    <x v="32"/>
    <s v="EL MILAGRO2 Secundaria"/>
  </r>
  <r>
    <n v="25"/>
    <x v="3"/>
    <s v="Secundaria"/>
    <x v="2"/>
    <x v="31"/>
    <s v="Rural"/>
    <s v="Femenino"/>
    <x v="0"/>
    <x v="0"/>
    <s v="LOS 3 AÑOS"/>
    <s v="NO PARTICIPÓ"/>
    <x v="32"/>
    <s v="EL MILAGRO2 Secundaria"/>
  </r>
  <r>
    <n v="26"/>
    <x v="3"/>
    <s v="Secundaria"/>
    <x v="2"/>
    <x v="31"/>
    <s v="Rural"/>
    <s v="Femenino"/>
    <x v="0"/>
    <x v="0"/>
    <s v="LOS 3 AÑOS"/>
    <s v="NO PARTICIPÓ"/>
    <x v="32"/>
    <s v="EL MILAGRO2 Secundaria"/>
  </r>
  <r>
    <n v="27"/>
    <x v="3"/>
    <s v="Secundaria"/>
    <x v="2"/>
    <x v="31"/>
    <s v="Rural"/>
    <s v="Masculino"/>
    <x v="0"/>
    <x v="0"/>
    <s v="LOS 3 AÑOS"/>
    <s v="NO PARTICIPÓ"/>
    <x v="32"/>
    <s v="EL MILAGRO2 Secundaria"/>
  </r>
  <r>
    <n v="28"/>
    <x v="3"/>
    <s v="Secundaria"/>
    <x v="2"/>
    <x v="31"/>
    <s v="Rural"/>
    <s v="Femenino"/>
    <x v="0"/>
    <x v="0"/>
    <s v="LOS 3 AÑOS"/>
    <s v="NO PARTICIPÓ"/>
    <x v="32"/>
    <s v="EL MILAGRO2 Secundaria"/>
  </r>
  <r>
    <n v="29"/>
    <x v="3"/>
    <s v="Secundaria"/>
    <x v="2"/>
    <x v="31"/>
    <s v="Rural"/>
    <s v="Masculino"/>
    <x v="1"/>
    <x v="0"/>
    <s v="LOS 3 AÑOS"/>
    <s v="NO PARTICIPÓ"/>
    <x v="32"/>
    <s v="EL MILAGRO2 Secundaria"/>
  </r>
  <r>
    <n v="30"/>
    <x v="3"/>
    <s v="Secundaria"/>
    <x v="2"/>
    <x v="31"/>
    <s v="Rural"/>
    <s v="Femenino"/>
    <x v="0"/>
    <x v="0"/>
    <s v="LOS 3 AÑOS"/>
    <s v="NO PARTICIPÓ"/>
    <x v="32"/>
    <s v="EL MILAGRO2 Secundaria"/>
  </r>
  <r>
    <n v="31"/>
    <x v="3"/>
    <s v="Secundaria"/>
    <x v="2"/>
    <x v="31"/>
    <s v="Rural"/>
    <s v="Femenino"/>
    <x v="0"/>
    <x v="0"/>
    <s v="LOS 3 AÑOS"/>
    <s v="NO PARTICIPÓ"/>
    <x v="32"/>
    <s v="EL MILAGRO2 Secundaria"/>
  </r>
  <r>
    <n v="32"/>
    <x v="3"/>
    <s v="Secundaria"/>
    <x v="2"/>
    <x v="31"/>
    <s v="Rural"/>
    <s v="Femenino"/>
    <x v="0"/>
    <x v="0"/>
    <s v="LOS 3 AÑOS"/>
    <s v="NO PARTICIPÓ"/>
    <x v="32"/>
    <s v="EL MILAGRO2 Secundaria"/>
  </r>
  <r>
    <n v="33"/>
    <x v="3"/>
    <s v="Secundaria"/>
    <x v="2"/>
    <x v="31"/>
    <s v="Rural"/>
    <s v="Femenino"/>
    <x v="0"/>
    <x v="0"/>
    <s v="LOS 3 AÑOS"/>
    <s v="NO PARTICIPÓ"/>
    <x v="32"/>
    <s v="EL MILAGRO2 Secundaria"/>
  </r>
  <r>
    <n v="34"/>
    <x v="3"/>
    <s v="Secundaria"/>
    <x v="2"/>
    <x v="31"/>
    <s v="Rural"/>
    <s v="Femenino"/>
    <x v="0"/>
    <x v="0"/>
    <s v="LOS 3 AÑOS"/>
    <s v="NO PARTICIPÓ"/>
    <x v="32"/>
    <s v="EL MILAGRO2 Secundaria"/>
  </r>
  <r>
    <n v="35"/>
    <x v="3"/>
    <s v="Secundaria"/>
    <x v="2"/>
    <x v="31"/>
    <s v="Rural"/>
    <s v="Femenino"/>
    <x v="0"/>
    <x v="0"/>
    <s v="LOS 3 AÑOS"/>
    <s v="NO PARTICIPÓ"/>
    <x v="32"/>
    <s v="EL MILAGRO2 Secundaria"/>
  </r>
  <r>
    <n v="36"/>
    <x v="3"/>
    <s v="Secundaria"/>
    <x v="2"/>
    <x v="31"/>
    <s v="Rural"/>
    <s v="Masculino"/>
    <x v="0"/>
    <x v="0"/>
    <s v="LOS 3 AÑOS"/>
    <s v="NO PARTICIPÓ"/>
    <x v="32"/>
    <s v="EL MILAGRO2 Secundaria"/>
  </r>
  <r>
    <n v="37"/>
    <x v="3"/>
    <s v="Secundaria"/>
    <x v="2"/>
    <x v="31"/>
    <s v="Rural"/>
    <s v="Femenino"/>
    <x v="1"/>
    <x v="0"/>
    <s v="LOS 3 AÑOS"/>
    <s v="NO PARTICIPÓ"/>
    <x v="32"/>
    <s v="EL MILAGRO2 Secundaria"/>
  </r>
  <r>
    <n v="38"/>
    <x v="3"/>
    <s v="Secundaria"/>
    <x v="2"/>
    <x v="31"/>
    <s v="Rural"/>
    <s v="Femenino"/>
    <x v="0"/>
    <x v="0"/>
    <s v="LOS 3 AÑOS"/>
    <s v="NO PARTICIPÓ"/>
    <x v="32"/>
    <s v="EL MILAGRO2 Secundaria"/>
  </r>
  <r>
    <n v="39"/>
    <x v="3"/>
    <s v="Secundaria"/>
    <x v="2"/>
    <x v="31"/>
    <s v="Rural"/>
    <s v="Masculino"/>
    <x v="0"/>
    <x v="0"/>
    <s v="LOS 3 AÑOS"/>
    <s v="NO PARTICIPÓ"/>
    <x v="32"/>
    <s v="EL MILAGRO2 Secundaria"/>
  </r>
  <r>
    <n v="40"/>
    <x v="3"/>
    <s v="Secundaria"/>
    <x v="2"/>
    <x v="31"/>
    <s v="Rural"/>
    <s v="Masculino"/>
    <x v="0"/>
    <x v="0"/>
    <s v="LOS 3 AÑOS"/>
    <s v="NO PARTICIPÓ"/>
    <x v="32"/>
    <s v="EL MILAGRO2 Secundaria"/>
  </r>
  <r>
    <n v="41"/>
    <x v="3"/>
    <s v="Secundaria"/>
    <x v="2"/>
    <x v="31"/>
    <s v="Rural"/>
    <s v="Femenino"/>
    <x v="0"/>
    <x v="0"/>
    <s v="LOS 3 AÑOS"/>
    <s v="NO PARTICIPÓ"/>
    <x v="32"/>
    <s v="EL MILAGRO2 Secundaria"/>
  </r>
  <r>
    <n v="42"/>
    <x v="3"/>
    <s v="Secundaria"/>
    <x v="2"/>
    <x v="31"/>
    <s v="Rural"/>
    <s v="Masculino"/>
    <x v="0"/>
    <x v="0"/>
    <s v="LOS 3 AÑOS"/>
    <s v="NO PARTICIPÓ"/>
    <x v="32"/>
    <s v="EL MILAGRO2 Secundaria"/>
  </r>
  <r>
    <n v="43"/>
    <x v="3"/>
    <s v="Secundaria"/>
    <x v="2"/>
    <x v="31"/>
    <s v="Rural"/>
    <s v="Femenino"/>
    <x v="0"/>
    <x v="0"/>
    <s v="LOS 3 AÑOS"/>
    <s v="NO PARTICIPÓ"/>
    <x v="32"/>
    <s v="EL MILAGRO2 Secundaria"/>
  </r>
  <r>
    <n v="44"/>
    <x v="3"/>
    <s v="Secundaria"/>
    <x v="2"/>
    <x v="31"/>
    <s v="Rural"/>
    <s v="Femenino"/>
    <x v="0"/>
    <x v="0"/>
    <s v="LOS 3 AÑOS"/>
    <s v="NO PARTICIPÓ"/>
    <x v="32"/>
    <s v="EL MILAGRO2 Secundaria"/>
  </r>
  <r>
    <n v="45"/>
    <x v="3"/>
    <s v="Secundaria"/>
    <x v="2"/>
    <x v="31"/>
    <s v="Rural"/>
    <s v="Femenino"/>
    <x v="0"/>
    <x v="0"/>
    <s v="LOS 3 AÑOS"/>
    <s v="NO PARTICIPÓ"/>
    <x v="32"/>
    <s v="EL MILAGRO2 Secundaria"/>
  </r>
  <r>
    <n v="46"/>
    <x v="3"/>
    <s v="Secundaria"/>
    <x v="2"/>
    <x v="31"/>
    <s v="Rural"/>
    <s v="Masculino"/>
    <x v="0"/>
    <x v="0"/>
    <s v="LOS 3 AÑOS"/>
    <s v="NO PARTICIPÓ"/>
    <x v="32"/>
    <s v="EL MILAGRO2 Secundaria"/>
  </r>
  <r>
    <n v="47"/>
    <x v="3"/>
    <s v="Secundaria"/>
    <x v="2"/>
    <x v="31"/>
    <s v="Rural"/>
    <s v="Masculino"/>
    <x v="0"/>
    <x v="0"/>
    <s v="LOS 3 AÑOS"/>
    <s v="NO PARTICIPÓ"/>
    <x v="32"/>
    <s v="EL MILAGRO2 Secundaria"/>
  </r>
  <r>
    <n v="48"/>
    <x v="3"/>
    <s v="Secundaria"/>
    <x v="2"/>
    <x v="31"/>
    <s v="Rural"/>
    <s v="Femenino"/>
    <x v="1"/>
    <x v="0"/>
    <s v="LOS 3 AÑOS"/>
    <s v="NO PARTICIPÓ"/>
    <x v="32"/>
    <s v="EL MILAGRO2 Secundaria"/>
  </r>
  <r>
    <n v="49"/>
    <x v="3"/>
    <s v="Secundaria"/>
    <x v="3"/>
    <x v="31"/>
    <s v="Rural"/>
    <s v="Masculino"/>
    <x v="0"/>
    <x v="0"/>
    <s v="LOS 3 AÑOS"/>
    <s v="NO PARTICIPÓ"/>
    <x v="32"/>
    <s v="EL MILAGRO4 Secundaria"/>
  </r>
  <r>
    <n v="50"/>
    <x v="3"/>
    <s v="Secundaria"/>
    <x v="3"/>
    <x v="31"/>
    <s v="Rural"/>
    <s v="Masculino"/>
    <x v="0"/>
    <x v="0"/>
    <s v="LOS 3 AÑOS"/>
    <s v="NO PARTICIPÓ"/>
    <x v="32"/>
    <s v="EL MILAGRO4 Secundaria"/>
  </r>
  <r>
    <n v="51"/>
    <x v="3"/>
    <s v="Secundaria"/>
    <x v="3"/>
    <x v="31"/>
    <s v="Rural"/>
    <s v="Femenino"/>
    <x v="0"/>
    <x v="0"/>
    <s v="LOS 3 AÑOS"/>
    <s v="NO PARTICIPÓ"/>
    <x v="32"/>
    <s v="EL MILAGRO4 Secundaria"/>
  </r>
  <r>
    <n v="52"/>
    <x v="3"/>
    <s v="Secundaria"/>
    <x v="3"/>
    <x v="31"/>
    <s v="Rural"/>
    <s v="Masculino"/>
    <x v="0"/>
    <x v="0"/>
    <s v="LOS 3 AÑOS"/>
    <s v="NO PARTICIPÓ"/>
    <x v="32"/>
    <s v="EL MILAGRO4 Secundaria"/>
  </r>
  <r>
    <n v="53"/>
    <x v="3"/>
    <s v="Secundaria"/>
    <x v="3"/>
    <x v="31"/>
    <s v="Rural"/>
    <s v="Masculino"/>
    <x v="0"/>
    <x v="0"/>
    <s v="LOS 3 AÑOS"/>
    <s v="NO PARTICIPÓ"/>
    <x v="32"/>
    <s v="EL MILAGRO4 Secundaria"/>
  </r>
  <r>
    <n v="54"/>
    <x v="3"/>
    <s v="Secundaria"/>
    <x v="3"/>
    <x v="31"/>
    <s v="Rural"/>
    <s v="Masculino"/>
    <x v="0"/>
    <x v="0"/>
    <s v="LOS 3 AÑOS"/>
    <s v="NO PARTICIPÓ"/>
    <x v="32"/>
    <s v="EL MILAGRO4 Secundaria"/>
  </r>
  <r>
    <n v="55"/>
    <x v="3"/>
    <s v="Secundaria"/>
    <x v="3"/>
    <x v="31"/>
    <s v="Rural"/>
    <s v="Masculino"/>
    <x v="1"/>
    <x v="0"/>
    <s v="LOS 3 AÑOS"/>
    <s v="NO PARTICIPÓ"/>
    <x v="32"/>
    <s v="EL MILAGRO4 Secundaria"/>
  </r>
  <r>
    <n v="56"/>
    <x v="3"/>
    <s v="Secundaria"/>
    <x v="3"/>
    <x v="31"/>
    <s v="Rural"/>
    <s v="Masculino"/>
    <x v="0"/>
    <x v="0"/>
    <s v="LOS 3 AÑOS"/>
    <s v="NO PARTICIPÓ"/>
    <x v="32"/>
    <s v="EL MILAGRO4 Secundaria"/>
  </r>
  <r>
    <n v="57"/>
    <x v="3"/>
    <s v="Secundaria"/>
    <x v="3"/>
    <x v="31"/>
    <s v="Rural"/>
    <s v="Masculino"/>
    <x v="0"/>
    <x v="0"/>
    <s v="LOS 3 AÑOS"/>
    <s v="NO PARTICIPÓ"/>
    <x v="32"/>
    <s v="EL MILAGRO4 Secundaria"/>
  </r>
  <r>
    <n v="58"/>
    <x v="3"/>
    <s v="Secundaria"/>
    <x v="3"/>
    <x v="31"/>
    <s v="Rural"/>
    <s v="Femenino"/>
    <x v="0"/>
    <x v="0"/>
    <s v="LOS 3 AÑOS"/>
    <s v="NO PARTICIPÓ"/>
    <x v="32"/>
    <s v="EL MILAGRO4 Secundaria"/>
  </r>
  <r>
    <n v="59"/>
    <x v="3"/>
    <s v="Secundaria"/>
    <x v="3"/>
    <x v="31"/>
    <s v="Rural"/>
    <s v="Masculino"/>
    <x v="0"/>
    <x v="0"/>
    <s v="LOS 3 AÑOS"/>
    <s v="NO PARTICIPÓ"/>
    <x v="32"/>
    <s v="EL MILAGRO4 Secundaria"/>
  </r>
  <r>
    <n v="60"/>
    <x v="3"/>
    <s v="Secundaria"/>
    <x v="3"/>
    <x v="31"/>
    <s v="Rural"/>
    <s v="Masculino"/>
    <x v="0"/>
    <x v="0"/>
    <s v="LOS 3 AÑOS"/>
    <s v="NO PARTICIPÓ"/>
    <x v="32"/>
    <s v="EL MILAGRO4 Secundaria"/>
  </r>
  <r>
    <n v="61"/>
    <x v="3"/>
    <s v="Secundaria"/>
    <x v="3"/>
    <x v="31"/>
    <s v="Rural"/>
    <s v="Masculino"/>
    <x v="0"/>
    <x v="0"/>
    <s v="LOS 3 AÑOS"/>
    <s v="NO PARTICIPÓ"/>
    <x v="32"/>
    <s v="EL MILAGRO4 Secundaria"/>
  </r>
  <r>
    <n v="62"/>
    <x v="3"/>
    <s v="Secundaria"/>
    <x v="3"/>
    <x v="31"/>
    <s v="Rural"/>
    <s v="Masculino"/>
    <x v="0"/>
    <x v="0"/>
    <s v="LOS 3 AÑOS"/>
    <s v="NO PARTICIPÓ"/>
    <x v="32"/>
    <s v="EL MILAGRO4 Secundaria"/>
  </r>
  <r>
    <n v="63"/>
    <x v="3"/>
    <s v="Secundaria"/>
    <x v="3"/>
    <x v="31"/>
    <s v="Rural"/>
    <s v="Masculino"/>
    <x v="0"/>
    <x v="0"/>
    <s v="LOS 3 AÑOS"/>
    <s v="NO PARTICIPÓ"/>
    <x v="32"/>
    <s v="EL MILAGRO4 Secundaria"/>
  </r>
  <r>
    <n v="64"/>
    <x v="3"/>
    <s v="Secundaria"/>
    <x v="3"/>
    <x v="31"/>
    <s v="Rural"/>
    <s v="Femenino"/>
    <x v="0"/>
    <x v="0"/>
    <s v="LOS 3 AÑOS"/>
    <s v="NO PARTICIPÓ"/>
    <x v="32"/>
    <s v="EL MILAGRO4 Secundaria"/>
  </r>
  <r>
    <n v="65"/>
    <x v="3"/>
    <s v="Secundaria"/>
    <x v="3"/>
    <x v="31"/>
    <s v="Rural"/>
    <s v="Femenino"/>
    <x v="0"/>
    <x v="0"/>
    <s v="LOS 3 AÑOS"/>
    <s v="NO PARTICIPÓ"/>
    <x v="32"/>
    <s v="EL MILAGRO4 Secundaria"/>
  </r>
  <r>
    <n v="66"/>
    <x v="3"/>
    <s v="Secundaria"/>
    <x v="3"/>
    <x v="31"/>
    <s v="Rural"/>
    <s v="Femenino"/>
    <x v="0"/>
    <x v="0"/>
    <s v="LOS 3 AÑOS"/>
    <s v="NO PARTICIPÓ"/>
    <x v="32"/>
    <s v="EL MILAGRO4 Secundaria"/>
  </r>
  <r>
    <n v="67"/>
    <x v="3"/>
    <s v="Secundaria"/>
    <x v="3"/>
    <x v="31"/>
    <s v="Rural"/>
    <s v="Masculino"/>
    <x v="0"/>
    <x v="0"/>
    <s v="LOS 3 AÑOS"/>
    <s v="NO PARTICIPÓ"/>
    <x v="32"/>
    <s v="EL MILAGRO4 Secundaria"/>
  </r>
  <r>
    <n v="68"/>
    <x v="3"/>
    <s v="Secundaria"/>
    <x v="3"/>
    <x v="31"/>
    <s v="Rural"/>
    <s v="Femenino"/>
    <x v="0"/>
    <x v="0"/>
    <s v="LOS 3 AÑOS"/>
    <s v="NO PARTICIPÓ"/>
    <x v="32"/>
    <s v="EL MILAGRO4 Secundaria"/>
  </r>
  <r>
    <n v="69"/>
    <x v="3"/>
    <s v="Secundaria"/>
    <x v="3"/>
    <x v="31"/>
    <s v="Rural"/>
    <s v="Femenino"/>
    <x v="0"/>
    <x v="0"/>
    <s v="LOS 3 AÑOS"/>
    <s v="NO PARTICIPÓ"/>
    <x v="32"/>
    <s v="EL MILAGRO4 Secundaria"/>
  </r>
  <r>
    <n v="70"/>
    <x v="3"/>
    <s v="Secundaria"/>
    <x v="3"/>
    <x v="31"/>
    <s v="Rural"/>
    <s v="Femenino"/>
    <x v="0"/>
    <x v="0"/>
    <s v="LOS 3 AÑOS"/>
    <s v="NO PARTICIPÓ"/>
    <x v="32"/>
    <s v="EL MILAGRO4 Secundaria"/>
  </r>
  <r>
    <n v="71"/>
    <x v="3"/>
    <s v="Secundaria"/>
    <x v="3"/>
    <x v="31"/>
    <s v="Rural"/>
    <s v="Masculino"/>
    <x v="0"/>
    <x v="0"/>
    <s v="LOS 3 AÑOS"/>
    <s v="NO PARTICIPÓ"/>
    <x v="32"/>
    <s v="EL MILAGRO4 Secundaria"/>
  </r>
  <r>
    <n v="72"/>
    <x v="3"/>
    <s v="Secundaria"/>
    <x v="3"/>
    <x v="31"/>
    <s v="Rural"/>
    <s v="Masculino"/>
    <x v="0"/>
    <x v="0"/>
    <s v="LOS 3 AÑOS"/>
    <s v="NO PARTICIPÓ"/>
    <x v="32"/>
    <s v="EL MILAGRO4 Secundaria"/>
  </r>
  <r>
    <n v="73"/>
    <x v="3"/>
    <s v="Primaria"/>
    <x v="4"/>
    <x v="32"/>
    <s v="Rural"/>
    <s v="Masculino"/>
    <x v="0"/>
    <x v="0"/>
    <s v="SOLO 2024"/>
    <s v="PADD 2023 Y 2024"/>
    <x v="33"/>
    <s v="6016142 Primaria"/>
  </r>
  <r>
    <n v="74"/>
    <x v="3"/>
    <s v="Primaria"/>
    <x v="0"/>
    <x v="32"/>
    <s v="Rural"/>
    <s v="Femenino"/>
    <x v="1"/>
    <x v="0"/>
    <s v="2023 Y 2024"/>
    <s v="PADD 2023 Y 2024"/>
    <x v="33"/>
    <s v="6016144 Primaria"/>
  </r>
  <r>
    <n v="75"/>
    <x v="3"/>
    <s v="Primaria"/>
    <x v="4"/>
    <x v="33"/>
    <s v="Rural"/>
    <s v="Masculino"/>
    <x v="0"/>
    <x v="0"/>
    <s v="SOLO 2024"/>
    <s v="SOLO 2024"/>
    <x v="34"/>
    <s v="60101782 primaria"/>
  </r>
  <r>
    <n v="76"/>
    <x v="3"/>
    <s v="Primaria"/>
    <x v="1"/>
    <x v="33"/>
    <s v="Rural"/>
    <s v="Femenino"/>
    <x v="2"/>
    <x v="0"/>
    <s v="SOLO 2024"/>
    <s v="SOLO 2024"/>
    <x v="34"/>
    <s v="60101786 Primaria"/>
  </r>
  <r>
    <n v="77"/>
    <x v="3"/>
    <s v="Primaria"/>
    <x v="4"/>
    <x v="34"/>
    <s v="Rural"/>
    <s v="Femenino"/>
    <x v="0"/>
    <x v="0"/>
    <s v="2023 Y 2024"/>
    <s v="SOLO 2023"/>
    <x v="35"/>
    <s v="6015142 Primaria"/>
  </r>
  <r>
    <n v="78"/>
    <x v="3"/>
    <s v="Primaria"/>
    <x v="0"/>
    <x v="34"/>
    <s v="Rural"/>
    <s v="Femenino"/>
    <x v="0"/>
    <x v="0"/>
    <s v="2023 Y 2024"/>
    <s v="SOLO 2023"/>
    <x v="35"/>
    <s v="6015144 Primaria"/>
  </r>
  <r>
    <n v="79"/>
    <x v="3"/>
    <s v="Primaria"/>
    <x v="1"/>
    <x v="34"/>
    <s v="Rural"/>
    <s v="Masculino"/>
    <x v="0"/>
    <x v="0"/>
    <s v="2023 Y 2024"/>
    <s v="SOLO 2023"/>
    <x v="35"/>
    <s v="6015146 Primaria"/>
  </r>
  <r>
    <n v="80"/>
    <x v="3"/>
    <s v="Primaria"/>
    <x v="1"/>
    <x v="34"/>
    <s v="Rural"/>
    <s v="Femenino"/>
    <x v="0"/>
    <x v="0"/>
    <s v="2023 Y 2024"/>
    <s v="SOLO 2023"/>
    <x v="35"/>
    <s v="6015146 Primaria"/>
  </r>
  <r>
    <n v="81"/>
    <x v="3"/>
    <s v="Primaria"/>
    <x v="4"/>
    <x v="35"/>
    <s v="Rural"/>
    <s v="Masculino"/>
    <x v="0"/>
    <x v="0"/>
    <s v="LOS 3 AÑOS"/>
    <s v="SOLO 2023"/>
    <x v="36"/>
    <s v="6013312 Primaria"/>
  </r>
  <r>
    <n v="82"/>
    <x v="3"/>
    <s v="Primaria"/>
    <x v="4"/>
    <x v="35"/>
    <s v="Rural"/>
    <s v="Masculino"/>
    <x v="0"/>
    <x v="0"/>
    <s v="LOS 3 AÑOS"/>
    <s v="SOLO 2023"/>
    <x v="36"/>
    <s v="6013312 Primaria"/>
  </r>
  <r>
    <n v="83"/>
    <x v="3"/>
    <s v="Primaria"/>
    <x v="4"/>
    <x v="35"/>
    <s v="Rural"/>
    <s v="Masculino"/>
    <x v="0"/>
    <x v="0"/>
    <s v="LOS 3 AÑOS"/>
    <s v="SOLO 2023"/>
    <x v="36"/>
    <s v="6013312 Primaria"/>
  </r>
  <r>
    <n v="84"/>
    <x v="3"/>
    <s v="Primaria"/>
    <x v="4"/>
    <x v="35"/>
    <s v="Rural"/>
    <s v="Femenino"/>
    <x v="0"/>
    <x v="0"/>
    <s v="LOS 3 AÑOS"/>
    <s v="SOLO 2023"/>
    <x v="36"/>
    <s v="6013312 Primaria"/>
  </r>
  <r>
    <n v="85"/>
    <x v="3"/>
    <s v="Primaria"/>
    <x v="4"/>
    <x v="35"/>
    <s v="Rural"/>
    <s v="Masculino"/>
    <x v="0"/>
    <x v="0"/>
    <s v="LOS 3 AÑOS"/>
    <s v="SOLO 2023"/>
    <x v="36"/>
    <s v="6013312 Primaria"/>
  </r>
  <r>
    <n v="86"/>
    <x v="3"/>
    <s v="Primaria"/>
    <x v="4"/>
    <x v="35"/>
    <s v="Rural"/>
    <s v="Femenino"/>
    <x v="0"/>
    <x v="0"/>
    <s v="LOS 3 AÑOS"/>
    <s v="SOLO 2023"/>
    <x v="36"/>
    <s v="6013312 Primaria"/>
  </r>
  <r>
    <n v="87"/>
    <x v="3"/>
    <s v="Primaria"/>
    <x v="4"/>
    <x v="35"/>
    <s v="Rural"/>
    <s v="Femenino"/>
    <x v="0"/>
    <x v="0"/>
    <s v="LOS 3 AÑOS"/>
    <s v="SOLO 2023"/>
    <x v="36"/>
    <s v="6013312 Primaria"/>
  </r>
  <r>
    <n v="88"/>
    <x v="3"/>
    <s v="Primaria"/>
    <x v="4"/>
    <x v="35"/>
    <s v="Rural"/>
    <s v="Masculino"/>
    <x v="0"/>
    <x v="0"/>
    <s v="LOS 3 AÑOS"/>
    <s v="SOLO 2023"/>
    <x v="36"/>
    <s v="6013312 Primaria"/>
  </r>
  <r>
    <n v="89"/>
    <x v="3"/>
    <s v="Primaria"/>
    <x v="4"/>
    <x v="35"/>
    <s v="Rural"/>
    <s v="Femenino"/>
    <x v="0"/>
    <x v="0"/>
    <s v="LOS 3 AÑOS"/>
    <s v="SOLO 2023"/>
    <x v="36"/>
    <s v="6013312 Primaria"/>
  </r>
  <r>
    <n v="90"/>
    <x v="3"/>
    <s v="Primaria"/>
    <x v="0"/>
    <x v="35"/>
    <s v="Rural"/>
    <s v="Masculino"/>
    <x v="0"/>
    <x v="0"/>
    <s v="LOS 3 AÑOS"/>
    <s v="SOLO 2023"/>
    <x v="36"/>
    <s v="6013314 Primaria"/>
  </r>
  <r>
    <n v="91"/>
    <x v="3"/>
    <s v="Primaria"/>
    <x v="0"/>
    <x v="35"/>
    <s v="Rural"/>
    <s v="Femenino"/>
    <x v="0"/>
    <x v="0"/>
    <s v="LOS 3 AÑOS"/>
    <s v="SOLO 2023"/>
    <x v="36"/>
    <s v="6013314 Primaria"/>
  </r>
  <r>
    <n v="92"/>
    <x v="3"/>
    <s v="Primaria"/>
    <x v="0"/>
    <x v="35"/>
    <s v="Rural"/>
    <s v="Femenino"/>
    <x v="1"/>
    <x v="0"/>
    <s v="LOS 3 AÑOS"/>
    <s v="SOLO 2023"/>
    <x v="36"/>
    <s v="6013314 Primaria"/>
  </r>
  <r>
    <n v="93"/>
    <x v="3"/>
    <s v="Primaria"/>
    <x v="0"/>
    <x v="35"/>
    <s v="Rural"/>
    <s v="Masculino"/>
    <x v="0"/>
    <x v="0"/>
    <s v="LOS 3 AÑOS"/>
    <s v="SOLO 2023"/>
    <x v="36"/>
    <s v="6013314 Primaria"/>
  </r>
  <r>
    <n v="94"/>
    <x v="3"/>
    <s v="Primaria"/>
    <x v="0"/>
    <x v="35"/>
    <s v="Rural"/>
    <s v="Masculino"/>
    <x v="0"/>
    <x v="0"/>
    <s v="LOS 3 AÑOS"/>
    <s v="SOLO 2023"/>
    <x v="36"/>
    <s v="6013314 Primaria"/>
  </r>
  <r>
    <n v="95"/>
    <x v="3"/>
    <s v="Primaria"/>
    <x v="0"/>
    <x v="35"/>
    <s v="Rural"/>
    <s v="Masculino"/>
    <x v="0"/>
    <x v="0"/>
    <s v="LOS 3 AÑOS"/>
    <s v="SOLO 2023"/>
    <x v="36"/>
    <s v="6013314 Primaria"/>
  </r>
  <r>
    <n v="96"/>
    <x v="3"/>
    <s v="Primaria"/>
    <x v="0"/>
    <x v="35"/>
    <s v="Rural"/>
    <s v="Femenino"/>
    <x v="1"/>
    <x v="0"/>
    <s v="LOS 3 AÑOS"/>
    <s v="SOLO 2023"/>
    <x v="36"/>
    <s v="6013314 Primaria"/>
  </r>
  <r>
    <n v="97"/>
    <x v="3"/>
    <s v="Primaria"/>
    <x v="1"/>
    <x v="35"/>
    <s v="Rural"/>
    <s v="Masculino"/>
    <x v="1"/>
    <x v="0"/>
    <s v="LOS 3 AÑOS"/>
    <s v="SOLO 2023"/>
    <x v="36"/>
    <s v="6013316 Primaria"/>
  </r>
  <r>
    <n v="98"/>
    <x v="3"/>
    <s v="Primaria"/>
    <x v="1"/>
    <x v="35"/>
    <s v="Rural"/>
    <s v="Femenino"/>
    <x v="1"/>
    <x v="0"/>
    <s v="LOS 3 AÑOS"/>
    <s v="SOLO 2023"/>
    <x v="36"/>
    <s v="6013316 Primaria"/>
  </r>
  <r>
    <n v="99"/>
    <x v="3"/>
    <s v="Primaria"/>
    <x v="1"/>
    <x v="35"/>
    <s v="Rural"/>
    <s v="Femenino"/>
    <x v="1"/>
    <x v="0"/>
    <s v="LOS 3 AÑOS"/>
    <s v="SOLO 2023"/>
    <x v="36"/>
    <s v="6013316 Primaria"/>
  </r>
  <r>
    <n v="100"/>
    <x v="3"/>
    <s v="Primaria"/>
    <x v="1"/>
    <x v="35"/>
    <s v="Rural"/>
    <s v="Masculino"/>
    <x v="1"/>
    <x v="0"/>
    <s v="LOS 3 AÑOS"/>
    <s v="SOLO 2023"/>
    <x v="36"/>
    <s v="6013316 Primaria"/>
  </r>
  <r>
    <n v="101"/>
    <x v="3"/>
    <s v="Primaria"/>
    <x v="1"/>
    <x v="35"/>
    <s v="Rural"/>
    <s v="Masculino"/>
    <x v="1"/>
    <x v="0"/>
    <s v="LOS 3 AÑOS"/>
    <s v="SOLO 2023"/>
    <x v="36"/>
    <s v="6013316 Primaria"/>
  </r>
  <r>
    <n v="102"/>
    <x v="3"/>
    <s v="Primaria"/>
    <x v="1"/>
    <x v="35"/>
    <s v="Rural"/>
    <s v="Femenino"/>
    <x v="1"/>
    <x v="0"/>
    <s v="LOS 3 AÑOS"/>
    <s v="SOLO 2023"/>
    <x v="36"/>
    <s v="6013316 Primaria"/>
  </r>
  <r>
    <n v="103"/>
    <x v="3"/>
    <s v="Primaria"/>
    <x v="1"/>
    <x v="35"/>
    <s v="Rural"/>
    <s v="Femenino"/>
    <x v="1"/>
    <x v="0"/>
    <s v="LOS 3 AÑOS"/>
    <s v="SOLO 2023"/>
    <x v="36"/>
    <s v="6013316 Primaria"/>
  </r>
  <r>
    <n v="104"/>
    <x v="3"/>
    <s v="Primaria"/>
    <x v="1"/>
    <x v="35"/>
    <s v="Rural"/>
    <s v="Femenino"/>
    <x v="2"/>
    <x v="0"/>
    <s v="LOS 3 AÑOS"/>
    <s v="SOLO 2023"/>
    <x v="36"/>
    <s v="6013316 Primaria"/>
  </r>
  <r>
    <n v="105"/>
    <x v="3"/>
    <s v="Primaria"/>
    <x v="1"/>
    <x v="35"/>
    <s v="Rural"/>
    <s v="Masculino"/>
    <x v="1"/>
    <x v="0"/>
    <s v="LOS 3 AÑOS"/>
    <s v="SOLO 2023"/>
    <x v="36"/>
    <s v="6013316 Primaria"/>
  </r>
  <r>
    <n v="106"/>
    <x v="3"/>
    <s v="Secundaria"/>
    <x v="2"/>
    <x v="35"/>
    <s v="Rural"/>
    <s v="Femenino"/>
    <x v="1"/>
    <x v="0"/>
    <s v="LOS 3 AÑOS"/>
    <s v="SOLO 2023"/>
    <x v="36"/>
    <s v="6013312 Secundaria"/>
  </r>
  <r>
    <n v="107"/>
    <x v="3"/>
    <s v="Secundaria"/>
    <x v="2"/>
    <x v="35"/>
    <s v="Rural"/>
    <s v="Femenino"/>
    <x v="1"/>
    <x v="0"/>
    <s v="LOS 3 AÑOS"/>
    <s v="SOLO 2023"/>
    <x v="36"/>
    <s v="6013312 Secundaria"/>
  </r>
  <r>
    <n v="108"/>
    <x v="3"/>
    <s v="Secundaria"/>
    <x v="2"/>
    <x v="35"/>
    <s v="Rural"/>
    <s v="Masculino"/>
    <x v="0"/>
    <x v="0"/>
    <s v="LOS 3 AÑOS"/>
    <s v="SOLO 2023"/>
    <x v="36"/>
    <s v="6013312 Secundaria"/>
  </r>
  <r>
    <n v="109"/>
    <x v="3"/>
    <s v="Secundaria"/>
    <x v="2"/>
    <x v="35"/>
    <s v="Rural"/>
    <s v="Femenino"/>
    <x v="1"/>
    <x v="0"/>
    <s v="LOS 3 AÑOS"/>
    <s v="SOLO 2023"/>
    <x v="36"/>
    <s v="6013312 Secundaria"/>
  </r>
  <r>
    <n v="110"/>
    <x v="3"/>
    <s v="Secundaria"/>
    <x v="2"/>
    <x v="35"/>
    <s v="Rural"/>
    <s v="Masculino"/>
    <x v="1"/>
    <x v="0"/>
    <s v="LOS 3 AÑOS"/>
    <s v="SOLO 2023"/>
    <x v="36"/>
    <s v="6013312 Secundaria"/>
  </r>
  <r>
    <n v="111"/>
    <x v="3"/>
    <s v="Secundaria"/>
    <x v="2"/>
    <x v="35"/>
    <s v="Rural"/>
    <s v="Masculino"/>
    <x v="0"/>
    <x v="0"/>
    <s v="LOS 3 AÑOS"/>
    <s v="SOLO 2023"/>
    <x v="36"/>
    <s v="6013312 Secundaria"/>
  </r>
  <r>
    <n v="112"/>
    <x v="3"/>
    <s v="Secundaria"/>
    <x v="2"/>
    <x v="35"/>
    <s v="Rural"/>
    <s v="Masculino"/>
    <x v="0"/>
    <x v="0"/>
    <s v="LOS 3 AÑOS"/>
    <s v="SOLO 2023"/>
    <x v="36"/>
    <s v="6013312 Secundaria"/>
  </r>
  <r>
    <n v="113"/>
    <x v="3"/>
    <s v="Secundaria"/>
    <x v="2"/>
    <x v="35"/>
    <s v="Rural"/>
    <s v="Femenino"/>
    <x v="1"/>
    <x v="0"/>
    <s v="LOS 3 AÑOS"/>
    <s v="SOLO 2023"/>
    <x v="36"/>
    <s v="6013312 Secundaria"/>
  </r>
  <r>
    <n v="114"/>
    <x v="3"/>
    <s v="Secundaria"/>
    <x v="2"/>
    <x v="35"/>
    <s v="Rural"/>
    <s v="Masculino"/>
    <x v="1"/>
    <x v="0"/>
    <s v="LOS 3 AÑOS"/>
    <s v="SOLO 2023"/>
    <x v="36"/>
    <s v="6013312 Secundaria"/>
  </r>
  <r>
    <n v="115"/>
    <x v="3"/>
    <s v="Secundaria"/>
    <x v="2"/>
    <x v="35"/>
    <s v="Rural"/>
    <s v="Masculino"/>
    <x v="1"/>
    <x v="0"/>
    <s v="LOS 3 AÑOS"/>
    <s v="SOLO 2023"/>
    <x v="36"/>
    <s v="6013312 Secundaria"/>
  </r>
  <r>
    <n v="116"/>
    <x v="3"/>
    <s v="Secundaria"/>
    <x v="2"/>
    <x v="35"/>
    <s v="Rural"/>
    <s v="Masculino"/>
    <x v="0"/>
    <x v="0"/>
    <s v="LOS 3 AÑOS"/>
    <s v="SOLO 2023"/>
    <x v="36"/>
    <s v="6013312 Secundaria"/>
  </r>
  <r>
    <n v="117"/>
    <x v="3"/>
    <s v="Secundaria"/>
    <x v="2"/>
    <x v="35"/>
    <s v="Rural"/>
    <s v="Femenino"/>
    <x v="1"/>
    <x v="0"/>
    <s v="LOS 3 AÑOS"/>
    <s v="SOLO 2023"/>
    <x v="36"/>
    <s v="6013312 Secundaria"/>
  </r>
  <r>
    <n v="118"/>
    <x v="3"/>
    <s v="Secundaria"/>
    <x v="3"/>
    <x v="35"/>
    <s v="Rural"/>
    <s v="Femenino"/>
    <x v="0"/>
    <x v="0"/>
    <s v="LOS 3 AÑOS"/>
    <s v="SOLO 2023"/>
    <x v="36"/>
    <s v="6013314 Secundaria"/>
  </r>
  <r>
    <n v="119"/>
    <x v="3"/>
    <s v="Secundaria"/>
    <x v="3"/>
    <x v="35"/>
    <s v="Rural"/>
    <s v="Masculino"/>
    <x v="1"/>
    <x v="0"/>
    <s v="LOS 3 AÑOS"/>
    <s v="SOLO 2023"/>
    <x v="36"/>
    <s v="6013314 Secundaria"/>
  </r>
  <r>
    <n v="120"/>
    <x v="3"/>
    <s v="Secundaria"/>
    <x v="3"/>
    <x v="35"/>
    <s v="Rural"/>
    <s v="Masculino"/>
    <x v="1"/>
    <x v="0"/>
    <s v="LOS 3 AÑOS"/>
    <s v="SOLO 2023"/>
    <x v="36"/>
    <s v="6013314 Secundaria"/>
  </r>
  <r>
    <n v="121"/>
    <x v="3"/>
    <s v="Secundaria"/>
    <x v="3"/>
    <x v="35"/>
    <s v="Rural"/>
    <s v="Masculino"/>
    <x v="0"/>
    <x v="0"/>
    <s v="LOS 3 AÑOS"/>
    <s v="SOLO 2023"/>
    <x v="36"/>
    <s v="6013314 Secundaria"/>
  </r>
  <r>
    <n v="122"/>
    <x v="3"/>
    <s v="Secundaria"/>
    <x v="3"/>
    <x v="35"/>
    <s v="Rural"/>
    <s v="Masculino"/>
    <x v="1"/>
    <x v="0"/>
    <s v="LOS 3 AÑOS"/>
    <s v="SOLO 2023"/>
    <x v="36"/>
    <s v="6013314 Secundaria"/>
  </r>
  <r>
    <n v="123"/>
    <x v="3"/>
    <s v="Secundaria"/>
    <x v="3"/>
    <x v="35"/>
    <s v="Rural"/>
    <s v="Masculino"/>
    <x v="1"/>
    <x v="0"/>
    <s v="LOS 3 AÑOS"/>
    <s v="SOLO 2023"/>
    <x v="36"/>
    <s v="6013314 Secundaria"/>
  </r>
  <r>
    <n v="124"/>
    <x v="3"/>
    <s v="Secundaria"/>
    <x v="3"/>
    <x v="35"/>
    <s v="Rural"/>
    <s v="Femenino"/>
    <x v="1"/>
    <x v="0"/>
    <s v="LOS 3 AÑOS"/>
    <s v="SOLO 2023"/>
    <x v="36"/>
    <s v="6013314 Secundaria"/>
  </r>
  <r>
    <n v="125"/>
    <x v="3"/>
    <s v="Secundaria"/>
    <x v="3"/>
    <x v="35"/>
    <s v="Rural"/>
    <s v="Femenino"/>
    <x v="1"/>
    <x v="0"/>
    <s v="LOS 3 AÑOS"/>
    <s v="SOLO 2023"/>
    <x v="36"/>
    <s v="6013314 Secundaria"/>
  </r>
  <r>
    <n v="126"/>
    <x v="3"/>
    <s v="Secundaria"/>
    <x v="3"/>
    <x v="35"/>
    <s v="Rural"/>
    <s v="Masculino"/>
    <x v="1"/>
    <x v="0"/>
    <s v="LOS 3 AÑOS"/>
    <s v="SOLO 2023"/>
    <x v="36"/>
    <s v="6013314 Secundaria"/>
  </r>
  <r>
    <n v="127"/>
    <x v="3"/>
    <s v="Secundaria"/>
    <x v="3"/>
    <x v="35"/>
    <s v="Rural"/>
    <s v="Femenino"/>
    <x v="1"/>
    <x v="0"/>
    <s v="LOS 3 AÑOS"/>
    <s v="SOLO 2023"/>
    <x v="36"/>
    <s v="6013314 Secundaria"/>
  </r>
  <r>
    <n v="128"/>
    <x v="3"/>
    <s v="Secundaria"/>
    <x v="3"/>
    <x v="35"/>
    <s v="Rural"/>
    <s v="Masculino"/>
    <x v="1"/>
    <x v="0"/>
    <s v="LOS 3 AÑOS"/>
    <s v="SOLO 2023"/>
    <x v="36"/>
    <s v="6013314 Secundaria"/>
  </r>
  <r>
    <n v="129"/>
    <x v="3"/>
    <s v="Primaria"/>
    <x v="4"/>
    <x v="36"/>
    <s v="Rural"/>
    <s v="Femenino"/>
    <x v="1"/>
    <x v="0"/>
    <s v="SOLO 2024"/>
    <s v="SOLO 2024"/>
    <x v="37"/>
    <s v="6013912 Primaria"/>
  </r>
  <r>
    <n v="130"/>
    <x v="3"/>
    <s v="Primaria"/>
    <x v="1"/>
    <x v="36"/>
    <s v="Rural"/>
    <s v="Masculino"/>
    <x v="0"/>
    <x v="0"/>
    <s v="SOLO 2024"/>
    <s v="SOLO 2024"/>
    <x v="37"/>
    <s v="6013916 Primaria"/>
  </r>
  <r>
    <n v="131"/>
    <x v="3"/>
    <s v="Primaria"/>
    <x v="4"/>
    <x v="37"/>
    <s v="Rural"/>
    <s v="Femenino"/>
    <x v="0"/>
    <x v="0"/>
    <s v="SOLO 2024"/>
    <s v="SOLO 2024"/>
    <x v="38"/>
    <s v="6015702 Primaria"/>
  </r>
  <r>
    <n v="132"/>
    <x v="3"/>
    <s v="Primaria"/>
    <x v="4"/>
    <x v="37"/>
    <s v="Rural"/>
    <s v="Masculino"/>
    <x v="0"/>
    <x v="0"/>
    <s v="SOLO 2024"/>
    <s v="SOLO 2024"/>
    <x v="38"/>
    <s v="6015702 Primaria"/>
  </r>
  <r>
    <n v="133"/>
    <x v="3"/>
    <s v="Primaria"/>
    <x v="1"/>
    <x v="37"/>
    <s v="Rural"/>
    <s v="Masculino"/>
    <x v="0"/>
    <x v="0"/>
    <s v="SOLO 2024"/>
    <s v="SOLO 2024"/>
    <x v="38"/>
    <s v="6015706 Primaria"/>
  </r>
  <r>
    <n v="134"/>
    <x v="3"/>
    <s v="Primaria"/>
    <x v="0"/>
    <x v="38"/>
    <s v="Rural"/>
    <s v="Femenino"/>
    <x v="0"/>
    <x v="0"/>
    <s v="SOLO 2024"/>
    <s v="SOLO 2024"/>
    <x v="39"/>
    <s v="6016784 Primaria"/>
  </r>
  <r>
    <n v="135"/>
    <x v="3"/>
    <s v="Primaria"/>
    <x v="1"/>
    <x v="38"/>
    <s v="Rural"/>
    <s v="Masculino"/>
    <x v="0"/>
    <x v="0"/>
    <s v="SOLO 2024"/>
    <s v="SOLO 2024"/>
    <x v="39"/>
    <s v="6016786 Primaria"/>
  </r>
  <r>
    <n v="136"/>
    <x v="3"/>
    <s v="Primaria"/>
    <x v="4"/>
    <x v="39"/>
    <s v="Rural"/>
    <s v="Masculino"/>
    <x v="0"/>
    <x v="0"/>
    <s v="2023 Y 2024"/>
    <s v="PADD 2023 Y 2024"/>
    <x v="40"/>
    <s v="6010230 BARBARA D'ACHILLE2 Primaria"/>
  </r>
  <r>
    <n v="137"/>
    <x v="3"/>
    <s v="Primaria"/>
    <x v="4"/>
    <x v="39"/>
    <s v="Rural"/>
    <s v="Femenino"/>
    <x v="0"/>
    <x v="0"/>
    <s v="2023 Y 2024"/>
    <s v="PADD 2023 Y 2024"/>
    <x v="40"/>
    <s v="6010230 BARBARA D'ACHILLE2 Primaria"/>
  </r>
  <r>
    <n v="138"/>
    <x v="3"/>
    <s v="Primaria"/>
    <x v="0"/>
    <x v="39"/>
    <s v="Rural"/>
    <s v="Masculino"/>
    <x v="0"/>
    <x v="0"/>
    <s v="LOS 3 AÑOS"/>
    <s v="PADD 2023 Y 2024"/>
    <x v="40"/>
    <s v="6010230 BARBARA D'ACHILLE4 Primaria"/>
  </r>
  <r>
    <n v="139"/>
    <x v="3"/>
    <s v="Primaria"/>
    <x v="0"/>
    <x v="39"/>
    <s v="Rural"/>
    <s v="Masculino"/>
    <x v="0"/>
    <x v="0"/>
    <s v="LOS 3 AÑOS"/>
    <s v="PADD 2023 Y 2024"/>
    <x v="40"/>
    <s v="6010230 BARBARA D'ACHILLE4 Primaria"/>
  </r>
  <r>
    <n v="140"/>
    <x v="3"/>
    <s v="Primaria"/>
    <x v="1"/>
    <x v="39"/>
    <s v="Rural"/>
    <s v="Femenino"/>
    <x v="0"/>
    <x v="0"/>
    <s v="LOS 3 AÑOS"/>
    <s v="PADD 2023 Y 2024"/>
    <x v="40"/>
    <s v="6010230 BARBARA D'ACHILLE6 Primaria"/>
  </r>
  <r>
    <n v="141"/>
    <x v="3"/>
    <s v="Primaria"/>
    <x v="1"/>
    <x v="39"/>
    <s v="Rural"/>
    <s v="Masculino"/>
    <x v="0"/>
    <x v="0"/>
    <s v="LOS 3 AÑOS"/>
    <s v="PADD 2023 Y 2024"/>
    <x v="40"/>
    <s v="6010230 BARBARA D'ACHILLE6 Primaria"/>
  </r>
  <r>
    <n v="142"/>
    <x v="3"/>
    <s v="Primaria"/>
    <x v="1"/>
    <x v="39"/>
    <s v="Rural"/>
    <s v="Masculino"/>
    <x v="0"/>
    <x v="0"/>
    <s v="LOS 3 AÑOS"/>
    <s v="PADD 2023 Y 2024"/>
    <x v="40"/>
    <s v="6010230 BARBARA D'ACHILLE6 Primaria"/>
  </r>
  <r>
    <n v="143"/>
    <x v="3"/>
    <s v="Primaria"/>
    <x v="1"/>
    <x v="39"/>
    <s v="Rural"/>
    <s v="Masculino"/>
    <x v="0"/>
    <x v="0"/>
    <s v="LOS 3 AÑOS"/>
    <s v="PADD 2023 Y 2024"/>
    <x v="40"/>
    <s v="6010230 BARBARA D'ACHILLE6 Primaria"/>
  </r>
  <r>
    <n v="144"/>
    <x v="3"/>
    <s v="Secundaria"/>
    <x v="2"/>
    <x v="39"/>
    <s v="Rural"/>
    <s v="Masculino"/>
    <x v="0"/>
    <x v="0"/>
    <s v="LOS 3 AÑOS"/>
    <s v="PADD 2023 Y 2024"/>
    <x v="40"/>
    <s v="6010230 BARBARA D'ACHILLE2 Secundaria"/>
  </r>
  <r>
    <n v="145"/>
    <x v="3"/>
    <s v="Secundaria"/>
    <x v="2"/>
    <x v="39"/>
    <s v="Rural"/>
    <s v="Femenino"/>
    <x v="0"/>
    <x v="0"/>
    <s v="LOS 3 AÑOS"/>
    <s v="PADD 2023 Y 2024"/>
    <x v="40"/>
    <s v="6010230 BARBARA D'ACHILLE2 Secundaria"/>
  </r>
  <r>
    <n v="146"/>
    <x v="3"/>
    <s v="Secundaria"/>
    <x v="2"/>
    <x v="39"/>
    <s v="Rural"/>
    <s v="Masculino"/>
    <x v="0"/>
    <x v="0"/>
    <s v="LOS 3 AÑOS"/>
    <s v="PADD 2023 Y 2024"/>
    <x v="40"/>
    <s v="6010230 BARBARA D'ACHILLE2 Secundaria"/>
  </r>
  <r>
    <n v="147"/>
    <x v="3"/>
    <s v="Secundaria"/>
    <x v="2"/>
    <x v="39"/>
    <s v="Rural"/>
    <s v="Femenino"/>
    <x v="0"/>
    <x v="0"/>
    <s v="LOS 3 AÑOS"/>
    <s v="PADD 2023 Y 2024"/>
    <x v="40"/>
    <s v="6010230 BARBARA D'ACHILLE2 Secundaria"/>
  </r>
  <r>
    <n v="148"/>
    <x v="3"/>
    <s v="Secundaria"/>
    <x v="2"/>
    <x v="39"/>
    <s v="Rural"/>
    <s v="Masculino"/>
    <x v="0"/>
    <x v="0"/>
    <s v="LOS 3 AÑOS"/>
    <s v="PADD 2023 Y 2024"/>
    <x v="40"/>
    <s v="6010230 BARBARA D'ACHILLE2 Secundaria"/>
  </r>
  <r>
    <n v="149"/>
    <x v="3"/>
    <s v="Secundaria"/>
    <x v="2"/>
    <x v="39"/>
    <s v="Rural"/>
    <s v="Masculino"/>
    <x v="0"/>
    <x v="0"/>
    <s v="LOS 3 AÑOS"/>
    <s v="PADD 2023 Y 2024"/>
    <x v="40"/>
    <s v="6010230 BARBARA D'ACHILLE2 Secundaria"/>
  </r>
  <r>
    <n v="150"/>
    <x v="3"/>
    <s v="Secundaria"/>
    <x v="2"/>
    <x v="39"/>
    <s v="Rural"/>
    <s v="Masculino"/>
    <x v="0"/>
    <x v="0"/>
    <s v="LOS 3 AÑOS"/>
    <s v="PADD 2023 Y 2024"/>
    <x v="40"/>
    <s v="6010230 BARBARA D'ACHILLE2 Secundaria"/>
  </r>
  <r>
    <n v="151"/>
    <x v="3"/>
    <s v="Secundaria"/>
    <x v="2"/>
    <x v="39"/>
    <s v="Rural"/>
    <s v="Masculino"/>
    <x v="0"/>
    <x v="0"/>
    <s v="LOS 3 AÑOS"/>
    <s v="PADD 2023 Y 2024"/>
    <x v="40"/>
    <s v="6010230 BARBARA D'ACHILLE2 Secundaria"/>
  </r>
  <r>
    <n v="152"/>
    <x v="3"/>
    <s v="Secundaria"/>
    <x v="3"/>
    <x v="39"/>
    <s v="Rural"/>
    <s v="Femenino"/>
    <x v="0"/>
    <x v="0"/>
    <s v="LOS 3 AÑOS"/>
    <s v="PADD 2023 Y 2024"/>
    <x v="40"/>
    <s v="6010230 BARBARA D'ACHILLE4 Secundaria"/>
  </r>
  <r>
    <n v="153"/>
    <x v="3"/>
    <s v="Secundaria"/>
    <x v="3"/>
    <x v="39"/>
    <s v="Rural"/>
    <s v="Masculino"/>
    <x v="0"/>
    <x v="0"/>
    <s v="LOS 3 AÑOS"/>
    <s v="PADD 2023 Y 2024"/>
    <x v="40"/>
    <s v="6010230 BARBARA D'ACHILLE4 Secundaria"/>
  </r>
  <r>
    <n v="154"/>
    <x v="3"/>
    <s v="Secundaria"/>
    <x v="3"/>
    <x v="39"/>
    <s v="Rural"/>
    <s v="Femenino"/>
    <x v="0"/>
    <x v="0"/>
    <s v="LOS 3 AÑOS"/>
    <s v="PADD 2023 Y 2024"/>
    <x v="40"/>
    <s v="6010230 BARBARA D'ACHILLE4 Secundaria"/>
  </r>
  <r>
    <n v="155"/>
    <x v="3"/>
    <s v="Primaria"/>
    <x v="4"/>
    <x v="40"/>
    <s v="Rural"/>
    <s v="Masculino"/>
    <x v="0"/>
    <x v="0"/>
    <s v="SOLO 2024"/>
    <s v="SOLO 2024"/>
    <x v="41"/>
    <s v="601812 Primaria"/>
  </r>
  <r>
    <n v="156"/>
    <x v="3"/>
    <s v="Primaria"/>
    <x v="4"/>
    <x v="41"/>
    <s v="Rural"/>
    <s v="Masculino"/>
    <x v="0"/>
    <x v="0"/>
    <s v="SOLO 2024"/>
    <s v="SOLO 2024"/>
    <x v="42"/>
    <s v="60102312 Primaria"/>
  </r>
  <r>
    <n v="157"/>
    <x v="3"/>
    <s v="Primaria"/>
    <x v="4"/>
    <x v="41"/>
    <s v="Rural"/>
    <s v="Femenino"/>
    <x v="0"/>
    <x v="0"/>
    <s v="SOLO 2024"/>
    <s v="SOLO 2024"/>
    <x v="42"/>
    <s v="60102312 Primaria"/>
  </r>
  <r>
    <n v="158"/>
    <x v="3"/>
    <s v="Primaria"/>
    <x v="4"/>
    <x v="41"/>
    <s v="Rural"/>
    <s v="Femenino"/>
    <x v="0"/>
    <x v="0"/>
    <s v="SOLO 2024"/>
    <s v="SOLO 2024"/>
    <x v="42"/>
    <s v="60102312 Primaria"/>
  </r>
  <r>
    <n v="159"/>
    <x v="3"/>
    <s v="Primaria"/>
    <x v="4"/>
    <x v="41"/>
    <s v="Rural"/>
    <s v="Masculino"/>
    <x v="0"/>
    <x v="0"/>
    <s v="SOLO 2024"/>
    <s v="SOLO 2024"/>
    <x v="42"/>
    <s v="60102312 Primaria"/>
  </r>
  <r>
    <n v="160"/>
    <x v="3"/>
    <s v="Primaria"/>
    <x v="4"/>
    <x v="41"/>
    <s v="Rural"/>
    <s v="Masculino"/>
    <x v="0"/>
    <x v="0"/>
    <s v="SOLO 2024"/>
    <s v="SOLO 2024"/>
    <x v="42"/>
    <s v="60102312 Primaria"/>
  </r>
  <r>
    <n v="161"/>
    <x v="3"/>
    <s v="Primaria"/>
    <x v="4"/>
    <x v="41"/>
    <s v="Rural"/>
    <s v="Femenino"/>
    <x v="0"/>
    <x v="0"/>
    <s v="SOLO 2024"/>
    <s v="SOLO 2024"/>
    <x v="42"/>
    <s v="60102312 Primaria"/>
  </r>
  <r>
    <n v="162"/>
    <x v="3"/>
    <s v="Primaria"/>
    <x v="4"/>
    <x v="41"/>
    <s v="Rural"/>
    <s v="Masculino"/>
    <x v="0"/>
    <x v="0"/>
    <s v="SOLO 2024"/>
    <s v="SOLO 2024"/>
    <x v="42"/>
    <s v="60102312 Primaria"/>
  </r>
  <r>
    <n v="163"/>
    <x v="3"/>
    <s v="Primaria"/>
    <x v="4"/>
    <x v="41"/>
    <s v="Rural"/>
    <s v="Femenino"/>
    <x v="0"/>
    <x v="0"/>
    <s v="SOLO 2024"/>
    <s v="SOLO 2024"/>
    <x v="42"/>
    <s v="60102312 Primaria"/>
  </r>
  <r>
    <n v="164"/>
    <x v="3"/>
    <s v="Primaria"/>
    <x v="4"/>
    <x v="41"/>
    <s v="Rural"/>
    <s v="Femenino"/>
    <x v="0"/>
    <x v="0"/>
    <s v="SOLO 2024"/>
    <s v="SOLO 2024"/>
    <x v="42"/>
    <s v="60102312 Primaria"/>
  </r>
  <r>
    <n v="165"/>
    <x v="3"/>
    <s v="Primaria"/>
    <x v="4"/>
    <x v="41"/>
    <s v="Rural"/>
    <s v="Femenino"/>
    <x v="0"/>
    <x v="0"/>
    <s v="SOLO 2024"/>
    <s v="SOLO 2024"/>
    <x v="42"/>
    <s v="60102312 Primaria"/>
  </r>
  <r>
    <n v="166"/>
    <x v="3"/>
    <s v="Primaria"/>
    <x v="0"/>
    <x v="41"/>
    <s v="Rural"/>
    <s v="Masculino"/>
    <x v="0"/>
    <x v="0"/>
    <s v="SOLO 2024"/>
    <s v="SOLO 2024"/>
    <x v="42"/>
    <s v="60102314 Primaria"/>
  </r>
  <r>
    <n v="167"/>
    <x v="3"/>
    <s v="Primaria"/>
    <x v="0"/>
    <x v="41"/>
    <s v="Rural"/>
    <s v="Masculino"/>
    <x v="0"/>
    <x v="0"/>
    <s v="SOLO 2024"/>
    <s v="SOLO 2024"/>
    <x v="42"/>
    <s v="60102314 Primaria"/>
  </r>
  <r>
    <n v="168"/>
    <x v="3"/>
    <s v="Primaria"/>
    <x v="0"/>
    <x v="41"/>
    <s v="Rural"/>
    <s v="Femenino"/>
    <x v="0"/>
    <x v="0"/>
    <s v="SOLO 2024"/>
    <s v="SOLO 2024"/>
    <x v="42"/>
    <s v="60102314 Primaria"/>
  </r>
  <r>
    <n v="169"/>
    <x v="3"/>
    <s v="Primaria"/>
    <x v="0"/>
    <x v="41"/>
    <s v="Rural"/>
    <s v="Masculino"/>
    <x v="0"/>
    <x v="0"/>
    <s v="SOLO 2024"/>
    <s v="SOLO 2024"/>
    <x v="42"/>
    <s v="60102314 Primaria"/>
  </r>
  <r>
    <n v="170"/>
    <x v="3"/>
    <s v="Primaria"/>
    <x v="0"/>
    <x v="41"/>
    <s v="Rural"/>
    <s v="Femenino"/>
    <x v="0"/>
    <x v="0"/>
    <s v="SOLO 2024"/>
    <s v="SOLO 2024"/>
    <x v="42"/>
    <s v="60102314 Primaria"/>
  </r>
  <r>
    <n v="171"/>
    <x v="3"/>
    <s v="Primaria"/>
    <x v="0"/>
    <x v="41"/>
    <s v="Rural"/>
    <s v="Femenino"/>
    <x v="0"/>
    <x v="0"/>
    <s v="SOLO 2024"/>
    <s v="SOLO 2024"/>
    <x v="42"/>
    <s v="60102314 Primaria"/>
  </r>
  <r>
    <n v="172"/>
    <x v="3"/>
    <s v="Primaria"/>
    <x v="0"/>
    <x v="41"/>
    <s v="Rural"/>
    <s v="Femenino"/>
    <x v="0"/>
    <x v="0"/>
    <s v="SOLO 2024"/>
    <s v="SOLO 2024"/>
    <x v="42"/>
    <s v="60102314 Primaria"/>
  </r>
  <r>
    <n v="173"/>
    <x v="3"/>
    <s v="Primaria"/>
    <x v="0"/>
    <x v="41"/>
    <s v="Rural"/>
    <s v="Masculino"/>
    <x v="0"/>
    <x v="0"/>
    <s v="SOLO 2024"/>
    <s v="SOLO 2024"/>
    <x v="42"/>
    <s v="60102314 Primaria"/>
  </r>
  <r>
    <n v="174"/>
    <x v="3"/>
    <s v="Primaria"/>
    <x v="0"/>
    <x v="41"/>
    <s v="Rural"/>
    <s v="Femenino"/>
    <x v="0"/>
    <x v="0"/>
    <s v="SOLO 2024"/>
    <s v="SOLO 2024"/>
    <x v="42"/>
    <s v="60102314 Primaria"/>
  </r>
  <r>
    <n v="175"/>
    <x v="3"/>
    <s v="Primaria"/>
    <x v="0"/>
    <x v="41"/>
    <s v="Rural"/>
    <s v="Femenino"/>
    <x v="0"/>
    <x v="0"/>
    <s v="SOLO 2024"/>
    <s v="SOLO 2024"/>
    <x v="42"/>
    <s v="60102314 Primaria"/>
  </r>
  <r>
    <n v="176"/>
    <x v="3"/>
    <s v="Primaria"/>
    <x v="0"/>
    <x v="41"/>
    <s v="Rural"/>
    <s v="Femenino"/>
    <x v="0"/>
    <x v="0"/>
    <s v="SOLO 2024"/>
    <s v="SOLO 2024"/>
    <x v="42"/>
    <s v="60102314 Primaria"/>
  </r>
  <r>
    <n v="177"/>
    <x v="3"/>
    <s v="Primaria"/>
    <x v="0"/>
    <x v="41"/>
    <s v="Rural"/>
    <s v="Masculino"/>
    <x v="0"/>
    <x v="0"/>
    <s v="SOLO 2024"/>
    <s v="SOLO 2024"/>
    <x v="42"/>
    <s v="60102314 Primaria"/>
  </r>
  <r>
    <n v="178"/>
    <x v="3"/>
    <s v="Primaria"/>
    <x v="0"/>
    <x v="41"/>
    <s v="Rural"/>
    <s v="Femenino"/>
    <x v="0"/>
    <x v="0"/>
    <s v="SOLO 2024"/>
    <s v="SOLO 2024"/>
    <x v="42"/>
    <s v="60102314 Primaria"/>
  </r>
  <r>
    <n v="179"/>
    <x v="3"/>
    <s v="Primaria"/>
    <x v="0"/>
    <x v="41"/>
    <s v="Rural"/>
    <s v="Masculino"/>
    <x v="0"/>
    <x v="0"/>
    <s v="SOLO 2024"/>
    <s v="SOLO 2024"/>
    <x v="42"/>
    <s v="60102314 Primaria"/>
  </r>
  <r>
    <n v="180"/>
    <x v="3"/>
    <s v="Primaria"/>
    <x v="0"/>
    <x v="41"/>
    <s v="Rural"/>
    <s v="Masculino"/>
    <x v="0"/>
    <x v="0"/>
    <s v="SOLO 2024"/>
    <s v="SOLO 2024"/>
    <x v="42"/>
    <s v="60102314 Primaria"/>
  </r>
  <r>
    <n v="181"/>
    <x v="3"/>
    <s v="Primaria"/>
    <x v="1"/>
    <x v="41"/>
    <s v="Rural"/>
    <s v="Femenino"/>
    <x v="0"/>
    <x v="0"/>
    <s v="SOLO 2024"/>
    <s v="SOLO 2024"/>
    <x v="42"/>
    <s v="60102316 Primaria"/>
  </r>
  <r>
    <n v="182"/>
    <x v="3"/>
    <s v="Primaria"/>
    <x v="1"/>
    <x v="41"/>
    <s v="Rural"/>
    <s v="Femenino"/>
    <x v="0"/>
    <x v="0"/>
    <s v="SOLO 2024"/>
    <s v="SOLO 2024"/>
    <x v="42"/>
    <s v="60102316 Primaria"/>
  </r>
  <r>
    <n v="183"/>
    <x v="3"/>
    <s v="Primaria"/>
    <x v="1"/>
    <x v="41"/>
    <s v="Rural"/>
    <s v="Masculino"/>
    <x v="0"/>
    <x v="0"/>
    <s v="SOLO 2024"/>
    <s v="SOLO 2024"/>
    <x v="42"/>
    <s v="60102316 Primaria"/>
  </r>
  <r>
    <n v="184"/>
    <x v="3"/>
    <s v="Primaria"/>
    <x v="1"/>
    <x v="41"/>
    <s v="Rural"/>
    <s v="Masculino"/>
    <x v="0"/>
    <x v="0"/>
    <s v="SOLO 2024"/>
    <s v="SOLO 2024"/>
    <x v="42"/>
    <s v="60102316 Primaria"/>
  </r>
  <r>
    <n v="185"/>
    <x v="3"/>
    <s v="Primaria"/>
    <x v="1"/>
    <x v="41"/>
    <s v="Rural"/>
    <s v="Femenino"/>
    <x v="0"/>
    <x v="0"/>
    <s v="SOLO 2024"/>
    <s v="SOLO 2024"/>
    <x v="42"/>
    <s v="60102316 Primaria"/>
  </r>
  <r>
    <n v="186"/>
    <x v="3"/>
    <s v="Primaria"/>
    <x v="1"/>
    <x v="41"/>
    <s v="Rural"/>
    <s v="Femenino"/>
    <x v="0"/>
    <x v="0"/>
    <s v="SOLO 2024"/>
    <s v="SOLO 2024"/>
    <x v="42"/>
    <s v="60102316 Primaria"/>
  </r>
  <r>
    <n v="187"/>
    <x v="3"/>
    <s v="Primaria"/>
    <x v="1"/>
    <x v="41"/>
    <s v="Rural"/>
    <s v="Masculino"/>
    <x v="0"/>
    <x v="0"/>
    <s v="SOLO 2024"/>
    <s v="SOLO 2024"/>
    <x v="42"/>
    <s v="60102316 Primaria"/>
  </r>
  <r>
    <n v="188"/>
    <x v="3"/>
    <s v="Primaria"/>
    <x v="1"/>
    <x v="41"/>
    <s v="Rural"/>
    <s v="Femenino"/>
    <x v="0"/>
    <x v="0"/>
    <s v="SOLO 2024"/>
    <s v="SOLO 2024"/>
    <x v="42"/>
    <s v="60102316 Primaria"/>
  </r>
  <r>
    <n v="189"/>
    <x v="3"/>
    <s v="Primaria"/>
    <x v="1"/>
    <x v="41"/>
    <s v="Rural"/>
    <s v="Masculino"/>
    <x v="0"/>
    <x v="0"/>
    <s v="SOLO 2024"/>
    <s v="SOLO 2024"/>
    <x v="42"/>
    <s v="60102316 Primaria"/>
  </r>
  <r>
    <n v="190"/>
    <x v="3"/>
    <s v="Primaria"/>
    <x v="1"/>
    <x v="41"/>
    <s v="Rural"/>
    <s v="Masculino"/>
    <x v="0"/>
    <x v="0"/>
    <s v="SOLO 2024"/>
    <s v="SOLO 2024"/>
    <x v="42"/>
    <s v="60102316 Primaria"/>
  </r>
  <r>
    <n v="191"/>
    <x v="3"/>
    <s v="Primaria"/>
    <x v="1"/>
    <x v="41"/>
    <s v="Rural"/>
    <s v="Femenino"/>
    <x v="0"/>
    <x v="0"/>
    <s v="SOLO 2024"/>
    <s v="SOLO 2024"/>
    <x v="42"/>
    <s v="60102316 Primaria"/>
  </r>
  <r>
    <n v="192"/>
    <x v="3"/>
    <s v="Primaria"/>
    <x v="1"/>
    <x v="41"/>
    <s v="Rural"/>
    <s v="Femenino"/>
    <x v="0"/>
    <x v="0"/>
    <s v="SOLO 2024"/>
    <s v="SOLO 2024"/>
    <x v="42"/>
    <s v="60102316 Primaria"/>
  </r>
  <r>
    <n v="193"/>
    <x v="3"/>
    <s v="Primaria"/>
    <x v="1"/>
    <x v="41"/>
    <s v="Rural"/>
    <s v="Femenino"/>
    <x v="0"/>
    <x v="0"/>
    <s v="SOLO 2024"/>
    <s v="SOLO 2024"/>
    <x v="42"/>
    <s v="60102316 Primaria"/>
  </r>
  <r>
    <n v="194"/>
    <x v="3"/>
    <s v="Secundaria"/>
    <x v="2"/>
    <x v="41"/>
    <s v="Rural"/>
    <s v="Femenino"/>
    <x v="0"/>
    <x v="0"/>
    <s v="SOLO 2024"/>
    <s v="SOLO 2024"/>
    <x v="42"/>
    <s v="60102312 Secundaria"/>
  </r>
  <r>
    <n v="195"/>
    <x v="3"/>
    <s v="Secundaria"/>
    <x v="2"/>
    <x v="41"/>
    <s v="Rural"/>
    <s v="Masculino"/>
    <x v="0"/>
    <x v="0"/>
    <s v="SOLO 2024"/>
    <s v="SOLO 2024"/>
    <x v="42"/>
    <s v="60102312 Secundaria"/>
  </r>
  <r>
    <n v="196"/>
    <x v="3"/>
    <s v="Secundaria"/>
    <x v="2"/>
    <x v="41"/>
    <s v="Rural"/>
    <s v="Masculino"/>
    <x v="0"/>
    <x v="0"/>
    <s v="SOLO 2024"/>
    <s v="SOLO 2024"/>
    <x v="42"/>
    <s v="60102312 Secundaria"/>
  </r>
  <r>
    <n v="197"/>
    <x v="3"/>
    <s v="Secundaria"/>
    <x v="2"/>
    <x v="41"/>
    <s v="Rural"/>
    <s v="Masculino"/>
    <x v="0"/>
    <x v="0"/>
    <s v="SOLO 2024"/>
    <s v="SOLO 2024"/>
    <x v="42"/>
    <s v="60102312 Secundaria"/>
  </r>
  <r>
    <n v="198"/>
    <x v="3"/>
    <s v="Secundaria"/>
    <x v="2"/>
    <x v="41"/>
    <s v="Rural"/>
    <s v="Femenino"/>
    <x v="0"/>
    <x v="0"/>
    <s v="SOLO 2024"/>
    <s v="SOLO 2024"/>
    <x v="42"/>
    <s v="60102312 Secundaria"/>
  </r>
  <r>
    <n v="199"/>
    <x v="3"/>
    <s v="Secundaria"/>
    <x v="2"/>
    <x v="41"/>
    <s v="Rural"/>
    <s v="Femenino"/>
    <x v="0"/>
    <x v="0"/>
    <s v="SOLO 2024"/>
    <s v="SOLO 2024"/>
    <x v="42"/>
    <s v="60102312 Secundaria"/>
  </r>
  <r>
    <n v="200"/>
    <x v="3"/>
    <s v="Secundaria"/>
    <x v="2"/>
    <x v="41"/>
    <s v="Rural"/>
    <s v="Masculino"/>
    <x v="0"/>
    <x v="0"/>
    <s v="SOLO 2024"/>
    <s v="SOLO 2024"/>
    <x v="42"/>
    <s v="60102312 Secundaria"/>
  </r>
  <r>
    <n v="201"/>
    <x v="3"/>
    <s v="Secundaria"/>
    <x v="2"/>
    <x v="41"/>
    <s v="Rural"/>
    <s v="Masculino"/>
    <x v="0"/>
    <x v="0"/>
    <s v="SOLO 2024"/>
    <s v="SOLO 2024"/>
    <x v="42"/>
    <s v="60102312 Secundaria"/>
  </r>
  <r>
    <n v="202"/>
    <x v="3"/>
    <s v="Secundaria"/>
    <x v="2"/>
    <x v="41"/>
    <s v="Rural"/>
    <s v="Masculino"/>
    <x v="0"/>
    <x v="0"/>
    <s v="SOLO 2024"/>
    <s v="SOLO 2024"/>
    <x v="42"/>
    <s v="60102312 Secundaria"/>
  </r>
  <r>
    <n v="203"/>
    <x v="3"/>
    <s v="Secundaria"/>
    <x v="2"/>
    <x v="41"/>
    <s v="Rural"/>
    <s v="Masculino"/>
    <x v="0"/>
    <x v="0"/>
    <s v="SOLO 2024"/>
    <s v="SOLO 2024"/>
    <x v="42"/>
    <s v="60102312 Secundaria"/>
  </r>
  <r>
    <n v="204"/>
    <x v="3"/>
    <s v="Secundaria"/>
    <x v="2"/>
    <x v="41"/>
    <s v="Rural"/>
    <s v="Femenino"/>
    <x v="0"/>
    <x v="0"/>
    <s v="SOLO 2024"/>
    <s v="SOLO 2024"/>
    <x v="42"/>
    <s v="60102312 Secundaria"/>
  </r>
  <r>
    <n v="205"/>
    <x v="3"/>
    <s v="Secundaria"/>
    <x v="2"/>
    <x v="41"/>
    <s v="Rural"/>
    <s v="Femenino"/>
    <x v="0"/>
    <x v="0"/>
    <s v="SOLO 2024"/>
    <s v="SOLO 2024"/>
    <x v="42"/>
    <s v="60102312 Secundaria"/>
  </r>
  <r>
    <n v="206"/>
    <x v="3"/>
    <s v="Secundaria"/>
    <x v="2"/>
    <x v="41"/>
    <s v="Rural"/>
    <s v="Femenino"/>
    <x v="0"/>
    <x v="0"/>
    <s v="SOLO 2024"/>
    <s v="SOLO 2024"/>
    <x v="42"/>
    <s v="60102312 Secundaria"/>
  </r>
  <r>
    <n v="207"/>
    <x v="3"/>
    <s v="Secundaria"/>
    <x v="2"/>
    <x v="41"/>
    <s v="Rural"/>
    <s v="Masculino"/>
    <x v="0"/>
    <x v="0"/>
    <s v="SOLO 2024"/>
    <s v="SOLO 2024"/>
    <x v="42"/>
    <s v="60102312 Secundaria"/>
  </r>
  <r>
    <n v="208"/>
    <x v="3"/>
    <s v="Secundaria"/>
    <x v="2"/>
    <x v="41"/>
    <s v="Rural"/>
    <s v="Masculino"/>
    <x v="0"/>
    <x v="0"/>
    <s v="SOLO 2024"/>
    <s v="SOLO 2024"/>
    <x v="42"/>
    <s v="60102312 Secundaria"/>
  </r>
  <r>
    <n v="209"/>
    <x v="3"/>
    <s v="Secundaria"/>
    <x v="2"/>
    <x v="41"/>
    <s v="Rural"/>
    <s v="Femenino"/>
    <x v="0"/>
    <x v="0"/>
    <s v="SOLO 2024"/>
    <s v="SOLO 2024"/>
    <x v="42"/>
    <s v="60102312 Secundaria"/>
  </r>
  <r>
    <n v="210"/>
    <x v="3"/>
    <s v="Secundaria"/>
    <x v="2"/>
    <x v="41"/>
    <s v="Rural"/>
    <s v="Femenino"/>
    <x v="0"/>
    <x v="0"/>
    <s v="SOLO 2024"/>
    <s v="SOLO 2024"/>
    <x v="42"/>
    <s v="60102312 Secundaria"/>
  </r>
  <r>
    <n v="211"/>
    <x v="3"/>
    <s v="Secundaria"/>
    <x v="2"/>
    <x v="41"/>
    <s v="Rural"/>
    <s v="Femenino"/>
    <x v="0"/>
    <x v="0"/>
    <s v="SOLO 2024"/>
    <s v="SOLO 2024"/>
    <x v="42"/>
    <s v="60102312 Secundaria"/>
  </r>
  <r>
    <n v="212"/>
    <x v="3"/>
    <s v="Secundaria"/>
    <x v="2"/>
    <x v="41"/>
    <s v="Rural"/>
    <s v="Femenino"/>
    <x v="0"/>
    <x v="0"/>
    <s v="SOLO 2024"/>
    <s v="SOLO 2024"/>
    <x v="42"/>
    <s v="60102312 Secundaria"/>
  </r>
  <r>
    <n v="213"/>
    <x v="3"/>
    <s v="Secundaria"/>
    <x v="2"/>
    <x v="41"/>
    <s v="Rural"/>
    <s v="Femenino"/>
    <x v="0"/>
    <x v="0"/>
    <s v="SOLO 2024"/>
    <s v="SOLO 2024"/>
    <x v="42"/>
    <s v="60102312 Secundaria"/>
  </r>
  <r>
    <n v="214"/>
    <x v="3"/>
    <s v="Secundaria"/>
    <x v="2"/>
    <x v="41"/>
    <s v="Rural"/>
    <s v="Femenino"/>
    <x v="0"/>
    <x v="0"/>
    <s v="SOLO 2024"/>
    <s v="SOLO 2024"/>
    <x v="42"/>
    <s v="60102312 Secundaria"/>
  </r>
  <r>
    <n v="215"/>
    <x v="3"/>
    <s v="Secundaria"/>
    <x v="2"/>
    <x v="41"/>
    <s v="Rural"/>
    <s v="Masculino"/>
    <x v="0"/>
    <x v="0"/>
    <s v="SOLO 2024"/>
    <s v="SOLO 2024"/>
    <x v="42"/>
    <s v="60102312 Secundaria"/>
  </r>
  <r>
    <n v="216"/>
    <x v="3"/>
    <s v="Secundaria"/>
    <x v="2"/>
    <x v="41"/>
    <s v="Rural"/>
    <s v="Masculino"/>
    <x v="0"/>
    <x v="0"/>
    <s v="SOLO 2024"/>
    <s v="SOLO 2024"/>
    <x v="42"/>
    <s v="60102312 Secundaria"/>
  </r>
  <r>
    <n v="217"/>
    <x v="3"/>
    <s v="Secundaria"/>
    <x v="3"/>
    <x v="41"/>
    <s v="Rural"/>
    <s v="Femenino"/>
    <x v="0"/>
    <x v="0"/>
    <s v="SOLO 2024"/>
    <s v="SOLO 2024"/>
    <x v="42"/>
    <s v="60102314 Secundaria"/>
  </r>
  <r>
    <n v="218"/>
    <x v="3"/>
    <s v="Secundaria"/>
    <x v="3"/>
    <x v="41"/>
    <s v="Rural"/>
    <s v="Femenino"/>
    <x v="0"/>
    <x v="0"/>
    <s v="SOLO 2024"/>
    <s v="SOLO 2024"/>
    <x v="42"/>
    <s v="60102314 Secundaria"/>
  </r>
  <r>
    <n v="219"/>
    <x v="3"/>
    <s v="Secundaria"/>
    <x v="3"/>
    <x v="41"/>
    <s v="Rural"/>
    <s v="Femenino"/>
    <x v="0"/>
    <x v="0"/>
    <s v="SOLO 2024"/>
    <s v="SOLO 2024"/>
    <x v="42"/>
    <s v="60102314 Secundaria"/>
  </r>
  <r>
    <n v="220"/>
    <x v="3"/>
    <s v="Secundaria"/>
    <x v="3"/>
    <x v="41"/>
    <s v="Rural"/>
    <s v="Femenino"/>
    <x v="0"/>
    <x v="0"/>
    <s v="SOLO 2024"/>
    <s v="SOLO 2024"/>
    <x v="42"/>
    <s v="60102314 Secundaria"/>
  </r>
  <r>
    <n v="221"/>
    <x v="3"/>
    <s v="Secundaria"/>
    <x v="3"/>
    <x v="41"/>
    <s v="Rural"/>
    <s v="Femenino"/>
    <x v="0"/>
    <x v="0"/>
    <s v="SOLO 2024"/>
    <s v="SOLO 2024"/>
    <x v="42"/>
    <s v="60102314 Secundaria"/>
  </r>
  <r>
    <n v="222"/>
    <x v="3"/>
    <s v="Secundaria"/>
    <x v="3"/>
    <x v="41"/>
    <s v="Rural"/>
    <s v="Masculino"/>
    <x v="0"/>
    <x v="0"/>
    <s v="SOLO 2024"/>
    <s v="SOLO 2024"/>
    <x v="42"/>
    <s v="60102314 Secundaria"/>
  </r>
  <r>
    <n v="223"/>
    <x v="3"/>
    <s v="Secundaria"/>
    <x v="3"/>
    <x v="41"/>
    <s v="Rural"/>
    <s v="Masculino"/>
    <x v="0"/>
    <x v="0"/>
    <s v="SOLO 2024"/>
    <s v="SOLO 2024"/>
    <x v="42"/>
    <s v="60102314 Secundaria"/>
  </r>
  <r>
    <n v="224"/>
    <x v="3"/>
    <s v="Secundaria"/>
    <x v="3"/>
    <x v="41"/>
    <s v="Rural"/>
    <s v="Femenino"/>
    <x v="0"/>
    <x v="0"/>
    <s v="SOLO 2024"/>
    <s v="SOLO 2024"/>
    <x v="42"/>
    <s v="60102314 Secundaria"/>
  </r>
  <r>
    <n v="229"/>
    <x v="3"/>
    <s v="Primaria"/>
    <x v="0"/>
    <x v="42"/>
    <s v="Rural"/>
    <s v="Femenino"/>
    <x v="0"/>
    <x v="0"/>
    <s v="SOLO 2024"/>
    <s v="SOLO 2024"/>
    <x v="43"/>
    <s v="6015114 Primaria"/>
  </r>
  <r>
    <n v="230"/>
    <x v="3"/>
    <s v="Primaria"/>
    <x v="1"/>
    <x v="42"/>
    <s v="Rural"/>
    <s v="Masculino"/>
    <x v="0"/>
    <x v="0"/>
    <s v="SOLO 2024"/>
    <s v="SOLO 2024"/>
    <x v="43"/>
    <s v="6015116 Primaria"/>
  </r>
  <r>
    <n v="231"/>
    <x v="3"/>
    <s v="Primaria"/>
    <x v="1"/>
    <x v="42"/>
    <s v="Rural"/>
    <s v="Masculino"/>
    <x v="0"/>
    <x v="0"/>
    <s v="SOLO 2024"/>
    <s v="SOLO 2024"/>
    <x v="43"/>
    <s v="6015116 Primaria"/>
  </r>
  <r>
    <n v="232"/>
    <x v="3"/>
    <s v="Primaria"/>
    <x v="1"/>
    <x v="43"/>
    <s v="Rural"/>
    <s v="Masculino"/>
    <x v="0"/>
    <x v="0"/>
    <s v="SOLO 2024"/>
    <s v="SOLO 2024"/>
    <x v="44"/>
    <s v="6015806 Primaria"/>
  </r>
  <r>
    <n v="233"/>
    <x v="3"/>
    <s v="Primaria"/>
    <x v="1"/>
    <x v="43"/>
    <s v="Rural"/>
    <s v="Femenino"/>
    <x v="0"/>
    <x v="0"/>
    <s v="SOLO 2024"/>
    <s v="SOLO 2024"/>
    <x v="44"/>
    <s v="6015806 Primaria"/>
  </r>
  <r>
    <n v="234"/>
    <x v="3"/>
    <s v="Primaria"/>
    <x v="4"/>
    <x v="44"/>
    <s v="Rural"/>
    <s v="Femenino"/>
    <x v="0"/>
    <x v="0"/>
    <s v="SOLO 2024"/>
    <s v="SOLO 2024"/>
    <x v="45"/>
    <s v="6014442 Primaria"/>
  </r>
  <r>
    <n v="235"/>
    <x v="3"/>
    <s v="Primaria"/>
    <x v="4"/>
    <x v="44"/>
    <s v="Rural"/>
    <s v="Masculino"/>
    <x v="0"/>
    <x v="0"/>
    <s v="SOLO 2024"/>
    <s v="SOLO 2024"/>
    <x v="45"/>
    <s v="6014442 Primaria"/>
  </r>
  <r>
    <n v="236"/>
    <x v="3"/>
    <s v="Primaria"/>
    <x v="0"/>
    <x v="44"/>
    <s v="Rural"/>
    <s v="Masculino"/>
    <x v="0"/>
    <x v="0"/>
    <s v="SOLO 2024"/>
    <s v="SOLO 2024"/>
    <x v="45"/>
    <s v="6014444 Primaria"/>
  </r>
  <r>
    <n v="237"/>
    <x v="3"/>
    <s v="Primaria"/>
    <x v="0"/>
    <x v="44"/>
    <s v="Rural"/>
    <s v="Masculino"/>
    <x v="0"/>
    <x v="0"/>
    <s v="SOLO 2024"/>
    <s v="SOLO 2024"/>
    <x v="45"/>
    <s v="6014444 Primaria"/>
  </r>
  <r>
    <n v="238"/>
    <x v="3"/>
    <s v="Primaria"/>
    <x v="1"/>
    <x v="44"/>
    <s v="Rural"/>
    <s v="Masculino"/>
    <x v="0"/>
    <x v="0"/>
    <s v="SOLO 2024"/>
    <s v="SOLO 2024"/>
    <x v="45"/>
    <s v="6014446 Primaria"/>
  </r>
  <r>
    <n v="239"/>
    <x v="3"/>
    <s v="Primaria"/>
    <x v="4"/>
    <x v="45"/>
    <s v="Rural"/>
    <s v="Femenino"/>
    <x v="0"/>
    <x v="0"/>
    <s v="SOLO 2024"/>
    <s v="SOLO 2024"/>
    <x v="46"/>
    <s v="6015712 Primaria"/>
  </r>
  <r>
    <n v="240"/>
    <x v="3"/>
    <s v="Primaria"/>
    <x v="4"/>
    <x v="45"/>
    <s v="Rural"/>
    <s v="Masculino"/>
    <x v="0"/>
    <x v="0"/>
    <s v="SOLO 2024"/>
    <s v="SOLO 2024"/>
    <x v="46"/>
    <s v="6015712 Primaria"/>
  </r>
  <r>
    <n v="241"/>
    <x v="3"/>
    <s v="Primaria"/>
    <x v="0"/>
    <x v="45"/>
    <s v="Rural"/>
    <s v="Masculino"/>
    <x v="0"/>
    <x v="0"/>
    <s v="SOLO 2024"/>
    <s v="SOLO 2024"/>
    <x v="46"/>
    <s v="6015714 Primaria"/>
  </r>
  <r>
    <n v="242"/>
    <x v="3"/>
    <s v="Primaria"/>
    <x v="1"/>
    <x v="45"/>
    <s v="Rural"/>
    <s v="Femenino"/>
    <x v="0"/>
    <x v="0"/>
    <s v="SOLO 2024"/>
    <s v="SOLO 2024"/>
    <x v="46"/>
    <s v="6015716 Primaria"/>
  </r>
  <r>
    <n v="243"/>
    <x v="3"/>
    <s v="Primaria"/>
    <x v="4"/>
    <x v="46"/>
    <s v="Rural"/>
    <s v="Femenino"/>
    <x v="0"/>
    <x v="0"/>
    <s v="SOLO 2024"/>
    <s v="SOLO 2024"/>
    <x v="47"/>
    <s v="6015632 Primaria"/>
  </r>
  <r>
    <n v="244"/>
    <x v="3"/>
    <s v="Primaria"/>
    <x v="0"/>
    <x v="46"/>
    <s v="Rural"/>
    <s v="Masculino"/>
    <x v="0"/>
    <x v="0"/>
    <s v="SOLO 2024"/>
    <s v="SOLO 2024"/>
    <x v="47"/>
    <s v="6015634 Primaria"/>
  </r>
  <r>
    <n v="246"/>
    <x v="3"/>
    <s v="Primaria"/>
    <x v="4"/>
    <x v="47"/>
    <s v="Rural"/>
    <s v="Femenino"/>
    <x v="0"/>
    <x v="0"/>
    <s v="LOS 3 AÑOS"/>
    <s v="PADD 2023 Y 2024"/>
    <x v="48"/>
    <s v="601332 Primaria"/>
  </r>
  <r>
    <n v="247"/>
    <x v="3"/>
    <s v="Primaria"/>
    <x v="4"/>
    <x v="47"/>
    <s v="Rural"/>
    <s v="Femenino"/>
    <x v="0"/>
    <x v="0"/>
    <s v="LOS 3 AÑOS"/>
    <s v="PADD 2023 Y 2024"/>
    <x v="48"/>
    <s v="601332 Primaria"/>
  </r>
  <r>
    <n v="248"/>
    <x v="3"/>
    <s v="Primaria"/>
    <x v="4"/>
    <x v="47"/>
    <s v="Rural"/>
    <s v="Femenino"/>
    <x v="0"/>
    <x v="0"/>
    <s v="LOS 3 AÑOS"/>
    <s v="PADD 2023 Y 2024"/>
    <x v="48"/>
    <s v="601332 Primaria"/>
  </r>
  <r>
    <n v="249"/>
    <x v="3"/>
    <s v="Primaria"/>
    <x v="4"/>
    <x v="47"/>
    <s v="Rural"/>
    <s v="Masculino"/>
    <x v="0"/>
    <x v="0"/>
    <s v="LOS 3 AÑOS"/>
    <s v="PADD 2023 Y 2024"/>
    <x v="48"/>
    <s v="601332 Primaria"/>
  </r>
  <r>
    <n v="250"/>
    <x v="3"/>
    <s v="Primaria"/>
    <x v="4"/>
    <x v="47"/>
    <s v="Rural"/>
    <s v="Masculino"/>
    <x v="0"/>
    <x v="0"/>
    <s v="LOS 3 AÑOS"/>
    <s v="PADD 2023 Y 2024"/>
    <x v="48"/>
    <s v="601332 Primaria"/>
  </r>
  <r>
    <n v="251"/>
    <x v="3"/>
    <s v="Primaria"/>
    <x v="4"/>
    <x v="47"/>
    <s v="Rural"/>
    <s v="Femenino"/>
    <x v="0"/>
    <x v="0"/>
    <s v="LOS 3 AÑOS"/>
    <s v="PADD 2023 Y 2024"/>
    <x v="48"/>
    <s v="601332 Primaria"/>
  </r>
  <r>
    <n v="252"/>
    <x v="3"/>
    <s v="Primaria"/>
    <x v="4"/>
    <x v="47"/>
    <s v="Rural"/>
    <s v="Femenino"/>
    <x v="1"/>
    <x v="0"/>
    <s v="LOS 3 AÑOS"/>
    <s v="PADD 2023 Y 2024"/>
    <x v="48"/>
    <s v="601332 Primaria"/>
  </r>
  <r>
    <n v="253"/>
    <x v="3"/>
    <s v="Primaria"/>
    <x v="4"/>
    <x v="47"/>
    <s v="Rural"/>
    <s v="Masculino"/>
    <x v="0"/>
    <x v="0"/>
    <s v="LOS 3 AÑOS"/>
    <s v="PADD 2023 Y 2024"/>
    <x v="48"/>
    <s v="601332 Primaria"/>
  </r>
  <r>
    <n v="254"/>
    <x v="3"/>
    <s v="Primaria"/>
    <x v="4"/>
    <x v="47"/>
    <s v="Rural"/>
    <s v="Masculino"/>
    <x v="0"/>
    <x v="0"/>
    <s v="LOS 3 AÑOS"/>
    <s v="PADD 2023 Y 2024"/>
    <x v="48"/>
    <s v="601332 Primaria"/>
  </r>
  <r>
    <n v="255"/>
    <x v="3"/>
    <s v="Primaria"/>
    <x v="4"/>
    <x v="47"/>
    <s v="Rural"/>
    <s v="Masculino"/>
    <x v="0"/>
    <x v="0"/>
    <s v="LOS 3 AÑOS"/>
    <s v="PADD 2023 Y 2024"/>
    <x v="48"/>
    <s v="601332 Primaria"/>
  </r>
  <r>
    <n v="257"/>
    <x v="3"/>
    <s v="Primaria"/>
    <x v="4"/>
    <x v="47"/>
    <s v="Rural"/>
    <s v="Femenino"/>
    <x v="0"/>
    <x v="0"/>
    <s v="LOS 3 AÑOS"/>
    <s v="PADD 2023 Y 2024"/>
    <x v="48"/>
    <s v="601332 Primaria"/>
  </r>
  <r>
    <n v="258"/>
    <x v="3"/>
    <s v="Primaria"/>
    <x v="0"/>
    <x v="47"/>
    <s v="Rural"/>
    <s v="Masculino"/>
    <x v="0"/>
    <x v="0"/>
    <s v="2023 Y 2024"/>
    <s v="PADD 2023 Y 2024"/>
    <x v="48"/>
    <s v="601334 Primaria"/>
  </r>
  <r>
    <n v="259"/>
    <x v="3"/>
    <s v="Primaria"/>
    <x v="0"/>
    <x v="47"/>
    <s v="Rural"/>
    <s v="Femenino"/>
    <x v="1"/>
    <x v="0"/>
    <s v="2023 Y 2024"/>
    <s v="PADD 2023 Y 2024"/>
    <x v="48"/>
    <s v="601334 Primaria"/>
  </r>
  <r>
    <n v="260"/>
    <x v="3"/>
    <s v="Primaria"/>
    <x v="0"/>
    <x v="47"/>
    <s v="Rural"/>
    <s v="Masculino"/>
    <x v="0"/>
    <x v="0"/>
    <s v="2023 Y 2024"/>
    <s v="PADD 2023 Y 2024"/>
    <x v="48"/>
    <s v="601334 Primaria"/>
  </r>
  <r>
    <n v="261"/>
    <x v="3"/>
    <s v="Primaria"/>
    <x v="0"/>
    <x v="47"/>
    <s v="Rural"/>
    <s v="Masculino"/>
    <x v="0"/>
    <x v="0"/>
    <s v="2023 Y 2024"/>
    <s v="PADD 2023 Y 2024"/>
    <x v="48"/>
    <s v="601334 Primaria"/>
  </r>
  <r>
    <n v="263"/>
    <x v="3"/>
    <s v="Primaria"/>
    <x v="0"/>
    <x v="47"/>
    <s v="Rural"/>
    <s v="Masculino"/>
    <x v="0"/>
    <x v="0"/>
    <s v="2023 Y 2024"/>
    <s v="PADD 2023 Y 2024"/>
    <x v="48"/>
    <s v="601334 Primaria"/>
  </r>
  <r>
    <n v="264"/>
    <x v="3"/>
    <s v="Primaria"/>
    <x v="0"/>
    <x v="47"/>
    <s v="Rural"/>
    <s v="Femenino"/>
    <x v="0"/>
    <x v="0"/>
    <s v="2023 Y 2024"/>
    <s v="PADD 2023 Y 2024"/>
    <x v="48"/>
    <s v="601334 Primaria"/>
  </r>
  <r>
    <n v="265"/>
    <x v="3"/>
    <s v="Primaria"/>
    <x v="0"/>
    <x v="47"/>
    <s v="Rural"/>
    <s v="Masculino"/>
    <x v="0"/>
    <x v="0"/>
    <s v="2023 Y 2024"/>
    <s v="PADD 2023 Y 2024"/>
    <x v="48"/>
    <s v="601334 Primaria"/>
  </r>
  <r>
    <n v="266"/>
    <x v="3"/>
    <s v="Primaria"/>
    <x v="0"/>
    <x v="47"/>
    <s v="Rural"/>
    <s v="Femenino"/>
    <x v="0"/>
    <x v="0"/>
    <s v="2023 Y 2024"/>
    <s v="PADD 2023 Y 2024"/>
    <x v="48"/>
    <s v="601334 Primaria"/>
  </r>
  <r>
    <n v="267"/>
    <x v="3"/>
    <s v="Primaria"/>
    <x v="0"/>
    <x v="47"/>
    <s v="Rural"/>
    <s v="Masculino"/>
    <x v="0"/>
    <x v="0"/>
    <s v="2023 Y 2024"/>
    <s v="PADD 2023 Y 2024"/>
    <x v="48"/>
    <s v="601334 Primaria"/>
  </r>
  <r>
    <n v="268"/>
    <x v="3"/>
    <s v="Primaria"/>
    <x v="0"/>
    <x v="47"/>
    <s v="Rural"/>
    <s v="Femenino"/>
    <x v="0"/>
    <x v="0"/>
    <s v="2023 Y 2024"/>
    <s v="PADD 2023 Y 2024"/>
    <x v="48"/>
    <s v="601334 Primaria"/>
  </r>
  <r>
    <n v="269"/>
    <x v="3"/>
    <s v="Primaria"/>
    <x v="0"/>
    <x v="47"/>
    <s v="Rural"/>
    <s v="Femenino"/>
    <x v="1"/>
    <x v="0"/>
    <s v="2023 Y 2024"/>
    <s v="PADD 2023 Y 2024"/>
    <x v="48"/>
    <s v="601334 Primaria"/>
  </r>
  <r>
    <n v="270"/>
    <x v="3"/>
    <s v="Primaria"/>
    <x v="1"/>
    <x v="47"/>
    <s v="Rural"/>
    <s v="Femenino"/>
    <x v="0"/>
    <x v="0"/>
    <s v="LOS 3 AÑOS"/>
    <s v="PADD 2023 Y 2024"/>
    <x v="48"/>
    <s v="601336 Primaria"/>
  </r>
  <r>
    <n v="271"/>
    <x v="3"/>
    <s v="Primaria"/>
    <x v="1"/>
    <x v="47"/>
    <s v="Rural"/>
    <s v="Femenino"/>
    <x v="0"/>
    <x v="0"/>
    <s v="LOS 3 AÑOS"/>
    <s v="PADD 2023 Y 2024"/>
    <x v="48"/>
    <s v="601336 Primaria"/>
  </r>
  <r>
    <n v="272"/>
    <x v="3"/>
    <s v="Primaria"/>
    <x v="1"/>
    <x v="47"/>
    <s v="Rural"/>
    <s v="Femenino"/>
    <x v="0"/>
    <x v="0"/>
    <s v="LOS 3 AÑOS"/>
    <s v="PADD 2023 Y 2024"/>
    <x v="48"/>
    <s v="601336 Primaria"/>
  </r>
  <r>
    <n v="273"/>
    <x v="3"/>
    <s v="Primaria"/>
    <x v="1"/>
    <x v="47"/>
    <s v="Rural"/>
    <s v="Femenino"/>
    <x v="0"/>
    <x v="0"/>
    <s v="LOS 3 AÑOS"/>
    <s v="PADD 2023 Y 2024"/>
    <x v="48"/>
    <s v="601336 Primaria"/>
  </r>
  <r>
    <n v="275"/>
    <x v="3"/>
    <s v="Primaria"/>
    <x v="1"/>
    <x v="47"/>
    <s v="Rural"/>
    <s v="Femenino"/>
    <x v="0"/>
    <x v="0"/>
    <s v="LOS 3 AÑOS"/>
    <s v="PADD 2023 Y 2024"/>
    <x v="48"/>
    <s v="601336 Primaria"/>
  </r>
  <r>
    <n v="276"/>
    <x v="3"/>
    <s v="Primaria"/>
    <x v="1"/>
    <x v="47"/>
    <s v="Rural"/>
    <s v="Masculino"/>
    <x v="0"/>
    <x v="0"/>
    <s v="LOS 3 AÑOS"/>
    <s v="PADD 2023 Y 2024"/>
    <x v="48"/>
    <s v="601336 Primaria"/>
  </r>
  <r>
    <n v="277"/>
    <x v="3"/>
    <s v="Primaria"/>
    <x v="1"/>
    <x v="47"/>
    <s v="Rural"/>
    <s v="Masculino"/>
    <x v="0"/>
    <x v="0"/>
    <s v="LOS 3 AÑOS"/>
    <s v="PADD 2023 Y 2024"/>
    <x v="48"/>
    <s v="601336 Primaria"/>
  </r>
  <r>
    <n v="279"/>
    <x v="3"/>
    <s v="Primaria"/>
    <x v="1"/>
    <x v="47"/>
    <s v="Rural"/>
    <s v="Femenino"/>
    <x v="0"/>
    <x v="0"/>
    <s v="LOS 3 AÑOS"/>
    <s v="PADD 2023 Y 2024"/>
    <x v="48"/>
    <s v="601336 Primaria"/>
  </r>
  <r>
    <n v="280"/>
    <x v="3"/>
    <s v="Primaria"/>
    <x v="1"/>
    <x v="47"/>
    <s v="Rural"/>
    <s v="Masculino"/>
    <x v="0"/>
    <x v="0"/>
    <s v="LOS 3 AÑOS"/>
    <s v="PADD 2023 Y 2024"/>
    <x v="48"/>
    <s v="601336 Primaria"/>
  </r>
  <r>
    <n v="281"/>
    <x v="3"/>
    <s v="Primaria"/>
    <x v="1"/>
    <x v="47"/>
    <s v="Rural"/>
    <s v="Femenino"/>
    <x v="0"/>
    <x v="0"/>
    <s v="LOS 3 AÑOS"/>
    <s v="PADD 2023 Y 2024"/>
    <x v="48"/>
    <s v="601336 Primaria"/>
  </r>
  <r>
    <n v="282"/>
    <x v="3"/>
    <s v="Primaria"/>
    <x v="1"/>
    <x v="47"/>
    <s v="Rural"/>
    <s v="Masculino"/>
    <x v="0"/>
    <x v="0"/>
    <s v="LOS 3 AÑOS"/>
    <s v="PADD 2023 Y 2024"/>
    <x v="48"/>
    <s v="601336 Primaria"/>
  </r>
  <r>
    <n v="283"/>
    <x v="3"/>
    <s v="Primaria"/>
    <x v="1"/>
    <x v="47"/>
    <s v="Rural"/>
    <s v="Femenino"/>
    <x v="0"/>
    <x v="0"/>
    <s v="LOS 3 AÑOS"/>
    <s v="PADD 2023 Y 2024"/>
    <x v="48"/>
    <s v="601336 Primaria"/>
  </r>
  <r>
    <n v="284"/>
    <x v="3"/>
    <s v="Secundaria"/>
    <x v="2"/>
    <x v="47"/>
    <s v="Rural"/>
    <s v="Femenino"/>
    <x v="0"/>
    <x v="0"/>
    <s v="LOS 3 AÑOS"/>
    <s v="PADD 2023 Y 2024"/>
    <x v="48"/>
    <s v="601332 Secundaria"/>
  </r>
  <r>
    <n v="285"/>
    <x v="3"/>
    <s v="Secundaria"/>
    <x v="2"/>
    <x v="47"/>
    <s v="Rural"/>
    <s v="Femenino"/>
    <x v="0"/>
    <x v="0"/>
    <s v="LOS 3 AÑOS"/>
    <s v="PADD 2023 Y 2024"/>
    <x v="48"/>
    <s v="601332 Secundaria"/>
  </r>
  <r>
    <n v="286"/>
    <x v="3"/>
    <s v="Secundaria"/>
    <x v="2"/>
    <x v="47"/>
    <s v="Rural"/>
    <s v="Masculino"/>
    <x v="0"/>
    <x v="0"/>
    <s v="LOS 3 AÑOS"/>
    <s v="PADD 2023 Y 2024"/>
    <x v="48"/>
    <s v="601332 Secundaria"/>
  </r>
  <r>
    <n v="287"/>
    <x v="3"/>
    <s v="Secundaria"/>
    <x v="2"/>
    <x v="47"/>
    <s v="Rural"/>
    <s v="Masculino"/>
    <x v="0"/>
    <x v="0"/>
    <s v="LOS 3 AÑOS"/>
    <s v="PADD 2023 Y 2024"/>
    <x v="48"/>
    <s v="601332 Secundaria"/>
  </r>
  <r>
    <n v="288"/>
    <x v="3"/>
    <s v="Secundaria"/>
    <x v="2"/>
    <x v="47"/>
    <s v="Rural"/>
    <s v="Masculino"/>
    <x v="0"/>
    <x v="0"/>
    <s v="LOS 3 AÑOS"/>
    <s v="PADD 2023 Y 2024"/>
    <x v="48"/>
    <s v="601332 Secundaria"/>
  </r>
  <r>
    <n v="290"/>
    <x v="3"/>
    <s v="Secundaria"/>
    <x v="2"/>
    <x v="47"/>
    <s v="Rural"/>
    <s v="Masculino"/>
    <x v="0"/>
    <x v="0"/>
    <s v="LOS 3 AÑOS"/>
    <s v="PADD 2023 Y 2024"/>
    <x v="48"/>
    <s v="601332 Secundaria"/>
  </r>
  <r>
    <n v="291"/>
    <x v="3"/>
    <s v="Secundaria"/>
    <x v="2"/>
    <x v="47"/>
    <s v="Rural"/>
    <s v="Masculino"/>
    <x v="0"/>
    <x v="0"/>
    <s v="LOS 3 AÑOS"/>
    <s v="PADD 2023 Y 2024"/>
    <x v="48"/>
    <s v="601332 Secundaria"/>
  </r>
  <r>
    <n v="292"/>
    <x v="3"/>
    <s v="Secundaria"/>
    <x v="2"/>
    <x v="47"/>
    <s v="Rural"/>
    <s v="Femenino"/>
    <x v="0"/>
    <x v="0"/>
    <s v="LOS 3 AÑOS"/>
    <s v="PADD 2023 Y 2024"/>
    <x v="48"/>
    <s v="601332 Secundaria"/>
  </r>
  <r>
    <n v="293"/>
    <x v="3"/>
    <s v="Secundaria"/>
    <x v="2"/>
    <x v="47"/>
    <s v="Rural"/>
    <s v="Femenino"/>
    <x v="0"/>
    <x v="0"/>
    <s v="LOS 3 AÑOS"/>
    <s v="PADD 2023 Y 2024"/>
    <x v="48"/>
    <s v="601332 Secundaria"/>
  </r>
  <r>
    <n v="294"/>
    <x v="3"/>
    <s v="Secundaria"/>
    <x v="2"/>
    <x v="47"/>
    <s v="Rural"/>
    <s v="Femenino"/>
    <x v="0"/>
    <x v="0"/>
    <s v="LOS 3 AÑOS"/>
    <s v="PADD 2023 Y 2024"/>
    <x v="48"/>
    <s v="601332 Secundaria"/>
  </r>
  <r>
    <n v="295"/>
    <x v="3"/>
    <s v="Secundaria"/>
    <x v="2"/>
    <x v="47"/>
    <s v="Rural"/>
    <s v="Masculino"/>
    <x v="0"/>
    <x v="0"/>
    <s v="LOS 3 AÑOS"/>
    <s v="PADD 2023 Y 2024"/>
    <x v="48"/>
    <s v="601332 Secundaria"/>
  </r>
  <r>
    <n v="297"/>
    <x v="3"/>
    <s v="Secundaria"/>
    <x v="2"/>
    <x v="47"/>
    <s v="Rural"/>
    <s v="Femenino"/>
    <x v="0"/>
    <x v="0"/>
    <s v="LOS 3 AÑOS"/>
    <s v="PADD 2023 Y 2024"/>
    <x v="48"/>
    <s v="601332 Secundaria"/>
  </r>
  <r>
    <n v="298"/>
    <x v="3"/>
    <s v="Secundaria"/>
    <x v="2"/>
    <x v="47"/>
    <s v="Rural"/>
    <s v="Femenino"/>
    <x v="0"/>
    <x v="0"/>
    <s v="LOS 3 AÑOS"/>
    <s v="PADD 2023 Y 2024"/>
    <x v="48"/>
    <s v="601332 Secundaria"/>
  </r>
  <r>
    <n v="299"/>
    <x v="3"/>
    <s v="Secundaria"/>
    <x v="2"/>
    <x v="47"/>
    <s v="Rural"/>
    <s v="Masculino"/>
    <x v="0"/>
    <x v="0"/>
    <s v="LOS 3 AÑOS"/>
    <s v="PADD 2023 Y 2024"/>
    <x v="48"/>
    <s v="601332 Secundaria"/>
  </r>
  <r>
    <n v="300"/>
    <x v="3"/>
    <s v="Secundaria"/>
    <x v="2"/>
    <x v="47"/>
    <s v="Rural"/>
    <s v="Masculino"/>
    <x v="0"/>
    <x v="0"/>
    <s v="LOS 3 AÑOS"/>
    <s v="PADD 2023 Y 2024"/>
    <x v="48"/>
    <s v="601332 Secundaria"/>
  </r>
  <r>
    <n v="302"/>
    <x v="3"/>
    <s v="Secundaria"/>
    <x v="2"/>
    <x v="47"/>
    <s v="Rural"/>
    <s v="Masculino"/>
    <x v="0"/>
    <x v="0"/>
    <s v="LOS 3 AÑOS"/>
    <s v="PADD 2023 Y 2024"/>
    <x v="48"/>
    <s v="601332 Secundaria"/>
  </r>
  <r>
    <n v="303"/>
    <x v="3"/>
    <s v="Secundaria"/>
    <x v="2"/>
    <x v="47"/>
    <s v="Rural"/>
    <s v="Masculino"/>
    <x v="0"/>
    <x v="0"/>
    <s v="LOS 3 AÑOS"/>
    <s v="PADD 2023 Y 2024"/>
    <x v="48"/>
    <s v="601332 Secundaria"/>
  </r>
  <r>
    <n v="304"/>
    <x v="3"/>
    <s v="Secundaria"/>
    <x v="2"/>
    <x v="47"/>
    <s v="Rural"/>
    <s v="Femenino"/>
    <x v="0"/>
    <x v="0"/>
    <s v="LOS 3 AÑOS"/>
    <s v="PADD 2023 Y 2024"/>
    <x v="48"/>
    <s v="601332 Secundaria"/>
  </r>
  <r>
    <n v="305"/>
    <x v="3"/>
    <s v="Secundaria"/>
    <x v="2"/>
    <x v="47"/>
    <s v="Rural"/>
    <s v="Femenino"/>
    <x v="0"/>
    <x v="0"/>
    <s v="LOS 3 AÑOS"/>
    <s v="PADD 2023 Y 2024"/>
    <x v="48"/>
    <s v="601332 Secundaria"/>
  </r>
  <r>
    <n v="306"/>
    <x v="3"/>
    <s v="Secundaria"/>
    <x v="2"/>
    <x v="47"/>
    <s v="Rural"/>
    <s v="Femenino"/>
    <x v="0"/>
    <x v="0"/>
    <s v="LOS 3 AÑOS"/>
    <s v="PADD 2023 Y 2024"/>
    <x v="48"/>
    <s v="601332 Secundaria"/>
  </r>
  <r>
    <n v="307"/>
    <x v="3"/>
    <s v="Secundaria"/>
    <x v="2"/>
    <x v="47"/>
    <s v="Rural"/>
    <s v="Masculino"/>
    <x v="0"/>
    <x v="0"/>
    <s v="LOS 3 AÑOS"/>
    <s v="PADD 2023 Y 2024"/>
    <x v="48"/>
    <s v="601332 Secundaria"/>
  </r>
  <r>
    <n v="308"/>
    <x v="3"/>
    <s v="Secundaria"/>
    <x v="2"/>
    <x v="47"/>
    <s v="Rural"/>
    <s v="Masculino"/>
    <x v="0"/>
    <x v="0"/>
    <s v="LOS 3 AÑOS"/>
    <s v="PADD 2023 Y 2024"/>
    <x v="48"/>
    <s v="601332 Secundaria"/>
  </r>
  <r>
    <n v="310"/>
    <x v="3"/>
    <s v="Secundaria"/>
    <x v="2"/>
    <x v="47"/>
    <s v="Rural"/>
    <s v="Masculino"/>
    <x v="0"/>
    <x v="0"/>
    <s v="LOS 3 AÑOS"/>
    <s v="PADD 2023 Y 2024"/>
    <x v="48"/>
    <s v="601332 Secundaria"/>
  </r>
  <r>
    <n v="311"/>
    <x v="3"/>
    <s v="Secundaria"/>
    <x v="2"/>
    <x v="47"/>
    <s v="Rural"/>
    <s v="Femenino"/>
    <x v="0"/>
    <x v="0"/>
    <s v="LOS 3 AÑOS"/>
    <s v="PADD 2023 Y 2024"/>
    <x v="48"/>
    <s v="601332 Secundaria"/>
  </r>
  <r>
    <n v="312"/>
    <x v="3"/>
    <s v="Secundaria"/>
    <x v="2"/>
    <x v="47"/>
    <s v="Rural"/>
    <s v="Femenino"/>
    <x v="0"/>
    <x v="0"/>
    <s v="LOS 3 AÑOS"/>
    <s v="PADD 2023 Y 2024"/>
    <x v="48"/>
    <s v="601332 Secundaria"/>
  </r>
  <r>
    <n v="313"/>
    <x v="3"/>
    <s v="Secundaria"/>
    <x v="3"/>
    <x v="47"/>
    <s v="Rural"/>
    <s v="Femenino"/>
    <x v="0"/>
    <x v="0"/>
    <s v="LOS 3 AÑOS"/>
    <s v="PADD 2023 Y 2024"/>
    <x v="48"/>
    <s v="601334 Secundaria"/>
  </r>
  <r>
    <n v="314"/>
    <x v="3"/>
    <s v="Secundaria"/>
    <x v="3"/>
    <x v="47"/>
    <s v="Rural"/>
    <s v="Femenino"/>
    <x v="0"/>
    <x v="0"/>
    <s v="LOS 3 AÑOS"/>
    <s v="PADD 2023 Y 2024"/>
    <x v="48"/>
    <s v="601334 Secundaria"/>
  </r>
  <r>
    <n v="315"/>
    <x v="3"/>
    <s v="Secundaria"/>
    <x v="3"/>
    <x v="47"/>
    <s v="Rural"/>
    <s v="Femenino"/>
    <x v="0"/>
    <x v="0"/>
    <s v="LOS 3 AÑOS"/>
    <s v="PADD 2023 Y 2024"/>
    <x v="48"/>
    <s v="601334 Secundaria"/>
  </r>
  <r>
    <n v="316"/>
    <x v="3"/>
    <s v="Secundaria"/>
    <x v="3"/>
    <x v="47"/>
    <s v="Rural"/>
    <s v="Masculino"/>
    <x v="1"/>
    <x v="0"/>
    <s v="LOS 3 AÑOS"/>
    <s v="PADD 2023 Y 2024"/>
    <x v="48"/>
    <s v="601334 Secundaria"/>
  </r>
  <r>
    <n v="317"/>
    <x v="3"/>
    <s v="Secundaria"/>
    <x v="3"/>
    <x v="47"/>
    <s v="Rural"/>
    <s v="Masculino"/>
    <x v="0"/>
    <x v="0"/>
    <s v="LOS 3 AÑOS"/>
    <s v="PADD 2023 Y 2024"/>
    <x v="48"/>
    <s v="601334 Secundaria"/>
  </r>
  <r>
    <n v="318"/>
    <x v="3"/>
    <s v="Secundaria"/>
    <x v="3"/>
    <x v="47"/>
    <s v="Rural"/>
    <s v="Femenino"/>
    <x v="0"/>
    <x v="0"/>
    <s v="LOS 3 AÑOS"/>
    <s v="PADD 2023 Y 2024"/>
    <x v="48"/>
    <s v="601334 Secundaria"/>
  </r>
  <r>
    <n v="319"/>
    <x v="3"/>
    <s v="Secundaria"/>
    <x v="3"/>
    <x v="47"/>
    <s v="Rural"/>
    <s v="Femenino"/>
    <x v="0"/>
    <x v="0"/>
    <s v="LOS 3 AÑOS"/>
    <s v="PADD 2023 Y 2024"/>
    <x v="48"/>
    <s v="601334 Secundaria"/>
  </r>
  <r>
    <n v="320"/>
    <x v="3"/>
    <s v="Secundaria"/>
    <x v="3"/>
    <x v="47"/>
    <s v="Rural"/>
    <s v="Femenino"/>
    <x v="0"/>
    <x v="0"/>
    <s v="LOS 3 AÑOS"/>
    <s v="PADD 2023 Y 2024"/>
    <x v="48"/>
    <s v="601334 Secundaria"/>
  </r>
  <r>
    <n v="321"/>
    <x v="3"/>
    <s v="Secundaria"/>
    <x v="3"/>
    <x v="47"/>
    <s v="Rural"/>
    <s v="Masculino"/>
    <x v="0"/>
    <x v="0"/>
    <s v="LOS 3 AÑOS"/>
    <s v="PADD 2023 Y 2024"/>
    <x v="48"/>
    <s v="601334 Secundaria"/>
  </r>
  <r>
    <n v="322"/>
    <x v="3"/>
    <s v="Secundaria"/>
    <x v="3"/>
    <x v="47"/>
    <s v="Rural"/>
    <s v="Masculino"/>
    <x v="0"/>
    <x v="0"/>
    <s v="LOS 3 AÑOS"/>
    <s v="PADD 2023 Y 2024"/>
    <x v="48"/>
    <s v="601334 Secundaria"/>
  </r>
  <r>
    <n v="323"/>
    <x v="3"/>
    <s v="Secundaria"/>
    <x v="3"/>
    <x v="47"/>
    <s v="Rural"/>
    <s v="Femenino"/>
    <x v="0"/>
    <x v="0"/>
    <s v="LOS 3 AÑOS"/>
    <s v="PADD 2023 Y 2024"/>
    <x v="48"/>
    <s v="601334 Secundaria"/>
  </r>
  <r>
    <n v="324"/>
    <x v="3"/>
    <s v="Secundaria"/>
    <x v="3"/>
    <x v="47"/>
    <s v="Rural"/>
    <s v="Masculino"/>
    <x v="0"/>
    <x v="0"/>
    <s v="LOS 3 AÑOS"/>
    <s v="PADD 2023 Y 2024"/>
    <x v="48"/>
    <s v="601334 Secundaria"/>
  </r>
  <r>
    <n v="326"/>
    <x v="3"/>
    <s v="Secundaria"/>
    <x v="3"/>
    <x v="47"/>
    <s v="Rural"/>
    <s v="Masculino"/>
    <x v="0"/>
    <x v="0"/>
    <s v="LOS 3 AÑOS"/>
    <s v="PADD 2023 Y 2024"/>
    <x v="48"/>
    <s v="601334 Secundaria"/>
  </r>
  <r>
    <n v="327"/>
    <x v="3"/>
    <s v="Secundaria"/>
    <x v="3"/>
    <x v="47"/>
    <s v="Rural"/>
    <s v="Masculino"/>
    <x v="0"/>
    <x v="0"/>
    <s v="LOS 3 AÑOS"/>
    <s v="PADD 2023 Y 2024"/>
    <x v="48"/>
    <s v="601334 Secundaria"/>
  </r>
  <r>
    <n v="328"/>
    <x v="3"/>
    <s v="Secundaria"/>
    <x v="3"/>
    <x v="47"/>
    <s v="Rural"/>
    <s v="Masculino"/>
    <x v="0"/>
    <x v="0"/>
    <s v="LOS 3 AÑOS"/>
    <s v="PADD 2023 Y 2024"/>
    <x v="48"/>
    <s v="601334 Secundaria"/>
  </r>
  <r>
    <n v="329"/>
    <x v="3"/>
    <s v="Secundaria"/>
    <x v="3"/>
    <x v="47"/>
    <s v="Rural"/>
    <s v="Femenino"/>
    <x v="0"/>
    <x v="0"/>
    <s v="LOS 3 AÑOS"/>
    <s v="PADD 2023 Y 2024"/>
    <x v="48"/>
    <s v="601334 Secundaria"/>
  </r>
  <r>
    <n v="330"/>
    <x v="3"/>
    <s v="Secundaria"/>
    <x v="3"/>
    <x v="47"/>
    <s v="Rural"/>
    <s v="Masculino"/>
    <x v="0"/>
    <x v="0"/>
    <s v="LOS 3 AÑOS"/>
    <s v="PADD 2023 Y 2024"/>
    <x v="48"/>
    <s v="601334 Secundaria"/>
  </r>
  <r>
    <n v="331"/>
    <x v="3"/>
    <s v="Secundaria"/>
    <x v="3"/>
    <x v="47"/>
    <s v="Rural"/>
    <s v="Femenino"/>
    <x v="0"/>
    <x v="0"/>
    <s v="LOS 3 AÑOS"/>
    <s v="PADD 2023 Y 2024"/>
    <x v="48"/>
    <s v="601334 Secundaria"/>
  </r>
  <r>
    <n v="332"/>
    <x v="3"/>
    <s v="Secundaria"/>
    <x v="3"/>
    <x v="47"/>
    <s v="Rural"/>
    <s v="Masculino"/>
    <x v="0"/>
    <x v="0"/>
    <s v="LOS 3 AÑOS"/>
    <s v="PADD 2023 Y 2024"/>
    <x v="48"/>
    <s v="601334 Secundaria"/>
  </r>
  <r>
    <n v="333"/>
    <x v="3"/>
    <s v="Secundaria"/>
    <x v="3"/>
    <x v="47"/>
    <s v="Rural"/>
    <s v="Masculino"/>
    <x v="0"/>
    <x v="0"/>
    <s v="LOS 3 AÑOS"/>
    <s v="PADD 2023 Y 2024"/>
    <x v="48"/>
    <s v="601334 Secundaria"/>
  </r>
  <r>
    <n v="334"/>
    <x v="3"/>
    <s v="Secundaria"/>
    <x v="3"/>
    <x v="47"/>
    <s v="Rural"/>
    <s v="Masculino"/>
    <x v="1"/>
    <x v="0"/>
    <s v="LOS 3 AÑOS"/>
    <s v="PADD 2023 Y 2024"/>
    <x v="48"/>
    <s v="601334 Secundaria"/>
  </r>
  <r>
    <n v="335"/>
    <x v="3"/>
    <s v="Secundaria"/>
    <x v="3"/>
    <x v="47"/>
    <s v="Rural"/>
    <s v="Femenino"/>
    <x v="0"/>
    <x v="0"/>
    <s v="LOS 3 AÑOS"/>
    <s v="PADD 2023 Y 2024"/>
    <x v="48"/>
    <s v="601334 Secundaria"/>
  </r>
  <r>
    <n v="1"/>
    <x v="4"/>
    <s v="Primaria"/>
    <x v="4"/>
    <x v="48"/>
    <s v="Rural"/>
    <s v="Masculino"/>
    <x v="0"/>
    <x v="0"/>
    <s v="LOS 3 AÑOS"/>
    <s v="SOLO 2023"/>
    <x v="49"/>
    <s v="868092 Primaria"/>
  </r>
  <r>
    <n v="2"/>
    <x v="4"/>
    <s v="Primaria"/>
    <x v="0"/>
    <x v="48"/>
    <s v="Rural"/>
    <s v="Masculino"/>
    <x v="0"/>
    <x v="0"/>
    <s v="LOS 3 AÑOS"/>
    <s v="SOLO 2023"/>
    <x v="49"/>
    <s v="868094 Primaria"/>
  </r>
  <r>
    <n v="3"/>
    <x v="4"/>
    <s v="Primaria"/>
    <x v="0"/>
    <x v="48"/>
    <s v="Rural"/>
    <s v="Masculino"/>
    <x v="0"/>
    <x v="0"/>
    <s v="LOS 3 AÑOS"/>
    <s v="SOLO 2023"/>
    <x v="49"/>
    <s v="868094 Primaria"/>
  </r>
  <r>
    <n v="4"/>
    <x v="4"/>
    <s v="Primaria"/>
    <x v="0"/>
    <x v="48"/>
    <s v="Rural"/>
    <s v="Femenino"/>
    <x v="0"/>
    <x v="0"/>
    <s v="LOS 3 AÑOS"/>
    <s v="SOLO 2023"/>
    <x v="49"/>
    <s v="868094 Primaria"/>
  </r>
  <r>
    <n v="5"/>
    <x v="4"/>
    <s v="Primaria"/>
    <x v="0"/>
    <x v="48"/>
    <s v="Rural"/>
    <s v="Femenino"/>
    <x v="0"/>
    <x v="0"/>
    <s v="LOS 3 AÑOS"/>
    <s v="SOLO 2023"/>
    <x v="49"/>
    <s v="868094 Primaria"/>
  </r>
  <r>
    <n v="6"/>
    <x v="4"/>
    <s v="Primaria"/>
    <x v="1"/>
    <x v="48"/>
    <s v="Rural"/>
    <s v="Femenino"/>
    <x v="0"/>
    <x v="0"/>
    <s v="LOS 3 AÑOS"/>
    <s v="SOLO 2023"/>
    <x v="49"/>
    <s v="868096 Primaria"/>
  </r>
  <r>
    <n v="7"/>
    <x v="4"/>
    <s v="Primaria"/>
    <x v="1"/>
    <x v="48"/>
    <s v="Rural"/>
    <s v="Femenino"/>
    <x v="0"/>
    <x v="0"/>
    <s v="LOS 3 AÑOS"/>
    <s v="SOLO 2023"/>
    <x v="49"/>
    <s v="868096 Primaria"/>
  </r>
  <r>
    <n v="8"/>
    <x v="4"/>
    <s v="Primaria"/>
    <x v="4"/>
    <x v="49"/>
    <s v="Rural"/>
    <s v="Masculino"/>
    <x v="0"/>
    <x v="0"/>
    <s v="SOLO 2024"/>
    <s v="PADD 2023 Y 2024"/>
    <x v="50"/>
    <s v="86548 JOSE MARIA VELAZ2 Primaria"/>
  </r>
  <r>
    <n v="9"/>
    <x v="4"/>
    <s v="Primaria"/>
    <x v="4"/>
    <x v="49"/>
    <s v="Rural"/>
    <s v="Femenino"/>
    <x v="0"/>
    <x v="0"/>
    <s v="SOLO 2024"/>
    <s v="PADD 2023 Y 2024"/>
    <x v="50"/>
    <s v="86548 JOSE MARIA VELAZ2 Primaria"/>
  </r>
  <r>
    <n v="10"/>
    <x v="4"/>
    <s v="Primaria"/>
    <x v="4"/>
    <x v="49"/>
    <s v="Rural"/>
    <s v="Femenino"/>
    <x v="0"/>
    <x v="0"/>
    <s v="SOLO 2024"/>
    <s v="PADD 2023 Y 2024"/>
    <x v="50"/>
    <s v="86548 JOSE MARIA VELAZ2 Primaria"/>
  </r>
  <r>
    <n v="12"/>
    <x v="4"/>
    <s v="Primaria"/>
    <x v="4"/>
    <x v="49"/>
    <s v="Rural"/>
    <s v="Masculino"/>
    <x v="0"/>
    <x v="0"/>
    <s v="SOLO 2024"/>
    <s v="PADD 2023 Y 2024"/>
    <x v="50"/>
    <s v="86548 JOSE MARIA VELAZ2 Primaria"/>
  </r>
  <r>
    <n v="13"/>
    <x v="4"/>
    <s v="Primaria"/>
    <x v="4"/>
    <x v="49"/>
    <s v="Rural"/>
    <s v="Masculino"/>
    <x v="0"/>
    <x v="0"/>
    <s v="SOLO 2024"/>
    <s v="PADD 2023 Y 2024"/>
    <x v="50"/>
    <s v="86548 JOSE MARIA VELAZ2 Primaria"/>
  </r>
  <r>
    <n v="14"/>
    <x v="4"/>
    <s v="Primaria"/>
    <x v="4"/>
    <x v="49"/>
    <s v="Rural"/>
    <s v="Masculino"/>
    <x v="0"/>
    <x v="0"/>
    <s v="SOLO 2024"/>
    <s v="PADD 2023 Y 2024"/>
    <x v="50"/>
    <s v="86548 JOSE MARIA VELAZ2 Primaria"/>
  </r>
  <r>
    <n v="15"/>
    <x v="4"/>
    <s v="Primaria"/>
    <x v="4"/>
    <x v="49"/>
    <s v="Rural"/>
    <s v="Femenino"/>
    <x v="0"/>
    <x v="0"/>
    <s v="SOLO 2024"/>
    <s v="PADD 2023 Y 2024"/>
    <x v="50"/>
    <s v="86548 JOSE MARIA VELAZ2 Primaria"/>
  </r>
  <r>
    <n v="16"/>
    <x v="4"/>
    <s v="Primaria"/>
    <x v="4"/>
    <x v="49"/>
    <s v="Rural"/>
    <s v="Femenino"/>
    <x v="0"/>
    <x v="0"/>
    <s v="SOLO 2024"/>
    <s v="PADD 2023 Y 2024"/>
    <x v="50"/>
    <s v="86548 JOSE MARIA VELAZ2 Primaria"/>
  </r>
  <r>
    <n v="17"/>
    <x v="4"/>
    <s v="Primaria"/>
    <x v="4"/>
    <x v="49"/>
    <s v="Rural"/>
    <s v="Femenino"/>
    <x v="0"/>
    <x v="0"/>
    <s v="SOLO 2024"/>
    <s v="PADD 2023 Y 2024"/>
    <x v="50"/>
    <s v="86548 JOSE MARIA VELAZ2 Primaria"/>
  </r>
  <r>
    <n v="18"/>
    <x v="4"/>
    <s v="Primaria"/>
    <x v="4"/>
    <x v="49"/>
    <s v="Rural"/>
    <s v="Masculino"/>
    <x v="0"/>
    <x v="0"/>
    <s v="SOLO 2024"/>
    <s v="PADD 2023 Y 2024"/>
    <x v="50"/>
    <s v="86548 JOSE MARIA VELAZ2 Primaria"/>
  </r>
  <r>
    <n v="19"/>
    <x v="4"/>
    <s v="Primaria"/>
    <x v="4"/>
    <x v="49"/>
    <s v="Rural"/>
    <s v="Masculino"/>
    <x v="0"/>
    <x v="0"/>
    <s v="SOLO 2024"/>
    <s v="PADD 2023 Y 2024"/>
    <x v="50"/>
    <s v="86548 JOSE MARIA VELAZ2 Primaria"/>
  </r>
  <r>
    <n v="20"/>
    <x v="4"/>
    <s v="Primaria"/>
    <x v="4"/>
    <x v="49"/>
    <s v="Rural"/>
    <s v="Masculino"/>
    <x v="0"/>
    <x v="0"/>
    <s v="SOLO 2024"/>
    <s v="PADD 2023 Y 2024"/>
    <x v="50"/>
    <s v="86548 JOSE MARIA VELAZ2 Primaria"/>
  </r>
  <r>
    <n v="21"/>
    <x v="4"/>
    <s v="Primaria"/>
    <x v="4"/>
    <x v="49"/>
    <s v="Rural"/>
    <s v="Masculino"/>
    <x v="0"/>
    <x v="0"/>
    <s v="SOLO 2024"/>
    <s v="PADD 2023 Y 2024"/>
    <x v="50"/>
    <s v="86548 JOSE MARIA VELAZ2 Primaria"/>
  </r>
  <r>
    <n v="22"/>
    <x v="4"/>
    <s v="Primaria"/>
    <x v="4"/>
    <x v="49"/>
    <s v="Rural"/>
    <s v="Femenino"/>
    <x v="0"/>
    <x v="0"/>
    <s v="SOLO 2024"/>
    <s v="PADD 2023 Y 2024"/>
    <x v="50"/>
    <s v="86548 JOSE MARIA VELAZ2 Primaria"/>
  </r>
  <r>
    <n v="23"/>
    <x v="4"/>
    <s v="Primaria"/>
    <x v="4"/>
    <x v="49"/>
    <s v="Rural"/>
    <s v="Masculino"/>
    <x v="0"/>
    <x v="0"/>
    <s v="SOLO 2024"/>
    <s v="PADD 2023 Y 2024"/>
    <x v="50"/>
    <s v="86548 JOSE MARIA VELAZ2 Primaria"/>
  </r>
  <r>
    <n v="24"/>
    <x v="4"/>
    <s v="Primaria"/>
    <x v="0"/>
    <x v="49"/>
    <s v="Rural"/>
    <s v="Masculino"/>
    <x v="0"/>
    <x v="0"/>
    <s v="2023 Y 2024"/>
    <s v="PADD 2023 Y 2024"/>
    <x v="50"/>
    <s v="86548 JOSE MARIA VELAZ4 Primaria"/>
  </r>
  <r>
    <n v="25"/>
    <x v="4"/>
    <s v="Primaria"/>
    <x v="0"/>
    <x v="49"/>
    <s v="Rural"/>
    <s v="Femenino"/>
    <x v="0"/>
    <x v="0"/>
    <s v="2023 Y 2024"/>
    <s v="PADD 2023 Y 2024"/>
    <x v="50"/>
    <s v="86548 JOSE MARIA VELAZ4 Primaria"/>
  </r>
  <r>
    <n v="26"/>
    <x v="4"/>
    <s v="Primaria"/>
    <x v="0"/>
    <x v="49"/>
    <s v="Rural"/>
    <s v="Femenino"/>
    <x v="0"/>
    <x v="0"/>
    <s v="2023 Y 2024"/>
    <s v="PADD 2023 Y 2024"/>
    <x v="50"/>
    <s v="86548 JOSE MARIA VELAZ4 Primaria"/>
  </r>
  <r>
    <n v="27"/>
    <x v="4"/>
    <s v="Primaria"/>
    <x v="0"/>
    <x v="49"/>
    <s v="Rural"/>
    <s v="Masculino"/>
    <x v="0"/>
    <x v="0"/>
    <s v="2023 Y 2024"/>
    <s v="PADD 2023 Y 2024"/>
    <x v="50"/>
    <s v="86548 JOSE MARIA VELAZ4 Primaria"/>
  </r>
  <r>
    <n v="28"/>
    <x v="4"/>
    <s v="Primaria"/>
    <x v="0"/>
    <x v="49"/>
    <s v="Rural"/>
    <s v="Masculino"/>
    <x v="0"/>
    <x v="0"/>
    <s v="2023 Y 2024"/>
    <s v="PADD 2023 Y 2024"/>
    <x v="50"/>
    <s v="86548 JOSE MARIA VELAZ4 Primaria"/>
  </r>
  <r>
    <n v="29"/>
    <x v="4"/>
    <s v="Primaria"/>
    <x v="0"/>
    <x v="49"/>
    <s v="Rural"/>
    <s v="Masculino"/>
    <x v="0"/>
    <x v="0"/>
    <s v="2023 Y 2024"/>
    <s v="PADD 2023 Y 2024"/>
    <x v="50"/>
    <s v="86548 JOSE MARIA VELAZ4 Primaria"/>
  </r>
  <r>
    <n v="30"/>
    <x v="4"/>
    <s v="Primaria"/>
    <x v="1"/>
    <x v="49"/>
    <s v="Rural"/>
    <s v="Femenino"/>
    <x v="0"/>
    <x v="0"/>
    <s v="2023 Y 2024"/>
    <s v="PADD 2023 Y 2024"/>
    <x v="50"/>
    <s v="86548 JOSE MARIA VELAZ6 Primaria"/>
  </r>
  <r>
    <n v="31"/>
    <x v="4"/>
    <s v="Primaria"/>
    <x v="1"/>
    <x v="49"/>
    <s v="Rural"/>
    <s v="Femenino"/>
    <x v="0"/>
    <x v="0"/>
    <s v="2023 Y 2024"/>
    <s v="PADD 2023 Y 2024"/>
    <x v="50"/>
    <s v="86548 JOSE MARIA VELAZ6 Primaria"/>
  </r>
  <r>
    <n v="32"/>
    <x v="4"/>
    <s v="Primaria"/>
    <x v="1"/>
    <x v="49"/>
    <s v="Rural"/>
    <s v="Femenino"/>
    <x v="0"/>
    <x v="0"/>
    <s v="2023 Y 2024"/>
    <s v="PADD 2023 Y 2024"/>
    <x v="50"/>
    <s v="86548 JOSE MARIA VELAZ6 Primaria"/>
  </r>
  <r>
    <n v="33"/>
    <x v="4"/>
    <s v="Primaria"/>
    <x v="1"/>
    <x v="49"/>
    <s v="Rural"/>
    <s v="Masculino"/>
    <x v="0"/>
    <x v="0"/>
    <s v="2023 Y 2024"/>
    <s v="PADD 2023 Y 2024"/>
    <x v="50"/>
    <s v="86548 JOSE MARIA VELAZ6 Primaria"/>
  </r>
  <r>
    <n v="34"/>
    <x v="4"/>
    <s v="Primaria"/>
    <x v="1"/>
    <x v="49"/>
    <s v="Rural"/>
    <s v="Masculino"/>
    <x v="0"/>
    <x v="0"/>
    <s v="2023 Y 2024"/>
    <s v="PADD 2023 Y 2024"/>
    <x v="50"/>
    <s v="86548 JOSE MARIA VELAZ6 Primaria"/>
  </r>
  <r>
    <n v="35"/>
    <x v="4"/>
    <s v="Primaria"/>
    <x v="1"/>
    <x v="49"/>
    <s v="Rural"/>
    <s v="Masculino"/>
    <x v="0"/>
    <x v="0"/>
    <s v="2023 Y 2024"/>
    <s v="PADD 2023 Y 2024"/>
    <x v="50"/>
    <s v="86548 JOSE MARIA VELAZ6 Primaria"/>
  </r>
  <r>
    <n v="36"/>
    <x v="4"/>
    <s v="Primaria"/>
    <x v="1"/>
    <x v="49"/>
    <s v="Rural"/>
    <s v="Femenino"/>
    <x v="0"/>
    <x v="0"/>
    <s v="2023 Y 2024"/>
    <s v="PADD 2023 Y 2024"/>
    <x v="50"/>
    <s v="86548 JOSE MARIA VELAZ6 Primaria"/>
  </r>
  <r>
    <n v="37"/>
    <x v="4"/>
    <s v="Primaria"/>
    <x v="1"/>
    <x v="49"/>
    <s v="Rural"/>
    <s v="Masculino"/>
    <x v="0"/>
    <x v="0"/>
    <s v="2023 Y 2024"/>
    <s v="PADD 2023 Y 2024"/>
    <x v="50"/>
    <s v="86548 JOSE MARIA VELAZ6 Primaria"/>
  </r>
  <r>
    <n v="38"/>
    <x v="4"/>
    <s v="Primaria"/>
    <x v="1"/>
    <x v="49"/>
    <s v="Rural"/>
    <s v="Femenino"/>
    <x v="0"/>
    <x v="0"/>
    <s v="2023 Y 2024"/>
    <s v="PADD 2023 Y 2024"/>
    <x v="50"/>
    <s v="86548 JOSE MARIA VELAZ6 Primaria"/>
  </r>
  <r>
    <n v="39"/>
    <x v="4"/>
    <s v="Primaria"/>
    <x v="1"/>
    <x v="49"/>
    <s v="Rural"/>
    <s v="Femenino"/>
    <x v="0"/>
    <x v="0"/>
    <s v="2023 Y 2024"/>
    <s v="PADD 2023 Y 2024"/>
    <x v="50"/>
    <s v="86548 JOSE MARIA VELAZ6 Primaria"/>
  </r>
  <r>
    <n v="40"/>
    <x v="4"/>
    <s v="Primaria"/>
    <x v="1"/>
    <x v="49"/>
    <s v="Rural"/>
    <s v="Femenino"/>
    <x v="0"/>
    <x v="0"/>
    <s v="2023 Y 2024"/>
    <s v="PADD 2023 Y 2024"/>
    <x v="50"/>
    <s v="86548 JOSE MARIA VELAZ6 Primaria"/>
  </r>
  <r>
    <n v="41"/>
    <x v="4"/>
    <s v="Primaria"/>
    <x v="1"/>
    <x v="49"/>
    <s v="Rural"/>
    <s v="Masculino"/>
    <x v="0"/>
    <x v="0"/>
    <s v="2023 Y 2024"/>
    <s v="PADD 2023 Y 2024"/>
    <x v="50"/>
    <s v="86548 JOSE MARIA VELAZ6 Primaria"/>
  </r>
  <r>
    <n v="42"/>
    <x v="4"/>
    <s v="Secundaria"/>
    <x v="2"/>
    <x v="49"/>
    <s v="Rural"/>
    <s v="Masculino"/>
    <x v="0"/>
    <x v="0"/>
    <s v="SOLO 2022 Y 2024"/>
    <s v="PADD 2023 Y 2024"/>
    <x v="50"/>
    <s v="86548 JOSE MARIA VELAZ2 Secundaria"/>
  </r>
  <r>
    <n v="43"/>
    <x v="4"/>
    <s v="Secundaria"/>
    <x v="2"/>
    <x v="49"/>
    <s v="Rural"/>
    <s v="Masculino"/>
    <x v="0"/>
    <x v="0"/>
    <s v="SOLO 2022 Y 2024"/>
    <s v="PADD 2023 Y 2024"/>
    <x v="50"/>
    <s v="86548 JOSE MARIA VELAZ2 Secundaria"/>
  </r>
  <r>
    <n v="44"/>
    <x v="4"/>
    <s v="Secundaria"/>
    <x v="2"/>
    <x v="49"/>
    <s v="Rural"/>
    <s v="Femenino"/>
    <x v="0"/>
    <x v="0"/>
    <s v="SOLO 2022 Y 2024"/>
    <s v="PADD 2023 Y 2024"/>
    <x v="50"/>
    <s v="86548 JOSE MARIA VELAZ2 Secundaria"/>
  </r>
  <r>
    <n v="45"/>
    <x v="4"/>
    <s v="Secundaria"/>
    <x v="2"/>
    <x v="49"/>
    <s v="Rural"/>
    <s v="Masculino"/>
    <x v="0"/>
    <x v="0"/>
    <s v="SOLO 2022 Y 2024"/>
    <s v="PADD 2023 Y 2024"/>
    <x v="50"/>
    <s v="86548 JOSE MARIA VELAZ2 Secundaria"/>
  </r>
  <r>
    <n v="46"/>
    <x v="4"/>
    <s v="Secundaria"/>
    <x v="2"/>
    <x v="49"/>
    <s v="Rural"/>
    <s v="Femenino"/>
    <x v="0"/>
    <x v="0"/>
    <s v="SOLO 2022 Y 2024"/>
    <s v="PADD 2023 Y 2024"/>
    <x v="50"/>
    <s v="86548 JOSE MARIA VELAZ2 Secundaria"/>
  </r>
  <r>
    <n v="47"/>
    <x v="4"/>
    <s v="Secundaria"/>
    <x v="2"/>
    <x v="49"/>
    <s v="Rural"/>
    <s v="Femenino"/>
    <x v="0"/>
    <x v="0"/>
    <s v="SOLO 2022 Y 2024"/>
    <s v="PADD 2023 Y 2024"/>
    <x v="50"/>
    <s v="86548 JOSE MARIA VELAZ2 Secundaria"/>
  </r>
  <r>
    <n v="50"/>
    <x v="4"/>
    <s v="Secundaria"/>
    <x v="2"/>
    <x v="49"/>
    <s v="Rural"/>
    <s v="Masculino"/>
    <x v="0"/>
    <x v="0"/>
    <s v="SOLO 2022 Y 2024"/>
    <s v="PADD 2023 Y 2024"/>
    <x v="50"/>
    <s v="86548 JOSE MARIA VELAZ2 Secundaria"/>
  </r>
  <r>
    <n v="51"/>
    <x v="4"/>
    <s v="Secundaria"/>
    <x v="2"/>
    <x v="49"/>
    <s v="Rural"/>
    <s v="Masculino"/>
    <x v="0"/>
    <x v="0"/>
    <s v="SOLO 2022 Y 2024"/>
    <s v="PADD 2023 Y 2024"/>
    <x v="50"/>
    <s v="86548 JOSE MARIA VELAZ2 Secundaria"/>
  </r>
  <r>
    <n v="52"/>
    <x v="4"/>
    <s v="Secundaria"/>
    <x v="2"/>
    <x v="49"/>
    <s v="Rural"/>
    <s v="Masculino"/>
    <x v="0"/>
    <x v="0"/>
    <s v="SOLO 2022 Y 2024"/>
    <s v="PADD 2023 Y 2024"/>
    <x v="50"/>
    <s v="86548 JOSE MARIA VELAZ2 Secundaria"/>
  </r>
  <r>
    <n v="53"/>
    <x v="4"/>
    <s v="Secundaria"/>
    <x v="2"/>
    <x v="49"/>
    <s v="Rural"/>
    <s v="Femenino"/>
    <x v="0"/>
    <x v="0"/>
    <s v="SOLO 2022 Y 2024"/>
    <s v="PADD 2023 Y 2024"/>
    <x v="50"/>
    <s v="86548 JOSE MARIA VELAZ2 Secundaria"/>
  </r>
  <r>
    <n v="55"/>
    <x v="4"/>
    <s v="Secundaria"/>
    <x v="2"/>
    <x v="49"/>
    <s v="Rural"/>
    <s v="Masculino"/>
    <x v="0"/>
    <x v="0"/>
    <s v="SOLO 2022 Y 2024"/>
    <s v="PADD 2023 Y 2024"/>
    <x v="50"/>
    <s v="86548 JOSE MARIA VELAZ2 Secundaria"/>
  </r>
  <r>
    <n v="57"/>
    <x v="4"/>
    <s v="Secundaria"/>
    <x v="2"/>
    <x v="49"/>
    <s v="Rural"/>
    <s v="Masculino"/>
    <x v="0"/>
    <x v="0"/>
    <s v="SOLO 2022 Y 2024"/>
    <s v="PADD 2023 Y 2024"/>
    <x v="50"/>
    <s v="86548 JOSE MARIA VELAZ2 Secundaria"/>
  </r>
  <r>
    <n v="59"/>
    <x v="4"/>
    <s v="Secundaria"/>
    <x v="2"/>
    <x v="49"/>
    <s v="Rural"/>
    <s v="Masculino"/>
    <x v="0"/>
    <x v="0"/>
    <s v="SOLO 2022 Y 2024"/>
    <s v="PADD 2023 Y 2024"/>
    <x v="50"/>
    <s v="86548 JOSE MARIA VELAZ2 Secundaria"/>
  </r>
  <r>
    <n v="60"/>
    <x v="4"/>
    <s v="Secundaria"/>
    <x v="2"/>
    <x v="49"/>
    <s v="Rural"/>
    <s v="Femenino"/>
    <x v="0"/>
    <x v="0"/>
    <s v="SOLO 2022 Y 2024"/>
    <s v="PADD 2023 Y 2024"/>
    <x v="50"/>
    <s v="86548 JOSE MARIA VELAZ2 Secundaria"/>
  </r>
  <r>
    <n v="61"/>
    <x v="4"/>
    <s v="Secundaria"/>
    <x v="2"/>
    <x v="49"/>
    <s v="Rural"/>
    <s v="Femenino"/>
    <x v="0"/>
    <x v="0"/>
    <s v="SOLO 2022 Y 2024"/>
    <s v="PADD 2023 Y 2024"/>
    <x v="50"/>
    <s v="86548 JOSE MARIA VELAZ2 Secundaria"/>
  </r>
  <r>
    <n v="62"/>
    <x v="4"/>
    <s v="Secundaria"/>
    <x v="2"/>
    <x v="49"/>
    <s v="Rural"/>
    <s v="Femenino"/>
    <x v="0"/>
    <x v="0"/>
    <s v="SOLO 2022 Y 2024"/>
    <s v="PADD 2023 Y 2024"/>
    <x v="50"/>
    <s v="86548 JOSE MARIA VELAZ2 Secundaria"/>
  </r>
  <r>
    <n v="63"/>
    <x v="4"/>
    <s v="Secundaria"/>
    <x v="2"/>
    <x v="49"/>
    <s v="Rural"/>
    <s v="Masculino"/>
    <x v="0"/>
    <x v="0"/>
    <s v="SOLO 2022 Y 2024"/>
    <s v="PADD 2023 Y 2024"/>
    <x v="50"/>
    <s v="86548 JOSE MARIA VELAZ2 Secundaria"/>
  </r>
  <r>
    <n v="64"/>
    <x v="4"/>
    <s v="Secundaria"/>
    <x v="2"/>
    <x v="49"/>
    <s v="Rural"/>
    <s v="Masculino"/>
    <x v="0"/>
    <x v="0"/>
    <s v="SOLO 2022 Y 2024"/>
    <s v="PADD 2023 Y 2024"/>
    <x v="50"/>
    <s v="86548 JOSE MARIA VELAZ2 Secundaria"/>
  </r>
  <r>
    <n v="65"/>
    <x v="4"/>
    <s v="Secundaria"/>
    <x v="2"/>
    <x v="49"/>
    <s v="Rural"/>
    <s v="Femenino"/>
    <x v="0"/>
    <x v="0"/>
    <s v="SOLO 2022 Y 2024"/>
    <s v="PADD 2023 Y 2024"/>
    <x v="50"/>
    <s v="86548 JOSE MARIA VELAZ2 Secundaria"/>
  </r>
  <r>
    <n v="66"/>
    <x v="4"/>
    <s v="Secundaria"/>
    <x v="2"/>
    <x v="49"/>
    <s v="Rural"/>
    <s v="Masculino"/>
    <x v="0"/>
    <x v="0"/>
    <s v="SOLO 2022 Y 2024"/>
    <s v="PADD 2023 Y 2024"/>
    <x v="50"/>
    <s v="86548 JOSE MARIA VELAZ2 Secundaria"/>
  </r>
  <r>
    <n v="67"/>
    <x v="4"/>
    <s v="Secundaria"/>
    <x v="3"/>
    <x v="49"/>
    <s v="Rural"/>
    <s v="Femenino"/>
    <x v="0"/>
    <x v="0"/>
    <s v="SOLO 2022 Y 2024"/>
    <s v="PADD 2023 Y 2024"/>
    <x v="50"/>
    <s v="86548 JOSE MARIA VELAZ4 Secundaria"/>
  </r>
  <r>
    <n v="68"/>
    <x v="4"/>
    <s v="Secundaria"/>
    <x v="3"/>
    <x v="49"/>
    <s v="Rural"/>
    <s v="Femenino"/>
    <x v="0"/>
    <x v="0"/>
    <s v="SOLO 2022 Y 2024"/>
    <s v="PADD 2023 Y 2024"/>
    <x v="50"/>
    <s v="86548 JOSE MARIA VELAZ4 Secundaria"/>
  </r>
  <r>
    <n v="69"/>
    <x v="4"/>
    <s v="Secundaria"/>
    <x v="3"/>
    <x v="49"/>
    <s v="Rural"/>
    <s v="Masculino"/>
    <x v="0"/>
    <x v="0"/>
    <s v="SOLO 2022 Y 2024"/>
    <s v="PADD 2023 Y 2024"/>
    <x v="50"/>
    <s v="86548 JOSE MARIA VELAZ4 Secundaria"/>
  </r>
  <r>
    <n v="70"/>
    <x v="4"/>
    <s v="Secundaria"/>
    <x v="3"/>
    <x v="49"/>
    <s v="Rural"/>
    <s v="Femenino"/>
    <x v="0"/>
    <x v="0"/>
    <s v="SOLO 2022 Y 2024"/>
    <s v="PADD 2023 Y 2024"/>
    <x v="50"/>
    <s v="86548 JOSE MARIA VELAZ4 Secundaria"/>
  </r>
  <r>
    <n v="72"/>
    <x v="4"/>
    <s v="Secundaria"/>
    <x v="3"/>
    <x v="49"/>
    <s v="Rural"/>
    <s v="Femenino"/>
    <x v="0"/>
    <x v="0"/>
    <s v="SOLO 2022 Y 2024"/>
    <s v="PADD 2023 Y 2024"/>
    <x v="50"/>
    <s v="86548 JOSE MARIA VELAZ4 Secundaria"/>
  </r>
  <r>
    <n v="73"/>
    <x v="4"/>
    <s v="Secundaria"/>
    <x v="3"/>
    <x v="49"/>
    <s v="Rural"/>
    <s v="Masculino"/>
    <x v="0"/>
    <x v="0"/>
    <s v="SOLO 2022 Y 2024"/>
    <s v="PADD 2023 Y 2024"/>
    <x v="50"/>
    <s v="86548 JOSE MARIA VELAZ4 Secundaria"/>
  </r>
  <r>
    <n v="74"/>
    <x v="4"/>
    <s v="Secundaria"/>
    <x v="3"/>
    <x v="49"/>
    <s v="Rural"/>
    <s v="Masculino"/>
    <x v="0"/>
    <x v="0"/>
    <s v="SOLO 2022 Y 2024"/>
    <s v="PADD 2023 Y 2024"/>
    <x v="50"/>
    <s v="86548 JOSE MARIA VELAZ4 Secundaria"/>
  </r>
  <r>
    <n v="75"/>
    <x v="4"/>
    <s v="Secundaria"/>
    <x v="3"/>
    <x v="49"/>
    <s v="Rural"/>
    <s v="Femenino"/>
    <x v="0"/>
    <x v="0"/>
    <s v="SOLO 2022 Y 2024"/>
    <s v="PADD 2023 Y 2024"/>
    <x v="50"/>
    <s v="86548 JOSE MARIA VELAZ4 Secundaria"/>
  </r>
  <r>
    <n v="77"/>
    <x v="4"/>
    <s v="Secundaria"/>
    <x v="3"/>
    <x v="49"/>
    <s v="Rural"/>
    <s v="Femenino"/>
    <x v="0"/>
    <x v="0"/>
    <s v="SOLO 2022 Y 2024"/>
    <s v="PADD 2023 Y 2024"/>
    <x v="50"/>
    <s v="86548 JOSE MARIA VELAZ4 Secundaria"/>
  </r>
  <r>
    <n v="78"/>
    <x v="4"/>
    <s v="Secundaria"/>
    <x v="3"/>
    <x v="49"/>
    <s v="Rural"/>
    <s v="Masculino"/>
    <x v="0"/>
    <x v="0"/>
    <s v="SOLO 2022 Y 2024"/>
    <s v="PADD 2023 Y 2024"/>
    <x v="50"/>
    <s v="86548 JOSE MARIA VELAZ4 Secundaria"/>
  </r>
  <r>
    <n v="80"/>
    <x v="4"/>
    <s v="Secundaria"/>
    <x v="3"/>
    <x v="49"/>
    <s v="Rural"/>
    <s v="Masculino"/>
    <x v="0"/>
    <x v="0"/>
    <s v="SOLO 2022 Y 2024"/>
    <s v="PADD 2023 Y 2024"/>
    <x v="50"/>
    <s v="86548 JOSE MARIA VELAZ4 Secundaria"/>
  </r>
  <r>
    <n v="81"/>
    <x v="4"/>
    <s v="Secundaria"/>
    <x v="3"/>
    <x v="49"/>
    <s v="Rural"/>
    <s v="Masculino"/>
    <x v="0"/>
    <x v="0"/>
    <s v="SOLO 2022 Y 2024"/>
    <s v="PADD 2023 Y 2024"/>
    <x v="50"/>
    <s v="86548 JOSE MARIA VELAZ4 Secundaria"/>
  </r>
  <r>
    <n v="82"/>
    <x v="4"/>
    <s v="Secundaria"/>
    <x v="3"/>
    <x v="49"/>
    <s v="Rural"/>
    <s v="Femenino"/>
    <x v="0"/>
    <x v="0"/>
    <s v="SOLO 2022 Y 2024"/>
    <s v="PADD 2023 Y 2024"/>
    <x v="50"/>
    <s v="86548 JOSE MARIA VELAZ4 Secundaria"/>
  </r>
  <r>
    <n v="84"/>
    <x v="4"/>
    <s v="Secundaria"/>
    <x v="3"/>
    <x v="49"/>
    <s v="Rural"/>
    <s v="Femenino"/>
    <x v="0"/>
    <x v="0"/>
    <s v="SOLO 2022 Y 2024"/>
    <s v="PADD 2023 Y 2024"/>
    <x v="50"/>
    <s v="86548 JOSE MARIA VELAZ4 Secundaria"/>
  </r>
  <r>
    <n v="85"/>
    <x v="4"/>
    <s v="Secundaria"/>
    <x v="3"/>
    <x v="49"/>
    <s v="Rural"/>
    <s v="Masculino"/>
    <x v="0"/>
    <x v="0"/>
    <s v="SOLO 2022 Y 2024"/>
    <s v="PADD 2023 Y 2024"/>
    <x v="50"/>
    <s v="86548 JOSE MARIA VELAZ4 Secundaria"/>
  </r>
  <r>
    <n v="87"/>
    <x v="4"/>
    <s v="Secundaria"/>
    <x v="3"/>
    <x v="49"/>
    <s v="Rural"/>
    <s v="Femenino"/>
    <x v="0"/>
    <x v="0"/>
    <s v="SOLO 2022 Y 2024"/>
    <s v="PADD 2023 Y 2024"/>
    <x v="50"/>
    <s v="86548 JOSE MARIA VELAZ4 Secundaria"/>
  </r>
  <r>
    <n v="88"/>
    <x v="4"/>
    <s v="Secundaria"/>
    <x v="3"/>
    <x v="49"/>
    <s v="Rural"/>
    <s v="Masculino"/>
    <x v="0"/>
    <x v="0"/>
    <s v="SOLO 2022 Y 2024"/>
    <s v="PADD 2023 Y 2024"/>
    <x v="50"/>
    <s v="86548 JOSE MARIA VELAZ4 Secundaria"/>
  </r>
  <r>
    <n v="89"/>
    <x v="4"/>
    <s v="Secundaria"/>
    <x v="3"/>
    <x v="49"/>
    <s v="Rural"/>
    <s v="Masculino"/>
    <x v="0"/>
    <x v="0"/>
    <s v="SOLO 2022 Y 2024"/>
    <s v="PADD 2023 Y 2024"/>
    <x v="50"/>
    <s v="86548 JOSE MARIA VELAZ4 Secundaria"/>
  </r>
  <r>
    <n v="90"/>
    <x v="4"/>
    <s v="Secundaria"/>
    <x v="3"/>
    <x v="49"/>
    <s v="Rural"/>
    <s v="Femenino"/>
    <x v="0"/>
    <x v="0"/>
    <s v="SOLO 2022 Y 2024"/>
    <s v="PADD 2023 Y 2024"/>
    <x v="50"/>
    <s v="86548 JOSE MARIA VELAZ4 Secundaria"/>
  </r>
  <r>
    <n v="91"/>
    <x v="4"/>
    <s v="Secundaria"/>
    <x v="3"/>
    <x v="49"/>
    <s v="Rural"/>
    <s v="Masculino"/>
    <x v="0"/>
    <x v="0"/>
    <s v="SOLO 2022 Y 2024"/>
    <s v="PADD 2023 Y 2024"/>
    <x v="50"/>
    <s v="86548 JOSE MARIA VELAZ4 Secundaria"/>
  </r>
  <r>
    <n v="92"/>
    <x v="4"/>
    <s v="Secundaria"/>
    <x v="3"/>
    <x v="49"/>
    <s v="Rural"/>
    <s v="Femenino"/>
    <x v="0"/>
    <x v="0"/>
    <s v="SOLO 2022 Y 2024"/>
    <s v="PADD 2023 Y 2024"/>
    <x v="50"/>
    <s v="86548 JOSE MARIA VELAZ4 Secundaria"/>
  </r>
  <r>
    <n v="94"/>
    <x v="4"/>
    <s v="Primaria"/>
    <x v="4"/>
    <x v="50"/>
    <s v="Rural"/>
    <s v="Masculino"/>
    <x v="0"/>
    <x v="0"/>
    <s v="SOLO 2022 Y 2024"/>
    <s v="PADD 2023 Y 2024"/>
    <x v="51"/>
    <s v="883272 Primaria"/>
  </r>
  <r>
    <n v="95"/>
    <x v="4"/>
    <s v="Primaria"/>
    <x v="4"/>
    <x v="50"/>
    <s v="Rural"/>
    <s v="Femenino"/>
    <x v="0"/>
    <x v="0"/>
    <s v="SOLO 2022 Y 2024"/>
    <s v="PADD 2023 Y 2024"/>
    <x v="51"/>
    <s v="883272 Primaria"/>
  </r>
  <r>
    <n v="96"/>
    <x v="4"/>
    <s v="Primaria"/>
    <x v="4"/>
    <x v="50"/>
    <s v="Rural"/>
    <s v="Masculino"/>
    <x v="0"/>
    <x v="0"/>
    <s v="SOLO 2022 Y 2024"/>
    <s v="PADD 2023 Y 2024"/>
    <x v="51"/>
    <s v="883272 Primaria"/>
  </r>
  <r>
    <n v="97"/>
    <x v="4"/>
    <s v="Primaria"/>
    <x v="4"/>
    <x v="50"/>
    <s v="Rural"/>
    <s v="Femenino"/>
    <x v="0"/>
    <x v="0"/>
    <s v="SOLO 2022 Y 2024"/>
    <s v="PADD 2023 Y 2024"/>
    <x v="51"/>
    <s v="883272 Primaria"/>
  </r>
  <r>
    <n v="98"/>
    <x v="4"/>
    <s v="Primaria"/>
    <x v="0"/>
    <x v="50"/>
    <s v="Rural"/>
    <s v="Masculino"/>
    <x v="0"/>
    <x v="0"/>
    <s v="SOLO 2024"/>
    <s v="PADD 2023 Y 2024"/>
    <x v="51"/>
    <s v="883274 Primaria"/>
  </r>
  <r>
    <n v="99"/>
    <x v="4"/>
    <s v="Primaria"/>
    <x v="0"/>
    <x v="50"/>
    <s v="Rural"/>
    <s v="Masculino"/>
    <x v="0"/>
    <x v="0"/>
    <s v="SOLO 2024"/>
    <s v="PADD 2023 Y 2024"/>
    <x v="51"/>
    <s v="883274 Primaria"/>
  </r>
  <r>
    <n v="100"/>
    <x v="4"/>
    <s v="Primaria"/>
    <x v="0"/>
    <x v="50"/>
    <s v="Rural"/>
    <s v="Femenino"/>
    <x v="0"/>
    <x v="0"/>
    <s v="SOLO 2024"/>
    <s v="PADD 2023 Y 2024"/>
    <x v="51"/>
    <s v="883274 Primaria"/>
  </r>
  <r>
    <n v="101"/>
    <x v="4"/>
    <s v="Primaria"/>
    <x v="0"/>
    <x v="50"/>
    <s v="Rural"/>
    <s v="Masculino"/>
    <x v="0"/>
    <x v="0"/>
    <s v="SOLO 2024"/>
    <s v="PADD 2023 Y 2024"/>
    <x v="51"/>
    <s v="883274 Primaria"/>
  </r>
  <r>
    <n v="102"/>
    <x v="4"/>
    <s v="Primaria"/>
    <x v="0"/>
    <x v="50"/>
    <s v="Rural"/>
    <s v="Masculino"/>
    <x v="0"/>
    <x v="0"/>
    <s v="SOLO 2024"/>
    <s v="PADD 2023 Y 2024"/>
    <x v="51"/>
    <s v="883274 Primaria"/>
  </r>
  <r>
    <n v="103"/>
    <x v="4"/>
    <s v="Primaria"/>
    <x v="0"/>
    <x v="50"/>
    <s v="Rural"/>
    <s v="Masculino"/>
    <x v="0"/>
    <x v="0"/>
    <s v="SOLO 2024"/>
    <s v="PADD 2023 Y 2024"/>
    <x v="51"/>
    <s v="883274 Primaria"/>
  </r>
  <r>
    <n v="104"/>
    <x v="4"/>
    <s v="Primaria"/>
    <x v="0"/>
    <x v="50"/>
    <s v="Rural"/>
    <s v="Femenino"/>
    <x v="0"/>
    <x v="0"/>
    <s v="SOLO 2024"/>
    <s v="PADD 2023 Y 2024"/>
    <x v="51"/>
    <s v="883274 Primaria"/>
  </r>
  <r>
    <n v="105"/>
    <x v="4"/>
    <s v="Primaria"/>
    <x v="1"/>
    <x v="50"/>
    <s v="Rural"/>
    <s v="Femenino"/>
    <x v="0"/>
    <x v="0"/>
    <s v="SOLO 2022 Y 2024"/>
    <s v="PADD 2023 Y 2024"/>
    <x v="51"/>
    <s v="883276 Primaria"/>
  </r>
  <r>
    <n v="106"/>
    <x v="4"/>
    <s v="Primaria"/>
    <x v="1"/>
    <x v="50"/>
    <s v="Rural"/>
    <s v="Masculino"/>
    <x v="0"/>
    <x v="0"/>
    <s v="SOLO 2022 Y 2024"/>
    <s v="PADD 2023 Y 2024"/>
    <x v="51"/>
    <s v="883276 Primaria"/>
  </r>
  <r>
    <n v="107"/>
    <x v="4"/>
    <s v="Primaria"/>
    <x v="1"/>
    <x v="50"/>
    <s v="Rural"/>
    <s v="Femenino"/>
    <x v="0"/>
    <x v="0"/>
    <s v="SOLO 2022 Y 2024"/>
    <s v="PADD 2023 Y 2024"/>
    <x v="51"/>
    <s v="883276 Primaria"/>
  </r>
  <r>
    <n v="108"/>
    <x v="4"/>
    <s v="Primaria"/>
    <x v="4"/>
    <x v="51"/>
    <s v="Rural"/>
    <s v="Masculino"/>
    <x v="0"/>
    <x v="0"/>
    <s v="2023 Y 2024"/>
    <s v="PADD 2023 Y 2024"/>
    <x v="52"/>
    <s v="88247 SAN ENRIQUE2 Primaria"/>
  </r>
  <r>
    <n v="109"/>
    <x v="4"/>
    <s v="Primaria"/>
    <x v="4"/>
    <x v="51"/>
    <s v="Rural"/>
    <s v="Femenino"/>
    <x v="0"/>
    <x v="0"/>
    <s v="2023 Y 2024"/>
    <s v="PADD 2023 Y 2024"/>
    <x v="52"/>
    <s v="88247 SAN ENRIQUE2 Primaria"/>
  </r>
  <r>
    <n v="110"/>
    <x v="4"/>
    <s v="Primaria"/>
    <x v="4"/>
    <x v="51"/>
    <s v="Rural"/>
    <s v="Masculino"/>
    <x v="0"/>
    <x v="0"/>
    <s v="2023 Y 2024"/>
    <s v="PADD 2023 Y 2024"/>
    <x v="52"/>
    <s v="88247 SAN ENRIQUE2 Primaria"/>
  </r>
  <r>
    <n v="111"/>
    <x v="4"/>
    <s v="Primaria"/>
    <x v="4"/>
    <x v="51"/>
    <s v="Rural"/>
    <s v="Femenino"/>
    <x v="0"/>
    <x v="0"/>
    <s v="2023 Y 2024"/>
    <s v="PADD 2023 Y 2024"/>
    <x v="52"/>
    <s v="88247 SAN ENRIQUE2 Primaria"/>
  </r>
  <r>
    <n v="112"/>
    <x v="4"/>
    <s v="Primaria"/>
    <x v="4"/>
    <x v="51"/>
    <s v="Rural"/>
    <s v="Masculino"/>
    <x v="0"/>
    <x v="0"/>
    <s v="2023 Y 2024"/>
    <s v="PADD 2023 Y 2024"/>
    <x v="52"/>
    <s v="88247 SAN ENRIQUE2 Primaria"/>
  </r>
  <r>
    <n v="113"/>
    <x v="4"/>
    <s v="Primaria"/>
    <x v="4"/>
    <x v="51"/>
    <s v="Rural"/>
    <s v="Femenino"/>
    <x v="0"/>
    <x v="0"/>
    <s v="2023 Y 2024"/>
    <s v="PADD 2023 Y 2024"/>
    <x v="52"/>
    <s v="88247 SAN ENRIQUE2 Primaria"/>
  </r>
  <r>
    <n v="114"/>
    <x v="4"/>
    <s v="Primaria"/>
    <x v="0"/>
    <x v="51"/>
    <s v="Rural"/>
    <s v="Femenino"/>
    <x v="0"/>
    <x v="0"/>
    <s v="2023 Y 2024"/>
    <s v="PADD 2023 Y 2024"/>
    <x v="52"/>
    <s v="88247 SAN ENRIQUE4 Primaria"/>
  </r>
  <r>
    <n v="115"/>
    <x v="4"/>
    <s v="Primaria"/>
    <x v="0"/>
    <x v="51"/>
    <s v="Rural"/>
    <s v="Femenino"/>
    <x v="0"/>
    <x v="0"/>
    <s v="2023 Y 2024"/>
    <s v="PADD 2023 Y 2024"/>
    <x v="52"/>
    <s v="88247 SAN ENRIQUE4 Primaria"/>
  </r>
  <r>
    <n v="116"/>
    <x v="4"/>
    <s v="Primaria"/>
    <x v="0"/>
    <x v="51"/>
    <s v="Rural"/>
    <s v="Femenino"/>
    <x v="0"/>
    <x v="0"/>
    <s v="2023 Y 2024"/>
    <s v="PADD 2023 Y 2024"/>
    <x v="52"/>
    <s v="88247 SAN ENRIQUE4 Primaria"/>
  </r>
  <r>
    <n v="117"/>
    <x v="4"/>
    <s v="Primaria"/>
    <x v="0"/>
    <x v="51"/>
    <s v="Rural"/>
    <s v="Masculino"/>
    <x v="0"/>
    <x v="0"/>
    <s v="2023 Y 2024"/>
    <s v="PADD 2023 Y 2024"/>
    <x v="52"/>
    <s v="88247 SAN ENRIQUE4 Primaria"/>
  </r>
  <r>
    <n v="118"/>
    <x v="4"/>
    <s v="Primaria"/>
    <x v="0"/>
    <x v="51"/>
    <s v="Rural"/>
    <s v="Femenino"/>
    <x v="0"/>
    <x v="0"/>
    <s v="2023 Y 2024"/>
    <s v="PADD 2023 Y 2024"/>
    <x v="52"/>
    <s v="88247 SAN ENRIQUE4 Primaria"/>
  </r>
  <r>
    <n v="119"/>
    <x v="4"/>
    <s v="Primaria"/>
    <x v="0"/>
    <x v="51"/>
    <s v="Rural"/>
    <s v="Femenino"/>
    <x v="0"/>
    <x v="0"/>
    <s v="2023 Y 2024"/>
    <s v="PADD 2023 Y 2024"/>
    <x v="52"/>
    <s v="88247 SAN ENRIQUE4 Primaria"/>
  </r>
  <r>
    <n v="120"/>
    <x v="4"/>
    <s v="Primaria"/>
    <x v="0"/>
    <x v="51"/>
    <s v="Rural"/>
    <s v="Femenino"/>
    <x v="0"/>
    <x v="0"/>
    <s v="2023 Y 2024"/>
    <s v="PADD 2023 Y 2024"/>
    <x v="52"/>
    <s v="88247 SAN ENRIQUE4 Primaria"/>
  </r>
  <r>
    <n v="121"/>
    <x v="4"/>
    <s v="Primaria"/>
    <x v="0"/>
    <x v="51"/>
    <s v="Rural"/>
    <s v="Femenino"/>
    <x v="0"/>
    <x v="0"/>
    <s v="2023 Y 2024"/>
    <s v="PADD 2023 Y 2024"/>
    <x v="52"/>
    <s v="88247 SAN ENRIQUE4 Primaria"/>
  </r>
  <r>
    <n v="123"/>
    <x v="4"/>
    <s v="Primaria"/>
    <x v="1"/>
    <x v="51"/>
    <s v="Rural"/>
    <s v="Femenino"/>
    <x v="0"/>
    <x v="0"/>
    <s v="2023 Y 2024"/>
    <s v="PADD 2023 Y 2024"/>
    <x v="52"/>
    <s v="88247 SAN ENRIQUE6 Primaria"/>
  </r>
  <r>
    <n v="124"/>
    <x v="4"/>
    <s v="Primaria"/>
    <x v="1"/>
    <x v="51"/>
    <s v="Rural"/>
    <s v="Femenino"/>
    <x v="0"/>
    <x v="0"/>
    <s v="2023 Y 2024"/>
    <s v="PADD 2023 Y 2024"/>
    <x v="52"/>
    <s v="88247 SAN ENRIQUE6 Primaria"/>
  </r>
  <r>
    <n v="125"/>
    <x v="4"/>
    <s v="Primaria"/>
    <x v="1"/>
    <x v="51"/>
    <s v="Rural"/>
    <s v="Femenino"/>
    <x v="0"/>
    <x v="0"/>
    <s v="2023 Y 2024"/>
    <s v="PADD 2023 Y 2024"/>
    <x v="52"/>
    <s v="88247 SAN ENRIQUE6 Primaria"/>
  </r>
  <r>
    <n v="126"/>
    <x v="4"/>
    <s v="Primaria"/>
    <x v="1"/>
    <x v="51"/>
    <s v="Rural"/>
    <s v="Femenino"/>
    <x v="0"/>
    <x v="0"/>
    <s v="2023 Y 2024"/>
    <s v="PADD 2023 Y 2024"/>
    <x v="52"/>
    <s v="88247 SAN ENRIQUE6 Primaria"/>
  </r>
  <r>
    <n v="127"/>
    <x v="4"/>
    <s v="Primaria"/>
    <x v="1"/>
    <x v="51"/>
    <s v="Rural"/>
    <s v="Masculino"/>
    <x v="0"/>
    <x v="0"/>
    <s v="2023 Y 2024"/>
    <s v="PADD 2023 Y 2024"/>
    <x v="52"/>
    <s v="88247 SAN ENRIQUE6 Primaria"/>
  </r>
  <r>
    <n v="128"/>
    <x v="4"/>
    <s v="Primaria"/>
    <x v="4"/>
    <x v="52"/>
    <s v="Rural"/>
    <s v="Femenino"/>
    <x v="0"/>
    <x v="0"/>
    <s v="SOLO 2024"/>
    <s v="SOLO 2024"/>
    <x v="53"/>
    <s v="86769 ABRAHAM VALDELOMAR2 Primaria"/>
  </r>
  <r>
    <n v="129"/>
    <x v="4"/>
    <s v="Primaria"/>
    <x v="4"/>
    <x v="52"/>
    <s v="Rural"/>
    <s v="Femenino"/>
    <x v="0"/>
    <x v="0"/>
    <s v="SOLO 2024"/>
    <s v="SOLO 2024"/>
    <x v="53"/>
    <s v="86769 ABRAHAM VALDELOMAR2 Primaria"/>
  </r>
  <r>
    <n v="130"/>
    <x v="4"/>
    <s v="Primaria"/>
    <x v="4"/>
    <x v="52"/>
    <s v="Rural"/>
    <s v="Femenino"/>
    <x v="0"/>
    <x v="0"/>
    <s v="SOLO 2024"/>
    <s v="SOLO 2024"/>
    <x v="53"/>
    <s v="86769 ABRAHAM VALDELOMAR2 Primaria"/>
  </r>
  <r>
    <n v="131"/>
    <x v="4"/>
    <s v="Primaria"/>
    <x v="4"/>
    <x v="52"/>
    <s v="Rural"/>
    <s v="Femenino"/>
    <x v="0"/>
    <x v="0"/>
    <s v="SOLO 2024"/>
    <s v="SOLO 2024"/>
    <x v="53"/>
    <s v="86769 ABRAHAM VALDELOMAR2 Primaria"/>
  </r>
  <r>
    <n v="132"/>
    <x v="4"/>
    <s v="Primaria"/>
    <x v="4"/>
    <x v="52"/>
    <s v="Rural"/>
    <s v="Masculino"/>
    <x v="0"/>
    <x v="0"/>
    <s v="SOLO 2024"/>
    <s v="SOLO 2024"/>
    <x v="53"/>
    <s v="86769 ABRAHAM VALDELOMAR2 Primaria"/>
  </r>
  <r>
    <n v="133"/>
    <x v="4"/>
    <s v="Primaria"/>
    <x v="4"/>
    <x v="52"/>
    <s v="Rural"/>
    <s v="Masculino"/>
    <x v="0"/>
    <x v="0"/>
    <s v="SOLO 2024"/>
    <s v="SOLO 2024"/>
    <x v="53"/>
    <s v="86769 ABRAHAM VALDELOMAR2 Primaria"/>
  </r>
  <r>
    <n v="134"/>
    <x v="4"/>
    <s v="Primaria"/>
    <x v="4"/>
    <x v="52"/>
    <s v="Rural"/>
    <s v="Masculino"/>
    <x v="0"/>
    <x v="0"/>
    <s v="SOLO 2024"/>
    <s v="SOLO 2024"/>
    <x v="53"/>
    <s v="86769 ABRAHAM VALDELOMAR2 Primaria"/>
  </r>
  <r>
    <n v="135"/>
    <x v="4"/>
    <s v="Primaria"/>
    <x v="0"/>
    <x v="52"/>
    <s v="Rural"/>
    <s v="Femenino"/>
    <x v="0"/>
    <x v="0"/>
    <s v="SOLO 2022 Y 2024"/>
    <s v="SOLO 2024"/>
    <x v="53"/>
    <s v="86769 ABRAHAM VALDELOMAR4 Primaria"/>
  </r>
  <r>
    <n v="136"/>
    <x v="4"/>
    <s v="Primaria"/>
    <x v="0"/>
    <x v="52"/>
    <s v="Rural"/>
    <s v="Masculino"/>
    <x v="0"/>
    <x v="0"/>
    <s v="SOLO 2022 Y 2024"/>
    <s v="SOLO 2024"/>
    <x v="53"/>
    <s v="86769 ABRAHAM VALDELOMAR4 Primaria"/>
  </r>
  <r>
    <n v="137"/>
    <x v="4"/>
    <s v="Primaria"/>
    <x v="0"/>
    <x v="52"/>
    <s v="Rural"/>
    <s v="Masculino"/>
    <x v="0"/>
    <x v="0"/>
    <s v="SOLO 2022 Y 2024"/>
    <s v="SOLO 2024"/>
    <x v="53"/>
    <s v="86769 ABRAHAM VALDELOMAR4 Primaria"/>
  </r>
  <r>
    <n v="138"/>
    <x v="4"/>
    <s v="Primaria"/>
    <x v="0"/>
    <x v="52"/>
    <s v="Rural"/>
    <s v="Femenino"/>
    <x v="0"/>
    <x v="0"/>
    <s v="SOLO 2022 Y 2024"/>
    <s v="SOLO 2024"/>
    <x v="53"/>
    <s v="86769 ABRAHAM VALDELOMAR4 Primaria"/>
  </r>
  <r>
    <n v="139"/>
    <x v="4"/>
    <s v="Primaria"/>
    <x v="0"/>
    <x v="52"/>
    <s v="Rural"/>
    <s v="Femenino"/>
    <x v="0"/>
    <x v="0"/>
    <s v="SOLO 2022 Y 2024"/>
    <s v="SOLO 2024"/>
    <x v="53"/>
    <s v="86769 ABRAHAM VALDELOMAR4 Primaria"/>
  </r>
  <r>
    <n v="140"/>
    <x v="4"/>
    <s v="Primaria"/>
    <x v="1"/>
    <x v="52"/>
    <s v="Rural"/>
    <s v="Masculino"/>
    <x v="0"/>
    <x v="0"/>
    <s v="SOLO 2022 Y 2024"/>
    <s v="SOLO 2024"/>
    <x v="53"/>
    <s v="86769 ABRAHAM VALDELOMAR6 Primaria"/>
  </r>
  <r>
    <n v="141"/>
    <x v="4"/>
    <s v="Primaria"/>
    <x v="1"/>
    <x v="52"/>
    <s v="Rural"/>
    <s v="Masculino"/>
    <x v="0"/>
    <x v="0"/>
    <s v="SOLO 2022 Y 2024"/>
    <s v="SOLO 2024"/>
    <x v="53"/>
    <s v="86769 ABRAHAM VALDELOMAR6 Primaria"/>
  </r>
  <r>
    <n v="142"/>
    <x v="4"/>
    <s v="Primaria"/>
    <x v="1"/>
    <x v="52"/>
    <s v="Rural"/>
    <s v="Masculino"/>
    <x v="0"/>
    <x v="0"/>
    <s v="SOLO 2022 Y 2024"/>
    <s v="SOLO 2024"/>
    <x v="53"/>
    <s v="86769 ABRAHAM VALDELOMAR6 Primaria"/>
  </r>
  <r>
    <n v="143"/>
    <x v="4"/>
    <s v="Primaria"/>
    <x v="1"/>
    <x v="52"/>
    <s v="Rural"/>
    <s v="Masculino"/>
    <x v="0"/>
    <x v="0"/>
    <s v="SOLO 2022 Y 2024"/>
    <s v="SOLO 2024"/>
    <x v="53"/>
    <s v="86769 ABRAHAM VALDELOMAR6 Primaria"/>
  </r>
  <r>
    <n v="144"/>
    <x v="4"/>
    <s v="Primaria"/>
    <x v="1"/>
    <x v="52"/>
    <s v="Rural"/>
    <s v="Femenino"/>
    <x v="0"/>
    <x v="0"/>
    <s v="SOLO 2022 Y 2024"/>
    <s v="SOLO 2024"/>
    <x v="53"/>
    <s v="86769 ABRAHAM VALDELOMAR6 Primaria"/>
  </r>
  <r>
    <n v="145"/>
    <x v="4"/>
    <s v="Secundaria"/>
    <x v="2"/>
    <x v="52"/>
    <s v="Rural"/>
    <s v="Femenino"/>
    <x v="0"/>
    <x v="0"/>
    <s v="SOLO 2022 Y 2024"/>
    <s v="SOLO 2024"/>
    <x v="53"/>
    <s v="86769 ABRAHAM VALDELOMAR2 Secundaria"/>
  </r>
  <r>
    <n v="146"/>
    <x v="4"/>
    <s v="Secundaria"/>
    <x v="2"/>
    <x v="52"/>
    <s v="Rural"/>
    <s v="Masculino"/>
    <x v="0"/>
    <x v="0"/>
    <s v="SOLO 2022 Y 2024"/>
    <s v="SOLO 2024"/>
    <x v="53"/>
    <s v="86769 ABRAHAM VALDELOMAR2 Secundaria"/>
  </r>
  <r>
    <n v="147"/>
    <x v="4"/>
    <s v="Secundaria"/>
    <x v="2"/>
    <x v="52"/>
    <s v="Rural"/>
    <s v="Femenino"/>
    <x v="0"/>
    <x v="0"/>
    <s v="SOLO 2022 Y 2024"/>
    <s v="SOLO 2024"/>
    <x v="53"/>
    <s v="86769 ABRAHAM VALDELOMAR2 Secundaria"/>
  </r>
  <r>
    <n v="148"/>
    <x v="4"/>
    <s v="Secundaria"/>
    <x v="2"/>
    <x v="52"/>
    <s v="Rural"/>
    <s v="Femenino"/>
    <x v="0"/>
    <x v="0"/>
    <s v="SOLO 2022 Y 2024"/>
    <s v="SOLO 2024"/>
    <x v="53"/>
    <s v="86769 ABRAHAM VALDELOMAR2 Secundaria"/>
  </r>
  <r>
    <n v="150"/>
    <x v="4"/>
    <s v="Secundaria"/>
    <x v="3"/>
    <x v="52"/>
    <s v="Rural"/>
    <s v="Femenino"/>
    <x v="0"/>
    <x v="0"/>
    <s v="SOLO 2024"/>
    <s v="SOLO 2024"/>
    <x v="53"/>
    <s v="86769 ABRAHAM VALDELOMAR4 Secundaria"/>
  </r>
  <r>
    <n v="151"/>
    <x v="4"/>
    <s v="Secundaria"/>
    <x v="3"/>
    <x v="52"/>
    <s v="Rural"/>
    <s v="Femenino"/>
    <x v="0"/>
    <x v="0"/>
    <s v="SOLO 2024"/>
    <s v="SOLO 2024"/>
    <x v="53"/>
    <s v="86769 ABRAHAM VALDELOMAR4 Secundaria"/>
  </r>
  <r>
    <n v="152"/>
    <x v="4"/>
    <s v="Secundaria"/>
    <x v="3"/>
    <x v="52"/>
    <s v="Rural"/>
    <s v="Masculino"/>
    <x v="0"/>
    <x v="0"/>
    <s v="SOLO 2024"/>
    <s v="SOLO 2024"/>
    <x v="53"/>
    <s v="86769 ABRAHAM VALDELOMAR4 Secundaria"/>
  </r>
  <r>
    <n v="153"/>
    <x v="4"/>
    <s v="Secundaria"/>
    <x v="3"/>
    <x v="52"/>
    <s v="Rural"/>
    <s v="Femenino"/>
    <x v="0"/>
    <x v="0"/>
    <s v="SOLO 2024"/>
    <s v="SOLO 2024"/>
    <x v="53"/>
    <s v="86769 ABRAHAM VALDELOMAR4 Secundaria"/>
  </r>
  <r>
    <n v="154"/>
    <x v="4"/>
    <s v="Secundaria"/>
    <x v="3"/>
    <x v="52"/>
    <s v="Rural"/>
    <s v="Masculino"/>
    <x v="0"/>
    <x v="0"/>
    <s v="SOLO 2024"/>
    <s v="SOLO 2024"/>
    <x v="53"/>
    <s v="86769 ABRAHAM VALDELOMAR4 Secundaria"/>
  </r>
  <r>
    <n v="1"/>
    <x v="5"/>
    <s v="Secundaria"/>
    <x v="2"/>
    <x v="53"/>
    <s v="Rural"/>
    <s v="Femenino"/>
    <x v="1"/>
    <x v="0"/>
    <s v="SOLO 2024"/>
    <s v="PADD 2023 Y 2024"/>
    <x v="54"/>
    <s v="501432 PAPA FRANCISCO I2 Secundaria"/>
  </r>
  <r>
    <n v="2"/>
    <x v="5"/>
    <s v="Secundaria"/>
    <x v="2"/>
    <x v="53"/>
    <s v="Rural"/>
    <s v="Masculino"/>
    <x v="1"/>
    <x v="0"/>
    <s v="SOLO 2024"/>
    <s v="PADD 2023 Y 2024"/>
    <x v="54"/>
    <s v="501432 PAPA FRANCISCO I2 Secundaria"/>
  </r>
  <r>
    <n v="3"/>
    <x v="5"/>
    <s v="Secundaria"/>
    <x v="2"/>
    <x v="53"/>
    <s v="Rural"/>
    <s v="Femenino"/>
    <x v="0"/>
    <x v="0"/>
    <s v="SOLO 2024"/>
    <s v="PADD 2023 Y 2024"/>
    <x v="54"/>
    <s v="501432 PAPA FRANCISCO I2 Secundaria"/>
  </r>
  <r>
    <n v="4"/>
    <x v="5"/>
    <s v="Secundaria"/>
    <x v="2"/>
    <x v="53"/>
    <s v="Rural"/>
    <s v="Masculino"/>
    <x v="1"/>
    <x v="0"/>
    <s v="SOLO 2024"/>
    <s v="PADD 2023 Y 2024"/>
    <x v="54"/>
    <s v="501432 PAPA FRANCISCO I2 Secundaria"/>
  </r>
  <r>
    <n v="5"/>
    <x v="5"/>
    <s v="Secundaria"/>
    <x v="2"/>
    <x v="53"/>
    <s v="Rural"/>
    <s v="Femenino"/>
    <x v="0"/>
    <x v="0"/>
    <s v="SOLO 2024"/>
    <s v="PADD 2023 Y 2024"/>
    <x v="54"/>
    <s v="501432 PAPA FRANCISCO I2 Secundaria"/>
  </r>
  <r>
    <n v="6"/>
    <x v="5"/>
    <s v="Secundaria"/>
    <x v="2"/>
    <x v="53"/>
    <s v="Rural"/>
    <s v="Femenino"/>
    <x v="1"/>
    <x v="0"/>
    <s v="SOLO 2024"/>
    <s v="PADD 2023 Y 2024"/>
    <x v="54"/>
    <s v="501432 PAPA FRANCISCO I2 Secundaria"/>
  </r>
  <r>
    <n v="7"/>
    <x v="5"/>
    <s v="Secundaria"/>
    <x v="2"/>
    <x v="53"/>
    <s v="Rural"/>
    <s v="Femenino"/>
    <x v="1"/>
    <x v="0"/>
    <s v="SOLO 2024"/>
    <s v="PADD 2023 Y 2024"/>
    <x v="54"/>
    <s v="501432 PAPA FRANCISCO I2 Secundaria"/>
  </r>
  <r>
    <n v="8"/>
    <x v="5"/>
    <s v="Secundaria"/>
    <x v="2"/>
    <x v="53"/>
    <s v="Rural"/>
    <s v="Masculino"/>
    <x v="0"/>
    <x v="0"/>
    <s v="SOLO 2024"/>
    <s v="PADD 2023 Y 2024"/>
    <x v="54"/>
    <s v="501432 PAPA FRANCISCO I2 Secundaria"/>
  </r>
  <r>
    <n v="9"/>
    <x v="5"/>
    <s v="Secundaria"/>
    <x v="2"/>
    <x v="53"/>
    <s v="Rural"/>
    <s v="Femenino"/>
    <x v="1"/>
    <x v="0"/>
    <s v="SOLO 2024"/>
    <s v="PADD 2023 Y 2024"/>
    <x v="54"/>
    <s v="501432 PAPA FRANCISCO I2 Secundaria"/>
  </r>
  <r>
    <n v="10"/>
    <x v="5"/>
    <s v="Secundaria"/>
    <x v="2"/>
    <x v="53"/>
    <s v="Rural"/>
    <s v="Masculino"/>
    <x v="1"/>
    <x v="0"/>
    <s v="SOLO 2024"/>
    <s v="PADD 2023 Y 2024"/>
    <x v="54"/>
    <s v="501432 PAPA FRANCISCO I2 Secundaria"/>
  </r>
  <r>
    <n v="11"/>
    <x v="5"/>
    <s v="Secundaria"/>
    <x v="2"/>
    <x v="53"/>
    <s v="Rural"/>
    <s v="Femenino"/>
    <x v="1"/>
    <x v="0"/>
    <s v="SOLO 2024"/>
    <s v="PADD 2023 Y 2024"/>
    <x v="54"/>
    <s v="501432 PAPA FRANCISCO I2 Secundaria"/>
  </r>
  <r>
    <n v="12"/>
    <x v="5"/>
    <s v="Secundaria"/>
    <x v="3"/>
    <x v="53"/>
    <s v="Rural"/>
    <s v="Femenino"/>
    <x v="2"/>
    <x v="0"/>
    <s v="SOLO 2024"/>
    <s v="PADD 2023 Y 2024"/>
    <x v="54"/>
    <s v="501432 PAPA FRANCISCO I4 Secundaria"/>
  </r>
  <r>
    <n v="13"/>
    <x v="5"/>
    <s v="Secundaria"/>
    <x v="3"/>
    <x v="53"/>
    <s v="Rural"/>
    <s v="Femenino"/>
    <x v="2"/>
    <x v="0"/>
    <s v="SOLO 2024"/>
    <s v="PADD 2023 Y 2024"/>
    <x v="54"/>
    <s v="501432 PAPA FRANCISCO I4 Secundaria"/>
  </r>
  <r>
    <n v="14"/>
    <x v="5"/>
    <s v="Secundaria"/>
    <x v="3"/>
    <x v="53"/>
    <s v="Rural"/>
    <s v="Femenino"/>
    <x v="2"/>
    <x v="0"/>
    <s v="SOLO 2024"/>
    <s v="PADD 2023 Y 2024"/>
    <x v="54"/>
    <s v="501432 PAPA FRANCISCO I4 Secundaria"/>
  </r>
  <r>
    <n v="15"/>
    <x v="5"/>
    <s v="Secundaria"/>
    <x v="3"/>
    <x v="53"/>
    <s v="Rural"/>
    <s v="Femenino"/>
    <x v="2"/>
    <x v="0"/>
    <s v="SOLO 2024"/>
    <s v="PADD 2023 Y 2024"/>
    <x v="54"/>
    <s v="501432 PAPA FRANCISCO I4 Secundaria"/>
  </r>
  <r>
    <n v="16"/>
    <x v="5"/>
    <s v="Secundaria"/>
    <x v="3"/>
    <x v="53"/>
    <s v="Rural"/>
    <s v="Masculino"/>
    <x v="1"/>
    <x v="0"/>
    <s v="SOLO 2024"/>
    <s v="PADD 2023 Y 2024"/>
    <x v="54"/>
    <s v="501432 PAPA FRANCISCO I4 Secundaria"/>
  </r>
  <r>
    <n v="17"/>
    <x v="5"/>
    <s v="Secundaria"/>
    <x v="3"/>
    <x v="53"/>
    <s v="Rural"/>
    <s v="Masculino"/>
    <x v="1"/>
    <x v="0"/>
    <s v="SOLO 2024"/>
    <s v="PADD 2023 Y 2024"/>
    <x v="54"/>
    <s v="501432 PAPA FRANCISCO I4 Secundaria"/>
  </r>
  <r>
    <n v="18"/>
    <x v="5"/>
    <s v="Secundaria"/>
    <x v="3"/>
    <x v="53"/>
    <s v="Rural"/>
    <s v="Masculino"/>
    <x v="0"/>
    <x v="0"/>
    <s v="SOLO 2024"/>
    <s v="PADD 2023 Y 2024"/>
    <x v="54"/>
    <s v="501432 PAPA FRANCISCO I4 Secundaria"/>
  </r>
  <r>
    <n v="19"/>
    <x v="5"/>
    <s v="Secundaria"/>
    <x v="3"/>
    <x v="53"/>
    <s v="Rural"/>
    <s v="Masculino"/>
    <x v="2"/>
    <x v="0"/>
    <s v="SOLO 2024"/>
    <s v="PADD 2023 Y 2024"/>
    <x v="54"/>
    <s v="501432 PAPA FRANCISCO I4 Secundaria"/>
  </r>
  <r>
    <n v="20"/>
    <x v="5"/>
    <s v="Secundaria"/>
    <x v="3"/>
    <x v="53"/>
    <s v="Rural"/>
    <s v="Femenino"/>
    <x v="1"/>
    <x v="0"/>
    <s v="SOLO 2024"/>
    <s v="PADD 2023 Y 2024"/>
    <x v="54"/>
    <s v="501432 PAPA FRANCISCO I4 Secundaria"/>
  </r>
  <r>
    <n v="21"/>
    <x v="5"/>
    <s v="Secundaria"/>
    <x v="3"/>
    <x v="53"/>
    <s v="Rural"/>
    <s v="Masculino"/>
    <x v="1"/>
    <x v="0"/>
    <s v="SOLO 2024"/>
    <s v="PADD 2023 Y 2024"/>
    <x v="54"/>
    <s v="501432 PAPA FRANCISCO I4 Secundaria"/>
  </r>
  <r>
    <n v="22"/>
    <x v="5"/>
    <s v="Secundaria"/>
    <x v="3"/>
    <x v="53"/>
    <s v="Rural"/>
    <s v="Masculino"/>
    <x v="2"/>
    <x v="0"/>
    <s v="SOLO 2024"/>
    <s v="PADD 2023 Y 2024"/>
    <x v="54"/>
    <s v="501432 PAPA FRANCISCO I4 Secundaria"/>
  </r>
  <r>
    <n v="23"/>
    <x v="5"/>
    <s v="Secundaria"/>
    <x v="3"/>
    <x v="53"/>
    <s v="Rural"/>
    <s v="Masculino"/>
    <x v="1"/>
    <x v="0"/>
    <s v="SOLO 2024"/>
    <s v="PADD 2023 Y 2024"/>
    <x v="54"/>
    <s v="501432 PAPA FRANCISCO I4 Secundaria"/>
  </r>
  <r>
    <n v="24"/>
    <x v="5"/>
    <s v="Secundaria"/>
    <x v="3"/>
    <x v="53"/>
    <s v="Rural"/>
    <s v="Femenino"/>
    <x v="2"/>
    <x v="0"/>
    <s v="SOLO 2024"/>
    <s v="PADD 2023 Y 2024"/>
    <x v="54"/>
    <s v="501432 PAPA FRANCISCO I4 Secundaria"/>
  </r>
  <r>
    <n v="25"/>
    <x v="5"/>
    <s v="Secundaria"/>
    <x v="3"/>
    <x v="53"/>
    <s v="Rural"/>
    <s v="Femenino"/>
    <x v="1"/>
    <x v="0"/>
    <s v="SOLO 2024"/>
    <s v="PADD 2023 Y 2024"/>
    <x v="54"/>
    <s v="501432 PAPA FRANCISCO I4 Secundaria"/>
  </r>
  <r>
    <n v="26"/>
    <x v="5"/>
    <s v="Secundaria"/>
    <x v="3"/>
    <x v="53"/>
    <s v="Rural"/>
    <s v="Femenino"/>
    <x v="0"/>
    <x v="0"/>
    <s v="SOLO 2024"/>
    <s v="PADD 2023 Y 2024"/>
    <x v="54"/>
    <s v="501432 PAPA FRANCISCO I4 Secundaria"/>
  </r>
  <r>
    <n v="27"/>
    <x v="5"/>
    <s v="Secundaria"/>
    <x v="3"/>
    <x v="53"/>
    <s v="Rural"/>
    <s v="Masculino"/>
    <x v="2"/>
    <x v="0"/>
    <s v="SOLO 2024"/>
    <s v="PADD 2023 Y 2024"/>
    <x v="54"/>
    <s v="501432 PAPA FRANCISCO I4 Secundaria"/>
  </r>
  <r>
    <n v="1"/>
    <x v="5"/>
    <s v="Secundaria"/>
    <x v="2"/>
    <x v="53"/>
    <s v="Rural"/>
    <s v="Femenino"/>
    <x v="1"/>
    <x v="0"/>
    <s v="SOLO 2024"/>
    <s v="PADD 2023 Y 2024"/>
    <x v="54"/>
    <s v="501432 PAPA FRANCISCO I2 Secundaria"/>
  </r>
  <r>
    <n v="2"/>
    <x v="5"/>
    <s v="Secundaria"/>
    <x v="2"/>
    <x v="53"/>
    <s v="Rural"/>
    <s v="Masculino"/>
    <x v="1"/>
    <x v="0"/>
    <s v="SOLO 2024"/>
    <s v="PADD 2023 Y 2024"/>
    <x v="54"/>
    <s v="501432 PAPA FRANCISCO I2 Secundaria"/>
  </r>
  <r>
    <n v="3"/>
    <x v="5"/>
    <s v="Secundaria"/>
    <x v="2"/>
    <x v="53"/>
    <s v="Rural"/>
    <s v="Femenino"/>
    <x v="0"/>
    <x v="0"/>
    <s v="SOLO 2024"/>
    <s v="PADD 2023 Y 2024"/>
    <x v="54"/>
    <s v="501432 PAPA FRANCISCO I2 Secundaria"/>
  </r>
  <r>
    <n v="4"/>
    <x v="5"/>
    <s v="Secundaria"/>
    <x v="2"/>
    <x v="53"/>
    <s v="Rural"/>
    <s v="Masculino"/>
    <x v="1"/>
    <x v="0"/>
    <s v="SOLO 2024"/>
    <s v="PADD 2023 Y 2024"/>
    <x v="54"/>
    <s v="501432 PAPA FRANCISCO I2 Secundaria"/>
  </r>
  <r>
    <n v="5"/>
    <x v="5"/>
    <s v="Secundaria"/>
    <x v="2"/>
    <x v="53"/>
    <s v="Rural"/>
    <s v="Femenino"/>
    <x v="0"/>
    <x v="0"/>
    <s v="SOLO 2024"/>
    <s v="PADD 2023 Y 2024"/>
    <x v="54"/>
    <s v="501432 PAPA FRANCISCO I2 Secundaria"/>
  </r>
  <r>
    <n v="6"/>
    <x v="5"/>
    <s v="Secundaria"/>
    <x v="2"/>
    <x v="53"/>
    <s v="Rural"/>
    <s v="Femenino"/>
    <x v="1"/>
    <x v="0"/>
    <s v="SOLO 2024"/>
    <s v="PADD 2023 Y 2024"/>
    <x v="54"/>
    <s v="501432 PAPA FRANCISCO I2 Secundaria"/>
  </r>
  <r>
    <n v="7"/>
    <x v="5"/>
    <s v="Secundaria"/>
    <x v="3"/>
    <x v="53"/>
    <s v="Rural"/>
    <s v="Femenino"/>
    <x v="2"/>
    <x v="0"/>
    <s v="SOLO 2024"/>
    <s v="PADD 2023 Y 2024"/>
    <x v="54"/>
    <s v="501432 PAPA FRANCISCO I4 Secundaria"/>
  </r>
  <r>
    <n v="8"/>
    <x v="5"/>
    <s v="Secundaria"/>
    <x v="3"/>
    <x v="53"/>
    <s v="Rural"/>
    <s v="Femenino"/>
    <x v="2"/>
    <x v="0"/>
    <s v="SOLO 2024"/>
    <s v="PADD 2023 Y 2024"/>
    <x v="54"/>
    <s v="501432 PAPA FRANCISCO I4 Secundaria"/>
  </r>
  <r>
    <n v="9"/>
    <x v="5"/>
    <s v="Secundaria"/>
    <x v="3"/>
    <x v="53"/>
    <s v="Rural"/>
    <s v="Femenino"/>
    <x v="2"/>
    <x v="0"/>
    <s v="SOLO 2024"/>
    <s v="PADD 2023 Y 2024"/>
    <x v="54"/>
    <s v="501432 PAPA FRANCISCO I4 Secundaria"/>
  </r>
  <r>
    <n v="10"/>
    <x v="5"/>
    <s v="Secundaria"/>
    <x v="3"/>
    <x v="53"/>
    <s v="Rural"/>
    <s v="Femenino"/>
    <x v="2"/>
    <x v="0"/>
    <s v="SOLO 2024"/>
    <s v="PADD 2023 Y 2024"/>
    <x v="54"/>
    <s v="501432 PAPA FRANCISCO I4 Secundaria"/>
  </r>
  <r>
    <n v="11"/>
    <x v="5"/>
    <s v="Secundaria"/>
    <x v="3"/>
    <x v="53"/>
    <s v="Rural"/>
    <s v="Masculino"/>
    <x v="1"/>
    <x v="0"/>
    <s v="SOLO 2024"/>
    <s v="PADD 2023 Y 2024"/>
    <x v="54"/>
    <s v="501432 PAPA FRANCISCO I4 Secundaria"/>
  </r>
  <r>
    <n v="12"/>
    <x v="5"/>
    <s v="Secundaria"/>
    <x v="3"/>
    <x v="53"/>
    <s v="Rural"/>
    <s v="Masculino"/>
    <x v="1"/>
    <x v="0"/>
    <s v="SOLO 2024"/>
    <s v="PADD 2023 Y 2024"/>
    <x v="54"/>
    <s v="501432 PAPA FRANCISCO I4 Secundaria"/>
  </r>
  <r>
    <n v="13"/>
    <x v="5"/>
    <s v="Secundaria"/>
    <x v="3"/>
    <x v="53"/>
    <s v="Rural"/>
    <s v="Masculino"/>
    <x v="0"/>
    <x v="0"/>
    <s v="SOLO 2024"/>
    <s v="PADD 2023 Y 2024"/>
    <x v="54"/>
    <s v="501432 PAPA FRANCISCO I4 Secundaria"/>
  </r>
  <r>
    <n v="14"/>
    <x v="5"/>
    <s v="Secundaria"/>
    <x v="3"/>
    <x v="53"/>
    <s v="Rural"/>
    <s v="Masculino"/>
    <x v="2"/>
    <x v="0"/>
    <s v="SOLO 2024"/>
    <s v="PADD 2023 Y 2024"/>
    <x v="54"/>
    <s v="501432 PAPA FRANCISCO I4 Secundaria"/>
  </r>
  <r>
    <n v="2008"/>
    <x v="3"/>
    <s v="Primaria"/>
    <x v="4"/>
    <x v="35"/>
    <s v="Rural"/>
    <s v="Femenino"/>
    <x v="1"/>
    <x v="1"/>
    <s v="LOS 3 AÑOS"/>
    <s v="SOLO 2023"/>
    <x v="55"/>
    <s v="6013312 Primaria"/>
  </r>
  <r>
    <n v="2009"/>
    <x v="3"/>
    <s v="Primaria"/>
    <x v="4"/>
    <x v="47"/>
    <s v="Rural"/>
    <s v="Femenino"/>
    <x v="0"/>
    <x v="1"/>
    <s v="LOS 3 AÑOS"/>
    <s v="PADD 2023 Y 2024"/>
    <x v="56"/>
    <s v="601332 Primaria"/>
  </r>
  <r>
    <n v="2010"/>
    <x v="3"/>
    <s v="Secundaria"/>
    <x v="2"/>
    <x v="31"/>
    <s v="Rural"/>
    <s v="Masculino"/>
    <x v="0"/>
    <x v="1"/>
    <s v="LOS 3 AÑOS"/>
    <s v="NO PARTICIPÓ"/>
    <x v="32"/>
    <s v="EL MILAGRO2 Secundaria"/>
  </r>
  <r>
    <n v="2011"/>
    <x v="3"/>
    <s v="Secundaria"/>
    <x v="2"/>
    <x v="31"/>
    <s v="Rural"/>
    <s v="Masculino"/>
    <x v="0"/>
    <x v="1"/>
    <s v="LOS 3 AÑOS"/>
    <s v="NO PARTICIPÓ"/>
    <x v="32"/>
    <s v="EL MILAGRO2 Secundaria"/>
  </r>
  <r>
    <n v="2012"/>
    <x v="3"/>
    <s v="Secundaria"/>
    <x v="2"/>
    <x v="31"/>
    <s v="Rural"/>
    <s v="Masculino"/>
    <x v="0"/>
    <x v="1"/>
    <s v="LOS 3 AÑOS"/>
    <s v="NO PARTICIPÓ"/>
    <x v="32"/>
    <s v="EL MILAGRO2 Secundaria"/>
  </r>
  <r>
    <n v="2013"/>
    <x v="3"/>
    <s v="Secundaria"/>
    <x v="2"/>
    <x v="31"/>
    <s v="Rural"/>
    <s v="Masculino"/>
    <x v="0"/>
    <x v="1"/>
    <s v="LOS 3 AÑOS"/>
    <s v="NO PARTICIPÓ"/>
    <x v="32"/>
    <s v="EL MILAGRO2 Secundaria"/>
  </r>
  <r>
    <n v="2014"/>
    <x v="3"/>
    <s v="Secundaria"/>
    <x v="2"/>
    <x v="31"/>
    <s v="Rural"/>
    <s v="Masculino"/>
    <x v="0"/>
    <x v="1"/>
    <s v="LOS 3 AÑOS"/>
    <s v="NO PARTICIPÓ"/>
    <x v="32"/>
    <s v="EL MILAGRO2 Secundaria"/>
  </r>
  <r>
    <n v="2015"/>
    <x v="3"/>
    <s v="Secundaria"/>
    <x v="2"/>
    <x v="31"/>
    <s v="Rural"/>
    <s v="Masculino"/>
    <x v="0"/>
    <x v="1"/>
    <s v="LOS 3 AÑOS"/>
    <s v="NO PARTICIPÓ"/>
    <x v="32"/>
    <s v="EL MILAGRO2 Secundaria"/>
  </r>
  <r>
    <n v="2016"/>
    <x v="3"/>
    <s v="Secundaria"/>
    <x v="2"/>
    <x v="31"/>
    <s v="Rural"/>
    <s v="Femenino"/>
    <x v="0"/>
    <x v="1"/>
    <s v="LOS 3 AÑOS"/>
    <s v="NO PARTICIPÓ"/>
    <x v="32"/>
    <s v="EL MILAGRO2 Secundaria"/>
  </r>
  <r>
    <n v="2017"/>
    <x v="3"/>
    <s v="Secundaria"/>
    <x v="2"/>
    <x v="31"/>
    <s v="Rural"/>
    <s v="Masculino"/>
    <x v="0"/>
    <x v="1"/>
    <s v="LOS 3 AÑOS"/>
    <s v="NO PARTICIPÓ"/>
    <x v="32"/>
    <s v="EL MILAGRO2 Secundaria"/>
  </r>
  <r>
    <n v="2018"/>
    <x v="3"/>
    <s v="Secundaria"/>
    <x v="2"/>
    <x v="31"/>
    <s v="Rural"/>
    <s v="Masculino"/>
    <x v="0"/>
    <x v="1"/>
    <s v="LOS 3 AÑOS"/>
    <s v="NO PARTICIPÓ"/>
    <x v="32"/>
    <s v="EL MILAGRO2 Secundaria"/>
  </r>
  <r>
    <n v="2019"/>
    <x v="3"/>
    <s v="Secundaria"/>
    <x v="2"/>
    <x v="31"/>
    <s v="Rural"/>
    <s v="Masculino"/>
    <x v="0"/>
    <x v="1"/>
    <s v="LOS 3 AÑOS"/>
    <s v="NO PARTICIPÓ"/>
    <x v="32"/>
    <s v="EL MILAGRO2 Secundaria"/>
  </r>
  <r>
    <n v="2020"/>
    <x v="3"/>
    <s v="Secundaria"/>
    <x v="2"/>
    <x v="31"/>
    <s v="Rural"/>
    <s v="Masculino"/>
    <x v="0"/>
    <x v="1"/>
    <s v="LOS 3 AÑOS"/>
    <s v="NO PARTICIPÓ"/>
    <x v="32"/>
    <s v="EL MILAGRO2 Secundaria"/>
  </r>
  <r>
    <n v="2021"/>
    <x v="3"/>
    <s v="Secundaria"/>
    <x v="2"/>
    <x v="31"/>
    <s v="Rural"/>
    <s v="Masculino"/>
    <x v="0"/>
    <x v="1"/>
    <s v="LOS 3 AÑOS"/>
    <s v="NO PARTICIPÓ"/>
    <x v="32"/>
    <s v="EL MILAGRO2 Secundaria"/>
  </r>
  <r>
    <n v="2022"/>
    <x v="3"/>
    <s v="Secundaria"/>
    <x v="2"/>
    <x v="31"/>
    <s v="Rural"/>
    <s v="Femenino"/>
    <x v="0"/>
    <x v="1"/>
    <s v="LOS 3 AÑOS"/>
    <s v="NO PARTICIPÓ"/>
    <x v="32"/>
    <s v="EL MILAGRO2 Secundaria"/>
  </r>
  <r>
    <n v="2023"/>
    <x v="3"/>
    <s v="Secundaria"/>
    <x v="2"/>
    <x v="31"/>
    <s v="Rural"/>
    <s v="Masculino"/>
    <x v="0"/>
    <x v="1"/>
    <s v="LOS 3 AÑOS"/>
    <s v="NO PARTICIPÓ"/>
    <x v="32"/>
    <s v="EL MILAGRO2 Secundaria"/>
  </r>
  <r>
    <n v="2024"/>
    <x v="3"/>
    <s v="Secundaria"/>
    <x v="2"/>
    <x v="31"/>
    <s v="Rural"/>
    <s v="Masculino"/>
    <x v="0"/>
    <x v="1"/>
    <s v="LOS 3 AÑOS"/>
    <s v="NO PARTICIPÓ"/>
    <x v="32"/>
    <s v="EL MILAGRO2 Secundaria"/>
  </r>
  <r>
    <n v="2025"/>
    <x v="3"/>
    <s v="Secundaria"/>
    <x v="2"/>
    <x v="35"/>
    <s v="Rural"/>
    <s v="Femenino"/>
    <x v="2"/>
    <x v="1"/>
    <s v="LOS 3 AÑOS"/>
    <s v="SOLO 2023"/>
    <x v="55"/>
    <s v="6013312 Secundaria"/>
  </r>
  <r>
    <n v="2026"/>
    <x v="3"/>
    <s v="Secundaria"/>
    <x v="2"/>
    <x v="35"/>
    <s v="Rural"/>
    <s v="Femenino"/>
    <x v="0"/>
    <x v="1"/>
    <s v="LOS 3 AÑOS"/>
    <s v="SOLO 2023"/>
    <x v="55"/>
    <s v="6013312 Secundaria"/>
  </r>
  <r>
    <n v="2027"/>
    <x v="3"/>
    <s v="Secundaria"/>
    <x v="2"/>
    <x v="35"/>
    <s v="Rural"/>
    <s v="Masculino"/>
    <x v="0"/>
    <x v="1"/>
    <s v="LOS 3 AÑOS"/>
    <s v="SOLO 2023"/>
    <x v="55"/>
    <s v="6013312 Secundaria"/>
  </r>
  <r>
    <n v="2028"/>
    <x v="3"/>
    <s v="Secundaria"/>
    <x v="2"/>
    <x v="35"/>
    <s v="Rural"/>
    <s v="Femenino"/>
    <x v="0"/>
    <x v="1"/>
    <s v="LOS 3 AÑOS"/>
    <s v="SOLO 2023"/>
    <x v="55"/>
    <s v="6013312 Secundaria"/>
  </r>
  <r>
    <n v="2029"/>
    <x v="3"/>
    <s v="Secundaria"/>
    <x v="2"/>
    <x v="35"/>
    <s v="Rural"/>
    <s v="Masculino"/>
    <x v="0"/>
    <x v="1"/>
    <s v="LOS 3 AÑOS"/>
    <s v="SOLO 2023"/>
    <x v="55"/>
    <s v="6013312 Secundaria"/>
  </r>
  <r>
    <n v="2030"/>
    <x v="3"/>
    <s v="Secundaria"/>
    <x v="2"/>
    <x v="35"/>
    <s v="Rural"/>
    <s v="Femenino"/>
    <x v="0"/>
    <x v="1"/>
    <s v="LOS 3 AÑOS"/>
    <s v="SOLO 2023"/>
    <x v="55"/>
    <s v="6013312 Secundaria"/>
  </r>
  <r>
    <n v="2031"/>
    <x v="3"/>
    <s v="Secundaria"/>
    <x v="2"/>
    <x v="35"/>
    <s v="Rural"/>
    <s v="Masculino"/>
    <x v="0"/>
    <x v="1"/>
    <s v="LOS 3 AÑOS"/>
    <s v="SOLO 2023"/>
    <x v="55"/>
    <s v="6013312 Secundaria"/>
  </r>
  <r>
    <n v="2032"/>
    <x v="3"/>
    <s v="Secundaria"/>
    <x v="2"/>
    <x v="35"/>
    <s v="Rural"/>
    <s v="Masculino"/>
    <x v="0"/>
    <x v="1"/>
    <s v="LOS 3 AÑOS"/>
    <s v="SOLO 2023"/>
    <x v="55"/>
    <s v="6013312 Secundaria"/>
  </r>
  <r>
    <n v="2033"/>
    <x v="3"/>
    <s v="Secundaria"/>
    <x v="2"/>
    <x v="35"/>
    <s v="Rural"/>
    <s v="Masculino"/>
    <x v="0"/>
    <x v="1"/>
    <s v="LOS 3 AÑOS"/>
    <s v="SOLO 2023"/>
    <x v="55"/>
    <s v="6013312 Secundaria"/>
  </r>
  <r>
    <n v="2034"/>
    <x v="3"/>
    <s v="Secundaria"/>
    <x v="2"/>
    <x v="35"/>
    <s v="Rural"/>
    <s v="Masculino"/>
    <x v="0"/>
    <x v="1"/>
    <s v="LOS 3 AÑOS"/>
    <s v="SOLO 2023"/>
    <x v="55"/>
    <s v="6013312 Secundaria"/>
  </r>
  <r>
    <n v="2035"/>
    <x v="3"/>
    <s v="Secundaria"/>
    <x v="2"/>
    <x v="35"/>
    <s v="Rural"/>
    <s v="Masculino"/>
    <x v="0"/>
    <x v="1"/>
    <s v="LOS 3 AÑOS"/>
    <s v="SOLO 2023"/>
    <x v="55"/>
    <s v="6013312 Secundaria"/>
  </r>
  <r>
    <n v="2036"/>
    <x v="3"/>
    <s v="Secundaria"/>
    <x v="2"/>
    <x v="35"/>
    <s v="Rural"/>
    <s v="Femenino"/>
    <x v="0"/>
    <x v="1"/>
    <s v="LOS 3 AÑOS"/>
    <s v="SOLO 2023"/>
    <x v="55"/>
    <s v="6013312 Secundaria"/>
  </r>
  <r>
    <n v="2037"/>
    <x v="3"/>
    <s v="Secundaria"/>
    <x v="2"/>
    <x v="35"/>
    <s v="Rural"/>
    <s v="Masculino"/>
    <x v="0"/>
    <x v="1"/>
    <s v="LOS 3 AÑOS"/>
    <s v="SOLO 2023"/>
    <x v="55"/>
    <s v="6013312 Secundaria"/>
  </r>
  <r>
    <n v="2038"/>
    <x v="3"/>
    <s v="Secundaria"/>
    <x v="2"/>
    <x v="35"/>
    <s v="Rural"/>
    <s v="Femenino"/>
    <x v="0"/>
    <x v="1"/>
    <s v="LOS 3 AÑOS"/>
    <s v="SOLO 2023"/>
    <x v="55"/>
    <s v="6013312 Secundaria"/>
  </r>
  <r>
    <n v="2039"/>
    <x v="3"/>
    <s v="Secundaria"/>
    <x v="2"/>
    <x v="39"/>
    <s v="Rural"/>
    <s v="Femenino"/>
    <x v="0"/>
    <x v="1"/>
    <s v="LOS 3 AÑOS"/>
    <s v="PADD 2023 Y 2024"/>
    <x v="57"/>
    <s v="6010230 BARBARA D'ACHILLE2 Secundaria"/>
  </r>
  <r>
    <n v="2040"/>
    <x v="3"/>
    <s v="Secundaria"/>
    <x v="2"/>
    <x v="39"/>
    <s v="Rural"/>
    <s v="Femenino"/>
    <x v="0"/>
    <x v="1"/>
    <s v="LOS 3 AÑOS"/>
    <s v="PADD 2023 Y 2024"/>
    <x v="57"/>
    <s v="6010230 BARBARA D'ACHILLE2 Secundaria"/>
  </r>
  <r>
    <n v="2041"/>
    <x v="3"/>
    <s v="Secundaria"/>
    <x v="2"/>
    <x v="39"/>
    <s v="Rural"/>
    <s v="Masculino"/>
    <x v="0"/>
    <x v="1"/>
    <s v="LOS 3 AÑOS"/>
    <s v="PADD 2023 Y 2024"/>
    <x v="57"/>
    <s v="6010230 BARBARA D'ACHILLE2 Secundaria"/>
  </r>
  <r>
    <n v="2042"/>
    <x v="3"/>
    <s v="Secundaria"/>
    <x v="2"/>
    <x v="39"/>
    <s v="Rural"/>
    <s v="Masculino"/>
    <x v="0"/>
    <x v="1"/>
    <s v="LOS 3 AÑOS"/>
    <s v="PADD 2023 Y 2024"/>
    <x v="57"/>
    <s v="6010230 BARBARA D'ACHILLE2 Secundaria"/>
  </r>
  <r>
    <n v="2043"/>
    <x v="3"/>
    <s v="Secundaria"/>
    <x v="2"/>
    <x v="39"/>
    <s v="Rural"/>
    <s v="Femenino"/>
    <x v="0"/>
    <x v="1"/>
    <s v="LOS 3 AÑOS"/>
    <s v="PADD 2023 Y 2024"/>
    <x v="57"/>
    <s v="6010230 BARBARA D'ACHILLE2 Secundaria"/>
  </r>
  <r>
    <n v="2044"/>
    <x v="3"/>
    <s v="Secundaria"/>
    <x v="2"/>
    <x v="39"/>
    <s v="Rural"/>
    <s v="Masculino"/>
    <x v="0"/>
    <x v="1"/>
    <s v="LOS 3 AÑOS"/>
    <s v="PADD 2023 Y 2024"/>
    <x v="57"/>
    <s v="6010230 BARBARA D'ACHILLE2 Secundaria"/>
  </r>
  <r>
    <n v="2045"/>
    <x v="3"/>
    <s v="Secundaria"/>
    <x v="2"/>
    <x v="39"/>
    <s v="Rural"/>
    <s v="Femenino"/>
    <x v="0"/>
    <x v="1"/>
    <s v="LOS 3 AÑOS"/>
    <s v="PADD 2023 Y 2024"/>
    <x v="57"/>
    <s v="6010230 BARBARA D'ACHILLE2 Secundaria"/>
  </r>
  <r>
    <n v="2046"/>
    <x v="3"/>
    <s v="Secundaria"/>
    <x v="2"/>
    <x v="47"/>
    <s v="Rural"/>
    <s v="Femenino"/>
    <x v="0"/>
    <x v="1"/>
    <s v="LOS 3 AÑOS"/>
    <s v="PADD 2023 Y 2024"/>
    <x v="56"/>
    <s v="601332 Secundaria"/>
  </r>
  <r>
    <n v="2047"/>
    <x v="3"/>
    <s v="Secundaria"/>
    <x v="2"/>
    <x v="47"/>
    <s v="Rural"/>
    <s v="Femenino"/>
    <x v="0"/>
    <x v="1"/>
    <s v="LOS 3 AÑOS"/>
    <s v="PADD 2023 Y 2024"/>
    <x v="56"/>
    <s v="601332 Secundaria"/>
  </r>
  <r>
    <n v="2048"/>
    <x v="3"/>
    <s v="Secundaria"/>
    <x v="2"/>
    <x v="47"/>
    <s v="Rural"/>
    <s v="Femenino"/>
    <x v="0"/>
    <x v="1"/>
    <s v="LOS 3 AÑOS"/>
    <s v="PADD 2023 Y 2024"/>
    <x v="56"/>
    <s v="601332 Secundaria"/>
  </r>
  <r>
    <n v="2049"/>
    <x v="3"/>
    <s v="Secundaria"/>
    <x v="2"/>
    <x v="47"/>
    <s v="Rural"/>
    <s v="Femenino"/>
    <x v="0"/>
    <x v="1"/>
    <s v="LOS 3 AÑOS"/>
    <s v="PADD 2023 Y 2024"/>
    <x v="56"/>
    <s v="601332 Secundaria"/>
  </r>
  <r>
    <n v="2050"/>
    <x v="3"/>
    <s v="Secundaria"/>
    <x v="2"/>
    <x v="47"/>
    <s v="Rural"/>
    <s v="Masculino"/>
    <x v="0"/>
    <x v="1"/>
    <s v="LOS 3 AÑOS"/>
    <s v="PADD 2023 Y 2024"/>
    <x v="56"/>
    <s v="601332 Secundaria"/>
  </r>
  <r>
    <n v="2051"/>
    <x v="3"/>
    <s v="Secundaria"/>
    <x v="2"/>
    <x v="47"/>
    <s v="Rural"/>
    <s v="Masculino"/>
    <x v="0"/>
    <x v="1"/>
    <s v="LOS 3 AÑOS"/>
    <s v="PADD 2023 Y 2024"/>
    <x v="56"/>
    <s v="601332 Secundaria"/>
  </r>
  <r>
    <n v="2052"/>
    <x v="3"/>
    <s v="Secundaria"/>
    <x v="2"/>
    <x v="47"/>
    <s v="Rural"/>
    <s v="Femenino"/>
    <x v="0"/>
    <x v="1"/>
    <s v="LOS 3 AÑOS"/>
    <s v="PADD 2023 Y 2024"/>
    <x v="56"/>
    <s v="601332 Secundaria"/>
  </r>
  <r>
    <n v="2053"/>
    <x v="3"/>
    <s v="Secundaria"/>
    <x v="2"/>
    <x v="47"/>
    <s v="Rural"/>
    <s v="Masculino"/>
    <x v="0"/>
    <x v="1"/>
    <s v="LOS 3 AÑOS"/>
    <s v="PADD 2023 Y 2024"/>
    <x v="56"/>
    <s v="601332 Secundaria"/>
  </r>
  <r>
    <n v="2054"/>
    <x v="3"/>
    <s v="Secundaria"/>
    <x v="2"/>
    <x v="47"/>
    <s v="Rural"/>
    <s v="Femenino"/>
    <x v="0"/>
    <x v="1"/>
    <s v="LOS 3 AÑOS"/>
    <s v="PADD 2023 Y 2024"/>
    <x v="56"/>
    <s v="601332 Secundaria"/>
  </r>
  <r>
    <n v="2055"/>
    <x v="3"/>
    <s v="Secundaria"/>
    <x v="2"/>
    <x v="47"/>
    <s v="Rural"/>
    <s v="Femenino"/>
    <x v="0"/>
    <x v="1"/>
    <s v="LOS 3 AÑOS"/>
    <s v="PADD 2023 Y 2024"/>
    <x v="56"/>
    <s v="601332 Secundaria"/>
  </r>
  <r>
    <n v="2056"/>
    <x v="3"/>
    <s v="Secundaria"/>
    <x v="2"/>
    <x v="47"/>
    <s v="Rural"/>
    <s v="Femenino"/>
    <x v="0"/>
    <x v="1"/>
    <s v="LOS 3 AÑOS"/>
    <s v="PADD 2023 Y 2024"/>
    <x v="56"/>
    <s v="601332 Secundaria"/>
  </r>
  <r>
    <n v="2057"/>
    <x v="3"/>
    <s v="Secundaria"/>
    <x v="2"/>
    <x v="47"/>
    <s v="Rural"/>
    <s v="Femenino"/>
    <x v="0"/>
    <x v="1"/>
    <s v="LOS 3 AÑOS"/>
    <s v="PADD 2023 Y 2024"/>
    <x v="56"/>
    <s v="601332 Secundaria"/>
  </r>
  <r>
    <n v="2058"/>
    <x v="3"/>
    <s v="Secundaria"/>
    <x v="2"/>
    <x v="47"/>
    <s v="Rural"/>
    <s v="Femenino"/>
    <x v="0"/>
    <x v="1"/>
    <s v="LOS 3 AÑOS"/>
    <s v="PADD 2023 Y 2024"/>
    <x v="56"/>
    <s v="601332 Secundaria"/>
  </r>
  <r>
    <n v="2059"/>
    <x v="3"/>
    <s v="Secundaria"/>
    <x v="2"/>
    <x v="47"/>
    <s v="Rural"/>
    <s v="Femenino"/>
    <x v="0"/>
    <x v="1"/>
    <s v="LOS 3 AÑOS"/>
    <s v="PADD 2023 Y 2024"/>
    <x v="56"/>
    <s v="601332 Secundaria"/>
  </r>
  <r>
    <n v="2060"/>
    <x v="3"/>
    <s v="Secundaria"/>
    <x v="2"/>
    <x v="47"/>
    <s v="Rural"/>
    <s v="Masculino"/>
    <x v="0"/>
    <x v="1"/>
    <s v="LOS 3 AÑOS"/>
    <s v="PADD 2023 Y 2024"/>
    <x v="56"/>
    <s v="601332 Secundaria"/>
  </r>
  <r>
    <n v="2061"/>
    <x v="3"/>
    <s v="Secundaria"/>
    <x v="2"/>
    <x v="47"/>
    <s v="Rural"/>
    <s v="Masculino"/>
    <x v="0"/>
    <x v="1"/>
    <s v="LOS 3 AÑOS"/>
    <s v="PADD 2023 Y 2024"/>
    <x v="56"/>
    <s v="601332 Secundaria"/>
  </r>
  <r>
    <n v="2062"/>
    <x v="3"/>
    <s v="Secundaria"/>
    <x v="2"/>
    <x v="47"/>
    <s v="Rural"/>
    <s v="Femenino"/>
    <x v="0"/>
    <x v="1"/>
    <s v="LOS 3 AÑOS"/>
    <s v="PADD 2023 Y 2024"/>
    <x v="56"/>
    <s v="601332 Secundaria"/>
  </r>
  <r>
    <n v="2063"/>
    <x v="3"/>
    <s v="Secundaria"/>
    <x v="2"/>
    <x v="47"/>
    <s v="Rural"/>
    <s v="Masculino"/>
    <x v="0"/>
    <x v="1"/>
    <s v="LOS 3 AÑOS"/>
    <s v="PADD 2023 Y 2024"/>
    <x v="56"/>
    <s v="601332 Secundaria"/>
  </r>
  <r>
    <n v="2064"/>
    <x v="3"/>
    <s v="Secundaria"/>
    <x v="2"/>
    <x v="47"/>
    <s v="Rural"/>
    <s v="Masculino"/>
    <x v="0"/>
    <x v="1"/>
    <s v="LOS 3 AÑOS"/>
    <s v="PADD 2023 Y 2024"/>
    <x v="56"/>
    <s v="601332 Secundaria"/>
  </r>
  <r>
    <n v="2065"/>
    <x v="3"/>
    <s v="Secundaria"/>
    <x v="2"/>
    <x v="47"/>
    <s v="Rural"/>
    <s v="Femenino"/>
    <x v="0"/>
    <x v="1"/>
    <s v="LOS 3 AÑOS"/>
    <s v="PADD 2023 Y 2024"/>
    <x v="56"/>
    <s v="601332 Secundaria"/>
  </r>
  <r>
    <n v="2066"/>
    <x v="3"/>
    <s v="Secundaria"/>
    <x v="2"/>
    <x v="47"/>
    <s v="Rural"/>
    <s v="Femenino"/>
    <x v="0"/>
    <x v="1"/>
    <s v="LOS 3 AÑOS"/>
    <s v="PADD 2023 Y 2024"/>
    <x v="56"/>
    <s v="601332 Secundaria"/>
  </r>
  <r>
    <n v="2067"/>
    <x v="3"/>
    <s v="Secundaria"/>
    <x v="2"/>
    <x v="47"/>
    <s v="Rural"/>
    <s v="Masculino"/>
    <x v="0"/>
    <x v="1"/>
    <s v="LOS 3 AÑOS"/>
    <s v="PADD 2023 Y 2024"/>
    <x v="56"/>
    <s v="601332 Secundaria"/>
  </r>
  <r>
    <n v="2068"/>
    <x v="3"/>
    <s v="Secundaria"/>
    <x v="2"/>
    <x v="47"/>
    <s v="Rural"/>
    <s v="Masculino"/>
    <x v="0"/>
    <x v="1"/>
    <s v="LOS 3 AÑOS"/>
    <s v="PADD 2023 Y 2024"/>
    <x v="56"/>
    <s v="601332 Secundaria"/>
  </r>
  <r>
    <n v="2069"/>
    <x v="3"/>
    <s v="Secundaria"/>
    <x v="2"/>
    <x v="47"/>
    <s v="Rural"/>
    <s v="Femenino"/>
    <x v="0"/>
    <x v="1"/>
    <s v="LOS 3 AÑOS"/>
    <s v="PADD 2023 Y 2024"/>
    <x v="56"/>
    <s v="601332 Secundaria"/>
  </r>
  <r>
    <n v="2070"/>
    <x v="3"/>
    <s v="Secundaria"/>
    <x v="2"/>
    <x v="47"/>
    <s v="Rural"/>
    <s v="Masculino"/>
    <x v="0"/>
    <x v="1"/>
    <s v="LOS 3 AÑOS"/>
    <s v="PADD 2023 Y 2024"/>
    <x v="56"/>
    <s v="601332 Secundaria"/>
  </r>
  <r>
    <n v="2071"/>
    <x v="3"/>
    <s v="Secundaria"/>
    <x v="2"/>
    <x v="47"/>
    <s v="Rural"/>
    <s v="Femenino"/>
    <x v="0"/>
    <x v="1"/>
    <s v="LOS 3 AÑOS"/>
    <s v="PADD 2023 Y 2024"/>
    <x v="56"/>
    <s v="601332 Secundaria"/>
  </r>
  <r>
    <n v="2072"/>
    <x v="3"/>
    <s v="Secundaria"/>
    <x v="2"/>
    <x v="47"/>
    <s v="Rural"/>
    <s v="Femenino"/>
    <x v="0"/>
    <x v="1"/>
    <s v="LOS 3 AÑOS"/>
    <s v="PADD 2023 Y 2024"/>
    <x v="56"/>
    <s v="601332 Secundaria"/>
  </r>
  <r>
    <n v="2073"/>
    <x v="3"/>
    <s v="Secundaria"/>
    <x v="2"/>
    <x v="47"/>
    <s v="Rural"/>
    <s v="Masculino"/>
    <x v="0"/>
    <x v="1"/>
    <s v="LOS 3 AÑOS"/>
    <s v="PADD 2023 Y 2024"/>
    <x v="56"/>
    <s v="601332 Secundaria"/>
  </r>
  <r>
    <n v="2074"/>
    <x v="3"/>
    <s v="Secundaria"/>
    <x v="2"/>
    <x v="47"/>
    <s v="Rural"/>
    <s v="Masculino"/>
    <x v="0"/>
    <x v="1"/>
    <s v="LOS 3 AÑOS"/>
    <s v="PADD 2023 Y 2024"/>
    <x v="56"/>
    <s v="601332 Secundaria"/>
  </r>
  <r>
    <n v="2075"/>
    <x v="3"/>
    <s v="Secundaria"/>
    <x v="2"/>
    <x v="47"/>
    <s v="Rural"/>
    <s v="Masculino"/>
    <x v="0"/>
    <x v="1"/>
    <s v="LOS 3 AÑOS"/>
    <s v="PADD 2023 Y 2024"/>
    <x v="56"/>
    <s v="601332 Secundaria"/>
  </r>
  <r>
    <n v="2076"/>
    <x v="3"/>
    <s v="Secundaria"/>
    <x v="2"/>
    <x v="47"/>
    <s v="Rural"/>
    <s v="Femenino"/>
    <x v="0"/>
    <x v="1"/>
    <s v="LOS 3 AÑOS"/>
    <s v="PADD 2023 Y 2024"/>
    <x v="56"/>
    <s v="601332 Secundaria"/>
  </r>
  <r>
    <n v="2077"/>
    <x v="3"/>
    <s v="Primaria"/>
    <x v="0"/>
    <x v="30"/>
    <s v="Rural"/>
    <s v="Femenino"/>
    <x v="0"/>
    <x v="1"/>
    <s v="LOS 3 AÑOS"/>
    <s v="PADD 2023 Y 2024"/>
    <x v="58"/>
    <s v="6014484 Primaria"/>
  </r>
  <r>
    <n v="2078"/>
    <x v="3"/>
    <s v="Primaria"/>
    <x v="0"/>
    <x v="30"/>
    <s v="Rural"/>
    <s v="Femenino"/>
    <x v="0"/>
    <x v="1"/>
    <s v="LOS 3 AÑOS"/>
    <s v="PADD 2023 Y 2024"/>
    <x v="58"/>
    <s v="6014484 Primaria"/>
  </r>
  <r>
    <n v="2079"/>
    <x v="3"/>
    <s v="Primaria"/>
    <x v="0"/>
    <x v="30"/>
    <s v="Rural"/>
    <s v="Masculino"/>
    <x v="0"/>
    <x v="1"/>
    <s v="LOS 3 AÑOS"/>
    <s v="PADD 2023 Y 2024"/>
    <x v="58"/>
    <s v="6014484 Primaria"/>
  </r>
  <r>
    <n v="2080"/>
    <x v="3"/>
    <s v="Primaria"/>
    <x v="0"/>
    <x v="35"/>
    <s v="Rural"/>
    <s v="Femenino"/>
    <x v="2"/>
    <x v="1"/>
    <s v="LOS 3 AÑOS"/>
    <s v="SOLO 2023"/>
    <x v="55"/>
    <s v="6013314 Primaria"/>
  </r>
  <r>
    <n v="2081"/>
    <x v="3"/>
    <s v="Primaria"/>
    <x v="0"/>
    <x v="39"/>
    <s v="Rural"/>
    <s v="Masculino"/>
    <x v="0"/>
    <x v="1"/>
    <s v="LOS 3 AÑOS"/>
    <s v="PADD 2023 Y 2024"/>
    <x v="57"/>
    <s v="6010230 BARBARA D'ACHILLE4 Primaria"/>
  </r>
  <r>
    <n v="2082"/>
    <x v="3"/>
    <s v="Primaria"/>
    <x v="0"/>
    <x v="39"/>
    <s v="Rural"/>
    <s v="Masculino"/>
    <x v="0"/>
    <x v="1"/>
    <s v="LOS 3 AÑOS"/>
    <s v="PADD 2023 Y 2024"/>
    <x v="57"/>
    <s v="6010230 BARBARA D'ACHILLE4 Primaria"/>
  </r>
  <r>
    <n v="2083"/>
    <x v="3"/>
    <s v="Primaria"/>
    <x v="0"/>
    <x v="39"/>
    <s v="Rural"/>
    <s v="Masculino"/>
    <x v="0"/>
    <x v="1"/>
    <s v="LOS 3 AÑOS"/>
    <s v="PADD 2023 Y 2024"/>
    <x v="57"/>
    <s v="6010230 BARBARA D'ACHILLE4 Primaria"/>
  </r>
  <r>
    <n v="2084"/>
    <x v="3"/>
    <s v="Primaria"/>
    <x v="0"/>
    <x v="39"/>
    <s v="Rural"/>
    <s v="Masculino"/>
    <x v="0"/>
    <x v="1"/>
    <s v="LOS 3 AÑOS"/>
    <s v="PADD 2023 Y 2024"/>
    <x v="57"/>
    <s v="6010230 BARBARA D'ACHILLE4 Primaria"/>
  </r>
  <r>
    <n v="2085"/>
    <x v="3"/>
    <s v="Primaria"/>
    <x v="0"/>
    <x v="39"/>
    <s v="Rural"/>
    <s v="Femenino"/>
    <x v="0"/>
    <x v="1"/>
    <s v="LOS 3 AÑOS"/>
    <s v="PADD 2023 Y 2024"/>
    <x v="57"/>
    <s v="6010230 BARBARA D'ACHILLE4 Primaria"/>
  </r>
  <r>
    <n v="2086"/>
    <x v="3"/>
    <s v="Primaria"/>
    <x v="0"/>
    <x v="39"/>
    <s v="Rural"/>
    <s v="Masculino"/>
    <x v="0"/>
    <x v="1"/>
    <s v="LOS 3 AÑOS"/>
    <s v="PADD 2023 Y 2024"/>
    <x v="57"/>
    <s v="6010230 BARBARA D'ACHILLE4 Primaria"/>
  </r>
  <r>
    <n v="2087"/>
    <x v="3"/>
    <s v="Primaria"/>
    <x v="0"/>
    <x v="39"/>
    <s v="Rural"/>
    <s v="Femenino"/>
    <x v="0"/>
    <x v="1"/>
    <s v="LOS 3 AÑOS"/>
    <s v="PADD 2023 Y 2024"/>
    <x v="57"/>
    <s v="6010230 BARBARA D'ACHILLE4 Primaria"/>
  </r>
  <r>
    <n v="2088"/>
    <x v="3"/>
    <s v="Primaria"/>
    <x v="0"/>
    <x v="39"/>
    <s v="Rural"/>
    <s v="Masculino"/>
    <x v="0"/>
    <x v="1"/>
    <s v="LOS 3 AÑOS"/>
    <s v="PADD 2023 Y 2024"/>
    <x v="57"/>
    <s v="6010230 BARBARA D'ACHILLE4 Primaria"/>
  </r>
  <r>
    <n v="2089"/>
    <x v="3"/>
    <s v="Primaria"/>
    <x v="0"/>
    <x v="39"/>
    <s v="Rural"/>
    <s v="Femenino"/>
    <x v="0"/>
    <x v="1"/>
    <s v="LOS 3 AÑOS"/>
    <s v="PADD 2023 Y 2024"/>
    <x v="57"/>
    <s v="6010230 BARBARA D'ACHILLE4 Primaria"/>
  </r>
  <r>
    <n v="2090"/>
    <x v="3"/>
    <s v="Secundaria"/>
    <x v="3"/>
    <x v="31"/>
    <s v="Rural"/>
    <s v="Masculino"/>
    <x v="0"/>
    <x v="1"/>
    <s v="LOS 3 AÑOS"/>
    <s v="NO PARTICIPÓ"/>
    <x v="32"/>
    <s v="EL MILAGRO4 Secundaria"/>
  </r>
  <r>
    <n v="2091"/>
    <x v="3"/>
    <s v="Secundaria"/>
    <x v="3"/>
    <x v="31"/>
    <s v="Rural"/>
    <s v="Femenino"/>
    <x v="0"/>
    <x v="1"/>
    <s v="LOS 3 AÑOS"/>
    <s v="NO PARTICIPÓ"/>
    <x v="32"/>
    <s v="EL MILAGRO4 Secundaria"/>
  </r>
  <r>
    <n v="2092"/>
    <x v="3"/>
    <s v="Secundaria"/>
    <x v="3"/>
    <x v="31"/>
    <s v="Rural"/>
    <s v="Masculino"/>
    <x v="1"/>
    <x v="1"/>
    <s v="LOS 3 AÑOS"/>
    <s v="NO PARTICIPÓ"/>
    <x v="32"/>
    <s v="EL MILAGRO4 Secundaria"/>
  </r>
  <r>
    <n v="2093"/>
    <x v="3"/>
    <s v="Secundaria"/>
    <x v="3"/>
    <x v="31"/>
    <s v="Rural"/>
    <s v="Masculino"/>
    <x v="0"/>
    <x v="1"/>
    <s v="LOS 3 AÑOS"/>
    <s v="NO PARTICIPÓ"/>
    <x v="32"/>
    <s v="EL MILAGRO4 Secundaria"/>
  </r>
  <r>
    <n v="2094"/>
    <x v="3"/>
    <s v="Secundaria"/>
    <x v="3"/>
    <x v="31"/>
    <s v="Rural"/>
    <s v="Femenino"/>
    <x v="0"/>
    <x v="1"/>
    <s v="LOS 3 AÑOS"/>
    <s v="NO PARTICIPÓ"/>
    <x v="32"/>
    <s v="EL MILAGRO4 Secundaria"/>
  </r>
  <r>
    <n v="2095"/>
    <x v="3"/>
    <s v="Secundaria"/>
    <x v="3"/>
    <x v="31"/>
    <s v="Rural"/>
    <s v="Femenino"/>
    <x v="0"/>
    <x v="1"/>
    <s v="LOS 3 AÑOS"/>
    <s v="NO PARTICIPÓ"/>
    <x v="32"/>
    <s v="EL MILAGRO4 Secundaria"/>
  </r>
  <r>
    <n v="2096"/>
    <x v="3"/>
    <s v="Secundaria"/>
    <x v="3"/>
    <x v="31"/>
    <s v="Rural"/>
    <s v="Femenino"/>
    <x v="0"/>
    <x v="1"/>
    <s v="LOS 3 AÑOS"/>
    <s v="NO PARTICIPÓ"/>
    <x v="32"/>
    <s v="EL MILAGRO4 Secundaria"/>
  </r>
  <r>
    <n v="2097"/>
    <x v="3"/>
    <s v="Secundaria"/>
    <x v="3"/>
    <x v="31"/>
    <s v="Rural"/>
    <s v="Masculino"/>
    <x v="0"/>
    <x v="1"/>
    <s v="LOS 3 AÑOS"/>
    <s v="NO PARTICIPÓ"/>
    <x v="32"/>
    <s v="EL MILAGRO4 Secundaria"/>
  </r>
  <r>
    <n v="2098"/>
    <x v="3"/>
    <s v="Secundaria"/>
    <x v="3"/>
    <x v="31"/>
    <s v="Rural"/>
    <s v="Masculino"/>
    <x v="0"/>
    <x v="1"/>
    <s v="LOS 3 AÑOS"/>
    <s v="NO PARTICIPÓ"/>
    <x v="32"/>
    <s v="EL MILAGRO4 Secundaria"/>
  </r>
  <r>
    <n v="2099"/>
    <x v="3"/>
    <s v="Secundaria"/>
    <x v="3"/>
    <x v="31"/>
    <s v="Rural"/>
    <s v="Masculino"/>
    <x v="0"/>
    <x v="1"/>
    <s v="LOS 3 AÑOS"/>
    <s v="NO PARTICIPÓ"/>
    <x v="32"/>
    <s v="EL MILAGRO4 Secundaria"/>
  </r>
  <r>
    <n v="2100"/>
    <x v="3"/>
    <s v="Secundaria"/>
    <x v="3"/>
    <x v="31"/>
    <s v="Rural"/>
    <s v="Masculino"/>
    <x v="0"/>
    <x v="1"/>
    <s v="LOS 3 AÑOS"/>
    <s v="NO PARTICIPÓ"/>
    <x v="32"/>
    <s v="EL MILAGRO4 Secundaria"/>
  </r>
  <r>
    <n v="2101"/>
    <x v="3"/>
    <s v="Secundaria"/>
    <x v="3"/>
    <x v="31"/>
    <s v="Rural"/>
    <s v="Femenino"/>
    <x v="0"/>
    <x v="1"/>
    <s v="LOS 3 AÑOS"/>
    <s v="NO PARTICIPÓ"/>
    <x v="32"/>
    <s v="EL MILAGRO4 Secundaria"/>
  </r>
  <r>
    <n v="2102"/>
    <x v="3"/>
    <s v="Secundaria"/>
    <x v="3"/>
    <x v="31"/>
    <s v="Rural"/>
    <s v="Femenino"/>
    <x v="0"/>
    <x v="1"/>
    <s v="LOS 3 AÑOS"/>
    <s v="NO PARTICIPÓ"/>
    <x v="32"/>
    <s v="EL MILAGRO4 Secundaria"/>
  </r>
  <r>
    <n v="2103"/>
    <x v="3"/>
    <s v="Secundaria"/>
    <x v="3"/>
    <x v="31"/>
    <s v="Rural"/>
    <s v="Femenino"/>
    <x v="0"/>
    <x v="1"/>
    <s v="LOS 3 AÑOS"/>
    <s v="NO PARTICIPÓ"/>
    <x v="32"/>
    <s v="EL MILAGRO4 Secundaria"/>
  </r>
  <r>
    <n v="2104"/>
    <x v="3"/>
    <s v="Secundaria"/>
    <x v="3"/>
    <x v="31"/>
    <s v="Rural"/>
    <s v="Masculino"/>
    <x v="0"/>
    <x v="1"/>
    <s v="LOS 3 AÑOS"/>
    <s v="NO PARTICIPÓ"/>
    <x v="32"/>
    <s v="EL MILAGRO4 Secundaria"/>
  </r>
  <r>
    <n v="2105"/>
    <x v="3"/>
    <s v="Secundaria"/>
    <x v="3"/>
    <x v="31"/>
    <s v="Rural"/>
    <s v="Masculino"/>
    <x v="0"/>
    <x v="1"/>
    <s v="LOS 3 AÑOS"/>
    <s v="NO PARTICIPÓ"/>
    <x v="32"/>
    <s v="EL MILAGRO4 Secundaria"/>
  </r>
  <r>
    <n v="2106"/>
    <x v="3"/>
    <s v="Secundaria"/>
    <x v="3"/>
    <x v="31"/>
    <s v="Rural"/>
    <s v="Masculino"/>
    <x v="0"/>
    <x v="1"/>
    <s v="LOS 3 AÑOS"/>
    <s v="NO PARTICIPÓ"/>
    <x v="32"/>
    <s v="EL MILAGRO4 Secundaria"/>
  </r>
  <r>
    <n v="2107"/>
    <x v="3"/>
    <s v="Secundaria"/>
    <x v="3"/>
    <x v="31"/>
    <s v="Rural"/>
    <s v="Masculino"/>
    <x v="0"/>
    <x v="1"/>
    <s v="LOS 3 AÑOS"/>
    <s v="NO PARTICIPÓ"/>
    <x v="32"/>
    <s v="EL MILAGRO4 Secundaria"/>
  </r>
  <r>
    <n v="2108"/>
    <x v="3"/>
    <s v="Secundaria"/>
    <x v="3"/>
    <x v="31"/>
    <s v="Rural"/>
    <s v="Masculino"/>
    <x v="0"/>
    <x v="1"/>
    <s v="LOS 3 AÑOS"/>
    <s v="NO PARTICIPÓ"/>
    <x v="32"/>
    <s v="EL MILAGRO4 Secundaria"/>
  </r>
  <r>
    <n v="2109"/>
    <x v="3"/>
    <s v="Secundaria"/>
    <x v="3"/>
    <x v="31"/>
    <s v="Rural"/>
    <s v="Masculino"/>
    <x v="0"/>
    <x v="1"/>
    <s v="LOS 3 AÑOS"/>
    <s v="NO PARTICIPÓ"/>
    <x v="32"/>
    <s v="EL MILAGRO4 Secundaria"/>
  </r>
  <r>
    <n v="2110"/>
    <x v="3"/>
    <s v="Secundaria"/>
    <x v="3"/>
    <x v="31"/>
    <s v="Rural"/>
    <s v="Femenino"/>
    <x v="0"/>
    <x v="1"/>
    <s v="LOS 3 AÑOS"/>
    <s v="NO PARTICIPÓ"/>
    <x v="32"/>
    <s v="EL MILAGRO4 Secundaria"/>
  </r>
  <r>
    <n v="2111"/>
    <x v="3"/>
    <s v="Secundaria"/>
    <x v="3"/>
    <x v="31"/>
    <s v="Rural"/>
    <s v="Masculino"/>
    <x v="0"/>
    <x v="1"/>
    <s v="LOS 3 AÑOS"/>
    <s v="NO PARTICIPÓ"/>
    <x v="32"/>
    <s v="EL MILAGRO4 Secundaria"/>
  </r>
  <r>
    <n v="2112"/>
    <x v="3"/>
    <s v="Secundaria"/>
    <x v="3"/>
    <x v="31"/>
    <s v="Rural"/>
    <s v="Masculino"/>
    <x v="0"/>
    <x v="1"/>
    <s v="LOS 3 AÑOS"/>
    <s v="NO PARTICIPÓ"/>
    <x v="32"/>
    <s v="EL MILAGRO4 Secundaria"/>
  </r>
  <r>
    <n v="2113"/>
    <x v="3"/>
    <s v="Secundaria"/>
    <x v="3"/>
    <x v="31"/>
    <s v="Rural"/>
    <s v="Femenino"/>
    <x v="0"/>
    <x v="1"/>
    <s v="LOS 3 AÑOS"/>
    <s v="NO PARTICIPÓ"/>
    <x v="32"/>
    <s v="EL MILAGRO4 Secundaria"/>
  </r>
  <r>
    <n v="2114"/>
    <x v="3"/>
    <s v="Secundaria"/>
    <x v="3"/>
    <x v="35"/>
    <s v="Rural"/>
    <s v="Femenino"/>
    <x v="2"/>
    <x v="1"/>
    <s v="LOS 3 AÑOS"/>
    <s v="SOLO 2023"/>
    <x v="55"/>
    <s v="6013314 Secundaria"/>
  </r>
  <r>
    <n v="2115"/>
    <x v="3"/>
    <s v="Secundaria"/>
    <x v="3"/>
    <x v="35"/>
    <s v="Rural"/>
    <s v="Masculino"/>
    <x v="0"/>
    <x v="1"/>
    <s v="LOS 3 AÑOS"/>
    <s v="SOLO 2023"/>
    <x v="55"/>
    <s v="6013314 Secundaria"/>
  </r>
  <r>
    <n v="2116"/>
    <x v="3"/>
    <s v="Secundaria"/>
    <x v="3"/>
    <x v="35"/>
    <s v="Rural"/>
    <s v="Femenino"/>
    <x v="0"/>
    <x v="1"/>
    <s v="LOS 3 AÑOS"/>
    <s v="SOLO 2023"/>
    <x v="55"/>
    <s v="6013314 Secundaria"/>
  </r>
  <r>
    <n v="2117"/>
    <x v="3"/>
    <s v="Secundaria"/>
    <x v="3"/>
    <x v="35"/>
    <s v="Rural"/>
    <s v="Masculino"/>
    <x v="1"/>
    <x v="1"/>
    <s v="LOS 3 AÑOS"/>
    <s v="SOLO 2023"/>
    <x v="55"/>
    <s v="6013314 Secundaria"/>
  </r>
  <r>
    <n v="2118"/>
    <x v="3"/>
    <s v="Secundaria"/>
    <x v="3"/>
    <x v="35"/>
    <s v="Rural"/>
    <s v="Masculino"/>
    <x v="2"/>
    <x v="1"/>
    <s v="LOS 3 AÑOS"/>
    <s v="SOLO 2023"/>
    <x v="55"/>
    <s v="6013314 Secundaria"/>
  </r>
  <r>
    <n v="2119"/>
    <x v="3"/>
    <s v="Secundaria"/>
    <x v="3"/>
    <x v="35"/>
    <s v="Rural"/>
    <s v="Masculino"/>
    <x v="0"/>
    <x v="1"/>
    <s v="LOS 3 AÑOS"/>
    <s v="SOLO 2023"/>
    <x v="55"/>
    <s v="6013314 Secundaria"/>
  </r>
  <r>
    <n v="2120"/>
    <x v="3"/>
    <s v="Secundaria"/>
    <x v="3"/>
    <x v="35"/>
    <s v="Rural"/>
    <s v="Masculino"/>
    <x v="1"/>
    <x v="1"/>
    <s v="LOS 3 AÑOS"/>
    <s v="SOLO 2023"/>
    <x v="55"/>
    <s v="6013314 Secundaria"/>
  </r>
  <r>
    <n v="2121"/>
    <x v="3"/>
    <s v="Secundaria"/>
    <x v="3"/>
    <x v="35"/>
    <s v="Rural"/>
    <s v="Femenino"/>
    <x v="0"/>
    <x v="1"/>
    <s v="LOS 3 AÑOS"/>
    <s v="SOLO 2023"/>
    <x v="55"/>
    <s v="6013314 Secundaria"/>
  </r>
  <r>
    <n v="2122"/>
    <x v="3"/>
    <s v="Secundaria"/>
    <x v="3"/>
    <x v="35"/>
    <s v="Rural"/>
    <s v="Masculino"/>
    <x v="0"/>
    <x v="1"/>
    <s v="LOS 3 AÑOS"/>
    <s v="SOLO 2023"/>
    <x v="55"/>
    <s v="6013314 Secundaria"/>
  </r>
  <r>
    <n v="2123"/>
    <x v="3"/>
    <s v="Secundaria"/>
    <x v="3"/>
    <x v="35"/>
    <s v="Rural"/>
    <s v="Masculino"/>
    <x v="0"/>
    <x v="1"/>
    <s v="LOS 3 AÑOS"/>
    <s v="SOLO 2023"/>
    <x v="55"/>
    <s v="6013314 Secundaria"/>
  </r>
  <r>
    <n v="2124"/>
    <x v="3"/>
    <s v="Secundaria"/>
    <x v="3"/>
    <x v="35"/>
    <s v="Rural"/>
    <s v="Femenino"/>
    <x v="2"/>
    <x v="1"/>
    <s v="LOS 3 AÑOS"/>
    <s v="SOLO 2023"/>
    <x v="55"/>
    <s v="6013314 Secundaria"/>
  </r>
  <r>
    <n v="2125"/>
    <x v="3"/>
    <s v="Secundaria"/>
    <x v="3"/>
    <x v="35"/>
    <s v="Rural"/>
    <s v="Femenino"/>
    <x v="0"/>
    <x v="1"/>
    <s v="LOS 3 AÑOS"/>
    <s v="SOLO 2023"/>
    <x v="55"/>
    <s v="6013314 Secundaria"/>
  </r>
  <r>
    <n v="2126"/>
    <x v="3"/>
    <s v="Secundaria"/>
    <x v="3"/>
    <x v="35"/>
    <s v="Rural"/>
    <s v="Femenino"/>
    <x v="0"/>
    <x v="1"/>
    <s v="LOS 3 AÑOS"/>
    <s v="SOLO 2023"/>
    <x v="55"/>
    <s v="6013314 Secundaria"/>
  </r>
  <r>
    <n v="2127"/>
    <x v="3"/>
    <s v="Secundaria"/>
    <x v="3"/>
    <x v="35"/>
    <s v="Rural"/>
    <s v="Femenino"/>
    <x v="0"/>
    <x v="1"/>
    <s v="LOS 3 AÑOS"/>
    <s v="SOLO 2023"/>
    <x v="55"/>
    <s v="6013314 Secundaria"/>
  </r>
  <r>
    <n v="2128"/>
    <x v="3"/>
    <s v="Secundaria"/>
    <x v="3"/>
    <x v="35"/>
    <s v="Rural"/>
    <s v="Masculino"/>
    <x v="0"/>
    <x v="1"/>
    <s v="LOS 3 AÑOS"/>
    <s v="SOLO 2023"/>
    <x v="55"/>
    <s v="6013314 Secundaria"/>
  </r>
  <r>
    <n v="2129"/>
    <x v="3"/>
    <s v="Secundaria"/>
    <x v="3"/>
    <x v="35"/>
    <s v="Rural"/>
    <s v="Femenino"/>
    <x v="2"/>
    <x v="1"/>
    <s v="LOS 3 AÑOS"/>
    <s v="SOLO 2023"/>
    <x v="55"/>
    <s v="6013314 Secundaria"/>
  </r>
  <r>
    <n v="2130"/>
    <x v="3"/>
    <s v="Secundaria"/>
    <x v="3"/>
    <x v="39"/>
    <s v="Rural"/>
    <s v="Masculino"/>
    <x v="0"/>
    <x v="1"/>
    <s v="LOS 3 AÑOS"/>
    <s v="PADD 2023 Y 2024"/>
    <x v="57"/>
    <s v="6010230 BARBARA D'ACHILLE4 Secundaria"/>
  </r>
  <r>
    <n v="2131"/>
    <x v="3"/>
    <s v="Secundaria"/>
    <x v="3"/>
    <x v="39"/>
    <s v="Rural"/>
    <s v="Masculino"/>
    <x v="0"/>
    <x v="1"/>
    <s v="LOS 3 AÑOS"/>
    <s v="PADD 2023 Y 2024"/>
    <x v="57"/>
    <s v="6010230 BARBARA D'ACHILLE4 Secundaria"/>
  </r>
  <r>
    <n v="2132"/>
    <x v="3"/>
    <s v="Secundaria"/>
    <x v="3"/>
    <x v="39"/>
    <s v="Rural"/>
    <s v="Masculino"/>
    <x v="0"/>
    <x v="1"/>
    <s v="LOS 3 AÑOS"/>
    <s v="PADD 2023 Y 2024"/>
    <x v="57"/>
    <s v="6010230 BARBARA D'ACHILLE4 Secundaria"/>
  </r>
  <r>
    <n v="2133"/>
    <x v="3"/>
    <s v="Secundaria"/>
    <x v="3"/>
    <x v="39"/>
    <s v="Rural"/>
    <s v="Femenino"/>
    <x v="0"/>
    <x v="1"/>
    <s v="LOS 3 AÑOS"/>
    <s v="PADD 2023 Y 2024"/>
    <x v="57"/>
    <s v="6010230 BARBARA D'ACHILLE4 Secundaria"/>
  </r>
  <r>
    <n v="2134"/>
    <x v="3"/>
    <s v="Secundaria"/>
    <x v="3"/>
    <x v="39"/>
    <s v="Rural"/>
    <s v="Femenino"/>
    <x v="0"/>
    <x v="1"/>
    <s v="LOS 3 AÑOS"/>
    <s v="PADD 2023 Y 2024"/>
    <x v="57"/>
    <s v="6010230 BARBARA D'ACHILLE4 Secundaria"/>
  </r>
  <r>
    <n v="2135"/>
    <x v="3"/>
    <s v="Secundaria"/>
    <x v="3"/>
    <x v="39"/>
    <s v="Rural"/>
    <s v="Femenino"/>
    <x v="0"/>
    <x v="1"/>
    <s v="LOS 3 AÑOS"/>
    <s v="PADD 2023 Y 2024"/>
    <x v="57"/>
    <s v="6010230 BARBARA D'ACHILLE4 Secundaria"/>
  </r>
  <r>
    <n v="2136"/>
    <x v="3"/>
    <s v="Secundaria"/>
    <x v="3"/>
    <x v="39"/>
    <s v="Rural"/>
    <s v="Femenino"/>
    <x v="0"/>
    <x v="1"/>
    <s v="LOS 3 AÑOS"/>
    <s v="PADD 2023 Y 2024"/>
    <x v="57"/>
    <s v="6010230 BARBARA D'ACHILLE4 Secundaria"/>
  </r>
  <r>
    <n v="2137"/>
    <x v="3"/>
    <s v="Secundaria"/>
    <x v="3"/>
    <x v="39"/>
    <s v="Rural"/>
    <s v="Masculino"/>
    <x v="0"/>
    <x v="1"/>
    <s v="LOS 3 AÑOS"/>
    <s v="PADD 2023 Y 2024"/>
    <x v="57"/>
    <s v="6010230 BARBARA D'ACHILLE4 Secundaria"/>
  </r>
  <r>
    <n v="2138"/>
    <x v="3"/>
    <s v="Secundaria"/>
    <x v="3"/>
    <x v="39"/>
    <s v="Rural"/>
    <s v="Masculino"/>
    <x v="0"/>
    <x v="1"/>
    <s v="LOS 3 AÑOS"/>
    <s v="PADD 2023 Y 2024"/>
    <x v="57"/>
    <s v="6010230 BARBARA D'ACHILLE4 Secundaria"/>
  </r>
  <r>
    <n v="2139"/>
    <x v="3"/>
    <s v="Secundaria"/>
    <x v="3"/>
    <x v="47"/>
    <s v="Rural"/>
    <s v="Femenino"/>
    <x v="0"/>
    <x v="1"/>
    <s v="LOS 3 AÑOS"/>
    <s v="PADD 2023 Y 2024"/>
    <x v="56"/>
    <s v="601334 Secundaria"/>
  </r>
  <r>
    <n v="2140"/>
    <x v="3"/>
    <s v="Secundaria"/>
    <x v="3"/>
    <x v="47"/>
    <s v="Rural"/>
    <s v="Masculino"/>
    <x v="0"/>
    <x v="1"/>
    <s v="LOS 3 AÑOS"/>
    <s v="PADD 2023 Y 2024"/>
    <x v="56"/>
    <s v="601334 Secundaria"/>
  </r>
  <r>
    <n v="2141"/>
    <x v="3"/>
    <s v="Secundaria"/>
    <x v="3"/>
    <x v="47"/>
    <s v="Rural"/>
    <s v="Masculino"/>
    <x v="0"/>
    <x v="1"/>
    <s v="LOS 3 AÑOS"/>
    <s v="PADD 2023 Y 2024"/>
    <x v="56"/>
    <s v="601334 Secundaria"/>
  </r>
  <r>
    <n v="2142"/>
    <x v="3"/>
    <s v="Secundaria"/>
    <x v="3"/>
    <x v="47"/>
    <s v="Rural"/>
    <s v="Masculino"/>
    <x v="0"/>
    <x v="1"/>
    <s v="LOS 3 AÑOS"/>
    <s v="PADD 2023 Y 2024"/>
    <x v="56"/>
    <s v="601334 Secundaria"/>
  </r>
  <r>
    <n v="2143"/>
    <x v="3"/>
    <s v="Secundaria"/>
    <x v="3"/>
    <x v="47"/>
    <s v="Rural"/>
    <s v="Femenino"/>
    <x v="0"/>
    <x v="1"/>
    <s v="LOS 3 AÑOS"/>
    <s v="PADD 2023 Y 2024"/>
    <x v="56"/>
    <s v="601334 Secundaria"/>
  </r>
  <r>
    <n v="2144"/>
    <x v="3"/>
    <s v="Secundaria"/>
    <x v="3"/>
    <x v="47"/>
    <s v="Rural"/>
    <s v="Femenino"/>
    <x v="0"/>
    <x v="1"/>
    <s v="LOS 3 AÑOS"/>
    <s v="PADD 2023 Y 2024"/>
    <x v="56"/>
    <s v="601334 Secundaria"/>
  </r>
  <r>
    <n v="2145"/>
    <x v="3"/>
    <s v="Secundaria"/>
    <x v="3"/>
    <x v="47"/>
    <s v="Rural"/>
    <s v="Femenino"/>
    <x v="0"/>
    <x v="1"/>
    <s v="LOS 3 AÑOS"/>
    <s v="PADD 2023 Y 2024"/>
    <x v="56"/>
    <s v="601334 Secundaria"/>
  </r>
  <r>
    <n v="2146"/>
    <x v="3"/>
    <s v="Secundaria"/>
    <x v="3"/>
    <x v="47"/>
    <s v="Rural"/>
    <s v="Femenino"/>
    <x v="0"/>
    <x v="1"/>
    <s v="LOS 3 AÑOS"/>
    <s v="PADD 2023 Y 2024"/>
    <x v="56"/>
    <s v="601334 Secundaria"/>
  </r>
  <r>
    <n v="2147"/>
    <x v="3"/>
    <s v="Secundaria"/>
    <x v="3"/>
    <x v="47"/>
    <s v="Rural"/>
    <s v="Masculino"/>
    <x v="0"/>
    <x v="1"/>
    <s v="LOS 3 AÑOS"/>
    <s v="PADD 2023 Y 2024"/>
    <x v="56"/>
    <s v="601334 Secundaria"/>
  </r>
  <r>
    <n v="2148"/>
    <x v="3"/>
    <s v="Secundaria"/>
    <x v="3"/>
    <x v="47"/>
    <s v="Rural"/>
    <s v="Masculino"/>
    <x v="0"/>
    <x v="1"/>
    <s v="LOS 3 AÑOS"/>
    <s v="PADD 2023 Y 2024"/>
    <x v="56"/>
    <s v="601334 Secundaria"/>
  </r>
  <r>
    <n v="2149"/>
    <x v="3"/>
    <s v="Secundaria"/>
    <x v="3"/>
    <x v="47"/>
    <s v="Rural"/>
    <s v="Femenino"/>
    <x v="0"/>
    <x v="1"/>
    <s v="LOS 3 AÑOS"/>
    <s v="PADD 2023 Y 2024"/>
    <x v="56"/>
    <s v="601334 Secundaria"/>
  </r>
  <r>
    <n v="2150"/>
    <x v="3"/>
    <s v="Secundaria"/>
    <x v="3"/>
    <x v="47"/>
    <s v="Rural"/>
    <s v="Masculino"/>
    <x v="0"/>
    <x v="1"/>
    <s v="LOS 3 AÑOS"/>
    <s v="PADD 2023 Y 2024"/>
    <x v="56"/>
    <s v="601334 Secundaria"/>
  </r>
  <r>
    <n v="2151"/>
    <x v="3"/>
    <s v="Secundaria"/>
    <x v="3"/>
    <x v="47"/>
    <s v="Rural"/>
    <s v="Femenino"/>
    <x v="0"/>
    <x v="1"/>
    <s v="LOS 3 AÑOS"/>
    <s v="PADD 2023 Y 2024"/>
    <x v="56"/>
    <s v="601334 Secundaria"/>
  </r>
  <r>
    <n v="2152"/>
    <x v="3"/>
    <s v="Secundaria"/>
    <x v="3"/>
    <x v="47"/>
    <s v="Rural"/>
    <s v="Femenino"/>
    <x v="0"/>
    <x v="1"/>
    <s v="LOS 3 AÑOS"/>
    <s v="PADD 2023 Y 2024"/>
    <x v="56"/>
    <s v="601334 Secundaria"/>
  </r>
  <r>
    <n v="2153"/>
    <x v="3"/>
    <s v="Secundaria"/>
    <x v="3"/>
    <x v="47"/>
    <s v="Rural"/>
    <s v="Femenino"/>
    <x v="0"/>
    <x v="1"/>
    <s v="LOS 3 AÑOS"/>
    <s v="PADD 2023 Y 2024"/>
    <x v="56"/>
    <s v="601334 Secundaria"/>
  </r>
  <r>
    <n v="2154"/>
    <x v="3"/>
    <s v="Secundaria"/>
    <x v="3"/>
    <x v="47"/>
    <s v="Rural"/>
    <s v="Masculino"/>
    <x v="0"/>
    <x v="1"/>
    <s v="LOS 3 AÑOS"/>
    <s v="PADD 2023 Y 2024"/>
    <x v="56"/>
    <s v="601334 Secundaria"/>
  </r>
  <r>
    <n v="2155"/>
    <x v="3"/>
    <s v="Secundaria"/>
    <x v="3"/>
    <x v="47"/>
    <s v="Rural"/>
    <s v="Masculino"/>
    <x v="0"/>
    <x v="1"/>
    <s v="LOS 3 AÑOS"/>
    <s v="PADD 2023 Y 2024"/>
    <x v="56"/>
    <s v="601334 Secundaria"/>
  </r>
  <r>
    <n v="2156"/>
    <x v="3"/>
    <s v="Secundaria"/>
    <x v="3"/>
    <x v="47"/>
    <s v="Rural"/>
    <s v="Masculino"/>
    <x v="0"/>
    <x v="1"/>
    <s v="LOS 3 AÑOS"/>
    <s v="PADD 2023 Y 2024"/>
    <x v="56"/>
    <s v="601334 Secundaria"/>
  </r>
  <r>
    <n v="2157"/>
    <x v="3"/>
    <s v="Primaria"/>
    <x v="1"/>
    <x v="35"/>
    <s v="Rural"/>
    <s v="Femenino"/>
    <x v="0"/>
    <x v="1"/>
    <s v="LOS 3 AÑOS"/>
    <s v="SOLO 2023"/>
    <x v="55"/>
    <s v="6013316 Primaria"/>
  </r>
  <r>
    <n v="2158"/>
    <x v="3"/>
    <s v="Primaria"/>
    <x v="1"/>
    <x v="35"/>
    <s v="Rural"/>
    <s v="Masculino"/>
    <x v="0"/>
    <x v="1"/>
    <s v="LOS 3 AÑOS"/>
    <s v="SOLO 2023"/>
    <x v="55"/>
    <s v="6013316 Primaria"/>
  </r>
  <r>
    <n v="2159"/>
    <x v="3"/>
    <s v="Primaria"/>
    <x v="1"/>
    <x v="35"/>
    <s v="Rural"/>
    <s v="Masculino"/>
    <x v="0"/>
    <x v="1"/>
    <s v="LOS 3 AÑOS"/>
    <s v="SOLO 2023"/>
    <x v="55"/>
    <s v="6013316 Primaria"/>
  </r>
  <r>
    <n v="2160"/>
    <x v="3"/>
    <s v="Primaria"/>
    <x v="1"/>
    <x v="35"/>
    <s v="Rural"/>
    <s v="Masculino"/>
    <x v="0"/>
    <x v="1"/>
    <s v="LOS 3 AÑOS"/>
    <s v="SOLO 2023"/>
    <x v="55"/>
    <s v="6013316 Primaria"/>
  </r>
  <r>
    <n v="2161"/>
    <x v="3"/>
    <s v="Primaria"/>
    <x v="1"/>
    <x v="35"/>
    <s v="Rural"/>
    <s v="Femenino"/>
    <x v="0"/>
    <x v="1"/>
    <s v="LOS 3 AÑOS"/>
    <s v="SOLO 2023"/>
    <x v="55"/>
    <s v="6013316 Primaria"/>
  </r>
  <r>
    <n v="2162"/>
    <x v="3"/>
    <s v="Primaria"/>
    <x v="1"/>
    <x v="35"/>
    <s v="Rural"/>
    <s v="Femenino"/>
    <x v="0"/>
    <x v="1"/>
    <s v="LOS 3 AÑOS"/>
    <s v="SOLO 2023"/>
    <x v="55"/>
    <s v="6013316 Primaria"/>
  </r>
  <r>
    <n v="2163"/>
    <x v="3"/>
    <s v="Primaria"/>
    <x v="1"/>
    <x v="35"/>
    <s v="Rural"/>
    <s v="Femenino"/>
    <x v="0"/>
    <x v="1"/>
    <s v="LOS 3 AÑOS"/>
    <s v="SOLO 2023"/>
    <x v="55"/>
    <s v="6013316 Primaria"/>
  </r>
  <r>
    <n v="2164"/>
    <x v="3"/>
    <s v="Primaria"/>
    <x v="1"/>
    <x v="35"/>
    <s v="Rural"/>
    <s v="Masculino"/>
    <x v="0"/>
    <x v="1"/>
    <s v="LOS 3 AÑOS"/>
    <s v="SOLO 2023"/>
    <x v="55"/>
    <s v="6013316 Primaria"/>
  </r>
  <r>
    <n v="2165"/>
    <x v="3"/>
    <s v="Primaria"/>
    <x v="1"/>
    <x v="35"/>
    <s v="Rural"/>
    <s v="Femenino"/>
    <x v="0"/>
    <x v="1"/>
    <s v="LOS 3 AÑOS"/>
    <s v="SOLO 2023"/>
    <x v="55"/>
    <s v="6013316 Primaria"/>
  </r>
  <r>
    <n v="2166"/>
    <x v="3"/>
    <s v="Primaria"/>
    <x v="1"/>
    <x v="39"/>
    <s v="Rural"/>
    <s v="Masculino"/>
    <x v="0"/>
    <x v="1"/>
    <s v="LOS 3 AÑOS"/>
    <s v="PADD 2023 Y 2024"/>
    <x v="57"/>
    <s v="6010230 BARBARA D'ACHILLE6 Primaria"/>
  </r>
  <r>
    <n v="2167"/>
    <x v="3"/>
    <s v="Primaria"/>
    <x v="1"/>
    <x v="39"/>
    <s v="Rural"/>
    <s v="Femenino"/>
    <x v="0"/>
    <x v="1"/>
    <s v="LOS 3 AÑOS"/>
    <s v="PADD 2023 Y 2024"/>
    <x v="57"/>
    <s v="6010230 BARBARA D'ACHILLE6 Primaria"/>
  </r>
  <r>
    <n v="2168"/>
    <x v="3"/>
    <s v="Primaria"/>
    <x v="1"/>
    <x v="39"/>
    <s v="Rural"/>
    <s v="Masculino"/>
    <x v="0"/>
    <x v="1"/>
    <s v="LOS 3 AÑOS"/>
    <s v="PADD 2023 Y 2024"/>
    <x v="57"/>
    <s v="6010230 BARBARA D'ACHILLE6 Primaria"/>
  </r>
  <r>
    <n v="2169"/>
    <x v="3"/>
    <s v="Primaria"/>
    <x v="1"/>
    <x v="39"/>
    <s v="Rural"/>
    <s v="Masculino"/>
    <x v="0"/>
    <x v="1"/>
    <s v="LOS 3 AÑOS"/>
    <s v="PADD 2023 Y 2024"/>
    <x v="57"/>
    <s v="6010230 BARBARA D'ACHILLE6 Primaria"/>
  </r>
  <r>
    <n v="2170"/>
    <x v="3"/>
    <s v="Primaria"/>
    <x v="1"/>
    <x v="47"/>
    <s v="Rural"/>
    <s v="Masculino"/>
    <x v="0"/>
    <x v="1"/>
    <s v="LOS 3 AÑOS"/>
    <s v="PADD 2023 Y 2024"/>
    <x v="56"/>
    <s v="601336 Primaria"/>
  </r>
  <r>
    <n v="2171"/>
    <x v="3"/>
    <s v="Primaria"/>
    <x v="1"/>
    <x v="47"/>
    <s v="Rural"/>
    <s v="Masculino"/>
    <x v="0"/>
    <x v="1"/>
    <s v="LOS 3 AÑOS"/>
    <s v="PADD 2023 Y 2024"/>
    <x v="56"/>
    <s v="601336 Primaria"/>
  </r>
  <r>
    <n v="2172"/>
    <x v="3"/>
    <s v="Primaria"/>
    <x v="1"/>
    <x v="47"/>
    <s v="Rural"/>
    <s v="Masculino"/>
    <x v="1"/>
    <x v="1"/>
    <s v="LOS 3 AÑOS"/>
    <s v="PADD 2023 Y 2024"/>
    <x v="56"/>
    <s v="601336 Primaria"/>
  </r>
  <r>
    <n v="2731"/>
    <x v="4"/>
    <s v="Primaria"/>
    <x v="4"/>
    <x v="54"/>
    <s v="Rural"/>
    <s v="Femenino"/>
    <x v="0"/>
    <x v="1"/>
    <s v="SOLO LINEA BASE"/>
    <s v="NO PARTICIPÓ"/>
    <x v="59"/>
    <s v="88225 CAPTUY2 Primaria"/>
  </r>
  <r>
    <n v="2732"/>
    <x v="4"/>
    <s v="Primaria"/>
    <x v="4"/>
    <x v="48"/>
    <s v="Rural"/>
    <s v="Masculino"/>
    <x v="0"/>
    <x v="1"/>
    <s v="LOS 3 AÑOS"/>
    <s v="SOLO 2023"/>
    <x v="60"/>
    <s v="868092 Primaria"/>
  </r>
  <r>
    <n v="2733"/>
    <x v="4"/>
    <s v="Primaria"/>
    <x v="4"/>
    <x v="50"/>
    <s v="Rural"/>
    <s v="Masculino"/>
    <x v="0"/>
    <x v="1"/>
    <s v="SOLO 2022 Y 2024"/>
    <s v="PADD 2023 Y 2024"/>
    <x v="51"/>
    <s v="883272 Primaria"/>
  </r>
  <r>
    <n v="2734"/>
    <x v="4"/>
    <s v="Secundaria"/>
    <x v="2"/>
    <x v="49"/>
    <s v="Rural"/>
    <s v="Femenino"/>
    <x v="0"/>
    <x v="1"/>
    <s v="SOLO 2022 Y 2024"/>
    <s v="PADD 2023 Y 2024"/>
    <x v="50"/>
    <s v="86548 JOSE MARIA VELAZ2 Secundaria"/>
  </r>
  <r>
    <n v="2735"/>
    <x v="4"/>
    <s v="Secundaria"/>
    <x v="2"/>
    <x v="49"/>
    <s v="Rural"/>
    <s v="Femenino"/>
    <x v="0"/>
    <x v="1"/>
    <s v="SOLO 2022 Y 2024"/>
    <s v="PADD 2023 Y 2024"/>
    <x v="50"/>
    <s v="86548 JOSE MARIA VELAZ2 Secundaria"/>
  </r>
  <r>
    <n v="2736"/>
    <x v="4"/>
    <s v="Secundaria"/>
    <x v="2"/>
    <x v="49"/>
    <s v="Rural"/>
    <s v="Femenino"/>
    <x v="0"/>
    <x v="1"/>
    <s v="SOLO 2022 Y 2024"/>
    <s v="PADD 2023 Y 2024"/>
    <x v="50"/>
    <s v="86548 JOSE MARIA VELAZ2 Secundaria"/>
  </r>
  <r>
    <n v="2737"/>
    <x v="4"/>
    <s v="Secundaria"/>
    <x v="2"/>
    <x v="49"/>
    <s v="Rural"/>
    <s v="Masculino"/>
    <x v="0"/>
    <x v="1"/>
    <s v="SOLO 2022 Y 2024"/>
    <s v="PADD 2023 Y 2024"/>
    <x v="50"/>
    <s v="86548 JOSE MARIA VELAZ2 Secundaria"/>
  </r>
  <r>
    <n v="2738"/>
    <x v="4"/>
    <s v="Secundaria"/>
    <x v="2"/>
    <x v="49"/>
    <s v="Rural"/>
    <s v="Femenino"/>
    <x v="0"/>
    <x v="1"/>
    <s v="SOLO 2022 Y 2024"/>
    <s v="PADD 2023 Y 2024"/>
    <x v="50"/>
    <s v="86548 JOSE MARIA VELAZ2 Secundaria"/>
  </r>
  <r>
    <n v="2739"/>
    <x v="4"/>
    <s v="Secundaria"/>
    <x v="2"/>
    <x v="52"/>
    <s v="Rural"/>
    <s v="Femenino"/>
    <x v="0"/>
    <x v="1"/>
    <s v="SOLO 2022 Y 2024"/>
    <s v="SOLO 2024"/>
    <x v="61"/>
    <s v="86769 ABRAHAM VALDELOMAR2 Secundaria"/>
  </r>
  <r>
    <n v="2740"/>
    <x v="4"/>
    <s v="Secundaria"/>
    <x v="2"/>
    <x v="52"/>
    <s v="Rural"/>
    <s v="Femenino"/>
    <x v="0"/>
    <x v="1"/>
    <s v="SOLO 2022 Y 2024"/>
    <s v="SOLO 2024"/>
    <x v="61"/>
    <s v="86769 ABRAHAM VALDELOMAR2 Secundaria"/>
  </r>
  <r>
    <n v="2741"/>
    <x v="4"/>
    <s v="Secundaria"/>
    <x v="2"/>
    <x v="52"/>
    <s v="Rural"/>
    <s v="Masculino"/>
    <x v="0"/>
    <x v="1"/>
    <s v="SOLO 2022 Y 2024"/>
    <s v="SOLO 2024"/>
    <x v="61"/>
    <s v="86769 ABRAHAM VALDELOMAR2 Secundaria"/>
  </r>
  <r>
    <n v="2742"/>
    <x v="4"/>
    <s v="Primaria"/>
    <x v="0"/>
    <x v="54"/>
    <s v="Rural"/>
    <s v="Masculino"/>
    <x v="0"/>
    <x v="1"/>
    <s v="SOLO LINEA BASE"/>
    <s v="NO PARTICIPÓ"/>
    <x v="59"/>
    <s v="88225 CAPTUY4 Primaria"/>
  </r>
  <r>
    <n v="2743"/>
    <x v="4"/>
    <s v="Primaria"/>
    <x v="0"/>
    <x v="54"/>
    <s v="Rural"/>
    <s v="Femenino"/>
    <x v="0"/>
    <x v="1"/>
    <s v="SOLO LINEA BASE"/>
    <s v="NO PARTICIPÓ"/>
    <x v="59"/>
    <s v="88225 CAPTUY4 Primaria"/>
  </r>
  <r>
    <n v="2744"/>
    <x v="4"/>
    <s v="Primaria"/>
    <x v="0"/>
    <x v="54"/>
    <s v="Rural"/>
    <s v="Masculino"/>
    <x v="0"/>
    <x v="1"/>
    <s v="SOLO LINEA BASE"/>
    <s v="NO PARTICIPÓ"/>
    <x v="59"/>
    <s v="88225 CAPTUY4 Primaria"/>
  </r>
  <r>
    <n v="2745"/>
    <x v="4"/>
    <s v="Primaria"/>
    <x v="0"/>
    <x v="48"/>
    <s v="Rural"/>
    <s v="Masculino"/>
    <x v="0"/>
    <x v="1"/>
    <s v="LOS 3 AÑOS"/>
    <s v="SOLO 2023"/>
    <x v="60"/>
    <s v="868094 Primaria"/>
  </r>
  <r>
    <n v="2746"/>
    <x v="4"/>
    <s v="Primaria"/>
    <x v="0"/>
    <x v="52"/>
    <s v="Rural"/>
    <s v="Masculino"/>
    <x v="0"/>
    <x v="1"/>
    <s v="SOLO 2022 Y 2024"/>
    <s v="SOLO 2024"/>
    <x v="61"/>
    <s v="86769 ABRAHAM VALDELOMAR4 Primaria"/>
  </r>
  <r>
    <n v="2747"/>
    <x v="4"/>
    <s v="Primaria"/>
    <x v="0"/>
    <x v="52"/>
    <s v="Rural"/>
    <s v="Masculino"/>
    <x v="0"/>
    <x v="1"/>
    <s v="SOLO 2022 Y 2024"/>
    <s v="SOLO 2024"/>
    <x v="61"/>
    <s v="86769 ABRAHAM VALDELOMAR4 Primaria"/>
  </r>
  <r>
    <n v="2748"/>
    <x v="4"/>
    <s v="Primaria"/>
    <x v="0"/>
    <x v="52"/>
    <s v="Rural"/>
    <s v="Masculino"/>
    <x v="0"/>
    <x v="1"/>
    <s v="SOLO 2022 Y 2024"/>
    <s v="SOLO 2024"/>
    <x v="61"/>
    <s v="86769 ABRAHAM VALDELOMAR4 Primaria"/>
  </r>
  <r>
    <n v="2749"/>
    <x v="4"/>
    <s v="Secundaria"/>
    <x v="3"/>
    <x v="49"/>
    <s v="Rural"/>
    <s v="Femenino"/>
    <x v="0"/>
    <x v="1"/>
    <s v="SOLO 2022 Y 2024"/>
    <s v="PADD 2023 Y 2024"/>
    <x v="50"/>
    <s v="86548 JOSE MARIA VELAZ4 Secundaria"/>
  </r>
  <r>
    <n v="2750"/>
    <x v="4"/>
    <s v="Secundaria"/>
    <x v="3"/>
    <x v="49"/>
    <s v="Rural"/>
    <s v="Femenino"/>
    <x v="0"/>
    <x v="1"/>
    <s v="SOLO 2022 Y 2024"/>
    <s v="PADD 2023 Y 2024"/>
    <x v="50"/>
    <s v="86548 JOSE MARIA VELAZ4 Secundaria"/>
  </r>
  <r>
    <n v="2751"/>
    <x v="4"/>
    <s v="Primaria"/>
    <x v="1"/>
    <x v="54"/>
    <s v="Rural"/>
    <s v="Femenino"/>
    <x v="1"/>
    <x v="1"/>
    <s v="SOLO LINEA BASE"/>
    <s v="NO PARTICIPÓ"/>
    <x v="59"/>
    <s v="88225 CAPTUY6 Primaria"/>
  </r>
  <r>
    <n v="2752"/>
    <x v="4"/>
    <s v="Primaria"/>
    <x v="1"/>
    <x v="54"/>
    <s v="Rural"/>
    <s v="Femenino"/>
    <x v="1"/>
    <x v="1"/>
    <s v="SOLO LINEA BASE"/>
    <s v="NO PARTICIPÓ"/>
    <x v="59"/>
    <s v="88225 CAPTUY6 Primaria"/>
  </r>
  <r>
    <n v="2753"/>
    <x v="4"/>
    <s v="Primaria"/>
    <x v="1"/>
    <x v="54"/>
    <s v="Rural"/>
    <s v="Femenino"/>
    <x v="1"/>
    <x v="1"/>
    <s v="SOLO LINEA BASE"/>
    <s v="NO PARTICIPÓ"/>
    <x v="59"/>
    <s v="88225 CAPTUY6 Primaria"/>
  </r>
  <r>
    <n v="2754"/>
    <x v="4"/>
    <s v="Primaria"/>
    <x v="1"/>
    <x v="54"/>
    <s v="Rural"/>
    <s v="Masculino"/>
    <x v="1"/>
    <x v="1"/>
    <s v="SOLO LINEA BASE"/>
    <s v="NO PARTICIPÓ"/>
    <x v="59"/>
    <s v="88225 CAPTUY6 Primaria"/>
  </r>
  <r>
    <n v="2755"/>
    <x v="4"/>
    <s v="Primaria"/>
    <x v="1"/>
    <x v="54"/>
    <s v="Rural"/>
    <s v="Masculino"/>
    <x v="1"/>
    <x v="1"/>
    <s v="SOLO LINEA BASE"/>
    <s v="NO PARTICIPÓ"/>
    <x v="59"/>
    <s v="88225 CAPTUY6 Primaria"/>
  </r>
  <r>
    <n v="2756"/>
    <x v="4"/>
    <s v="Primaria"/>
    <x v="1"/>
    <x v="54"/>
    <s v="Rural"/>
    <s v="Masculino"/>
    <x v="1"/>
    <x v="1"/>
    <s v="SOLO LINEA BASE"/>
    <s v="NO PARTICIPÓ"/>
    <x v="59"/>
    <s v="88225 CAPTUY6 Primaria"/>
  </r>
  <r>
    <n v="2757"/>
    <x v="4"/>
    <s v="Primaria"/>
    <x v="1"/>
    <x v="54"/>
    <s v="Rural"/>
    <s v="Masculino"/>
    <x v="1"/>
    <x v="1"/>
    <s v="SOLO LINEA BASE"/>
    <s v="NO PARTICIPÓ"/>
    <x v="59"/>
    <s v="88225 CAPTUY6 Primaria"/>
  </r>
  <r>
    <n v="2758"/>
    <x v="4"/>
    <s v="Primaria"/>
    <x v="1"/>
    <x v="54"/>
    <s v="Rural"/>
    <s v="Masculino"/>
    <x v="1"/>
    <x v="1"/>
    <s v="SOLO LINEA BASE"/>
    <s v="NO PARTICIPÓ"/>
    <x v="59"/>
    <s v="88225 CAPTUY6 Primaria"/>
  </r>
  <r>
    <n v="2759"/>
    <x v="4"/>
    <s v="Primaria"/>
    <x v="1"/>
    <x v="54"/>
    <s v="Rural"/>
    <s v="Femenino"/>
    <x v="1"/>
    <x v="1"/>
    <s v="SOLO LINEA BASE"/>
    <s v="NO PARTICIPÓ"/>
    <x v="59"/>
    <s v="88225 CAPTUY6 Primaria"/>
  </r>
  <r>
    <n v="2760"/>
    <x v="4"/>
    <s v="Primaria"/>
    <x v="1"/>
    <x v="54"/>
    <s v="Rural"/>
    <s v="Masculino"/>
    <x v="1"/>
    <x v="1"/>
    <s v="SOLO LINEA BASE"/>
    <s v="NO PARTICIPÓ"/>
    <x v="59"/>
    <s v="88225 CAPTUY6 Primaria"/>
  </r>
  <r>
    <n v="2761"/>
    <x v="4"/>
    <s v="Primaria"/>
    <x v="1"/>
    <x v="48"/>
    <s v="Rural"/>
    <s v="Masculino"/>
    <x v="1"/>
    <x v="1"/>
    <s v="LOS 3 AÑOS"/>
    <s v="SOLO 2023"/>
    <x v="62"/>
    <s v="868096 Primaria"/>
  </r>
  <r>
    <n v="2762"/>
    <x v="4"/>
    <s v="Primaria"/>
    <x v="1"/>
    <x v="48"/>
    <s v="Rural"/>
    <s v="Femenino"/>
    <x v="0"/>
    <x v="1"/>
    <s v="LOS 3 AÑOS"/>
    <s v="SOLO 2023"/>
    <x v="62"/>
    <s v="868096 Primaria"/>
  </r>
  <r>
    <n v="2763"/>
    <x v="4"/>
    <s v="Primaria"/>
    <x v="1"/>
    <x v="48"/>
    <s v="Rural"/>
    <s v="Masculino"/>
    <x v="1"/>
    <x v="1"/>
    <s v="LOS 3 AÑOS"/>
    <s v="SOLO 2023"/>
    <x v="62"/>
    <s v="868096 Primaria"/>
  </r>
  <r>
    <n v="2764"/>
    <x v="4"/>
    <s v="Primaria"/>
    <x v="1"/>
    <x v="48"/>
    <s v="Rural"/>
    <s v="Masculino"/>
    <x v="1"/>
    <x v="1"/>
    <s v="LOS 3 AÑOS"/>
    <s v="SOLO 2023"/>
    <x v="62"/>
    <s v="868096 Primaria"/>
  </r>
  <r>
    <n v="2765"/>
    <x v="4"/>
    <s v="Primaria"/>
    <x v="1"/>
    <x v="50"/>
    <s v="Rural"/>
    <s v="Masculino"/>
    <x v="0"/>
    <x v="1"/>
    <s v="SOLO 2022 Y 2024"/>
    <s v="PADD 2023 Y 2024"/>
    <x v="51"/>
    <s v="883276 Primaria"/>
  </r>
  <r>
    <n v="2766"/>
    <x v="4"/>
    <s v="Primaria"/>
    <x v="1"/>
    <x v="50"/>
    <s v="Rural"/>
    <s v="Masculino"/>
    <x v="1"/>
    <x v="1"/>
    <s v="SOLO 2022 Y 2024"/>
    <s v="PADD 2023 Y 2024"/>
    <x v="51"/>
    <s v="883276 Primaria"/>
  </r>
  <r>
    <n v="2767"/>
    <x v="4"/>
    <s v="Primaria"/>
    <x v="1"/>
    <x v="52"/>
    <s v="Rural"/>
    <s v="Masculino"/>
    <x v="0"/>
    <x v="1"/>
    <s v="SOLO 2022 Y 2024"/>
    <s v="SOLO 2024"/>
    <x v="61"/>
    <s v="86769 ABRAHAM VALDELOMAR6 Primaria"/>
  </r>
  <r>
    <n v="3349"/>
    <x v="1"/>
    <s v="Primaria"/>
    <x v="4"/>
    <x v="55"/>
    <s v="Rural"/>
    <s v="Masculino"/>
    <x v="1"/>
    <x v="1"/>
    <s v="OTROS ESCENARIOS"/>
    <s v="SOLO 2023"/>
    <x v="63"/>
    <s v="643462 Primaria"/>
  </r>
  <r>
    <n v="3350"/>
    <x v="1"/>
    <s v="Primaria"/>
    <x v="4"/>
    <x v="16"/>
    <s v="Rural"/>
    <s v="Masculino"/>
    <x v="1"/>
    <x v="1"/>
    <s v="SOLO 2022 Y 2024"/>
    <s v="SOLO 2023"/>
    <x v="64"/>
    <s v="641152 Primaria"/>
  </r>
  <r>
    <n v="3351"/>
    <x v="1"/>
    <s v="Primaria"/>
    <x v="4"/>
    <x v="16"/>
    <s v="Rural"/>
    <s v="Masculino"/>
    <x v="1"/>
    <x v="1"/>
    <s v="SOLO 2022 Y 2024"/>
    <s v="SOLO 2023"/>
    <x v="64"/>
    <s v="641152 Primaria"/>
  </r>
  <r>
    <n v="3352"/>
    <x v="1"/>
    <s v="Primaria"/>
    <x v="4"/>
    <x v="16"/>
    <s v="Rural"/>
    <s v="Femenino"/>
    <x v="1"/>
    <x v="1"/>
    <s v="SOLO 2022 Y 2024"/>
    <s v="SOLO 2023"/>
    <x v="64"/>
    <s v="641152 Primaria"/>
  </r>
  <r>
    <n v="3353"/>
    <x v="1"/>
    <s v="Primaria"/>
    <x v="4"/>
    <x v="16"/>
    <s v="Rural"/>
    <s v="Masculino"/>
    <x v="1"/>
    <x v="1"/>
    <s v="SOLO 2022 Y 2024"/>
    <s v="SOLO 2023"/>
    <x v="64"/>
    <s v="641152 Primaria"/>
  </r>
  <r>
    <n v="3354"/>
    <x v="1"/>
    <s v="Primaria"/>
    <x v="4"/>
    <x v="22"/>
    <s v="Rural"/>
    <s v="Masculino"/>
    <x v="1"/>
    <x v="1"/>
    <s v="LOS 3 AÑOS"/>
    <s v="PADD 2023 Y 2024"/>
    <x v="65"/>
    <s v="640282 Primaria"/>
  </r>
  <r>
    <n v="3355"/>
    <x v="1"/>
    <s v="Primaria"/>
    <x v="4"/>
    <x v="22"/>
    <s v="Rural"/>
    <s v="Femenino"/>
    <x v="1"/>
    <x v="1"/>
    <s v="LOS 3 AÑOS"/>
    <s v="PADD 2023 Y 2024"/>
    <x v="65"/>
    <s v="640282 Primaria"/>
  </r>
  <r>
    <n v="3356"/>
    <x v="1"/>
    <s v="Primaria"/>
    <x v="4"/>
    <x v="22"/>
    <s v="Rural"/>
    <s v="Femenino"/>
    <x v="1"/>
    <x v="1"/>
    <s v="LOS 3 AÑOS"/>
    <s v="PADD 2023 Y 2024"/>
    <x v="65"/>
    <s v="640282 Primaria"/>
  </r>
  <r>
    <n v="3357"/>
    <x v="1"/>
    <s v="Primaria"/>
    <x v="4"/>
    <x v="22"/>
    <s v="Rural"/>
    <s v="Femenino"/>
    <x v="2"/>
    <x v="1"/>
    <s v="LOS 3 AÑOS"/>
    <s v="PADD 2023 Y 2024"/>
    <x v="65"/>
    <s v="640282 Primaria"/>
  </r>
  <r>
    <n v="3358"/>
    <x v="1"/>
    <s v="Primaria"/>
    <x v="0"/>
    <x v="56"/>
    <s v="Rural"/>
    <s v="Masculino"/>
    <x v="2"/>
    <x v="1"/>
    <s v="SOLO LINEA BASE"/>
    <s v="SOLO 2024"/>
    <x v="66"/>
    <s v="651994 Primaria"/>
  </r>
  <r>
    <n v="3359"/>
    <x v="1"/>
    <s v="Primaria"/>
    <x v="0"/>
    <x v="57"/>
    <s v="Rural"/>
    <s v="Masculino"/>
    <x v="1"/>
    <x v="1"/>
    <s v="SOLO LINEA BASE"/>
    <s v="PADD 2023 Y 2024"/>
    <x v="67"/>
    <s v="648294 Primaria"/>
  </r>
  <r>
    <n v="3360"/>
    <x v="1"/>
    <s v="Primaria"/>
    <x v="0"/>
    <x v="56"/>
    <s v="Rural"/>
    <s v="Femenino"/>
    <x v="2"/>
    <x v="1"/>
    <s v="SOLO LINEA BASE"/>
    <s v="SOLO 2024"/>
    <x v="66"/>
    <s v="651994 Primaria"/>
  </r>
  <r>
    <n v="3361"/>
    <x v="1"/>
    <s v="Primaria"/>
    <x v="0"/>
    <x v="16"/>
    <s v="Rural"/>
    <s v="Masculino"/>
    <x v="2"/>
    <x v="1"/>
    <s v="SOLO 2022 Y 2024"/>
    <s v="SOLO 2023"/>
    <x v="64"/>
    <s v="641154 Primaria"/>
  </r>
  <r>
    <n v="3362"/>
    <x v="1"/>
    <s v="Primaria"/>
    <x v="0"/>
    <x v="56"/>
    <s v="Rural"/>
    <s v="Femenino"/>
    <x v="2"/>
    <x v="1"/>
    <s v="SOLO LINEA BASE"/>
    <s v="SOLO 2024"/>
    <x v="66"/>
    <s v="651994 Primaria"/>
  </r>
  <r>
    <n v="3363"/>
    <x v="1"/>
    <s v="Primaria"/>
    <x v="0"/>
    <x v="56"/>
    <s v="Rural"/>
    <s v="Femenino"/>
    <x v="2"/>
    <x v="1"/>
    <s v="SOLO LINEA BASE"/>
    <s v="SOLO 2024"/>
    <x v="66"/>
    <s v="651994 Primaria"/>
  </r>
  <r>
    <n v="3364"/>
    <x v="1"/>
    <s v="Primaria"/>
    <x v="0"/>
    <x v="15"/>
    <s v="Rural"/>
    <s v="Masculino"/>
    <x v="1"/>
    <x v="1"/>
    <s v="SOLO 2022 Y 2024"/>
    <s v="SOLO 2024"/>
    <x v="68"/>
    <s v="640484 Primaria"/>
  </r>
  <r>
    <n v="3365"/>
    <x v="1"/>
    <s v="Primaria"/>
    <x v="0"/>
    <x v="15"/>
    <s v="Rural"/>
    <s v="Masculino"/>
    <x v="1"/>
    <x v="1"/>
    <s v="SOLO 2022 Y 2024"/>
    <s v="SOLO 2024"/>
    <x v="68"/>
    <s v="640484 Primaria"/>
  </r>
  <r>
    <n v="3366"/>
    <x v="1"/>
    <s v="Primaria"/>
    <x v="0"/>
    <x v="22"/>
    <s v="Rural"/>
    <s v="Masculino"/>
    <x v="1"/>
    <x v="1"/>
    <s v="LOS 3 AÑOS"/>
    <s v="PADD 2023 Y 2024"/>
    <x v="65"/>
    <s v="640284 Primaria"/>
  </r>
  <r>
    <n v="3367"/>
    <x v="1"/>
    <s v="Primaria"/>
    <x v="0"/>
    <x v="22"/>
    <s v="Rural"/>
    <s v="Masculino"/>
    <x v="1"/>
    <x v="1"/>
    <s v="LOS 3 AÑOS"/>
    <s v="PADD 2023 Y 2024"/>
    <x v="65"/>
    <s v="640284 Primaria"/>
  </r>
  <r>
    <n v="3368"/>
    <x v="1"/>
    <s v="Primaria"/>
    <x v="0"/>
    <x v="22"/>
    <s v="Rural"/>
    <s v="Masculino"/>
    <x v="2"/>
    <x v="1"/>
    <s v="LOS 3 AÑOS"/>
    <s v="PADD 2023 Y 2024"/>
    <x v="65"/>
    <s v="640284 Primaria"/>
  </r>
  <r>
    <n v="3369"/>
    <x v="1"/>
    <s v="Primaria"/>
    <x v="0"/>
    <x v="22"/>
    <s v="Rural"/>
    <s v="Femenino"/>
    <x v="1"/>
    <x v="1"/>
    <s v="LOS 3 AÑOS"/>
    <s v="PADD 2023 Y 2024"/>
    <x v="65"/>
    <s v="640284 Primaria"/>
  </r>
  <r>
    <n v="3370"/>
    <x v="1"/>
    <s v="Primaria"/>
    <x v="0"/>
    <x v="22"/>
    <s v="Rural"/>
    <s v="Femenino"/>
    <x v="2"/>
    <x v="1"/>
    <s v="LOS 3 AÑOS"/>
    <s v="PADD 2023 Y 2024"/>
    <x v="65"/>
    <s v="640284 Primaria"/>
  </r>
  <r>
    <n v="3371"/>
    <x v="1"/>
    <s v="Primaria"/>
    <x v="0"/>
    <x v="22"/>
    <s v="Rural"/>
    <s v="Femenino"/>
    <x v="1"/>
    <x v="1"/>
    <s v="LOS 3 AÑOS"/>
    <s v="PADD 2023 Y 2024"/>
    <x v="65"/>
    <s v="640284 Primaria"/>
  </r>
  <r>
    <n v="3372"/>
    <x v="1"/>
    <s v="Primaria"/>
    <x v="0"/>
    <x v="22"/>
    <s v="Rural"/>
    <s v="Femenino"/>
    <x v="1"/>
    <x v="1"/>
    <s v="LOS 3 AÑOS"/>
    <s v="PADD 2023 Y 2024"/>
    <x v="65"/>
    <s v="640284 Primaria"/>
  </r>
  <r>
    <n v="3373"/>
    <x v="1"/>
    <s v="Primaria"/>
    <x v="0"/>
    <x v="22"/>
    <s v="Rural"/>
    <s v="Femenino"/>
    <x v="2"/>
    <x v="1"/>
    <s v="LOS 3 AÑOS"/>
    <s v="PADD 2023 Y 2024"/>
    <x v="65"/>
    <s v="640284 Primaria"/>
  </r>
  <r>
    <n v="3374"/>
    <x v="1"/>
    <s v="Primaria"/>
    <x v="0"/>
    <x v="22"/>
    <s v="Rural"/>
    <s v="Femenino"/>
    <x v="2"/>
    <x v="1"/>
    <s v="LOS 3 AÑOS"/>
    <s v="PADD 2023 Y 2024"/>
    <x v="65"/>
    <s v="640284 Primaria"/>
  </r>
  <r>
    <n v="3375"/>
    <x v="1"/>
    <s v="Primaria"/>
    <x v="0"/>
    <x v="22"/>
    <s v="Rural"/>
    <s v="Femenino"/>
    <x v="1"/>
    <x v="1"/>
    <s v="LOS 3 AÑOS"/>
    <s v="PADD 2023 Y 2024"/>
    <x v="65"/>
    <s v="640284 Primaria"/>
  </r>
  <r>
    <n v="3376"/>
    <x v="1"/>
    <s v="Primaria"/>
    <x v="0"/>
    <x v="22"/>
    <s v="Rural"/>
    <s v="Femenino"/>
    <x v="2"/>
    <x v="1"/>
    <s v="LOS 3 AÑOS"/>
    <s v="PADD 2023 Y 2024"/>
    <x v="65"/>
    <s v="640284 Primaria"/>
  </r>
  <r>
    <n v="3377"/>
    <x v="1"/>
    <s v="Primaria"/>
    <x v="0"/>
    <x v="22"/>
    <s v="Rural"/>
    <s v="Masculino"/>
    <x v="2"/>
    <x v="1"/>
    <s v="LOS 3 AÑOS"/>
    <s v="PADD 2023 Y 2024"/>
    <x v="65"/>
    <s v="640284 Primaria"/>
  </r>
  <r>
    <n v="3378"/>
    <x v="1"/>
    <s v="Primaria"/>
    <x v="1"/>
    <x v="55"/>
    <s v="Rural"/>
    <s v="Masculino"/>
    <x v="2"/>
    <x v="1"/>
    <s v="OTROS ESCENARIOS"/>
    <s v="SOLO 2023"/>
    <x v="63"/>
    <s v="643466 Primaria"/>
  </r>
  <r>
    <n v="3379"/>
    <x v="1"/>
    <s v="Primaria"/>
    <x v="1"/>
    <x v="57"/>
    <s v="Rural"/>
    <s v="Masculino"/>
    <x v="2"/>
    <x v="1"/>
    <s v="SOLO LINEA BASE"/>
    <s v="PADD 2023 Y 2024"/>
    <x v="67"/>
    <s v="648296 Primaria"/>
  </r>
  <r>
    <n v="3380"/>
    <x v="1"/>
    <s v="Primaria"/>
    <x v="1"/>
    <x v="56"/>
    <s v="Rural"/>
    <s v="Masculino"/>
    <x v="2"/>
    <x v="1"/>
    <s v="SOLO LINEA BASE"/>
    <s v="SOLO 2024"/>
    <x v="66"/>
    <s v="651996 Primaria"/>
  </r>
  <r>
    <n v="3381"/>
    <x v="1"/>
    <s v="Primaria"/>
    <x v="1"/>
    <x v="56"/>
    <s v="Rural"/>
    <s v="Masculino"/>
    <x v="2"/>
    <x v="1"/>
    <s v="SOLO LINEA BASE"/>
    <s v="SOLO 2024"/>
    <x v="66"/>
    <s v="651996 Primaria"/>
  </r>
  <r>
    <n v="3382"/>
    <x v="1"/>
    <s v="Primaria"/>
    <x v="1"/>
    <x v="56"/>
    <s v="Rural"/>
    <s v="Masculino"/>
    <x v="2"/>
    <x v="1"/>
    <s v="SOLO LINEA BASE"/>
    <s v="SOLO 2024"/>
    <x v="66"/>
    <s v="651996 Primaria"/>
  </r>
  <r>
    <n v="3383"/>
    <x v="1"/>
    <s v="Primaria"/>
    <x v="1"/>
    <x v="16"/>
    <s v="Rural"/>
    <s v="Masculino"/>
    <x v="2"/>
    <x v="1"/>
    <s v="SOLO 2022 Y 2024"/>
    <s v="SOLO 2023"/>
    <x v="64"/>
    <s v="641156 Primaria"/>
  </r>
  <r>
    <n v="3384"/>
    <x v="1"/>
    <s v="Primaria"/>
    <x v="1"/>
    <x v="16"/>
    <s v="Rural"/>
    <s v="Femenino"/>
    <x v="1"/>
    <x v="1"/>
    <s v="SOLO 2022 Y 2024"/>
    <s v="SOLO 2023"/>
    <x v="64"/>
    <s v="641156 Primaria"/>
  </r>
  <r>
    <n v="3385"/>
    <x v="1"/>
    <s v="Primaria"/>
    <x v="1"/>
    <x v="15"/>
    <s v="Rural"/>
    <s v="Masculino"/>
    <x v="1"/>
    <x v="1"/>
    <s v="SOLO 2022 Y 2024"/>
    <s v="SOLO 2024"/>
    <x v="68"/>
    <s v="640486 Primaria"/>
  </r>
  <r>
    <n v="3386"/>
    <x v="1"/>
    <s v="Primaria"/>
    <x v="1"/>
    <x v="15"/>
    <s v="Rural"/>
    <s v="Masculino"/>
    <x v="1"/>
    <x v="1"/>
    <s v="SOLO 2022 Y 2024"/>
    <s v="SOLO 2024"/>
    <x v="68"/>
    <s v="640486 Primaria"/>
  </r>
  <r>
    <n v="3387"/>
    <x v="1"/>
    <s v="Primaria"/>
    <x v="1"/>
    <x v="16"/>
    <s v="Rural"/>
    <s v="Femenino"/>
    <x v="1"/>
    <x v="1"/>
    <s v="SOLO 2022 Y 2024"/>
    <s v="SOLO 2023"/>
    <x v="64"/>
    <s v="641156 Primaria"/>
  </r>
  <r>
    <n v="3388"/>
    <x v="1"/>
    <s v="Primaria"/>
    <x v="1"/>
    <x v="15"/>
    <s v="Rural"/>
    <s v="Femenino"/>
    <x v="2"/>
    <x v="1"/>
    <s v="SOLO 2022 Y 2024"/>
    <s v="SOLO 2024"/>
    <x v="68"/>
    <s v="640486 Primaria"/>
  </r>
  <r>
    <n v="3389"/>
    <x v="1"/>
    <s v="Primaria"/>
    <x v="1"/>
    <x v="15"/>
    <s v="Rural"/>
    <s v="Femenino"/>
    <x v="2"/>
    <x v="1"/>
    <s v="SOLO 2022 Y 2024"/>
    <s v="SOLO 2024"/>
    <x v="68"/>
    <s v="640486 Primaria"/>
  </r>
  <r>
    <n v="3390"/>
    <x v="1"/>
    <s v="Primaria"/>
    <x v="1"/>
    <x v="22"/>
    <s v="Rural"/>
    <s v="Masculino"/>
    <x v="1"/>
    <x v="1"/>
    <s v="SOLO 2022 Y 2024"/>
    <s v="PADD 2023 Y 2024"/>
    <x v="65"/>
    <s v="640286 Primaria"/>
  </r>
  <r>
    <n v="3391"/>
    <x v="1"/>
    <s v="Primaria"/>
    <x v="1"/>
    <x v="22"/>
    <s v="Rural"/>
    <s v="Femenino"/>
    <x v="2"/>
    <x v="1"/>
    <s v="SOLO 2022 Y 2024"/>
    <s v="PADD 2023 Y 2024"/>
    <x v="65"/>
    <s v="640286 Primaria"/>
  </r>
  <r>
    <n v="3392"/>
    <x v="1"/>
    <s v="Primaria"/>
    <x v="1"/>
    <x v="22"/>
    <s v="Rural"/>
    <s v="Femenino"/>
    <x v="2"/>
    <x v="1"/>
    <s v="SOLO 2022 Y 2024"/>
    <s v="PADD 2023 Y 2024"/>
    <x v="65"/>
    <s v="640286 Primaria"/>
  </r>
  <r>
    <n v="3393"/>
    <x v="1"/>
    <s v="Primaria"/>
    <x v="1"/>
    <x v="22"/>
    <s v="Rural"/>
    <s v="Masculino"/>
    <x v="2"/>
    <x v="1"/>
    <s v="SOLO 2022 Y 2024"/>
    <s v="PADD 2023 Y 2024"/>
    <x v="65"/>
    <s v="640286 Primaria"/>
  </r>
  <r>
    <n v="3394"/>
    <x v="1"/>
    <s v="Primaria"/>
    <x v="1"/>
    <x v="22"/>
    <s v="Rural"/>
    <s v="Masculino"/>
    <x v="2"/>
    <x v="1"/>
    <s v="SOLO 2022 Y 2024"/>
    <s v="PADD 2023 Y 2024"/>
    <x v="65"/>
    <s v="640286 Primaria"/>
  </r>
  <r>
    <n v="3395"/>
    <x v="1"/>
    <s v="Primaria"/>
    <x v="1"/>
    <x v="22"/>
    <s v="Rural"/>
    <s v="Masculino"/>
    <x v="2"/>
    <x v="1"/>
    <s v="SOLO 2022 Y 2024"/>
    <s v="PADD 2023 Y 2024"/>
    <x v="65"/>
    <s v="640286 Primaria"/>
  </r>
  <r>
    <n v="3396"/>
    <x v="1"/>
    <s v="Primaria"/>
    <x v="1"/>
    <x v="22"/>
    <s v="Rural"/>
    <s v="Femenino"/>
    <x v="2"/>
    <x v="1"/>
    <s v="SOLO 2022 Y 2024"/>
    <s v="PADD 2023 Y 2024"/>
    <x v="65"/>
    <s v="640286 Primaria"/>
  </r>
  <r>
    <n v="3540"/>
    <x v="2"/>
    <s v="Primaria"/>
    <x v="4"/>
    <x v="58"/>
    <s v="Rural"/>
    <s v="Femenino"/>
    <x v="0"/>
    <x v="1"/>
    <s v="SOLO LINEA BASE"/>
    <s v="NO PARTICIPÓ"/>
    <x v="69"/>
    <s v="36161 SAN VICENTE DE PAUL2 Primaria"/>
  </r>
  <r>
    <n v="3541"/>
    <x v="2"/>
    <s v="Primaria"/>
    <x v="4"/>
    <x v="58"/>
    <s v="Rural"/>
    <s v="Femenino"/>
    <x v="0"/>
    <x v="1"/>
    <s v="SOLO LINEA BASE"/>
    <s v="NO PARTICIPÓ"/>
    <x v="69"/>
    <s v="36161 SAN VICENTE DE PAUL2 Primaria"/>
  </r>
  <r>
    <n v="3542"/>
    <x v="2"/>
    <s v="Primaria"/>
    <x v="4"/>
    <x v="58"/>
    <s v="Rural"/>
    <s v="Masculino"/>
    <x v="0"/>
    <x v="1"/>
    <s v="SOLO LINEA BASE"/>
    <s v="NO PARTICIPÓ"/>
    <x v="69"/>
    <s v="36161 SAN VICENTE DE PAUL2 Primaria"/>
  </r>
  <r>
    <n v="3543"/>
    <x v="2"/>
    <s v="Primaria"/>
    <x v="4"/>
    <x v="58"/>
    <s v="Rural"/>
    <s v="Femenino"/>
    <x v="0"/>
    <x v="1"/>
    <s v="SOLO LINEA BASE"/>
    <s v="NO PARTICIPÓ"/>
    <x v="69"/>
    <s v="36161 SAN VICENTE DE PAUL2 Primaria"/>
  </r>
  <r>
    <n v="3544"/>
    <x v="2"/>
    <s v="Primaria"/>
    <x v="4"/>
    <x v="59"/>
    <s v="Rural"/>
    <s v="Femenino"/>
    <x v="0"/>
    <x v="1"/>
    <s v="SOLO LINEA BASE"/>
    <s v="NO PARTICIPÓ"/>
    <x v="70"/>
    <s v="36166 HEROES 29 DE AGOSTO2 Primaria"/>
  </r>
  <r>
    <n v="3545"/>
    <x v="2"/>
    <s v="Primaria"/>
    <x v="4"/>
    <x v="59"/>
    <s v="Rural"/>
    <s v="Femenino"/>
    <x v="1"/>
    <x v="1"/>
    <s v="SOLO LINEA BASE"/>
    <s v="NO PARTICIPÓ"/>
    <x v="70"/>
    <s v="36166 HEROES 29 DE AGOSTO2 Primaria"/>
  </r>
  <r>
    <n v="3546"/>
    <x v="2"/>
    <s v="Primaria"/>
    <x v="4"/>
    <x v="59"/>
    <s v="Rural"/>
    <s v="Femenino"/>
    <x v="0"/>
    <x v="1"/>
    <s v="SOLO LINEA BASE"/>
    <s v="NO PARTICIPÓ"/>
    <x v="70"/>
    <s v="36166 HEROES 29 DE AGOSTO2 Primaria"/>
  </r>
  <r>
    <n v="3547"/>
    <x v="2"/>
    <s v="Primaria"/>
    <x v="4"/>
    <x v="59"/>
    <s v="Rural"/>
    <s v="Masculino"/>
    <x v="0"/>
    <x v="1"/>
    <s v="SOLO LINEA BASE"/>
    <s v="NO PARTICIPÓ"/>
    <x v="70"/>
    <s v="36166 HEROES 29 DE AGOSTO2 Primaria"/>
  </r>
  <r>
    <n v="3548"/>
    <x v="2"/>
    <s v="Primaria"/>
    <x v="4"/>
    <x v="59"/>
    <s v="Rural"/>
    <s v="Femenino"/>
    <x v="0"/>
    <x v="1"/>
    <s v="SOLO LINEA BASE"/>
    <s v="NO PARTICIPÓ"/>
    <x v="70"/>
    <s v="36166 HEROES 29 DE AGOSTO2 Primaria"/>
  </r>
  <r>
    <n v="3549"/>
    <x v="2"/>
    <s v="Primaria"/>
    <x v="4"/>
    <x v="25"/>
    <s v="Rural"/>
    <s v="Femenino"/>
    <x v="0"/>
    <x v="1"/>
    <s v="SOLO 2022 Y 2024"/>
    <s v="PADD 2023 Y 2024"/>
    <x v="25"/>
    <s v="362072 Primaria"/>
  </r>
  <r>
    <n v="3550"/>
    <x v="2"/>
    <s v="Secundaria"/>
    <x v="2"/>
    <x v="60"/>
    <s v="Rural"/>
    <s v="Masculino"/>
    <x v="1"/>
    <x v="1"/>
    <s v="SOLO LINEA BASE"/>
    <s v="SOLO 2023"/>
    <x v="71"/>
    <s v="JORGE CHAVEZ2 Secundaria"/>
  </r>
  <r>
    <n v="3551"/>
    <x v="2"/>
    <s v="Secundaria"/>
    <x v="2"/>
    <x v="60"/>
    <s v="Rural"/>
    <s v="Femenino"/>
    <x v="2"/>
    <x v="1"/>
    <s v="SOLO LINEA BASE"/>
    <s v="SOLO 2023"/>
    <x v="71"/>
    <s v="JORGE CHAVEZ2 Secundaria"/>
  </r>
  <r>
    <n v="3552"/>
    <x v="2"/>
    <s v="Secundaria"/>
    <x v="2"/>
    <x v="60"/>
    <s v="Rural"/>
    <s v="Masculino"/>
    <x v="0"/>
    <x v="1"/>
    <s v="SOLO LINEA BASE"/>
    <s v="SOLO 2023"/>
    <x v="71"/>
    <s v="JORGE CHAVEZ2 Secundaria"/>
  </r>
  <r>
    <n v="3553"/>
    <x v="2"/>
    <s v="Secundaria"/>
    <x v="2"/>
    <x v="60"/>
    <s v="Rural"/>
    <s v="Masculino"/>
    <x v="0"/>
    <x v="1"/>
    <s v="SOLO LINEA BASE"/>
    <s v="SOLO 2023"/>
    <x v="71"/>
    <s v="JORGE CHAVEZ2 Secundaria"/>
  </r>
  <r>
    <n v="3554"/>
    <x v="2"/>
    <s v="Secundaria"/>
    <x v="2"/>
    <x v="60"/>
    <s v="Rural"/>
    <s v="Femenino"/>
    <x v="0"/>
    <x v="1"/>
    <s v="SOLO LINEA BASE"/>
    <s v="SOLO 2023"/>
    <x v="71"/>
    <s v="JORGE CHAVEZ2 Secundaria"/>
  </r>
  <r>
    <n v="3555"/>
    <x v="2"/>
    <s v="Secundaria"/>
    <x v="2"/>
    <x v="60"/>
    <s v="Rural"/>
    <s v="Femenino"/>
    <x v="2"/>
    <x v="1"/>
    <s v="SOLO LINEA BASE"/>
    <s v="SOLO 2023"/>
    <x v="71"/>
    <s v="JORGE CHAVEZ2 Secundaria"/>
  </r>
  <r>
    <n v="3556"/>
    <x v="2"/>
    <s v="Secundaria"/>
    <x v="2"/>
    <x v="60"/>
    <s v="Rural"/>
    <s v="Masculino"/>
    <x v="2"/>
    <x v="1"/>
    <s v="SOLO LINEA BASE"/>
    <s v="SOLO 2023"/>
    <x v="71"/>
    <s v="JORGE CHAVEZ2 Secundaria"/>
  </r>
  <r>
    <n v="3557"/>
    <x v="2"/>
    <s v="Secundaria"/>
    <x v="2"/>
    <x v="60"/>
    <s v="Rural"/>
    <s v="Masculino"/>
    <x v="0"/>
    <x v="1"/>
    <s v="SOLO LINEA BASE"/>
    <s v="SOLO 2023"/>
    <x v="71"/>
    <s v="JORGE CHAVEZ2 Secundaria"/>
  </r>
  <r>
    <n v="3558"/>
    <x v="2"/>
    <s v="Secundaria"/>
    <x v="2"/>
    <x v="60"/>
    <s v="Rural"/>
    <s v="Masculino"/>
    <x v="1"/>
    <x v="1"/>
    <s v="SOLO LINEA BASE"/>
    <s v="SOLO 2023"/>
    <x v="71"/>
    <s v="JORGE CHAVEZ2 Secundaria"/>
  </r>
  <r>
    <n v="3559"/>
    <x v="2"/>
    <s v="Secundaria"/>
    <x v="2"/>
    <x v="60"/>
    <s v="Rural"/>
    <s v="Masculino"/>
    <x v="0"/>
    <x v="1"/>
    <s v="SOLO LINEA BASE"/>
    <s v="SOLO 2023"/>
    <x v="71"/>
    <s v="JORGE CHAVEZ2 Secundaria"/>
  </r>
  <r>
    <n v="3560"/>
    <x v="2"/>
    <s v="Secundaria"/>
    <x v="2"/>
    <x v="60"/>
    <s v="Rural"/>
    <s v="Masculino"/>
    <x v="2"/>
    <x v="1"/>
    <s v="SOLO LINEA BASE"/>
    <s v="SOLO 2023"/>
    <x v="71"/>
    <s v="JORGE CHAVEZ2 Secundaria"/>
  </r>
  <r>
    <n v="3561"/>
    <x v="2"/>
    <s v="Secundaria"/>
    <x v="2"/>
    <x v="60"/>
    <s v="Rural"/>
    <s v="Masculino"/>
    <x v="0"/>
    <x v="1"/>
    <s v="SOLO LINEA BASE"/>
    <s v="SOLO 2023"/>
    <x v="71"/>
    <s v="JORGE CHAVEZ2 Secundaria"/>
  </r>
  <r>
    <n v="3562"/>
    <x v="2"/>
    <s v="Secundaria"/>
    <x v="2"/>
    <x v="60"/>
    <s v="Rural"/>
    <s v="Femenino"/>
    <x v="2"/>
    <x v="1"/>
    <s v="SOLO LINEA BASE"/>
    <s v="SOLO 2023"/>
    <x v="71"/>
    <s v="JORGE CHAVEZ2 Secundaria"/>
  </r>
  <r>
    <n v="3563"/>
    <x v="2"/>
    <s v="Secundaria"/>
    <x v="2"/>
    <x v="60"/>
    <s v="Rural"/>
    <s v="Femenino"/>
    <x v="0"/>
    <x v="1"/>
    <s v="SOLO LINEA BASE"/>
    <s v="SOLO 2023"/>
    <x v="71"/>
    <s v="JORGE CHAVEZ2 Secundaria"/>
  </r>
  <r>
    <n v="3564"/>
    <x v="2"/>
    <s v="Secundaria"/>
    <x v="2"/>
    <x v="60"/>
    <s v="Rural"/>
    <s v="Femenino"/>
    <x v="0"/>
    <x v="1"/>
    <s v="SOLO LINEA BASE"/>
    <s v="SOLO 2023"/>
    <x v="71"/>
    <s v="JORGE CHAVEZ2 Secundaria"/>
  </r>
  <r>
    <n v="3565"/>
    <x v="2"/>
    <s v="Secundaria"/>
    <x v="2"/>
    <x v="60"/>
    <s v="Rural"/>
    <s v="Femenino"/>
    <x v="2"/>
    <x v="1"/>
    <s v="SOLO LINEA BASE"/>
    <s v="SOLO 2023"/>
    <x v="71"/>
    <s v="JORGE CHAVEZ2 Secundaria"/>
  </r>
  <r>
    <n v="3566"/>
    <x v="2"/>
    <s v="Secundaria"/>
    <x v="2"/>
    <x v="61"/>
    <s v="Rural"/>
    <s v="Femenino"/>
    <x v="0"/>
    <x v="1"/>
    <s v="SOLO LINEA BASE"/>
    <s v="NO PARTICIPÓ"/>
    <x v="72"/>
    <s v="JOSE CARLOS MARIATEGUI2 Secundaria"/>
  </r>
  <r>
    <n v="3567"/>
    <x v="2"/>
    <s v="Secundaria"/>
    <x v="2"/>
    <x v="62"/>
    <s v="Rural"/>
    <s v="Masculino"/>
    <x v="1"/>
    <x v="1"/>
    <s v="SOLO LINEA BASE"/>
    <s v="NO PARTICIPÓ"/>
    <x v="73"/>
    <s v="RAMON CASTILLA MARQUEZADO2 Secundaria"/>
  </r>
  <r>
    <n v="3568"/>
    <x v="2"/>
    <s v="Secundaria"/>
    <x v="2"/>
    <x v="62"/>
    <s v="Rural"/>
    <s v="Masculino"/>
    <x v="2"/>
    <x v="1"/>
    <s v="SOLO LINEA BASE"/>
    <s v="NO PARTICIPÓ"/>
    <x v="73"/>
    <s v="RAMON CASTILLA MARQUEZADO2 Secundaria"/>
  </r>
  <r>
    <n v="3569"/>
    <x v="2"/>
    <s v="Secundaria"/>
    <x v="2"/>
    <x v="62"/>
    <s v="Rural"/>
    <s v="Masculino"/>
    <x v="0"/>
    <x v="1"/>
    <s v="SOLO LINEA BASE"/>
    <s v="NO PARTICIPÓ"/>
    <x v="73"/>
    <s v="RAMON CASTILLA MARQUEZADO2 Secundaria"/>
  </r>
  <r>
    <n v="3570"/>
    <x v="2"/>
    <s v="Secundaria"/>
    <x v="2"/>
    <x v="62"/>
    <s v="Rural"/>
    <s v="Femenino"/>
    <x v="2"/>
    <x v="1"/>
    <s v="SOLO LINEA BASE"/>
    <s v="NO PARTICIPÓ"/>
    <x v="73"/>
    <s v="RAMON CASTILLA MARQUEZADO2 Secundaria"/>
  </r>
  <r>
    <n v="3571"/>
    <x v="2"/>
    <s v="Secundaria"/>
    <x v="2"/>
    <x v="62"/>
    <s v="Rural"/>
    <s v="Femenino"/>
    <x v="2"/>
    <x v="1"/>
    <s v="SOLO LINEA BASE"/>
    <s v="NO PARTICIPÓ"/>
    <x v="73"/>
    <s v="RAMON CASTILLA MARQUEZADO2 Secundaria"/>
  </r>
  <r>
    <n v="3572"/>
    <x v="2"/>
    <s v="Secundaria"/>
    <x v="2"/>
    <x v="62"/>
    <s v="Rural"/>
    <s v="Femenino"/>
    <x v="0"/>
    <x v="1"/>
    <s v="SOLO LINEA BASE"/>
    <s v="NO PARTICIPÓ"/>
    <x v="73"/>
    <s v="RAMON CASTILLA MARQUEZADO2 Secundaria"/>
  </r>
  <r>
    <n v="3573"/>
    <x v="2"/>
    <s v="Secundaria"/>
    <x v="2"/>
    <x v="62"/>
    <s v="Rural"/>
    <s v="Femenino"/>
    <x v="1"/>
    <x v="1"/>
    <s v="SOLO LINEA BASE"/>
    <s v="NO PARTICIPÓ"/>
    <x v="73"/>
    <s v="RAMON CASTILLA MARQUEZADO2 Secundaria"/>
  </r>
  <r>
    <n v="3574"/>
    <x v="2"/>
    <s v="Secundaria"/>
    <x v="2"/>
    <x v="62"/>
    <s v="Rural"/>
    <s v="Femenino"/>
    <x v="0"/>
    <x v="1"/>
    <s v="SOLO LINEA BASE"/>
    <s v="NO PARTICIPÓ"/>
    <x v="73"/>
    <s v="RAMON CASTILLA MARQUEZADO2 Secundaria"/>
  </r>
  <r>
    <n v="3575"/>
    <x v="2"/>
    <s v="Secundaria"/>
    <x v="2"/>
    <x v="62"/>
    <s v="Rural"/>
    <s v="Femenino"/>
    <x v="0"/>
    <x v="1"/>
    <s v="SOLO LINEA BASE"/>
    <s v="NO PARTICIPÓ"/>
    <x v="73"/>
    <s v="RAMON CASTILLA MARQUEZADO2 Secundaria"/>
  </r>
  <r>
    <n v="3576"/>
    <x v="2"/>
    <s v="Secundaria"/>
    <x v="2"/>
    <x v="62"/>
    <s v="Rural"/>
    <s v="Femenino"/>
    <x v="1"/>
    <x v="1"/>
    <s v="SOLO LINEA BASE"/>
    <s v="NO PARTICIPÓ"/>
    <x v="73"/>
    <s v="RAMON CASTILLA MARQUEZADO2 Secundaria"/>
  </r>
  <r>
    <n v="3577"/>
    <x v="2"/>
    <s v="Secundaria"/>
    <x v="2"/>
    <x v="62"/>
    <s v="Rural"/>
    <s v="Masculino"/>
    <x v="2"/>
    <x v="1"/>
    <s v="SOLO LINEA BASE"/>
    <s v="NO PARTICIPÓ"/>
    <x v="73"/>
    <s v="RAMON CASTILLA MARQUEZADO2 Secundaria"/>
  </r>
  <r>
    <n v="3578"/>
    <x v="2"/>
    <s v="Secundaria"/>
    <x v="2"/>
    <x v="62"/>
    <s v="Rural"/>
    <s v="Masculino"/>
    <x v="2"/>
    <x v="1"/>
    <s v="SOLO LINEA BASE"/>
    <s v="NO PARTICIPÓ"/>
    <x v="73"/>
    <s v="RAMON CASTILLA MARQUEZADO2 Secundaria"/>
  </r>
  <r>
    <n v="3579"/>
    <x v="2"/>
    <s v="Secundaria"/>
    <x v="2"/>
    <x v="62"/>
    <s v="Rural"/>
    <s v="Masculino"/>
    <x v="1"/>
    <x v="1"/>
    <s v="SOLO LINEA BASE"/>
    <s v="NO PARTICIPÓ"/>
    <x v="73"/>
    <s v="RAMON CASTILLA MARQUEZADO2 Secundaria"/>
  </r>
  <r>
    <n v="3580"/>
    <x v="2"/>
    <s v="Secundaria"/>
    <x v="2"/>
    <x v="62"/>
    <s v="Rural"/>
    <s v="Masculino"/>
    <x v="0"/>
    <x v="1"/>
    <s v="SOLO LINEA BASE"/>
    <s v="NO PARTICIPÓ"/>
    <x v="73"/>
    <s v="RAMON CASTILLA MARQUEZADO2 Secundaria"/>
  </r>
  <r>
    <n v="3581"/>
    <x v="2"/>
    <s v="Secundaria"/>
    <x v="2"/>
    <x v="62"/>
    <s v="Rural"/>
    <s v="Femenino"/>
    <x v="0"/>
    <x v="1"/>
    <s v="SOLO LINEA BASE"/>
    <s v="NO PARTICIPÓ"/>
    <x v="73"/>
    <s v="RAMON CASTILLA MARQUEZADO2 Secundaria"/>
  </r>
  <r>
    <n v="3582"/>
    <x v="2"/>
    <s v="Secundaria"/>
    <x v="2"/>
    <x v="62"/>
    <s v="Rural"/>
    <s v="Masculino"/>
    <x v="2"/>
    <x v="1"/>
    <s v="SOLO LINEA BASE"/>
    <s v="NO PARTICIPÓ"/>
    <x v="73"/>
    <s v="RAMON CASTILLA MARQUEZADO2 Secundaria"/>
  </r>
  <r>
    <n v="3583"/>
    <x v="2"/>
    <s v="Primaria"/>
    <x v="0"/>
    <x v="25"/>
    <s v="Rural"/>
    <s v="Femenino"/>
    <x v="0"/>
    <x v="1"/>
    <s v="SOLO 2022 Y 2024"/>
    <s v="PADD 2023 Y 2024"/>
    <x v="25"/>
    <s v="362074 Primaria"/>
  </r>
  <r>
    <n v="3584"/>
    <x v="2"/>
    <s v="Primaria"/>
    <x v="0"/>
    <x v="25"/>
    <s v="Rural"/>
    <s v="Femenino"/>
    <x v="2"/>
    <x v="1"/>
    <s v="SOLO 2022 Y 2024"/>
    <s v="PADD 2023 Y 2024"/>
    <x v="25"/>
    <s v="362074 Primaria"/>
  </r>
  <r>
    <n v="3585"/>
    <x v="2"/>
    <s v="Secundaria"/>
    <x v="3"/>
    <x v="60"/>
    <s v="Rural"/>
    <s v="Femenino"/>
    <x v="0"/>
    <x v="1"/>
    <s v="SOLO LINEA BASE"/>
    <s v="SOLO 2023"/>
    <x v="71"/>
    <s v="JORGE CHAVEZ4 Secundaria"/>
  </r>
  <r>
    <n v="3586"/>
    <x v="2"/>
    <s v="Secundaria"/>
    <x v="3"/>
    <x v="60"/>
    <s v="Rural"/>
    <s v="Masculino"/>
    <x v="0"/>
    <x v="1"/>
    <s v="SOLO LINEA BASE"/>
    <s v="SOLO 2023"/>
    <x v="71"/>
    <s v="JORGE CHAVEZ4 Secundaria"/>
  </r>
  <r>
    <n v="3587"/>
    <x v="2"/>
    <s v="Secundaria"/>
    <x v="3"/>
    <x v="60"/>
    <s v="Rural"/>
    <s v="Masculino"/>
    <x v="0"/>
    <x v="1"/>
    <s v="SOLO LINEA BASE"/>
    <s v="SOLO 2023"/>
    <x v="71"/>
    <s v="JORGE CHAVEZ4 Secundaria"/>
  </r>
  <r>
    <n v="3588"/>
    <x v="2"/>
    <s v="Secundaria"/>
    <x v="3"/>
    <x v="60"/>
    <s v="Rural"/>
    <s v="Masculino"/>
    <x v="0"/>
    <x v="1"/>
    <s v="SOLO LINEA BASE"/>
    <s v="SOLO 2023"/>
    <x v="71"/>
    <s v="JORGE CHAVEZ4 Secundaria"/>
  </r>
  <r>
    <n v="3589"/>
    <x v="2"/>
    <s v="Secundaria"/>
    <x v="3"/>
    <x v="60"/>
    <s v="Rural"/>
    <s v="Masculino"/>
    <x v="1"/>
    <x v="1"/>
    <s v="SOLO LINEA BASE"/>
    <s v="SOLO 2023"/>
    <x v="71"/>
    <s v="JORGE CHAVEZ4 Secundaria"/>
  </r>
  <r>
    <n v="3590"/>
    <x v="2"/>
    <s v="Secundaria"/>
    <x v="3"/>
    <x v="60"/>
    <s v="Rural"/>
    <s v="Femenino"/>
    <x v="0"/>
    <x v="1"/>
    <s v="SOLO LINEA BASE"/>
    <s v="SOLO 2023"/>
    <x v="71"/>
    <s v="JORGE CHAVEZ4 Secundaria"/>
  </r>
  <r>
    <n v="3591"/>
    <x v="2"/>
    <s v="Secundaria"/>
    <x v="3"/>
    <x v="60"/>
    <s v="Rural"/>
    <s v="Masculino"/>
    <x v="0"/>
    <x v="1"/>
    <s v="SOLO LINEA BASE"/>
    <s v="SOLO 2023"/>
    <x v="71"/>
    <s v="JORGE CHAVEZ4 Secundaria"/>
  </r>
  <r>
    <n v="3592"/>
    <x v="2"/>
    <s v="Secundaria"/>
    <x v="3"/>
    <x v="60"/>
    <s v="Rural"/>
    <s v="Femenino"/>
    <x v="0"/>
    <x v="1"/>
    <s v="SOLO LINEA BASE"/>
    <s v="SOLO 2023"/>
    <x v="71"/>
    <s v="JORGE CHAVEZ4 Secundaria"/>
  </r>
  <r>
    <n v="3593"/>
    <x v="2"/>
    <s v="Secundaria"/>
    <x v="3"/>
    <x v="60"/>
    <s v="Rural"/>
    <s v="Masculino"/>
    <x v="0"/>
    <x v="1"/>
    <s v="SOLO LINEA BASE"/>
    <s v="SOLO 2023"/>
    <x v="71"/>
    <s v="JORGE CHAVEZ4 Secundaria"/>
  </r>
  <r>
    <n v="3594"/>
    <x v="2"/>
    <s v="Secundaria"/>
    <x v="3"/>
    <x v="60"/>
    <s v="Rural"/>
    <s v="Masculino"/>
    <x v="0"/>
    <x v="1"/>
    <s v="SOLO LINEA BASE"/>
    <s v="SOLO 2023"/>
    <x v="71"/>
    <s v="JORGE CHAVEZ4 Secundaria"/>
  </r>
  <r>
    <n v="3595"/>
    <x v="2"/>
    <s v="Secundaria"/>
    <x v="3"/>
    <x v="60"/>
    <s v="Rural"/>
    <s v="Femenino"/>
    <x v="0"/>
    <x v="1"/>
    <s v="SOLO LINEA BASE"/>
    <s v="SOLO 2023"/>
    <x v="71"/>
    <s v="JORGE CHAVEZ4 Secundaria"/>
  </r>
  <r>
    <n v="3596"/>
    <x v="2"/>
    <s v="Secundaria"/>
    <x v="3"/>
    <x v="60"/>
    <s v="Rural"/>
    <s v="Femenino"/>
    <x v="1"/>
    <x v="1"/>
    <s v="SOLO LINEA BASE"/>
    <s v="SOLO 2023"/>
    <x v="71"/>
    <s v="JORGE CHAVEZ4 Secundaria"/>
  </r>
  <r>
    <n v="3597"/>
    <x v="2"/>
    <s v="Secundaria"/>
    <x v="3"/>
    <x v="60"/>
    <s v="Rural"/>
    <s v="Masculino"/>
    <x v="2"/>
    <x v="1"/>
    <s v="SOLO LINEA BASE"/>
    <s v="SOLO 2023"/>
    <x v="71"/>
    <s v="JORGE CHAVEZ4 Secundaria"/>
  </r>
  <r>
    <n v="3598"/>
    <x v="2"/>
    <s v="Secundaria"/>
    <x v="3"/>
    <x v="60"/>
    <s v="Rural"/>
    <s v="Femenino"/>
    <x v="1"/>
    <x v="1"/>
    <s v="SOLO LINEA BASE"/>
    <s v="SOLO 2023"/>
    <x v="71"/>
    <s v="JORGE CHAVEZ4 Secundaria"/>
  </r>
  <r>
    <n v="3599"/>
    <x v="2"/>
    <s v="Secundaria"/>
    <x v="3"/>
    <x v="60"/>
    <s v="Rural"/>
    <s v="Masculino"/>
    <x v="0"/>
    <x v="1"/>
    <s v="SOLO LINEA BASE"/>
    <s v="SOLO 2023"/>
    <x v="71"/>
    <s v="JORGE CHAVEZ4 Secundaria"/>
  </r>
  <r>
    <n v="3600"/>
    <x v="2"/>
    <s v="Secundaria"/>
    <x v="3"/>
    <x v="60"/>
    <s v="Rural"/>
    <s v="Masculino"/>
    <x v="0"/>
    <x v="1"/>
    <s v="SOLO LINEA BASE"/>
    <s v="SOLO 2023"/>
    <x v="71"/>
    <s v="JORGE CHAVEZ4 Secundaria"/>
  </r>
  <r>
    <n v="3601"/>
    <x v="2"/>
    <s v="Secundaria"/>
    <x v="3"/>
    <x v="60"/>
    <s v="Rural"/>
    <s v="Masculino"/>
    <x v="0"/>
    <x v="1"/>
    <s v="SOLO LINEA BASE"/>
    <s v="SOLO 2023"/>
    <x v="71"/>
    <s v="JORGE CHAVEZ4 Secundaria"/>
  </r>
  <r>
    <n v="3602"/>
    <x v="2"/>
    <s v="Secundaria"/>
    <x v="3"/>
    <x v="60"/>
    <s v="Rural"/>
    <s v="Masculino"/>
    <x v="1"/>
    <x v="1"/>
    <s v="SOLO LINEA BASE"/>
    <s v="SOLO 2023"/>
    <x v="71"/>
    <s v="JORGE CHAVEZ4 Secundaria"/>
  </r>
  <r>
    <n v="3603"/>
    <x v="2"/>
    <s v="Secundaria"/>
    <x v="3"/>
    <x v="60"/>
    <s v="Rural"/>
    <s v="Femenino"/>
    <x v="0"/>
    <x v="1"/>
    <s v="SOLO LINEA BASE"/>
    <s v="SOLO 2023"/>
    <x v="71"/>
    <s v="JORGE CHAVEZ4 Secundaria"/>
  </r>
  <r>
    <n v="3604"/>
    <x v="2"/>
    <s v="Secundaria"/>
    <x v="3"/>
    <x v="60"/>
    <s v="Rural"/>
    <s v="Masculino"/>
    <x v="0"/>
    <x v="1"/>
    <s v="SOLO LINEA BASE"/>
    <s v="SOLO 2023"/>
    <x v="71"/>
    <s v="JORGE CHAVEZ4 Secundaria"/>
  </r>
  <r>
    <n v="3605"/>
    <x v="2"/>
    <s v="Secundaria"/>
    <x v="3"/>
    <x v="60"/>
    <s v="Rural"/>
    <s v="Femenino"/>
    <x v="1"/>
    <x v="1"/>
    <s v="SOLO LINEA BASE"/>
    <s v="SOLO 2023"/>
    <x v="71"/>
    <s v="JORGE CHAVEZ4 Secundaria"/>
  </r>
  <r>
    <n v="3606"/>
    <x v="2"/>
    <s v="Secundaria"/>
    <x v="3"/>
    <x v="60"/>
    <s v="Rural"/>
    <s v="Femenino"/>
    <x v="1"/>
    <x v="1"/>
    <s v="SOLO LINEA BASE"/>
    <s v="SOLO 2023"/>
    <x v="71"/>
    <s v="JORGE CHAVEZ4 Secundaria"/>
  </r>
  <r>
    <n v="3607"/>
    <x v="2"/>
    <s v="Secundaria"/>
    <x v="3"/>
    <x v="61"/>
    <s v="Rural"/>
    <s v="Masculino"/>
    <x v="1"/>
    <x v="1"/>
    <s v="SOLO LINEA BASE"/>
    <s v="NO PARTICIPÓ"/>
    <x v="74"/>
    <s v="JOSE CARLOS MARIATEGUI4 Secundaria"/>
  </r>
  <r>
    <n v="3608"/>
    <x v="2"/>
    <s v="Secundaria"/>
    <x v="3"/>
    <x v="61"/>
    <s v="Rural"/>
    <s v="Masculino"/>
    <x v="0"/>
    <x v="1"/>
    <s v="SOLO LINEA BASE"/>
    <s v="NO PARTICIPÓ"/>
    <x v="74"/>
    <s v="JOSE CARLOS MARIATEGUI4 Secundaria"/>
  </r>
  <r>
    <n v="3609"/>
    <x v="2"/>
    <s v="Secundaria"/>
    <x v="3"/>
    <x v="61"/>
    <s v="Rural"/>
    <s v="Femenino"/>
    <x v="1"/>
    <x v="1"/>
    <s v="SOLO LINEA BASE"/>
    <s v="NO PARTICIPÓ"/>
    <x v="74"/>
    <s v="JOSE CARLOS MARIATEGUI4 Secundaria"/>
  </r>
  <r>
    <n v="3610"/>
    <x v="2"/>
    <s v="Secundaria"/>
    <x v="3"/>
    <x v="61"/>
    <s v="Rural"/>
    <s v="Masculino"/>
    <x v="1"/>
    <x v="1"/>
    <s v="SOLO LINEA BASE"/>
    <s v="NO PARTICIPÓ"/>
    <x v="74"/>
    <s v="JOSE CARLOS MARIATEGUI4 Secundaria"/>
  </r>
  <r>
    <n v="3611"/>
    <x v="2"/>
    <s v="Secundaria"/>
    <x v="3"/>
    <x v="61"/>
    <s v="Rural"/>
    <s v="Masculino"/>
    <x v="0"/>
    <x v="1"/>
    <s v="SOLO LINEA BASE"/>
    <s v="NO PARTICIPÓ"/>
    <x v="74"/>
    <s v="JOSE CARLOS MARIATEGUI4 Secundaria"/>
  </r>
  <r>
    <n v="3612"/>
    <x v="2"/>
    <s v="Secundaria"/>
    <x v="3"/>
    <x v="61"/>
    <s v="Rural"/>
    <s v="Femenino"/>
    <x v="2"/>
    <x v="1"/>
    <s v="SOLO LINEA BASE"/>
    <s v="NO PARTICIPÓ"/>
    <x v="74"/>
    <s v="JOSE CARLOS MARIATEGUI4 Secundaria"/>
  </r>
  <r>
    <n v="3613"/>
    <x v="2"/>
    <s v="Secundaria"/>
    <x v="3"/>
    <x v="61"/>
    <s v="Rural"/>
    <s v="Masculino"/>
    <x v="0"/>
    <x v="1"/>
    <s v="SOLO LINEA BASE"/>
    <s v="NO PARTICIPÓ"/>
    <x v="74"/>
    <s v="JOSE CARLOS MARIATEGUI4 Secundaria"/>
  </r>
  <r>
    <n v="3614"/>
    <x v="2"/>
    <s v="Secundaria"/>
    <x v="3"/>
    <x v="61"/>
    <s v="Rural"/>
    <s v="Femenino"/>
    <x v="0"/>
    <x v="1"/>
    <s v="SOLO LINEA BASE"/>
    <s v="NO PARTICIPÓ"/>
    <x v="74"/>
    <s v="JOSE CARLOS MARIATEGUI4 Secundaria"/>
  </r>
  <r>
    <n v="3615"/>
    <x v="2"/>
    <s v="Secundaria"/>
    <x v="3"/>
    <x v="61"/>
    <s v="Rural"/>
    <s v="Femenino"/>
    <x v="1"/>
    <x v="1"/>
    <s v="SOLO LINEA BASE"/>
    <s v="NO PARTICIPÓ"/>
    <x v="74"/>
    <s v="JOSE CARLOS MARIATEGUI4 Secundaria"/>
  </r>
  <r>
    <n v="3616"/>
    <x v="2"/>
    <s v="Secundaria"/>
    <x v="3"/>
    <x v="61"/>
    <s v="Rural"/>
    <s v="Masculino"/>
    <x v="0"/>
    <x v="1"/>
    <s v="SOLO LINEA BASE"/>
    <s v="NO PARTICIPÓ"/>
    <x v="74"/>
    <s v="JOSE CARLOS MARIATEGUI4 Secundaria"/>
  </r>
  <r>
    <n v="3617"/>
    <x v="2"/>
    <s v="Secundaria"/>
    <x v="3"/>
    <x v="61"/>
    <s v="Rural"/>
    <s v="Femenino"/>
    <x v="0"/>
    <x v="1"/>
    <s v="SOLO LINEA BASE"/>
    <s v="NO PARTICIPÓ"/>
    <x v="74"/>
    <s v="JOSE CARLOS MARIATEGUI4 Secundaria"/>
  </r>
  <r>
    <n v="3618"/>
    <x v="2"/>
    <s v="Secundaria"/>
    <x v="3"/>
    <x v="61"/>
    <s v="Rural"/>
    <s v="Femenino"/>
    <x v="0"/>
    <x v="1"/>
    <s v="SOLO LINEA BASE"/>
    <s v="NO PARTICIPÓ"/>
    <x v="74"/>
    <s v="JOSE CARLOS MARIATEGUI4 Secundaria"/>
  </r>
  <r>
    <n v="3619"/>
    <x v="2"/>
    <s v="Secundaria"/>
    <x v="3"/>
    <x v="61"/>
    <s v="Rural"/>
    <s v="Femenino"/>
    <x v="0"/>
    <x v="1"/>
    <s v="SOLO LINEA BASE"/>
    <s v="NO PARTICIPÓ"/>
    <x v="74"/>
    <s v="JOSE CARLOS MARIATEGUI4 Secundaria"/>
  </r>
  <r>
    <n v="3620"/>
    <x v="2"/>
    <s v="Secundaria"/>
    <x v="3"/>
    <x v="61"/>
    <s v="Rural"/>
    <s v="Masculino"/>
    <x v="1"/>
    <x v="1"/>
    <s v="SOLO LINEA BASE"/>
    <s v="NO PARTICIPÓ"/>
    <x v="74"/>
    <s v="JOSE CARLOS MARIATEGUI4 Secundaria"/>
  </r>
  <r>
    <n v="3621"/>
    <x v="2"/>
    <s v="Secundaria"/>
    <x v="3"/>
    <x v="62"/>
    <s v="Rural"/>
    <s v="Femenino"/>
    <x v="0"/>
    <x v="1"/>
    <s v="SOLO LINEA BASE"/>
    <s v="NO PARTICIPÓ"/>
    <x v="75"/>
    <s v="RAMON CASTILLA MARQUEZADO4 Secundaria"/>
  </r>
  <r>
    <n v="3622"/>
    <x v="2"/>
    <s v="Secundaria"/>
    <x v="3"/>
    <x v="62"/>
    <s v="Rural"/>
    <s v="Masculino"/>
    <x v="0"/>
    <x v="1"/>
    <s v="SOLO LINEA BASE"/>
    <s v="NO PARTICIPÓ"/>
    <x v="75"/>
    <s v="RAMON CASTILLA MARQUEZADO4 Secundaria"/>
  </r>
  <r>
    <n v="3623"/>
    <x v="2"/>
    <s v="Secundaria"/>
    <x v="3"/>
    <x v="62"/>
    <s v="Rural"/>
    <s v="Masculino"/>
    <x v="1"/>
    <x v="1"/>
    <s v="SOLO LINEA BASE"/>
    <s v="NO PARTICIPÓ"/>
    <x v="75"/>
    <s v="RAMON CASTILLA MARQUEZADO4 Secundaria"/>
  </r>
  <r>
    <n v="3624"/>
    <x v="2"/>
    <s v="Secundaria"/>
    <x v="3"/>
    <x v="62"/>
    <s v="Rural"/>
    <s v="Femenino"/>
    <x v="1"/>
    <x v="1"/>
    <s v="SOLO LINEA BASE"/>
    <s v="NO PARTICIPÓ"/>
    <x v="75"/>
    <s v="RAMON CASTILLA MARQUEZADO4 Secundaria"/>
  </r>
  <r>
    <n v="3625"/>
    <x v="2"/>
    <s v="Secundaria"/>
    <x v="3"/>
    <x v="62"/>
    <s v="Rural"/>
    <s v="Femenino"/>
    <x v="1"/>
    <x v="1"/>
    <s v="SOLO LINEA BASE"/>
    <s v="NO PARTICIPÓ"/>
    <x v="75"/>
    <s v="RAMON CASTILLA MARQUEZADO4 Secundaria"/>
  </r>
  <r>
    <n v="3626"/>
    <x v="2"/>
    <s v="Secundaria"/>
    <x v="3"/>
    <x v="62"/>
    <s v="Rural"/>
    <s v="Masculino"/>
    <x v="0"/>
    <x v="1"/>
    <s v="SOLO LINEA BASE"/>
    <s v="NO PARTICIPÓ"/>
    <x v="75"/>
    <s v="RAMON CASTILLA MARQUEZADO4 Secundaria"/>
  </r>
  <r>
    <n v="3627"/>
    <x v="2"/>
    <s v="Secundaria"/>
    <x v="3"/>
    <x v="62"/>
    <s v="Rural"/>
    <s v="Femenino"/>
    <x v="1"/>
    <x v="1"/>
    <s v="SOLO LINEA BASE"/>
    <s v="NO PARTICIPÓ"/>
    <x v="75"/>
    <s v="RAMON CASTILLA MARQUEZADO4 Secundaria"/>
  </r>
  <r>
    <n v="3628"/>
    <x v="2"/>
    <s v="Primaria"/>
    <x v="1"/>
    <x v="59"/>
    <s v="Rural"/>
    <s v="Masculino"/>
    <x v="0"/>
    <x v="1"/>
    <s v="SOLO LINEA BASE"/>
    <s v="NO PARTICIPÓ"/>
    <x v="70"/>
    <s v="36166 HEROES 29 DE AGOSTO6 Primaria"/>
  </r>
  <r>
    <n v="3629"/>
    <x v="2"/>
    <s v="Primaria"/>
    <x v="1"/>
    <x v="59"/>
    <s v="Rural"/>
    <s v="Femenino"/>
    <x v="1"/>
    <x v="1"/>
    <s v="SOLO LINEA BASE"/>
    <s v="NO PARTICIPÓ"/>
    <x v="70"/>
    <s v="36166 HEROES 29 DE AGOSTO6 Primaria"/>
  </r>
  <r>
    <n v="3630"/>
    <x v="2"/>
    <s v="Primaria"/>
    <x v="1"/>
    <x v="59"/>
    <s v="Rural"/>
    <s v="Masculino"/>
    <x v="1"/>
    <x v="1"/>
    <s v="SOLO LINEA BASE"/>
    <s v="NO PARTICIPÓ"/>
    <x v="70"/>
    <s v="36166 HEROES 29 DE AGOSTO6 Primaria"/>
  </r>
  <r>
    <n v="3631"/>
    <x v="2"/>
    <s v="Primaria"/>
    <x v="1"/>
    <x v="59"/>
    <s v="Rural"/>
    <s v="Masculino"/>
    <x v="1"/>
    <x v="1"/>
    <s v="SOLO LINEA BASE"/>
    <s v="NO PARTICIPÓ"/>
    <x v="70"/>
    <s v="36166 HEROES 29 DE AGOSTO6 Primaria"/>
  </r>
  <r>
    <n v="3632"/>
    <x v="2"/>
    <s v="Primaria"/>
    <x v="1"/>
    <x v="59"/>
    <s v="Rural"/>
    <s v="Masculino"/>
    <x v="1"/>
    <x v="1"/>
    <s v="SOLO LINEA BASE"/>
    <s v="NO PARTICIPÓ"/>
    <x v="70"/>
    <s v="36166 HEROES 29 DE AGOSTO6 Primaria"/>
  </r>
  <r>
    <n v="3633"/>
    <x v="2"/>
    <s v="Primaria"/>
    <x v="1"/>
    <x v="59"/>
    <s v="Rural"/>
    <s v="Masculino"/>
    <x v="1"/>
    <x v="1"/>
    <s v="SOLO LINEA BASE"/>
    <s v="NO PARTICIPÓ"/>
    <x v="70"/>
    <s v="36166 HEROES 29 DE AGOSTO6 Primaria"/>
  </r>
  <r>
    <n v="3634"/>
    <x v="2"/>
    <s v="Primaria"/>
    <x v="1"/>
    <x v="59"/>
    <s v="Rural"/>
    <s v="Masculino"/>
    <x v="1"/>
    <x v="1"/>
    <s v="SOLO LINEA BASE"/>
    <s v="NO PARTICIPÓ"/>
    <x v="70"/>
    <s v="36166 HEROES 29 DE AGOSTO6 Primaria"/>
  </r>
  <r>
    <n v="3635"/>
    <x v="2"/>
    <s v="Primaria"/>
    <x v="1"/>
    <x v="59"/>
    <s v="Rural"/>
    <s v="Masculino"/>
    <x v="1"/>
    <x v="1"/>
    <s v="SOLO LINEA BASE"/>
    <s v="NO PARTICIPÓ"/>
    <x v="70"/>
    <s v="36166 HEROES 29 DE AGOSTO6 Primaria"/>
  </r>
  <r>
    <n v="3636"/>
    <x v="2"/>
    <s v="Primaria"/>
    <x v="1"/>
    <x v="59"/>
    <s v="Rural"/>
    <s v="Masculino"/>
    <x v="1"/>
    <x v="1"/>
    <s v="SOLO LINEA BASE"/>
    <s v="NO PARTICIPÓ"/>
    <x v="70"/>
    <s v="36166 HEROES 29 DE AGOSTO6 Primaria"/>
  </r>
  <r>
    <n v="3637"/>
    <x v="2"/>
    <s v="Primaria"/>
    <x v="1"/>
    <x v="25"/>
    <s v="Rural"/>
    <s v="Masculino"/>
    <x v="1"/>
    <x v="1"/>
    <s v="SOLO 2022 Y 2024"/>
    <s v="PADD 2023 Y 2024"/>
    <x v="25"/>
    <s v="362076 Primaria"/>
  </r>
  <r>
    <n v="3638"/>
    <x v="2"/>
    <s v="Primaria"/>
    <x v="1"/>
    <x v="25"/>
    <s v="Rural"/>
    <s v="Femenino"/>
    <x v="1"/>
    <x v="1"/>
    <s v="SOLO 2022 Y 2024"/>
    <s v="PADD 2023 Y 2024"/>
    <x v="25"/>
    <s v="362076 Primaria"/>
  </r>
  <r>
    <n v="3639"/>
    <x v="2"/>
    <s v="Primaria"/>
    <x v="1"/>
    <x v="25"/>
    <s v="Rural"/>
    <s v="Masculino"/>
    <x v="1"/>
    <x v="1"/>
    <s v="SOLO 2022 Y 2024"/>
    <s v="PADD 2023 Y 2024"/>
    <x v="25"/>
    <s v="362076 Primaria"/>
  </r>
  <r>
    <n v="3640"/>
    <x v="2"/>
    <s v="Primaria"/>
    <x v="1"/>
    <x v="25"/>
    <s v="Rural"/>
    <s v="Femenino"/>
    <x v="1"/>
    <x v="1"/>
    <s v="SOLO 2022 Y 2024"/>
    <s v="PADD 2023 Y 2024"/>
    <x v="25"/>
    <s v="362076 Primaria"/>
  </r>
  <r>
    <n v="3641"/>
    <x v="2"/>
    <s v="Primaria"/>
    <x v="1"/>
    <x v="25"/>
    <s v="Rural"/>
    <s v="Masculino"/>
    <x v="1"/>
    <x v="1"/>
    <s v="SOLO 2022 Y 2024"/>
    <s v="PADD 2023 Y 2024"/>
    <x v="25"/>
    <s v="362076 Primaria"/>
  </r>
  <r>
    <n v="3642"/>
    <x v="2"/>
    <s v="Primaria"/>
    <x v="1"/>
    <x v="58"/>
    <s v="Rural"/>
    <s v="Femenino"/>
    <x v="2"/>
    <x v="1"/>
    <s v="SOLO LINEA BASE"/>
    <s v="NO PARTICIPÓ"/>
    <x v="69"/>
    <s v="36161 SAN VICENTE DE PAUL6 Primaria"/>
  </r>
  <r>
    <n v="3643"/>
    <x v="2"/>
    <s v="Primaria"/>
    <x v="1"/>
    <x v="58"/>
    <s v="Rural"/>
    <s v="Femenino"/>
    <x v="1"/>
    <x v="1"/>
    <s v="SOLO LINEA BASE"/>
    <s v="NO PARTICIPÓ"/>
    <x v="69"/>
    <s v="36161 SAN VICENTE DE PAUL6 Primaria"/>
  </r>
  <r>
    <n v="3644"/>
    <x v="2"/>
    <s v="Primaria"/>
    <x v="1"/>
    <x v="58"/>
    <s v="Rural"/>
    <s v="Femenino"/>
    <x v="2"/>
    <x v="1"/>
    <s v="SOLO LINEA BASE"/>
    <s v="NO PARTICIPÓ"/>
    <x v="69"/>
    <s v="36161 SAN VICENTE DE PAUL6 Primaria"/>
  </r>
  <r>
    <n v="1"/>
    <x v="2"/>
    <s v="Secundaria"/>
    <x v="2"/>
    <x v="23"/>
    <s v="Rural"/>
    <s v="Femenino"/>
    <x v="0"/>
    <x v="2"/>
    <s v="2023 Y 2024"/>
    <s v="PADD 2023 Y 2024"/>
    <x v="76"/>
    <s v="NUESTRA SEÑORA DE LA CANDELARIA2 Secundaria"/>
  </r>
  <r>
    <n v="2"/>
    <x v="2"/>
    <s v="Secundaria"/>
    <x v="2"/>
    <x v="23"/>
    <s v="Rural"/>
    <s v="Masculino"/>
    <x v="1"/>
    <x v="2"/>
    <s v="2023 Y 2024"/>
    <s v="PADD 2023 Y 2024"/>
    <x v="76"/>
    <s v="NUESTRA SEÑORA DE LA CANDELARIA2 Secundaria"/>
  </r>
  <r>
    <n v="3"/>
    <x v="2"/>
    <s v="Secundaria"/>
    <x v="2"/>
    <x v="23"/>
    <s v="Rural"/>
    <s v="Masculino"/>
    <x v="0"/>
    <x v="2"/>
    <s v="2023 Y 2024"/>
    <s v="PADD 2023 Y 2024"/>
    <x v="76"/>
    <s v="NUESTRA SEÑORA DE LA CANDELARIA2 Secundaria"/>
  </r>
  <r>
    <n v="4"/>
    <x v="2"/>
    <s v="Secundaria"/>
    <x v="2"/>
    <x v="23"/>
    <s v="Rural"/>
    <s v="Femenino"/>
    <x v="0"/>
    <x v="2"/>
    <s v="2023 Y 2024"/>
    <s v="PADD 2023 Y 2024"/>
    <x v="76"/>
    <s v="NUESTRA SEÑORA DE LA CANDELARIA2 Secundaria"/>
  </r>
  <r>
    <n v="5"/>
    <x v="2"/>
    <s v="Secundaria"/>
    <x v="2"/>
    <x v="23"/>
    <s v="Rural"/>
    <s v="Masculino"/>
    <x v="0"/>
    <x v="2"/>
    <s v="2023 Y 2024"/>
    <s v="PADD 2023 Y 2024"/>
    <x v="76"/>
    <s v="NUESTRA SEÑORA DE LA CANDELARIA2 Secundaria"/>
  </r>
  <r>
    <n v="6"/>
    <x v="2"/>
    <s v="Secundaria"/>
    <x v="2"/>
    <x v="23"/>
    <s v="Rural"/>
    <s v="Masculino"/>
    <x v="1"/>
    <x v="2"/>
    <s v="2023 Y 2024"/>
    <s v="PADD 2023 Y 2024"/>
    <x v="76"/>
    <s v="NUESTRA SEÑORA DE LA CANDELARIA2 Secundaria"/>
  </r>
  <r>
    <n v="7"/>
    <x v="2"/>
    <s v="Secundaria"/>
    <x v="2"/>
    <x v="23"/>
    <s v="Rural"/>
    <s v="Masculino"/>
    <x v="0"/>
    <x v="2"/>
    <s v="2023 Y 2024"/>
    <s v="PADD 2023 Y 2024"/>
    <x v="76"/>
    <s v="NUESTRA SEÑORA DE LA CANDELARIA2 Secundaria"/>
  </r>
  <r>
    <n v="8"/>
    <x v="2"/>
    <s v="Secundaria"/>
    <x v="2"/>
    <x v="23"/>
    <s v="Rural"/>
    <s v="Femenino"/>
    <x v="0"/>
    <x v="2"/>
    <s v="2023 Y 2024"/>
    <s v="PADD 2023 Y 2024"/>
    <x v="76"/>
    <s v="NUESTRA SEÑORA DE LA CANDELARIA2 Secundaria"/>
  </r>
  <r>
    <n v="9"/>
    <x v="2"/>
    <s v="Secundaria"/>
    <x v="2"/>
    <x v="23"/>
    <s v="Rural"/>
    <s v="Femenino"/>
    <x v="0"/>
    <x v="2"/>
    <s v="2023 Y 2024"/>
    <s v="PADD 2023 Y 2024"/>
    <x v="76"/>
    <s v="NUESTRA SEÑORA DE LA CANDELARIA2 Secundaria"/>
  </r>
  <r>
    <n v="10"/>
    <x v="2"/>
    <s v="Secundaria"/>
    <x v="2"/>
    <x v="23"/>
    <s v="Rural"/>
    <s v="Masculino"/>
    <x v="2"/>
    <x v="2"/>
    <s v="2023 Y 2024"/>
    <s v="PADD 2023 Y 2024"/>
    <x v="76"/>
    <s v="NUESTRA SEÑORA DE LA CANDELARIA2 Secundaria"/>
  </r>
  <r>
    <n v="11"/>
    <x v="2"/>
    <s v="Secundaria"/>
    <x v="2"/>
    <x v="23"/>
    <s v="Rural"/>
    <s v="Femenino"/>
    <x v="0"/>
    <x v="2"/>
    <s v="2023 Y 2024"/>
    <s v="PADD 2023 Y 2024"/>
    <x v="76"/>
    <s v="NUESTRA SEÑORA DE LA CANDELARIA2 Secundaria"/>
  </r>
  <r>
    <n v="12"/>
    <x v="2"/>
    <s v="Secundaria"/>
    <x v="2"/>
    <x v="23"/>
    <s v="Rural"/>
    <s v="Masculino"/>
    <x v="0"/>
    <x v="2"/>
    <s v="2023 Y 2024"/>
    <s v="PADD 2023 Y 2024"/>
    <x v="76"/>
    <s v="NUESTRA SEÑORA DE LA CANDELARIA2 Secundaria"/>
  </r>
  <r>
    <n v="13"/>
    <x v="2"/>
    <s v="Secundaria"/>
    <x v="2"/>
    <x v="23"/>
    <s v="Rural"/>
    <s v="Femenino"/>
    <x v="0"/>
    <x v="2"/>
    <s v="2023 Y 2024"/>
    <s v="PADD 2023 Y 2024"/>
    <x v="76"/>
    <s v="NUESTRA SEÑORA DE LA CANDELARIA2 Secundaria"/>
  </r>
  <r>
    <n v="14"/>
    <x v="2"/>
    <s v="Secundaria"/>
    <x v="2"/>
    <x v="23"/>
    <s v="Rural"/>
    <s v="Femenino"/>
    <x v="0"/>
    <x v="2"/>
    <s v="2023 Y 2024"/>
    <s v="PADD 2023 Y 2024"/>
    <x v="76"/>
    <s v="NUESTRA SEÑORA DE LA CANDELARIA2 Secundaria"/>
  </r>
  <r>
    <n v="15"/>
    <x v="2"/>
    <s v="Secundaria"/>
    <x v="2"/>
    <x v="23"/>
    <s v="Rural"/>
    <s v="Femenino"/>
    <x v="0"/>
    <x v="2"/>
    <s v="2023 Y 2024"/>
    <s v="PADD 2023 Y 2024"/>
    <x v="76"/>
    <s v="NUESTRA SEÑORA DE LA CANDELARIA2 Secundaria"/>
  </r>
  <r>
    <n v="16"/>
    <x v="2"/>
    <s v="Secundaria"/>
    <x v="2"/>
    <x v="23"/>
    <s v="Rural"/>
    <s v="Masculino"/>
    <x v="0"/>
    <x v="2"/>
    <s v="2023 Y 2024"/>
    <s v="PADD 2023 Y 2024"/>
    <x v="76"/>
    <s v="NUESTRA SEÑORA DE LA CANDELARIA2 Secundaria"/>
  </r>
  <r>
    <n v="17"/>
    <x v="2"/>
    <s v="Secundaria"/>
    <x v="2"/>
    <x v="23"/>
    <s v="Rural"/>
    <s v="Masculino"/>
    <x v="0"/>
    <x v="2"/>
    <s v="2023 Y 2024"/>
    <s v="PADD 2023 Y 2024"/>
    <x v="76"/>
    <s v="NUESTRA SEÑORA DE LA CANDELARIA2 Secundaria"/>
  </r>
  <r>
    <n v="18"/>
    <x v="2"/>
    <s v="Secundaria"/>
    <x v="2"/>
    <x v="23"/>
    <s v="Rural"/>
    <s v="Femenino"/>
    <x v="0"/>
    <x v="2"/>
    <s v="2023 Y 2024"/>
    <s v="PADD 2023 Y 2024"/>
    <x v="76"/>
    <s v="NUESTRA SEÑORA DE LA CANDELARIA2 Secundaria"/>
  </r>
  <r>
    <n v="19"/>
    <x v="2"/>
    <s v="Secundaria"/>
    <x v="2"/>
    <x v="23"/>
    <s v="Rural"/>
    <s v="Masculino"/>
    <x v="0"/>
    <x v="2"/>
    <s v="2023 Y 2024"/>
    <s v="PADD 2023 Y 2024"/>
    <x v="76"/>
    <s v="NUESTRA SEÑORA DE LA CANDELARIA2 Secundaria"/>
  </r>
  <r>
    <n v="20"/>
    <x v="2"/>
    <s v="Secundaria"/>
    <x v="2"/>
    <x v="23"/>
    <s v="Rural"/>
    <s v="Masculino"/>
    <x v="0"/>
    <x v="2"/>
    <s v="2023 Y 2024"/>
    <s v="PADD 2023 Y 2024"/>
    <x v="76"/>
    <s v="NUESTRA SEÑORA DE LA CANDELARIA2 Secundaria"/>
  </r>
  <r>
    <n v="21"/>
    <x v="2"/>
    <s v="Secundaria"/>
    <x v="2"/>
    <x v="23"/>
    <s v="Rural"/>
    <s v="Femenino"/>
    <x v="0"/>
    <x v="2"/>
    <s v="2023 Y 2024"/>
    <s v="PADD 2023 Y 2024"/>
    <x v="76"/>
    <s v="NUESTRA SEÑORA DE LA CANDELARIA2 Secundaria"/>
  </r>
  <r>
    <n v="22"/>
    <x v="2"/>
    <s v="Secundaria"/>
    <x v="2"/>
    <x v="23"/>
    <s v="Rural"/>
    <s v="Masculino"/>
    <x v="0"/>
    <x v="2"/>
    <s v="2023 Y 2024"/>
    <s v="PADD 2023 Y 2024"/>
    <x v="76"/>
    <s v="NUESTRA SEÑORA DE LA CANDELARIA2 Secundaria"/>
  </r>
  <r>
    <n v="23"/>
    <x v="2"/>
    <s v="Secundaria"/>
    <x v="2"/>
    <x v="23"/>
    <s v="Rural"/>
    <s v="Masculino"/>
    <x v="0"/>
    <x v="2"/>
    <s v="2023 Y 2024"/>
    <s v="PADD 2023 Y 2024"/>
    <x v="76"/>
    <s v="NUESTRA SEÑORA DE LA CANDELARIA2 Secundaria"/>
  </r>
  <r>
    <n v="24"/>
    <x v="2"/>
    <s v="Secundaria"/>
    <x v="2"/>
    <x v="23"/>
    <s v="Rural"/>
    <s v="Masculino"/>
    <x v="0"/>
    <x v="2"/>
    <s v="2023 Y 2024"/>
    <s v="PADD 2023 Y 2024"/>
    <x v="76"/>
    <s v="NUESTRA SEÑORA DE LA CANDELARIA2 Secundaria"/>
  </r>
  <r>
    <n v="25"/>
    <x v="2"/>
    <s v="Secundaria"/>
    <x v="2"/>
    <x v="23"/>
    <s v="Rural"/>
    <s v="Femenino"/>
    <x v="0"/>
    <x v="2"/>
    <s v="2023 Y 2024"/>
    <s v="PADD 2023 Y 2024"/>
    <x v="76"/>
    <s v="NUESTRA SEÑORA DE LA CANDELARIA2 Secundaria"/>
  </r>
  <r>
    <n v="26"/>
    <x v="2"/>
    <s v="Secundaria"/>
    <x v="2"/>
    <x v="23"/>
    <s v="Rural"/>
    <s v="Masculino"/>
    <x v="0"/>
    <x v="2"/>
    <s v="2023 Y 2024"/>
    <s v="PADD 2023 Y 2024"/>
    <x v="76"/>
    <s v="NUESTRA SEÑORA DE LA CANDELARIA2 Secundaria"/>
  </r>
  <r>
    <n v="27"/>
    <x v="2"/>
    <s v="Secundaria"/>
    <x v="2"/>
    <x v="23"/>
    <s v="Rural"/>
    <s v="Masculino"/>
    <x v="0"/>
    <x v="2"/>
    <s v="2023 Y 2024"/>
    <s v="PADD 2023 Y 2024"/>
    <x v="76"/>
    <s v="NUESTRA SEÑORA DE LA CANDELARIA2 Secundaria"/>
  </r>
  <r>
    <n v="28"/>
    <x v="2"/>
    <s v="Secundaria"/>
    <x v="2"/>
    <x v="23"/>
    <s v="Rural"/>
    <s v="Femenino"/>
    <x v="0"/>
    <x v="2"/>
    <s v="2023 Y 2024"/>
    <s v="PADD 2023 Y 2024"/>
    <x v="76"/>
    <s v="NUESTRA SEÑORA DE LA CANDELARIA2 Secundaria"/>
  </r>
  <r>
    <n v="29"/>
    <x v="2"/>
    <s v="Secundaria"/>
    <x v="2"/>
    <x v="23"/>
    <s v="Rural"/>
    <s v="Masculino"/>
    <x v="0"/>
    <x v="2"/>
    <s v="2023 Y 2024"/>
    <s v="PADD 2023 Y 2024"/>
    <x v="76"/>
    <s v="NUESTRA SEÑORA DE LA CANDELARIA2 Secundaria"/>
  </r>
  <r>
    <n v="30"/>
    <x v="2"/>
    <s v="Secundaria"/>
    <x v="2"/>
    <x v="23"/>
    <s v="Rural"/>
    <s v="Femenino"/>
    <x v="0"/>
    <x v="2"/>
    <s v="2023 Y 2024"/>
    <s v="PADD 2023 Y 2024"/>
    <x v="76"/>
    <s v="NUESTRA SEÑORA DE LA CANDELARIA2 Secundaria"/>
  </r>
  <r>
    <n v="31"/>
    <x v="2"/>
    <s v="Secundaria"/>
    <x v="2"/>
    <x v="23"/>
    <s v="Rural"/>
    <s v="Femenino"/>
    <x v="0"/>
    <x v="2"/>
    <s v="2023 Y 2024"/>
    <s v="PADD 2023 Y 2024"/>
    <x v="76"/>
    <s v="NUESTRA SEÑORA DE LA CANDELARIA2 Secundaria"/>
  </r>
  <r>
    <n v="32"/>
    <x v="2"/>
    <s v="Secundaria"/>
    <x v="2"/>
    <x v="23"/>
    <s v="Rural"/>
    <s v="Femenino"/>
    <x v="0"/>
    <x v="2"/>
    <s v="2023 Y 2024"/>
    <s v="PADD 2023 Y 2024"/>
    <x v="76"/>
    <s v="NUESTRA SEÑORA DE LA CANDELARIA2 Secundaria"/>
  </r>
  <r>
    <n v="33"/>
    <x v="2"/>
    <s v="Secundaria"/>
    <x v="2"/>
    <x v="23"/>
    <s v="Rural"/>
    <s v="Femenino"/>
    <x v="0"/>
    <x v="2"/>
    <s v="2023 Y 2024"/>
    <s v="PADD 2023 Y 2024"/>
    <x v="76"/>
    <s v="NUESTRA SEÑORA DE LA CANDELARIA2 Secundaria"/>
  </r>
  <r>
    <n v="34"/>
    <x v="2"/>
    <s v="Secundaria"/>
    <x v="2"/>
    <x v="23"/>
    <s v="Rural"/>
    <s v="Femenino"/>
    <x v="0"/>
    <x v="2"/>
    <s v="2023 Y 2024"/>
    <s v="PADD 2023 Y 2024"/>
    <x v="76"/>
    <s v="NUESTRA SEÑORA DE LA CANDELARIA2 Secundaria"/>
  </r>
  <r>
    <n v="35"/>
    <x v="2"/>
    <s v="Secundaria"/>
    <x v="2"/>
    <x v="23"/>
    <s v="Rural"/>
    <s v="Masculino"/>
    <x v="1"/>
    <x v="2"/>
    <s v="2023 Y 2024"/>
    <s v="PADD 2023 Y 2024"/>
    <x v="76"/>
    <s v="NUESTRA SEÑORA DE LA CANDELARIA2 Secundaria"/>
  </r>
  <r>
    <n v="36"/>
    <x v="2"/>
    <s v="Secundaria"/>
    <x v="2"/>
    <x v="23"/>
    <s v="Rural"/>
    <s v="Femenino"/>
    <x v="0"/>
    <x v="2"/>
    <s v="2023 Y 2024"/>
    <s v="PADD 2023 Y 2024"/>
    <x v="76"/>
    <s v="NUESTRA SEÑORA DE LA CANDELARIA2 Secundaria"/>
  </r>
  <r>
    <n v="37"/>
    <x v="2"/>
    <s v="Secundaria"/>
    <x v="2"/>
    <x v="23"/>
    <s v="Rural"/>
    <s v="Masculino"/>
    <x v="0"/>
    <x v="2"/>
    <s v="2023 Y 2024"/>
    <s v="PADD 2023 Y 2024"/>
    <x v="76"/>
    <s v="NUESTRA SEÑORA DE LA CANDELARIA2 Secundaria"/>
  </r>
  <r>
    <n v="38"/>
    <x v="2"/>
    <s v="Secundaria"/>
    <x v="2"/>
    <x v="23"/>
    <s v="Rural"/>
    <s v="Femenino"/>
    <x v="0"/>
    <x v="2"/>
    <s v="2023 Y 2024"/>
    <s v="PADD 2023 Y 2024"/>
    <x v="76"/>
    <s v="NUESTRA SEÑORA DE LA CANDELARIA2 Secundaria"/>
  </r>
  <r>
    <n v="39"/>
    <x v="2"/>
    <s v="Secundaria"/>
    <x v="2"/>
    <x v="23"/>
    <s v="Rural"/>
    <s v="Femenino"/>
    <x v="0"/>
    <x v="2"/>
    <s v="2023 Y 2024"/>
    <s v="PADD 2023 Y 2024"/>
    <x v="76"/>
    <s v="NUESTRA SEÑORA DE LA CANDELARIA2 Secundaria"/>
  </r>
  <r>
    <n v="40"/>
    <x v="2"/>
    <s v="Secundaria"/>
    <x v="2"/>
    <x v="23"/>
    <s v="Rural"/>
    <s v="Masculino"/>
    <x v="0"/>
    <x v="2"/>
    <s v="2023 Y 2024"/>
    <s v="PADD 2023 Y 2024"/>
    <x v="76"/>
    <s v="NUESTRA SEÑORA DE LA CANDELARIA2 Secundaria"/>
  </r>
  <r>
    <n v="41"/>
    <x v="2"/>
    <s v="Secundaria"/>
    <x v="3"/>
    <x v="23"/>
    <s v="Rural"/>
    <s v="Masculino"/>
    <x v="0"/>
    <x v="2"/>
    <s v="2023 Y 2024"/>
    <s v="PADD 2023 Y 2024"/>
    <x v="76"/>
    <s v="NUESTRA SEÑORA DE LA CANDELARIA4 Secundaria"/>
  </r>
  <r>
    <n v="42"/>
    <x v="2"/>
    <s v="Secundaria"/>
    <x v="3"/>
    <x v="23"/>
    <s v="Rural"/>
    <s v="Femenino"/>
    <x v="0"/>
    <x v="2"/>
    <s v="2023 Y 2024"/>
    <s v="PADD 2023 Y 2024"/>
    <x v="76"/>
    <s v="NUESTRA SEÑORA DE LA CANDELARIA4 Secundaria"/>
  </r>
  <r>
    <n v="43"/>
    <x v="2"/>
    <s v="Secundaria"/>
    <x v="3"/>
    <x v="23"/>
    <s v="Rural"/>
    <s v="Masculino"/>
    <x v="1"/>
    <x v="2"/>
    <s v="2023 Y 2024"/>
    <s v="PADD 2023 Y 2024"/>
    <x v="76"/>
    <s v="NUESTRA SEÑORA DE LA CANDELARIA4 Secundaria"/>
  </r>
  <r>
    <n v="44"/>
    <x v="2"/>
    <s v="Secundaria"/>
    <x v="3"/>
    <x v="23"/>
    <s v="Rural"/>
    <s v="Femenino"/>
    <x v="1"/>
    <x v="2"/>
    <s v="2023 Y 2024"/>
    <s v="PADD 2023 Y 2024"/>
    <x v="76"/>
    <s v="NUESTRA SEÑORA DE LA CANDELARIA4 Secundaria"/>
  </r>
  <r>
    <n v="45"/>
    <x v="2"/>
    <s v="Secundaria"/>
    <x v="3"/>
    <x v="23"/>
    <s v="Rural"/>
    <s v="Masculino"/>
    <x v="0"/>
    <x v="2"/>
    <s v="2023 Y 2024"/>
    <s v="PADD 2023 Y 2024"/>
    <x v="76"/>
    <s v="NUESTRA SEÑORA DE LA CANDELARIA4 Secundaria"/>
  </r>
  <r>
    <n v="46"/>
    <x v="2"/>
    <s v="Secundaria"/>
    <x v="3"/>
    <x v="23"/>
    <s v="Rural"/>
    <s v="Masculino"/>
    <x v="1"/>
    <x v="2"/>
    <s v="2023 Y 2024"/>
    <s v="PADD 2023 Y 2024"/>
    <x v="76"/>
    <s v="NUESTRA SEÑORA DE LA CANDELARIA4 Secundaria"/>
  </r>
  <r>
    <n v="47"/>
    <x v="2"/>
    <s v="Secundaria"/>
    <x v="3"/>
    <x v="23"/>
    <s v="Rural"/>
    <s v="Femenino"/>
    <x v="0"/>
    <x v="2"/>
    <s v="2023 Y 2024"/>
    <s v="PADD 2023 Y 2024"/>
    <x v="76"/>
    <s v="NUESTRA SEÑORA DE LA CANDELARIA4 Secundaria"/>
  </r>
  <r>
    <n v="48"/>
    <x v="2"/>
    <s v="Secundaria"/>
    <x v="3"/>
    <x v="23"/>
    <s v="Rural"/>
    <s v="Femenino"/>
    <x v="0"/>
    <x v="2"/>
    <s v="2023 Y 2024"/>
    <s v="PADD 2023 Y 2024"/>
    <x v="76"/>
    <s v="NUESTRA SEÑORA DE LA CANDELARIA4 Secundaria"/>
  </r>
  <r>
    <n v="49"/>
    <x v="2"/>
    <s v="Secundaria"/>
    <x v="3"/>
    <x v="23"/>
    <s v="Rural"/>
    <s v="Masculino"/>
    <x v="0"/>
    <x v="2"/>
    <s v="2023 Y 2024"/>
    <s v="PADD 2023 Y 2024"/>
    <x v="76"/>
    <s v="NUESTRA SEÑORA DE LA CANDELARIA4 Secundaria"/>
  </r>
  <r>
    <n v="50"/>
    <x v="2"/>
    <s v="Secundaria"/>
    <x v="3"/>
    <x v="23"/>
    <s v="Rural"/>
    <s v="Femenino"/>
    <x v="0"/>
    <x v="2"/>
    <s v="2023 Y 2024"/>
    <s v="PADD 2023 Y 2024"/>
    <x v="76"/>
    <s v="NUESTRA SEÑORA DE LA CANDELARIA4 Secundaria"/>
  </r>
  <r>
    <n v="51"/>
    <x v="2"/>
    <s v="Secundaria"/>
    <x v="3"/>
    <x v="23"/>
    <s v="Rural"/>
    <s v="Masculino"/>
    <x v="0"/>
    <x v="2"/>
    <s v="2023 Y 2024"/>
    <s v="PADD 2023 Y 2024"/>
    <x v="76"/>
    <s v="NUESTRA SEÑORA DE LA CANDELARIA4 Secundaria"/>
  </r>
  <r>
    <n v="52"/>
    <x v="2"/>
    <s v="Secundaria"/>
    <x v="3"/>
    <x v="23"/>
    <s v="Rural"/>
    <s v="Femenino"/>
    <x v="0"/>
    <x v="2"/>
    <s v="2023 Y 2024"/>
    <s v="PADD 2023 Y 2024"/>
    <x v="76"/>
    <s v="NUESTRA SEÑORA DE LA CANDELARIA4 Secundaria"/>
  </r>
  <r>
    <n v="53"/>
    <x v="2"/>
    <s v="Secundaria"/>
    <x v="3"/>
    <x v="23"/>
    <s v="Rural"/>
    <s v="Femenino"/>
    <x v="0"/>
    <x v="2"/>
    <s v="2023 Y 2024"/>
    <s v="PADD 2023 Y 2024"/>
    <x v="76"/>
    <s v="NUESTRA SEÑORA DE LA CANDELARIA4 Secundaria"/>
  </r>
  <r>
    <n v="54"/>
    <x v="2"/>
    <s v="Secundaria"/>
    <x v="3"/>
    <x v="23"/>
    <s v="Rural"/>
    <s v="Masculino"/>
    <x v="0"/>
    <x v="2"/>
    <s v="2023 Y 2024"/>
    <s v="PADD 2023 Y 2024"/>
    <x v="76"/>
    <s v="NUESTRA SEÑORA DE LA CANDELARIA4 Secundaria"/>
  </r>
  <r>
    <n v="55"/>
    <x v="2"/>
    <s v="Secundaria"/>
    <x v="3"/>
    <x v="23"/>
    <s v="Rural"/>
    <s v="Masculino"/>
    <x v="0"/>
    <x v="2"/>
    <s v="2023 Y 2024"/>
    <s v="PADD 2023 Y 2024"/>
    <x v="76"/>
    <s v="NUESTRA SEÑORA DE LA CANDELARIA4 Secundaria"/>
  </r>
  <r>
    <n v="56"/>
    <x v="2"/>
    <s v="Secundaria"/>
    <x v="3"/>
    <x v="23"/>
    <s v="Rural"/>
    <s v="Masculino"/>
    <x v="0"/>
    <x v="2"/>
    <s v="2023 Y 2024"/>
    <s v="PADD 2023 Y 2024"/>
    <x v="76"/>
    <s v="NUESTRA SEÑORA DE LA CANDELARIA4 Secundaria"/>
  </r>
  <r>
    <n v="57"/>
    <x v="2"/>
    <s v="Secundaria"/>
    <x v="3"/>
    <x v="23"/>
    <s v="Rural"/>
    <s v="Femenino"/>
    <x v="0"/>
    <x v="2"/>
    <s v="2023 Y 2024"/>
    <s v="PADD 2023 Y 2024"/>
    <x v="76"/>
    <s v="NUESTRA SEÑORA DE LA CANDELARIA4 Secundaria"/>
  </r>
  <r>
    <n v="58"/>
    <x v="2"/>
    <s v="Secundaria"/>
    <x v="3"/>
    <x v="23"/>
    <s v="Rural"/>
    <s v="Femenino"/>
    <x v="0"/>
    <x v="2"/>
    <s v="2023 Y 2024"/>
    <s v="PADD 2023 Y 2024"/>
    <x v="76"/>
    <s v="NUESTRA SEÑORA DE LA CANDELARIA4 Secundaria"/>
  </r>
  <r>
    <n v="59"/>
    <x v="2"/>
    <s v="Secundaria"/>
    <x v="3"/>
    <x v="23"/>
    <s v="Rural"/>
    <s v="Masculino"/>
    <x v="0"/>
    <x v="2"/>
    <s v="2023 Y 2024"/>
    <s v="PADD 2023 Y 2024"/>
    <x v="76"/>
    <s v="NUESTRA SEÑORA DE LA CANDELARIA4 Secundaria"/>
  </r>
  <r>
    <n v="60"/>
    <x v="2"/>
    <s v="Secundaria"/>
    <x v="3"/>
    <x v="23"/>
    <s v="Rural"/>
    <s v="Masculino"/>
    <x v="0"/>
    <x v="2"/>
    <s v="2023 Y 2024"/>
    <s v="PADD 2023 Y 2024"/>
    <x v="76"/>
    <s v="NUESTRA SEÑORA DE LA CANDELARIA4 Secundaria"/>
  </r>
  <r>
    <n v="61"/>
    <x v="2"/>
    <s v="Secundaria"/>
    <x v="3"/>
    <x v="23"/>
    <s v="Rural"/>
    <s v="Masculino"/>
    <x v="0"/>
    <x v="2"/>
    <s v="2023 Y 2024"/>
    <s v="PADD 2023 Y 2024"/>
    <x v="76"/>
    <s v="NUESTRA SEÑORA DE LA CANDELARIA4 Secundaria"/>
  </r>
  <r>
    <n v="62"/>
    <x v="2"/>
    <s v="Secundaria"/>
    <x v="3"/>
    <x v="23"/>
    <s v="Rural"/>
    <s v="Femenino"/>
    <x v="0"/>
    <x v="2"/>
    <s v="2023 Y 2024"/>
    <s v="PADD 2023 Y 2024"/>
    <x v="76"/>
    <s v="NUESTRA SEÑORA DE LA CANDELARIA4 Secundaria"/>
  </r>
  <r>
    <n v="63"/>
    <x v="2"/>
    <s v="Secundaria"/>
    <x v="3"/>
    <x v="23"/>
    <s v="Rural"/>
    <s v="Femenino"/>
    <x v="0"/>
    <x v="2"/>
    <s v="2023 Y 2024"/>
    <s v="PADD 2023 Y 2024"/>
    <x v="76"/>
    <s v="NUESTRA SEÑORA DE LA CANDELARIA4 Secundaria"/>
  </r>
  <r>
    <n v="64"/>
    <x v="2"/>
    <s v="Secundaria"/>
    <x v="3"/>
    <x v="23"/>
    <s v="Rural"/>
    <s v="Femenino"/>
    <x v="0"/>
    <x v="2"/>
    <s v="2023 Y 2024"/>
    <s v="PADD 2023 Y 2024"/>
    <x v="76"/>
    <s v="NUESTRA SEÑORA DE LA CANDELARIA4 Secundaria"/>
  </r>
  <r>
    <n v="65"/>
    <x v="2"/>
    <s v="Secundaria"/>
    <x v="3"/>
    <x v="23"/>
    <s v="Rural"/>
    <s v="Masculino"/>
    <x v="0"/>
    <x v="2"/>
    <s v="2023 Y 2024"/>
    <s v="PADD 2023 Y 2024"/>
    <x v="76"/>
    <s v="NUESTRA SEÑORA DE LA CANDELARIA4 Secundaria"/>
  </r>
  <r>
    <n v="66"/>
    <x v="2"/>
    <s v="Secundaria"/>
    <x v="3"/>
    <x v="23"/>
    <s v="Rural"/>
    <s v="Masculino"/>
    <x v="0"/>
    <x v="2"/>
    <s v="2023 Y 2024"/>
    <s v="PADD 2023 Y 2024"/>
    <x v="76"/>
    <s v="NUESTRA SEÑORA DE LA CANDELARIA4 Secundaria"/>
  </r>
  <r>
    <n v="67"/>
    <x v="2"/>
    <s v="Secundaria"/>
    <x v="3"/>
    <x v="23"/>
    <s v="Rural"/>
    <s v="Femenino"/>
    <x v="0"/>
    <x v="2"/>
    <s v="2023 Y 2024"/>
    <s v="PADD 2023 Y 2024"/>
    <x v="76"/>
    <s v="NUESTRA SEÑORA DE LA CANDELARIA4 Secundaria"/>
  </r>
  <r>
    <n v="68"/>
    <x v="2"/>
    <s v="Secundaria"/>
    <x v="3"/>
    <x v="23"/>
    <s v="Rural"/>
    <s v="Masculino"/>
    <x v="0"/>
    <x v="2"/>
    <s v="2023 Y 2024"/>
    <s v="PADD 2023 Y 2024"/>
    <x v="76"/>
    <s v="NUESTRA SEÑORA DE LA CANDELARIA4 Secundaria"/>
  </r>
  <r>
    <n v="69"/>
    <x v="2"/>
    <s v="Secundaria"/>
    <x v="3"/>
    <x v="23"/>
    <s v="Rural"/>
    <s v="Masculino"/>
    <x v="0"/>
    <x v="2"/>
    <s v="2023 Y 2024"/>
    <s v="PADD 2023 Y 2024"/>
    <x v="76"/>
    <s v="NUESTRA SEÑORA DE LA CANDELARIA4 Secundaria"/>
  </r>
  <r>
    <n v="70"/>
    <x v="2"/>
    <s v="Secundaria"/>
    <x v="3"/>
    <x v="23"/>
    <s v="Rural"/>
    <s v="Femenino"/>
    <x v="0"/>
    <x v="2"/>
    <s v="2023 Y 2024"/>
    <s v="PADD 2023 Y 2024"/>
    <x v="76"/>
    <s v="NUESTRA SEÑORA DE LA CANDELARIA4 Secundaria"/>
  </r>
  <r>
    <n v="71"/>
    <x v="2"/>
    <s v="Secundaria"/>
    <x v="3"/>
    <x v="23"/>
    <s v="Rural"/>
    <s v="Femenino"/>
    <x v="0"/>
    <x v="2"/>
    <s v="2023 Y 2024"/>
    <s v="PADD 2023 Y 2024"/>
    <x v="76"/>
    <s v="NUESTRA SEÑORA DE LA CANDELARIA4 Secundaria"/>
  </r>
  <r>
    <n v="72"/>
    <x v="2"/>
    <s v="Secundaria"/>
    <x v="3"/>
    <x v="23"/>
    <s v="Rural"/>
    <s v="Femenino"/>
    <x v="0"/>
    <x v="2"/>
    <s v="2023 Y 2024"/>
    <s v="PADD 2023 Y 2024"/>
    <x v="76"/>
    <s v="NUESTRA SEÑORA DE LA CANDELARIA4 Secundaria"/>
  </r>
  <r>
    <n v="73"/>
    <x v="2"/>
    <s v="Secundaria"/>
    <x v="3"/>
    <x v="23"/>
    <s v="Rural"/>
    <s v="Masculino"/>
    <x v="0"/>
    <x v="2"/>
    <s v="2023 Y 2024"/>
    <s v="PADD 2023 Y 2024"/>
    <x v="76"/>
    <s v="NUESTRA SEÑORA DE LA CANDELARIA4 Secundaria"/>
  </r>
  <r>
    <n v="74"/>
    <x v="2"/>
    <s v="Secundaria"/>
    <x v="3"/>
    <x v="23"/>
    <s v="Rural"/>
    <s v="Masculino"/>
    <x v="0"/>
    <x v="2"/>
    <s v="2023 Y 2024"/>
    <s v="PADD 2023 Y 2024"/>
    <x v="76"/>
    <s v="NUESTRA SEÑORA DE LA CANDELARIA4 Secundaria"/>
  </r>
  <r>
    <n v="75"/>
    <x v="2"/>
    <s v="Secundaria"/>
    <x v="3"/>
    <x v="23"/>
    <s v="Rural"/>
    <s v="Femenino"/>
    <x v="0"/>
    <x v="2"/>
    <s v="2023 Y 2024"/>
    <s v="PADD 2023 Y 2024"/>
    <x v="76"/>
    <s v="NUESTRA SEÑORA DE LA CANDELARIA4 Secundaria"/>
  </r>
  <r>
    <n v="76"/>
    <x v="2"/>
    <s v="Secundaria"/>
    <x v="3"/>
    <x v="23"/>
    <s v="Rural"/>
    <s v="Masculino"/>
    <x v="0"/>
    <x v="2"/>
    <s v="2023 Y 2024"/>
    <s v="PADD 2023 Y 2024"/>
    <x v="76"/>
    <s v="NUESTRA SEÑORA DE LA CANDELARIA4 Secundaria"/>
  </r>
  <r>
    <n v="77"/>
    <x v="2"/>
    <s v="Secundaria"/>
    <x v="3"/>
    <x v="23"/>
    <s v="Rural"/>
    <s v="Masculino"/>
    <x v="0"/>
    <x v="2"/>
    <s v="2023 Y 2024"/>
    <s v="PADD 2023 Y 2024"/>
    <x v="76"/>
    <s v="NUESTRA SEÑORA DE LA CANDELARIA4 Secundaria"/>
  </r>
  <r>
    <n v="78"/>
    <x v="2"/>
    <s v="Secundaria"/>
    <x v="3"/>
    <x v="23"/>
    <s v="Rural"/>
    <s v="Femenino"/>
    <x v="0"/>
    <x v="2"/>
    <s v="2023 Y 2024"/>
    <s v="PADD 2023 Y 2024"/>
    <x v="76"/>
    <s v="NUESTRA SEÑORA DE LA CANDELARIA4 Secundaria"/>
  </r>
  <r>
    <n v="79"/>
    <x v="2"/>
    <s v="Secundaria"/>
    <x v="3"/>
    <x v="23"/>
    <s v="Rural"/>
    <s v="Masculino"/>
    <x v="1"/>
    <x v="2"/>
    <s v="2023 Y 2024"/>
    <s v="PADD 2023 Y 2024"/>
    <x v="76"/>
    <s v="NUESTRA SEÑORA DE LA CANDELARIA4 Secundaria"/>
  </r>
  <r>
    <n v="80"/>
    <x v="1"/>
    <s v="Primaria"/>
    <x v="4"/>
    <x v="63"/>
    <s v="Rural"/>
    <s v="Femenino"/>
    <x v="0"/>
    <x v="2"/>
    <s v="SOLO 2023"/>
    <s v="NO PARTICIPÓ"/>
    <x v="77"/>
    <s v="641552 Primaria"/>
  </r>
  <r>
    <n v="81"/>
    <x v="1"/>
    <s v="Primaria"/>
    <x v="4"/>
    <x v="63"/>
    <s v="Rural"/>
    <s v="Masculino"/>
    <x v="0"/>
    <x v="2"/>
    <s v="SOLO 2023"/>
    <s v="NO PARTICIPÓ"/>
    <x v="77"/>
    <s v="641552 Primaria"/>
  </r>
  <r>
    <n v="82"/>
    <x v="1"/>
    <s v="Primaria"/>
    <x v="4"/>
    <x v="55"/>
    <s v="Rural"/>
    <s v="Femenino"/>
    <x v="0"/>
    <x v="2"/>
    <s v="OTROS ESCENARIOS"/>
    <s v="SOLO 2023"/>
    <x v="78"/>
    <s v="643462 Primaria"/>
  </r>
  <r>
    <n v="83"/>
    <x v="1"/>
    <s v="Primaria"/>
    <x v="4"/>
    <x v="55"/>
    <s v="Rural"/>
    <s v="Femenino"/>
    <x v="0"/>
    <x v="2"/>
    <s v="OTROS ESCENARIOS"/>
    <s v="SOLO 2023"/>
    <x v="78"/>
    <s v="643462 Primaria"/>
  </r>
  <r>
    <n v="84"/>
    <x v="1"/>
    <s v="Primaria"/>
    <x v="1"/>
    <x v="55"/>
    <s v="Rural"/>
    <s v="Masculino"/>
    <x v="0"/>
    <x v="2"/>
    <s v="OTROS ESCENARIOS"/>
    <s v="SOLO 2023"/>
    <x v="78"/>
    <s v="643466 Primaria"/>
  </r>
  <r>
    <n v="85"/>
    <x v="1"/>
    <s v="Primaria"/>
    <x v="1"/>
    <x v="55"/>
    <s v="Rural"/>
    <s v="Femenino"/>
    <x v="0"/>
    <x v="2"/>
    <s v="OTROS ESCENARIOS"/>
    <s v="SOLO 2023"/>
    <x v="78"/>
    <s v="643466 Primaria"/>
  </r>
  <r>
    <n v="86"/>
    <x v="1"/>
    <s v="Primaria"/>
    <x v="1"/>
    <x v="55"/>
    <s v="Rural"/>
    <s v="Masculino"/>
    <x v="0"/>
    <x v="2"/>
    <s v="OTROS ESCENARIOS"/>
    <s v="SOLO 2023"/>
    <x v="78"/>
    <s v="643466 Primaria"/>
  </r>
  <r>
    <n v="87"/>
    <x v="1"/>
    <s v="Primaria"/>
    <x v="1"/>
    <x v="55"/>
    <s v="Rural"/>
    <s v="Masculino"/>
    <x v="1"/>
    <x v="2"/>
    <s v="OTROS ESCENARIOS"/>
    <s v="SOLO 2023"/>
    <x v="78"/>
    <s v="643466 Primaria"/>
  </r>
  <r>
    <n v="88"/>
    <x v="1"/>
    <s v="Primaria"/>
    <x v="0"/>
    <x v="64"/>
    <s v="Rural"/>
    <s v="Femenino"/>
    <x v="1"/>
    <x v="2"/>
    <s v="SOLO 2023"/>
    <s v="SOLO 2023"/>
    <x v="79"/>
    <s v="646414 Primaria"/>
  </r>
  <r>
    <n v="89"/>
    <x v="1"/>
    <s v="Primaria"/>
    <x v="0"/>
    <x v="64"/>
    <s v="Rural"/>
    <s v="Masculino"/>
    <x v="0"/>
    <x v="2"/>
    <s v="SOLO 2023"/>
    <s v="SOLO 2023"/>
    <x v="79"/>
    <s v="646414 Primaria"/>
  </r>
  <r>
    <n v="90"/>
    <x v="1"/>
    <s v="Primaria"/>
    <x v="1"/>
    <x v="64"/>
    <s v="Rural"/>
    <s v="Masculino"/>
    <x v="0"/>
    <x v="2"/>
    <s v="SOLO 2023"/>
    <s v="SOLO 2023"/>
    <x v="79"/>
    <s v="646416 Primaria"/>
  </r>
  <r>
    <n v="91"/>
    <x v="1"/>
    <s v="Primaria"/>
    <x v="1"/>
    <x v="64"/>
    <s v="Rural"/>
    <s v="Femenino"/>
    <x v="0"/>
    <x v="2"/>
    <s v="SOLO 2023"/>
    <s v="SOLO 2023"/>
    <x v="79"/>
    <s v="646416 Primaria"/>
  </r>
  <r>
    <n v="92"/>
    <x v="1"/>
    <s v="Primaria"/>
    <x v="1"/>
    <x v="64"/>
    <s v="Rural"/>
    <s v="Femenino"/>
    <x v="1"/>
    <x v="2"/>
    <s v="SOLO 2023"/>
    <s v="SOLO 2023"/>
    <x v="79"/>
    <s v="646416 Primaria"/>
  </r>
  <r>
    <n v="93"/>
    <x v="1"/>
    <s v="Primaria"/>
    <x v="1"/>
    <x v="64"/>
    <s v="Rural"/>
    <s v="Masculino"/>
    <x v="1"/>
    <x v="2"/>
    <s v="SOLO 2023"/>
    <s v="SOLO 2023"/>
    <x v="79"/>
    <s v="646416 Primaria"/>
  </r>
  <r>
    <n v="94"/>
    <x v="1"/>
    <s v="Primaria"/>
    <x v="0"/>
    <x v="21"/>
    <s v="Rural"/>
    <s v="Masculino"/>
    <x v="1"/>
    <x v="2"/>
    <s v="2023 Y 2024"/>
    <s v="PADD 2023 Y 2024"/>
    <x v="80"/>
    <s v="64871-B4 Primaria"/>
  </r>
  <r>
    <n v="95"/>
    <x v="1"/>
    <s v="Primaria"/>
    <x v="0"/>
    <x v="21"/>
    <s v="Rural"/>
    <s v="Femenino"/>
    <x v="1"/>
    <x v="2"/>
    <s v="2023 Y 2024"/>
    <s v="PADD 2023 Y 2024"/>
    <x v="80"/>
    <s v="64871-B4 Primaria"/>
  </r>
  <r>
    <n v="96"/>
    <x v="1"/>
    <s v="Primaria"/>
    <x v="0"/>
    <x v="21"/>
    <s v="Rural"/>
    <s v="Femenino"/>
    <x v="1"/>
    <x v="2"/>
    <s v="2023 Y 2024"/>
    <s v="PADD 2023 Y 2024"/>
    <x v="80"/>
    <s v="64871-B4 Primaria"/>
  </r>
  <r>
    <n v="97"/>
    <x v="1"/>
    <s v="Primaria"/>
    <x v="0"/>
    <x v="21"/>
    <s v="Rural"/>
    <s v="Masculino"/>
    <x v="0"/>
    <x v="2"/>
    <s v="2023 Y 2024"/>
    <s v="PADD 2023 Y 2024"/>
    <x v="80"/>
    <s v="64871-B4 Primaria"/>
  </r>
  <r>
    <n v="98"/>
    <x v="1"/>
    <s v="Primaria"/>
    <x v="0"/>
    <x v="21"/>
    <s v="Rural"/>
    <s v="Masculino"/>
    <x v="0"/>
    <x v="2"/>
    <s v="2023 Y 2024"/>
    <s v="PADD 2023 Y 2024"/>
    <x v="80"/>
    <s v="64871-B4 Primaria"/>
  </r>
  <r>
    <n v="99"/>
    <x v="1"/>
    <s v="Primaria"/>
    <x v="0"/>
    <x v="21"/>
    <s v="Rural"/>
    <s v="Femenino"/>
    <x v="1"/>
    <x v="2"/>
    <s v="2023 Y 2024"/>
    <s v="PADD 2023 Y 2024"/>
    <x v="80"/>
    <s v="64871-B4 Primaria"/>
  </r>
  <r>
    <n v="100"/>
    <x v="1"/>
    <s v="Primaria"/>
    <x v="0"/>
    <x v="21"/>
    <s v="Rural"/>
    <s v="Femenino"/>
    <x v="1"/>
    <x v="2"/>
    <s v="2023 Y 2024"/>
    <s v="PADD 2023 Y 2024"/>
    <x v="80"/>
    <s v="64871-B4 Primaria"/>
  </r>
  <r>
    <n v="101"/>
    <x v="1"/>
    <s v="Primaria"/>
    <x v="0"/>
    <x v="21"/>
    <s v="Rural"/>
    <s v="Femenino"/>
    <x v="1"/>
    <x v="2"/>
    <s v="2023 Y 2024"/>
    <s v="PADD 2023 Y 2024"/>
    <x v="80"/>
    <s v="64871-B4 Primaria"/>
  </r>
  <r>
    <n v="102"/>
    <x v="1"/>
    <s v="Primaria"/>
    <x v="0"/>
    <x v="21"/>
    <s v="Rural"/>
    <s v="Femenino"/>
    <x v="0"/>
    <x v="2"/>
    <s v="2023 Y 2024"/>
    <s v="PADD 2023 Y 2024"/>
    <x v="80"/>
    <s v="64871-B4 Primaria"/>
  </r>
  <r>
    <n v="103"/>
    <x v="1"/>
    <s v="Primaria"/>
    <x v="0"/>
    <x v="21"/>
    <s v="Rural"/>
    <s v="Masculino"/>
    <x v="1"/>
    <x v="2"/>
    <s v="2023 Y 2024"/>
    <s v="PADD 2023 Y 2024"/>
    <x v="80"/>
    <s v="64871-B4 Primaria"/>
  </r>
  <r>
    <n v="104"/>
    <x v="1"/>
    <s v="Primaria"/>
    <x v="0"/>
    <x v="21"/>
    <s v="Rural"/>
    <s v="Femenino"/>
    <x v="1"/>
    <x v="2"/>
    <s v="2023 Y 2024"/>
    <s v="PADD 2023 Y 2024"/>
    <x v="80"/>
    <s v="64871-B4 Primaria"/>
  </r>
  <r>
    <n v="105"/>
    <x v="1"/>
    <s v="Primaria"/>
    <x v="0"/>
    <x v="21"/>
    <s v="Rural"/>
    <s v="Femenino"/>
    <x v="1"/>
    <x v="2"/>
    <s v="2023 Y 2024"/>
    <s v="PADD 2023 Y 2024"/>
    <x v="80"/>
    <s v="64871-B4 Primaria"/>
  </r>
  <r>
    <n v="106"/>
    <x v="1"/>
    <s v="Primaria"/>
    <x v="0"/>
    <x v="21"/>
    <s v="Rural"/>
    <s v="Masculino"/>
    <x v="0"/>
    <x v="2"/>
    <s v="2023 Y 2024"/>
    <s v="PADD 2023 Y 2024"/>
    <x v="80"/>
    <s v="64871-B4 Primaria"/>
  </r>
  <r>
    <n v="107"/>
    <x v="1"/>
    <s v="Primaria"/>
    <x v="0"/>
    <x v="21"/>
    <s v="Rural"/>
    <s v="Femenino"/>
    <x v="1"/>
    <x v="2"/>
    <s v="2023 Y 2024"/>
    <s v="PADD 2023 Y 2024"/>
    <x v="80"/>
    <s v="64871-B4 Primaria"/>
  </r>
  <r>
    <n v="108"/>
    <x v="1"/>
    <s v="Primaria"/>
    <x v="0"/>
    <x v="21"/>
    <s v="Rural"/>
    <s v="Masculino"/>
    <x v="0"/>
    <x v="2"/>
    <s v="2023 Y 2024"/>
    <s v="PADD 2023 Y 2024"/>
    <x v="80"/>
    <s v="64871-B4 Primaria"/>
  </r>
  <r>
    <n v="109"/>
    <x v="1"/>
    <s v="Primaria"/>
    <x v="0"/>
    <x v="21"/>
    <s v="Rural"/>
    <s v="Femenino"/>
    <x v="0"/>
    <x v="2"/>
    <s v="2023 Y 2024"/>
    <s v="PADD 2023 Y 2024"/>
    <x v="80"/>
    <s v="64871-B4 Primaria"/>
  </r>
  <r>
    <n v="110"/>
    <x v="1"/>
    <s v="Primaria"/>
    <x v="0"/>
    <x v="21"/>
    <s v="Rural"/>
    <s v="Masculino"/>
    <x v="1"/>
    <x v="2"/>
    <s v="2023 Y 2024"/>
    <s v="PADD 2023 Y 2024"/>
    <x v="80"/>
    <s v="64871-B4 Primaria"/>
  </r>
  <r>
    <n v="111"/>
    <x v="1"/>
    <s v="Primaria"/>
    <x v="4"/>
    <x v="65"/>
    <s v="Rural"/>
    <s v="Femenino"/>
    <x v="0"/>
    <x v="2"/>
    <s v="SOLO 2023"/>
    <s v="SOLO 2023"/>
    <x v="81"/>
    <s v="649962 Primaria"/>
  </r>
  <r>
    <n v="112"/>
    <x v="1"/>
    <s v="Primaria"/>
    <x v="0"/>
    <x v="65"/>
    <s v="Rural"/>
    <s v="Masculino"/>
    <x v="1"/>
    <x v="2"/>
    <s v="SOLO 2023"/>
    <s v="SOLO 2023"/>
    <x v="81"/>
    <s v="649964 Primaria"/>
  </r>
  <r>
    <n v="113"/>
    <x v="1"/>
    <s v="Primaria"/>
    <x v="1"/>
    <x v="65"/>
    <s v="Rural"/>
    <s v="Femenino"/>
    <x v="1"/>
    <x v="2"/>
    <s v="SOLO 2023"/>
    <s v="SOLO 2023"/>
    <x v="81"/>
    <s v="649966 Primaria"/>
  </r>
  <r>
    <n v="114"/>
    <x v="1"/>
    <s v="Primaria"/>
    <x v="1"/>
    <x v="65"/>
    <s v="Rural"/>
    <s v="Femenino"/>
    <x v="1"/>
    <x v="2"/>
    <s v="SOLO 2023"/>
    <s v="SOLO 2023"/>
    <x v="81"/>
    <s v="649966 Primaria"/>
  </r>
  <r>
    <n v="115"/>
    <x v="1"/>
    <s v="Primaria"/>
    <x v="1"/>
    <x v="65"/>
    <s v="Rural"/>
    <s v="Masculino"/>
    <x v="1"/>
    <x v="2"/>
    <s v="SOLO 2023"/>
    <s v="SOLO 2023"/>
    <x v="81"/>
    <s v="649966 Primaria"/>
  </r>
  <r>
    <n v="116"/>
    <x v="1"/>
    <s v="Primaria"/>
    <x v="4"/>
    <x v="22"/>
    <s v="Rural"/>
    <s v="Femenino"/>
    <x v="0"/>
    <x v="2"/>
    <s v="LOS 3 AÑOS"/>
    <s v="PADD 2023 Y 2024"/>
    <x v="22"/>
    <s v="640282 Primaria"/>
  </r>
  <r>
    <n v="117"/>
    <x v="1"/>
    <s v="Primaria"/>
    <x v="4"/>
    <x v="22"/>
    <s v="Rural"/>
    <s v="Femenino"/>
    <x v="1"/>
    <x v="2"/>
    <s v="LOS 3 AÑOS"/>
    <s v="PADD 2023 Y 2024"/>
    <x v="22"/>
    <s v="640282 Primaria"/>
  </r>
  <r>
    <n v="118"/>
    <x v="1"/>
    <s v="Primaria"/>
    <x v="4"/>
    <x v="22"/>
    <s v="Rural"/>
    <s v="Femenino"/>
    <x v="1"/>
    <x v="2"/>
    <s v="LOS 3 AÑOS"/>
    <s v="PADD 2023 Y 2024"/>
    <x v="22"/>
    <s v="640282 Primaria"/>
  </r>
  <r>
    <n v="119"/>
    <x v="1"/>
    <s v="Primaria"/>
    <x v="4"/>
    <x v="22"/>
    <s v="Rural"/>
    <s v="Femenino"/>
    <x v="1"/>
    <x v="2"/>
    <s v="LOS 3 AÑOS"/>
    <s v="PADD 2023 Y 2024"/>
    <x v="22"/>
    <s v="640282 Primaria"/>
  </r>
  <r>
    <n v="120"/>
    <x v="1"/>
    <s v="Primaria"/>
    <x v="4"/>
    <x v="22"/>
    <s v="Rural"/>
    <s v="Femenino"/>
    <x v="1"/>
    <x v="2"/>
    <s v="LOS 3 AÑOS"/>
    <s v="PADD 2023 Y 2024"/>
    <x v="22"/>
    <s v="640282 Primaria"/>
  </r>
  <r>
    <n v="121"/>
    <x v="1"/>
    <s v="Primaria"/>
    <x v="4"/>
    <x v="22"/>
    <s v="Rural"/>
    <s v="Masculino"/>
    <x v="0"/>
    <x v="2"/>
    <s v="LOS 3 AÑOS"/>
    <s v="PADD 2023 Y 2024"/>
    <x v="22"/>
    <s v="640282 Primaria"/>
  </r>
  <r>
    <n v="122"/>
    <x v="1"/>
    <s v="Primaria"/>
    <x v="4"/>
    <x v="22"/>
    <s v="Rural"/>
    <s v="Femenino"/>
    <x v="0"/>
    <x v="2"/>
    <s v="LOS 3 AÑOS"/>
    <s v="PADD 2023 Y 2024"/>
    <x v="22"/>
    <s v="640282 Primaria"/>
  </r>
  <r>
    <n v="123"/>
    <x v="1"/>
    <s v="Primaria"/>
    <x v="4"/>
    <x v="22"/>
    <s v="Rural"/>
    <s v="Femenino"/>
    <x v="0"/>
    <x v="2"/>
    <s v="LOS 3 AÑOS"/>
    <s v="PADD 2023 Y 2024"/>
    <x v="22"/>
    <s v="640282 Primaria"/>
  </r>
  <r>
    <n v="124"/>
    <x v="1"/>
    <s v="Primaria"/>
    <x v="4"/>
    <x v="22"/>
    <s v="Rural"/>
    <s v="Femenino"/>
    <x v="1"/>
    <x v="2"/>
    <s v="LOS 3 AÑOS"/>
    <s v="PADD 2023 Y 2024"/>
    <x v="22"/>
    <s v="640282 Primaria"/>
  </r>
  <r>
    <n v="125"/>
    <x v="1"/>
    <s v="Primaria"/>
    <x v="4"/>
    <x v="22"/>
    <s v="Rural"/>
    <s v="Femenino"/>
    <x v="1"/>
    <x v="2"/>
    <s v="LOS 3 AÑOS"/>
    <s v="PADD 2023 Y 2024"/>
    <x v="22"/>
    <s v="640282 Primaria"/>
  </r>
  <r>
    <n v="126"/>
    <x v="1"/>
    <s v="Primaria"/>
    <x v="4"/>
    <x v="22"/>
    <s v="Rural"/>
    <s v="Femenino"/>
    <x v="1"/>
    <x v="2"/>
    <s v="LOS 3 AÑOS"/>
    <s v="PADD 2023 Y 2024"/>
    <x v="22"/>
    <s v="640282 Primaria"/>
  </r>
  <r>
    <n v="127"/>
    <x v="1"/>
    <s v="Primaria"/>
    <x v="4"/>
    <x v="22"/>
    <s v="Rural"/>
    <s v="Femenino"/>
    <x v="1"/>
    <x v="2"/>
    <s v="LOS 3 AÑOS"/>
    <s v="PADD 2023 Y 2024"/>
    <x v="22"/>
    <s v="640282 Primaria"/>
  </r>
  <r>
    <n v="128"/>
    <x v="1"/>
    <s v="Primaria"/>
    <x v="4"/>
    <x v="22"/>
    <s v="Rural"/>
    <s v="Femenino"/>
    <x v="0"/>
    <x v="2"/>
    <s v="LOS 3 AÑOS"/>
    <s v="PADD 2023 Y 2024"/>
    <x v="22"/>
    <s v="640282 Primaria"/>
  </r>
  <r>
    <n v="129"/>
    <x v="1"/>
    <s v="Primaria"/>
    <x v="4"/>
    <x v="22"/>
    <s v="Rural"/>
    <s v="Femenino"/>
    <x v="1"/>
    <x v="2"/>
    <s v="LOS 3 AÑOS"/>
    <s v="PADD 2023 Y 2024"/>
    <x v="22"/>
    <s v="640282 Primaria"/>
  </r>
  <r>
    <n v="130"/>
    <x v="1"/>
    <s v="Primaria"/>
    <x v="4"/>
    <x v="22"/>
    <s v="Rural"/>
    <s v="Masculino"/>
    <x v="1"/>
    <x v="2"/>
    <s v="LOS 3 AÑOS"/>
    <s v="PADD 2023 Y 2024"/>
    <x v="22"/>
    <s v="640282 Primaria"/>
  </r>
  <r>
    <n v="131"/>
    <x v="1"/>
    <s v="Primaria"/>
    <x v="0"/>
    <x v="22"/>
    <s v="Rural"/>
    <s v="Masculino"/>
    <x v="0"/>
    <x v="2"/>
    <s v="LOS 3 AÑOS"/>
    <s v="PADD 2023 Y 2024"/>
    <x v="22"/>
    <s v="640284 Primaria"/>
  </r>
  <r>
    <n v="132"/>
    <x v="1"/>
    <s v="Primaria"/>
    <x v="0"/>
    <x v="22"/>
    <s v="Rural"/>
    <s v="Femenino"/>
    <x v="0"/>
    <x v="2"/>
    <s v="LOS 3 AÑOS"/>
    <s v="PADD 2023 Y 2024"/>
    <x v="22"/>
    <s v="640284 Primaria"/>
  </r>
  <r>
    <n v="133"/>
    <x v="1"/>
    <s v="Primaria"/>
    <x v="0"/>
    <x v="22"/>
    <s v="Rural"/>
    <s v="Femenino"/>
    <x v="1"/>
    <x v="2"/>
    <s v="LOS 3 AÑOS"/>
    <s v="PADD 2023 Y 2024"/>
    <x v="22"/>
    <s v="640284 Primaria"/>
  </r>
  <r>
    <n v="134"/>
    <x v="1"/>
    <s v="Primaria"/>
    <x v="0"/>
    <x v="22"/>
    <s v="Rural"/>
    <s v="Masculino"/>
    <x v="0"/>
    <x v="2"/>
    <s v="LOS 3 AÑOS"/>
    <s v="PADD 2023 Y 2024"/>
    <x v="22"/>
    <s v="640284 Primaria"/>
  </r>
  <r>
    <n v="135"/>
    <x v="1"/>
    <s v="Primaria"/>
    <x v="0"/>
    <x v="22"/>
    <s v="Rural"/>
    <s v="Femenino"/>
    <x v="2"/>
    <x v="2"/>
    <s v="LOS 3 AÑOS"/>
    <s v="PADD 2023 Y 2024"/>
    <x v="22"/>
    <s v="640284 Primaria"/>
  </r>
  <r>
    <n v="136"/>
    <x v="4"/>
    <s v="Primaria"/>
    <x v="4"/>
    <x v="48"/>
    <s v="Rural"/>
    <s v="Femenino"/>
    <x v="1"/>
    <x v="2"/>
    <s v="LOS 3 AÑOS"/>
    <s v="SOLO 2023"/>
    <x v="82"/>
    <s v="868092 Primaria"/>
  </r>
  <r>
    <n v="137"/>
    <x v="4"/>
    <s v="Primaria"/>
    <x v="4"/>
    <x v="48"/>
    <s v="Rural"/>
    <s v="Femenino"/>
    <x v="1"/>
    <x v="2"/>
    <s v="LOS 3 AÑOS"/>
    <s v="SOLO 2023"/>
    <x v="82"/>
    <s v="868092 Primaria"/>
  </r>
  <r>
    <n v="138"/>
    <x v="4"/>
    <s v="Primaria"/>
    <x v="4"/>
    <x v="48"/>
    <s v="Rural"/>
    <s v="Masculino"/>
    <x v="0"/>
    <x v="2"/>
    <s v="LOS 3 AÑOS"/>
    <s v="SOLO 2023"/>
    <x v="82"/>
    <s v="868092 Primaria"/>
  </r>
  <r>
    <n v="139"/>
    <x v="4"/>
    <s v="Primaria"/>
    <x v="4"/>
    <x v="51"/>
    <s v="Rural"/>
    <s v="Masculino"/>
    <x v="0"/>
    <x v="2"/>
    <s v="2023 Y 2024"/>
    <s v="PADD 2023 Y 2024"/>
    <x v="83"/>
    <s v="88247 SAN ENRIQUE2 Primaria"/>
  </r>
  <r>
    <n v="140"/>
    <x v="4"/>
    <s v="Primaria"/>
    <x v="4"/>
    <x v="51"/>
    <s v="Rural"/>
    <s v="Femenino"/>
    <x v="0"/>
    <x v="2"/>
    <s v="2023 Y 2024"/>
    <s v="PADD 2023 Y 2024"/>
    <x v="83"/>
    <s v="88247 SAN ENRIQUE2 Primaria"/>
  </r>
  <r>
    <n v="141"/>
    <x v="4"/>
    <s v="Primaria"/>
    <x v="4"/>
    <x v="51"/>
    <s v="Rural"/>
    <s v="Femenino"/>
    <x v="0"/>
    <x v="2"/>
    <s v="2023 Y 2024"/>
    <s v="PADD 2023 Y 2024"/>
    <x v="83"/>
    <s v="88247 SAN ENRIQUE2 Primaria"/>
  </r>
  <r>
    <n v="142"/>
    <x v="4"/>
    <s v="Primaria"/>
    <x v="4"/>
    <x v="51"/>
    <s v="Rural"/>
    <s v="Femenino"/>
    <x v="0"/>
    <x v="2"/>
    <s v="2023 Y 2024"/>
    <s v="PADD 2023 Y 2024"/>
    <x v="83"/>
    <s v="88247 SAN ENRIQUE2 Primaria"/>
  </r>
  <r>
    <n v="143"/>
    <x v="4"/>
    <s v="Primaria"/>
    <x v="0"/>
    <x v="48"/>
    <s v="Rural"/>
    <s v="Femenino"/>
    <x v="0"/>
    <x v="2"/>
    <s v="LOS 3 AÑOS"/>
    <s v="SOLO 2023"/>
    <x v="82"/>
    <s v="868094 Primaria"/>
  </r>
  <r>
    <n v="144"/>
    <x v="4"/>
    <s v="Primaria"/>
    <x v="0"/>
    <x v="48"/>
    <s v="Rural"/>
    <s v="Femenino"/>
    <x v="0"/>
    <x v="2"/>
    <s v="LOS 3 AÑOS"/>
    <s v="SOLO 2023"/>
    <x v="82"/>
    <s v="868094 Primaria"/>
  </r>
  <r>
    <n v="145"/>
    <x v="4"/>
    <s v="Primaria"/>
    <x v="0"/>
    <x v="49"/>
    <s v="Rural"/>
    <s v="Masculino"/>
    <x v="0"/>
    <x v="2"/>
    <s v="2023 Y 2024"/>
    <s v="PADD 2023 Y 2024"/>
    <x v="84"/>
    <s v="86548 JOSE MARIA VELAZ4 Primaria"/>
  </r>
  <r>
    <n v="146"/>
    <x v="4"/>
    <s v="Primaria"/>
    <x v="0"/>
    <x v="49"/>
    <s v="Rural"/>
    <s v="Femenino"/>
    <x v="0"/>
    <x v="2"/>
    <s v="2023 Y 2024"/>
    <s v="PADD 2023 Y 2024"/>
    <x v="84"/>
    <s v="86548 JOSE MARIA VELAZ4 Primaria"/>
  </r>
  <r>
    <n v="147"/>
    <x v="4"/>
    <s v="Primaria"/>
    <x v="0"/>
    <x v="49"/>
    <s v="Rural"/>
    <s v="Masculino"/>
    <x v="0"/>
    <x v="2"/>
    <s v="2023 Y 2024"/>
    <s v="PADD 2023 Y 2024"/>
    <x v="84"/>
    <s v="86548 JOSE MARIA VELAZ4 Primaria"/>
  </r>
  <r>
    <n v="148"/>
    <x v="4"/>
    <s v="Primaria"/>
    <x v="0"/>
    <x v="49"/>
    <s v="Rural"/>
    <s v="Masculino"/>
    <x v="0"/>
    <x v="2"/>
    <s v="2023 Y 2024"/>
    <s v="PADD 2023 Y 2024"/>
    <x v="84"/>
    <s v="86548 JOSE MARIA VELAZ4 Primaria"/>
  </r>
  <r>
    <n v="149"/>
    <x v="4"/>
    <s v="Primaria"/>
    <x v="0"/>
    <x v="49"/>
    <s v="Rural"/>
    <s v="Masculino"/>
    <x v="0"/>
    <x v="2"/>
    <s v="2023 Y 2024"/>
    <s v="PADD 2023 Y 2024"/>
    <x v="84"/>
    <s v="86548 JOSE MARIA VELAZ4 Primaria"/>
  </r>
  <r>
    <n v="150"/>
    <x v="4"/>
    <s v="Primaria"/>
    <x v="0"/>
    <x v="49"/>
    <s v="Rural"/>
    <s v="Masculino"/>
    <x v="0"/>
    <x v="2"/>
    <s v="2023 Y 2024"/>
    <s v="PADD 2023 Y 2024"/>
    <x v="84"/>
    <s v="86548 JOSE MARIA VELAZ4 Primaria"/>
  </r>
  <r>
    <n v="151"/>
    <x v="4"/>
    <s v="Primaria"/>
    <x v="0"/>
    <x v="49"/>
    <s v="Rural"/>
    <s v="Masculino"/>
    <x v="0"/>
    <x v="2"/>
    <s v="2023 Y 2024"/>
    <s v="PADD 2023 Y 2024"/>
    <x v="84"/>
    <s v="86548 JOSE MARIA VELAZ4 Primaria"/>
  </r>
  <r>
    <n v="152"/>
    <x v="4"/>
    <s v="Primaria"/>
    <x v="0"/>
    <x v="49"/>
    <s v="Rural"/>
    <s v="Masculino"/>
    <x v="0"/>
    <x v="2"/>
    <s v="2023 Y 2024"/>
    <s v="PADD 2023 Y 2024"/>
    <x v="84"/>
    <s v="86548 JOSE MARIA VELAZ4 Primaria"/>
  </r>
  <r>
    <n v="153"/>
    <x v="4"/>
    <s v="Primaria"/>
    <x v="0"/>
    <x v="49"/>
    <s v="Rural"/>
    <s v="Femenino"/>
    <x v="0"/>
    <x v="2"/>
    <s v="2023 Y 2024"/>
    <s v="PADD 2023 Y 2024"/>
    <x v="84"/>
    <s v="86548 JOSE MARIA VELAZ4 Primaria"/>
  </r>
  <r>
    <n v="154"/>
    <x v="4"/>
    <s v="Primaria"/>
    <x v="0"/>
    <x v="49"/>
    <s v="Rural"/>
    <s v="Femenino"/>
    <x v="0"/>
    <x v="2"/>
    <s v="2023 Y 2024"/>
    <s v="PADD 2023 Y 2024"/>
    <x v="84"/>
    <s v="86548 JOSE MARIA VELAZ4 Primaria"/>
  </r>
  <r>
    <n v="155"/>
    <x v="4"/>
    <s v="Primaria"/>
    <x v="0"/>
    <x v="49"/>
    <s v="Rural"/>
    <s v="Femenino"/>
    <x v="0"/>
    <x v="2"/>
    <s v="2023 Y 2024"/>
    <s v="PADD 2023 Y 2024"/>
    <x v="84"/>
    <s v="86548 JOSE MARIA VELAZ4 Primaria"/>
  </r>
  <r>
    <n v="156"/>
    <x v="4"/>
    <s v="Primaria"/>
    <x v="0"/>
    <x v="49"/>
    <s v="Rural"/>
    <s v="Femenino"/>
    <x v="0"/>
    <x v="2"/>
    <s v="2023 Y 2024"/>
    <s v="PADD 2023 Y 2024"/>
    <x v="84"/>
    <s v="86548 JOSE MARIA VELAZ4 Primaria"/>
  </r>
  <r>
    <n v="157"/>
    <x v="4"/>
    <s v="Primaria"/>
    <x v="0"/>
    <x v="49"/>
    <s v="Rural"/>
    <s v="Femenino"/>
    <x v="0"/>
    <x v="2"/>
    <s v="2023 Y 2024"/>
    <s v="PADD 2023 Y 2024"/>
    <x v="84"/>
    <s v="86548 JOSE MARIA VELAZ4 Primaria"/>
  </r>
  <r>
    <n v="158"/>
    <x v="4"/>
    <s v="Primaria"/>
    <x v="0"/>
    <x v="51"/>
    <s v="Rural"/>
    <s v="Masculino"/>
    <x v="0"/>
    <x v="2"/>
    <s v="2023 Y 2024"/>
    <s v="PADD 2023 Y 2024"/>
    <x v="83"/>
    <s v="88247 SAN ENRIQUE4 Primaria"/>
  </r>
  <r>
    <n v="159"/>
    <x v="4"/>
    <s v="Primaria"/>
    <x v="0"/>
    <x v="51"/>
    <s v="Rural"/>
    <s v="Masculino"/>
    <x v="0"/>
    <x v="2"/>
    <s v="2023 Y 2024"/>
    <s v="PADD 2023 Y 2024"/>
    <x v="83"/>
    <s v="88247 SAN ENRIQUE4 Primaria"/>
  </r>
  <r>
    <n v="160"/>
    <x v="4"/>
    <s v="Primaria"/>
    <x v="0"/>
    <x v="51"/>
    <s v="Rural"/>
    <s v="Masculino"/>
    <x v="0"/>
    <x v="2"/>
    <s v="2023 Y 2024"/>
    <s v="PADD 2023 Y 2024"/>
    <x v="83"/>
    <s v="88247 SAN ENRIQUE4 Primaria"/>
  </r>
  <r>
    <n v="161"/>
    <x v="4"/>
    <s v="Primaria"/>
    <x v="0"/>
    <x v="51"/>
    <s v="Rural"/>
    <s v="Femenino"/>
    <x v="0"/>
    <x v="2"/>
    <s v="2023 Y 2024"/>
    <s v="PADD 2023 Y 2024"/>
    <x v="83"/>
    <s v="88247 SAN ENRIQUE4 Primaria"/>
  </r>
  <r>
    <n v="162"/>
    <x v="4"/>
    <s v="Primaria"/>
    <x v="1"/>
    <x v="48"/>
    <s v="Rural"/>
    <s v="Masculino"/>
    <x v="0"/>
    <x v="2"/>
    <s v="LOS 3 AÑOS"/>
    <s v="SOLO 2023"/>
    <x v="82"/>
    <s v="868096 Primaria"/>
  </r>
  <r>
    <n v="163"/>
    <x v="4"/>
    <s v="Primaria"/>
    <x v="1"/>
    <x v="48"/>
    <s v="Rural"/>
    <s v="Masculino"/>
    <x v="0"/>
    <x v="2"/>
    <s v="LOS 3 AÑOS"/>
    <s v="SOLO 2023"/>
    <x v="82"/>
    <s v="868096 Primaria"/>
  </r>
  <r>
    <n v="164"/>
    <x v="4"/>
    <s v="Primaria"/>
    <x v="1"/>
    <x v="48"/>
    <s v="Rural"/>
    <s v="Femenino"/>
    <x v="0"/>
    <x v="2"/>
    <s v="LOS 3 AÑOS"/>
    <s v="SOLO 2023"/>
    <x v="82"/>
    <s v="868096 Primaria"/>
  </r>
  <r>
    <n v="165"/>
    <x v="4"/>
    <s v="Primaria"/>
    <x v="1"/>
    <x v="48"/>
    <s v="Rural"/>
    <s v="Femenino"/>
    <x v="0"/>
    <x v="2"/>
    <s v="LOS 3 AÑOS"/>
    <s v="SOLO 2023"/>
    <x v="82"/>
    <s v="868096 Primaria"/>
  </r>
  <r>
    <n v="166"/>
    <x v="4"/>
    <s v="Primaria"/>
    <x v="1"/>
    <x v="49"/>
    <s v="Rural"/>
    <s v="Femenino"/>
    <x v="0"/>
    <x v="2"/>
    <s v="2023 Y 2024"/>
    <s v="PADD 2023 Y 2024"/>
    <x v="84"/>
    <s v="86548 JOSE MARIA VELAZ6 Primaria"/>
  </r>
  <r>
    <n v="167"/>
    <x v="4"/>
    <s v="Primaria"/>
    <x v="1"/>
    <x v="49"/>
    <s v="Rural"/>
    <s v="Masculino"/>
    <x v="0"/>
    <x v="2"/>
    <s v="2023 Y 2024"/>
    <s v="PADD 2023 Y 2024"/>
    <x v="84"/>
    <s v="86548 JOSE MARIA VELAZ6 Primaria"/>
  </r>
  <r>
    <n v="168"/>
    <x v="4"/>
    <s v="Primaria"/>
    <x v="1"/>
    <x v="49"/>
    <s v="Rural"/>
    <s v="Masculino"/>
    <x v="0"/>
    <x v="2"/>
    <s v="2023 Y 2024"/>
    <s v="PADD 2023 Y 2024"/>
    <x v="84"/>
    <s v="86548 JOSE MARIA VELAZ6 Primaria"/>
  </r>
  <r>
    <n v="169"/>
    <x v="4"/>
    <s v="Primaria"/>
    <x v="1"/>
    <x v="49"/>
    <s v="Rural"/>
    <s v="Masculino"/>
    <x v="0"/>
    <x v="2"/>
    <s v="2023 Y 2024"/>
    <s v="PADD 2023 Y 2024"/>
    <x v="84"/>
    <s v="86548 JOSE MARIA VELAZ6 Primaria"/>
  </r>
  <r>
    <n v="170"/>
    <x v="4"/>
    <s v="Primaria"/>
    <x v="1"/>
    <x v="49"/>
    <s v="Rural"/>
    <s v="Masculino"/>
    <x v="0"/>
    <x v="2"/>
    <s v="2023 Y 2024"/>
    <s v="PADD 2023 Y 2024"/>
    <x v="84"/>
    <s v="86548 JOSE MARIA VELAZ6 Primaria"/>
  </r>
  <r>
    <n v="171"/>
    <x v="4"/>
    <s v="Primaria"/>
    <x v="1"/>
    <x v="49"/>
    <s v="Rural"/>
    <s v="Femenino"/>
    <x v="0"/>
    <x v="2"/>
    <s v="2023 Y 2024"/>
    <s v="PADD 2023 Y 2024"/>
    <x v="84"/>
    <s v="86548 JOSE MARIA VELAZ6 Primaria"/>
  </r>
  <r>
    <n v="172"/>
    <x v="4"/>
    <s v="Primaria"/>
    <x v="1"/>
    <x v="49"/>
    <s v="Rural"/>
    <s v="Femenino"/>
    <x v="0"/>
    <x v="2"/>
    <s v="2023 Y 2024"/>
    <s v="PADD 2023 Y 2024"/>
    <x v="84"/>
    <s v="86548 JOSE MARIA VELAZ6 Primaria"/>
  </r>
  <r>
    <n v="173"/>
    <x v="4"/>
    <s v="Primaria"/>
    <x v="1"/>
    <x v="49"/>
    <s v="Rural"/>
    <s v="Masculino"/>
    <x v="0"/>
    <x v="2"/>
    <s v="2023 Y 2024"/>
    <s v="PADD 2023 Y 2024"/>
    <x v="84"/>
    <s v="86548 JOSE MARIA VELAZ6 Primaria"/>
  </r>
  <r>
    <n v="174"/>
    <x v="4"/>
    <s v="Primaria"/>
    <x v="1"/>
    <x v="51"/>
    <s v="Rural"/>
    <s v="Masculino"/>
    <x v="0"/>
    <x v="2"/>
    <s v="2023 Y 2024"/>
    <s v="PADD 2023 Y 2024"/>
    <x v="83"/>
    <s v="88247 SAN ENRIQUE6 Primaria"/>
  </r>
  <r>
    <n v="175"/>
    <x v="4"/>
    <s v="Primaria"/>
    <x v="1"/>
    <x v="51"/>
    <s v="Rural"/>
    <s v="Masculino"/>
    <x v="0"/>
    <x v="2"/>
    <s v="2023 Y 2024"/>
    <s v="PADD 2023 Y 2024"/>
    <x v="83"/>
    <s v="88247 SAN ENRIQUE6 Primaria"/>
  </r>
  <r>
    <n v="176"/>
    <x v="4"/>
    <s v="Primaria"/>
    <x v="1"/>
    <x v="51"/>
    <s v="Rural"/>
    <s v="Masculino"/>
    <x v="0"/>
    <x v="2"/>
    <s v="2023 Y 2024"/>
    <s v="PADD 2023 Y 2024"/>
    <x v="83"/>
    <s v="88247 SAN ENRIQUE6 Primaria"/>
  </r>
  <r>
    <n v="177"/>
    <x v="0"/>
    <s v="Primaria"/>
    <x v="4"/>
    <x v="7"/>
    <s v="Rural"/>
    <s v="Masculino"/>
    <x v="0"/>
    <x v="2"/>
    <s v="SOLO 2023"/>
    <s v="PADD 2023 Y 2024"/>
    <x v="85"/>
    <s v="153832 Primaria"/>
  </r>
  <r>
    <n v="178"/>
    <x v="0"/>
    <s v="Primaria"/>
    <x v="0"/>
    <x v="7"/>
    <s v="Rural"/>
    <s v="Femenino"/>
    <x v="0"/>
    <x v="2"/>
    <s v="2023 Y 2024"/>
    <s v="PADD 2023 Y 2024"/>
    <x v="85"/>
    <s v="153834 Primaria"/>
  </r>
  <r>
    <n v="179"/>
    <x v="0"/>
    <s v="Primaria"/>
    <x v="0"/>
    <x v="7"/>
    <s v="Rural"/>
    <s v="Femenino"/>
    <x v="1"/>
    <x v="2"/>
    <s v="2023 Y 2024"/>
    <s v="PADD 2023 Y 2024"/>
    <x v="85"/>
    <s v="153834 Primaria"/>
  </r>
  <r>
    <n v="180"/>
    <x v="0"/>
    <s v="Primaria"/>
    <x v="0"/>
    <x v="7"/>
    <s v="Rural"/>
    <s v="Masculino"/>
    <x v="1"/>
    <x v="2"/>
    <s v="2023 Y 2024"/>
    <s v="PADD 2023 Y 2024"/>
    <x v="85"/>
    <s v="153834 Primaria"/>
  </r>
  <r>
    <n v="181"/>
    <x v="0"/>
    <s v="Primaria"/>
    <x v="1"/>
    <x v="7"/>
    <s v="Rural"/>
    <s v="Femenino"/>
    <x v="1"/>
    <x v="2"/>
    <s v="SOLO 2023"/>
    <s v="PADD 2023 Y 2024"/>
    <x v="85"/>
    <s v="153836 Primaria"/>
  </r>
  <r>
    <n v="182"/>
    <x v="0"/>
    <s v="Primaria"/>
    <x v="1"/>
    <x v="7"/>
    <s v="Rural"/>
    <s v="Masculino"/>
    <x v="1"/>
    <x v="2"/>
    <s v="SOLO 2023"/>
    <s v="PADD 2023 Y 2024"/>
    <x v="85"/>
    <s v="153836 Primaria"/>
  </r>
  <r>
    <n v="183"/>
    <x v="0"/>
    <s v="Primaria"/>
    <x v="4"/>
    <x v="13"/>
    <s v="Rural"/>
    <s v="Masculino"/>
    <x v="1"/>
    <x v="2"/>
    <s v="2023 Y 2024"/>
    <s v="SOLO 2023"/>
    <x v="86"/>
    <s v="152192 Primaria"/>
  </r>
  <r>
    <n v="184"/>
    <x v="0"/>
    <s v="Primaria"/>
    <x v="1"/>
    <x v="13"/>
    <s v="Rural"/>
    <s v="Femenino"/>
    <x v="1"/>
    <x v="2"/>
    <s v="2023 Y 2024"/>
    <s v="SOLO 2023"/>
    <x v="86"/>
    <s v="152196 Primaria"/>
  </r>
  <r>
    <n v="185"/>
    <x v="0"/>
    <s v="Primaria"/>
    <x v="4"/>
    <x v="4"/>
    <s v="Rural"/>
    <s v="Femenino"/>
    <x v="2"/>
    <x v="2"/>
    <s v="SOLO 2023"/>
    <s v="NO PARTICIPÓ"/>
    <x v="87"/>
    <s v="SAGRADO CORAZON DE JESUS2 Primaria"/>
  </r>
  <r>
    <n v="186"/>
    <x v="0"/>
    <s v="Primaria"/>
    <x v="4"/>
    <x v="4"/>
    <s v="Rural"/>
    <s v="Masculino"/>
    <x v="1"/>
    <x v="2"/>
    <s v="SOLO 2023"/>
    <s v="NO PARTICIPÓ"/>
    <x v="87"/>
    <s v="SAGRADO CORAZON DE JESUS2 Primaria"/>
  </r>
  <r>
    <n v="187"/>
    <x v="0"/>
    <s v="Primaria"/>
    <x v="4"/>
    <x v="4"/>
    <s v="Rural"/>
    <s v="Femenino"/>
    <x v="1"/>
    <x v="2"/>
    <s v="SOLO 2023"/>
    <s v="NO PARTICIPÓ"/>
    <x v="87"/>
    <s v="SAGRADO CORAZON DE JESUS2 Primaria"/>
  </r>
  <r>
    <n v="188"/>
    <x v="0"/>
    <s v="Primaria"/>
    <x v="4"/>
    <x v="4"/>
    <s v="Rural"/>
    <s v="Masculino"/>
    <x v="1"/>
    <x v="2"/>
    <s v="SOLO 2023"/>
    <s v="NO PARTICIPÓ"/>
    <x v="87"/>
    <s v="SAGRADO CORAZON DE JESUS2 Primaria"/>
  </r>
  <r>
    <n v="189"/>
    <x v="0"/>
    <s v="Primaria"/>
    <x v="4"/>
    <x v="4"/>
    <s v="Rural"/>
    <s v="Masculino"/>
    <x v="1"/>
    <x v="2"/>
    <s v="SOLO 2023"/>
    <s v="NO PARTICIPÓ"/>
    <x v="87"/>
    <s v="SAGRADO CORAZON DE JESUS2 Primaria"/>
  </r>
  <r>
    <n v="190"/>
    <x v="0"/>
    <s v="Primaria"/>
    <x v="4"/>
    <x v="4"/>
    <s v="Rural"/>
    <s v="Masculino"/>
    <x v="1"/>
    <x v="2"/>
    <s v="SOLO 2023"/>
    <s v="NO PARTICIPÓ"/>
    <x v="87"/>
    <s v="SAGRADO CORAZON DE JESUS2 Primaria"/>
  </r>
  <r>
    <n v="191"/>
    <x v="0"/>
    <s v="Primaria"/>
    <x v="4"/>
    <x v="4"/>
    <s v="Rural"/>
    <s v="Masculino"/>
    <x v="1"/>
    <x v="2"/>
    <s v="SOLO 2023"/>
    <s v="NO PARTICIPÓ"/>
    <x v="87"/>
    <s v="SAGRADO CORAZON DE JESUS2 Primaria"/>
  </r>
  <r>
    <n v="192"/>
    <x v="0"/>
    <s v="Primaria"/>
    <x v="4"/>
    <x v="4"/>
    <s v="Rural"/>
    <s v="Femenino"/>
    <x v="1"/>
    <x v="2"/>
    <s v="SOLO 2023"/>
    <s v="NO PARTICIPÓ"/>
    <x v="87"/>
    <s v="SAGRADO CORAZON DE JESUS2 Primaria"/>
  </r>
  <r>
    <n v="193"/>
    <x v="0"/>
    <s v="Primaria"/>
    <x v="4"/>
    <x v="4"/>
    <s v="Rural"/>
    <s v="Femenino"/>
    <x v="1"/>
    <x v="2"/>
    <s v="SOLO 2023"/>
    <s v="NO PARTICIPÓ"/>
    <x v="87"/>
    <s v="SAGRADO CORAZON DE JESUS2 Primaria"/>
  </r>
  <r>
    <n v="194"/>
    <x v="0"/>
    <s v="Primaria"/>
    <x v="4"/>
    <x v="4"/>
    <s v="Rural"/>
    <s v="Masculino"/>
    <x v="1"/>
    <x v="2"/>
    <s v="SOLO 2023"/>
    <s v="NO PARTICIPÓ"/>
    <x v="87"/>
    <s v="SAGRADO CORAZON DE JESUS2 Primaria"/>
  </r>
  <r>
    <n v="195"/>
    <x v="0"/>
    <s v="Primaria"/>
    <x v="4"/>
    <x v="4"/>
    <s v="Rural"/>
    <s v="Masculino"/>
    <x v="1"/>
    <x v="2"/>
    <s v="SOLO 2023"/>
    <s v="NO PARTICIPÓ"/>
    <x v="87"/>
    <s v="SAGRADO CORAZON DE JESUS2 Primaria"/>
  </r>
  <r>
    <n v="196"/>
    <x v="0"/>
    <s v="Primaria"/>
    <x v="4"/>
    <x v="4"/>
    <s v="Rural"/>
    <s v="Masculino"/>
    <x v="0"/>
    <x v="2"/>
    <s v="SOLO 2023"/>
    <s v="NO PARTICIPÓ"/>
    <x v="87"/>
    <s v="SAGRADO CORAZON DE JESUS2 Primaria"/>
  </r>
  <r>
    <n v="197"/>
    <x v="0"/>
    <s v="Primaria"/>
    <x v="4"/>
    <x v="4"/>
    <s v="Rural"/>
    <s v="Masculino"/>
    <x v="0"/>
    <x v="2"/>
    <s v="SOLO 2023"/>
    <s v="NO PARTICIPÓ"/>
    <x v="87"/>
    <s v="SAGRADO CORAZON DE JESUS2 Primaria"/>
  </r>
  <r>
    <n v="198"/>
    <x v="0"/>
    <s v="Primaria"/>
    <x v="4"/>
    <x v="4"/>
    <s v="Rural"/>
    <s v="Femenino"/>
    <x v="0"/>
    <x v="2"/>
    <s v="SOLO 2023"/>
    <s v="NO PARTICIPÓ"/>
    <x v="87"/>
    <s v="SAGRADO CORAZON DE JESUS2 Primaria"/>
  </r>
  <r>
    <n v="199"/>
    <x v="0"/>
    <s v="Primaria"/>
    <x v="0"/>
    <x v="4"/>
    <s v="Rural"/>
    <s v="Femenino"/>
    <x v="1"/>
    <x v="2"/>
    <s v="2023 Y 2024"/>
    <s v="NO PARTICIPÓ"/>
    <x v="87"/>
    <s v="SAGRADO CORAZON DE JESUS4 Primaria"/>
  </r>
  <r>
    <n v="200"/>
    <x v="0"/>
    <s v="Primaria"/>
    <x v="0"/>
    <x v="4"/>
    <s v="Rural"/>
    <s v="Masculino"/>
    <x v="1"/>
    <x v="2"/>
    <s v="2023 Y 2024"/>
    <s v="NO PARTICIPÓ"/>
    <x v="87"/>
    <s v="SAGRADO CORAZON DE JESUS4 Primaria"/>
  </r>
  <r>
    <n v="201"/>
    <x v="0"/>
    <s v="Primaria"/>
    <x v="0"/>
    <x v="4"/>
    <s v="Rural"/>
    <s v="Femenino"/>
    <x v="0"/>
    <x v="2"/>
    <s v="2023 Y 2024"/>
    <s v="NO PARTICIPÓ"/>
    <x v="87"/>
    <s v="SAGRADO CORAZON DE JESUS4 Primaria"/>
  </r>
  <r>
    <n v="202"/>
    <x v="0"/>
    <s v="Primaria"/>
    <x v="0"/>
    <x v="4"/>
    <s v="Rural"/>
    <s v="Masculino"/>
    <x v="0"/>
    <x v="2"/>
    <s v="2023 Y 2024"/>
    <s v="NO PARTICIPÓ"/>
    <x v="87"/>
    <s v="SAGRADO CORAZON DE JESUS4 Primaria"/>
  </r>
  <r>
    <n v="203"/>
    <x v="0"/>
    <s v="Primaria"/>
    <x v="0"/>
    <x v="4"/>
    <s v="Rural"/>
    <s v="Masculino"/>
    <x v="0"/>
    <x v="2"/>
    <s v="2023 Y 2024"/>
    <s v="NO PARTICIPÓ"/>
    <x v="87"/>
    <s v="SAGRADO CORAZON DE JESUS4 Primaria"/>
  </r>
  <r>
    <n v="204"/>
    <x v="0"/>
    <s v="Primaria"/>
    <x v="0"/>
    <x v="4"/>
    <s v="Rural"/>
    <s v="Masculino"/>
    <x v="0"/>
    <x v="2"/>
    <s v="2023 Y 2024"/>
    <s v="NO PARTICIPÓ"/>
    <x v="87"/>
    <s v="SAGRADO CORAZON DE JESUS4 Primaria"/>
  </r>
  <r>
    <n v="205"/>
    <x v="0"/>
    <s v="Primaria"/>
    <x v="0"/>
    <x v="4"/>
    <s v="Rural"/>
    <s v="Femenino"/>
    <x v="0"/>
    <x v="2"/>
    <s v="2023 Y 2024"/>
    <s v="NO PARTICIPÓ"/>
    <x v="87"/>
    <s v="SAGRADO CORAZON DE JESUS4 Primaria"/>
  </r>
  <r>
    <n v="206"/>
    <x v="0"/>
    <s v="Primaria"/>
    <x v="0"/>
    <x v="4"/>
    <s v="Rural"/>
    <s v="Femenino"/>
    <x v="0"/>
    <x v="2"/>
    <s v="2023 Y 2024"/>
    <s v="NO PARTICIPÓ"/>
    <x v="87"/>
    <s v="SAGRADO CORAZON DE JESUS4 Primaria"/>
  </r>
  <r>
    <n v="207"/>
    <x v="0"/>
    <s v="Primaria"/>
    <x v="0"/>
    <x v="4"/>
    <s v="Rural"/>
    <s v="Femenino"/>
    <x v="0"/>
    <x v="2"/>
    <s v="2023 Y 2024"/>
    <s v="NO PARTICIPÓ"/>
    <x v="87"/>
    <s v="SAGRADO CORAZON DE JESUS4 Primaria"/>
  </r>
  <r>
    <n v="208"/>
    <x v="0"/>
    <s v="Primaria"/>
    <x v="0"/>
    <x v="4"/>
    <s v="Rural"/>
    <s v="Femenino"/>
    <x v="0"/>
    <x v="2"/>
    <s v="2023 Y 2024"/>
    <s v="NO PARTICIPÓ"/>
    <x v="87"/>
    <s v="SAGRADO CORAZON DE JESUS4 Primaria"/>
  </r>
  <r>
    <n v="209"/>
    <x v="0"/>
    <s v="Primaria"/>
    <x v="0"/>
    <x v="4"/>
    <s v="Rural"/>
    <s v="Masculino"/>
    <x v="0"/>
    <x v="2"/>
    <s v="2023 Y 2024"/>
    <s v="NO PARTICIPÓ"/>
    <x v="87"/>
    <s v="SAGRADO CORAZON DE JESUS4 Primaria"/>
  </r>
  <r>
    <n v="210"/>
    <x v="0"/>
    <s v="Primaria"/>
    <x v="0"/>
    <x v="4"/>
    <s v="Rural"/>
    <s v="Masculino"/>
    <x v="0"/>
    <x v="2"/>
    <s v="2023 Y 2024"/>
    <s v="NO PARTICIPÓ"/>
    <x v="87"/>
    <s v="SAGRADO CORAZON DE JESUS4 Primaria"/>
  </r>
  <r>
    <n v="211"/>
    <x v="0"/>
    <s v="Primaria"/>
    <x v="0"/>
    <x v="4"/>
    <s v="Rural"/>
    <s v="Masculino"/>
    <x v="1"/>
    <x v="2"/>
    <s v="2023 Y 2024"/>
    <s v="NO PARTICIPÓ"/>
    <x v="87"/>
    <s v="SAGRADO CORAZON DE JESUS4 Primaria"/>
  </r>
  <r>
    <n v="212"/>
    <x v="0"/>
    <s v="Primaria"/>
    <x v="1"/>
    <x v="4"/>
    <s v="Rural"/>
    <s v="Masculino"/>
    <x v="1"/>
    <x v="2"/>
    <s v="2023 Y 2024"/>
    <s v="NO PARTICIPÓ"/>
    <x v="87"/>
    <s v="SAGRADO CORAZON DE JESUS6 Primaria"/>
  </r>
  <r>
    <n v="213"/>
    <x v="0"/>
    <s v="Primaria"/>
    <x v="1"/>
    <x v="4"/>
    <s v="Rural"/>
    <s v="Femenino"/>
    <x v="1"/>
    <x v="2"/>
    <s v="2023 Y 2024"/>
    <s v="NO PARTICIPÓ"/>
    <x v="87"/>
    <s v="SAGRADO CORAZON DE JESUS6 Primaria"/>
  </r>
  <r>
    <n v="214"/>
    <x v="0"/>
    <s v="Primaria"/>
    <x v="1"/>
    <x v="4"/>
    <s v="Rural"/>
    <s v="Masculino"/>
    <x v="1"/>
    <x v="2"/>
    <s v="2023 Y 2024"/>
    <s v="NO PARTICIPÓ"/>
    <x v="87"/>
    <s v="SAGRADO CORAZON DE JESUS6 Primaria"/>
  </r>
  <r>
    <n v="215"/>
    <x v="0"/>
    <s v="Primaria"/>
    <x v="1"/>
    <x v="4"/>
    <s v="Rural"/>
    <s v="Masculino"/>
    <x v="0"/>
    <x v="2"/>
    <s v="2023 Y 2024"/>
    <s v="NO PARTICIPÓ"/>
    <x v="87"/>
    <s v="SAGRADO CORAZON DE JESUS6 Primaria"/>
  </r>
  <r>
    <n v="216"/>
    <x v="0"/>
    <s v="Primaria"/>
    <x v="1"/>
    <x v="4"/>
    <s v="Rural"/>
    <s v="Masculino"/>
    <x v="1"/>
    <x v="2"/>
    <s v="2023 Y 2024"/>
    <s v="NO PARTICIPÓ"/>
    <x v="87"/>
    <s v="SAGRADO CORAZON DE JESUS6 Primaria"/>
  </r>
  <r>
    <n v="217"/>
    <x v="0"/>
    <s v="Primaria"/>
    <x v="1"/>
    <x v="4"/>
    <s v="Rural"/>
    <s v="Femenino"/>
    <x v="1"/>
    <x v="2"/>
    <s v="2023 Y 2024"/>
    <s v="NO PARTICIPÓ"/>
    <x v="87"/>
    <s v="SAGRADO CORAZON DE JESUS6 Primaria"/>
  </r>
  <r>
    <n v="218"/>
    <x v="0"/>
    <s v="Primaria"/>
    <x v="1"/>
    <x v="4"/>
    <s v="Rural"/>
    <s v="Femenino"/>
    <x v="1"/>
    <x v="2"/>
    <s v="2023 Y 2024"/>
    <s v="NO PARTICIPÓ"/>
    <x v="87"/>
    <s v="SAGRADO CORAZON DE JESUS6 Primaria"/>
  </r>
  <r>
    <n v="219"/>
    <x v="0"/>
    <s v="Primaria"/>
    <x v="1"/>
    <x v="4"/>
    <s v="Rural"/>
    <s v="Femenino"/>
    <x v="1"/>
    <x v="2"/>
    <s v="2023 Y 2024"/>
    <s v="NO PARTICIPÓ"/>
    <x v="87"/>
    <s v="SAGRADO CORAZON DE JESUS6 Primaria"/>
  </r>
  <r>
    <n v="220"/>
    <x v="0"/>
    <s v="Primaria"/>
    <x v="1"/>
    <x v="4"/>
    <s v="Rural"/>
    <s v="Femenino"/>
    <x v="2"/>
    <x v="2"/>
    <s v="2023 Y 2024"/>
    <s v="NO PARTICIPÓ"/>
    <x v="87"/>
    <s v="SAGRADO CORAZON DE JESUS6 Primaria"/>
  </r>
  <r>
    <n v="221"/>
    <x v="0"/>
    <s v="Primaria"/>
    <x v="1"/>
    <x v="4"/>
    <s v="Rural"/>
    <s v="Masculino"/>
    <x v="2"/>
    <x v="2"/>
    <s v="2023 Y 2024"/>
    <s v="NO PARTICIPÓ"/>
    <x v="87"/>
    <s v="SAGRADO CORAZON DE JESUS6 Primaria"/>
  </r>
  <r>
    <n v="222"/>
    <x v="0"/>
    <s v="Primaria"/>
    <x v="1"/>
    <x v="4"/>
    <s v="Rural"/>
    <s v="Masculino"/>
    <x v="1"/>
    <x v="2"/>
    <s v="2023 Y 2024"/>
    <s v="NO PARTICIPÓ"/>
    <x v="87"/>
    <s v="SAGRADO CORAZON DE JESUS6 Primaria"/>
  </r>
  <r>
    <n v="223"/>
    <x v="0"/>
    <s v="Primaria"/>
    <x v="1"/>
    <x v="4"/>
    <s v="Rural"/>
    <s v="Femenino"/>
    <x v="1"/>
    <x v="2"/>
    <s v="2023 Y 2024"/>
    <s v="NO PARTICIPÓ"/>
    <x v="87"/>
    <s v="SAGRADO CORAZON DE JESUS6 Primaria"/>
  </r>
  <r>
    <n v="224"/>
    <x v="0"/>
    <s v="Primaria"/>
    <x v="1"/>
    <x v="4"/>
    <s v="Rural"/>
    <s v="Femenino"/>
    <x v="1"/>
    <x v="2"/>
    <s v="2023 Y 2024"/>
    <s v="NO PARTICIPÓ"/>
    <x v="87"/>
    <s v="SAGRADO CORAZON DE JESUS6 Primaria"/>
  </r>
  <r>
    <n v="225"/>
    <x v="0"/>
    <s v="Primaria"/>
    <x v="1"/>
    <x v="4"/>
    <s v="Rural"/>
    <s v="Masculino"/>
    <x v="1"/>
    <x v="2"/>
    <s v="2023 Y 2024"/>
    <s v="NO PARTICIPÓ"/>
    <x v="87"/>
    <s v="SAGRADO CORAZON DE JESUS6 Primaria"/>
  </r>
  <r>
    <n v="226"/>
    <x v="0"/>
    <s v="Primaria"/>
    <x v="1"/>
    <x v="4"/>
    <s v="Rural"/>
    <s v="Masculino"/>
    <x v="2"/>
    <x v="2"/>
    <s v="2023 Y 2024"/>
    <s v="NO PARTICIPÓ"/>
    <x v="87"/>
    <s v="SAGRADO CORAZON DE JESUS6 Primaria"/>
  </r>
  <r>
    <n v="227"/>
    <x v="0"/>
    <s v="Primaria"/>
    <x v="4"/>
    <x v="5"/>
    <s v="Rural"/>
    <s v="Masculino"/>
    <x v="0"/>
    <x v="2"/>
    <s v="2023 Y 2024"/>
    <s v="SOLO 2023"/>
    <x v="88"/>
    <s v="14144 SANTA ROSA2 Primaria"/>
  </r>
  <r>
    <n v="228"/>
    <x v="0"/>
    <s v="Primaria"/>
    <x v="4"/>
    <x v="5"/>
    <s v="Rural"/>
    <s v="Masculino"/>
    <x v="2"/>
    <x v="2"/>
    <s v="2023 Y 2024"/>
    <s v="SOLO 2023"/>
    <x v="88"/>
    <s v="14144 SANTA ROSA2 Primaria"/>
  </r>
  <r>
    <n v="229"/>
    <x v="0"/>
    <s v="Primaria"/>
    <x v="4"/>
    <x v="5"/>
    <s v="Rural"/>
    <s v="Femenino"/>
    <x v="1"/>
    <x v="2"/>
    <s v="2023 Y 2024"/>
    <s v="SOLO 2023"/>
    <x v="88"/>
    <s v="14144 SANTA ROSA2 Primaria"/>
  </r>
  <r>
    <n v="230"/>
    <x v="0"/>
    <s v="Primaria"/>
    <x v="4"/>
    <x v="5"/>
    <s v="Rural"/>
    <s v="Femenino"/>
    <x v="2"/>
    <x v="2"/>
    <s v="2023 Y 2024"/>
    <s v="SOLO 2023"/>
    <x v="88"/>
    <s v="14144 SANTA ROSA2 Primaria"/>
  </r>
  <r>
    <n v="231"/>
    <x v="0"/>
    <s v="Primaria"/>
    <x v="4"/>
    <x v="5"/>
    <s v="Rural"/>
    <s v="Femenino"/>
    <x v="1"/>
    <x v="2"/>
    <s v="2023 Y 2024"/>
    <s v="SOLO 2023"/>
    <x v="88"/>
    <s v="14144 SANTA ROSA2 Primaria"/>
  </r>
  <r>
    <n v="232"/>
    <x v="0"/>
    <s v="Primaria"/>
    <x v="4"/>
    <x v="5"/>
    <s v="Rural"/>
    <s v="Masculino"/>
    <x v="0"/>
    <x v="2"/>
    <s v="2023 Y 2024"/>
    <s v="SOLO 2023"/>
    <x v="88"/>
    <s v="14144 SANTA ROSA2 Primaria"/>
  </r>
  <r>
    <n v="233"/>
    <x v="0"/>
    <s v="Primaria"/>
    <x v="4"/>
    <x v="5"/>
    <s v="Rural"/>
    <s v="Masculino"/>
    <x v="1"/>
    <x v="2"/>
    <s v="2023 Y 2024"/>
    <s v="SOLO 2023"/>
    <x v="88"/>
    <s v="14144 SANTA ROSA2 Primaria"/>
  </r>
  <r>
    <n v="234"/>
    <x v="0"/>
    <s v="Primaria"/>
    <x v="4"/>
    <x v="5"/>
    <s v="Rural"/>
    <s v="Femenino"/>
    <x v="0"/>
    <x v="2"/>
    <s v="2023 Y 2024"/>
    <s v="SOLO 2023"/>
    <x v="88"/>
    <s v="14144 SANTA ROSA2 Primaria"/>
  </r>
  <r>
    <n v="235"/>
    <x v="0"/>
    <s v="Primaria"/>
    <x v="4"/>
    <x v="5"/>
    <s v="Rural"/>
    <s v="Femenino"/>
    <x v="2"/>
    <x v="2"/>
    <s v="2023 Y 2024"/>
    <s v="SOLO 2023"/>
    <x v="88"/>
    <s v="14144 SANTA ROSA2 Primaria"/>
  </r>
  <r>
    <n v="236"/>
    <x v="0"/>
    <s v="Primaria"/>
    <x v="4"/>
    <x v="5"/>
    <s v="Rural"/>
    <s v="Femenino"/>
    <x v="0"/>
    <x v="2"/>
    <s v="2023 Y 2024"/>
    <s v="SOLO 2023"/>
    <x v="88"/>
    <s v="14144 SANTA ROSA2 Primaria"/>
  </r>
  <r>
    <n v="237"/>
    <x v="0"/>
    <s v="Primaria"/>
    <x v="4"/>
    <x v="5"/>
    <s v="Rural"/>
    <s v="Masculino"/>
    <x v="0"/>
    <x v="2"/>
    <s v="2023 Y 2024"/>
    <s v="SOLO 2023"/>
    <x v="88"/>
    <s v="14144 SANTA ROSA2 Primaria"/>
  </r>
  <r>
    <n v="238"/>
    <x v="0"/>
    <s v="Primaria"/>
    <x v="4"/>
    <x v="5"/>
    <s v="Rural"/>
    <s v="Masculino"/>
    <x v="0"/>
    <x v="2"/>
    <s v="2023 Y 2024"/>
    <s v="SOLO 2023"/>
    <x v="88"/>
    <s v="14144 SANTA ROSA2 Primaria"/>
  </r>
  <r>
    <n v="239"/>
    <x v="0"/>
    <s v="Primaria"/>
    <x v="4"/>
    <x v="5"/>
    <s v="Rural"/>
    <s v="Femenino"/>
    <x v="0"/>
    <x v="2"/>
    <s v="2023 Y 2024"/>
    <s v="SOLO 2023"/>
    <x v="88"/>
    <s v="14144 SANTA ROSA2 Primaria"/>
  </r>
  <r>
    <n v="240"/>
    <x v="0"/>
    <s v="Primaria"/>
    <x v="4"/>
    <x v="5"/>
    <s v="Rural"/>
    <s v="Femenino"/>
    <x v="1"/>
    <x v="2"/>
    <s v="2023 Y 2024"/>
    <s v="SOLO 2023"/>
    <x v="88"/>
    <s v="14144 SANTA ROSA2 Primaria"/>
  </r>
  <r>
    <n v="241"/>
    <x v="0"/>
    <s v="Primaria"/>
    <x v="4"/>
    <x v="5"/>
    <s v="Rural"/>
    <s v="Masculino"/>
    <x v="1"/>
    <x v="2"/>
    <s v="2023 Y 2024"/>
    <s v="SOLO 2023"/>
    <x v="88"/>
    <s v="14144 SANTA ROSA2 Primaria"/>
  </r>
  <r>
    <n v="242"/>
    <x v="0"/>
    <s v="Primaria"/>
    <x v="4"/>
    <x v="5"/>
    <s v="Rural"/>
    <s v="Masculino"/>
    <x v="0"/>
    <x v="2"/>
    <s v="2023 Y 2024"/>
    <s v="SOLO 2023"/>
    <x v="88"/>
    <s v="14144 SANTA ROSA2 Primaria"/>
  </r>
  <r>
    <n v="243"/>
    <x v="0"/>
    <s v="Primaria"/>
    <x v="4"/>
    <x v="5"/>
    <s v="Rural"/>
    <s v="Masculino"/>
    <x v="2"/>
    <x v="2"/>
    <s v="2023 Y 2024"/>
    <s v="SOLO 2023"/>
    <x v="88"/>
    <s v="14144 SANTA ROSA2 Primaria"/>
  </r>
  <r>
    <n v="244"/>
    <x v="0"/>
    <s v="Primaria"/>
    <x v="4"/>
    <x v="5"/>
    <s v="Rural"/>
    <s v="Masculino"/>
    <x v="1"/>
    <x v="2"/>
    <s v="2023 Y 2024"/>
    <s v="SOLO 2023"/>
    <x v="88"/>
    <s v="14144 SANTA ROSA2 Primaria"/>
  </r>
  <r>
    <n v="245"/>
    <x v="0"/>
    <s v="Primaria"/>
    <x v="4"/>
    <x v="5"/>
    <s v="Rural"/>
    <s v="Femenino"/>
    <x v="1"/>
    <x v="2"/>
    <s v="2023 Y 2024"/>
    <s v="SOLO 2023"/>
    <x v="88"/>
    <s v="14144 SANTA ROSA2 Primaria"/>
  </r>
  <r>
    <n v="246"/>
    <x v="0"/>
    <s v="Primaria"/>
    <x v="4"/>
    <x v="5"/>
    <s v="Rural"/>
    <s v="Masculino"/>
    <x v="0"/>
    <x v="2"/>
    <s v="2023 Y 2024"/>
    <s v="SOLO 2023"/>
    <x v="88"/>
    <s v="14144 SANTA ROSA2 Primaria"/>
  </r>
  <r>
    <n v="247"/>
    <x v="0"/>
    <s v="Primaria"/>
    <x v="4"/>
    <x v="5"/>
    <s v="Rural"/>
    <s v="Femenino"/>
    <x v="2"/>
    <x v="2"/>
    <s v="2023 Y 2024"/>
    <s v="SOLO 2023"/>
    <x v="88"/>
    <s v="14144 SANTA ROSA2 Primaria"/>
  </r>
  <r>
    <n v="248"/>
    <x v="0"/>
    <s v="Primaria"/>
    <x v="4"/>
    <x v="5"/>
    <s v="Rural"/>
    <s v="Masculino"/>
    <x v="0"/>
    <x v="2"/>
    <s v="2023 Y 2024"/>
    <s v="SOLO 2023"/>
    <x v="88"/>
    <s v="14144 SANTA ROSA2 Primaria"/>
  </r>
  <r>
    <n v="249"/>
    <x v="0"/>
    <s v="Primaria"/>
    <x v="4"/>
    <x v="5"/>
    <s v="Rural"/>
    <s v="Masculino"/>
    <x v="0"/>
    <x v="2"/>
    <s v="2023 Y 2024"/>
    <s v="SOLO 2023"/>
    <x v="88"/>
    <s v="14144 SANTA ROSA2 Primaria"/>
  </r>
  <r>
    <n v="250"/>
    <x v="0"/>
    <s v="Primaria"/>
    <x v="4"/>
    <x v="5"/>
    <s v="Rural"/>
    <s v="Femenino"/>
    <x v="2"/>
    <x v="2"/>
    <s v="2023 Y 2024"/>
    <s v="SOLO 2023"/>
    <x v="88"/>
    <s v="14144 SANTA ROSA2 Primaria"/>
  </r>
  <r>
    <n v="251"/>
    <x v="0"/>
    <s v="Primaria"/>
    <x v="4"/>
    <x v="5"/>
    <s v="Rural"/>
    <s v="Femenino"/>
    <x v="1"/>
    <x v="2"/>
    <s v="2023 Y 2024"/>
    <s v="SOLO 2023"/>
    <x v="88"/>
    <s v="14144 SANTA ROSA2 Primaria"/>
  </r>
  <r>
    <n v="252"/>
    <x v="0"/>
    <s v="Primaria"/>
    <x v="4"/>
    <x v="5"/>
    <s v="Rural"/>
    <s v="Masculino"/>
    <x v="1"/>
    <x v="2"/>
    <s v="2023 Y 2024"/>
    <s v="SOLO 2023"/>
    <x v="88"/>
    <s v="14144 SANTA ROSA2 Primaria"/>
  </r>
  <r>
    <n v="253"/>
    <x v="0"/>
    <s v="Primaria"/>
    <x v="4"/>
    <x v="5"/>
    <s v="Rural"/>
    <s v="Masculino"/>
    <x v="0"/>
    <x v="2"/>
    <s v="2023 Y 2024"/>
    <s v="SOLO 2023"/>
    <x v="88"/>
    <s v="14144 SANTA ROSA2 Primaria"/>
  </r>
  <r>
    <n v="254"/>
    <x v="0"/>
    <s v="Primaria"/>
    <x v="4"/>
    <x v="5"/>
    <s v="Rural"/>
    <s v="Femenino"/>
    <x v="2"/>
    <x v="2"/>
    <s v="2023 Y 2024"/>
    <s v="SOLO 2023"/>
    <x v="88"/>
    <s v="14144 SANTA ROSA2 Primaria"/>
  </r>
  <r>
    <n v="255"/>
    <x v="0"/>
    <s v="Primaria"/>
    <x v="4"/>
    <x v="5"/>
    <s v="Rural"/>
    <s v="Femenino"/>
    <x v="1"/>
    <x v="2"/>
    <s v="2023 Y 2024"/>
    <s v="SOLO 2023"/>
    <x v="88"/>
    <s v="14144 SANTA ROSA2 Primaria"/>
  </r>
  <r>
    <n v="256"/>
    <x v="0"/>
    <s v="Primaria"/>
    <x v="4"/>
    <x v="5"/>
    <s v="Rural"/>
    <s v="Femenino"/>
    <x v="2"/>
    <x v="2"/>
    <s v="2023 Y 2024"/>
    <s v="SOLO 2023"/>
    <x v="88"/>
    <s v="14144 SANTA ROSA2 Primaria"/>
  </r>
  <r>
    <n v="257"/>
    <x v="0"/>
    <s v="Primaria"/>
    <x v="4"/>
    <x v="5"/>
    <s v="Rural"/>
    <s v="Femenino"/>
    <x v="1"/>
    <x v="2"/>
    <s v="2023 Y 2024"/>
    <s v="SOLO 2023"/>
    <x v="88"/>
    <s v="14144 SANTA ROSA2 Primaria"/>
  </r>
  <r>
    <n v="258"/>
    <x v="0"/>
    <s v="Primaria"/>
    <x v="4"/>
    <x v="5"/>
    <s v="Rural"/>
    <s v="Femenino"/>
    <x v="1"/>
    <x v="2"/>
    <s v="2023 Y 2024"/>
    <s v="SOLO 2023"/>
    <x v="88"/>
    <s v="14144 SANTA ROSA2 Primaria"/>
  </r>
  <r>
    <n v="259"/>
    <x v="0"/>
    <s v="Primaria"/>
    <x v="4"/>
    <x v="5"/>
    <s v="Rural"/>
    <s v="Masculino"/>
    <x v="1"/>
    <x v="2"/>
    <s v="2023 Y 2024"/>
    <s v="SOLO 2023"/>
    <x v="88"/>
    <s v="14144 SANTA ROSA2 Primaria"/>
  </r>
  <r>
    <n v="260"/>
    <x v="0"/>
    <s v="Primaria"/>
    <x v="4"/>
    <x v="5"/>
    <s v="Rural"/>
    <s v="Masculino"/>
    <x v="1"/>
    <x v="2"/>
    <s v="2023 Y 2024"/>
    <s v="SOLO 2023"/>
    <x v="88"/>
    <s v="14144 SANTA ROSA2 Primaria"/>
  </r>
  <r>
    <n v="261"/>
    <x v="0"/>
    <s v="Primaria"/>
    <x v="4"/>
    <x v="5"/>
    <s v="Rural"/>
    <s v="Masculino"/>
    <x v="0"/>
    <x v="2"/>
    <s v="2023 Y 2024"/>
    <s v="SOLO 2023"/>
    <x v="88"/>
    <s v="14144 SANTA ROSA2 Primaria"/>
  </r>
  <r>
    <n v="262"/>
    <x v="0"/>
    <s v="Primaria"/>
    <x v="4"/>
    <x v="5"/>
    <s v="Rural"/>
    <s v="Femenino"/>
    <x v="0"/>
    <x v="2"/>
    <s v="2023 Y 2024"/>
    <s v="SOLO 2023"/>
    <x v="88"/>
    <s v="14144 SANTA ROSA2 Primaria"/>
  </r>
  <r>
    <n v="263"/>
    <x v="0"/>
    <s v="Primaria"/>
    <x v="4"/>
    <x v="5"/>
    <s v="Rural"/>
    <s v="Femenino"/>
    <x v="1"/>
    <x v="2"/>
    <s v="2023 Y 2024"/>
    <s v="SOLO 2023"/>
    <x v="88"/>
    <s v="14144 SANTA ROSA2 Primaria"/>
  </r>
  <r>
    <n v="264"/>
    <x v="0"/>
    <s v="Primaria"/>
    <x v="4"/>
    <x v="5"/>
    <s v="Rural"/>
    <s v="Femenino"/>
    <x v="1"/>
    <x v="2"/>
    <s v="2023 Y 2024"/>
    <s v="SOLO 2023"/>
    <x v="88"/>
    <s v="14144 SANTA ROSA2 Primaria"/>
  </r>
  <r>
    <n v="265"/>
    <x v="0"/>
    <s v="Primaria"/>
    <x v="4"/>
    <x v="5"/>
    <s v="Rural"/>
    <s v="Femenino"/>
    <x v="1"/>
    <x v="2"/>
    <s v="2023 Y 2024"/>
    <s v="SOLO 2023"/>
    <x v="88"/>
    <s v="14144 SANTA ROSA2 Primaria"/>
  </r>
  <r>
    <n v="266"/>
    <x v="0"/>
    <s v="Primaria"/>
    <x v="4"/>
    <x v="5"/>
    <s v="Rural"/>
    <s v="Femenino"/>
    <x v="0"/>
    <x v="2"/>
    <s v="2023 Y 2024"/>
    <s v="SOLO 2023"/>
    <x v="88"/>
    <s v="14144 SANTA ROSA2 Primaria"/>
  </r>
  <r>
    <n v="267"/>
    <x v="0"/>
    <s v="Primaria"/>
    <x v="4"/>
    <x v="5"/>
    <s v="Rural"/>
    <s v="Masculino"/>
    <x v="0"/>
    <x v="2"/>
    <s v="2023 Y 2024"/>
    <s v="SOLO 2023"/>
    <x v="88"/>
    <s v="14144 SANTA ROSA2 Primaria"/>
  </r>
  <r>
    <n v="268"/>
    <x v="0"/>
    <s v="Primaria"/>
    <x v="4"/>
    <x v="5"/>
    <s v="Rural"/>
    <s v="Masculino"/>
    <x v="1"/>
    <x v="2"/>
    <s v="2023 Y 2024"/>
    <s v="SOLO 2023"/>
    <x v="88"/>
    <s v="14144 SANTA ROSA2 Primaria"/>
  </r>
  <r>
    <n v="269"/>
    <x v="0"/>
    <s v="Primaria"/>
    <x v="4"/>
    <x v="5"/>
    <s v="Rural"/>
    <s v="Masculino"/>
    <x v="1"/>
    <x v="2"/>
    <s v="2023 Y 2024"/>
    <s v="SOLO 2023"/>
    <x v="88"/>
    <s v="14144 SANTA ROSA2 Primaria"/>
  </r>
  <r>
    <n v="270"/>
    <x v="0"/>
    <s v="Primaria"/>
    <x v="4"/>
    <x v="5"/>
    <s v="Rural"/>
    <s v="Femenino"/>
    <x v="1"/>
    <x v="2"/>
    <s v="2023 Y 2024"/>
    <s v="SOLO 2023"/>
    <x v="88"/>
    <s v="14144 SANTA ROSA2 Primaria"/>
  </r>
  <r>
    <n v="271"/>
    <x v="0"/>
    <s v="Primaria"/>
    <x v="4"/>
    <x v="5"/>
    <s v="Rural"/>
    <s v="Masculino"/>
    <x v="1"/>
    <x v="2"/>
    <s v="2023 Y 2024"/>
    <s v="SOLO 2023"/>
    <x v="88"/>
    <s v="14144 SANTA ROSA2 Primaria"/>
  </r>
  <r>
    <n v="272"/>
    <x v="0"/>
    <s v="Primaria"/>
    <x v="4"/>
    <x v="5"/>
    <s v="Rural"/>
    <s v="Masculino"/>
    <x v="1"/>
    <x v="2"/>
    <s v="2023 Y 2024"/>
    <s v="SOLO 2023"/>
    <x v="88"/>
    <s v="14144 SANTA ROSA2 Primaria"/>
  </r>
  <r>
    <n v="273"/>
    <x v="0"/>
    <s v="Primaria"/>
    <x v="4"/>
    <x v="5"/>
    <s v="Rural"/>
    <s v="Femenino"/>
    <x v="0"/>
    <x v="2"/>
    <s v="2023 Y 2024"/>
    <s v="SOLO 2023"/>
    <x v="88"/>
    <s v="14144 SANTA ROSA2 Primaria"/>
  </r>
  <r>
    <n v="274"/>
    <x v="0"/>
    <s v="Primaria"/>
    <x v="4"/>
    <x v="5"/>
    <s v="Rural"/>
    <s v="Masculino"/>
    <x v="0"/>
    <x v="2"/>
    <s v="2023 Y 2024"/>
    <s v="SOLO 2023"/>
    <x v="88"/>
    <s v="14144 SANTA ROSA2 Primaria"/>
  </r>
  <r>
    <n v="275"/>
    <x v="0"/>
    <s v="Primaria"/>
    <x v="4"/>
    <x v="5"/>
    <s v="Rural"/>
    <s v="Femenino"/>
    <x v="1"/>
    <x v="2"/>
    <s v="2023 Y 2024"/>
    <s v="SOLO 2023"/>
    <x v="88"/>
    <s v="14144 SANTA ROSA2 Primaria"/>
  </r>
  <r>
    <n v="276"/>
    <x v="0"/>
    <s v="Primaria"/>
    <x v="4"/>
    <x v="5"/>
    <s v="Rural"/>
    <s v="Femenino"/>
    <x v="0"/>
    <x v="2"/>
    <s v="2023 Y 2024"/>
    <s v="SOLO 2023"/>
    <x v="88"/>
    <s v="14144 SANTA ROSA2 Primaria"/>
  </r>
  <r>
    <n v="277"/>
    <x v="0"/>
    <s v="Primaria"/>
    <x v="4"/>
    <x v="5"/>
    <s v="Rural"/>
    <s v="Masculino"/>
    <x v="1"/>
    <x v="2"/>
    <s v="2023 Y 2024"/>
    <s v="SOLO 2023"/>
    <x v="88"/>
    <s v="14144 SANTA ROSA2 Primaria"/>
  </r>
  <r>
    <n v="278"/>
    <x v="0"/>
    <s v="Primaria"/>
    <x v="4"/>
    <x v="5"/>
    <s v="Rural"/>
    <s v="Masculino"/>
    <x v="1"/>
    <x v="2"/>
    <s v="2023 Y 2024"/>
    <s v="SOLO 2023"/>
    <x v="88"/>
    <s v="14144 SANTA ROSA2 Primaria"/>
  </r>
  <r>
    <n v="279"/>
    <x v="0"/>
    <s v="Primaria"/>
    <x v="4"/>
    <x v="5"/>
    <s v="Rural"/>
    <s v="Masculino"/>
    <x v="2"/>
    <x v="2"/>
    <s v="2023 Y 2024"/>
    <s v="SOLO 2023"/>
    <x v="88"/>
    <s v="14144 SANTA ROSA2 Primaria"/>
  </r>
  <r>
    <n v="280"/>
    <x v="0"/>
    <s v="Primaria"/>
    <x v="4"/>
    <x v="5"/>
    <s v="Rural"/>
    <s v="Femenino"/>
    <x v="2"/>
    <x v="2"/>
    <s v="2023 Y 2024"/>
    <s v="SOLO 2023"/>
    <x v="88"/>
    <s v="14144 SANTA ROSA2 Primaria"/>
  </r>
  <r>
    <n v="281"/>
    <x v="0"/>
    <s v="Primaria"/>
    <x v="4"/>
    <x v="5"/>
    <s v="Rural"/>
    <s v="Masculino"/>
    <x v="2"/>
    <x v="2"/>
    <s v="2023 Y 2024"/>
    <s v="SOLO 2023"/>
    <x v="88"/>
    <s v="14144 SANTA ROSA2 Primaria"/>
  </r>
  <r>
    <n v="282"/>
    <x v="0"/>
    <s v="Primaria"/>
    <x v="4"/>
    <x v="5"/>
    <s v="Rural"/>
    <s v="Masculino"/>
    <x v="0"/>
    <x v="2"/>
    <s v="2023 Y 2024"/>
    <s v="SOLO 2023"/>
    <x v="88"/>
    <s v="14144 SANTA ROSA2 Primaria"/>
  </r>
  <r>
    <n v="283"/>
    <x v="0"/>
    <s v="Primaria"/>
    <x v="4"/>
    <x v="5"/>
    <s v="Rural"/>
    <s v="Femenino"/>
    <x v="1"/>
    <x v="2"/>
    <s v="2023 Y 2024"/>
    <s v="SOLO 2023"/>
    <x v="88"/>
    <s v="14144 SANTA ROSA2 Primaria"/>
  </r>
  <r>
    <n v="284"/>
    <x v="0"/>
    <s v="Primaria"/>
    <x v="0"/>
    <x v="5"/>
    <s v="Rural"/>
    <s v="Femenino"/>
    <x v="1"/>
    <x v="2"/>
    <s v="2023 Y 2024"/>
    <s v="SOLO 2023"/>
    <x v="88"/>
    <s v="14144 SANTA ROSA4 Primaria"/>
  </r>
  <r>
    <n v="285"/>
    <x v="0"/>
    <s v="Primaria"/>
    <x v="0"/>
    <x v="5"/>
    <s v="Rural"/>
    <s v="Masculino"/>
    <x v="1"/>
    <x v="2"/>
    <s v="2023 Y 2024"/>
    <s v="SOLO 2023"/>
    <x v="88"/>
    <s v="14144 SANTA ROSA4 Primaria"/>
  </r>
  <r>
    <n v="286"/>
    <x v="0"/>
    <s v="Primaria"/>
    <x v="0"/>
    <x v="5"/>
    <s v="Rural"/>
    <s v="Femenino"/>
    <x v="0"/>
    <x v="2"/>
    <s v="2023 Y 2024"/>
    <s v="SOLO 2023"/>
    <x v="88"/>
    <s v="14144 SANTA ROSA4 Primaria"/>
  </r>
  <r>
    <n v="287"/>
    <x v="0"/>
    <s v="Primaria"/>
    <x v="0"/>
    <x v="5"/>
    <s v="Rural"/>
    <s v="Femenino"/>
    <x v="0"/>
    <x v="2"/>
    <s v="2023 Y 2024"/>
    <s v="SOLO 2023"/>
    <x v="88"/>
    <s v="14144 SANTA ROSA4 Primaria"/>
  </r>
  <r>
    <n v="288"/>
    <x v="0"/>
    <s v="Primaria"/>
    <x v="0"/>
    <x v="5"/>
    <s v="Rural"/>
    <s v="Femenino"/>
    <x v="1"/>
    <x v="2"/>
    <s v="2023 Y 2024"/>
    <s v="SOLO 2023"/>
    <x v="88"/>
    <s v="14144 SANTA ROSA4 Primaria"/>
  </r>
  <r>
    <n v="289"/>
    <x v="0"/>
    <s v="Primaria"/>
    <x v="0"/>
    <x v="5"/>
    <s v="Rural"/>
    <s v="Femenino"/>
    <x v="0"/>
    <x v="2"/>
    <s v="2023 Y 2024"/>
    <s v="SOLO 2023"/>
    <x v="88"/>
    <s v="14144 SANTA ROSA4 Primaria"/>
  </r>
  <r>
    <n v="290"/>
    <x v="0"/>
    <s v="Primaria"/>
    <x v="0"/>
    <x v="5"/>
    <s v="Rural"/>
    <s v="Femenino"/>
    <x v="0"/>
    <x v="2"/>
    <s v="2023 Y 2024"/>
    <s v="SOLO 2023"/>
    <x v="88"/>
    <s v="14144 SANTA ROSA4 Primaria"/>
  </r>
  <r>
    <n v="291"/>
    <x v="0"/>
    <s v="Primaria"/>
    <x v="0"/>
    <x v="5"/>
    <s v="Rural"/>
    <s v="Masculino"/>
    <x v="0"/>
    <x v="2"/>
    <s v="2023 Y 2024"/>
    <s v="SOLO 2023"/>
    <x v="88"/>
    <s v="14144 SANTA ROSA4 Primaria"/>
  </r>
  <r>
    <n v="292"/>
    <x v="0"/>
    <s v="Primaria"/>
    <x v="0"/>
    <x v="5"/>
    <s v="Rural"/>
    <s v="Masculino"/>
    <x v="1"/>
    <x v="2"/>
    <s v="2023 Y 2024"/>
    <s v="SOLO 2023"/>
    <x v="88"/>
    <s v="14144 SANTA ROSA4 Primaria"/>
  </r>
  <r>
    <n v="293"/>
    <x v="0"/>
    <s v="Primaria"/>
    <x v="0"/>
    <x v="5"/>
    <s v="Rural"/>
    <s v="Femenino"/>
    <x v="0"/>
    <x v="2"/>
    <s v="2023 Y 2024"/>
    <s v="SOLO 2023"/>
    <x v="88"/>
    <s v="14144 SANTA ROSA4 Primaria"/>
  </r>
  <r>
    <n v="294"/>
    <x v="0"/>
    <s v="Primaria"/>
    <x v="0"/>
    <x v="5"/>
    <s v="Rural"/>
    <s v="Masculino"/>
    <x v="0"/>
    <x v="2"/>
    <s v="2023 Y 2024"/>
    <s v="SOLO 2023"/>
    <x v="88"/>
    <s v="14144 SANTA ROSA4 Primaria"/>
  </r>
  <r>
    <n v="295"/>
    <x v="0"/>
    <s v="Primaria"/>
    <x v="0"/>
    <x v="5"/>
    <s v="Rural"/>
    <s v="Femenino"/>
    <x v="2"/>
    <x v="2"/>
    <s v="2023 Y 2024"/>
    <s v="SOLO 2023"/>
    <x v="88"/>
    <s v="14144 SANTA ROSA4 Primaria"/>
  </r>
  <r>
    <n v="296"/>
    <x v="0"/>
    <s v="Primaria"/>
    <x v="0"/>
    <x v="5"/>
    <s v="Rural"/>
    <s v="Femenino"/>
    <x v="1"/>
    <x v="2"/>
    <s v="2023 Y 2024"/>
    <s v="SOLO 2023"/>
    <x v="88"/>
    <s v="14144 SANTA ROSA4 Primaria"/>
  </r>
  <r>
    <n v="297"/>
    <x v="0"/>
    <s v="Primaria"/>
    <x v="0"/>
    <x v="5"/>
    <s v="Rural"/>
    <s v="Femenino"/>
    <x v="1"/>
    <x v="2"/>
    <s v="2023 Y 2024"/>
    <s v="SOLO 2023"/>
    <x v="88"/>
    <s v="14144 SANTA ROSA4 Primaria"/>
  </r>
  <r>
    <n v="298"/>
    <x v="0"/>
    <s v="Primaria"/>
    <x v="0"/>
    <x v="5"/>
    <s v="Rural"/>
    <s v="Femenino"/>
    <x v="1"/>
    <x v="2"/>
    <s v="2023 Y 2024"/>
    <s v="SOLO 2023"/>
    <x v="88"/>
    <s v="14144 SANTA ROSA4 Primaria"/>
  </r>
  <r>
    <n v="299"/>
    <x v="0"/>
    <s v="Primaria"/>
    <x v="0"/>
    <x v="5"/>
    <s v="Rural"/>
    <s v="Femenino"/>
    <x v="1"/>
    <x v="2"/>
    <s v="2023 Y 2024"/>
    <s v="SOLO 2023"/>
    <x v="88"/>
    <s v="14144 SANTA ROSA4 Primaria"/>
  </r>
  <r>
    <n v="300"/>
    <x v="0"/>
    <s v="Primaria"/>
    <x v="0"/>
    <x v="5"/>
    <s v="Rural"/>
    <s v="Femenino"/>
    <x v="0"/>
    <x v="2"/>
    <s v="2023 Y 2024"/>
    <s v="SOLO 2023"/>
    <x v="88"/>
    <s v="14144 SANTA ROSA4 Primaria"/>
  </r>
  <r>
    <n v="301"/>
    <x v="0"/>
    <s v="Primaria"/>
    <x v="0"/>
    <x v="5"/>
    <s v="Rural"/>
    <s v="Femenino"/>
    <x v="0"/>
    <x v="2"/>
    <s v="2023 Y 2024"/>
    <s v="SOLO 2023"/>
    <x v="88"/>
    <s v="14144 SANTA ROSA4 Primaria"/>
  </r>
  <r>
    <n v="302"/>
    <x v="0"/>
    <s v="Primaria"/>
    <x v="0"/>
    <x v="5"/>
    <s v="Rural"/>
    <s v="Femenino"/>
    <x v="1"/>
    <x v="2"/>
    <s v="2023 Y 2024"/>
    <s v="SOLO 2023"/>
    <x v="88"/>
    <s v="14144 SANTA ROSA4 Primaria"/>
  </r>
  <r>
    <n v="303"/>
    <x v="0"/>
    <s v="Primaria"/>
    <x v="0"/>
    <x v="5"/>
    <s v="Rural"/>
    <s v="Femenino"/>
    <x v="0"/>
    <x v="2"/>
    <s v="2023 Y 2024"/>
    <s v="SOLO 2023"/>
    <x v="88"/>
    <s v="14144 SANTA ROSA4 Primaria"/>
  </r>
  <r>
    <n v="304"/>
    <x v="0"/>
    <s v="Primaria"/>
    <x v="0"/>
    <x v="5"/>
    <s v="Rural"/>
    <s v="Masculino"/>
    <x v="1"/>
    <x v="2"/>
    <s v="2023 Y 2024"/>
    <s v="SOLO 2023"/>
    <x v="88"/>
    <s v="14144 SANTA ROSA4 Primaria"/>
  </r>
  <r>
    <n v="305"/>
    <x v="0"/>
    <s v="Primaria"/>
    <x v="0"/>
    <x v="5"/>
    <s v="Rural"/>
    <s v="Masculino"/>
    <x v="2"/>
    <x v="2"/>
    <s v="2023 Y 2024"/>
    <s v="SOLO 2023"/>
    <x v="88"/>
    <s v="14144 SANTA ROSA4 Primaria"/>
  </r>
  <r>
    <n v="306"/>
    <x v="0"/>
    <s v="Primaria"/>
    <x v="0"/>
    <x v="5"/>
    <s v="Rural"/>
    <s v="Femenino"/>
    <x v="1"/>
    <x v="2"/>
    <s v="2023 Y 2024"/>
    <s v="SOLO 2023"/>
    <x v="88"/>
    <s v="14144 SANTA ROSA4 Primaria"/>
  </r>
  <r>
    <n v="307"/>
    <x v="0"/>
    <s v="Primaria"/>
    <x v="0"/>
    <x v="5"/>
    <s v="Rural"/>
    <s v="Femenino"/>
    <x v="0"/>
    <x v="2"/>
    <s v="2023 Y 2024"/>
    <s v="SOLO 2023"/>
    <x v="88"/>
    <s v="14144 SANTA ROSA4 Primaria"/>
  </r>
  <r>
    <n v="308"/>
    <x v="0"/>
    <s v="Primaria"/>
    <x v="0"/>
    <x v="5"/>
    <s v="Rural"/>
    <s v="Femenino"/>
    <x v="1"/>
    <x v="2"/>
    <s v="2023 Y 2024"/>
    <s v="SOLO 2023"/>
    <x v="88"/>
    <s v="14144 SANTA ROSA4 Primaria"/>
  </r>
  <r>
    <n v="309"/>
    <x v="0"/>
    <s v="Primaria"/>
    <x v="0"/>
    <x v="5"/>
    <s v="Rural"/>
    <s v="Femenino"/>
    <x v="0"/>
    <x v="2"/>
    <s v="2023 Y 2024"/>
    <s v="SOLO 2023"/>
    <x v="88"/>
    <s v="14144 SANTA ROSA4 Primaria"/>
  </r>
  <r>
    <n v="310"/>
    <x v="0"/>
    <s v="Primaria"/>
    <x v="0"/>
    <x v="5"/>
    <s v="Rural"/>
    <s v="Femenino"/>
    <x v="1"/>
    <x v="2"/>
    <s v="2023 Y 2024"/>
    <s v="SOLO 2023"/>
    <x v="88"/>
    <s v="14144 SANTA ROSA4 Primaria"/>
  </r>
  <r>
    <n v="311"/>
    <x v="0"/>
    <s v="Primaria"/>
    <x v="0"/>
    <x v="5"/>
    <s v="Rural"/>
    <s v="Masculino"/>
    <x v="0"/>
    <x v="2"/>
    <s v="2023 Y 2024"/>
    <s v="SOLO 2023"/>
    <x v="88"/>
    <s v="14144 SANTA ROSA4 Primaria"/>
  </r>
  <r>
    <n v="312"/>
    <x v="0"/>
    <s v="Primaria"/>
    <x v="0"/>
    <x v="5"/>
    <s v="Rural"/>
    <s v="Femenino"/>
    <x v="2"/>
    <x v="2"/>
    <s v="2023 Y 2024"/>
    <s v="SOLO 2023"/>
    <x v="88"/>
    <s v="14144 SANTA ROSA4 Primaria"/>
  </r>
  <r>
    <n v="313"/>
    <x v="0"/>
    <s v="Primaria"/>
    <x v="0"/>
    <x v="5"/>
    <s v="Rural"/>
    <s v="Masculino"/>
    <x v="1"/>
    <x v="2"/>
    <s v="2023 Y 2024"/>
    <s v="SOLO 2023"/>
    <x v="88"/>
    <s v="14144 SANTA ROSA4 Primaria"/>
  </r>
  <r>
    <n v="314"/>
    <x v="0"/>
    <s v="Primaria"/>
    <x v="0"/>
    <x v="5"/>
    <s v="Rural"/>
    <s v="Femenino"/>
    <x v="0"/>
    <x v="2"/>
    <s v="2023 Y 2024"/>
    <s v="SOLO 2023"/>
    <x v="88"/>
    <s v="14144 SANTA ROSA4 Primaria"/>
  </r>
  <r>
    <n v="315"/>
    <x v="0"/>
    <s v="Primaria"/>
    <x v="0"/>
    <x v="5"/>
    <s v="Rural"/>
    <s v="Masculino"/>
    <x v="0"/>
    <x v="2"/>
    <s v="2023 Y 2024"/>
    <s v="SOLO 2023"/>
    <x v="88"/>
    <s v="14144 SANTA ROSA4 Primaria"/>
  </r>
  <r>
    <n v="316"/>
    <x v="0"/>
    <s v="Primaria"/>
    <x v="0"/>
    <x v="5"/>
    <s v="Rural"/>
    <s v="Masculino"/>
    <x v="0"/>
    <x v="2"/>
    <s v="2023 Y 2024"/>
    <s v="SOLO 2023"/>
    <x v="88"/>
    <s v="14144 SANTA ROSA4 Primaria"/>
  </r>
  <r>
    <n v="317"/>
    <x v="0"/>
    <s v="Primaria"/>
    <x v="0"/>
    <x v="5"/>
    <s v="Rural"/>
    <s v="Femenino"/>
    <x v="0"/>
    <x v="2"/>
    <s v="2023 Y 2024"/>
    <s v="SOLO 2023"/>
    <x v="88"/>
    <s v="14144 SANTA ROSA4 Primaria"/>
  </r>
  <r>
    <n v="318"/>
    <x v="0"/>
    <s v="Primaria"/>
    <x v="0"/>
    <x v="5"/>
    <s v="Rural"/>
    <s v="Masculino"/>
    <x v="1"/>
    <x v="2"/>
    <s v="2023 Y 2024"/>
    <s v="SOLO 2023"/>
    <x v="88"/>
    <s v="14144 SANTA ROSA4 Primaria"/>
  </r>
  <r>
    <n v="319"/>
    <x v="0"/>
    <s v="Primaria"/>
    <x v="0"/>
    <x v="5"/>
    <s v="Rural"/>
    <s v="Femenino"/>
    <x v="0"/>
    <x v="2"/>
    <s v="2023 Y 2024"/>
    <s v="SOLO 2023"/>
    <x v="88"/>
    <s v="14144 SANTA ROSA4 Primaria"/>
  </r>
  <r>
    <n v="320"/>
    <x v="0"/>
    <s v="Primaria"/>
    <x v="0"/>
    <x v="5"/>
    <s v="Rural"/>
    <s v="Masculino"/>
    <x v="0"/>
    <x v="2"/>
    <s v="2023 Y 2024"/>
    <s v="SOLO 2023"/>
    <x v="88"/>
    <s v="14144 SANTA ROSA4 Primaria"/>
  </r>
  <r>
    <n v="321"/>
    <x v="0"/>
    <s v="Primaria"/>
    <x v="0"/>
    <x v="5"/>
    <s v="Rural"/>
    <s v="Femenino"/>
    <x v="1"/>
    <x v="2"/>
    <s v="2023 Y 2024"/>
    <s v="SOLO 2023"/>
    <x v="88"/>
    <s v="14144 SANTA ROSA4 Primaria"/>
  </r>
  <r>
    <n v="322"/>
    <x v="0"/>
    <s v="Primaria"/>
    <x v="0"/>
    <x v="5"/>
    <s v="Rural"/>
    <s v="Masculino"/>
    <x v="0"/>
    <x v="2"/>
    <s v="2023 Y 2024"/>
    <s v="SOLO 2023"/>
    <x v="88"/>
    <s v="14144 SANTA ROSA4 Primaria"/>
  </r>
  <r>
    <n v="323"/>
    <x v="0"/>
    <s v="Primaria"/>
    <x v="0"/>
    <x v="5"/>
    <s v="Rural"/>
    <s v="Masculino"/>
    <x v="0"/>
    <x v="2"/>
    <s v="2023 Y 2024"/>
    <s v="SOLO 2023"/>
    <x v="88"/>
    <s v="14144 SANTA ROSA4 Primaria"/>
  </r>
  <r>
    <n v="324"/>
    <x v="0"/>
    <s v="Primaria"/>
    <x v="0"/>
    <x v="5"/>
    <s v="Rural"/>
    <s v="Masculino"/>
    <x v="2"/>
    <x v="2"/>
    <s v="2023 Y 2024"/>
    <s v="SOLO 2023"/>
    <x v="88"/>
    <s v="14144 SANTA ROSA4 Primaria"/>
  </r>
  <r>
    <n v="325"/>
    <x v="0"/>
    <s v="Primaria"/>
    <x v="0"/>
    <x v="5"/>
    <s v="Rural"/>
    <s v="Femenino"/>
    <x v="0"/>
    <x v="2"/>
    <s v="2023 Y 2024"/>
    <s v="SOLO 2023"/>
    <x v="88"/>
    <s v="14144 SANTA ROSA4 Primaria"/>
  </r>
  <r>
    <n v="326"/>
    <x v="0"/>
    <s v="Primaria"/>
    <x v="0"/>
    <x v="5"/>
    <s v="Rural"/>
    <s v="Femenino"/>
    <x v="0"/>
    <x v="2"/>
    <s v="2023 Y 2024"/>
    <s v="SOLO 2023"/>
    <x v="88"/>
    <s v="14144 SANTA ROSA4 Primaria"/>
  </r>
  <r>
    <n v="327"/>
    <x v="0"/>
    <s v="Primaria"/>
    <x v="0"/>
    <x v="5"/>
    <s v="Rural"/>
    <s v="Femenino"/>
    <x v="0"/>
    <x v="2"/>
    <s v="2023 Y 2024"/>
    <s v="SOLO 2023"/>
    <x v="88"/>
    <s v="14144 SANTA ROSA4 Primaria"/>
  </r>
  <r>
    <n v="328"/>
    <x v="0"/>
    <s v="Primaria"/>
    <x v="0"/>
    <x v="5"/>
    <s v="Rural"/>
    <s v="Masculino"/>
    <x v="2"/>
    <x v="2"/>
    <s v="2023 Y 2024"/>
    <s v="SOLO 2023"/>
    <x v="88"/>
    <s v="14144 SANTA ROSA4 Primaria"/>
  </r>
  <r>
    <n v="329"/>
    <x v="0"/>
    <s v="Primaria"/>
    <x v="0"/>
    <x v="5"/>
    <s v="Rural"/>
    <s v="Masculino"/>
    <x v="0"/>
    <x v="2"/>
    <s v="2023 Y 2024"/>
    <s v="SOLO 2023"/>
    <x v="88"/>
    <s v="14144 SANTA ROSA4 Primaria"/>
  </r>
  <r>
    <n v="330"/>
    <x v="0"/>
    <s v="Primaria"/>
    <x v="0"/>
    <x v="5"/>
    <s v="Rural"/>
    <s v="Masculino"/>
    <x v="0"/>
    <x v="2"/>
    <s v="2023 Y 2024"/>
    <s v="SOLO 2023"/>
    <x v="88"/>
    <s v="14144 SANTA ROSA4 Primaria"/>
  </r>
  <r>
    <n v="331"/>
    <x v="0"/>
    <s v="Primaria"/>
    <x v="0"/>
    <x v="5"/>
    <s v="Rural"/>
    <s v="Masculino"/>
    <x v="0"/>
    <x v="2"/>
    <s v="2023 Y 2024"/>
    <s v="SOLO 2023"/>
    <x v="88"/>
    <s v="14144 SANTA ROSA4 Primaria"/>
  </r>
  <r>
    <n v="332"/>
    <x v="0"/>
    <s v="Primaria"/>
    <x v="0"/>
    <x v="5"/>
    <s v="Rural"/>
    <s v="Masculino"/>
    <x v="0"/>
    <x v="2"/>
    <s v="2023 Y 2024"/>
    <s v="SOLO 2023"/>
    <x v="88"/>
    <s v="14144 SANTA ROSA4 Primaria"/>
  </r>
  <r>
    <n v="333"/>
    <x v="0"/>
    <s v="Primaria"/>
    <x v="0"/>
    <x v="5"/>
    <s v="Rural"/>
    <s v="Masculino"/>
    <x v="0"/>
    <x v="2"/>
    <s v="2023 Y 2024"/>
    <s v="SOLO 2023"/>
    <x v="88"/>
    <s v="14144 SANTA ROSA4 Primaria"/>
  </r>
  <r>
    <n v="334"/>
    <x v="0"/>
    <s v="Primaria"/>
    <x v="0"/>
    <x v="5"/>
    <s v="Rural"/>
    <s v="Femenino"/>
    <x v="0"/>
    <x v="2"/>
    <s v="2023 Y 2024"/>
    <s v="SOLO 2023"/>
    <x v="88"/>
    <s v="14144 SANTA ROSA4 Primaria"/>
  </r>
  <r>
    <n v="335"/>
    <x v="0"/>
    <s v="Primaria"/>
    <x v="0"/>
    <x v="5"/>
    <s v="Rural"/>
    <s v="Femenino"/>
    <x v="2"/>
    <x v="2"/>
    <s v="2023 Y 2024"/>
    <s v="SOLO 2023"/>
    <x v="88"/>
    <s v="14144 SANTA ROSA4 Primaria"/>
  </r>
  <r>
    <n v="336"/>
    <x v="0"/>
    <s v="Primaria"/>
    <x v="0"/>
    <x v="5"/>
    <s v="Rural"/>
    <s v="Femenino"/>
    <x v="0"/>
    <x v="2"/>
    <s v="2023 Y 2024"/>
    <s v="SOLO 2023"/>
    <x v="88"/>
    <s v="14144 SANTA ROSA4 Primaria"/>
  </r>
  <r>
    <n v="337"/>
    <x v="0"/>
    <s v="Primaria"/>
    <x v="0"/>
    <x v="5"/>
    <s v="Rural"/>
    <s v="Masculino"/>
    <x v="0"/>
    <x v="2"/>
    <s v="2023 Y 2024"/>
    <s v="SOLO 2023"/>
    <x v="88"/>
    <s v="14144 SANTA ROSA4 Primaria"/>
  </r>
  <r>
    <n v="338"/>
    <x v="0"/>
    <s v="Primaria"/>
    <x v="0"/>
    <x v="5"/>
    <s v="Rural"/>
    <s v="Masculino"/>
    <x v="0"/>
    <x v="2"/>
    <s v="2023 Y 2024"/>
    <s v="SOLO 2023"/>
    <x v="88"/>
    <s v="14144 SANTA ROSA4 Primaria"/>
  </r>
  <r>
    <n v="339"/>
    <x v="0"/>
    <s v="Primaria"/>
    <x v="0"/>
    <x v="5"/>
    <s v="Rural"/>
    <s v="Masculino"/>
    <x v="0"/>
    <x v="2"/>
    <s v="2023 Y 2024"/>
    <s v="SOLO 2023"/>
    <x v="88"/>
    <s v="14144 SANTA ROSA4 Primaria"/>
  </r>
  <r>
    <n v="340"/>
    <x v="0"/>
    <s v="Primaria"/>
    <x v="0"/>
    <x v="5"/>
    <s v="Rural"/>
    <s v="Femenino"/>
    <x v="0"/>
    <x v="2"/>
    <s v="2023 Y 2024"/>
    <s v="SOLO 2023"/>
    <x v="88"/>
    <s v="14144 SANTA ROSA4 Primaria"/>
  </r>
  <r>
    <n v="341"/>
    <x v="0"/>
    <s v="Primaria"/>
    <x v="0"/>
    <x v="5"/>
    <s v="Rural"/>
    <s v="Femenino"/>
    <x v="0"/>
    <x v="2"/>
    <s v="2023 Y 2024"/>
    <s v="SOLO 2023"/>
    <x v="88"/>
    <s v="14144 SANTA ROSA4 Primaria"/>
  </r>
  <r>
    <n v="342"/>
    <x v="0"/>
    <s v="Primaria"/>
    <x v="0"/>
    <x v="5"/>
    <s v="Rural"/>
    <s v="Masculino"/>
    <x v="0"/>
    <x v="2"/>
    <s v="2023 Y 2024"/>
    <s v="SOLO 2023"/>
    <x v="88"/>
    <s v="14144 SANTA ROSA4 Primaria"/>
  </r>
  <r>
    <n v="343"/>
    <x v="0"/>
    <s v="Primaria"/>
    <x v="0"/>
    <x v="5"/>
    <s v="Rural"/>
    <s v="Masculino"/>
    <x v="0"/>
    <x v="2"/>
    <s v="2023 Y 2024"/>
    <s v="SOLO 2023"/>
    <x v="88"/>
    <s v="14144 SANTA ROSA4 Primaria"/>
  </r>
  <r>
    <n v="344"/>
    <x v="0"/>
    <s v="Primaria"/>
    <x v="0"/>
    <x v="5"/>
    <s v="Rural"/>
    <s v="Femenino"/>
    <x v="0"/>
    <x v="2"/>
    <s v="2023 Y 2024"/>
    <s v="SOLO 2023"/>
    <x v="88"/>
    <s v="14144 SANTA ROSA4 Primaria"/>
  </r>
  <r>
    <n v="345"/>
    <x v="0"/>
    <s v="Primaria"/>
    <x v="0"/>
    <x v="5"/>
    <s v="Rural"/>
    <s v="Masculino"/>
    <x v="0"/>
    <x v="2"/>
    <s v="2023 Y 2024"/>
    <s v="SOLO 2023"/>
    <x v="88"/>
    <s v="14144 SANTA ROSA4 Primaria"/>
  </r>
  <r>
    <n v="346"/>
    <x v="0"/>
    <s v="Primaria"/>
    <x v="0"/>
    <x v="5"/>
    <s v="Rural"/>
    <s v="Femenino"/>
    <x v="0"/>
    <x v="2"/>
    <s v="2023 Y 2024"/>
    <s v="SOLO 2023"/>
    <x v="88"/>
    <s v="14144 SANTA ROSA4 Primaria"/>
  </r>
  <r>
    <n v="347"/>
    <x v="0"/>
    <s v="Primaria"/>
    <x v="0"/>
    <x v="5"/>
    <s v="Rural"/>
    <s v="Femenino"/>
    <x v="0"/>
    <x v="2"/>
    <s v="2023 Y 2024"/>
    <s v="SOLO 2023"/>
    <x v="88"/>
    <s v="14144 SANTA ROSA4 Primaria"/>
  </r>
  <r>
    <n v="348"/>
    <x v="0"/>
    <s v="Primaria"/>
    <x v="0"/>
    <x v="5"/>
    <s v="Rural"/>
    <s v="Femenino"/>
    <x v="0"/>
    <x v="2"/>
    <s v="2023 Y 2024"/>
    <s v="SOLO 2023"/>
    <x v="88"/>
    <s v="14144 SANTA ROSA4 Primaria"/>
  </r>
  <r>
    <n v="349"/>
    <x v="0"/>
    <s v="Primaria"/>
    <x v="0"/>
    <x v="5"/>
    <s v="Rural"/>
    <s v="Femenino"/>
    <x v="0"/>
    <x v="2"/>
    <s v="2023 Y 2024"/>
    <s v="SOLO 2023"/>
    <x v="88"/>
    <s v="14144 SANTA ROSA4 Primaria"/>
  </r>
  <r>
    <n v="350"/>
    <x v="0"/>
    <s v="Primaria"/>
    <x v="0"/>
    <x v="5"/>
    <s v="Rural"/>
    <s v="Masculino"/>
    <x v="0"/>
    <x v="2"/>
    <s v="2023 Y 2024"/>
    <s v="SOLO 2023"/>
    <x v="88"/>
    <s v="14144 SANTA ROSA4 Primaria"/>
  </r>
  <r>
    <n v="351"/>
    <x v="0"/>
    <s v="Primaria"/>
    <x v="0"/>
    <x v="5"/>
    <s v="Rural"/>
    <s v="Femenino"/>
    <x v="0"/>
    <x v="2"/>
    <s v="2023 Y 2024"/>
    <s v="SOLO 2023"/>
    <x v="88"/>
    <s v="14144 SANTA ROSA4 Primaria"/>
  </r>
  <r>
    <n v="352"/>
    <x v="0"/>
    <s v="Primaria"/>
    <x v="0"/>
    <x v="5"/>
    <s v="Rural"/>
    <s v="Masculino"/>
    <x v="0"/>
    <x v="2"/>
    <s v="2023 Y 2024"/>
    <s v="SOLO 2023"/>
    <x v="88"/>
    <s v="14144 SANTA ROSA4 Primaria"/>
  </r>
  <r>
    <n v="353"/>
    <x v="0"/>
    <s v="Primaria"/>
    <x v="0"/>
    <x v="5"/>
    <s v="Rural"/>
    <s v="Femenino"/>
    <x v="0"/>
    <x v="2"/>
    <s v="2023 Y 2024"/>
    <s v="SOLO 2023"/>
    <x v="88"/>
    <s v="14144 SANTA ROSA4 Primaria"/>
  </r>
  <r>
    <n v="354"/>
    <x v="0"/>
    <s v="Primaria"/>
    <x v="0"/>
    <x v="5"/>
    <s v="Rural"/>
    <s v="Femenino"/>
    <x v="0"/>
    <x v="2"/>
    <s v="2023 Y 2024"/>
    <s v="SOLO 2023"/>
    <x v="88"/>
    <s v="14144 SANTA ROSA4 Primaria"/>
  </r>
  <r>
    <n v="355"/>
    <x v="0"/>
    <s v="Primaria"/>
    <x v="0"/>
    <x v="5"/>
    <s v="Rural"/>
    <s v="Femenino"/>
    <x v="0"/>
    <x v="2"/>
    <s v="2023 Y 2024"/>
    <s v="SOLO 2023"/>
    <x v="88"/>
    <s v="14144 SANTA ROSA4 Primaria"/>
  </r>
  <r>
    <n v="356"/>
    <x v="0"/>
    <s v="Primaria"/>
    <x v="0"/>
    <x v="5"/>
    <s v="Rural"/>
    <s v="Femenino"/>
    <x v="0"/>
    <x v="2"/>
    <s v="2023 Y 2024"/>
    <s v="SOLO 2023"/>
    <x v="88"/>
    <s v="14144 SANTA ROSA4 Primaria"/>
  </r>
  <r>
    <n v="357"/>
    <x v="0"/>
    <s v="Primaria"/>
    <x v="0"/>
    <x v="5"/>
    <s v="Rural"/>
    <s v="Masculino"/>
    <x v="0"/>
    <x v="2"/>
    <s v="2023 Y 2024"/>
    <s v="SOLO 2023"/>
    <x v="88"/>
    <s v="14144 SANTA ROSA4 Primaria"/>
  </r>
  <r>
    <n v="358"/>
    <x v="0"/>
    <s v="Primaria"/>
    <x v="0"/>
    <x v="5"/>
    <s v="Rural"/>
    <s v="Masculino"/>
    <x v="0"/>
    <x v="2"/>
    <s v="2023 Y 2024"/>
    <s v="SOLO 2023"/>
    <x v="88"/>
    <s v="14144 SANTA ROSA4 Primaria"/>
  </r>
  <r>
    <n v="359"/>
    <x v="0"/>
    <s v="Primaria"/>
    <x v="0"/>
    <x v="5"/>
    <s v="Rural"/>
    <s v="Femenino"/>
    <x v="0"/>
    <x v="2"/>
    <s v="2023 Y 2024"/>
    <s v="SOLO 2023"/>
    <x v="88"/>
    <s v="14144 SANTA ROSA4 Primaria"/>
  </r>
  <r>
    <n v="360"/>
    <x v="0"/>
    <s v="Primaria"/>
    <x v="0"/>
    <x v="5"/>
    <s v="Rural"/>
    <s v="Femenino"/>
    <x v="0"/>
    <x v="2"/>
    <s v="2023 Y 2024"/>
    <s v="SOLO 2023"/>
    <x v="88"/>
    <s v="14144 SANTA ROSA4 Primaria"/>
  </r>
  <r>
    <n v="361"/>
    <x v="0"/>
    <s v="Primaria"/>
    <x v="0"/>
    <x v="5"/>
    <s v="Rural"/>
    <s v="Masculino"/>
    <x v="0"/>
    <x v="2"/>
    <s v="2023 Y 2024"/>
    <s v="SOLO 2023"/>
    <x v="88"/>
    <s v="14144 SANTA ROSA4 Primaria"/>
  </r>
  <r>
    <n v="362"/>
    <x v="0"/>
    <s v="Primaria"/>
    <x v="0"/>
    <x v="5"/>
    <s v="Rural"/>
    <s v="Masculino"/>
    <x v="0"/>
    <x v="2"/>
    <s v="2023 Y 2024"/>
    <s v="SOLO 2023"/>
    <x v="88"/>
    <s v="14144 SANTA ROSA4 Primaria"/>
  </r>
  <r>
    <n v="363"/>
    <x v="0"/>
    <s v="Primaria"/>
    <x v="0"/>
    <x v="5"/>
    <s v="Rural"/>
    <s v="Femenino"/>
    <x v="0"/>
    <x v="2"/>
    <s v="2023 Y 2024"/>
    <s v="SOLO 2023"/>
    <x v="88"/>
    <s v="14144 SANTA ROSA4 Primaria"/>
  </r>
  <r>
    <n v="364"/>
    <x v="0"/>
    <s v="Primaria"/>
    <x v="1"/>
    <x v="5"/>
    <s v="Rural"/>
    <s v="Femenino"/>
    <x v="0"/>
    <x v="2"/>
    <s v="2023 Y 2024"/>
    <s v="SOLO 2023"/>
    <x v="88"/>
    <s v="14144 SANTA ROSA6 Primaria"/>
  </r>
  <r>
    <n v="365"/>
    <x v="0"/>
    <s v="Primaria"/>
    <x v="1"/>
    <x v="5"/>
    <s v="Rural"/>
    <s v="Femenino"/>
    <x v="1"/>
    <x v="2"/>
    <s v="2023 Y 2024"/>
    <s v="SOLO 2023"/>
    <x v="88"/>
    <s v="14144 SANTA ROSA6 Primaria"/>
  </r>
  <r>
    <n v="366"/>
    <x v="0"/>
    <s v="Primaria"/>
    <x v="1"/>
    <x v="5"/>
    <s v="Rural"/>
    <s v="Femenino"/>
    <x v="1"/>
    <x v="2"/>
    <s v="2023 Y 2024"/>
    <s v="SOLO 2023"/>
    <x v="88"/>
    <s v="14144 SANTA ROSA6 Primaria"/>
  </r>
  <r>
    <n v="367"/>
    <x v="0"/>
    <s v="Primaria"/>
    <x v="1"/>
    <x v="5"/>
    <s v="Rural"/>
    <s v="Femenino"/>
    <x v="1"/>
    <x v="2"/>
    <s v="2023 Y 2024"/>
    <s v="SOLO 2023"/>
    <x v="88"/>
    <s v="14144 SANTA ROSA6 Primaria"/>
  </r>
  <r>
    <n v="368"/>
    <x v="0"/>
    <s v="Primaria"/>
    <x v="1"/>
    <x v="5"/>
    <s v="Rural"/>
    <s v="Masculino"/>
    <x v="1"/>
    <x v="2"/>
    <s v="2023 Y 2024"/>
    <s v="SOLO 2023"/>
    <x v="88"/>
    <s v="14144 SANTA ROSA6 Primaria"/>
  </r>
  <r>
    <n v="369"/>
    <x v="0"/>
    <s v="Primaria"/>
    <x v="1"/>
    <x v="5"/>
    <s v="Rural"/>
    <s v="Masculino"/>
    <x v="1"/>
    <x v="2"/>
    <s v="2023 Y 2024"/>
    <s v="SOLO 2023"/>
    <x v="88"/>
    <s v="14144 SANTA ROSA6 Primaria"/>
  </r>
  <r>
    <n v="370"/>
    <x v="0"/>
    <s v="Primaria"/>
    <x v="1"/>
    <x v="5"/>
    <s v="Rural"/>
    <s v="Masculino"/>
    <x v="2"/>
    <x v="2"/>
    <s v="2023 Y 2024"/>
    <s v="SOLO 2023"/>
    <x v="88"/>
    <s v="14144 SANTA ROSA6 Primaria"/>
  </r>
  <r>
    <n v="371"/>
    <x v="0"/>
    <s v="Primaria"/>
    <x v="1"/>
    <x v="5"/>
    <s v="Rural"/>
    <s v="Masculino"/>
    <x v="2"/>
    <x v="2"/>
    <s v="2023 Y 2024"/>
    <s v="SOLO 2023"/>
    <x v="88"/>
    <s v="14144 SANTA ROSA6 Primaria"/>
  </r>
  <r>
    <n v="372"/>
    <x v="0"/>
    <s v="Primaria"/>
    <x v="1"/>
    <x v="5"/>
    <s v="Rural"/>
    <s v="Masculino"/>
    <x v="1"/>
    <x v="2"/>
    <s v="2023 Y 2024"/>
    <s v="SOLO 2023"/>
    <x v="88"/>
    <s v="14144 SANTA ROSA6 Primaria"/>
  </r>
  <r>
    <n v="373"/>
    <x v="0"/>
    <s v="Primaria"/>
    <x v="1"/>
    <x v="5"/>
    <s v="Rural"/>
    <s v="Masculino"/>
    <x v="2"/>
    <x v="2"/>
    <s v="2023 Y 2024"/>
    <s v="SOLO 2023"/>
    <x v="88"/>
    <s v="14144 SANTA ROSA6 Primaria"/>
  </r>
  <r>
    <n v="374"/>
    <x v="0"/>
    <s v="Primaria"/>
    <x v="1"/>
    <x v="5"/>
    <s v="Rural"/>
    <s v="Femenino"/>
    <x v="2"/>
    <x v="2"/>
    <s v="2023 Y 2024"/>
    <s v="SOLO 2023"/>
    <x v="88"/>
    <s v="14144 SANTA ROSA6 Primaria"/>
  </r>
  <r>
    <n v="375"/>
    <x v="0"/>
    <s v="Primaria"/>
    <x v="1"/>
    <x v="5"/>
    <s v="Rural"/>
    <s v="Femenino"/>
    <x v="2"/>
    <x v="2"/>
    <s v="2023 Y 2024"/>
    <s v="SOLO 2023"/>
    <x v="88"/>
    <s v="14144 SANTA ROSA6 Primaria"/>
  </r>
  <r>
    <n v="376"/>
    <x v="0"/>
    <s v="Primaria"/>
    <x v="1"/>
    <x v="5"/>
    <s v="Rural"/>
    <s v="Masculino"/>
    <x v="1"/>
    <x v="2"/>
    <s v="2023 Y 2024"/>
    <s v="SOLO 2023"/>
    <x v="88"/>
    <s v="14144 SANTA ROSA6 Primaria"/>
  </r>
  <r>
    <n v="377"/>
    <x v="0"/>
    <s v="Primaria"/>
    <x v="1"/>
    <x v="5"/>
    <s v="Rural"/>
    <s v="Masculino"/>
    <x v="1"/>
    <x v="2"/>
    <s v="2023 Y 2024"/>
    <s v="SOLO 2023"/>
    <x v="88"/>
    <s v="14144 SANTA ROSA6 Primaria"/>
  </r>
  <r>
    <n v="378"/>
    <x v="0"/>
    <s v="Primaria"/>
    <x v="1"/>
    <x v="5"/>
    <s v="Rural"/>
    <s v="Femenino"/>
    <x v="2"/>
    <x v="2"/>
    <s v="2023 Y 2024"/>
    <s v="SOLO 2023"/>
    <x v="88"/>
    <s v="14144 SANTA ROSA6 Primaria"/>
  </r>
  <r>
    <n v="379"/>
    <x v="0"/>
    <s v="Primaria"/>
    <x v="1"/>
    <x v="5"/>
    <s v="Rural"/>
    <s v="Masculino"/>
    <x v="2"/>
    <x v="2"/>
    <s v="2023 Y 2024"/>
    <s v="SOLO 2023"/>
    <x v="88"/>
    <s v="14144 SANTA ROSA6 Primaria"/>
  </r>
  <r>
    <n v="380"/>
    <x v="0"/>
    <s v="Primaria"/>
    <x v="1"/>
    <x v="5"/>
    <s v="Rural"/>
    <s v="Masculino"/>
    <x v="2"/>
    <x v="2"/>
    <s v="2023 Y 2024"/>
    <s v="SOLO 2023"/>
    <x v="88"/>
    <s v="14144 SANTA ROSA6 Primaria"/>
  </r>
  <r>
    <n v="381"/>
    <x v="0"/>
    <s v="Primaria"/>
    <x v="1"/>
    <x v="5"/>
    <s v="Rural"/>
    <s v="Femenino"/>
    <x v="2"/>
    <x v="2"/>
    <s v="2023 Y 2024"/>
    <s v="SOLO 2023"/>
    <x v="88"/>
    <s v="14144 SANTA ROSA6 Primaria"/>
  </r>
  <r>
    <n v="382"/>
    <x v="0"/>
    <s v="Primaria"/>
    <x v="1"/>
    <x v="5"/>
    <s v="Rural"/>
    <s v="Femenino"/>
    <x v="2"/>
    <x v="2"/>
    <s v="2023 Y 2024"/>
    <s v="SOLO 2023"/>
    <x v="88"/>
    <s v="14144 SANTA ROSA6 Primaria"/>
  </r>
  <r>
    <n v="383"/>
    <x v="0"/>
    <s v="Primaria"/>
    <x v="1"/>
    <x v="5"/>
    <s v="Rural"/>
    <s v="Masculino"/>
    <x v="2"/>
    <x v="2"/>
    <s v="2023 Y 2024"/>
    <s v="SOLO 2023"/>
    <x v="88"/>
    <s v="14144 SANTA ROSA6 Primaria"/>
  </r>
  <r>
    <n v="384"/>
    <x v="0"/>
    <s v="Primaria"/>
    <x v="1"/>
    <x v="5"/>
    <s v="Rural"/>
    <s v="Femenino"/>
    <x v="2"/>
    <x v="2"/>
    <s v="2023 Y 2024"/>
    <s v="SOLO 2023"/>
    <x v="88"/>
    <s v="14144 SANTA ROSA6 Primaria"/>
  </r>
  <r>
    <n v="385"/>
    <x v="0"/>
    <s v="Primaria"/>
    <x v="1"/>
    <x v="5"/>
    <s v="Rural"/>
    <s v="Masculino"/>
    <x v="2"/>
    <x v="2"/>
    <s v="2023 Y 2024"/>
    <s v="SOLO 2023"/>
    <x v="88"/>
    <s v="14144 SANTA ROSA6 Primaria"/>
  </r>
  <r>
    <n v="386"/>
    <x v="0"/>
    <s v="Primaria"/>
    <x v="1"/>
    <x v="5"/>
    <s v="Rural"/>
    <s v="Femenino"/>
    <x v="2"/>
    <x v="2"/>
    <s v="2023 Y 2024"/>
    <s v="SOLO 2023"/>
    <x v="88"/>
    <s v="14144 SANTA ROSA6 Primaria"/>
  </r>
  <r>
    <n v="387"/>
    <x v="0"/>
    <s v="Primaria"/>
    <x v="1"/>
    <x v="5"/>
    <s v="Rural"/>
    <s v="Femenino"/>
    <x v="2"/>
    <x v="2"/>
    <s v="2023 Y 2024"/>
    <s v="SOLO 2023"/>
    <x v="88"/>
    <s v="14144 SANTA ROSA6 Primaria"/>
  </r>
  <r>
    <n v="388"/>
    <x v="0"/>
    <s v="Primaria"/>
    <x v="4"/>
    <x v="11"/>
    <s v="Rural"/>
    <s v="Femenino"/>
    <x v="2"/>
    <x v="2"/>
    <s v="2023 Y 2024"/>
    <s v="SOLO 2023"/>
    <x v="89"/>
    <s v="14145 SANTA JULIA BILLIART2 Primaria"/>
  </r>
  <r>
    <n v="389"/>
    <x v="0"/>
    <s v="Primaria"/>
    <x v="4"/>
    <x v="11"/>
    <s v="Rural"/>
    <s v="Masculino"/>
    <x v="1"/>
    <x v="2"/>
    <s v="2023 Y 2024"/>
    <s v="SOLO 2023"/>
    <x v="89"/>
    <s v="14145 SANTA JULIA BILLIART2 Primaria"/>
  </r>
  <r>
    <n v="390"/>
    <x v="0"/>
    <s v="Primaria"/>
    <x v="4"/>
    <x v="11"/>
    <s v="Rural"/>
    <s v="Masculino"/>
    <x v="0"/>
    <x v="2"/>
    <s v="2023 Y 2024"/>
    <s v="SOLO 2023"/>
    <x v="89"/>
    <s v="14145 SANTA JULIA BILLIART2 Primaria"/>
  </r>
  <r>
    <n v="391"/>
    <x v="0"/>
    <s v="Primaria"/>
    <x v="4"/>
    <x v="11"/>
    <s v="Rural"/>
    <s v="Masculino"/>
    <x v="0"/>
    <x v="2"/>
    <s v="2023 Y 2024"/>
    <s v="SOLO 2023"/>
    <x v="89"/>
    <s v="14145 SANTA JULIA BILLIART2 Primaria"/>
  </r>
  <r>
    <n v="392"/>
    <x v="0"/>
    <s v="Primaria"/>
    <x v="4"/>
    <x v="11"/>
    <s v="Rural"/>
    <s v="Masculino"/>
    <x v="0"/>
    <x v="2"/>
    <s v="2023 Y 2024"/>
    <s v="SOLO 2023"/>
    <x v="89"/>
    <s v="14145 SANTA JULIA BILLIART2 Primaria"/>
  </r>
  <r>
    <n v="393"/>
    <x v="0"/>
    <s v="Primaria"/>
    <x v="4"/>
    <x v="11"/>
    <s v="Rural"/>
    <s v="Masculino"/>
    <x v="1"/>
    <x v="2"/>
    <s v="2023 Y 2024"/>
    <s v="SOLO 2023"/>
    <x v="89"/>
    <s v="14145 SANTA JULIA BILLIART2 Primaria"/>
  </r>
  <r>
    <n v="394"/>
    <x v="0"/>
    <s v="Primaria"/>
    <x v="4"/>
    <x v="11"/>
    <s v="Rural"/>
    <s v="Femenino"/>
    <x v="1"/>
    <x v="2"/>
    <s v="2023 Y 2024"/>
    <s v="SOLO 2023"/>
    <x v="89"/>
    <s v="14145 SANTA JULIA BILLIART2 Primaria"/>
  </r>
  <r>
    <n v="395"/>
    <x v="0"/>
    <s v="Primaria"/>
    <x v="4"/>
    <x v="11"/>
    <s v="Rural"/>
    <s v="Femenino"/>
    <x v="1"/>
    <x v="2"/>
    <s v="2023 Y 2024"/>
    <s v="SOLO 2023"/>
    <x v="89"/>
    <s v="14145 SANTA JULIA BILLIART2 Primaria"/>
  </r>
  <r>
    <n v="396"/>
    <x v="0"/>
    <s v="Primaria"/>
    <x v="4"/>
    <x v="11"/>
    <s v="Rural"/>
    <s v="Femenino"/>
    <x v="1"/>
    <x v="2"/>
    <s v="2023 Y 2024"/>
    <s v="SOLO 2023"/>
    <x v="89"/>
    <s v="14145 SANTA JULIA BILLIART2 Primaria"/>
  </r>
  <r>
    <n v="397"/>
    <x v="0"/>
    <s v="Primaria"/>
    <x v="4"/>
    <x v="11"/>
    <s v="Rural"/>
    <s v="Masculino"/>
    <x v="1"/>
    <x v="2"/>
    <s v="2023 Y 2024"/>
    <s v="SOLO 2023"/>
    <x v="89"/>
    <s v="14145 SANTA JULIA BILLIART2 Primaria"/>
  </r>
  <r>
    <n v="398"/>
    <x v="0"/>
    <s v="Primaria"/>
    <x v="4"/>
    <x v="11"/>
    <s v="Rural"/>
    <s v="Femenino"/>
    <x v="0"/>
    <x v="2"/>
    <s v="2023 Y 2024"/>
    <s v="SOLO 2023"/>
    <x v="89"/>
    <s v="14145 SANTA JULIA BILLIART2 Primaria"/>
  </r>
  <r>
    <n v="399"/>
    <x v="0"/>
    <s v="Primaria"/>
    <x v="4"/>
    <x v="11"/>
    <s v="Rural"/>
    <s v="Masculino"/>
    <x v="0"/>
    <x v="2"/>
    <s v="2023 Y 2024"/>
    <s v="SOLO 2023"/>
    <x v="89"/>
    <s v="14145 SANTA JULIA BILLIART2 Primaria"/>
  </r>
  <r>
    <n v="400"/>
    <x v="0"/>
    <s v="Primaria"/>
    <x v="4"/>
    <x v="11"/>
    <s v="Rural"/>
    <s v="Femenino"/>
    <x v="1"/>
    <x v="2"/>
    <s v="2023 Y 2024"/>
    <s v="SOLO 2023"/>
    <x v="89"/>
    <s v="14145 SANTA JULIA BILLIART2 Primaria"/>
  </r>
  <r>
    <n v="401"/>
    <x v="0"/>
    <s v="Primaria"/>
    <x v="4"/>
    <x v="11"/>
    <s v="Rural"/>
    <s v="Femenino"/>
    <x v="2"/>
    <x v="2"/>
    <s v="2023 Y 2024"/>
    <s v="SOLO 2023"/>
    <x v="89"/>
    <s v="14145 SANTA JULIA BILLIART2 Primaria"/>
  </r>
  <r>
    <n v="402"/>
    <x v="0"/>
    <s v="Primaria"/>
    <x v="0"/>
    <x v="11"/>
    <s v="Rural"/>
    <s v="Masculino"/>
    <x v="0"/>
    <x v="2"/>
    <s v="2023 Y 2024"/>
    <s v="SOLO 2023"/>
    <x v="89"/>
    <s v="14145 SANTA JULIA BILLIART4 Primaria"/>
  </r>
  <r>
    <n v="403"/>
    <x v="0"/>
    <s v="Primaria"/>
    <x v="0"/>
    <x v="11"/>
    <s v="Rural"/>
    <s v="Femenino"/>
    <x v="0"/>
    <x v="2"/>
    <s v="2023 Y 2024"/>
    <s v="SOLO 2023"/>
    <x v="89"/>
    <s v="14145 SANTA JULIA BILLIART4 Primaria"/>
  </r>
  <r>
    <n v="404"/>
    <x v="0"/>
    <s v="Primaria"/>
    <x v="0"/>
    <x v="11"/>
    <s v="Rural"/>
    <s v="Femenino"/>
    <x v="0"/>
    <x v="2"/>
    <s v="2023 Y 2024"/>
    <s v="SOLO 2023"/>
    <x v="89"/>
    <s v="14145 SANTA JULIA BILLIART4 Primaria"/>
  </r>
  <r>
    <n v="405"/>
    <x v="0"/>
    <s v="Primaria"/>
    <x v="0"/>
    <x v="11"/>
    <s v="Rural"/>
    <s v="Masculino"/>
    <x v="0"/>
    <x v="2"/>
    <s v="2023 Y 2024"/>
    <s v="SOLO 2023"/>
    <x v="89"/>
    <s v="14145 SANTA JULIA BILLIART4 Primaria"/>
  </r>
  <r>
    <n v="406"/>
    <x v="0"/>
    <s v="Primaria"/>
    <x v="0"/>
    <x v="11"/>
    <s v="Rural"/>
    <s v="Masculino"/>
    <x v="0"/>
    <x v="2"/>
    <s v="2023 Y 2024"/>
    <s v="SOLO 2023"/>
    <x v="89"/>
    <s v="14145 SANTA JULIA BILLIART4 Primaria"/>
  </r>
  <r>
    <n v="407"/>
    <x v="0"/>
    <s v="Primaria"/>
    <x v="0"/>
    <x v="11"/>
    <s v="Rural"/>
    <s v="Femenino"/>
    <x v="0"/>
    <x v="2"/>
    <s v="2023 Y 2024"/>
    <s v="SOLO 2023"/>
    <x v="89"/>
    <s v="14145 SANTA JULIA BILLIART4 Primaria"/>
  </r>
  <r>
    <n v="408"/>
    <x v="0"/>
    <s v="Primaria"/>
    <x v="0"/>
    <x v="11"/>
    <s v="Rural"/>
    <s v="Masculino"/>
    <x v="0"/>
    <x v="2"/>
    <s v="2023 Y 2024"/>
    <s v="SOLO 2023"/>
    <x v="89"/>
    <s v="14145 SANTA JULIA BILLIART4 Primaria"/>
  </r>
  <r>
    <n v="409"/>
    <x v="0"/>
    <s v="Primaria"/>
    <x v="0"/>
    <x v="11"/>
    <s v="Rural"/>
    <s v="Femenino"/>
    <x v="0"/>
    <x v="2"/>
    <s v="2023 Y 2024"/>
    <s v="SOLO 2023"/>
    <x v="89"/>
    <s v="14145 SANTA JULIA BILLIART4 Primaria"/>
  </r>
  <r>
    <n v="410"/>
    <x v="0"/>
    <s v="Primaria"/>
    <x v="0"/>
    <x v="11"/>
    <s v="Rural"/>
    <s v="Masculino"/>
    <x v="0"/>
    <x v="2"/>
    <s v="2023 Y 2024"/>
    <s v="SOLO 2023"/>
    <x v="89"/>
    <s v="14145 SANTA JULIA BILLIART4 Primaria"/>
  </r>
  <r>
    <n v="411"/>
    <x v="0"/>
    <s v="Primaria"/>
    <x v="0"/>
    <x v="11"/>
    <s v="Rural"/>
    <s v="Femenino"/>
    <x v="0"/>
    <x v="2"/>
    <s v="2023 Y 2024"/>
    <s v="SOLO 2023"/>
    <x v="89"/>
    <s v="14145 SANTA JULIA BILLIART4 Primaria"/>
  </r>
  <r>
    <n v="412"/>
    <x v="0"/>
    <s v="Primaria"/>
    <x v="0"/>
    <x v="11"/>
    <s v="Rural"/>
    <s v="Masculino"/>
    <x v="0"/>
    <x v="2"/>
    <s v="2023 Y 2024"/>
    <s v="SOLO 2023"/>
    <x v="89"/>
    <s v="14145 SANTA JULIA BILLIART4 Primaria"/>
  </r>
  <r>
    <n v="413"/>
    <x v="0"/>
    <s v="Primaria"/>
    <x v="0"/>
    <x v="11"/>
    <s v="Rural"/>
    <s v="Femenino"/>
    <x v="0"/>
    <x v="2"/>
    <s v="2023 Y 2024"/>
    <s v="SOLO 2023"/>
    <x v="89"/>
    <s v="14145 SANTA JULIA BILLIART4 Primaria"/>
  </r>
  <r>
    <n v="414"/>
    <x v="0"/>
    <s v="Primaria"/>
    <x v="0"/>
    <x v="11"/>
    <s v="Rural"/>
    <s v="Masculino"/>
    <x v="0"/>
    <x v="2"/>
    <s v="2023 Y 2024"/>
    <s v="SOLO 2023"/>
    <x v="89"/>
    <s v="14145 SANTA JULIA BILLIART4 Primaria"/>
  </r>
  <r>
    <n v="415"/>
    <x v="0"/>
    <s v="Primaria"/>
    <x v="0"/>
    <x v="11"/>
    <s v="Rural"/>
    <s v="Femenino"/>
    <x v="0"/>
    <x v="2"/>
    <s v="2023 Y 2024"/>
    <s v="SOLO 2023"/>
    <x v="89"/>
    <s v="14145 SANTA JULIA BILLIART4 Primaria"/>
  </r>
  <r>
    <n v="416"/>
    <x v="0"/>
    <s v="Primaria"/>
    <x v="0"/>
    <x v="11"/>
    <s v="Rural"/>
    <s v="Masculino"/>
    <x v="0"/>
    <x v="2"/>
    <s v="2023 Y 2024"/>
    <s v="SOLO 2023"/>
    <x v="89"/>
    <s v="14145 SANTA JULIA BILLIART4 Primaria"/>
  </r>
  <r>
    <n v="417"/>
    <x v="0"/>
    <s v="Primaria"/>
    <x v="0"/>
    <x v="11"/>
    <s v="Rural"/>
    <s v="Femenino"/>
    <x v="0"/>
    <x v="2"/>
    <s v="2023 Y 2024"/>
    <s v="SOLO 2023"/>
    <x v="89"/>
    <s v="14145 SANTA JULIA BILLIART4 Primaria"/>
  </r>
  <r>
    <n v="418"/>
    <x v="0"/>
    <s v="Primaria"/>
    <x v="0"/>
    <x v="11"/>
    <s v="Rural"/>
    <s v="Femenino"/>
    <x v="0"/>
    <x v="2"/>
    <s v="2023 Y 2024"/>
    <s v="SOLO 2023"/>
    <x v="89"/>
    <s v="14145 SANTA JULIA BILLIART4 Primaria"/>
  </r>
  <r>
    <n v="419"/>
    <x v="0"/>
    <s v="Primaria"/>
    <x v="0"/>
    <x v="11"/>
    <s v="Rural"/>
    <s v="Femenino"/>
    <x v="0"/>
    <x v="2"/>
    <s v="2023 Y 2024"/>
    <s v="SOLO 2023"/>
    <x v="89"/>
    <s v="14145 SANTA JULIA BILLIART4 Primaria"/>
  </r>
  <r>
    <n v="420"/>
    <x v="0"/>
    <s v="Primaria"/>
    <x v="0"/>
    <x v="11"/>
    <s v="Rural"/>
    <s v="Femenino"/>
    <x v="0"/>
    <x v="2"/>
    <s v="2023 Y 2024"/>
    <s v="SOLO 2023"/>
    <x v="89"/>
    <s v="14145 SANTA JULIA BILLIART4 Primaria"/>
  </r>
  <r>
    <n v="421"/>
    <x v="0"/>
    <s v="Primaria"/>
    <x v="0"/>
    <x v="11"/>
    <s v="Rural"/>
    <s v="Masculino"/>
    <x v="0"/>
    <x v="2"/>
    <s v="2023 Y 2024"/>
    <s v="SOLO 2023"/>
    <x v="89"/>
    <s v="14145 SANTA JULIA BILLIART4 Primaria"/>
  </r>
  <r>
    <n v="422"/>
    <x v="0"/>
    <s v="Primaria"/>
    <x v="0"/>
    <x v="11"/>
    <s v="Rural"/>
    <s v="Femenino"/>
    <x v="0"/>
    <x v="2"/>
    <s v="2023 Y 2024"/>
    <s v="SOLO 2023"/>
    <x v="89"/>
    <s v="14145 SANTA JULIA BILLIART4 Primaria"/>
  </r>
  <r>
    <n v="423"/>
    <x v="0"/>
    <s v="Primaria"/>
    <x v="0"/>
    <x v="11"/>
    <s v="Rural"/>
    <s v="Masculino"/>
    <x v="0"/>
    <x v="2"/>
    <s v="2023 Y 2024"/>
    <s v="SOLO 2023"/>
    <x v="89"/>
    <s v="14145 SANTA JULIA BILLIART4 Primaria"/>
  </r>
  <r>
    <n v="424"/>
    <x v="0"/>
    <s v="Primaria"/>
    <x v="0"/>
    <x v="11"/>
    <s v="Rural"/>
    <s v="Masculino"/>
    <x v="0"/>
    <x v="2"/>
    <s v="2023 Y 2024"/>
    <s v="SOLO 2023"/>
    <x v="89"/>
    <s v="14145 SANTA JULIA BILLIART4 Primaria"/>
  </r>
  <r>
    <n v="425"/>
    <x v="0"/>
    <s v="Primaria"/>
    <x v="0"/>
    <x v="11"/>
    <s v="Rural"/>
    <s v="Femenino"/>
    <x v="0"/>
    <x v="2"/>
    <s v="2023 Y 2024"/>
    <s v="SOLO 2023"/>
    <x v="89"/>
    <s v="14145 SANTA JULIA BILLIART4 Primaria"/>
  </r>
  <r>
    <n v="426"/>
    <x v="0"/>
    <s v="Primaria"/>
    <x v="0"/>
    <x v="11"/>
    <s v="Rural"/>
    <s v="Masculino"/>
    <x v="0"/>
    <x v="2"/>
    <s v="2023 Y 2024"/>
    <s v="SOLO 2023"/>
    <x v="89"/>
    <s v="14145 SANTA JULIA BILLIART4 Primaria"/>
  </r>
  <r>
    <n v="427"/>
    <x v="0"/>
    <s v="Primaria"/>
    <x v="0"/>
    <x v="11"/>
    <s v="Rural"/>
    <s v="Masculino"/>
    <x v="0"/>
    <x v="2"/>
    <s v="2023 Y 2024"/>
    <s v="SOLO 2023"/>
    <x v="89"/>
    <s v="14145 SANTA JULIA BILLIART4 Primaria"/>
  </r>
  <r>
    <n v="428"/>
    <x v="0"/>
    <s v="Primaria"/>
    <x v="0"/>
    <x v="11"/>
    <s v="Rural"/>
    <s v="Femenino"/>
    <x v="1"/>
    <x v="2"/>
    <s v="2023 Y 2024"/>
    <s v="SOLO 2023"/>
    <x v="89"/>
    <s v="14145 SANTA JULIA BILLIART4 Primaria"/>
  </r>
  <r>
    <n v="429"/>
    <x v="0"/>
    <s v="Primaria"/>
    <x v="0"/>
    <x v="11"/>
    <s v="Rural"/>
    <s v="Masculino"/>
    <x v="0"/>
    <x v="2"/>
    <s v="2023 Y 2024"/>
    <s v="SOLO 2023"/>
    <x v="89"/>
    <s v="14145 SANTA JULIA BILLIART4 Primaria"/>
  </r>
  <r>
    <n v="430"/>
    <x v="0"/>
    <s v="Primaria"/>
    <x v="1"/>
    <x v="11"/>
    <s v="Rural"/>
    <s v="Femenino"/>
    <x v="1"/>
    <x v="2"/>
    <s v="2023 Y 2024"/>
    <s v="SOLO 2023"/>
    <x v="89"/>
    <s v="14145 SANTA JULIA BILLIART6 Primaria"/>
  </r>
  <r>
    <n v="431"/>
    <x v="0"/>
    <s v="Primaria"/>
    <x v="1"/>
    <x v="11"/>
    <s v="Rural"/>
    <s v="Masculino"/>
    <x v="1"/>
    <x v="2"/>
    <s v="2023 Y 2024"/>
    <s v="SOLO 2023"/>
    <x v="89"/>
    <s v="14145 SANTA JULIA BILLIART6 Primaria"/>
  </r>
  <r>
    <n v="432"/>
    <x v="0"/>
    <s v="Primaria"/>
    <x v="1"/>
    <x v="11"/>
    <s v="Rural"/>
    <s v="Femenino"/>
    <x v="1"/>
    <x v="2"/>
    <s v="2023 Y 2024"/>
    <s v="SOLO 2023"/>
    <x v="89"/>
    <s v="14145 SANTA JULIA BILLIART6 Primaria"/>
  </r>
  <r>
    <n v="433"/>
    <x v="0"/>
    <s v="Primaria"/>
    <x v="1"/>
    <x v="11"/>
    <s v="Rural"/>
    <s v="Femenino"/>
    <x v="2"/>
    <x v="2"/>
    <s v="2023 Y 2024"/>
    <s v="SOLO 2023"/>
    <x v="89"/>
    <s v="14145 SANTA JULIA BILLIART6 Primaria"/>
  </r>
  <r>
    <n v="434"/>
    <x v="0"/>
    <s v="Primaria"/>
    <x v="1"/>
    <x v="11"/>
    <s v="Rural"/>
    <s v="Femenino"/>
    <x v="2"/>
    <x v="2"/>
    <s v="2023 Y 2024"/>
    <s v="SOLO 2023"/>
    <x v="89"/>
    <s v="14145 SANTA JULIA BILLIART6 Primaria"/>
  </r>
  <r>
    <n v="435"/>
    <x v="0"/>
    <s v="Primaria"/>
    <x v="1"/>
    <x v="11"/>
    <s v="Rural"/>
    <s v="Masculino"/>
    <x v="0"/>
    <x v="2"/>
    <s v="2023 Y 2024"/>
    <s v="SOLO 2023"/>
    <x v="89"/>
    <s v="14145 SANTA JULIA BILLIART6 Primaria"/>
  </r>
  <r>
    <n v="436"/>
    <x v="0"/>
    <s v="Primaria"/>
    <x v="1"/>
    <x v="11"/>
    <s v="Rural"/>
    <s v="Femenino"/>
    <x v="1"/>
    <x v="2"/>
    <s v="2023 Y 2024"/>
    <s v="SOLO 2023"/>
    <x v="89"/>
    <s v="14145 SANTA JULIA BILLIART6 Primaria"/>
  </r>
  <r>
    <n v="437"/>
    <x v="0"/>
    <s v="Primaria"/>
    <x v="1"/>
    <x v="11"/>
    <s v="Rural"/>
    <s v="Masculino"/>
    <x v="1"/>
    <x v="2"/>
    <s v="2023 Y 2024"/>
    <s v="SOLO 2023"/>
    <x v="89"/>
    <s v="14145 SANTA JULIA BILLIART6 Primaria"/>
  </r>
  <r>
    <n v="438"/>
    <x v="0"/>
    <s v="Primaria"/>
    <x v="1"/>
    <x v="11"/>
    <s v="Rural"/>
    <s v="Masculino"/>
    <x v="0"/>
    <x v="2"/>
    <s v="2023 Y 2024"/>
    <s v="SOLO 2023"/>
    <x v="89"/>
    <s v="14145 SANTA JULIA BILLIART6 Primaria"/>
  </r>
  <r>
    <n v="439"/>
    <x v="0"/>
    <s v="Primaria"/>
    <x v="1"/>
    <x v="11"/>
    <s v="Rural"/>
    <s v="Femenino"/>
    <x v="0"/>
    <x v="2"/>
    <s v="2023 Y 2024"/>
    <s v="SOLO 2023"/>
    <x v="89"/>
    <s v="14145 SANTA JULIA BILLIART6 Primaria"/>
  </r>
  <r>
    <n v="440"/>
    <x v="0"/>
    <s v="Primaria"/>
    <x v="1"/>
    <x v="11"/>
    <s v="Rural"/>
    <s v="Masculino"/>
    <x v="0"/>
    <x v="2"/>
    <s v="2023 Y 2024"/>
    <s v="SOLO 2023"/>
    <x v="89"/>
    <s v="14145 SANTA JULIA BILLIART6 Primaria"/>
  </r>
  <r>
    <n v="441"/>
    <x v="0"/>
    <s v="Primaria"/>
    <x v="1"/>
    <x v="11"/>
    <s v="Rural"/>
    <s v="Masculino"/>
    <x v="1"/>
    <x v="2"/>
    <s v="2023 Y 2024"/>
    <s v="SOLO 2023"/>
    <x v="89"/>
    <s v="14145 SANTA JULIA BILLIART6 Primaria"/>
  </r>
  <r>
    <n v="442"/>
    <x v="0"/>
    <s v="Primaria"/>
    <x v="1"/>
    <x v="11"/>
    <s v="Rural"/>
    <s v="Masculino"/>
    <x v="1"/>
    <x v="2"/>
    <s v="2023 Y 2024"/>
    <s v="SOLO 2023"/>
    <x v="89"/>
    <s v="14145 SANTA JULIA BILLIART6 Primaria"/>
  </r>
  <r>
    <n v="443"/>
    <x v="0"/>
    <s v="Primaria"/>
    <x v="1"/>
    <x v="11"/>
    <s v="Rural"/>
    <s v="Femenino"/>
    <x v="1"/>
    <x v="2"/>
    <s v="2023 Y 2024"/>
    <s v="SOLO 2023"/>
    <x v="89"/>
    <s v="14145 SANTA JULIA BILLIART6 Primaria"/>
  </r>
  <r>
    <n v="444"/>
    <x v="0"/>
    <s v="Primaria"/>
    <x v="1"/>
    <x v="11"/>
    <s v="Rural"/>
    <s v="Femenino"/>
    <x v="1"/>
    <x v="2"/>
    <s v="2023 Y 2024"/>
    <s v="SOLO 2023"/>
    <x v="89"/>
    <s v="14145 SANTA JULIA BILLIART6 Primaria"/>
  </r>
  <r>
    <n v="445"/>
    <x v="0"/>
    <s v="Primaria"/>
    <x v="1"/>
    <x v="11"/>
    <s v="Rural"/>
    <s v="Masculino"/>
    <x v="0"/>
    <x v="2"/>
    <s v="2023 Y 2024"/>
    <s v="SOLO 2023"/>
    <x v="89"/>
    <s v="14145 SANTA JULIA BILLIART6 Primaria"/>
  </r>
  <r>
    <n v="446"/>
    <x v="0"/>
    <s v="Primaria"/>
    <x v="1"/>
    <x v="11"/>
    <s v="Rural"/>
    <s v="Masculino"/>
    <x v="1"/>
    <x v="2"/>
    <s v="2023 Y 2024"/>
    <s v="SOLO 2023"/>
    <x v="89"/>
    <s v="14145 SANTA JULIA BILLIART6 Primaria"/>
  </r>
  <r>
    <n v="447"/>
    <x v="0"/>
    <s v="Primaria"/>
    <x v="1"/>
    <x v="11"/>
    <s v="Rural"/>
    <s v="Masculino"/>
    <x v="0"/>
    <x v="2"/>
    <s v="2023 Y 2024"/>
    <s v="SOLO 2023"/>
    <x v="89"/>
    <s v="14145 SANTA JULIA BILLIART6 Primaria"/>
  </r>
  <r>
    <n v="448"/>
    <x v="0"/>
    <s v="Primaria"/>
    <x v="1"/>
    <x v="11"/>
    <s v="Rural"/>
    <s v="Femenino"/>
    <x v="1"/>
    <x v="2"/>
    <s v="2023 Y 2024"/>
    <s v="SOLO 2023"/>
    <x v="89"/>
    <s v="14145 SANTA JULIA BILLIART6 Primaria"/>
  </r>
  <r>
    <n v="449"/>
    <x v="0"/>
    <s v="Primaria"/>
    <x v="1"/>
    <x v="11"/>
    <s v="Rural"/>
    <s v="Masculino"/>
    <x v="1"/>
    <x v="2"/>
    <s v="2023 Y 2024"/>
    <s v="SOLO 2023"/>
    <x v="89"/>
    <s v="14145 SANTA JULIA BILLIART6 Primaria"/>
  </r>
  <r>
    <n v="450"/>
    <x v="0"/>
    <s v="Primaria"/>
    <x v="1"/>
    <x v="11"/>
    <s v="Rural"/>
    <s v="Femenino"/>
    <x v="1"/>
    <x v="2"/>
    <s v="2023 Y 2024"/>
    <s v="SOLO 2023"/>
    <x v="89"/>
    <s v="14145 SANTA JULIA BILLIART6 Primaria"/>
  </r>
  <r>
    <n v="451"/>
    <x v="0"/>
    <s v="Primaria"/>
    <x v="1"/>
    <x v="11"/>
    <s v="Rural"/>
    <s v="Masculino"/>
    <x v="1"/>
    <x v="2"/>
    <s v="2023 Y 2024"/>
    <s v="SOLO 2023"/>
    <x v="89"/>
    <s v="14145 SANTA JULIA BILLIART6 Primaria"/>
  </r>
  <r>
    <n v="452"/>
    <x v="0"/>
    <s v="Primaria"/>
    <x v="1"/>
    <x v="11"/>
    <s v="Rural"/>
    <s v="Femenino"/>
    <x v="2"/>
    <x v="2"/>
    <s v="2023 Y 2024"/>
    <s v="SOLO 2023"/>
    <x v="89"/>
    <s v="14145 SANTA JULIA BILLIART6 Primaria"/>
  </r>
  <r>
    <n v="453"/>
    <x v="0"/>
    <s v="Primaria"/>
    <x v="1"/>
    <x v="11"/>
    <s v="Rural"/>
    <s v="Masculino"/>
    <x v="1"/>
    <x v="2"/>
    <s v="2023 Y 2024"/>
    <s v="SOLO 2023"/>
    <x v="89"/>
    <s v="14145 SANTA JULIA BILLIART6 Primaria"/>
  </r>
  <r>
    <n v="454"/>
    <x v="0"/>
    <s v="Primaria"/>
    <x v="1"/>
    <x v="11"/>
    <s v="Rural"/>
    <s v="Masculino"/>
    <x v="0"/>
    <x v="2"/>
    <s v="2023 Y 2024"/>
    <s v="SOLO 2023"/>
    <x v="89"/>
    <s v="14145 SANTA JULIA BILLIART6 Primaria"/>
  </r>
  <r>
    <n v="455"/>
    <x v="0"/>
    <s v="Primaria"/>
    <x v="1"/>
    <x v="11"/>
    <s v="Rural"/>
    <s v="Masculino"/>
    <x v="0"/>
    <x v="2"/>
    <s v="2023 Y 2024"/>
    <s v="SOLO 2023"/>
    <x v="89"/>
    <s v="14145 SANTA JULIA BILLIART6 Primaria"/>
  </r>
  <r>
    <n v="456"/>
    <x v="0"/>
    <s v="Primaria"/>
    <x v="1"/>
    <x v="11"/>
    <s v="Rural"/>
    <s v="Masculino"/>
    <x v="1"/>
    <x v="2"/>
    <s v="2023 Y 2024"/>
    <s v="SOLO 2023"/>
    <x v="89"/>
    <s v="14145 SANTA JULIA BILLIART6 Primaria"/>
  </r>
  <r>
    <n v="457"/>
    <x v="0"/>
    <s v="Primaria"/>
    <x v="1"/>
    <x v="11"/>
    <s v="Rural"/>
    <s v="Masculino"/>
    <x v="0"/>
    <x v="2"/>
    <s v="2023 Y 2024"/>
    <s v="SOLO 2023"/>
    <x v="89"/>
    <s v="14145 SANTA JULIA BILLIART6 Primaria"/>
  </r>
  <r>
    <n v="458"/>
    <x v="0"/>
    <s v="Primaria"/>
    <x v="1"/>
    <x v="11"/>
    <s v="Rural"/>
    <s v="Femenino"/>
    <x v="1"/>
    <x v="2"/>
    <s v="2023 Y 2024"/>
    <s v="SOLO 2023"/>
    <x v="89"/>
    <s v="14145 SANTA JULIA BILLIART6 Primaria"/>
  </r>
  <r>
    <n v="459"/>
    <x v="0"/>
    <s v="Primaria"/>
    <x v="1"/>
    <x v="11"/>
    <s v="Rural"/>
    <s v="Masculino"/>
    <x v="1"/>
    <x v="2"/>
    <s v="2023 Y 2024"/>
    <s v="SOLO 2023"/>
    <x v="89"/>
    <s v="14145 SANTA JULIA BILLIART6 Primaria"/>
  </r>
  <r>
    <n v="460"/>
    <x v="0"/>
    <s v="Primaria"/>
    <x v="4"/>
    <x v="9"/>
    <s v="Rural"/>
    <s v="Masculino"/>
    <x v="2"/>
    <x v="2"/>
    <s v="2023 Y 2024"/>
    <s v="PADD 2023 Y 2024"/>
    <x v="90"/>
    <s v="154782 Primaria"/>
  </r>
  <r>
    <n v="461"/>
    <x v="0"/>
    <s v="Primaria"/>
    <x v="0"/>
    <x v="9"/>
    <s v="Rural"/>
    <s v="Masculino"/>
    <x v="1"/>
    <x v="2"/>
    <s v="2023 Y 2024"/>
    <s v="PADD 2023 Y 2024"/>
    <x v="90"/>
    <s v="154784 Primaria"/>
  </r>
  <r>
    <n v="462"/>
    <x v="0"/>
    <s v="Primaria"/>
    <x v="1"/>
    <x v="9"/>
    <s v="Rural"/>
    <s v="Femenino"/>
    <x v="1"/>
    <x v="2"/>
    <s v="2023 Y 2024"/>
    <s v="PADD 2023 Y 2024"/>
    <x v="90"/>
    <s v="154786 Primaria"/>
  </r>
  <r>
    <n v="463"/>
    <x v="0"/>
    <s v="Primaria"/>
    <x v="1"/>
    <x v="9"/>
    <s v="Rural"/>
    <s v="Masculino"/>
    <x v="0"/>
    <x v="2"/>
    <s v="2023 Y 2024"/>
    <s v="PADD 2023 Y 2024"/>
    <x v="90"/>
    <s v="154786 Primaria"/>
  </r>
  <r>
    <n v="464"/>
    <x v="0"/>
    <s v="Primaria"/>
    <x v="1"/>
    <x v="1"/>
    <s v="Rural"/>
    <s v="Masculino"/>
    <x v="1"/>
    <x v="2"/>
    <s v="2023 Y 2024"/>
    <s v="PADD 2023 Y 2024"/>
    <x v="91"/>
    <s v="201046 Primaria"/>
  </r>
  <r>
    <n v="465"/>
    <x v="0"/>
    <s v="Primaria"/>
    <x v="1"/>
    <x v="1"/>
    <s v="Rural"/>
    <s v="Masculino"/>
    <x v="0"/>
    <x v="2"/>
    <s v="2023 Y 2024"/>
    <s v="PADD 2023 Y 2024"/>
    <x v="91"/>
    <s v="201046 Primaria"/>
  </r>
  <r>
    <n v="466"/>
    <x v="0"/>
    <s v="Primaria"/>
    <x v="1"/>
    <x v="1"/>
    <s v="Rural"/>
    <s v="Masculino"/>
    <x v="1"/>
    <x v="2"/>
    <s v="2023 Y 2024"/>
    <s v="PADD 2023 Y 2024"/>
    <x v="91"/>
    <s v="201046 Primaria"/>
  </r>
  <r>
    <n v="467"/>
    <x v="0"/>
    <s v="Primaria"/>
    <x v="1"/>
    <x v="1"/>
    <s v="Rural"/>
    <s v="Masculino"/>
    <x v="0"/>
    <x v="2"/>
    <s v="2023 Y 2024"/>
    <s v="PADD 2023 Y 2024"/>
    <x v="91"/>
    <s v="201046 Primaria"/>
  </r>
  <r>
    <n v="468"/>
    <x v="0"/>
    <s v="Primaria"/>
    <x v="1"/>
    <x v="1"/>
    <s v="Rural"/>
    <s v="Femenino"/>
    <x v="0"/>
    <x v="2"/>
    <s v="2023 Y 2024"/>
    <s v="PADD 2023 Y 2024"/>
    <x v="91"/>
    <s v="201046 Primaria"/>
  </r>
  <r>
    <n v="469"/>
    <x v="0"/>
    <s v="Primaria"/>
    <x v="1"/>
    <x v="1"/>
    <s v="Rural"/>
    <s v="Femenino"/>
    <x v="0"/>
    <x v="2"/>
    <s v="2023 Y 2024"/>
    <s v="PADD 2023 Y 2024"/>
    <x v="91"/>
    <s v="201046 Primaria"/>
  </r>
  <r>
    <n v="470"/>
    <x v="0"/>
    <s v="Primaria"/>
    <x v="1"/>
    <x v="1"/>
    <s v="Rural"/>
    <s v="Masculino"/>
    <x v="0"/>
    <x v="2"/>
    <s v="2023 Y 2024"/>
    <s v="PADD 2023 Y 2024"/>
    <x v="91"/>
    <s v="201046 Primaria"/>
  </r>
  <r>
    <n v="471"/>
    <x v="0"/>
    <s v="Primaria"/>
    <x v="1"/>
    <x v="1"/>
    <s v="Rural"/>
    <s v="Masculino"/>
    <x v="1"/>
    <x v="2"/>
    <s v="2023 Y 2024"/>
    <s v="PADD 2023 Y 2024"/>
    <x v="91"/>
    <s v="201046 Primaria"/>
  </r>
  <r>
    <n v="472"/>
    <x v="0"/>
    <s v="Primaria"/>
    <x v="1"/>
    <x v="1"/>
    <s v="Rural"/>
    <s v="Masculino"/>
    <x v="0"/>
    <x v="2"/>
    <s v="2023 Y 2024"/>
    <s v="PADD 2023 Y 2024"/>
    <x v="91"/>
    <s v="201046 Primaria"/>
  </r>
  <r>
    <n v="473"/>
    <x v="0"/>
    <s v="Primaria"/>
    <x v="1"/>
    <x v="1"/>
    <s v="Rural"/>
    <s v="Femenino"/>
    <x v="0"/>
    <x v="2"/>
    <s v="2023 Y 2024"/>
    <s v="PADD 2023 Y 2024"/>
    <x v="91"/>
    <s v="201046 Primaria"/>
  </r>
  <r>
    <n v="474"/>
    <x v="0"/>
    <s v="Primaria"/>
    <x v="1"/>
    <x v="1"/>
    <s v="Rural"/>
    <s v="Masculino"/>
    <x v="1"/>
    <x v="2"/>
    <s v="2023 Y 2024"/>
    <s v="PADD 2023 Y 2024"/>
    <x v="91"/>
    <s v="201046 Primaria"/>
  </r>
  <r>
    <n v="475"/>
    <x v="0"/>
    <s v="Primaria"/>
    <x v="1"/>
    <x v="1"/>
    <s v="Rural"/>
    <s v="Femenino"/>
    <x v="1"/>
    <x v="2"/>
    <s v="2023 Y 2024"/>
    <s v="PADD 2023 Y 2024"/>
    <x v="91"/>
    <s v="201046 Primaria"/>
  </r>
  <r>
    <n v="476"/>
    <x v="0"/>
    <s v="Primaria"/>
    <x v="1"/>
    <x v="1"/>
    <s v="Rural"/>
    <s v="Femenino"/>
    <x v="1"/>
    <x v="2"/>
    <s v="2023 Y 2024"/>
    <s v="PADD 2023 Y 2024"/>
    <x v="91"/>
    <s v="201046 Primaria"/>
  </r>
  <r>
    <n v="477"/>
    <x v="0"/>
    <s v="Primaria"/>
    <x v="1"/>
    <x v="1"/>
    <s v="Rural"/>
    <s v="Femenino"/>
    <x v="0"/>
    <x v="2"/>
    <s v="2023 Y 2024"/>
    <s v="PADD 2023 Y 2024"/>
    <x v="91"/>
    <s v="201046 Primaria"/>
  </r>
  <r>
    <n v="478"/>
    <x v="0"/>
    <s v="Primaria"/>
    <x v="1"/>
    <x v="1"/>
    <s v="Rural"/>
    <s v="Masculino"/>
    <x v="1"/>
    <x v="2"/>
    <s v="2023 Y 2024"/>
    <s v="PADD 2023 Y 2024"/>
    <x v="91"/>
    <s v="201046 Primaria"/>
  </r>
  <r>
    <n v="479"/>
    <x v="0"/>
    <s v="Primaria"/>
    <x v="1"/>
    <x v="1"/>
    <s v="Rural"/>
    <s v="Femenino"/>
    <x v="1"/>
    <x v="2"/>
    <s v="2023 Y 2024"/>
    <s v="PADD 2023 Y 2024"/>
    <x v="91"/>
    <s v="201046 Primaria"/>
  </r>
  <r>
    <n v="480"/>
    <x v="0"/>
    <s v="Primaria"/>
    <x v="1"/>
    <x v="1"/>
    <s v="Rural"/>
    <s v="Femenino"/>
    <x v="1"/>
    <x v="2"/>
    <s v="2023 Y 2024"/>
    <s v="PADD 2023 Y 2024"/>
    <x v="91"/>
    <s v="201046 Primaria"/>
  </r>
  <r>
    <n v="481"/>
    <x v="0"/>
    <s v="Primaria"/>
    <x v="1"/>
    <x v="1"/>
    <s v="Rural"/>
    <s v="Masculino"/>
    <x v="0"/>
    <x v="2"/>
    <s v="2023 Y 2024"/>
    <s v="PADD 2023 Y 2024"/>
    <x v="91"/>
    <s v="201046 Primaria"/>
  </r>
  <r>
    <n v="482"/>
    <x v="0"/>
    <s v="Primaria"/>
    <x v="1"/>
    <x v="1"/>
    <s v="Rural"/>
    <s v="Masculino"/>
    <x v="0"/>
    <x v="2"/>
    <s v="2023 Y 2024"/>
    <s v="PADD 2023 Y 2024"/>
    <x v="91"/>
    <s v="201046 Primaria"/>
  </r>
  <r>
    <n v="483"/>
    <x v="0"/>
    <s v="Primaria"/>
    <x v="4"/>
    <x v="1"/>
    <s v="Rural"/>
    <s v="Masculino"/>
    <x v="0"/>
    <x v="2"/>
    <s v="2023 Y 2024"/>
    <s v="PADD 2023 Y 2024"/>
    <x v="91"/>
    <s v="201042 Primaria"/>
  </r>
  <r>
    <n v="484"/>
    <x v="0"/>
    <s v="Primaria"/>
    <x v="4"/>
    <x v="1"/>
    <s v="Rural"/>
    <s v="Femenino"/>
    <x v="0"/>
    <x v="2"/>
    <s v="2023 Y 2024"/>
    <s v="PADD 2023 Y 2024"/>
    <x v="91"/>
    <s v="201042 Primaria"/>
  </r>
  <r>
    <n v="485"/>
    <x v="0"/>
    <s v="Primaria"/>
    <x v="4"/>
    <x v="1"/>
    <s v="Rural"/>
    <s v="Femenino"/>
    <x v="0"/>
    <x v="2"/>
    <s v="2023 Y 2024"/>
    <s v="PADD 2023 Y 2024"/>
    <x v="91"/>
    <s v="201042 Primaria"/>
  </r>
  <r>
    <n v="486"/>
    <x v="0"/>
    <s v="Primaria"/>
    <x v="4"/>
    <x v="1"/>
    <s v="Rural"/>
    <s v="Femenino"/>
    <x v="0"/>
    <x v="2"/>
    <s v="2023 Y 2024"/>
    <s v="PADD 2023 Y 2024"/>
    <x v="91"/>
    <s v="201042 Primaria"/>
  </r>
  <r>
    <n v="487"/>
    <x v="0"/>
    <s v="Primaria"/>
    <x v="4"/>
    <x v="1"/>
    <s v="Rural"/>
    <s v="Masculino"/>
    <x v="0"/>
    <x v="2"/>
    <s v="2023 Y 2024"/>
    <s v="PADD 2023 Y 2024"/>
    <x v="91"/>
    <s v="201042 Primaria"/>
  </r>
  <r>
    <n v="488"/>
    <x v="0"/>
    <s v="Primaria"/>
    <x v="4"/>
    <x v="1"/>
    <s v="Rural"/>
    <s v="Masculino"/>
    <x v="0"/>
    <x v="2"/>
    <s v="2023 Y 2024"/>
    <s v="PADD 2023 Y 2024"/>
    <x v="91"/>
    <s v="201042 Primaria"/>
  </r>
  <r>
    <n v="489"/>
    <x v="0"/>
    <s v="Primaria"/>
    <x v="4"/>
    <x v="1"/>
    <s v="Rural"/>
    <s v="Masculino"/>
    <x v="1"/>
    <x v="2"/>
    <s v="2023 Y 2024"/>
    <s v="PADD 2023 Y 2024"/>
    <x v="91"/>
    <s v="201042 Primaria"/>
  </r>
  <r>
    <n v="490"/>
    <x v="0"/>
    <s v="Primaria"/>
    <x v="4"/>
    <x v="1"/>
    <s v="Rural"/>
    <s v="Femenino"/>
    <x v="1"/>
    <x v="2"/>
    <s v="2023 Y 2024"/>
    <s v="PADD 2023 Y 2024"/>
    <x v="91"/>
    <s v="201042 Primaria"/>
  </r>
  <r>
    <n v="491"/>
    <x v="0"/>
    <s v="Primaria"/>
    <x v="4"/>
    <x v="1"/>
    <s v="Rural"/>
    <s v="Masculino"/>
    <x v="1"/>
    <x v="2"/>
    <s v="2023 Y 2024"/>
    <s v="PADD 2023 Y 2024"/>
    <x v="91"/>
    <s v="201042 Primaria"/>
  </r>
  <r>
    <n v="492"/>
    <x v="0"/>
    <s v="Primaria"/>
    <x v="4"/>
    <x v="0"/>
    <s v="Rural"/>
    <s v="Masculino"/>
    <x v="0"/>
    <x v="2"/>
    <s v="2023 Y 2024"/>
    <s v="PADD 2023 Y 2024"/>
    <x v="92"/>
    <s v="14924 DANIEL ALCIDES CARRION2 Primaria"/>
  </r>
  <r>
    <n v="493"/>
    <x v="0"/>
    <s v="Primaria"/>
    <x v="4"/>
    <x v="0"/>
    <s v="Rural"/>
    <s v="Femenino"/>
    <x v="1"/>
    <x v="2"/>
    <s v="2023 Y 2024"/>
    <s v="PADD 2023 Y 2024"/>
    <x v="92"/>
    <s v="14924 DANIEL ALCIDES CARRION2 Primaria"/>
  </r>
  <r>
    <n v="494"/>
    <x v="0"/>
    <s v="Primaria"/>
    <x v="4"/>
    <x v="0"/>
    <s v="Rural"/>
    <s v="Masculino"/>
    <x v="1"/>
    <x v="2"/>
    <s v="2023 Y 2024"/>
    <s v="PADD 2023 Y 2024"/>
    <x v="92"/>
    <s v="14924 DANIEL ALCIDES CARRION2 Primaria"/>
  </r>
  <r>
    <n v="495"/>
    <x v="0"/>
    <s v="Primaria"/>
    <x v="4"/>
    <x v="0"/>
    <s v="Rural"/>
    <s v="Femenino"/>
    <x v="1"/>
    <x v="2"/>
    <s v="2023 Y 2024"/>
    <s v="PADD 2023 Y 2024"/>
    <x v="92"/>
    <s v="14924 DANIEL ALCIDES CARRION2 Primaria"/>
  </r>
  <r>
    <n v="496"/>
    <x v="0"/>
    <s v="Primaria"/>
    <x v="4"/>
    <x v="0"/>
    <s v="Rural"/>
    <s v="Femenino"/>
    <x v="1"/>
    <x v="2"/>
    <s v="2023 Y 2024"/>
    <s v="PADD 2023 Y 2024"/>
    <x v="92"/>
    <s v="14924 DANIEL ALCIDES CARRION2 Primaria"/>
  </r>
  <r>
    <n v="497"/>
    <x v="0"/>
    <s v="Primaria"/>
    <x v="4"/>
    <x v="0"/>
    <s v="Rural"/>
    <s v="Femenino"/>
    <x v="2"/>
    <x v="2"/>
    <s v="2023 Y 2024"/>
    <s v="PADD 2023 Y 2024"/>
    <x v="92"/>
    <s v="14924 DANIEL ALCIDES CARRION2 Primaria"/>
  </r>
  <r>
    <n v="498"/>
    <x v="0"/>
    <s v="Primaria"/>
    <x v="4"/>
    <x v="0"/>
    <s v="Rural"/>
    <s v="Femenino"/>
    <x v="1"/>
    <x v="2"/>
    <s v="2023 Y 2024"/>
    <s v="PADD 2023 Y 2024"/>
    <x v="92"/>
    <s v="14924 DANIEL ALCIDES CARRION2 Primaria"/>
  </r>
  <r>
    <n v="499"/>
    <x v="0"/>
    <s v="Primaria"/>
    <x v="4"/>
    <x v="0"/>
    <s v="Rural"/>
    <s v="Masculino"/>
    <x v="0"/>
    <x v="2"/>
    <s v="2023 Y 2024"/>
    <s v="PADD 2023 Y 2024"/>
    <x v="92"/>
    <s v="14924 DANIEL ALCIDES CARRION2 Primaria"/>
  </r>
  <r>
    <n v="500"/>
    <x v="0"/>
    <s v="Primaria"/>
    <x v="4"/>
    <x v="0"/>
    <s v="Rural"/>
    <s v="Femenino"/>
    <x v="1"/>
    <x v="2"/>
    <s v="2023 Y 2024"/>
    <s v="PADD 2023 Y 2024"/>
    <x v="92"/>
    <s v="14924 DANIEL ALCIDES CARRION2 Primaria"/>
  </r>
  <r>
    <n v="501"/>
    <x v="0"/>
    <s v="Primaria"/>
    <x v="4"/>
    <x v="0"/>
    <s v="Rural"/>
    <s v="Femenino"/>
    <x v="1"/>
    <x v="2"/>
    <s v="2023 Y 2024"/>
    <s v="PADD 2023 Y 2024"/>
    <x v="92"/>
    <s v="14924 DANIEL ALCIDES CARRION2 Primaria"/>
  </r>
  <r>
    <n v="502"/>
    <x v="0"/>
    <s v="Primaria"/>
    <x v="4"/>
    <x v="0"/>
    <s v="Rural"/>
    <s v="Masculino"/>
    <x v="1"/>
    <x v="2"/>
    <s v="2023 Y 2024"/>
    <s v="PADD 2023 Y 2024"/>
    <x v="92"/>
    <s v="14924 DANIEL ALCIDES CARRION2 Primaria"/>
  </r>
  <r>
    <n v="503"/>
    <x v="0"/>
    <s v="Primaria"/>
    <x v="4"/>
    <x v="0"/>
    <s v="Rural"/>
    <s v="Masculino"/>
    <x v="1"/>
    <x v="2"/>
    <s v="2023 Y 2024"/>
    <s v="PADD 2023 Y 2024"/>
    <x v="92"/>
    <s v="14924 DANIEL ALCIDES CARRION2 Primaria"/>
  </r>
  <r>
    <n v="504"/>
    <x v="0"/>
    <s v="Primaria"/>
    <x v="4"/>
    <x v="0"/>
    <s v="Rural"/>
    <s v="Femenino"/>
    <x v="0"/>
    <x v="2"/>
    <s v="2023 Y 2024"/>
    <s v="PADD 2023 Y 2024"/>
    <x v="92"/>
    <s v="14924 DANIEL ALCIDES CARRION2 Primaria"/>
  </r>
  <r>
    <n v="505"/>
    <x v="0"/>
    <s v="Primaria"/>
    <x v="4"/>
    <x v="0"/>
    <s v="Rural"/>
    <s v="Femenino"/>
    <x v="1"/>
    <x v="2"/>
    <s v="2023 Y 2024"/>
    <s v="PADD 2023 Y 2024"/>
    <x v="92"/>
    <s v="14924 DANIEL ALCIDES CARRION2 Primaria"/>
  </r>
  <r>
    <n v="506"/>
    <x v="0"/>
    <s v="Primaria"/>
    <x v="4"/>
    <x v="0"/>
    <s v="Rural"/>
    <s v="Masculino"/>
    <x v="1"/>
    <x v="2"/>
    <s v="2023 Y 2024"/>
    <s v="PADD 2023 Y 2024"/>
    <x v="92"/>
    <s v="14924 DANIEL ALCIDES CARRION2 Primaria"/>
  </r>
  <r>
    <n v="507"/>
    <x v="0"/>
    <s v="Primaria"/>
    <x v="4"/>
    <x v="0"/>
    <s v="Rural"/>
    <s v="Femenino"/>
    <x v="0"/>
    <x v="2"/>
    <s v="2023 Y 2024"/>
    <s v="PADD 2023 Y 2024"/>
    <x v="92"/>
    <s v="14924 DANIEL ALCIDES CARRION2 Primaria"/>
  </r>
  <r>
    <n v="508"/>
    <x v="0"/>
    <s v="Primaria"/>
    <x v="4"/>
    <x v="0"/>
    <s v="Rural"/>
    <s v="Femenino"/>
    <x v="1"/>
    <x v="2"/>
    <s v="2023 Y 2024"/>
    <s v="PADD 2023 Y 2024"/>
    <x v="92"/>
    <s v="14924 DANIEL ALCIDES CARRION2 Primaria"/>
  </r>
  <r>
    <n v="509"/>
    <x v="0"/>
    <s v="Primaria"/>
    <x v="4"/>
    <x v="0"/>
    <s v="Rural"/>
    <s v="Femenino"/>
    <x v="0"/>
    <x v="2"/>
    <s v="2023 Y 2024"/>
    <s v="PADD 2023 Y 2024"/>
    <x v="92"/>
    <s v="14924 DANIEL ALCIDES CARRION2 Primaria"/>
  </r>
  <r>
    <n v="510"/>
    <x v="0"/>
    <s v="Primaria"/>
    <x v="4"/>
    <x v="0"/>
    <s v="Rural"/>
    <s v="Femenino"/>
    <x v="1"/>
    <x v="2"/>
    <s v="2023 Y 2024"/>
    <s v="PADD 2023 Y 2024"/>
    <x v="92"/>
    <s v="14924 DANIEL ALCIDES CARRION2 Primaria"/>
  </r>
  <r>
    <n v="511"/>
    <x v="0"/>
    <s v="Primaria"/>
    <x v="4"/>
    <x v="0"/>
    <s v="Rural"/>
    <s v="Masculino"/>
    <x v="0"/>
    <x v="2"/>
    <s v="2023 Y 2024"/>
    <s v="PADD 2023 Y 2024"/>
    <x v="92"/>
    <s v="14924 DANIEL ALCIDES CARRION2 Primaria"/>
  </r>
  <r>
    <n v="512"/>
    <x v="0"/>
    <s v="Primaria"/>
    <x v="4"/>
    <x v="0"/>
    <s v="Rural"/>
    <s v="Femenino"/>
    <x v="1"/>
    <x v="2"/>
    <s v="2023 Y 2024"/>
    <s v="PADD 2023 Y 2024"/>
    <x v="92"/>
    <s v="14924 DANIEL ALCIDES CARRION2 Primaria"/>
  </r>
  <r>
    <n v="513"/>
    <x v="0"/>
    <s v="Primaria"/>
    <x v="4"/>
    <x v="0"/>
    <s v="Rural"/>
    <s v="Masculino"/>
    <x v="0"/>
    <x v="2"/>
    <s v="2023 Y 2024"/>
    <s v="PADD 2023 Y 2024"/>
    <x v="92"/>
    <s v="14924 DANIEL ALCIDES CARRION2 Primaria"/>
  </r>
  <r>
    <n v="514"/>
    <x v="0"/>
    <s v="Primaria"/>
    <x v="4"/>
    <x v="0"/>
    <s v="Rural"/>
    <s v="Femenino"/>
    <x v="0"/>
    <x v="2"/>
    <s v="2023 Y 2024"/>
    <s v="PADD 2023 Y 2024"/>
    <x v="92"/>
    <s v="14924 DANIEL ALCIDES CARRION2 Primaria"/>
  </r>
  <r>
    <n v="515"/>
    <x v="0"/>
    <s v="Primaria"/>
    <x v="4"/>
    <x v="0"/>
    <s v="Rural"/>
    <s v="Masculino"/>
    <x v="1"/>
    <x v="2"/>
    <s v="2023 Y 2024"/>
    <s v="PADD 2023 Y 2024"/>
    <x v="92"/>
    <s v="14924 DANIEL ALCIDES CARRION2 Primaria"/>
  </r>
  <r>
    <n v="516"/>
    <x v="0"/>
    <s v="Primaria"/>
    <x v="4"/>
    <x v="0"/>
    <s v="Rural"/>
    <s v="Masculino"/>
    <x v="0"/>
    <x v="2"/>
    <s v="2023 Y 2024"/>
    <s v="PADD 2023 Y 2024"/>
    <x v="92"/>
    <s v="14924 DANIEL ALCIDES CARRION2 Primaria"/>
  </r>
  <r>
    <n v="517"/>
    <x v="0"/>
    <s v="Primaria"/>
    <x v="4"/>
    <x v="0"/>
    <s v="Rural"/>
    <s v="Femenino"/>
    <x v="1"/>
    <x v="2"/>
    <s v="2023 Y 2024"/>
    <s v="PADD 2023 Y 2024"/>
    <x v="92"/>
    <s v="14924 DANIEL ALCIDES CARRION2 Primaria"/>
  </r>
  <r>
    <n v="518"/>
    <x v="0"/>
    <s v="Primaria"/>
    <x v="4"/>
    <x v="0"/>
    <s v="Rural"/>
    <s v="Femenino"/>
    <x v="0"/>
    <x v="2"/>
    <s v="2023 Y 2024"/>
    <s v="PADD 2023 Y 2024"/>
    <x v="92"/>
    <s v="14924 DANIEL ALCIDES CARRION2 Primaria"/>
  </r>
  <r>
    <n v="519"/>
    <x v="0"/>
    <s v="Primaria"/>
    <x v="4"/>
    <x v="0"/>
    <s v="Rural"/>
    <s v="Femenino"/>
    <x v="0"/>
    <x v="2"/>
    <s v="2023 Y 2024"/>
    <s v="PADD 2023 Y 2024"/>
    <x v="92"/>
    <s v="14924 DANIEL ALCIDES CARRION2 Primaria"/>
  </r>
  <r>
    <n v="520"/>
    <x v="0"/>
    <s v="Primaria"/>
    <x v="4"/>
    <x v="0"/>
    <s v="Rural"/>
    <s v="Masculino"/>
    <x v="0"/>
    <x v="2"/>
    <s v="2023 Y 2024"/>
    <s v="PADD 2023 Y 2024"/>
    <x v="92"/>
    <s v="14924 DANIEL ALCIDES CARRION2 Primaria"/>
  </r>
  <r>
    <n v="521"/>
    <x v="0"/>
    <s v="Primaria"/>
    <x v="4"/>
    <x v="0"/>
    <s v="Rural"/>
    <s v="Masculino"/>
    <x v="0"/>
    <x v="2"/>
    <s v="2023 Y 2024"/>
    <s v="PADD 2023 Y 2024"/>
    <x v="92"/>
    <s v="14924 DANIEL ALCIDES CARRION2 Primaria"/>
  </r>
  <r>
    <n v="522"/>
    <x v="0"/>
    <s v="Primaria"/>
    <x v="4"/>
    <x v="0"/>
    <s v="Rural"/>
    <s v="Masculino"/>
    <x v="0"/>
    <x v="2"/>
    <s v="2023 Y 2024"/>
    <s v="PADD 2023 Y 2024"/>
    <x v="92"/>
    <s v="14924 DANIEL ALCIDES CARRION2 Primaria"/>
  </r>
  <r>
    <n v="523"/>
    <x v="0"/>
    <s v="Primaria"/>
    <x v="4"/>
    <x v="0"/>
    <s v="Rural"/>
    <s v="Femenino"/>
    <x v="1"/>
    <x v="2"/>
    <s v="2023 Y 2024"/>
    <s v="PADD 2023 Y 2024"/>
    <x v="92"/>
    <s v="14924 DANIEL ALCIDES CARRION2 Primaria"/>
  </r>
  <r>
    <n v="524"/>
    <x v="0"/>
    <s v="Primaria"/>
    <x v="4"/>
    <x v="0"/>
    <s v="Rural"/>
    <s v="Masculino"/>
    <x v="0"/>
    <x v="2"/>
    <s v="2023 Y 2024"/>
    <s v="PADD 2023 Y 2024"/>
    <x v="92"/>
    <s v="14924 DANIEL ALCIDES CARRION2 Primaria"/>
  </r>
  <r>
    <n v="525"/>
    <x v="0"/>
    <s v="Primaria"/>
    <x v="4"/>
    <x v="0"/>
    <s v="Rural"/>
    <s v="Masculino"/>
    <x v="0"/>
    <x v="2"/>
    <s v="2023 Y 2024"/>
    <s v="PADD 2023 Y 2024"/>
    <x v="92"/>
    <s v="14924 DANIEL ALCIDES CARRION2 Primaria"/>
  </r>
  <r>
    <n v="526"/>
    <x v="0"/>
    <s v="Primaria"/>
    <x v="4"/>
    <x v="0"/>
    <s v="Rural"/>
    <s v="Femenino"/>
    <x v="0"/>
    <x v="2"/>
    <s v="2023 Y 2024"/>
    <s v="PADD 2023 Y 2024"/>
    <x v="92"/>
    <s v="14924 DANIEL ALCIDES CARRION2 Primaria"/>
  </r>
  <r>
    <n v="527"/>
    <x v="0"/>
    <s v="Primaria"/>
    <x v="4"/>
    <x v="0"/>
    <s v="Rural"/>
    <s v="Femenino"/>
    <x v="0"/>
    <x v="2"/>
    <s v="2023 Y 2024"/>
    <s v="PADD 2023 Y 2024"/>
    <x v="92"/>
    <s v="14924 DANIEL ALCIDES CARRION2 Primaria"/>
  </r>
  <r>
    <n v="528"/>
    <x v="0"/>
    <s v="Primaria"/>
    <x v="4"/>
    <x v="0"/>
    <s v="Rural"/>
    <s v="Masculino"/>
    <x v="0"/>
    <x v="2"/>
    <s v="2023 Y 2024"/>
    <s v="PADD 2023 Y 2024"/>
    <x v="92"/>
    <s v="14924 DANIEL ALCIDES CARRION2 Primaria"/>
  </r>
  <r>
    <n v="529"/>
    <x v="0"/>
    <s v="Primaria"/>
    <x v="4"/>
    <x v="0"/>
    <s v="Rural"/>
    <s v="Femenino"/>
    <x v="1"/>
    <x v="2"/>
    <s v="2023 Y 2024"/>
    <s v="PADD 2023 Y 2024"/>
    <x v="92"/>
    <s v="14924 DANIEL ALCIDES CARRION2 Primaria"/>
  </r>
  <r>
    <n v="530"/>
    <x v="0"/>
    <s v="Primaria"/>
    <x v="4"/>
    <x v="0"/>
    <s v="Rural"/>
    <s v="Femenino"/>
    <x v="0"/>
    <x v="2"/>
    <s v="2023 Y 2024"/>
    <s v="PADD 2023 Y 2024"/>
    <x v="92"/>
    <s v="14924 DANIEL ALCIDES CARRION2 Primaria"/>
  </r>
  <r>
    <n v="531"/>
    <x v="0"/>
    <s v="Primaria"/>
    <x v="4"/>
    <x v="0"/>
    <s v="Rural"/>
    <s v="Femenino"/>
    <x v="1"/>
    <x v="2"/>
    <s v="2023 Y 2024"/>
    <s v="PADD 2023 Y 2024"/>
    <x v="92"/>
    <s v="14924 DANIEL ALCIDES CARRION2 Primaria"/>
  </r>
  <r>
    <n v="532"/>
    <x v="0"/>
    <s v="Primaria"/>
    <x v="4"/>
    <x v="0"/>
    <s v="Rural"/>
    <s v="Femenino"/>
    <x v="0"/>
    <x v="2"/>
    <s v="2023 Y 2024"/>
    <s v="PADD 2023 Y 2024"/>
    <x v="92"/>
    <s v="14924 DANIEL ALCIDES CARRION2 Primaria"/>
  </r>
  <r>
    <n v="533"/>
    <x v="0"/>
    <s v="Primaria"/>
    <x v="4"/>
    <x v="0"/>
    <s v="Rural"/>
    <s v="Femenino"/>
    <x v="1"/>
    <x v="2"/>
    <s v="2023 Y 2024"/>
    <s v="PADD 2023 Y 2024"/>
    <x v="92"/>
    <s v="14924 DANIEL ALCIDES CARRION2 Primaria"/>
  </r>
  <r>
    <n v="534"/>
    <x v="0"/>
    <s v="Primaria"/>
    <x v="4"/>
    <x v="0"/>
    <s v="Rural"/>
    <s v="Femenino"/>
    <x v="0"/>
    <x v="2"/>
    <s v="2023 Y 2024"/>
    <s v="PADD 2023 Y 2024"/>
    <x v="92"/>
    <s v="14924 DANIEL ALCIDES CARRION2 Primaria"/>
  </r>
  <r>
    <n v="535"/>
    <x v="0"/>
    <s v="Primaria"/>
    <x v="4"/>
    <x v="0"/>
    <s v="Rural"/>
    <s v="Femenino"/>
    <x v="0"/>
    <x v="2"/>
    <s v="2023 Y 2024"/>
    <s v="PADD 2023 Y 2024"/>
    <x v="92"/>
    <s v="14924 DANIEL ALCIDES CARRION2 Primaria"/>
  </r>
  <r>
    <n v="536"/>
    <x v="0"/>
    <s v="Primaria"/>
    <x v="4"/>
    <x v="0"/>
    <s v="Rural"/>
    <s v="Femenino"/>
    <x v="0"/>
    <x v="2"/>
    <s v="2023 Y 2024"/>
    <s v="PADD 2023 Y 2024"/>
    <x v="92"/>
    <s v="14924 DANIEL ALCIDES CARRION2 Primaria"/>
  </r>
  <r>
    <n v="537"/>
    <x v="0"/>
    <s v="Primaria"/>
    <x v="4"/>
    <x v="0"/>
    <s v="Rural"/>
    <s v="Femenino"/>
    <x v="0"/>
    <x v="2"/>
    <s v="2023 Y 2024"/>
    <s v="PADD 2023 Y 2024"/>
    <x v="92"/>
    <s v="14924 DANIEL ALCIDES CARRION2 Primaria"/>
  </r>
  <r>
    <n v="538"/>
    <x v="0"/>
    <s v="Primaria"/>
    <x v="4"/>
    <x v="0"/>
    <s v="Rural"/>
    <s v="Femenino"/>
    <x v="0"/>
    <x v="2"/>
    <s v="2023 Y 2024"/>
    <s v="PADD 2023 Y 2024"/>
    <x v="92"/>
    <s v="14924 DANIEL ALCIDES CARRION2 Primaria"/>
  </r>
  <r>
    <n v="539"/>
    <x v="0"/>
    <s v="Primaria"/>
    <x v="4"/>
    <x v="0"/>
    <s v="Rural"/>
    <s v="Masculino"/>
    <x v="0"/>
    <x v="2"/>
    <s v="2023 Y 2024"/>
    <s v="PADD 2023 Y 2024"/>
    <x v="92"/>
    <s v="14924 DANIEL ALCIDES CARRION2 Primaria"/>
  </r>
  <r>
    <n v="540"/>
    <x v="0"/>
    <s v="Primaria"/>
    <x v="4"/>
    <x v="0"/>
    <s v="Rural"/>
    <s v="Masculino"/>
    <x v="0"/>
    <x v="2"/>
    <s v="2023 Y 2024"/>
    <s v="PADD 2023 Y 2024"/>
    <x v="92"/>
    <s v="14924 DANIEL ALCIDES CARRION2 Primaria"/>
  </r>
  <r>
    <n v="541"/>
    <x v="0"/>
    <s v="Primaria"/>
    <x v="4"/>
    <x v="0"/>
    <s v="Rural"/>
    <s v="Masculino"/>
    <x v="1"/>
    <x v="2"/>
    <s v="2023 Y 2024"/>
    <s v="PADD 2023 Y 2024"/>
    <x v="92"/>
    <s v="14924 DANIEL ALCIDES CARRION2 Primaria"/>
  </r>
  <r>
    <n v="542"/>
    <x v="0"/>
    <s v="Primaria"/>
    <x v="4"/>
    <x v="0"/>
    <s v="Rural"/>
    <s v="Femenino"/>
    <x v="0"/>
    <x v="2"/>
    <s v="2023 Y 2024"/>
    <s v="PADD 2023 Y 2024"/>
    <x v="92"/>
    <s v="14924 DANIEL ALCIDES CARRION2 Primaria"/>
  </r>
  <r>
    <n v="543"/>
    <x v="0"/>
    <s v="Primaria"/>
    <x v="4"/>
    <x v="0"/>
    <s v="Rural"/>
    <s v="Masculino"/>
    <x v="0"/>
    <x v="2"/>
    <s v="2023 Y 2024"/>
    <s v="PADD 2023 Y 2024"/>
    <x v="92"/>
    <s v="14924 DANIEL ALCIDES CARRION2 Primaria"/>
  </r>
  <r>
    <n v="544"/>
    <x v="0"/>
    <s v="Primaria"/>
    <x v="4"/>
    <x v="0"/>
    <s v="Rural"/>
    <s v="Masculino"/>
    <x v="0"/>
    <x v="2"/>
    <s v="2023 Y 2024"/>
    <s v="PADD 2023 Y 2024"/>
    <x v="92"/>
    <s v="14924 DANIEL ALCIDES CARRION2 Primaria"/>
  </r>
  <r>
    <n v="545"/>
    <x v="0"/>
    <s v="Primaria"/>
    <x v="4"/>
    <x v="0"/>
    <s v="Rural"/>
    <s v="Masculino"/>
    <x v="0"/>
    <x v="2"/>
    <s v="2023 Y 2024"/>
    <s v="PADD 2023 Y 2024"/>
    <x v="92"/>
    <s v="14924 DANIEL ALCIDES CARRION2 Primaria"/>
  </r>
  <r>
    <n v="546"/>
    <x v="0"/>
    <s v="Primaria"/>
    <x v="4"/>
    <x v="0"/>
    <s v="Rural"/>
    <s v="Masculino"/>
    <x v="0"/>
    <x v="2"/>
    <s v="2023 Y 2024"/>
    <s v="PADD 2023 Y 2024"/>
    <x v="92"/>
    <s v="14924 DANIEL ALCIDES CARRION2 Primaria"/>
  </r>
  <r>
    <n v="547"/>
    <x v="0"/>
    <s v="Primaria"/>
    <x v="1"/>
    <x v="10"/>
    <s v="Rural"/>
    <s v="Femenino"/>
    <x v="0"/>
    <x v="2"/>
    <s v="2023 Y 2024"/>
    <s v="SOLO 2023"/>
    <x v="93"/>
    <s v="140456 Primaria"/>
  </r>
  <r>
    <n v="548"/>
    <x v="0"/>
    <s v="Primaria"/>
    <x v="1"/>
    <x v="10"/>
    <s v="Rural"/>
    <s v="Femenino"/>
    <x v="1"/>
    <x v="2"/>
    <s v="2023 Y 2024"/>
    <s v="SOLO 2023"/>
    <x v="93"/>
    <s v="140456 Primaria"/>
  </r>
  <r>
    <n v="549"/>
    <x v="0"/>
    <s v="Primaria"/>
    <x v="1"/>
    <x v="10"/>
    <s v="Rural"/>
    <s v="Masculino"/>
    <x v="1"/>
    <x v="2"/>
    <s v="2023 Y 2024"/>
    <s v="SOLO 2023"/>
    <x v="93"/>
    <s v="140456 Primaria"/>
  </r>
  <r>
    <n v="550"/>
    <x v="0"/>
    <s v="Primaria"/>
    <x v="1"/>
    <x v="14"/>
    <s v="Rural"/>
    <s v="Masculino"/>
    <x v="1"/>
    <x v="2"/>
    <s v="2023 Y 2024"/>
    <s v="SOLO 2023"/>
    <x v="94"/>
    <s v="152206 Primaria"/>
  </r>
  <r>
    <n v="551"/>
    <x v="0"/>
    <s v="Primaria"/>
    <x v="4"/>
    <x v="12"/>
    <s v="Rural"/>
    <s v="Masculino"/>
    <x v="1"/>
    <x v="2"/>
    <s v="2023 Y 2024"/>
    <s v="SOLO 2023"/>
    <x v="95"/>
    <s v="201232 Primaria"/>
  </r>
  <r>
    <n v="552"/>
    <x v="0"/>
    <s v="Primaria"/>
    <x v="4"/>
    <x v="12"/>
    <s v="Rural"/>
    <s v="Masculino"/>
    <x v="1"/>
    <x v="2"/>
    <s v="2023 Y 2024"/>
    <s v="SOLO 2023"/>
    <x v="95"/>
    <s v="201232 Primaria"/>
  </r>
  <r>
    <n v="553"/>
    <x v="0"/>
    <s v="Primaria"/>
    <x v="4"/>
    <x v="12"/>
    <s v="Rural"/>
    <s v="Femenino"/>
    <x v="1"/>
    <x v="2"/>
    <s v="2023 Y 2024"/>
    <s v="SOLO 2023"/>
    <x v="95"/>
    <s v="201232 Primaria"/>
  </r>
  <r>
    <n v="554"/>
    <x v="0"/>
    <s v="Primaria"/>
    <x v="4"/>
    <x v="12"/>
    <s v="Rural"/>
    <s v="Masculino"/>
    <x v="1"/>
    <x v="2"/>
    <s v="2023 Y 2024"/>
    <s v="SOLO 2023"/>
    <x v="95"/>
    <s v="201232 Primaria"/>
  </r>
  <r>
    <n v="555"/>
    <x v="0"/>
    <s v="Primaria"/>
    <x v="4"/>
    <x v="12"/>
    <s v="Rural"/>
    <s v="Femenino"/>
    <x v="1"/>
    <x v="2"/>
    <s v="2023 Y 2024"/>
    <s v="SOLO 2023"/>
    <x v="95"/>
    <s v="201232 Primaria"/>
  </r>
  <r>
    <n v="556"/>
    <x v="0"/>
    <s v="Primaria"/>
    <x v="4"/>
    <x v="12"/>
    <s v="Rural"/>
    <s v="Femenino"/>
    <x v="0"/>
    <x v="2"/>
    <s v="2023 Y 2024"/>
    <s v="SOLO 2023"/>
    <x v="95"/>
    <s v="201232 Primaria"/>
  </r>
  <r>
    <n v="557"/>
    <x v="0"/>
    <s v="Primaria"/>
    <x v="4"/>
    <x v="12"/>
    <s v="Rural"/>
    <s v="Femenino"/>
    <x v="1"/>
    <x v="2"/>
    <s v="2023 Y 2024"/>
    <s v="SOLO 2023"/>
    <x v="95"/>
    <s v="201232 Primaria"/>
  </r>
  <r>
    <n v="558"/>
    <x v="0"/>
    <s v="Primaria"/>
    <x v="4"/>
    <x v="8"/>
    <s v="Rural"/>
    <s v="Femenino"/>
    <x v="1"/>
    <x v="2"/>
    <s v="2023 Y 2024"/>
    <s v="PADD 2023 Y 2024"/>
    <x v="96"/>
    <s v="141412 Primaria"/>
  </r>
  <r>
    <n v="559"/>
    <x v="0"/>
    <s v="Primaria"/>
    <x v="4"/>
    <x v="8"/>
    <s v="Rural"/>
    <s v="Femenino"/>
    <x v="1"/>
    <x v="2"/>
    <s v="2023 Y 2024"/>
    <s v="PADD 2023 Y 2024"/>
    <x v="96"/>
    <s v="141412 Primaria"/>
  </r>
  <r>
    <n v="560"/>
    <x v="0"/>
    <s v="Primaria"/>
    <x v="0"/>
    <x v="8"/>
    <s v="Rural"/>
    <s v="Masculino"/>
    <x v="1"/>
    <x v="2"/>
    <s v="2023 Y 2024"/>
    <s v="PADD 2023 Y 2024"/>
    <x v="96"/>
    <s v="141414 Primaria"/>
  </r>
  <r>
    <n v="561"/>
    <x v="0"/>
    <s v="Primaria"/>
    <x v="0"/>
    <x v="8"/>
    <s v="Rural"/>
    <s v="Masculino"/>
    <x v="0"/>
    <x v="2"/>
    <s v="2023 Y 2024"/>
    <s v="PADD 2023 Y 2024"/>
    <x v="96"/>
    <s v="141414 Primaria"/>
  </r>
  <r>
    <n v="562"/>
    <x v="0"/>
    <s v="Primaria"/>
    <x v="0"/>
    <x v="8"/>
    <s v="Rural"/>
    <s v="Masculino"/>
    <x v="0"/>
    <x v="2"/>
    <s v="2023 Y 2024"/>
    <s v="PADD 2023 Y 2024"/>
    <x v="96"/>
    <s v="141414 Primaria"/>
  </r>
  <r>
    <n v="563"/>
    <x v="0"/>
    <s v="Primaria"/>
    <x v="0"/>
    <x v="8"/>
    <s v="Rural"/>
    <s v="Masculino"/>
    <x v="0"/>
    <x v="2"/>
    <s v="2023 Y 2024"/>
    <s v="PADD 2023 Y 2024"/>
    <x v="96"/>
    <s v="141414 Primaria"/>
  </r>
  <r>
    <n v="564"/>
    <x v="0"/>
    <s v="Primaria"/>
    <x v="0"/>
    <x v="8"/>
    <s v="Rural"/>
    <s v="Masculino"/>
    <x v="1"/>
    <x v="2"/>
    <s v="2023 Y 2024"/>
    <s v="PADD 2023 Y 2024"/>
    <x v="96"/>
    <s v="141414 Primaria"/>
  </r>
  <r>
    <n v="565"/>
    <x v="0"/>
    <s v="Primaria"/>
    <x v="0"/>
    <x v="8"/>
    <s v="Rural"/>
    <s v="Masculino"/>
    <x v="1"/>
    <x v="2"/>
    <s v="2023 Y 2024"/>
    <s v="PADD 2023 Y 2024"/>
    <x v="96"/>
    <s v="141414 Primaria"/>
  </r>
  <r>
    <n v="566"/>
    <x v="0"/>
    <s v="Primaria"/>
    <x v="1"/>
    <x v="8"/>
    <s v="Rural"/>
    <s v="Masculino"/>
    <x v="1"/>
    <x v="2"/>
    <s v="2023 Y 2024"/>
    <s v="PADD 2023 Y 2024"/>
    <x v="96"/>
    <s v="141416 Primaria"/>
  </r>
  <r>
    <n v="567"/>
    <x v="0"/>
    <s v="Primaria"/>
    <x v="1"/>
    <x v="8"/>
    <s v="Rural"/>
    <s v="Masculino"/>
    <x v="1"/>
    <x v="2"/>
    <s v="2023 Y 2024"/>
    <s v="PADD 2023 Y 2024"/>
    <x v="96"/>
    <s v="141416 Primaria"/>
  </r>
  <r>
    <n v="568"/>
    <x v="0"/>
    <s v="Primaria"/>
    <x v="1"/>
    <x v="8"/>
    <s v="Rural"/>
    <s v="Masculino"/>
    <x v="1"/>
    <x v="2"/>
    <s v="2023 Y 2024"/>
    <s v="PADD 2023 Y 2024"/>
    <x v="96"/>
    <s v="141416 Primaria"/>
  </r>
  <r>
    <n v="569"/>
    <x v="0"/>
    <s v="Primaria"/>
    <x v="1"/>
    <x v="8"/>
    <s v="Rural"/>
    <s v="Masculino"/>
    <x v="1"/>
    <x v="2"/>
    <s v="2023 Y 2024"/>
    <s v="PADD 2023 Y 2024"/>
    <x v="96"/>
    <s v="141416 Primaria"/>
  </r>
  <r>
    <n v="570"/>
    <x v="0"/>
    <s v="Primaria"/>
    <x v="1"/>
    <x v="8"/>
    <s v="Rural"/>
    <s v="Femenino"/>
    <x v="1"/>
    <x v="2"/>
    <s v="2023 Y 2024"/>
    <s v="PADD 2023 Y 2024"/>
    <x v="96"/>
    <s v="141416 Primaria"/>
  </r>
  <r>
    <n v="571"/>
    <x v="0"/>
    <s v="Primaria"/>
    <x v="4"/>
    <x v="3"/>
    <s v="Rural"/>
    <s v="Masculino"/>
    <x v="0"/>
    <x v="2"/>
    <s v="2023 Y 2024"/>
    <s v="SOLO 2023"/>
    <x v="97"/>
    <s v="153042 Primaria"/>
  </r>
  <r>
    <n v="572"/>
    <x v="0"/>
    <s v="Primaria"/>
    <x v="4"/>
    <x v="3"/>
    <s v="Rural"/>
    <s v="Femenino"/>
    <x v="1"/>
    <x v="2"/>
    <s v="2023 Y 2024"/>
    <s v="SOLO 2023"/>
    <x v="97"/>
    <s v="153042 Primaria"/>
  </r>
  <r>
    <n v="573"/>
    <x v="0"/>
    <s v="Primaria"/>
    <x v="4"/>
    <x v="3"/>
    <s v="Rural"/>
    <s v="Femenino"/>
    <x v="0"/>
    <x v="2"/>
    <s v="2023 Y 2024"/>
    <s v="SOLO 2023"/>
    <x v="97"/>
    <s v="153042 Primaria"/>
  </r>
  <r>
    <n v="574"/>
    <x v="0"/>
    <s v="Primaria"/>
    <x v="4"/>
    <x v="3"/>
    <s v="Rural"/>
    <s v="Masculino"/>
    <x v="1"/>
    <x v="2"/>
    <s v="2023 Y 2024"/>
    <s v="SOLO 2023"/>
    <x v="97"/>
    <s v="153042 Primaria"/>
  </r>
  <r>
    <n v="575"/>
    <x v="0"/>
    <s v="Primaria"/>
    <x v="0"/>
    <x v="3"/>
    <s v="Rural"/>
    <s v="Masculino"/>
    <x v="1"/>
    <x v="2"/>
    <s v="2023 Y 2024"/>
    <s v="SOLO 2023"/>
    <x v="97"/>
    <s v="153044 Primaria"/>
  </r>
  <r>
    <n v="576"/>
    <x v="0"/>
    <s v="Primaria"/>
    <x v="0"/>
    <x v="3"/>
    <s v="Rural"/>
    <s v="Masculino"/>
    <x v="0"/>
    <x v="2"/>
    <s v="2023 Y 2024"/>
    <s v="SOLO 2023"/>
    <x v="97"/>
    <s v="153044 Primaria"/>
  </r>
  <r>
    <n v="577"/>
    <x v="0"/>
    <s v="Primaria"/>
    <x v="0"/>
    <x v="3"/>
    <s v="Rural"/>
    <s v="Femenino"/>
    <x v="0"/>
    <x v="2"/>
    <s v="2023 Y 2024"/>
    <s v="SOLO 2023"/>
    <x v="97"/>
    <s v="153044 Primaria"/>
  </r>
  <r>
    <n v="578"/>
    <x v="0"/>
    <s v="Primaria"/>
    <x v="0"/>
    <x v="3"/>
    <s v="Rural"/>
    <s v="Masculino"/>
    <x v="0"/>
    <x v="2"/>
    <s v="2023 Y 2024"/>
    <s v="SOLO 2023"/>
    <x v="97"/>
    <s v="153044 Primaria"/>
  </r>
  <r>
    <n v="579"/>
    <x v="0"/>
    <s v="Primaria"/>
    <x v="0"/>
    <x v="3"/>
    <s v="Rural"/>
    <s v="Femenino"/>
    <x v="2"/>
    <x v="2"/>
    <s v="2023 Y 2024"/>
    <s v="SOLO 2023"/>
    <x v="97"/>
    <s v="153044 Primaria"/>
  </r>
  <r>
    <n v="580"/>
    <x v="0"/>
    <s v="Primaria"/>
    <x v="0"/>
    <x v="3"/>
    <s v="Rural"/>
    <s v="Masculino"/>
    <x v="1"/>
    <x v="2"/>
    <s v="2023 Y 2024"/>
    <s v="SOLO 2023"/>
    <x v="97"/>
    <s v="153044 Primaria"/>
  </r>
  <r>
    <n v="581"/>
    <x v="0"/>
    <s v="Primaria"/>
    <x v="0"/>
    <x v="3"/>
    <s v="Rural"/>
    <s v="Masculino"/>
    <x v="1"/>
    <x v="2"/>
    <s v="2023 Y 2024"/>
    <s v="SOLO 2023"/>
    <x v="97"/>
    <s v="153044 Primaria"/>
  </r>
  <r>
    <n v="582"/>
    <x v="0"/>
    <s v="Primaria"/>
    <x v="1"/>
    <x v="3"/>
    <s v="Rural"/>
    <s v="Masculino"/>
    <x v="0"/>
    <x v="2"/>
    <s v="2023 Y 2024"/>
    <s v="SOLO 2023"/>
    <x v="97"/>
    <s v="153046 Primaria"/>
  </r>
  <r>
    <n v="583"/>
    <x v="0"/>
    <s v="Primaria"/>
    <x v="1"/>
    <x v="3"/>
    <s v="Rural"/>
    <s v="Masculino"/>
    <x v="1"/>
    <x v="2"/>
    <s v="2023 Y 2024"/>
    <s v="SOLO 2023"/>
    <x v="97"/>
    <s v="153046 Primaria"/>
  </r>
  <r>
    <n v="584"/>
    <x v="0"/>
    <s v="Primaria"/>
    <x v="1"/>
    <x v="3"/>
    <s v="Rural"/>
    <s v="Masculino"/>
    <x v="1"/>
    <x v="2"/>
    <s v="2023 Y 2024"/>
    <s v="SOLO 2023"/>
    <x v="97"/>
    <s v="153046 Primaria"/>
  </r>
  <r>
    <n v="585"/>
    <x v="0"/>
    <s v="Primaria"/>
    <x v="1"/>
    <x v="3"/>
    <s v="Rural"/>
    <s v="Femenino"/>
    <x v="1"/>
    <x v="2"/>
    <s v="2023 Y 2024"/>
    <s v="SOLO 2023"/>
    <x v="97"/>
    <s v="153046 Primaria"/>
  </r>
  <r>
    <n v="586"/>
    <x v="0"/>
    <s v="Primaria"/>
    <x v="1"/>
    <x v="3"/>
    <s v="Rural"/>
    <s v="Femenino"/>
    <x v="1"/>
    <x v="2"/>
    <s v="2023 Y 2024"/>
    <s v="SOLO 2023"/>
    <x v="97"/>
    <s v="153046 Primaria"/>
  </r>
  <r>
    <n v="587"/>
    <x v="0"/>
    <s v="Primaria"/>
    <x v="1"/>
    <x v="3"/>
    <s v="Rural"/>
    <s v="Masculino"/>
    <x v="1"/>
    <x v="2"/>
    <s v="2023 Y 2024"/>
    <s v="SOLO 2023"/>
    <x v="97"/>
    <s v="153046 Primaria"/>
  </r>
  <r>
    <n v="588"/>
    <x v="0"/>
    <s v="Primaria"/>
    <x v="1"/>
    <x v="3"/>
    <s v="Rural"/>
    <s v="Femenino"/>
    <x v="0"/>
    <x v="2"/>
    <s v="2023 Y 2024"/>
    <s v="SOLO 2023"/>
    <x v="97"/>
    <s v="153046 Primaria"/>
  </r>
  <r>
    <n v="589"/>
    <x v="0"/>
    <s v="Primaria"/>
    <x v="1"/>
    <x v="3"/>
    <s v="Rural"/>
    <s v="Femenino"/>
    <x v="0"/>
    <x v="2"/>
    <s v="2023 Y 2024"/>
    <s v="SOLO 2023"/>
    <x v="97"/>
    <s v="153046 Primaria"/>
  </r>
  <r>
    <n v="590"/>
    <x v="0"/>
    <s v="Primaria"/>
    <x v="4"/>
    <x v="2"/>
    <s v="Rural"/>
    <s v="Masculino"/>
    <x v="0"/>
    <x v="2"/>
    <s v="2023 Y 2024"/>
    <s v="PADD 2023 Y 2024"/>
    <x v="98"/>
    <s v="149752 Primaria"/>
  </r>
  <r>
    <n v="591"/>
    <x v="0"/>
    <s v="Primaria"/>
    <x v="4"/>
    <x v="2"/>
    <s v="Rural"/>
    <s v="Femenino"/>
    <x v="1"/>
    <x v="2"/>
    <s v="2023 Y 2024"/>
    <s v="PADD 2023 Y 2024"/>
    <x v="98"/>
    <s v="149752 Primaria"/>
  </r>
  <r>
    <n v="592"/>
    <x v="0"/>
    <s v="Primaria"/>
    <x v="4"/>
    <x v="2"/>
    <s v="Rural"/>
    <s v="Masculino"/>
    <x v="1"/>
    <x v="2"/>
    <s v="2023 Y 2024"/>
    <s v="PADD 2023 Y 2024"/>
    <x v="98"/>
    <s v="149752 Primaria"/>
  </r>
  <r>
    <n v="593"/>
    <x v="0"/>
    <s v="Primaria"/>
    <x v="4"/>
    <x v="2"/>
    <s v="Rural"/>
    <s v="Femenino"/>
    <x v="0"/>
    <x v="2"/>
    <s v="2023 Y 2024"/>
    <s v="PADD 2023 Y 2024"/>
    <x v="98"/>
    <s v="149752 Primaria"/>
  </r>
  <r>
    <n v="594"/>
    <x v="0"/>
    <s v="Primaria"/>
    <x v="4"/>
    <x v="2"/>
    <s v="Rural"/>
    <s v="Masculino"/>
    <x v="0"/>
    <x v="2"/>
    <s v="2023 Y 2024"/>
    <s v="PADD 2023 Y 2024"/>
    <x v="98"/>
    <s v="149752 Primaria"/>
  </r>
  <r>
    <n v="595"/>
    <x v="0"/>
    <s v="Primaria"/>
    <x v="4"/>
    <x v="2"/>
    <s v="Rural"/>
    <s v="Masculino"/>
    <x v="0"/>
    <x v="2"/>
    <s v="2023 Y 2024"/>
    <s v="PADD 2023 Y 2024"/>
    <x v="98"/>
    <s v="149752 Primaria"/>
  </r>
  <r>
    <n v="596"/>
    <x v="0"/>
    <s v="Primaria"/>
    <x v="4"/>
    <x v="2"/>
    <s v="Rural"/>
    <s v="Femenino"/>
    <x v="1"/>
    <x v="2"/>
    <s v="2023 Y 2024"/>
    <s v="PADD 2023 Y 2024"/>
    <x v="98"/>
    <s v="149752 Primaria"/>
  </r>
  <r>
    <n v="597"/>
    <x v="0"/>
    <s v="Primaria"/>
    <x v="4"/>
    <x v="2"/>
    <s v="Rural"/>
    <s v="Masculino"/>
    <x v="0"/>
    <x v="2"/>
    <s v="2023 Y 2024"/>
    <s v="PADD 2023 Y 2024"/>
    <x v="98"/>
    <s v="149752 Primaria"/>
  </r>
  <r>
    <n v="598"/>
    <x v="0"/>
    <s v="Primaria"/>
    <x v="4"/>
    <x v="2"/>
    <s v="Rural"/>
    <s v="Femenino"/>
    <x v="1"/>
    <x v="2"/>
    <s v="2023 Y 2024"/>
    <s v="PADD 2023 Y 2024"/>
    <x v="98"/>
    <s v="149752 Primaria"/>
  </r>
  <r>
    <n v="599"/>
    <x v="0"/>
    <s v="Primaria"/>
    <x v="1"/>
    <x v="2"/>
    <s v="Rural"/>
    <s v="Femenino"/>
    <x v="2"/>
    <x v="2"/>
    <s v="2023 Y 2024"/>
    <s v="PADD 2023 Y 2024"/>
    <x v="98"/>
    <s v="149756 Primaria"/>
  </r>
  <r>
    <n v="600"/>
    <x v="0"/>
    <s v="Primaria"/>
    <x v="1"/>
    <x v="2"/>
    <s v="Rural"/>
    <s v="Femenino"/>
    <x v="1"/>
    <x v="2"/>
    <s v="2023 Y 2024"/>
    <s v="PADD 2023 Y 2024"/>
    <x v="98"/>
    <s v="149756 Primaria"/>
  </r>
  <r>
    <n v="601"/>
    <x v="0"/>
    <s v="Primaria"/>
    <x v="1"/>
    <x v="2"/>
    <s v="Rural"/>
    <s v="Femenino"/>
    <x v="0"/>
    <x v="2"/>
    <s v="2023 Y 2024"/>
    <s v="PADD 2023 Y 2024"/>
    <x v="98"/>
    <s v="149756 Primaria"/>
  </r>
  <r>
    <n v="602"/>
    <x v="0"/>
    <s v="Primaria"/>
    <x v="1"/>
    <x v="2"/>
    <s v="Rural"/>
    <s v="Femenino"/>
    <x v="1"/>
    <x v="2"/>
    <s v="2023 Y 2024"/>
    <s v="PADD 2023 Y 2024"/>
    <x v="98"/>
    <s v="149756 Primaria"/>
  </r>
  <r>
    <n v="603"/>
    <x v="0"/>
    <s v="Primaria"/>
    <x v="1"/>
    <x v="2"/>
    <s v="Rural"/>
    <s v="Masculino"/>
    <x v="0"/>
    <x v="2"/>
    <s v="2023 Y 2024"/>
    <s v="PADD 2023 Y 2024"/>
    <x v="98"/>
    <s v="149756 Primaria"/>
  </r>
  <r>
    <n v="604"/>
    <x v="0"/>
    <s v="Primaria"/>
    <x v="1"/>
    <x v="2"/>
    <s v="Rural"/>
    <s v="Femenino"/>
    <x v="2"/>
    <x v="2"/>
    <s v="2023 Y 2024"/>
    <s v="PADD 2023 Y 2024"/>
    <x v="98"/>
    <s v="149756 Primaria"/>
  </r>
  <r>
    <n v="605"/>
    <x v="0"/>
    <s v="Primaria"/>
    <x v="1"/>
    <x v="2"/>
    <s v="Rural"/>
    <s v="Masculino"/>
    <x v="1"/>
    <x v="2"/>
    <s v="2023 Y 2024"/>
    <s v="PADD 2023 Y 2024"/>
    <x v="98"/>
    <s v="149756 Primaria"/>
  </r>
  <r>
    <n v="606"/>
    <x v="0"/>
    <s v="Primaria"/>
    <x v="1"/>
    <x v="2"/>
    <s v="Rural"/>
    <s v="Femenino"/>
    <x v="1"/>
    <x v="2"/>
    <s v="2023 Y 2024"/>
    <s v="PADD 2023 Y 2024"/>
    <x v="98"/>
    <s v="149756 Primaria"/>
  </r>
  <r>
    <n v="607"/>
    <x v="0"/>
    <s v="Primaria"/>
    <x v="1"/>
    <x v="2"/>
    <s v="Rural"/>
    <s v="Masculino"/>
    <x v="0"/>
    <x v="2"/>
    <s v="2023 Y 2024"/>
    <s v="PADD 2023 Y 2024"/>
    <x v="98"/>
    <s v="149756 Primaria"/>
  </r>
  <r>
    <n v="608"/>
    <x v="0"/>
    <s v="Primaria"/>
    <x v="1"/>
    <x v="2"/>
    <s v="Rural"/>
    <s v="Femenino"/>
    <x v="1"/>
    <x v="2"/>
    <s v="2023 Y 2024"/>
    <s v="PADD 2023 Y 2024"/>
    <x v="98"/>
    <s v="149756 Primaria"/>
  </r>
  <r>
    <n v="609"/>
    <x v="0"/>
    <s v="Primaria"/>
    <x v="1"/>
    <x v="2"/>
    <s v="Rural"/>
    <s v="Masculino"/>
    <x v="1"/>
    <x v="2"/>
    <s v="2023 Y 2024"/>
    <s v="PADD 2023 Y 2024"/>
    <x v="98"/>
    <s v="149756 Primaria"/>
  </r>
  <r>
    <n v="610"/>
    <x v="0"/>
    <s v="Primaria"/>
    <x v="1"/>
    <x v="2"/>
    <s v="Rural"/>
    <s v="Masculino"/>
    <x v="1"/>
    <x v="2"/>
    <s v="2023 Y 2024"/>
    <s v="PADD 2023 Y 2024"/>
    <x v="98"/>
    <s v="149756 Primaria"/>
  </r>
  <r>
    <n v="611"/>
    <x v="0"/>
    <s v="Primaria"/>
    <x v="1"/>
    <x v="2"/>
    <s v="Rural"/>
    <s v="Masculino"/>
    <x v="0"/>
    <x v="2"/>
    <s v="2023 Y 2024"/>
    <s v="PADD 2023 Y 2024"/>
    <x v="98"/>
    <s v="149756 Primaria"/>
  </r>
  <r>
    <n v="612"/>
    <x v="0"/>
    <s v="Primaria"/>
    <x v="1"/>
    <x v="2"/>
    <s v="Rural"/>
    <s v="Masculino"/>
    <x v="1"/>
    <x v="2"/>
    <s v="2023 Y 2024"/>
    <s v="PADD 2023 Y 2024"/>
    <x v="98"/>
    <s v="149756 Primaria"/>
  </r>
  <r>
    <n v="613"/>
    <x v="0"/>
    <s v="Primaria"/>
    <x v="1"/>
    <x v="2"/>
    <s v="Rural"/>
    <s v="Femenino"/>
    <x v="1"/>
    <x v="2"/>
    <s v="2023 Y 2024"/>
    <s v="PADD 2023 Y 2024"/>
    <x v="98"/>
    <s v="149756 Primaria"/>
  </r>
  <r>
    <n v="614"/>
    <x v="0"/>
    <s v="Primaria"/>
    <x v="1"/>
    <x v="2"/>
    <s v="Rural"/>
    <s v="Femenino"/>
    <x v="1"/>
    <x v="2"/>
    <s v="2023 Y 2024"/>
    <s v="PADD 2023 Y 2024"/>
    <x v="98"/>
    <s v="149756 Primaria"/>
  </r>
  <r>
    <n v="615"/>
    <x v="0"/>
    <s v="Primaria"/>
    <x v="1"/>
    <x v="2"/>
    <s v="Rural"/>
    <s v="Masculino"/>
    <x v="1"/>
    <x v="2"/>
    <s v="2023 Y 2024"/>
    <s v="PADD 2023 Y 2024"/>
    <x v="98"/>
    <s v="149756 Primaria"/>
  </r>
  <r>
    <n v="616"/>
    <x v="0"/>
    <s v="Primaria"/>
    <x v="1"/>
    <x v="2"/>
    <s v="Rural"/>
    <s v="Masculino"/>
    <x v="1"/>
    <x v="2"/>
    <s v="2023 Y 2024"/>
    <s v="PADD 2023 Y 2024"/>
    <x v="98"/>
    <s v="149756 Primaria"/>
  </r>
  <r>
    <n v="617"/>
    <x v="0"/>
    <s v="Primaria"/>
    <x v="1"/>
    <x v="2"/>
    <s v="Rural"/>
    <s v="Femenino"/>
    <x v="1"/>
    <x v="2"/>
    <s v="2023 Y 2024"/>
    <s v="PADD 2023 Y 2024"/>
    <x v="98"/>
    <s v="149756 Primaria"/>
  </r>
  <r>
    <n v="618"/>
    <x v="0"/>
    <s v="Primaria"/>
    <x v="1"/>
    <x v="2"/>
    <s v="Rural"/>
    <s v="Masculino"/>
    <x v="1"/>
    <x v="2"/>
    <s v="2023 Y 2024"/>
    <s v="PADD 2023 Y 2024"/>
    <x v="98"/>
    <s v="149756 Primaria"/>
  </r>
  <r>
    <n v="619"/>
    <x v="0"/>
    <s v="Primaria"/>
    <x v="1"/>
    <x v="2"/>
    <s v="Rural"/>
    <s v="Femenino"/>
    <x v="0"/>
    <x v="2"/>
    <s v="2023 Y 2024"/>
    <s v="PADD 2023 Y 2024"/>
    <x v="98"/>
    <s v="149756 Primaria"/>
  </r>
  <r>
    <n v="620"/>
    <x v="0"/>
    <s v="Primaria"/>
    <x v="1"/>
    <x v="2"/>
    <s v="Rural"/>
    <s v="Femenino"/>
    <x v="0"/>
    <x v="2"/>
    <s v="2023 Y 2024"/>
    <s v="PADD 2023 Y 2024"/>
    <x v="98"/>
    <s v="149756 Primaria"/>
  </r>
  <r>
    <n v="621"/>
    <x v="0"/>
    <s v="Primaria"/>
    <x v="1"/>
    <x v="2"/>
    <s v="Rural"/>
    <s v="Femenino"/>
    <x v="0"/>
    <x v="2"/>
    <s v="2023 Y 2024"/>
    <s v="PADD 2023 Y 2024"/>
    <x v="98"/>
    <s v="149756 Primaria"/>
  </r>
  <r>
    <n v="622"/>
    <x v="3"/>
    <s v="Primaria"/>
    <x v="4"/>
    <x v="30"/>
    <s v="Rural"/>
    <s v="Masculino"/>
    <x v="1"/>
    <x v="2"/>
    <s v="2023 Y 2024"/>
    <s v="PADD 2023 Y 2024"/>
    <x v="58"/>
    <s v="6014482 Primaria"/>
  </r>
  <r>
    <n v="623"/>
    <x v="3"/>
    <s v="Primaria"/>
    <x v="4"/>
    <x v="30"/>
    <s v="Rural"/>
    <s v="Femenino"/>
    <x v="2"/>
    <x v="2"/>
    <s v="2023 Y 2024"/>
    <s v="PADD 2023 Y 2024"/>
    <x v="58"/>
    <s v="6014482 Primaria"/>
  </r>
  <r>
    <n v="624"/>
    <x v="3"/>
    <s v="Primaria"/>
    <x v="4"/>
    <x v="30"/>
    <s v="Rural"/>
    <s v="Masculino"/>
    <x v="0"/>
    <x v="2"/>
    <s v="2023 Y 2024"/>
    <s v="PADD 2023 Y 2024"/>
    <x v="58"/>
    <s v="6014482 Primaria"/>
  </r>
  <r>
    <n v="625"/>
    <x v="3"/>
    <s v="Primaria"/>
    <x v="4"/>
    <x v="30"/>
    <s v="Rural"/>
    <s v="Masculino"/>
    <x v="2"/>
    <x v="2"/>
    <s v="2023 Y 2024"/>
    <s v="PADD 2023 Y 2024"/>
    <x v="58"/>
    <s v="6014482 Primaria"/>
  </r>
  <r>
    <n v="626"/>
    <x v="3"/>
    <s v="Primaria"/>
    <x v="4"/>
    <x v="30"/>
    <s v="Rural"/>
    <s v="Masculino"/>
    <x v="0"/>
    <x v="2"/>
    <s v="2023 Y 2024"/>
    <s v="PADD 2023 Y 2024"/>
    <x v="58"/>
    <s v="6014482 Primaria"/>
  </r>
  <r>
    <n v="627"/>
    <x v="3"/>
    <s v="Primaria"/>
    <x v="4"/>
    <x v="30"/>
    <s v="Rural"/>
    <s v="Femenino"/>
    <x v="1"/>
    <x v="2"/>
    <s v="2023 Y 2024"/>
    <s v="PADD 2023 Y 2024"/>
    <x v="99"/>
    <s v="6014482 Primaria"/>
  </r>
  <r>
    <n v="628"/>
    <x v="3"/>
    <s v="Primaria"/>
    <x v="4"/>
    <x v="30"/>
    <s v="Rural"/>
    <s v="Masculino"/>
    <x v="1"/>
    <x v="2"/>
    <s v="2023 Y 2024"/>
    <s v="PADD 2023 Y 2024"/>
    <x v="58"/>
    <s v="6014482 Primaria"/>
  </r>
  <r>
    <n v="629"/>
    <x v="3"/>
    <s v="Primaria"/>
    <x v="4"/>
    <x v="30"/>
    <s v="Rural"/>
    <s v="Femenino"/>
    <x v="1"/>
    <x v="2"/>
    <s v="2023 Y 2024"/>
    <s v="PADD 2023 Y 2024"/>
    <x v="58"/>
    <s v="6014482 Primaria"/>
  </r>
  <r>
    <n v="630"/>
    <x v="3"/>
    <s v="Primaria"/>
    <x v="0"/>
    <x v="30"/>
    <s v="Rural"/>
    <s v="Masculino"/>
    <x v="2"/>
    <x v="2"/>
    <s v="LOS 3 AÑOS"/>
    <s v="PADD 2023 Y 2024"/>
    <x v="58"/>
    <s v="6014484 Primaria"/>
  </r>
  <r>
    <n v="631"/>
    <x v="3"/>
    <s v="Primaria"/>
    <x v="0"/>
    <x v="30"/>
    <s v="Rural"/>
    <s v="Masculino"/>
    <x v="0"/>
    <x v="2"/>
    <s v="LOS 3 AÑOS"/>
    <s v="PADD 2023 Y 2024"/>
    <x v="58"/>
    <s v="6014484 Primaria"/>
  </r>
  <r>
    <n v="632"/>
    <x v="3"/>
    <s v="Primaria"/>
    <x v="0"/>
    <x v="30"/>
    <s v="Rural"/>
    <s v="Masculino"/>
    <x v="1"/>
    <x v="2"/>
    <s v="LOS 3 AÑOS"/>
    <s v="PADD 2023 Y 2024"/>
    <x v="58"/>
    <s v="6014484 Primaria"/>
  </r>
  <r>
    <n v="633"/>
    <x v="3"/>
    <s v="Primaria"/>
    <x v="0"/>
    <x v="30"/>
    <s v="Rural"/>
    <s v="Masculino"/>
    <x v="0"/>
    <x v="2"/>
    <s v="LOS 3 AÑOS"/>
    <s v="PADD 2023 Y 2024"/>
    <x v="58"/>
    <s v="6014484 Primaria"/>
  </r>
  <r>
    <n v="634"/>
    <x v="3"/>
    <s v="Primaria"/>
    <x v="0"/>
    <x v="30"/>
    <s v="Rural"/>
    <s v="Masculino"/>
    <x v="0"/>
    <x v="2"/>
    <s v="LOS 3 AÑOS"/>
    <s v="PADD 2023 Y 2024"/>
    <x v="58"/>
    <s v="6014484 Primaria"/>
  </r>
  <r>
    <n v="635"/>
    <x v="3"/>
    <s v="Primaria"/>
    <x v="0"/>
    <x v="30"/>
    <s v="Rural"/>
    <s v="Masculino"/>
    <x v="1"/>
    <x v="2"/>
    <s v="LOS 3 AÑOS"/>
    <s v="PADD 2023 Y 2024"/>
    <x v="58"/>
    <s v="6014484 Primaria"/>
  </r>
  <r>
    <n v="636"/>
    <x v="3"/>
    <s v="Primaria"/>
    <x v="0"/>
    <x v="30"/>
    <s v="Rural"/>
    <s v="Masculino"/>
    <x v="0"/>
    <x v="2"/>
    <s v="LOS 3 AÑOS"/>
    <s v="PADD 2023 Y 2024"/>
    <x v="58"/>
    <s v="6014484 Primaria"/>
  </r>
  <r>
    <n v="637"/>
    <x v="3"/>
    <s v="Primaria"/>
    <x v="1"/>
    <x v="30"/>
    <s v="Rural"/>
    <s v="Masculino"/>
    <x v="0"/>
    <x v="2"/>
    <s v="2023 Y 2024"/>
    <s v="PADD 2023 Y 2024"/>
    <x v="58"/>
    <s v="6014486 Primaria"/>
  </r>
  <r>
    <n v="638"/>
    <x v="3"/>
    <s v="Primaria"/>
    <x v="1"/>
    <x v="30"/>
    <s v="Rural"/>
    <s v="Masculino"/>
    <x v="2"/>
    <x v="2"/>
    <s v="2023 Y 2024"/>
    <s v="PADD 2023 Y 2024"/>
    <x v="58"/>
    <s v="6014486 Primaria"/>
  </r>
  <r>
    <n v="639"/>
    <x v="3"/>
    <s v="Primaria"/>
    <x v="1"/>
    <x v="30"/>
    <s v="Rural"/>
    <s v="Femenino"/>
    <x v="0"/>
    <x v="2"/>
    <s v="2023 Y 2024"/>
    <s v="PADD 2023 Y 2024"/>
    <x v="58"/>
    <s v="6014486 Primaria"/>
  </r>
  <r>
    <n v="640"/>
    <x v="3"/>
    <s v="Primaria"/>
    <x v="1"/>
    <x v="30"/>
    <s v="Rural"/>
    <s v="Masculino"/>
    <x v="0"/>
    <x v="2"/>
    <s v="2023 Y 2024"/>
    <s v="PADD 2023 Y 2024"/>
    <x v="58"/>
    <s v="6014486 Primaria"/>
  </r>
  <r>
    <n v="641"/>
    <x v="3"/>
    <s v="Primaria"/>
    <x v="1"/>
    <x v="30"/>
    <s v="Rural"/>
    <s v="Masculino"/>
    <x v="1"/>
    <x v="2"/>
    <s v="2023 Y 2024"/>
    <s v="PADD 2023 Y 2024"/>
    <x v="58"/>
    <s v="6014486 Primaria"/>
  </r>
  <r>
    <n v="642"/>
    <x v="3"/>
    <s v="Primaria"/>
    <x v="0"/>
    <x v="32"/>
    <s v="Rural"/>
    <s v="Masculino"/>
    <x v="1"/>
    <x v="2"/>
    <s v="2023 Y 2024"/>
    <s v="PADD 2023 Y 2024"/>
    <x v="100"/>
    <s v="6016144 Primaria"/>
  </r>
  <r>
    <n v="643"/>
    <x v="3"/>
    <s v="Primaria"/>
    <x v="1"/>
    <x v="32"/>
    <s v="Rural"/>
    <s v="Masculino"/>
    <x v="2"/>
    <x v="2"/>
    <s v="SOLO 2023"/>
    <s v="PADD 2023 Y 2024"/>
    <x v="100"/>
    <s v="6016146 Primaria"/>
  </r>
  <r>
    <n v="644"/>
    <x v="3"/>
    <s v="Primaria"/>
    <x v="1"/>
    <x v="32"/>
    <s v="Rural"/>
    <s v="Femenino"/>
    <x v="1"/>
    <x v="2"/>
    <s v="SOLO 2023"/>
    <s v="PADD 2023 Y 2024"/>
    <x v="100"/>
    <s v="6016146 Primaria"/>
  </r>
  <r>
    <n v="645"/>
    <x v="3"/>
    <s v="Primaria"/>
    <x v="1"/>
    <x v="32"/>
    <s v="Rural"/>
    <s v="Masculino"/>
    <x v="1"/>
    <x v="2"/>
    <s v="SOLO 2023"/>
    <s v="PADD 2023 Y 2024"/>
    <x v="100"/>
    <s v="6016146 Primaria"/>
  </r>
  <r>
    <n v="646"/>
    <x v="3"/>
    <s v="Secundaria"/>
    <x v="2"/>
    <x v="31"/>
    <s v="Rural"/>
    <s v="Femenino"/>
    <x v="0"/>
    <x v="2"/>
    <s v="LOS 3 AÑOS"/>
    <s v="NO PARTICIPÓ"/>
    <x v="32"/>
    <s v="EL MILAGRO2 Secundaria"/>
  </r>
  <r>
    <n v="647"/>
    <x v="3"/>
    <s v="Secundaria"/>
    <x v="2"/>
    <x v="31"/>
    <s v="Rural"/>
    <s v="Masculino"/>
    <x v="0"/>
    <x v="2"/>
    <s v="LOS 3 AÑOS"/>
    <s v="NO PARTICIPÓ"/>
    <x v="32"/>
    <s v="EL MILAGRO2 Secundaria"/>
  </r>
  <r>
    <n v="648"/>
    <x v="3"/>
    <s v="Secundaria"/>
    <x v="2"/>
    <x v="31"/>
    <s v="Rural"/>
    <s v="Femenino"/>
    <x v="1"/>
    <x v="2"/>
    <s v="LOS 3 AÑOS"/>
    <s v="NO PARTICIPÓ"/>
    <x v="32"/>
    <s v="EL MILAGRO2 Secundaria"/>
  </r>
  <r>
    <n v="649"/>
    <x v="3"/>
    <s v="Secundaria"/>
    <x v="2"/>
    <x v="31"/>
    <s v="Rural"/>
    <s v="Masculino"/>
    <x v="1"/>
    <x v="2"/>
    <s v="LOS 3 AÑOS"/>
    <s v="NO PARTICIPÓ"/>
    <x v="32"/>
    <s v="EL MILAGRO2 Secundaria"/>
  </r>
  <r>
    <n v="650"/>
    <x v="3"/>
    <s v="Secundaria"/>
    <x v="2"/>
    <x v="31"/>
    <s v="Rural"/>
    <s v="Masculino"/>
    <x v="0"/>
    <x v="2"/>
    <s v="LOS 3 AÑOS"/>
    <s v="NO PARTICIPÓ"/>
    <x v="32"/>
    <s v="EL MILAGRO2 Secundaria"/>
  </r>
  <r>
    <n v="651"/>
    <x v="3"/>
    <s v="Secundaria"/>
    <x v="2"/>
    <x v="31"/>
    <s v="Rural"/>
    <s v="Masculino"/>
    <x v="0"/>
    <x v="2"/>
    <s v="LOS 3 AÑOS"/>
    <s v="NO PARTICIPÓ"/>
    <x v="32"/>
    <s v="EL MILAGRO2 Secundaria"/>
  </r>
  <r>
    <n v="652"/>
    <x v="3"/>
    <s v="Secundaria"/>
    <x v="2"/>
    <x v="31"/>
    <s v="Rural"/>
    <s v="Femenino"/>
    <x v="2"/>
    <x v="2"/>
    <s v="LOS 3 AÑOS"/>
    <s v="NO PARTICIPÓ"/>
    <x v="32"/>
    <s v="EL MILAGRO2 Secundaria"/>
  </r>
  <r>
    <n v="653"/>
    <x v="3"/>
    <s v="Secundaria"/>
    <x v="2"/>
    <x v="31"/>
    <s v="Rural"/>
    <s v="Femenino"/>
    <x v="0"/>
    <x v="2"/>
    <s v="LOS 3 AÑOS"/>
    <s v="NO PARTICIPÓ"/>
    <x v="32"/>
    <s v="EL MILAGRO2 Secundaria"/>
  </r>
  <r>
    <n v="654"/>
    <x v="3"/>
    <s v="Secundaria"/>
    <x v="2"/>
    <x v="31"/>
    <s v="Rural"/>
    <s v="Masculino"/>
    <x v="0"/>
    <x v="2"/>
    <s v="LOS 3 AÑOS"/>
    <s v="NO PARTICIPÓ"/>
    <x v="32"/>
    <s v="EL MILAGRO2 Secundaria"/>
  </r>
  <r>
    <n v="655"/>
    <x v="3"/>
    <s v="Secundaria"/>
    <x v="2"/>
    <x v="31"/>
    <s v="Rural"/>
    <s v="Masculino"/>
    <x v="0"/>
    <x v="2"/>
    <s v="LOS 3 AÑOS"/>
    <s v="NO PARTICIPÓ"/>
    <x v="32"/>
    <s v="EL MILAGRO2 Secundaria"/>
  </r>
  <r>
    <n v="656"/>
    <x v="3"/>
    <s v="Secundaria"/>
    <x v="2"/>
    <x v="31"/>
    <s v="Rural"/>
    <s v="Femenino"/>
    <x v="0"/>
    <x v="2"/>
    <s v="LOS 3 AÑOS"/>
    <s v="NO PARTICIPÓ"/>
    <x v="32"/>
    <s v="EL MILAGRO2 Secundaria"/>
  </r>
  <r>
    <n v="657"/>
    <x v="3"/>
    <s v="Secundaria"/>
    <x v="2"/>
    <x v="31"/>
    <s v="Rural"/>
    <s v="Masculino"/>
    <x v="2"/>
    <x v="2"/>
    <s v="LOS 3 AÑOS"/>
    <s v="NO PARTICIPÓ"/>
    <x v="32"/>
    <s v="EL MILAGRO2 Secundaria"/>
  </r>
  <r>
    <n v="658"/>
    <x v="3"/>
    <s v="Secundaria"/>
    <x v="2"/>
    <x v="31"/>
    <s v="Rural"/>
    <s v="Masculino"/>
    <x v="0"/>
    <x v="2"/>
    <s v="LOS 3 AÑOS"/>
    <s v="NO PARTICIPÓ"/>
    <x v="32"/>
    <s v="EL MILAGRO2 Secundaria"/>
  </r>
  <r>
    <n v="659"/>
    <x v="3"/>
    <s v="Secundaria"/>
    <x v="2"/>
    <x v="31"/>
    <s v="Rural"/>
    <s v="Masculino"/>
    <x v="0"/>
    <x v="2"/>
    <s v="LOS 3 AÑOS"/>
    <s v="NO PARTICIPÓ"/>
    <x v="32"/>
    <s v="EL MILAGRO2 Secundaria"/>
  </r>
  <r>
    <n v="660"/>
    <x v="3"/>
    <s v="Secundaria"/>
    <x v="2"/>
    <x v="31"/>
    <s v="Rural"/>
    <s v="Masculino"/>
    <x v="0"/>
    <x v="2"/>
    <s v="LOS 3 AÑOS"/>
    <s v="NO PARTICIPÓ"/>
    <x v="32"/>
    <s v="EL MILAGRO2 Secundaria"/>
  </r>
  <r>
    <n v="661"/>
    <x v="3"/>
    <s v="Secundaria"/>
    <x v="2"/>
    <x v="31"/>
    <s v="Rural"/>
    <s v="Masculino"/>
    <x v="1"/>
    <x v="2"/>
    <s v="LOS 3 AÑOS"/>
    <s v="NO PARTICIPÓ"/>
    <x v="32"/>
    <s v="EL MILAGRO2 Secundaria"/>
  </r>
  <r>
    <n v="662"/>
    <x v="3"/>
    <s v="Secundaria"/>
    <x v="2"/>
    <x v="31"/>
    <s v="Rural"/>
    <s v="Masculino"/>
    <x v="0"/>
    <x v="2"/>
    <s v="LOS 3 AÑOS"/>
    <s v="NO PARTICIPÓ"/>
    <x v="32"/>
    <s v="EL MILAGRO2 Secundaria"/>
  </r>
  <r>
    <n v="663"/>
    <x v="3"/>
    <s v="Secundaria"/>
    <x v="2"/>
    <x v="31"/>
    <s v="Rural"/>
    <s v="Masculino"/>
    <x v="0"/>
    <x v="2"/>
    <s v="LOS 3 AÑOS"/>
    <s v="NO PARTICIPÓ"/>
    <x v="32"/>
    <s v="EL MILAGRO2 Secundaria"/>
  </r>
  <r>
    <n v="664"/>
    <x v="3"/>
    <s v="Secundaria"/>
    <x v="2"/>
    <x v="31"/>
    <s v="Rural"/>
    <s v="Masculino"/>
    <x v="0"/>
    <x v="2"/>
    <s v="LOS 3 AÑOS"/>
    <s v="NO PARTICIPÓ"/>
    <x v="32"/>
    <s v="EL MILAGRO2 Secundaria"/>
  </r>
  <r>
    <n v="665"/>
    <x v="3"/>
    <s v="Secundaria"/>
    <x v="2"/>
    <x v="31"/>
    <s v="Rural"/>
    <s v="Masculino"/>
    <x v="0"/>
    <x v="2"/>
    <s v="LOS 3 AÑOS"/>
    <s v="NO PARTICIPÓ"/>
    <x v="32"/>
    <s v="EL MILAGRO2 Secundaria"/>
  </r>
  <r>
    <n v="666"/>
    <x v="3"/>
    <s v="Secundaria"/>
    <x v="2"/>
    <x v="31"/>
    <s v="Rural"/>
    <s v="Masculino"/>
    <x v="0"/>
    <x v="2"/>
    <s v="LOS 3 AÑOS"/>
    <s v="NO PARTICIPÓ"/>
    <x v="32"/>
    <s v="EL MILAGRO2 Secundaria"/>
  </r>
  <r>
    <n v="667"/>
    <x v="3"/>
    <s v="Secundaria"/>
    <x v="2"/>
    <x v="31"/>
    <s v="Rural"/>
    <s v="Masculino"/>
    <x v="0"/>
    <x v="2"/>
    <s v="LOS 3 AÑOS"/>
    <s v="NO PARTICIPÓ"/>
    <x v="32"/>
    <s v="EL MILAGRO2 Secundaria"/>
  </r>
  <r>
    <n v="668"/>
    <x v="3"/>
    <s v="Secundaria"/>
    <x v="2"/>
    <x v="31"/>
    <s v="Rural"/>
    <s v="Masculino"/>
    <x v="0"/>
    <x v="2"/>
    <s v="LOS 3 AÑOS"/>
    <s v="NO PARTICIPÓ"/>
    <x v="32"/>
    <s v="EL MILAGRO2 Secundaria"/>
  </r>
  <r>
    <n v="669"/>
    <x v="3"/>
    <s v="Secundaria"/>
    <x v="2"/>
    <x v="31"/>
    <s v="Rural"/>
    <s v="Masculino"/>
    <x v="0"/>
    <x v="2"/>
    <s v="LOS 3 AÑOS"/>
    <s v="NO PARTICIPÓ"/>
    <x v="32"/>
    <s v="EL MILAGRO2 Secundaria"/>
  </r>
  <r>
    <n v="670"/>
    <x v="3"/>
    <s v="Secundaria"/>
    <x v="2"/>
    <x v="31"/>
    <s v="Rural"/>
    <s v="Femenino"/>
    <x v="0"/>
    <x v="2"/>
    <s v="LOS 3 AÑOS"/>
    <s v="NO PARTICIPÓ"/>
    <x v="32"/>
    <s v="EL MILAGRO2 Secundaria"/>
  </r>
  <r>
    <n v="671"/>
    <x v="3"/>
    <s v="Secundaria"/>
    <x v="2"/>
    <x v="31"/>
    <s v="Rural"/>
    <s v="Masculino"/>
    <x v="0"/>
    <x v="2"/>
    <s v="LOS 3 AÑOS"/>
    <s v="NO PARTICIPÓ"/>
    <x v="32"/>
    <s v="EL MILAGRO2 Secundaria"/>
  </r>
  <r>
    <n v="672"/>
    <x v="3"/>
    <s v="Secundaria"/>
    <x v="2"/>
    <x v="31"/>
    <s v="Rural"/>
    <s v="Masculino"/>
    <x v="0"/>
    <x v="2"/>
    <s v="LOS 3 AÑOS"/>
    <s v="NO PARTICIPÓ"/>
    <x v="32"/>
    <s v="EL MILAGRO2 Secundaria"/>
  </r>
  <r>
    <n v="673"/>
    <x v="3"/>
    <s v="Secundaria"/>
    <x v="2"/>
    <x v="31"/>
    <s v="Rural"/>
    <s v="Femenino"/>
    <x v="0"/>
    <x v="2"/>
    <s v="LOS 3 AÑOS"/>
    <s v="NO PARTICIPÓ"/>
    <x v="32"/>
    <s v="EL MILAGRO2 Secundaria"/>
  </r>
  <r>
    <n v="674"/>
    <x v="3"/>
    <s v="Secundaria"/>
    <x v="2"/>
    <x v="31"/>
    <s v="Rural"/>
    <s v="Femenino"/>
    <x v="1"/>
    <x v="2"/>
    <s v="LOS 3 AÑOS"/>
    <s v="NO PARTICIPÓ"/>
    <x v="32"/>
    <s v="EL MILAGRO2 Secundaria"/>
  </r>
  <r>
    <n v="675"/>
    <x v="3"/>
    <s v="Secundaria"/>
    <x v="2"/>
    <x v="31"/>
    <s v="Rural"/>
    <s v="Masculino"/>
    <x v="0"/>
    <x v="2"/>
    <s v="LOS 3 AÑOS"/>
    <s v="NO PARTICIPÓ"/>
    <x v="32"/>
    <s v="EL MILAGRO2 Secundaria"/>
  </r>
  <r>
    <n v="676"/>
    <x v="3"/>
    <s v="Secundaria"/>
    <x v="2"/>
    <x v="31"/>
    <s v="Rural"/>
    <s v="Femenino"/>
    <x v="1"/>
    <x v="2"/>
    <s v="LOS 3 AÑOS"/>
    <s v="NO PARTICIPÓ"/>
    <x v="32"/>
    <s v="EL MILAGRO2 Secundaria"/>
  </r>
  <r>
    <n v="677"/>
    <x v="3"/>
    <s v="Secundaria"/>
    <x v="2"/>
    <x v="31"/>
    <s v="Rural"/>
    <s v="Femenino"/>
    <x v="0"/>
    <x v="2"/>
    <s v="LOS 3 AÑOS"/>
    <s v="NO PARTICIPÓ"/>
    <x v="32"/>
    <s v="EL MILAGRO2 Secundaria"/>
  </r>
  <r>
    <n v="678"/>
    <x v="3"/>
    <s v="Secundaria"/>
    <x v="2"/>
    <x v="31"/>
    <s v="Rural"/>
    <s v="Femenino"/>
    <x v="0"/>
    <x v="2"/>
    <s v="LOS 3 AÑOS"/>
    <s v="NO PARTICIPÓ"/>
    <x v="32"/>
    <s v="EL MILAGRO2 Secundaria"/>
  </r>
  <r>
    <n v="679"/>
    <x v="3"/>
    <s v="Secundaria"/>
    <x v="2"/>
    <x v="31"/>
    <s v="Rural"/>
    <s v="Masculino"/>
    <x v="0"/>
    <x v="2"/>
    <s v="LOS 3 AÑOS"/>
    <s v="NO PARTICIPÓ"/>
    <x v="32"/>
    <s v="EL MILAGRO2 Secundaria"/>
  </r>
  <r>
    <n v="680"/>
    <x v="3"/>
    <s v="Secundaria"/>
    <x v="2"/>
    <x v="31"/>
    <s v="Rural"/>
    <s v="Femenino"/>
    <x v="0"/>
    <x v="2"/>
    <s v="LOS 3 AÑOS"/>
    <s v="NO PARTICIPÓ"/>
    <x v="32"/>
    <s v="EL MILAGRO2 Secundaria"/>
  </r>
  <r>
    <n v="681"/>
    <x v="3"/>
    <s v="Secundaria"/>
    <x v="2"/>
    <x v="31"/>
    <s v="Rural"/>
    <s v="Femenino"/>
    <x v="0"/>
    <x v="2"/>
    <s v="LOS 3 AÑOS"/>
    <s v="NO PARTICIPÓ"/>
    <x v="32"/>
    <s v="EL MILAGRO2 Secundaria"/>
  </r>
  <r>
    <n v="682"/>
    <x v="3"/>
    <s v="Secundaria"/>
    <x v="2"/>
    <x v="31"/>
    <s v="Rural"/>
    <s v="Femenino"/>
    <x v="0"/>
    <x v="2"/>
    <s v="LOS 3 AÑOS"/>
    <s v="NO PARTICIPÓ"/>
    <x v="32"/>
    <s v="EL MILAGRO2 Secundaria"/>
  </r>
  <r>
    <n v="683"/>
    <x v="3"/>
    <s v="Secundaria"/>
    <x v="2"/>
    <x v="31"/>
    <s v="Rural"/>
    <s v="Femenino"/>
    <x v="0"/>
    <x v="2"/>
    <s v="LOS 3 AÑOS"/>
    <s v="NO PARTICIPÓ"/>
    <x v="32"/>
    <s v="EL MILAGRO2 Secundaria"/>
  </r>
  <r>
    <n v="684"/>
    <x v="3"/>
    <s v="Secundaria"/>
    <x v="2"/>
    <x v="31"/>
    <s v="Rural"/>
    <s v="Femenino"/>
    <x v="0"/>
    <x v="2"/>
    <s v="LOS 3 AÑOS"/>
    <s v="NO PARTICIPÓ"/>
    <x v="32"/>
    <s v="EL MILAGRO2 Secundaria"/>
  </r>
  <r>
    <n v="685"/>
    <x v="3"/>
    <s v="Secundaria"/>
    <x v="2"/>
    <x v="31"/>
    <s v="Rural"/>
    <s v="Femenino"/>
    <x v="0"/>
    <x v="2"/>
    <s v="LOS 3 AÑOS"/>
    <s v="NO PARTICIPÓ"/>
    <x v="32"/>
    <s v="EL MILAGRO2 Secundaria"/>
  </r>
  <r>
    <n v="686"/>
    <x v="3"/>
    <s v="Secundaria"/>
    <x v="3"/>
    <x v="31"/>
    <s v="Rural"/>
    <s v="Masculino"/>
    <x v="1"/>
    <x v="2"/>
    <s v="LOS 3 AÑOS"/>
    <s v="NO PARTICIPÓ"/>
    <x v="32"/>
    <s v="EL MILAGRO4 Secundaria"/>
  </r>
  <r>
    <n v="687"/>
    <x v="3"/>
    <s v="Secundaria"/>
    <x v="3"/>
    <x v="31"/>
    <s v="Rural"/>
    <s v="Masculino"/>
    <x v="1"/>
    <x v="2"/>
    <s v="LOS 3 AÑOS"/>
    <s v="NO PARTICIPÓ"/>
    <x v="32"/>
    <s v="EL MILAGRO4 Secundaria"/>
  </r>
  <r>
    <n v="688"/>
    <x v="3"/>
    <s v="Secundaria"/>
    <x v="3"/>
    <x v="31"/>
    <s v="Rural"/>
    <s v="Femenino"/>
    <x v="2"/>
    <x v="2"/>
    <s v="LOS 3 AÑOS"/>
    <s v="NO PARTICIPÓ"/>
    <x v="32"/>
    <s v="EL MILAGRO4 Secundaria"/>
  </r>
  <r>
    <n v="689"/>
    <x v="3"/>
    <s v="Secundaria"/>
    <x v="3"/>
    <x v="31"/>
    <s v="Rural"/>
    <s v="Masculino"/>
    <x v="1"/>
    <x v="2"/>
    <s v="LOS 3 AÑOS"/>
    <s v="NO PARTICIPÓ"/>
    <x v="32"/>
    <s v="EL MILAGRO4 Secundaria"/>
  </r>
  <r>
    <n v="690"/>
    <x v="3"/>
    <s v="Secundaria"/>
    <x v="3"/>
    <x v="31"/>
    <s v="Rural"/>
    <s v="Femenino"/>
    <x v="1"/>
    <x v="2"/>
    <s v="LOS 3 AÑOS"/>
    <s v="NO PARTICIPÓ"/>
    <x v="32"/>
    <s v="EL MILAGRO4 Secundaria"/>
  </r>
  <r>
    <n v="691"/>
    <x v="3"/>
    <s v="Secundaria"/>
    <x v="3"/>
    <x v="31"/>
    <s v="Rural"/>
    <s v="Femenino"/>
    <x v="1"/>
    <x v="2"/>
    <s v="LOS 3 AÑOS"/>
    <s v="NO PARTICIPÓ"/>
    <x v="32"/>
    <s v="EL MILAGRO4 Secundaria"/>
  </r>
  <r>
    <n v="692"/>
    <x v="3"/>
    <s v="Secundaria"/>
    <x v="3"/>
    <x v="31"/>
    <s v="Rural"/>
    <s v="Femenino"/>
    <x v="2"/>
    <x v="2"/>
    <s v="LOS 3 AÑOS"/>
    <s v="NO PARTICIPÓ"/>
    <x v="32"/>
    <s v="EL MILAGRO4 Secundaria"/>
  </r>
  <r>
    <n v="693"/>
    <x v="3"/>
    <s v="Secundaria"/>
    <x v="3"/>
    <x v="31"/>
    <s v="Rural"/>
    <s v="Femenino"/>
    <x v="1"/>
    <x v="2"/>
    <s v="LOS 3 AÑOS"/>
    <s v="NO PARTICIPÓ"/>
    <x v="32"/>
    <s v="EL MILAGRO4 Secundaria"/>
  </r>
  <r>
    <n v="694"/>
    <x v="3"/>
    <s v="Secundaria"/>
    <x v="3"/>
    <x v="31"/>
    <s v="Rural"/>
    <s v="Masculino"/>
    <x v="0"/>
    <x v="2"/>
    <s v="LOS 3 AÑOS"/>
    <s v="NO PARTICIPÓ"/>
    <x v="32"/>
    <s v="EL MILAGRO4 Secundaria"/>
  </r>
  <r>
    <n v="695"/>
    <x v="3"/>
    <s v="Secundaria"/>
    <x v="3"/>
    <x v="31"/>
    <s v="Rural"/>
    <s v="Femenino"/>
    <x v="0"/>
    <x v="2"/>
    <s v="LOS 3 AÑOS"/>
    <s v="NO PARTICIPÓ"/>
    <x v="32"/>
    <s v="EL MILAGRO4 Secundaria"/>
  </r>
  <r>
    <n v="696"/>
    <x v="3"/>
    <s v="Secundaria"/>
    <x v="3"/>
    <x v="31"/>
    <s v="Rural"/>
    <s v="Masculino"/>
    <x v="0"/>
    <x v="2"/>
    <s v="LOS 3 AÑOS"/>
    <s v="NO PARTICIPÓ"/>
    <x v="32"/>
    <s v="EL MILAGRO4 Secundaria"/>
  </r>
  <r>
    <n v="697"/>
    <x v="3"/>
    <s v="Secundaria"/>
    <x v="3"/>
    <x v="31"/>
    <s v="Rural"/>
    <s v="Masculino"/>
    <x v="1"/>
    <x v="2"/>
    <s v="LOS 3 AÑOS"/>
    <s v="NO PARTICIPÓ"/>
    <x v="32"/>
    <s v="EL MILAGRO4 Secundaria"/>
  </r>
  <r>
    <n v="698"/>
    <x v="3"/>
    <s v="Secundaria"/>
    <x v="3"/>
    <x v="31"/>
    <s v="Rural"/>
    <s v="Masculino"/>
    <x v="0"/>
    <x v="2"/>
    <s v="LOS 3 AÑOS"/>
    <s v="NO PARTICIPÓ"/>
    <x v="32"/>
    <s v="EL MILAGRO4 Secundaria"/>
  </r>
  <r>
    <n v="699"/>
    <x v="3"/>
    <s v="Secundaria"/>
    <x v="3"/>
    <x v="31"/>
    <s v="Rural"/>
    <s v="Masculino"/>
    <x v="0"/>
    <x v="2"/>
    <s v="LOS 3 AÑOS"/>
    <s v="NO PARTICIPÓ"/>
    <x v="32"/>
    <s v="EL MILAGRO4 Secundaria"/>
  </r>
  <r>
    <n v="700"/>
    <x v="3"/>
    <s v="Secundaria"/>
    <x v="3"/>
    <x v="31"/>
    <s v="Rural"/>
    <s v="Femenino"/>
    <x v="0"/>
    <x v="2"/>
    <s v="LOS 3 AÑOS"/>
    <s v="NO PARTICIPÓ"/>
    <x v="32"/>
    <s v="EL MILAGRO4 Secundaria"/>
  </r>
  <r>
    <n v="701"/>
    <x v="3"/>
    <s v="Secundaria"/>
    <x v="3"/>
    <x v="31"/>
    <s v="Rural"/>
    <s v="Masculino"/>
    <x v="0"/>
    <x v="2"/>
    <s v="LOS 3 AÑOS"/>
    <s v="NO PARTICIPÓ"/>
    <x v="32"/>
    <s v="EL MILAGRO4 Secundaria"/>
  </r>
  <r>
    <n v="702"/>
    <x v="3"/>
    <s v="Secundaria"/>
    <x v="3"/>
    <x v="31"/>
    <s v="Rural"/>
    <s v="Femenino"/>
    <x v="0"/>
    <x v="2"/>
    <s v="LOS 3 AÑOS"/>
    <s v="NO PARTICIPÓ"/>
    <x v="32"/>
    <s v="EL MILAGRO4 Secundaria"/>
  </r>
  <r>
    <n v="703"/>
    <x v="3"/>
    <s v="Secundaria"/>
    <x v="3"/>
    <x v="31"/>
    <s v="Rural"/>
    <s v="Masculino"/>
    <x v="0"/>
    <x v="2"/>
    <s v="LOS 3 AÑOS"/>
    <s v="NO PARTICIPÓ"/>
    <x v="32"/>
    <s v="EL MILAGRO4 Secundaria"/>
  </r>
  <r>
    <n v="704"/>
    <x v="3"/>
    <s v="Secundaria"/>
    <x v="3"/>
    <x v="31"/>
    <s v="Rural"/>
    <s v="Masculino"/>
    <x v="0"/>
    <x v="2"/>
    <s v="LOS 3 AÑOS"/>
    <s v="NO PARTICIPÓ"/>
    <x v="32"/>
    <s v="EL MILAGRO4 Secundaria"/>
  </r>
  <r>
    <n v="705"/>
    <x v="3"/>
    <s v="Secundaria"/>
    <x v="3"/>
    <x v="31"/>
    <s v="Rural"/>
    <s v="Femenino"/>
    <x v="1"/>
    <x v="2"/>
    <s v="LOS 3 AÑOS"/>
    <s v="NO PARTICIPÓ"/>
    <x v="32"/>
    <s v="EL MILAGRO4 Secundaria"/>
  </r>
  <r>
    <n v="706"/>
    <x v="3"/>
    <s v="Secundaria"/>
    <x v="3"/>
    <x v="31"/>
    <s v="Rural"/>
    <s v="Masculino"/>
    <x v="0"/>
    <x v="2"/>
    <s v="LOS 3 AÑOS"/>
    <s v="NO PARTICIPÓ"/>
    <x v="32"/>
    <s v="EL MILAGRO4 Secundaria"/>
  </r>
  <r>
    <n v="707"/>
    <x v="3"/>
    <s v="Secundaria"/>
    <x v="3"/>
    <x v="31"/>
    <s v="Rural"/>
    <s v="Masculino"/>
    <x v="0"/>
    <x v="2"/>
    <s v="LOS 3 AÑOS"/>
    <s v="NO PARTICIPÓ"/>
    <x v="32"/>
    <s v="EL MILAGRO4 Secundaria"/>
  </r>
  <r>
    <n v="708"/>
    <x v="3"/>
    <s v="Secundaria"/>
    <x v="3"/>
    <x v="31"/>
    <s v="Rural"/>
    <s v="Masculino"/>
    <x v="0"/>
    <x v="2"/>
    <s v="LOS 3 AÑOS"/>
    <s v="NO PARTICIPÓ"/>
    <x v="32"/>
    <s v="EL MILAGRO4 Secundaria"/>
  </r>
  <r>
    <n v="709"/>
    <x v="3"/>
    <s v="Primaria"/>
    <x v="4"/>
    <x v="34"/>
    <s v="Rural"/>
    <s v="Masculino"/>
    <x v="0"/>
    <x v="2"/>
    <s v="2023 Y 2024"/>
    <s v="SOLO 2023"/>
    <x v="101"/>
    <s v="6015142 Primaria"/>
  </r>
  <r>
    <n v="710"/>
    <x v="3"/>
    <s v="Primaria"/>
    <x v="4"/>
    <x v="34"/>
    <s v="Rural"/>
    <s v="Femenino"/>
    <x v="1"/>
    <x v="2"/>
    <s v="2023 Y 2024"/>
    <s v="SOLO 2023"/>
    <x v="101"/>
    <s v="6015142 Primaria"/>
  </r>
  <r>
    <n v="711"/>
    <x v="3"/>
    <s v="Primaria"/>
    <x v="4"/>
    <x v="34"/>
    <s v="Rural"/>
    <s v="Femenino"/>
    <x v="0"/>
    <x v="2"/>
    <s v="2023 Y 2024"/>
    <s v="SOLO 2023"/>
    <x v="101"/>
    <s v="6015142 Primaria"/>
  </r>
  <r>
    <n v="712"/>
    <x v="3"/>
    <s v="Primaria"/>
    <x v="4"/>
    <x v="34"/>
    <s v="Rural"/>
    <s v="Femenino"/>
    <x v="0"/>
    <x v="2"/>
    <s v="2023 Y 2024"/>
    <s v="SOLO 2023"/>
    <x v="101"/>
    <s v="6015142 Primaria"/>
  </r>
  <r>
    <n v="713"/>
    <x v="3"/>
    <s v="Primaria"/>
    <x v="0"/>
    <x v="34"/>
    <s v="Rural"/>
    <s v="Femenino"/>
    <x v="1"/>
    <x v="2"/>
    <s v="2023 Y 2024"/>
    <s v="SOLO 2023"/>
    <x v="101"/>
    <s v="6015144 Primaria"/>
  </r>
  <r>
    <n v="714"/>
    <x v="3"/>
    <s v="Primaria"/>
    <x v="0"/>
    <x v="34"/>
    <s v="Rural"/>
    <s v="Masculino"/>
    <x v="1"/>
    <x v="2"/>
    <s v="2023 Y 2024"/>
    <s v="SOLO 2023"/>
    <x v="101"/>
    <s v="6015144 Primaria"/>
  </r>
  <r>
    <n v="715"/>
    <x v="3"/>
    <s v="Primaria"/>
    <x v="0"/>
    <x v="34"/>
    <s v="Rural"/>
    <s v="Masculino"/>
    <x v="1"/>
    <x v="2"/>
    <s v="2023 Y 2024"/>
    <s v="SOLO 2023"/>
    <x v="101"/>
    <s v="6015144 Primaria"/>
  </r>
  <r>
    <n v="716"/>
    <x v="3"/>
    <s v="Primaria"/>
    <x v="0"/>
    <x v="34"/>
    <s v="Rural"/>
    <s v="Femenino"/>
    <x v="0"/>
    <x v="2"/>
    <s v="2023 Y 2024"/>
    <s v="SOLO 2023"/>
    <x v="101"/>
    <s v="6015144 Primaria"/>
  </r>
  <r>
    <n v="717"/>
    <x v="3"/>
    <s v="Primaria"/>
    <x v="0"/>
    <x v="34"/>
    <s v="Rural"/>
    <s v="Masculino"/>
    <x v="0"/>
    <x v="2"/>
    <s v="2023 Y 2024"/>
    <s v="SOLO 2023"/>
    <x v="101"/>
    <s v="6015144 Primaria"/>
  </r>
  <r>
    <n v="718"/>
    <x v="3"/>
    <s v="Primaria"/>
    <x v="0"/>
    <x v="34"/>
    <s v="Rural"/>
    <s v="Masculino"/>
    <x v="1"/>
    <x v="2"/>
    <s v="2023 Y 2024"/>
    <s v="SOLO 2023"/>
    <x v="101"/>
    <s v="6015144 Primaria"/>
  </r>
  <r>
    <n v="719"/>
    <x v="3"/>
    <s v="Primaria"/>
    <x v="0"/>
    <x v="34"/>
    <s v="Rural"/>
    <s v="Femenino"/>
    <x v="1"/>
    <x v="2"/>
    <s v="2023 Y 2024"/>
    <s v="SOLO 2023"/>
    <x v="101"/>
    <s v="6015144 Primaria"/>
  </r>
  <r>
    <n v="720"/>
    <x v="3"/>
    <s v="Primaria"/>
    <x v="0"/>
    <x v="34"/>
    <s v="Rural"/>
    <s v="Femenino"/>
    <x v="0"/>
    <x v="2"/>
    <s v="2023 Y 2024"/>
    <s v="SOLO 2023"/>
    <x v="101"/>
    <s v="6015144 Primaria"/>
  </r>
  <r>
    <n v="721"/>
    <x v="3"/>
    <s v="Primaria"/>
    <x v="1"/>
    <x v="34"/>
    <s v="Rural"/>
    <s v="Femenino"/>
    <x v="0"/>
    <x v="2"/>
    <s v="2023 Y 2024"/>
    <s v="SOLO 2023"/>
    <x v="101"/>
    <s v="6015146 Primaria"/>
  </r>
  <r>
    <n v="722"/>
    <x v="3"/>
    <s v="Primaria"/>
    <x v="1"/>
    <x v="34"/>
    <s v="Rural"/>
    <s v="Masculino"/>
    <x v="1"/>
    <x v="2"/>
    <s v="2023 Y 2024"/>
    <s v="SOLO 2023"/>
    <x v="101"/>
    <s v="6015146 Primaria"/>
  </r>
  <r>
    <n v="723"/>
    <x v="3"/>
    <s v="Primaria"/>
    <x v="1"/>
    <x v="34"/>
    <s v="Rural"/>
    <s v="Masculino"/>
    <x v="1"/>
    <x v="2"/>
    <s v="2023 Y 2024"/>
    <s v="SOLO 2023"/>
    <x v="101"/>
    <s v="6015146 Primaria"/>
  </r>
  <r>
    <n v="724"/>
    <x v="3"/>
    <s v="Primaria"/>
    <x v="1"/>
    <x v="34"/>
    <s v="Rural"/>
    <s v="Masculino"/>
    <x v="0"/>
    <x v="2"/>
    <s v="2023 Y 2024"/>
    <s v="SOLO 2023"/>
    <x v="101"/>
    <s v="6015146 Primaria"/>
  </r>
  <r>
    <n v="725"/>
    <x v="3"/>
    <s v="Primaria"/>
    <x v="1"/>
    <x v="34"/>
    <s v="Rural"/>
    <s v="Masculino"/>
    <x v="0"/>
    <x v="2"/>
    <s v="2023 Y 2024"/>
    <s v="SOLO 2023"/>
    <x v="101"/>
    <s v="6015146 Primaria"/>
  </r>
  <r>
    <n v="726"/>
    <x v="3"/>
    <s v="Primaria"/>
    <x v="1"/>
    <x v="34"/>
    <s v="Rural"/>
    <s v="Masculino"/>
    <x v="0"/>
    <x v="2"/>
    <s v="2023 Y 2024"/>
    <s v="SOLO 2023"/>
    <x v="101"/>
    <s v="6015146 Primaria"/>
  </r>
  <r>
    <n v="727"/>
    <x v="3"/>
    <s v="Primaria"/>
    <x v="1"/>
    <x v="34"/>
    <s v="Rural"/>
    <s v="Masculino"/>
    <x v="0"/>
    <x v="2"/>
    <s v="2023 Y 2024"/>
    <s v="SOLO 2023"/>
    <x v="101"/>
    <s v="6015146 Primaria"/>
  </r>
  <r>
    <n v="728"/>
    <x v="3"/>
    <s v="Primaria"/>
    <x v="1"/>
    <x v="34"/>
    <s v="Rural"/>
    <s v="Masculino"/>
    <x v="0"/>
    <x v="2"/>
    <s v="2023 Y 2024"/>
    <s v="SOLO 2023"/>
    <x v="101"/>
    <s v="6015146 Primaria"/>
  </r>
  <r>
    <n v="729"/>
    <x v="3"/>
    <s v="Primaria"/>
    <x v="1"/>
    <x v="34"/>
    <s v="Rural"/>
    <s v="Femenino"/>
    <x v="0"/>
    <x v="2"/>
    <s v="2023 Y 2024"/>
    <s v="SOLO 2023"/>
    <x v="101"/>
    <s v="6015146 Primaria"/>
  </r>
  <r>
    <n v="730"/>
    <x v="3"/>
    <s v="Primaria"/>
    <x v="4"/>
    <x v="35"/>
    <s v="Rural"/>
    <s v="Masculino"/>
    <x v="0"/>
    <x v="2"/>
    <s v="LOS 3 AÑOS"/>
    <s v="SOLO 2023"/>
    <x v="55"/>
    <s v="6013312 Primaria"/>
  </r>
  <r>
    <n v="731"/>
    <x v="3"/>
    <s v="Primaria"/>
    <x v="4"/>
    <x v="35"/>
    <s v="Rural"/>
    <s v="Masculino"/>
    <x v="1"/>
    <x v="2"/>
    <s v="LOS 3 AÑOS"/>
    <s v="SOLO 2023"/>
    <x v="55"/>
    <s v="6013312 Primaria"/>
  </r>
  <r>
    <n v="732"/>
    <x v="3"/>
    <s v="Primaria"/>
    <x v="4"/>
    <x v="35"/>
    <s v="Rural"/>
    <s v="Masculino"/>
    <x v="0"/>
    <x v="2"/>
    <s v="LOS 3 AÑOS"/>
    <s v="SOLO 2023"/>
    <x v="55"/>
    <s v="6013312 Primaria"/>
  </r>
  <r>
    <n v="733"/>
    <x v="3"/>
    <s v="Primaria"/>
    <x v="4"/>
    <x v="35"/>
    <s v="Rural"/>
    <s v="Femenino"/>
    <x v="0"/>
    <x v="2"/>
    <s v="LOS 3 AÑOS"/>
    <s v="SOLO 2023"/>
    <x v="55"/>
    <s v="6013312 Primaria"/>
  </r>
  <r>
    <n v="734"/>
    <x v="3"/>
    <s v="Primaria"/>
    <x v="4"/>
    <x v="35"/>
    <s v="Rural"/>
    <s v="Masculino"/>
    <x v="0"/>
    <x v="2"/>
    <s v="LOS 3 AÑOS"/>
    <s v="SOLO 2023"/>
    <x v="55"/>
    <s v="6013312 Primaria"/>
  </r>
  <r>
    <n v="735"/>
    <x v="3"/>
    <s v="Primaria"/>
    <x v="4"/>
    <x v="35"/>
    <s v="Rural"/>
    <s v="Femenino"/>
    <x v="0"/>
    <x v="2"/>
    <s v="LOS 3 AÑOS"/>
    <s v="SOLO 2023"/>
    <x v="55"/>
    <s v="6013312 Primaria"/>
  </r>
  <r>
    <n v="736"/>
    <x v="3"/>
    <s v="Primaria"/>
    <x v="4"/>
    <x v="35"/>
    <s v="Rural"/>
    <s v="Femenino"/>
    <x v="0"/>
    <x v="2"/>
    <s v="LOS 3 AÑOS"/>
    <s v="SOLO 2023"/>
    <x v="55"/>
    <s v="6013312 Primaria"/>
  </r>
  <r>
    <n v="737"/>
    <x v="3"/>
    <s v="Primaria"/>
    <x v="4"/>
    <x v="35"/>
    <s v="Rural"/>
    <s v="Masculino"/>
    <x v="0"/>
    <x v="2"/>
    <s v="LOS 3 AÑOS"/>
    <s v="SOLO 2023"/>
    <x v="55"/>
    <s v="6013312 Primaria"/>
  </r>
  <r>
    <n v="738"/>
    <x v="3"/>
    <s v="Primaria"/>
    <x v="4"/>
    <x v="35"/>
    <s v="Rural"/>
    <s v="Masculino"/>
    <x v="0"/>
    <x v="2"/>
    <s v="LOS 3 AÑOS"/>
    <s v="SOLO 2023"/>
    <x v="55"/>
    <s v="6013312 Primaria"/>
  </r>
  <r>
    <n v="739"/>
    <x v="3"/>
    <s v="Primaria"/>
    <x v="4"/>
    <x v="35"/>
    <s v="Rural"/>
    <s v="Femenino"/>
    <x v="0"/>
    <x v="2"/>
    <s v="LOS 3 AÑOS"/>
    <s v="SOLO 2023"/>
    <x v="55"/>
    <s v="6013312 Primaria"/>
  </r>
  <r>
    <n v="740"/>
    <x v="3"/>
    <s v="Primaria"/>
    <x v="4"/>
    <x v="35"/>
    <s v="Rural"/>
    <s v="Masculino"/>
    <x v="0"/>
    <x v="2"/>
    <s v="LOS 3 AÑOS"/>
    <s v="SOLO 2023"/>
    <x v="55"/>
    <s v="6013312 Primaria"/>
  </r>
  <r>
    <n v="741"/>
    <x v="3"/>
    <s v="Primaria"/>
    <x v="4"/>
    <x v="35"/>
    <s v="Rural"/>
    <s v="Femenino"/>
    <x v="0"/>
    <x v="2"/>
    <s v="LOS 3 AÑOS"/>
    <s v="SOLO 2023"/>
    <x v="55"/>
    <s v="6013312 Primaria"/>
  </r>
  <r>
    <n v="742"/>
    <x v="3"/>
    <s v="Primaria"/>
    <x v="4"/>
    <x v="35"/>
    <s v="Rural"/>
    <s v="Masculino"/>
    <x v="0"/>
    <x v="2"/>
    <s v="LOS 3 AÑOS"/>
    <s v="SOLO 2023"/>
    <x v="55"/>
    <s v="6013312 Primaria"/>
  </r>
  <r>
    <n v="743"/>
    <x v="3"/>
    <s v="Primaria"/>
    <x v="4"/>
    <x v="35"/>
    <s v="Rural"/>
    <s v="Masculino"/>
    <x v="0"/>
    <x v="2"/>
    <s v="LOS 3 AÑOS"/>
    <s v="SOLO 2023"/>
    <x v="55"/>
    <s v="6013312 Primaria"/>
  </r>
  <r>
    <n v="744"/>
    <x v="3"/>
    <s v="Primaria"/>
    <x v="4"/>
    <x v="35"/>
    <s v="Rural"/>
    <s v="Femenino"/>
    <x v="0"/>
    <x v="2"/>
    <s v="LOS 3 AÑOS"/>
    <s v="SOLO 2023"/>
    <x v="55"/>
    <s v="6013312 Primaria"/>
  </r>
  <r>
    <n v="745"/>
    <x v="3"/>
    <s v="Primaria"/>
    <x v="4"/>
    <x v="35"/>
    <s v="Rural"/>
    <s v="Femenino"/>
    <x v="0"/>
    <x v="2"/>
    <s v="LOS 3 AÑOS"/>
    <s v="SOLO 2023"/>
    <x v="55"/>
    <s v="6013312 Primaria"/>
  </r>
  <r>
    <n v="746"/>
    <x v="3"/>
    <s v="Primaria"/>
    <x v="4"/>
    <x v="35"/>
    <s v="Rural"/>
    <s v="Femenino"/>
    <x v="0"/>
    <x v="2"/>
    <s v="LOS 3 AÑOS"/>
    <s v="SOLO 2023"/>
    <x v="55"/>
    <s v="6013312 Primaria"/>
  </r>
  <r>
    <n v="747"/>
    <x v="3"/>
    <s v="Primaria"/>
    <x v="4"/>
    <x v="35"/>
    <s v="Rural"/>
    <s v="Masculino"/>
    <x v="0"/>
    <x v="2"/>
    <s v="LOS 3 AÑOS"/>
    <s v="SOLO 2023"/>
    <x v="55"/>
    <s v="6013312 Primaria"/>
  </r>
  <r>
    <n v="748"/>
    <x v="3"/>
    <s v="Primaria"/>
    <x v="4"/>
    <x v="35"/>
    <s v="Rural"/>
    <s v="Masculino"/>
    <x v="0"/>
    <x v="2"/>
    <s v="LOS 3 AÑOS"/>
    <s v="SOLO 2023"/>
    <x v="55"/>
    <s v="6013312 Primaria"/>
  </r>
  <r>
    <n v="749"/>
    <x v="3"/>
    <s v="Primaria"/>
    <x v="4"/>
    <x v="35"/>
    <s v="Rural"/>
    <s v="Masculino"/>
    <x v="0"/>
    <x v="2"/>
    <s v="LOS 3 AÑOS"/>
    <s v="SOLO 2023"/>
    <x v="55"/>
    <s v="6013312 Primaria"/>
  </r>
  <r>
    <n v="750"/>
    <x v="3"/>
    <s v="Primaria"/>
    <x v="4"/>
    <x v="35"/>
    <s v="Rural"/>
    <s v="Femenino"/>
    <x v="1"/>
    <x v="2"/>
    <s v="LOS 3 AÑOS"/>
    <s v="SOLO 2023"/>
    <x v="55"/>
    <s v="6013312 Primaria"/>
  </r>
  <r>
    <n v="751"/>
    <x v="3"/>
    <s v="Primaria"/>
    <x v="4"/>
    <x v="35"/>
    <s v="Rural"/>
    <s v="Masculino"/>
    <x v="0"/>
    <x v="2"/>
    <s v="LOS 3 AÑOS"/>
    <s v="SOLO 2023"/>
    <x v="55"/>
    <s v="6013312 Primaria"/>
  </r>
  <r>
    <n v="752"/>
    <x v="3"/>
    <s v="Primaria"/>
    <x v="0"/>
    <x v="35"/>
    <s v="Rural"/>
    <s v="Femenino"/>
    <x v="0"/>
    <x v="2"/>
    <s v="LOS 3 AÑOS"/>
    <s v="SOLO 2023"/>
    <x v="55"/>
    <s v="6013314 Primaria"/>
  </r>
  <r>
    <n v="753"/>
    <x v="3"/>
    <s v="Primaria"/>
    <x v="0"/>
    <x v="35"/>
    <s v="Rural"/>
    <s v="Femenino"/>
    <x v="0"/>
    <x v="2"/>
    <s v="LOS 3 AÑOS"/>
    <s v="SOLO 2023"/>
    <x v="55"/>
    <s v="6013314 Primaria"/>
  </r>
  <r>
    <n v="754"/>
    <x v="3"/>
    <s v="Primaria"/>
    <x v="0"/>
    <x v="35"/>
    <s v="Rural"/>
    <s v="Femenino"/>
    <x v="0"/>
    <x v="2"/>
    <s v="LOS 3 AÑOS"/>
    <s v="SOLO 2023"/>
    <x v="55"/>
    <s v="6013314 Primaria"/>
  </r>
  <r>
    <n v="755"/>
    <x v="3"/>
    <s v="Primaria"/>
    <x v="0"/>
    <x v="35"/>
    <s v="Rural"/>
    <s v="Masculino"/>
    <x v="0"/>
    <x v="2"/>
    <s v="LOS 3 AÑOS"/>
    <s v="SOLO 2023"/>
    <x v="55"/>
    <s v="6013314 Primaria"/>
  </r>
  <r>
    <n v="756"/>
    <x v="3"/>
    <s v="Primaria"/>
    <x v="0"/>
    <x v="35"/>
    <s v="Rural"/>
    <s v="Masculino"/>
    <x v="0"/>
    <x v="2"/>
    <s v="LOS 3 AÑOS"/>
    <s v="SOLO 2023"/>
    <x v="55"/>
    <s v="6013314 Primaria"/>
  </r>
  <r>
    <n v="757"/>
    <x v="3"/>
    <s v="Primaria"/>
    <x v="0"/>
    <x v="35"/>
    <s v="Rural"/>
    <s v="Femenino"/>
    <x v="0"/>
    <x v="2"/>
    <s v="LOS 3 AÑOS"/>
    <s v="SOLO 2023"/>
    <x v="55"/>
    <s v="6013314 Primaria"/>
  </r>
  <r>
    <n v="758"/>
    <x v="3"/>
    <s v="Primaria"/>
    <x v="0"/>
    <x v="35"/>
    <s v="Rural"/>
    <s v="Masculino"/>
    <x v="1"/>
    <x v="2"/>
    <s v="LOS 3 AÑOS"/>
    <s v="SOLO 2023"/>
    <x v="55"/>
    <s v="6013314 Primaria"/>
  </r>
  <r>
    <n v="759"/>
    <x v="3"/>
    <s v="Primaria"/>
    <x v="0"/>
    <x v="35"/>
    <s v="Rural"/>
    <s v="Masculino"/>
    <x v="0"/>
    <x v="2"/>
    <s v="LOS 3 AÑOS"/>
    <s v="SOLO 2023"/>
    <x v="55"/>
    <s v="6013314 Primaria"/>
  </r>
  <r>
    <n v="760"/>
    <x v="3"/>
    <s v="Primaria"/>
    <x v="0"/>
    <x v="35"/>
    <s v="Rural"/>
    <s v="Masculino"/>
    <x v="0"/>
    <x v="2"/>
    <s v="LOS 3 AÑOS"/>
    <s v="SOLO 2023"/>
    <x v="55"/>
    <s v="6013314 Primaria"/>
  </r>
  <r>
    <n v="761"/>
    <x v="3"/>
    <s v="Primaria"/>
    <x v="0"/>
    <x v="35"/>
    <s v="Rural"/>
    <s v="Femenino"/>
    <x v="0"/>
    <x v="2"/>
    <s v="LOS 3 AÑOS"/>
    <s v="SOLO 2023"/>
    <x v="55"/>
    <s v="6013314 Primaria"/>
  </r>
  <r>
    <n v="762"/>
    <x v="3"/>
    <s v="Primaria"/>
    <x v="0"/>
    <x v="35"/>
    <s v="Rural"/>
    <s v="Femenino"/>
    <x v="0"/>
    <x v="2"/>
    <s v="LOS 3 AÑOS"/>
    <s v="SOLO 2023"/>
    <x v="55"/>
    <s v="6013314 Primaria"/>
  </r>
  <r>
    <n v="763"/>
    <x v="3"/>
    <s v="Primaria"/>
    <x v="0"/>
    <x v="35"/>
    <s v="Rural"/>
    <s v="Masculino"/>
    <x v="0"/>
    <x v="2"/>
    <s v="LOS 3 AÑOS"/>
    <s v="SOLO 2023"/>
    <x v="55"/>
    <s v="6013314 Primaria"/>
  </r>
  <r>
    <n v="764"/>
    <x v="3"/>
    <s v="Primaria"/>
    <x v="0"/>
    <x v="35"/>
    <s v="Rural"/>
    <s v="Femenino"/>
    <x v="0"/>
    <x v="2"/>
    <s v="LOS 3 AÑOS"/>
    <s v="SOLO 2023"/>
    <x v="55"/>
    <s v="6013314 Primaria"/>
  </r>
  <r>
    <n v="765"/>
    <x v="3"/>
    <s v="Primaria"/>
    <x v="1"/>
    <x v="35"/>
    <s v="Rural"/>
    <s v="Femenino"/>
    <x v="0"/>
    <x v="2"/>
    <s v="LOS 3 AÑOS"/>
    <s v="SOLO 2023"/>
    <x v="55"/>
    <s v="6013316 Primaria"/>
  </r>
  <r>
    <n v="766"/>
    <x v="3"/>
    <s v="Primaria"/>
    <x v="1"/>
    <x v="35"/>
    <s v="Rural"/>
    <s v="Femenino"/>
    <x v="0"/>
    <x v="2"/>
    <s v="LOS 3 AÑOS"/>
    <s v="SOLO 2023"/>
    <x v="55"/>
    <s v="6013316 Primaria"/>
  </r>
  <r>
    <n v="767"/>
    <x v="3"/>
    <s v="Primaria"/>
    <x v="1"/>
    <x v="35"/>
    <s v="Rural"/>
    <s v="Masculino"/>
    <x v="0"/>
    <x v="2"/>
    <s v="LOS 3 AÑOS"/>
    <s v="SOLO 2023"/>
    <x v="55"/>
    <s v="6013316 Primaria"/>
  </r>
  <r>
    <n v="768"/>
    <x v="3"/>
    <s v="Primaria"/>
    <x v="1"/>
    <x v="35"/>
    <s v="Rural"/>
    <s v="Femenino"/>
    <x v="0"/>
    <x v="2"/>
    <s v="LOS 3 AÑOS"/>
    <s v="SOLO 2023"/>
    <x v="55"/>
    <s v="6013316 Primaria"/>
  </r>
  <r>
    <n v="769"/>
    <x v="3"/>
    <s v="Primaria"/>
    <x v="1"/>
    <x v="35"/>
    <s v="Rural"/>
    <s v="Femenino"/>
    <x v="0"/>
    <x v="2"/>
    <s v="LOS 3 AÑOS"/>
    <s v="SOLO 2023"/>
    <x v="55"/>
    <s v="6013316 Primaria"/>
  </r>
  <r>
    <n v="770"/>
    <x v="3"/>
    <s v="Primaria"/>
    <x v="1"/>
    <x v="35"/>
    <s v="Rural"/>
    <s v="Femenino"/>
    <x v="0"/>
    <x v="2"/>
    <s v="LOS 3 AÑOS"/>
    <s v="SOLO 2023"/>
    <x v="55"/>
    <s v="6013316 Primaria"/>
  </r>
  <r>
    <n v="771"/>
    <x v="3"/>
    <s v="Primaria"/>
    <x v="1"/>
    <x v="35"/>
    <s v="Rural"/>
    <s v="Femenino"/>
    <x v="0"/>
    <x v="2"/>
    <s v="LOS 3 AÑOS"/>
    <s v="SOLO 2023"/>
    <x v="55"/>
    <s v="6013316 Primaria"/>
  </r>
  <r>
    <n v="772"/>
    <x v="3"/>
    <s v="Primaria"/>
    <x v="1"/>
    <x v="35"/>
    <s v="Rural"/>
    <s v="Femenino"/>
    <x v="0"/>
    <x v="2"/>
    <s v="LOS 3 AÑOS"/>
    <s v="SOLO 2023"/>
    <x v="55"/>
    <s v="6013316 Primaria"/>
  </r>
  <r>
    <n v="773"/>
    <x v="3"/>
    <s v="Primaria"/>
    <x v="1"/>
    <x v="35"/>
    <s v="Rural"/>
    <s v="Masculino"/>
    <x v="0"/>
    <x v="2"/>
    <s v="LOS 3 AÑOS"/>
    <s v="SOLO 2023"/>
    <x v="55"/>
    <s v="6013316 Primaria"/>
  </r>
  <r>
    <n v="774"/>
    <x v="3"/>
    <s v="Primaria"/>
    <x v="1"/>
    <x v="35"/>
    <s v="Rural"/>
    <s v="Masculino"/>
    <x v="0"/>
    <x v="2"/>
    <s v="LOS 3 AÑOS"/>
    <s v="SOLO 2023"/>
    <x v="55"/>
    <s v="6013316 Primaria"/>
  </r>
  <r>
    <n v="775"/>
    <x v="3"/>
    <s v="Primaria"/>
    <x v="1"/>
    <x v="35"/>
    <s v="Rural"/>
    <s v="Masculino"/>
    <x v="0"/>
    <x v="2"/>
    <s v="LOS 3 AÑOS"/>
    <s v="SOLO 2023"/>
    <x v="55"/>
    <s v="6013316 Primaria"/>
  </r>
  <r>
    <n v="776"/>
    <x v="3"/>
    <s v="Primaria"/>
    <x v="1"/>
    <x v="35"/>
    <s v="Rural"/>
    <s v="Masculino"/>
    <x v="0"/>
    <x v="2"/>
    <s v="LOS 3 AÑOS"/>
    <s v="SOLO 2023"/>
    <x v="55"/>
    <s v="6013316 Primaria"/>
  </r>
  <r>
    <n v="777"/>
    <x v="3"/>
    <s v="Primaria"/>
    <x v="1"/>
    <x v="35"/>
    <s v="Rural"/>
    <s v="Masculino"/>
    <x v="0"/>
    <x v="2"/>
    <s v="LOS 3 AÑOS"/>
    <s v="SOLO 2023"/>
    <x v="55"/>
    <s v="6013316 Primaria"/>
  </r>
  <r>
    <n v="778"/>
    <x v="3"/>
    <s v="Primaria"/>
    <x v="1"/>
    <x v="35"/>
    <s v="Rural"/>
    <s v="Masculino"/>
    <x v="0"/>
    <x v="2"/>
    <s v="LOS 3 AÑOS"/>
    <s v="SOLO 2023"/>
    <x v="55"/>
    <s v="6013316 Primaria"/>
  </r>
  <r>
    <n v="779"/>
    <x v="3"/>
    <s v="Primaria"/>
    <x v="1"/>
    <x v="35"/>
    <s v="Rural"/>
    <s v="Masculino"/>
    <x v="0"/>
    <x v="2"/>
    <s v="LOS 3 AÑOS"/>
    <s v="SOLO 2023"/>
    <x v="55"/>
    <s v="6013316 Primaria"/>
  </r>
  <r>
    <n v="780"/>
    <x v="3"/>
    <s v="Primaria"/>
    <x v="1"/>
    <x v="35"/>
    <s v="Rural"/>
    <s v="Masculino"/>
    <x v="0"/>
    <x v="2"/>
    <s v="LOS 3 AÑOS"/>
    <s v="SOLO 2023"/>
    <x v="55"/>
    <s v="6013316 Primaria"/>
  </r>
  <r>
    <n v="781"/>
    <x v="3"/>
    <s v="Primaria"/>
    <x v="1"/>
    <x v="35"/>
    <s v="Rural"/>
    <s v="Femenino"/>
    <x v="0"/>
    <x v="2"/>
    <s v="LOS 3 AÑOS"/>
    <s v="SOLO 2023"/>
    <x v="55"/>
    <s v="6013316 Primaria"/>
  </r>
  <r>
    <n v="782"/>
    <x v="3"/>
    <s v="Primaria"/>
    <x v="1"/>
    <x v="35"/>
    <s v="Rural"/>
    <s v="Masculino"/>
    <x v="1"/>
    <x v="2"/>
    <s v="LOS 3 AÑOS"/>
    <s v="SOLO 2023"/>
    <x v="55"/>
    <s v="6013316 Primaria"/>
  </r>
  <r>
    <n v="783"/>
    <x v="3"/>
    <s v="Secundaria"/>
    <x v="2"/>
    <x v="35"/>
    <s v="Rural"/>
    <s v="Masculino"/>
    <x v="1"/>
    <x v="2"/>
    <s v="LOS 3 AÑOS"/>
    <s v="SOLO 2023"/>
    <x v="55"/>
    <s v="6013312 Secundaria"/>
  </r>
  <r>
    <n v="784"/>
    <x v="3"/>
    <s v="Secundaria"/>
    <x v="2"/>
    <x v="35"/>
    <s v="Rural"/>
    <s v="Masculino"/>
    <x v="1"/>
    <x v="2"/>
    <s v="LOS 3 AÑOS"/>
    <s v="SOLO 2023"/>
    <x v="55"/>
    <s v="6013312 Secundaria"/>
  </r>
  <r>
    <n v="785"/>
    <x v="3"/>
    <s v="Secundaria"/>
    <x v="2"/>
    <x v="35"/>
    <s v="Rural"/>
    <s v="Femenino"/>
    <x v="0"/>
    <x v="2"/>
    <s v="LOS 3 AÑOS"/>
    <s v="SOLO 2023"/>
    <x v="55"/>
    <s v="6013312 Secundaria"/>
  </r>
  <r>
    <n v="786"/>
    <x v="3"/>
    <s v="Secundaria"/>
    <x v="2"/>
    <x v="35"/>
    <s v="Rural"/>
    <s v="Femenino"/>
    <x v="0"/>
    <x v="2"/>
    <s v="LOS 3 AÑOS"/>
    <s v="SOLO 2023"/>
    <x v="55"/>
    <s v="6013312 Secundaria"/>
  </r>
  <r>
    <n v="787"/>
    <x v="3"/>
    <s v="Secundaria"/>
    <x v="2"/>
    <x v="35"/>
    <s v="Rural"/>
    <s v="Femenino"/>
    <x v="1"/>
    <x v="2"/>
    <s v="LOS 3 AÑOS"/>
    <s v="SOLO 2023"/>
    <x v="55"/>
    <s v="6013312 Secundaria"/>
  </r>
  <r>
    <n v="788"/>
    <x v="3"/>
    <s v="Secundaria"/>
    <x v="2"/>
    <x v="35"/>
    <s v="Rural"/>
    <s v="Femenino"/>
    <x v="1"/>
    <x v="2"/>
    <s v="LOS 3 AÑOS"/>
    <s v="SOLO 2023"/>
    <x v="55"/>
    <s v="6013312 Secundaria"/>
  </r>
  <r>
    <n v="789"/>
    <x v="3"/>
    <s v="Secundaria"/>
    <x v="2"/>
    <x v="35"/>
    <s v="Rural"/>
    <s v="Femenino"/>
    <x v="0"/>
    <x v="2"/>
    <s v="LOS 3 AÑOS"/>
    <s v="SOLO 2023"/>
    <x v="55"/>
    <s v="6013312 Secundaria"/>
  </r>
  <r>
    <n v="790"/>
    <x v="3"/>
    <s v="Secundaria"/>
    <x v="2"/>
    <x v="35"/>
    <s v="Rural"/>
    <s v="Masculino"/>
    <x v="0"/>
    <x v="2"/>
    <s v="LOS 3 AÑOS"/>
    <s v="SOLO 2023"/>
    <x v="55"/>
    <s v="6013312 Secundaria"/>
  </r>
  <r>
    <n v="791"/>
    <x v="3"/>
    <s v="Secundaria"/>
    <x v="2"/>
    <x v="35"/>
    <s v="Rural"/>
    <s v="Femenino"/>
    <x v="0"/>
    <x v="2"/>
    <s v="LOS 3 AÑOS"/>
    <s v="SOLO 2023"/>
    <x v="55"/>
    <s v="6013312 Secundaria"/>
  </r>
  <r>
    <n v="792"/>
    <x v="3"/>
    <s v="Secundaria"/>
    <x v="2"/>
    <x v="35"/>
    <s v="Rural"/>
    <s v="Masculino"/>
    <x v="0"/>
    <x v="2"/>
    <s v="LOS 3 AÑOS"/>
    <s v="SOLO 2023"/>
    <x v="55"/>
    <s v="6013312 Secundaria"/>
  </r>
  <r>
    <n v="793"/>
    <x v="3"/>
    <s v="Secundaria"/>
    <x v="2"/>
    <x v="35"/>
    <s v="Rural"/>
    <s v="Masculino"/>
    <x v="0"/>
    <x v="2"/>
    <s v="LOS 3 AÑOS"/>
    <s v="SOLO 2023"/>
    <x v="55"/>
    <s v="6013312 Secundaria"/>
  </r>
  <r>
    <n v="794"/>
    <x v="3"/>
    <s v="Secundaria"/>
    <x v="2"/>
    <x v="35"/>
    <s v="Rural"/>
    <s v="Femenino"/>
    <x v="0"/>
    <x v="2"/>
    <s v="LOS 3 AÑOS"/>
    <s v="SOLO 2023"/>
    <x v="55"/>
    <s v="6013312 Secundaria"/>
  </r>
  <r>
    <n v="795"/>
    <x v="3"/>
    <s v="Secundaria"/>
    <x v="2"/>
    <x v="35"/>
    <s v="Rural"/>
    <s v="Masculino"/>
    <x v="0"/>
    <x v="2"/>
    <s v="LOS 3 AÑOS"/>
    <s v="SOLO 2023"/>
    <x v="55"/>
    <s v="6013312 Secundaria"/>
  </r>
  <r>
    <n v="796"/>
    <x v="3"/>
    <s v="Secundaria"/>
    <x v="2"/>
    <x v="35"/>
    <s v="Rural"/>
    <s v="Masculino"/>
    <x v="0"/>
    <x v="2"/>
    <s v="LOS 3 AÑOS"/>
    <s v="SOLO 2023"/>
    <x v="55"/>
    <s v="6013312 Secundaria"/>
  </r>
  <r>
    <n v="797"/>
    <x v="3"/>
    <s v="Secundaria"/>
    <x v="3"/>
    <x v="35"/>
    <s v="Rural"/>
    <s v="Masculino"/>
    <x v="0"/>
    <x v="2"/>
    <s v="LOS 3 AÑOS"/>
    <s v="SOLO 2023"/>
    <x v="55"/>
    <s v="6013314 Secundaria"/>
  </r>
  <r>
    <n v="798"/>
    <x v="3"/>
    <s v="Secundaria"/>
    <x v="3"/>
    <x v="35"/>
    <s v="Rural"/>
    <s v="Femenino"/>
    <x v="0"/>
    <x v="2"/>
    <s v="LOS 3 AÑOS"/>
    <s v="SOLO 2023"/>
    <x v="55"/>
    <s v="6013314 Secundaria"/>
  </r>
  <r>
    <n v="799"/>
    <x v="3"/>
    <s v="Secundaria"/>
    <x v="3"/>
    <x v="35"/>
    <s v="Rural"/>
    <s v="Femenino"/>
    <x v="0"/>
    <x v="2"/>
    <s v="LOS 3 AÑOS"/>
    <s v="SOLO 2023"/>
    <x v="55"/>
    <s v="6013314 Secundaria"/>
  </r>
  <r>
    <n v="800"/>
    <x v="3"/>
    <s v="Secundaria"/>
    <x v="3"/>
    <x v="35"/>
    <s v="Rural"/>
    <s v="Femenino"/>
    <x v="0"/>
    <x v="2"/>
    <s v="LOS 3 AÑOS"/>
    <s v="SOLO 2023"/>
    <x v="55"/>
    <s v="6013314 Secundaria"/>
  </r>
  <r>
    <n v="801"/>
    <x v="3"/>
    <s v="Secundaria"/>
    <x v="3"/>
    <x v="35"/>
    <s v="Rural"/>
    <s v="Masculino"/>
    <x v="0"/>
    <x v="2"/>
    <s v="LOS 3 AÑOS"/>
    <s v="SOLO 2023"/>
    <x v="55"/>
    <s v="6013314 Secundaria"/>
  </r>
  <r>
    <n v="802"/>
    <x v="3"/>
    <s v="Secundaria"/>
    <x v="3"/>
    <x v="35"/>
    <s v="Rural"/>
    <s v="Femenino"/>
    <x v="0"/>
    <x v="2"/>
    <s v="LOS 3 AÑOS"/>
    <s v="SOLO 2023"/>
    <x v="55"/>
    <s v="6013314 Secundaria"/>
  </r>
  <r>
    <n v="803"/>
    <x v="3"/>
    <s v="Secundaria"/>
    <x v="3"/>
    <x v="35"/>
    <s v="Rural"/>
    <s v="Masculino"/>
    <x v="0"/>
    <x v="2"/>
    <s v="LOS 3 AÑOS"/>
    <s v="SOLO 2023"/>
    <x v="55"/>
    <s v="6013314 Secundaria"/>
  </r>
  <r>
    <n v="804"/>
    <x v="3"/>
    <s v="Secundaria"/>
    <x v="3"/>
    <x v="35"/>
    <s v="Rural"/>
    <s v="Masculino"/>
    <x v="0"/>
    <x v="2"/>
    <s v="LOS 3 AÑOS"/>
    <s v="SOLO 2023"/>
    <x v="55"/>
    <s v="6013314 Secundaria"/>
  </r>
  <r>
    <n v="805"/>
    <x v="3"/>
    <s v="Secundaria"/>
    <x v="3"/>
    <x v="35"/>
    <s v="Rural"/>
    <s v="Femenino"/>
    <x v="0"/>
    <x v="2"/>
    <s v="LOS 3 AÑOS"/>
    <s v="SOLO 2023"/>
    <x v="55"/>
    <s v="6013314 Secundaria"/>
  </r>
  <r>
    <n v="806"/>
    <x v="3"/>
    <s v="Secundaria"/>
    <x v="3"/>
    <x v="35"/>
    <s v="Rural"/>
    <s v="Femenino"/>
    <x v="0"/>
    <x v="2"/>
    <s v="LOS 3 AÑOS"/>
    <s v="SOLO 2023"/>
    <x v="55"/>
    <s v="6013314 Secundaria"/>
  </r>
  <r>
    <n v="807"/>
    <x v="3"/>
    <s v="Secundaria"/>
    <x v="3"/>
    <x v="35"/>
    <s v="Rural"/>
    <s v="Femenino"/>
    <x v="0"/>
    <x v="2"/>
    <s v="LOS 3 AÑOS"/>
    <s v="SOLO 2023"/>
    <x v="55"/>
    <s v="6013314 Secundaria"/>
  </r>
  <r>
    <n v="808"/>
    <x v="3"/>
    <s v="Secundaria"/>
    <x v="3"/>
    <x v="35"/>
    <s v="Rural"/>
    <s v="Femenino"/>
    <x v="0"/>
    <x v="2"/>
    <s v="LOS 3 AÑOS"/>
    <s v="SOLO 2023"/>
    <x v="55"/>
    <s v="6013314 Secundaria"/>
  </r>
  <r>
    <n v="809"/>
    <x v="3"/>
    <s v="Secundaria"/>
    <x v="3"/>
    <x v="35"/>
    <s v="Rural"/>
    <s v="Masculino"/>
    <x v="0"/>
    <x v="2"/>
    <s v="LOS 3 AÑOS"/>
    <s v="SOLO 2023"/>
    <x v="55"/>
    <s v="6013314 Secundaria"/>
  </r>
  <r>
    <n v="810"/>
    <x v="3"/>
    <s v="Secundaria"/>
    <x v="3"/>
    <x v="35"/>
    <s v="Rural"/>
    <s v="Femenino"/>
    <x v="0"/>
    <x v="2"/>
    <s v="LOS 3 AÑOS"/>
    <s v="SOLO 2023"/>
    <x v="55"/>
    <s v="6013314 Secundaria"/>
  </r>
  <r>
    <n v="811"/>
    <x v="3"/>
    <s v="Secundaria"/>
    <x v="3"/>
    <x v="35"/>
    <s v="Rural"/>
    <s v="Femenino"/>
    <x v="0"/>
    <x v="2"/>
    <s v="LOS 3 AÑOS"/>
    <s v="SOLO 2023"/>
    <x v="55"/>
    <s v="6013314 Secundaria"/>
  </r>
  <r>
    <n v="812"/>
    <x v="3"/>
    <s v="Primaria"/>
    <x v="4"/>
    <x v="39"/>
    <s v="Rural"/>
    <s v="Masculino"/>
    <x v="0"/>
    <x v="2"/>
    <s v="2023 Y 2024"/>
    <s v="PADD 2023 Y 2024"/>
    <x v="57"/>
    <s v="6010230 BARBARA D'ACHILLE2 Primaria"/>
  </r>
  <r>
    <n v="813"/>
    <x v="3"/>
    <s v="Primaria"/>
    <x v="4"/>
    <x v="39"/>
    <s v="Rural"/>
    <s v="Masculino"/>
    <x v="0"/>
    <x v="2"/>
    <s v="2023 Y 2024"/>
    <s v="PADD 2023 Y 2024"/>
    <x v="57"/>
    <s v="6010230 BARBARA D'ACHILLE2 Primaria"/>
  </r>
  <r>
    <n v="814"/>
    <x v="3"/>
    <s v="Primaria"/>
    <x v="4"/>
    <x v="39"/>
    <s v="Rural"/>
    <s v="Masculino"/>
    <x v="0"/>
    <x v="2"/>
    <s v="2023 Y 2024"/>
    <s v="PADD 2023 Y 2024"/>
    <x v="57"/>
    <s v="6010230 BARBARA D'ACHILLE2 Primaria"/>
  </r>
  <r>
    <n v="815"/>
    <x v="3"/>
    <s v="Primaria"/>
    <x v="4"/>
    <x v="39"/>
    <s v="Rural"/>
    <s v="Masculino"/>
    <x v="1"/>
    <x v="2"/>
    <s v="2023 Y 2024"/>
    <s v="PADD 2023 Y 2024"/>
    <x v="57"/>
    <s v="6010230 BARBARA D'ACHILLE2 Primaria"/>
  </r>
  <r>
    <n v="816"/>
    <x v="3"/>
    <s v="Primaria"/>
    <x v="0"/>
    <x v="39"/>
    <s v="Rural"/>
    <s v="Masculino"/>
    <x v="0"/>
    <x v="2"/>
    <s v="LOS 3 AÑOS"/>
    <s v="PADD 2023 Y 2024"/>
    <x v="57"/>
    <s v="6010230 BARBARA D'ACHILLE4 Primaria"/>
  </r>
  <r>
    <n v="817"/>
    <x v="3"/>
    <s v="Primaria"/>
    <x v="0"/>
    <x v="39"/>
    <s v="Rural"/>
    <s v="Femenino"/>
    <x v="0"/>
    <x v="2"/>
    <s v="LOS 3 AÑOS"/>
    <s v="PADD 2023 Y 2024"/>
    <x v="57"/>
    <s v="6010230 BARBARA D'ACHILLE4 Primaria"/>
  </r>
  <r>
    <n v="818"/>
    <x v="3"/>
    <s v="Primaria"/>
    <x v="0"/>
    <x v="39"/>
    <s v="Rural"/>
    <s v="Masculino"/>
    <x v="0"/>
    <x v="2"/>
    <s v="LOS 3 AÑOS"/>
    <s v="PADD 2023 Y 2024"/>
    <x v="57"/>
    <s v="6010230 BARBARA D'ACHILLE4 Primaria"/>
  </r>
  <r>
    <n v="819"/>
    <x v="3"/>
    <s v="Primaria"/>
    <x v="0"/>
    <x v="39"/>
    <s v="Rural"/>
    <s v="Masculino"/>
    <x v="0"/>
    <x v="2"/>
    <s v="LOS 3 AÑOS"/>
    <s v="PADD 2023 Y 2024"/>
    <x v="57"/>
    <s v="6010230 BARBARA D'ACHILLE4 Primaria"/>
  </r>
  <r>
    <n v="820"/>
    <x v="3"/>
    <s v="Primaria"/>
    <x v="0"/>
    <x v="39"/>
    <s v="Rural"/>
    <s v="Femenino"/>
    <x v="0"/>
    <x v="2"/>
    <s v="LOS 3 AÑOS"/>
    <s v="PADD 2023 Y 2024"/>
    <x v="57"/>
    <s v="6010230 BARBARA D'ACHILLE4 Primaria"/>
  </r>
  <r>
    <n v="821"/>
    <x v="3"/>
    <s v="Primaria"/>
    <x v="0"/>
    <x v="39"/>
    <s v="Rural"/>
    <s v="Masculino"/>
    <x v="0"/>
    <x v="2"/>
    <s v="LOS 3 AÑOS"/>
    <s v="PADD 2023 Y 2024"/>
    <x v="57"/>
    <s v="6010230 BARBARA D'ACHILLE4 Primaria"/>
  </r>
  <r>
    <n v="822"/>
    <x v="3"/>
    <s v="Primaria"/>
    <x v="0"/>
    <x v="39"/>
    <s v="Rural"/>
    <s v="Masculino"/>
    <x v="0"/>
    <x v="2"/>
    <s v="LOS 3 AÑOS"/>
    <s v="PADD 2023 Y 2024"/>
    <x v="57"/>
    <s v="6010230 BARBARA D'ACHILLE4 Primaria"/>
  </r>
  <r>
    <n v="823"/>
    <x v="3"/>
    <s v="Primaria"/>
    <x v="0"/>
    <x v="39"/>
    <s v="Rural"/>
    <s v="Masculino"/>
    <x v="0"/>
    <x v="2"/>
    <s v="LOS 3 AÑOS"/>
    <s v="PADD 2023 Y 2024"/>
    <x v="57"/>
    <s v="6010230 BARBARA D'ACHILLE4 Primaria"/>
  </r>
  <r>
    <n v="824"/>
    <x v="3"/>
    <s v="Primaria"/>
    <x v="1"/>
    <x v="39"/>
    <s v="Rural"/>
    <s v="Femenino"/>
    <x v="0"/>
    <x v="2"/>
    <s v="LOS 3 AÑOS"/>
    <s v="PADD 2023 Y 2024"/>
    <x v="57"/>
    <s v="6010230 BARBARA D'ACHILLE6 Primaria"/>
  </r>
  <r>
    <n v="825"/>
    <x v="3"/>
    <s v="Primaria"/>
    <x v="1"/>
    <x v="39"/>
    <s v="Rural"/>
    <s v="Femenino"/>
    <x v="1"/>
    <x v="2"/>
    <s v="LOS 3 AÑOS"/>
    <s v="PADD 2023 Y 2024"/>
    <x v="57"/>
    <s v="6010230 BARBARA D'ACHILLE6 Primaria"/>
  </r>
  <r>
    <n v="826"/>
    <x v="3"/>
    <s v="Primaria"/>
    <x v="1"/>
    <x v="39"/>
    <s v="Rural"/>
    <s v="Femenino"/>
    <x v="1"/>
    <x v="2"/>
    <s v="LOS 3 AÑOS"/>
    <s v="PADD 2023 Y 2024"/>
    <x v="57"/>
    <s v="6010230 BARBARA D'ACHILLE6 Primaria"/>
  </r>
  <r>
    <n v="827"/>
    <x v="3"/>
    <s v="Primaria"/>
    <x v="1"/>
    <x v="39"/>
    <s v="Rural"/>
    <s v="Masculino"/>
    <x v="0"/>
    <x v="2"/>
    <s v="LOS 3 AÑOS"/>
    <s v="PADD 2023 Y 2024"/>
    <x v="57"/>
    <s v="6010230 BARBARA D'ACHILLE6 Primaria"/>
  </r>
  <r>
    <n v="828"/>
    <x v="3"/>
    <s v="Primaria"/>
    <x v="1"/>
    <x v="39"/>
    <s v="Rural"/>
    <s v="Femenino"/>
    <x v="0"/>
    <x v="2"/>
    <s v="LOS 3 AÑOS"/>
    <s v="PADD 2023 Y 2024"/>
    <x v="57"/>
    <s v="6010230 BARBARA D'ACHILLE6 Primaria"/>
  </r>
  <r>
    <n v="829"/>
    <x v="3"/>
    <s v="Secundaria"/>
    <x v="2"/>
    <x v="39"/>
    <s v="Rural"/>
    <s v="Masculino"/>
    <x v="1"/>
    <x v="2"/>
    <s v="LOS 3 AÑOS"/>
    <s v="PADD 2023 Y 2024"/>
    <x v="57"/>
    <s v="6010230 BARBARA D'ACHILLE2 Secundaria"/>
  </r>
  <r>
    <n v="830"/>
    <x v="3"/>
    <s v="Secundaria"/>
    <x v="2"/>
    <x v="39"/>
    <s v="Rural"/>
    <s v="Femenino"/>
    <x v="1"/>
    <x v="2"/>
    <s v="LOS 3 AÑOS"/>
    <s v="PADD 2023 Y 2024"/>
    <x v="57"/>
    <s v="6010230 BARBARA D'ACHILLE2 Secundaria"/>
  </r>
  <r>
    <n v="831"/>
    <x v="3"/>
    <s v="Secundaria"/>
    <x v="2"/>
    <x v="39"/>
    <s v="Rural"/>
    <s v="Femenino"/>
    <x v="1"/>
    <x v="2"/>
    <s v="LOS 3 AÑOS"/>
    <s v="PADD 2023 Y 2024"/>
    <x v="57"/>
    <s v="6010230 BARBARA D'ACHILLE2 Secundaria"/>
  </r>
  <r>
    <n v="832"/>
    <x v="3"/>
    <s v="Secundaria"/>
    <x v="2"/>
    <x v="39"/>
    <s v="Rural"/>
    <s v="Masculino"/>
    <x v="1"/>
    <x v="2"/>
    <s v="LOS 3 AÑOS"/>
    <s v="PADD 2023 Y 2024"/>
    <x v="57"/>
    <s v="6010230 BARBARA D'ACHILLE2 Secundaria"/>
  </r>
  <r>
    <n v="833"/>
    <x v="3"/>
    <s v="Secundaria"/>
    <x v="2"/>
    <x v="39"/>
    <s v="Rural"/>
    <s v="Masculino"/>
    <x v="0"/>
    <x v="2"/>
    <s v="LOS 3 AÑOS"/>
    <s v="PADD 2023 Y 2024"/>
    <x v="57"/>
    <s v="6010230 BARBARA D'ACHILLE2 Secundaria"/>
  </r>
  <r>
    <n v="834"/>
    <x v="3"/>
    <s v="Secundaria"/>
    <x v="2"/>
    <x v="39"/>
    <s v="Rural"/>
    <s v="Femenino"/>
    <x v="1"/>
    <x v="2"/>
    <s v="LOS 3 AÑOS"/>
    <s v="PADD 2023 Y 2024"/>
    <x v="57"/>
    <s v="6010230 BARBARA D'ACHILLE2 Secundaria"/>
  </r>
  <r>
    <n v="835"/>
    <x v="3"/>
    <s v="Secundaria"/>
    <x v="2"/>
    <x v="39"/>
    <s v="Rural"/>
    <s v="Masculino"/>
    <x v="0"/>
    <x v="2"/>
    <s v="LOS 3 AÑOS"/>
    <s v="PADD 2023 Y 2024"/>
    <x v="57"/>
    <s v="6010230 BARBARA D'ACHILLE2 Secundaria"/>
  </r>
  <r>
    <n v="836"/>
    <x v="3"/>
    <s v="Secundaria"/>
    <x v="2"/>
    <x v="39"/>
    <s v="Rural"/>
    <s v="Femenino"/>
    <x v="1"/>
    <x v="2"/>
    <s v="LOS 3 AÑOS"/>
    <s v="PADD 2023 Y 2024"/>
    <x v="57"/>
    <s v="6010230 BARBARA D'ACHILLE2 Secundaria"/>
  </r>
  <r>
    <n v="837"/>
    <x v="3"/>
    <s v="Secundaria"/>
    <x v="2"/>
    <x v="39"/>
    <s v="Rural"/>
    <s v="Femenino"/>
    <x v="1"/>
    <x v="2"/>
    <s v="LOS 3 AÑOS"/>
    <s v="PADD 2023 Y 2024"/>
    <x v="57"/>
    <s v="6010230 BARBARA D'ACHILLE2 Secundaria"/>
  </r>
  <r>
    <n v="838"/>
    <x v="3"/>
    <s v="Secundaria"/>
    <x v="3"/>
    <x v="39"/>
    <s v="Rural"/>
    <s v="Femenino"/>
    <x v="1"/>
    <x v="2"/>
    <s v="LOS 3 AÑOS"/>
    <s v="PADD 2023 Y 2024"/>
    <x v="57"/>
    <s v="6010230 BARBARA D'ACHILLE4 Secundaria"/>
  </r>
  <r>
    <n v="839"/>
    <x v="3"/>
    <s v="Secundaria"/>
    <x v="3"/>
    <x v="39"/>
    <s v="Rural"/>
    <s v="Masculino"/>
    <x v="1"/>
    <x v="2"/>
    <s v="LOS 3 AÑOS"/>
    <s v="PADD 2023 Y 2024"/>
    <x v="57"/>
    <s v="6010230 BARBARA D'ACHILLE4 Secundaria"/>
  </r>
  <r>
    <n v="840"/>
    <x v="3"/>
    <s v="Secundaria"/>
    <x v="3"/>
    <x v="39"/>
    <s v="Rural"/>
    <s v="Masculino"/>
    <x v="0"/>
    <x v="2"/>
    <s v="LOS 3 AÑOS"/>
    <s v="PADD 2023 Y 2024"/>
    <x v="57"/>
    <s v="6010230 BARBARA D'ACHILLE4 Secundaria"/>
  </r>
  <r>
    <n v="841"/>
    <x v="3"/>
    <s v="Secundaria"/>
    <x v="3"/>
    <x v="39"/>
    <s v="Rural"/>
    <s v="Femenino"/>
    <x v="0"/>
    <x v="2"/>
    <s v="LOS 3 AÑOS"/>
    <s v="PADD 2023 Y 2024"/>
    <x v="57"/>
    <s v="6010230 BARBARA D'ACHILLE4 Secundaria"/>
  </r>
  <r>
    <n v="842"/>
    <x v="3"/>
    <s v="Secundaria"/>
    <x v="3"/>
    <x v="39"/>
    <s v="Rural"/>
    <s v="Femenino"/>
    <x v="1"/>
    <x v="2"/>
    <s v="LOS 3 AÑOS"/>
    <s v="PADD 2023 Y 2024"/>
    <x v="57"/>
    <s v="6010230 BARBARA D'ACHILLE4 Secundaria"/>
  </r>
  <r>
    <n v="843"/>
    <x v="3"/>
    <s v="Primaria"/>
    <x v="4"/>
    <x v="47"/>
    <s v="Rural"/>
    <s v="Femenino"/>
    <x v="1"/>
    <x v="2"/>
    <s v="LOS 3 AÑOS"/>
    <s v="PADD 2023 Y 2024"/>
    <x v="56"/>
    <s v="601332 Primaria"/>
  </r>
  <r>
    <n v="844"/>
    <x v="3"/>
    <s v="Primaria"/>
    <x v="4"/>
    <x v="47"/>
    <s v="Rural"/>
    <s v="Femenino"/>
    <x v="1"/>
    <x v="2"/>
    <s v="LOS 3 AÑOS"/>
    <s v="PADD 2023 Y 2024"/>
    <x v="56"/>
    <s v="601332 Primaria"/>
  </r>
  <r>
    <n v="845"/>
    <x v="3"/>
    <s v="Primaria"/>
    <x v="4"/>
    <x v="47"/>
    <s v="Rural"/>
    <s v="Femenino"/>
    <x v="0"/>
    <x v="2"/>
    <s v="LOS 3 AÑOS"/>
    <s v="PADD 2023 Y 2024"/>
    <x v="56"/>
    <s v="601332 Primaria"/>
  </r>
  <r>
    <n v="846"/>
    <x v="3"/>
    <s v="Primaria"/>
    <x v="4"/>
    <x v="47"/>
    <s v="Rural"/>
    <s v="Masculino"/>
    <x v="0"/>
    <x v="2"/>
    <s v="LOS 3 AÑOS"/>
    <s v="PADD 2023 Y 2024"/>
    <x v="56"/>
    <s v="601332 Primaria"/>
  </r>
  <r>
    <n v="847"/>
    <x v="3"/>
    <s v="Primaria"/>
    <x v="4"/>
    <x v="47"/>
    <s v="Rural"/>
    <s v="Femenino"/>
    <x v="0"/>
    <x v="2"/>
    <s v="LOS 3 AÑOS"/>
    <s v="PADD 2023 Y 2024"/>
    <x v="56"/>
    <s v="601332 Primaria"/>
  </r>
  <r>
    <n v="848"/>
    <x v="3"/>
    <s v="Primaria"/>
    <x v="4"/>
    <x v="47"/>
    <s v="Rural"/>
    <s v="Femenino"/>
    <x v="1"/>
    <x v="2"/>
    <s v="LOS 3 AÑOS"/>
    <s v="PADD 2023 Y 2024"/>
    <x v="56"/>
    <s v="601332 Primaria"/>
  </r>
  <r>
    <n v="849"/>
    <x v="3"/>
    <s v="Primaria"/>
    <x v="4"/>
    <x v="47"/>
    <s v="Rural"/>
    <s v="Masculino"/>
    <x v="0"/>
    <x v="2"/>
    <s v="LOS 3 AÑOS"/>
    <s v="PADD 2023 Y 2024"/>
    <x v="56"/>
    <s v="601332 Primaria"/>
  </r>
  <r>
    <n v="850"/>
    <x v="3"/>
    <s v="Primaria"/>
    <x v="4"/>
    <x v="47"/>
    <s v="Rural"/>
    <s v="Masculino"/>
    <x v="0"/>
    <x v="2"/>
    <s v="LOS 3 AÑOS"/>
    <s v="PADD 2023 Y 2024"/>
    <x v="56"/>
    <s v="601332 Primaria"/>
  </r>
  <r>
    <n v="851"/>
    <x v="3"/>
    <s v="Primaria"/>
    <x v="4"/>
    <x v="47"/>
    <s v="Rural"/>
    <s v="Masculino"/>
    <x v="1"/>
    <x v="2"/>
    <s v="LOS 3 AÑOS"/>
    <s v="PADD 2023 Y 2024"/>
    <x v="56"/>
    <s v="601332 Primaria"/>
  </r>
  <r>
    <n v="852"/>
    <x v="3"/>
    <s v="Primaria"/>
    <x v="4"/>
    <x v="47"/>
    <s v="Rural"/>
    <s v="Masculino"/>
    <x v="1"/>
    <x v="2"/>
    <s v="LOS 3 AÑOS"/>
    <s v="PADD 2023 Y 2024"/>
    <x v="56"/>
    <s v="601332 Primaria"/>
  </r>
  <r>
    <n v="853"/>
    <x v="3"/>
    <s v="Primaria"/>
    <x v="4"/>
    <x v="47"/>
    <s v="Rural"/>
    <s v="Femenino"/>
    <x v="0"/>
    <x v="2"/>
    <s v="LOS 3 AÑOS"/>
    <s v="PADD 2023 Y 2024"/>
    <x v="56"/>
    <s v="601332 Primaria"/>
  </r>
  <r>
    <n v="854"/>
    <x v="3"/>
    <s v="Primaria"/>
    <x v="4"/>
    <x v="47"/>
    <s v="Rural"/>
    <s v="Masculino"/>
    <x v="0"/>
    <x v="2"/>
    <s v="LOS 3 AÑOS"/>
    <s v="PADD 2023 Y 2024"/>
    <x v="56"/>
    <s v="601332 Primaria"/>
  </r>
  <r>
    <n v="855"/>
    <x v="3"/>
    <s v="Primaria"/>
    <x v="4"/>
    <x v="47"/>
    <s v="Rural"/>
    <s v="Femenino"/>
    <x v="0"/>
    <x v="2"/>
    <s v="LOS 3 AÑOS"/>
    <s v="PADD 2023 Y 2024"/>
    <x v="56"/>
    <s v="601332 Primaria"/>
  </r>
  <r>
    <n v="856"/>
    <x v="3"/>
    <s v="Primaria"/>
    <x v="4"/>
    <x v="47"/>
    <s v="Rural"/>
    <s v="Masculino"/>
    <x v="0"/>
    <x v="2"/>
    <s v="LOS 3 AÑOS"/>
    <s v="PADD 2023 Y 2024"/>
    <x v="56"/>
    <s v="601332 Primaria"/>
  </r>
  <r>
    <n v="857"/>
    <x v="3"/>
    <s v="Primaria"/>
    <x v="0"/>
    <x v="47"/>
    <s v="Rural"/>
    <s v="Femenino"/>
    <x v="0"/>
    <x v="2"/>
    <s v="2023 Y 2024"/>
    <s v="PADD 2023 Y 2024"/>
    <x v="56"/>
    <s v="601334 Primaria"/>
  </r>
  <r>
    <n v="858"/>
    <x v="3"/>
    <s v="Primaria"/>
    <x v="0"/>
    <x v="47"/>
    <s v="Rural"/>
    <s v="Masculino"/>
    <x v="0"/>
    <x v="2"/>
    <s v="2023 Y 2024"/>
    <s v="PADD 2023 Y 2024"/>
    <x v="56"/>
    <s v="601334 Primaria"/>
  </r>
  <r>
    <n v="859"/>
    <x v="3"/>
    <s v="Primaria"/>
    <x v="0"/>
    <x v="47"/>
    <s v="Rural"/>
    <s v="Masculino"/>
    <x v="0"/>
    <x v="2"/>
    <s v="2023 Y 2024"/>
    <s v="PADD 2023 Y 2024"/>
    <x v="56"/>
    <s v="601334 Primaria"/>
  </r>
  <r>
    <n v="860"/>
    <x v="3"/>
    <s v="Primaria"/>
    <x v="0"/>
    <x v="47"/>
    <s v="Rural"/>
    <s v="Masculino"/>
    <x v="0"/>
    <x v="2"/>
    <s v="2023 Y 2024"/>
    <s v="PADD 2023 Y 2024"/>
    <x v="56"/>
    <s v="601334 Primaria"/>
  </r>
  <r>
    <n v="861"/>
    <x v="3"/>
    <s v="Primaria"/>
    <x v="0"/>
    <x v="47"/>
    <s v="Rural"/>
    <s v="Femenino"/>
    <x v="0"/>
    <x v="2"/>
    <s v="2023 Y 2024"/>
    <s v="PADD 2023 Y 2024"/>
    <x v="56"/>
    <s v="601334 Primaria"/>
  </r>
  <r>
    <n v="862"/>
    <x v="3"/>
    <s v="Primaria"/>
    <x v="0"/>
    <x v="47"/>
    <s v="Rural"/>
    <s v="Femenino"/>
    <x v="0"/>
    <x v="2"/>
    <s v="2023 Y 2024"/>
    <s v="PADD 2023 Y 2024"/>
    <x v="56"/>
    <s v="601334 Primaria"/>
  </r>
  <r>
    <n v="863"/>
    <x v="3"/>
    <s v="Primaria"/>
    <x v="0"/>
    <x v="47"/>
    <s v="Rural"/>
    <s v="Femenino"/>
    <x v="0"/>
    <x v="2"/>
    <s v="2023 Y 2024"/>
    <s v="PADD 2023 Y 2024"/>
    <x v="56"/>
    <s v="601334 Primaria"/>
  </r>
  <r>
    <n v="864"/>
    <x v="3"/>
    <s v="Primaria"/>
    <x v="0"/>
    <x v="47"/>
    <s v="Rural"/>
    <s v="Femenino"/>
    <x v="0"/>
    <x v="2"/>
    <s v="2023 Y 2024"/>
    <s v="PADD 2023 Y 2024"/>
    <x v="56"/>
    <s v="601334 Primaria"/>
  </r>
  <r>
    <n v="865"/>
    <x v="3"/>
    <s v="Primaria"/>
    <x v="0"/>
    <x v="47"/>
    <s v="Rural"/>
    <s v="Femenino"/>
    <x v="0"/>
    <x v="2"/>
    <s v="2023 Y 2024"/>
    <s v="PADD 2023 Y 2024"/>
    <x v="56"/>
    <s v="601334 Primaria"/>
  </r>
  <r>
    <n v="866"/>
    <x v="3"/>
    <s v="Primaria"/>
    <x v="0"/>
    <x v="47"/>
    <s v="Rural"/>
    <s v="Femenino"/>
    <x v="0"/>
    <x v="2"/>
    <s v="2023 Y 2024"/>
    <s v="PADD 2023 Y 2024"/>
    <x v="56"/>
    <s v="601334 Primaria"/>
  </r>
  <r>
    <n v="867"/>
    <x v="3"/>
    <s v="Primaria"/>
    <x v="0"/>
    <x v="47"/>
    <s v="Rural"/>
    <s v="Femenino"/>
    <x v="0"/>
    <x v="2"/>
    <s v="2023 Y 2024"/>
    <s v="PADD 2023 Y 2024"/>
    <x v="56"/>
    <s v="601334 Primaria"/>
  </r>
  <r>
    <n v="868"/>
    <x v="3"/>
    <s v="Primaria"/>
    <x v="0"/>
    <x v="47"/>
    <s v="Rural"/>
    <s v="Femenino"/>
    <x v="0"/>
    <x v="2"/>
    <s v="2023 Y 2024"/>
    <s v="PADD 2023 Y 2024"/>
    <x v="56"/>
    <s v="601334 Primaria"/>
  </r>
  <r>
    <n v="869"/>
    <x v="3"/>
    <s v="Primaria"/>
    <x v="0"/>
    <x v="47"/>
    <s v="Rural"/>
    <s v="Masculino"/>
    <x v="0"/>
    <x v="2"/>
    <s v="2023 Y 2024"/>
    <s v="PADD 2023 Y 2024"/>
    <x v="56"/>
    <s v="601334 Primaria"/>
  </r>
  <r>
    <n v="870"/>
    <x v="3"/>
    <s v="Primaria"/>
    <x v="0"/>
    <x v="47"/>
    <s v="Rural"/>
    <s v="Masculino"/>
    <x v="0"/>
    <x v="2"/>
    <s v="2023 Y 2024"/>
    <s v="PADD 2023 Y 2024"/>
    <x v="56"/>
    <s v="601334 Primaria"/>
  </r>
  <r>
    <n v="871"/>
    <x v="3"/>
    <s v="Primaria"/>
    <x v="0"/>
    <x v="47"/>
    <s v="Rural"/>
    <s v="Femenino"/>
    <x v="0"/>
    <x v="2"/>
    <s v="2023 Y 2024"/>
    <s v="PADD 2023 Y 2024"/>
    <x v="56"/>
    <s v="601334 Primaria"/>
  </r>
  <r>
    <n v="872"/>
    <x v="3"/>
    <s v="Primaria"/>
    <x v="0"/>
    <x v="47"/>
    <s v="Rural"/>
    <s v="Masculino"/>
    <x v="0"/>
    <x v="2"/>
    <s v="2023 Y 2024"/>
    <s v="PADD 2023 Y 2024"/>
    <x v="56"/>
    <s v="601334 Primaria"/>
  </r>
  <r>
    <n v="873"/>
    <x v="3"/>
    <s v="Primaria"/>
    <x v="1"/>
    <x v="47"/>
    <s v="Rural"/>
    <s v="Masculino"/>
    <x v="0"/>
    <x v="2"/>
    <s v="LOS 3 AÑOS"/>
    <s v="PADD 2023 Y 2024"/>
    <x v="56"/>
    <s v="601336 Primaria"/>
  </r>
  <r>
    <n v="874"/>
    <x v="3"/>
    <s v="Primaria"/>
    <x v="1"/>
    <x v="47"/>
    <s v="Rural"/>
    <s v="Femenino"/>
    <x v="0"/>
    <x v="2"/>
    <s v="LOS 3 AÑOS"/>
    <s v="PADD 2023 Y 2024"/>
    <x v="56"/>
    <s v="601336 Primaria"/>
  </r>
  <r>
    <n v="875"/>
    <x v="3"/>
    <s v="Primaria"/>
    <x v="1"/>
    <x v="47"/>
    <s v="Rural"/>
    <s v="Masculino"/>
    <x v="0"/>
    <x v="2"/>
    <s v="LOS 3 AÑOS"/>
    <s v="PADD 2023 Y 2024"/>
    <x v="56"/>
    <s v="601336 Primaria"/>
  </r>
  <r>
    <n v="876"/>
    <x v="3"/>
    <s v="Primaria"/>
    <x v="1"/>
    <x v="47"/>
    <s v="Rural"/>
    <s v="Masculino"/>
    <x v="0"/>
    <x v="2"/>
    <s v="LOS 3 AÑOS"/>
    <s v="PADD 2023 Y 2024"/>
    <x v="56"/>
    <s v="601336 Primaria"/>
  </r>
  <r>
    <n v="877"/>
    <x v="3"/>
    <s v="Primaria"/>
    <x v="1"/>
    <x v="47"/>
    <s v="Rural"/>
    <s v="Masculino"/>
    <x v="0"/>
    <x v="2"/>
    <s v="LOS 3 AÑOS"/>
    <s v="PADD 2023 Y 2024"/>
    <x v="56"/>
    <s v="601336 Primaria"/>
  </r>
  <r>
    <n v="878"/>
    <x v="3"/>
    <s v="Primaria"/>
    <x v="1"/>
    <x v="47"/>
    <s v="Rural"/>
    <s v="Femenino"/>
    <x v="0"/>
    <x v="2"/>
    <s v="LOS 3 AÑOS"/>
    <s v="PADD 2023 Y 2024"/>
    <x v="56"/>
    <s v="601336 Primaria"/>
  </r>
  <r>
    <n v="879"/>
    <x v="3"/>
    <s v="Primaria"/>
    <x v="1"/>
    <x v="47"/>
    <s v="Rural"/>
    <s v="Femenino"/>
    <x v="0"/>
    <x v="2"/>
    <s v="LOS 3 AÑOS"/>
    <s v="PADD 2023 Y 2024"/>
    <x v="56"/>
    <s v="601336 Primaria"/>
  </r>
  <r>
    <n v="880"/>
    <x v="3"/>
    <s v="Primaria"/>
    <x v="1"/>
    <x v="47"/>
    <s v="Rural"/>
    <s v="Femenino"/>
    <x v="0"/>
    <x v="2"/>
    <s v="LOS 3 AÑOS"/>
    <s v="PADD 2023 Y 2024"/>
    <x v="56"/>
    <s v="601336 Primaria"/>
  </r>
  <r>
    <n v="881"/>
    <x v="3"/>
    <s v="Primaria"/>
    <x v="1"/>
    <x v="47"/>
    <s v="Rural"/>
    <s v="Masculino"/>
    <x v="0"/>
    <x v="2"/>
    <s v="LOS 3 AÑOS"/>
    <s v="PADD 2023 Y 2024"/>
    <x v="56"/>
    <s v="601336 Primaria"/>
  </r>
  <r>
    <n v="882"/>
    <x v="3"/>
    <s v="Primaria"/>
    <x v="1"/>
    <x v="47"/>
    <s v="Rural"/>
    <s v="Masculino"/>
    <x v="0"/>
    <x v="2"/>
    <s v="LOS 3 AÑOS"/>
    <s v="PADD 2023 Y 2024"/>
    <x v="56"/>
    <s v="601336 Primaria"/>
  </r>
  <r>
    <n v="883"/>
    <x v="3"/>
    <s v="Primaria"/>
    <x v="1"/>
    <x v="47"/>
    <s v="Rural"/>
    <s v="Masculino"/>
    <x v="0"/>
    <x v="2"/>
    <s v="LOS 3 AÑOS"/>
    <s v="PADD 2023 Y 2024"/>
    <x v="56"/>
    <s v="601336 Primaria"/>
  </r>
  <r>
    <n v="884"/>
    <x v="3"/>
    <s v="Primaria"/>
    <x v="1"/>
    <x v="47"/>
    <s v="Rural"/>
    <s v="Femenino"/>
    <x v="0"/>
    <x v="2"/>
    <s v="LOS 3 AÑOS"/>
    <s v="PADD 2023 Y 2024"/>
    <x v="56"/>
    <s v="601336 Primaria"/>
  </r>
  <r>
    <n v="885"/>
    <x v="3"/>
    <s v="Primaria"/>
    <x v="1"/>
    <x v="47"/>
    <s v="Rural"/>
    <s v="Masculino"/>
    <x v="0"/>
    <x v="2"/>
    <s v="LOS 3 AÑOS"/>
    <s v="PADD 2023 Y 2024"/>
    <x v="56"/>
    <s v="601336 Primaria"/>
  </r>
  <r>
    <n v="886"/>
    <x v="3"/>
    <s v="Primaria"/>
    <x v="1"/>
    <x v="47"/>
    <s v="Rural"/>
    <s v="Masculino"/>
    <x v="0"/>
    <x v="2"/>
    <s v="LOS 3 AÑOS"/>
    <s v="PADD 2023 Y 2024"/>
    <x v="56"/>
    <s v="601336 Primaria"/>
  </r>
  <r>
    <n v="887"/>
    <x v="3"/>
    <s v="Primaria"/>
    <x v="1"/>
    <x v="47"/>
    <s v="Rural"/>
    <s v="Femenino"/>
    <x v="0"/>
    <x v="2"/>
    <s v="LOS 3 AÑOS"/>
    <s v="PADD 2023 Y 2024"/>
    <x v="56"/>
    <s v="601336 Primaria"/>
  </r>
  <r>
    <n v="888"/>
    <x v="3"/>
    <s v="Primaria"/>
    <x v="1"/>
    <x v="47"/>
    <s v="Rural"/>
    <s v="Femenino"/>
    <x v="0"/>
    <x v="2"/>
    <s v="LOS 3 AÑOS"/>
    <s v="PADD 2023 Y 2024"/>
    <x v="56"/>
    <s v="601336 Primaria"/>
  </r>
  <r>
    <n v="889"/>
    <x v="3"/>
    <s v="Primaria"/>
    <x v="1"/>
    <x v="47"/>
    <s v="Rural"/>
    <s v="Femenino"/>
    <x v="0"/>
    <x v="2"/>
    <s v="LOS 3 AÑOS"/>
    <s v="PADD 2023 Y 2024"/>
    <x v="56"/>
    <s v="601336 Primaria"/>
  </r>
  <r>
    <n v="890"/>
    <x v="3"/>
    <s v="Primaria"/>
    <x v="1"/>
    <x v="47"/>
    <s v="Rural"/>
    <s v="Masculino"/>
    <x v="0"/>
    <x v="2"/>
    <s v="LOS 3 AÑOS"/>
    <s v="PADD 2023 Y 2024"/>
    <x v="56"/>
    <s v="601336 Primaria"/>
  </r>
  <r>
    <n v="891"/>
    <x v="3"/>
    <s v="Primaria"/>
    <x v="1"/>
    <x v="47"/>
    <s v="Rural"/>
    <s v="Masculino"/>
    <x v="0"/>
    <x v="2"/>
    <s v="LOS 3 AÑOS"/>
    <s v="PADD 2023 Y 2024"/>
    <x v="56"/>
    <s v="601336 Primaria"/>
  </r>
  <r>
    <n v="892"/>
    <x v="3"/>
    <s v="Primaria"/>
    <x v="1"/>
    <x v="47"/>
    <s v="Rural"/>
    <s v="Masculino"/>
    <x v="0"/>
    <x v="2"/>
    <s v="LOS 3 AÑOS"/>
    <s v="PADD 2023 Y 2024"/>
    <x v="56"/>
    <s v="601336 Primaria"/>
  </r>
  <r>
    <n v="893"/>
    <x v="3"/>
    <s v="Primaria"/>
    <x v="1"/>
    <x v="47"/>
    <s v="Rural"/>
    <s v="Masculino"/>
    <x v="0"/>
    <x v="2"/>
    <s v="LOS 3 AÑOS"/>
    <s v="PADD 2023 Y 2024"/>
    <x v="56"/>
    <s v="601336 Primaria"/>
  </r>
  <r>
    <n v="894"/>
    <x v="3"/>
    <s v="Primaria"/>
    <x v="1"/>
    <x v="47"/>
    <s v="Rural"/>
    <s v="Masculino"/>
    <x v="0"/>
    <x v="2"/>
    <s v="LOS 3 AÑOS"/>
    <s v="PADD 2023 Y 2024"/>
    <x v="56"/>
    <s v="601336 Primaria"/>
  </r>
  <r>
    <n v="895"/>
    <x v="3"/>
    <s v="Primaria"/>
    <x v="1"/>
    <x v="47"/>
    <s v="Rural"/>
    <s v="Masculino"/>
    <x v="1"/>
    <x v="2"/>
    <s v="LOS 3 AÑOS"/>
    <s v="PADD 2023 Y 2024"/>
    <x v="56"/>
    <s v="601336 Primaria"/>
  </r>
  <r>
    <n v="896"/>
    <x v="3"/>
    <s v="Primaria"/>
    <x v="1"/>
    <x v="47"/>
    <s v="Rural"/>
    <s v="Masculino"/>
    <x v="1"/>
    <x v="2"/>
    <s v="LOS 3 AÑOS"/>
    <s v="PADD 2023 Y 2024"/>
    <x v="56"/>
    <s v="601336 Primaria"/>
  </r>
  <r>
    <n v="897"/>
    <x v="3"/>
    <s v="Secundaria"/>
    <x v="2"/>
    <x v="47"/>
    <s v="Rural"/>
    <s v="Femenino"/>
    <x v="1"/>
    <x v="2"/>
    <s v="LOS 3 AÑOS"/>
    <s v="PADD 2023 Y 2024"/>
    <x v="56"/>
    <s v="601332 Secundaria"/>
  </r>
  <r>
    <n v="898"/>
    <x v="3"/>
    <s v="Secundaria"/>
    <x v="2"/>
    <x v="47"/>
    <s v="Rural"/>
    <s v="Femenino"/>
    <x v="1"/>
    <x v="2"/>
    <s v="LOS 3 AÑOS"/>
    <s v="PADD 2023 Y 2024"/>
    <x v="56"/>
    <s v="601332 Secundaria"/>
  </r>
  <r>
    <n v="899"/>
    <x v="3"/>
    <s v="Secundaria"/>
    <x v="2"/>
    <x v="47"/>
    <s v="Rural"/>
    <s v="Femenino"/>
    <x v="1"/>
    <x v="2"/>
    <s v="LOS 3 AÑOS"/>
    <s v="PADD 2023 Y 2024"/>
    <x v="56"/>
    <s v="601332 Secundaria"/>
  </r>
  <r>
    <n v="900"/>
    <x v="3"/>
    <s v="Secundaria"/>
    <x v="2"/>
    <x v="47"/>
    <s v="Rural"/>
    <s v="Masculino"/>
    <x v="1"/>
    <x v="2"/>
    <s v="LOS 3 AÑOS"/>
    <s v="PADD 2023 Y 2024"/>
    <x v="56"/>
    <s v="601332 Secundaria"/>
  </r>
  <r>
    <n v="901"/>
    <x v="3"/>
    <s v="Secundaria"/>
    <x v="2"/>
    <x v="47"/>
    <s v="Rural"/>
    <s v="Femenino"/>
    <x v="1"/>
    <x v="2"/>
    <s v="LOS 3 AÑOS"/>
    <s v="PADD 2023 Y 2024"/>
    <x v="56"/>
    <s v="601332 Secundaria"/>
  </r>
  <r>
    <n v="902"/>
    <x v="3"/>
    <s v="Secundaria"/>
    <x v="2"/>
    <x v="47"/>
    <s v="Rural"/>
    <s v="Masculino"/>
    <x v="1"/>
    <x v="2"/>
    <s v="LOS 3 AÑOS"/>
    <s v="PADD 2023 Y 2024"/>
    <x v="56"/>
    <s v="601332 Secundaria"/>
  </r>
  <r>
    <n v="903"/>
    <x v="3"/>
    <s v="Secundaria"/>
    <x v="2"/>
    <x v="47"/>
    <s v="Rural"/>
    <s v="Femenino"/>
    <x v="1"/>
    <x v="2"/>
    <s v="LOS 3 AÑOS"/>
    <s v="PADD 2023 Y 2024"/>
    <x v="56"/>
    <s v="601332 Secundaria"/>
  </r>
  <r>
    <n v="904"/>
    <x v="3"/>
    <s v="Secundaria"/>
    <x v="2"/>
    <x v="47"/>
    <s v="Rural"/>
    <s v="Masculino"/>
    <x v="1"/>
    <x v="2"/>
    <s v="LOS 3 AÑOS"/>
    <s v="PADD 2023 Y 2024"/>
    <x v="56"/>
    <s v="601332 Secundaria"/>
  </r>
  <r>
    <n v="905"/>
    <x v="3"/>
    <s v="Secundaria"/>
    <x v="2"/>
    <x v="47"/>
    <s v="Rural"/>
    <s v="Femenino"/>
    <x v="1"/>
    <x v="2"/>
    <s v="LOS 3 AÑOS"/>
    <s v="PADD 2023 Y 2024"/>
    <x v="56"/>
    <s v="601332 Secundaria"/>
  </r>
  <r>
    <n v="906"/>
    <x v="3"/>
    <s v="Secundaria"/>
    <x v="2"/>
    <x v="47"/>
    <s v="Rural"/>
    <s v="Femenino"/>
    <x v="1"/>
    <x v="2"/>
    <s v="LOS 3 AÑOS"/>
    <s v="PADD 2023 Y 2024"/>
    <x v="56"/>
    <s v="601332 Secundaria"/>
  </r>
  <r>
    <n v="907"/>
    <x v="3"/>
    <s v="Secundaria"/>
    <x v="2"/>
    <x v="47"/>
    <s v="Rural"/>
    <s v="Femenino"/>
    <x v="1"/>
    <x v="2"/>
    <s v="LOS 3 AÑOS"/>
    <s v="PADD 2023 Y 2024"/>
    <x v="56"/>
    <s v="601332 Secundaria"/>
  </r>
  <r>
    <n v="908"/>
    <x v="3"/>
    <s v="Secundaria"/>
    <x v="2"/>
    <x v="47"/>
    <s v="Rural"/>
    <s v="Femenino"/>
    <x v="1"/>
    <x v="2"/>
    <s v="LOS 3 AÑOS"/>
    <s v="PADD 2023 Y 2024"/>
    <x v="56"/>
    <s v="601332 Secundaria"/>
  </r>
  <r>
    <n v="909"/>
    <x v="3"/>
    <s v="Secundaria"/>
    <x v="2"/>
    <x v="47"/>
    <s v="Rural"/>
    <s v="Masculino"/>
    <x v="1"/>
    <x v="2"/>
    <s v="LOS 3 AÑOS"/>
    <s v="PADD 2023 Y 2024"/>
    <x v="56"/>
    <s v="601332 Secundaria"/>
  </r>
  <r>
    <n v="910"/>
    <x v="3"/>
    <s v="Secundaria"/>
    <x v="2"/>
    <x v="47"/>
    <s v="Rural"/>
    <s v="Masculino"/>
    <x v="1"/>
    <x v="2"/>
    <s v="LOS 3 AÑOS"/>
    <s v="PADD 2023 Y 2024"/>
    <x v="56"/>
    <s v="601332 Secundaria"/>
  </r>
  <r>
    <n v="911"/>
    <x v="3"/>
    <s v="Secundaria"/>
    <x v="2"/>
    <x v="47"/>
    <s v="Rural"/>
    <s v="Femenino"/>
    <x v="1"/>
    <x v="2"/>
    <s v="LOS 3 AÑOS"/>
    <s v="PADD 2023 Y 2024"/>
    <x v="56"/>
    <s v="601332 Secundaria"/>
  </r>
  <r>
    <n v="912"/>
    <x v="3"/>
    <s v="Secundaria"/>
    <x v="2"/>
    <x v="47"/>
    <s v="Rural"/>
    <s v="Masculino"/>
    <x v="1"/>
    <x v="2"/>
    <s v="LOS 3 AÑOS"/>
    <s v="PADD 2023 Y 2024"/>
    <x v="56"/>
    <s v="601332 Secundaria"/>
  </r>
  <r>
    <n v="913"/>
    <x v="3"/>
    <s v="Secundaria"/>
    <x v="2"/>
    <x v="47"/>
    <s v="Rural"/>
    <s v="Femenino"/>
    <x v="1"/>
    <x v="2"/>
    <s v="LOS 3 AÑOS"/>
    <s v="PADD 2023 Y 2024"/>
    <x v="56"/>
    <s v="601332 Secundaria"/>
  </r>
  <r>
    <n v="914"/>
    <x v="3"/>
    <s v="Secundaria"/>
    <x v="2"/>
    <x v="47"/>
    <s v="Rural"/>
    <s v="Femenino"/>
    <x v="1"/>
    <x v="2"/>
    <s v="LOS 3 AÑOS"/>
    <s v="PADD 2023 Y 2024"/>
    <x v="56"/>
    <s v="601332 Secundaria"/>
  </r>
  <r>
    <n v="915"/>
    <x v="3"/>
    <s v="Secundaria"/>
    <x v="2"/>
    <x v="47"/>
    <s v="Rural"/>
    <s v="Masculino"/>
    <x v="1"/>
    <x v="2"/>
    <s v="LOS 3 AÑOS"/>
    <s v="PADD 2023 Y 2024"/>
    <x v="56"/>
    <s v="601332 Secundaria"/>
  </r>
  <r>
    <n v="916"/>
    <x v="3"/>
    <s v="Secundaria"/>
    <x v="2"/>
    <x v="47"/>
    <s v="Rural"/>
    <s v="Femenino"/>
    <x v="1"/>
    <x v="2"/>
    <s v="LOS 3 AÑOS"/>
    <s v="PADD 2023 Y 2024"/>
    <x v="56"/>
    <s v="601332 Secundaria"/>
  </r>
  <r>
    <n v="917"/>
    <x v="3"/>
    <s v="Secundaria"/>
    <x v="2"/>
    <x v="47"/>
    <s v="Rural"/>
    <s v="Masculino"/>
    <x v="1"/>
    <x v="2"/>
    <s v="LOS 3 AÑOS"/>
    <s v="PADD 2023 Y 2024"/>
    <x v="56"/>
    <s v="601332 Secundaria"/>
  </r>
  <r>
    <n v="918"/>
    <x v="3"/>
    <s v="Secundaria"/>
    <x v="2"/>
    <x v="47"/>
    <s v="Rural"/>
    <s v="Masculino"/>
    <x v="1"/>
    <x v="2"/>
    <s v="LOS 3 AÑOS"/>
    <s v="PADD 2023 Y 2024"/>
    <x v="56"/>
    <s v="601332 Secundaria"/>
  </r>
  <r>
    <n v="919"/>
    <x v="3"/>
    <s v="Secundaria"/>
    <x v="3"/>
    <x v="47"/>
    <s v="Rural"/>
    <s v="Masculino"/>
    <x v="1"/>
    <x v="2"/>
    <s v="LOS 3 AÑOS"/>
    <s v="PADD 2023 Y 2024"/>
    <x v="56"/>
    <s v="601334 Secundaria"/>
  </r>
  <r>
    <n v="920"/>
    <x v="3"/>
    <s v="Secundaria"/>
    <x v="3"/>
    <x v="47"/>
    <s v="Rural"/>
    <s v="Femenino"/>
    <x v="1"/>
    <x v="2"/>
    <s v="LOS 3 AÑOS"/>
    <s v="PADD 2023 Y 2024"/>
    <x v="56"/>
    <s v="601334 Secundaria"/>
  </r>
  <r>
    <n v="921"/>
    <x v="3"/>
    <s v="Secundaria"/>
    <x v="3"/>
    <x v="47"/>
    <s v="Rural"/>
    <s v="Masculino"/>
    <x v="1"/>
    <x v="2"/>
    <s v="LOS 3 AÑOS"/>
    <s v="PADD 2023 Y 2024"/>
    <x v="56"/>
    <s v="601334 Secundaria"/>
  </r>
  <r>
    <n v="922"/>
    <x v="3"/>
    <s v="Secundaria"/>
    <x v="3"/>
    <x v="47"/>
    <s v="Rural"/>
    <s v="Masculino"/>
    <x v="1"/>
    <x v="2"/>
    <s v="LOS 3 AÑOS"/>
    <s v="PADD 2023 Y 2024"/>
    <x v="56"/>
    <s v="601334 Secundaria"/>
  </r>
  <r>
    <n v="923"/>
    <x v="3"/>
    <s v="Secundaria"/>
    <x v="3"/>
    <x v="47"/>
    <s v="Rural"/>
    <s v="Masculino"/>
    <x v="1"/>
    <x v="2"/>
    <s v="LOS 3 AÑOS"/>
    <s v="PADD 2023 Y 2024"/>
    <x v="56"/>
    <s v="601334 Secundaria"/>
  </r>
  <r>
    <n v="924"/>
    <x v="3"/>
    <s v="Secundaria"/>
    <x v="3"/>
    <x v="47"/>
    <s v="Rural"/>
    <s v="Masculino"/>
    <x v="1"/>
    <x v="2"/>
    <s v="LOS 3 AÑOS"/>
    <s v="PADD 2023 Y 2024"/>
    <x v="56"/>
    <s v="601334 Secundaria"/>
  </r>
  <r>
    <n v="925"/>
    <x v="3"/>
    <s v="Secundaria"/>
    <x v="3"/>
    <x v="47"/>
    <s v="Rural"/>
    <s v="Femenino"/>
    <x v="1"/>
    <x v="2"/>
    <s v="LOS 3 AÑOS"/>
    <s v="PADD 2023 Y 2024"/>
    <x v="56"/>
    <s v="601334 Secundaria"/>
  </r>
  <r>
    <n v="926"/>
    <x v="3"/>
    <s v="Secundaria"/>
    <x v="3"/>
    <x v="47"/>
    <s v="Rural"/>
    <s v="Femenino"/>
    <x v="0"/>
    <x v="2"/>
    <s v="LOS 3 AÑOS"/>
    <s v="PADD 2023 Y 2024"/>
    <x v="56"/>
    <s v="601334 Secundaria"/>
  </r>
  <r>
    <n v="927"/>
    <x v="3"/>
    <s v="Secundaria"/>
    <x v="3"/>
    <x v="47"/>
    <s v="Rural"/>
    <s v="Femenino"/>
    <x v="1"/>
    <x v="2"/>
    <s v="LOS 3 AÑOS"/>
    <s v="PADD 2023 Y 2024"/>
    <x v="56"/>
    <s v="601334 Secundaria"/>
  </r>
  <r>
    <n v="928"/>
    <x v="3"/>
    <s v="Secundaria"/>
    <x v="3"/>
    <x v="47"/>
    <s v="Rural"/>
    <s v="Femenino"/>
    <x v="1"/>
    <x v="2"/>
    <s v="LOS 3 AÑOS"/>
    <s v="PADD 2023 Y 2024"/>
    <x v="56"/>
    <s v="601334 Secundaria"/>
  </r>
  <r>
    <n v="929"/>
    <x v="3"/>
    <s v="Secundaria"/>
    <x v="3"/>
    <x v="47"/>
    <s v="Rural"/>
    <s v="Femenino"/>
    <x v="1"/>
    <x v="2"/>
    <s v="LOS 3 AÑOS"/>
    <s v="PADD 2023 Y 2024"/>
    <x v="56"/>
    <s v="601334 Secundaria"/>
  </r>
  <r>
    <n v="930"/>
    <x v="3"/>
    <s v="Secundaria"/>
    <x v="3"/>
    <x v="47"/>
    <s v="Rural"/>
    <s v="Femenino"/>
    <x v="1"/>
    <x v="2"/>
    <s v="LOS 3 AÑOS"/>
    <s v="PADD 2023 Y 2024"/>
    <x v="56"/>
    <s v="601334 Secundaria"/>
  </r>
  <r>
    <n v="931"/>
    <x v="3"/>
    <s v="Secundaria"/>
    <x v="3"/>
    <x v="47"/>
    <s v="Rural"/>
    <s v="Femenino"/>
    <x v="1"/>
    <x v="2"/>
    <s v="LOS 3 AÑOS"/>
    <s v="PADD 2023 Y 2024"/>
    <x v="56"/>
    <s v="601334 Secundaria"/>
  </r>
  <r>
    <n v="932"/>
    <x v="3"/>
    <s v="Secundaria"/>
    <x v="3"/>
    <x v="47"/>
    <s v="Rural"/>
    <s v="Femenino"/>
    <x v="1"/>
    <x v="2"/>
    <s v="LOS 3 AÑOS"/>
    <s v="PADD 2023 Y 2024"/>
    <x v="56"/>
    <s v="601334 Secundaria"/>
  </r>
  <r>
    <n v="1"/>
    <x v="2"/>
    <s v="Primaria"/>
    <x v="5"/>
    <x v="25"/>
    <s v="Rural"/>
    <s v="Femenino"/>
    <x v="0"/>
    <x v="0"/>
    <s v="SOLO 2024"/>
    <s v="PADD 2023 Y 2024"/>
    <x v="25"/>
    <s v="362071 Primaria"/>
  </r>
  <r>
    <n v="2"/>
    <x v="2"/>
    <s v="Primaria"/>
    <x v="5"/>
    <x v="25"/>
    <s v="Rural"/>
    <s v="Masculino"/>
    <x v="0"/>
    <x v="0"/>
    <s v="SOLO 2024"/>
    <s v="PADD 2023 Y 2024"/>
    <x v="25"/>
    <s v="362071 Primaria"/>
  </r>
  <r>
    <n v="3"/>
    <x v="2"/>
    <s v="Primaria"/>
    <x v="5"/>
    <x v="25"/>
    <s v="Rural"/>
    <s v="Femenino"/>
    <x v="1"/>
    <x v="0"/>
    <s v="SOLO 2024"/>
    <s v="PADD 2023 Y 2024"/>
    <x v="25"/>
    <s v="362071 Primaria"/>
  </r>
  <r>
    <n v="4"/>
    <x v="2"/>
    <s v="Primaria"/>
    <x v="5"/>
    <x v="25"/>
    <s v="Rural"/>
    <s v="Masculino"/>
    <x v="0"/>
    <x v="0"/>
    <s v="SOLO 2024"/>
    <s v="PADD 2023 Y 2024"/>
    <x v="25"/>
    <s v="362071 Primaria"/>
  </r>
  <r>
    <n v="5"/>
    <x v="2"/>
    <s v="Primaria"/>
    <x v="5"/>
    <x v="25"/>
    <s v="Rural"/>
    <s v="Masculino"/>
    <x v="0"/>
    <x v="0"/>
    <s v="SOLO 2024"/>
    <s v="PADD 2023 Y 2024"/>
    <x v="25"/>
    <s v="362071 Primaria"/>
  </r>
  <r>
    <n v="6"/>
    <x v="2"/>
    <s v="Primaria"/>
    <x v="5"/>
    <x v="25"/>
    <s v="Rural"/>
    <s v="Femenino"/>
    <x v="0"/>
    <x v="0"/>
    <s v="SOLO 2024"/>
    <s v="PADD 2023 Y 2024"/>
    <x v="25"/>
    <s v="362071 Primaria"/>
  </r>
  <r>
    <n v="7"/>
    <x v="2"/>
    <s v="Primaria"/>
    <x v="5"/>
    <x v="25"/>
    <s v="Rural"/>
    <s v="Masculino"/>
    <x v="0"/>
    <x v="0"/>
    <s v="SOLO 2024"/>
    <s v="PADD 2023 Y 2024"/>
    <x v="25"/>
    <s v="362071 Primaria"/>
  </r>
  <r>
    <n v="8"/>
    <x v="2"/>
    <s v="Primaria"/>
    <x v="5"/>
    <x v="25"/>
    <s v="Rural"/>
    <s v="Femenino"/>
    <x v="0"/>
    <x v="0"/>
    <s v="SOLO 2024"/>
    <s v="PADD 2023 Y 2024"/>
    <x v="25"/>
    <s v="362071 Primaria"/>
  </r>
  <r>
    <n v="1"/>
    <x v="2"/>
    <s v="Primaria"/>
    <x v="5"/>
    <x v="27"/>
    <s v="Rural"/>
    <s v="Masculino"/>
    <x v="1"/>
    <x v="0"/>
    <s v="SOLO 2024"/>
    <s v="PADD 2023 Y 2024"/>
    <x v="27"/>
    <s v="361731 Primaria"/>
  </r>
  <r>
    <n v="2"/>
    <x v="2"/>
    <s v="Primaria"/>
    <x v="5"/>
    <x v="27"/>
    <s v="Rural"/>
    <s v="Masculino"/>
    <x v="0"/>
    <x v="0"/>
    <s v="SOLO 2024"/>
    <s v="PADD 2023 Y 2024"/>
    <x v="27"/>
    <s v="361731 Primaria"/>
  </r>
  <r>
    <n v="3"/>
    <x v="2"/>
    <s v="Primaria"/>
    <x v="5"/>
    <x v="27"/>
    <s v="Rural"/>
    <s v="Femenino"/>
    <x v="0"/>
    <x v="0"/>
    <s v="SOLO 2024"/>
    <s v="PADD 2023 Y 2024"/>
    <x v="27"/>
    <s v="361731 Primaria"/>
  </r>
  <r>
    <n v="4"/>
    <x v="2"/>
    <s v="Primaria"/>
    <x v="5"/>
    <x v="27"/>
    <s v="Rural"/>
    <s v="Femenino"/>
    <x v="0"/>
    <x v="0"/>
    <s v="SOLO 2024"/>
    <s v="PADD 2023 Y 2024"/>
    <x v="27"/>
    <s v="361731 Primaria"/>
  </r>
  <r>
    <n v="5"/>
    <x v="2"/>
    <s v="Primaria"/>
    <x v="5"/>
    <x v="27"/>
    <s v="Rural"/>
    <s v="Femenino"/>
    <x v="0"/>
    <x v="0"/>
    <s v="SOLO 2024"/>
    <s v="PADD 2023 Y 2024"/>
    <x v="27"/>
    <s v="361731 Primaria"/>
  </r>
  <r>
    <n v="6"/>
    <x v="2"/>
    <s v="Primaria"/>
    <x v="5"/>
    <x v="27"/>
    <s v="Rural"/>
    <s v="Femenino"/>
    <x v="0"/>
    <x v="0"/>
    <s v="SOLO 2024"/>
    <s v="PADD 2023 Y 2024"/>
    <x v="27"/>
    <s v="361731 Primaria"/>
  </r>
  <r>
    <n v="7"/>
    <x v="2"/>
    <s v="Primaria"/>
    <x v="5"/>
    <x v="27"/>
    <s v="Rural"/>
    <s v="Masculino"/>
    <x v="0"/>
    <x v="0"/>
    <s v="SOLO 2024"/>
    <s v="PADD 2023 Y 2024"/>
    <x v="27"/>
    <s v="361731 Primaria"/>
  </r>
  <r>
    <n v="8"/>
    <x v="2"/>
    <s v="Primaria"/>
    <x v="5"/>
    <x v="27"/>
    <s v="Rural"/>
    <s v="Femenino"/>
    <x v="0"/>
    <x v="0"/>
    <s v="SOLO 2024"/>
    <s v="PADD 2023 Y 2024"/>
    <x v="27"/>
    <s v="361731 Primaria"/>
  </r>
  <r>
    <n v="9"/>
    <x v="2"/>
    <s v="Primaria"/>
    <x v="5"/>
    <x v="27"/>
    <s v="Rural"/>
    <s v="Masculino"/>
    <x v="0"/>
    <x v="0"/>
    <s v="SOLO 2024"/>
    <s v="PADD 2023 Y 2024"/>
    <x v="27"/>
    <s v="361731 Primaria"/>
  </r>
  <r>
    <n v="10"/>
    <x v="2"/>
    <s v="Primaria"/>
    <x v="5"/>
    <x v="27"/>
    <s v="Rural"/>
    <s v="Masculino"/>
    <x v="0"/>
    <x v="0"/>
    <s v="SOLO 2024"/>
    <s v="PADD 2023 Y 2024"/>
    <x v="27"/>
    <s v="361731 Primaria"/>
  </r>
  <r>
    <n v="2005"/>
    <x v="3"/>
    <s v="Primaria"/>
    <x v="5"/>
    <x v="47"/>
    <s v="Rural"/>
    <s v="Masculino"/>
    <x v="1"/>
    <x v="1"/>
    <s v="SOLO LINEA BASE"/>
    <s v="PADD 2023 Y 2024"/>
    <x v="56"/>
    <s v="601331 Primaria"/>
  </r>
  <r>
    <n v="2006"/>
    <x v="3"/>
    <s v="Primaria"/>
    <x v="5"/>
    <x v="47"/>
    <s v="Rural"/>
    <s v="Femenino"/>
    <x v="0"/>
    <x v="1"/>
    <s v="SOLO LINEA BASE"/>
    <s v="PADD 2023 Y 2024"/>
    <x v="56"/>
    <s v="601331 Primaria"/>
  </r>
  <r>
    <n v="2007"/>
    <x v="3"/>
    <s v="Primaria"/>
    <x v="5"/>
    <x v="47"/>
    <s v="Rural"/>
    <s v="Femenino"/>
    <x v="0"/>
    <x v="1"/>
    <s v="SOLO LINEA BASE"/>
    <s v="PADD 2023 Y 2024"/>
    <x v="56"/>
    <s v="601331 Primaria"/>
  </r>
  <r>
    <n v="2728"/>
    <x v="4"/>
    <s v="Primaria"/>
    <x v="5"/>
    <x v="54"/>
    <s v="Rural"/>
    <s v="Masculino"/>
    <x v="0"/>
    <x v="1"/>
    <s v="SOLO LINEA BASE"/>
    <s v="NO PARTICIPÓ"/>
    <x v="59"/>
    <s v="88225 CAPTUY1 Primaria"/>
  </r>
  <r>
    <n v="2729"/>
    <x v="4"/>
    <s v="Primaria"/>
    <x v="5"/>
    <x v="54"/>
    <s v="Rural"/>
    <s v="Femenino"/>
    <x v="0"/>
    <x v="1"/>
    <s v="SOLO LINEA BASE"/>
    <s v="NO PARTICIPÓ"/>
    <x v="59"/>
    <s v="88225 CAPTUY1 Primaria"/>
  </r>
  <r>
    <n v="2730"/>
    <x v="4"/>
    <s v="Primaria"/>
    <x v="5"/>
    <x v="48"/>
    <s v="Rural"/>
    <s v="Masculino"/>
    <x v="0"/>
    <x v="1"/>
    <s v="SOLO LINEA BASE"/>
    <s v="SOLO 2023"/>
    <x v="60"/>
    <s v="868091 Primaria"/>
  </r>
  <r>
    <n v="1"/>
    <x v="0"/>
    <s v="Primaria"/>
    <x v="4"/>
    <x v="0"/>
    <s v="Rural"/>
    <s v="Masculino"/>
    <x v="2"/>
    <x v="0"/>
    <s v="2023 Y 2024"/>
    <s v="PADD 2023 Y 2024"/>
    <x v="0"/>
    <s v="14924 DANIEL ALCIDES CARRION2 Primaria"/>
  </r>
  <r>
    <n v="2"/>
    <x v="0"/>
    <s v="Primaria"/>
    <x v="4"/>
    <x v="0"/>
    <s v="Rural"/>
    <s v="Femenino"/>
    <x v="0"/>
    <x v="0"/>
    <s v="2023 Y 2024"/>
    <s v="PADD 2023 Y 2024"/>
    <x v="0"/>
    <s v="14924 DANIEL ALCIDES CARRION2 Primaria"/>
  </r>
  <r>
    <n v="3"/>
    <x v="0"/>
    <s v="Primaria"/>
    <x v="4"/>
    <x v="0"/>
    <s v="Rural"/>
    <s v="Masculino"/>
    <x v="2"/>
    <x v="0"/>
    <s v="2023 Y 2024"/>
    <s v="PADD 2023 Y 2024"/>
    <x v="0"/>
    <s v="14924 DANIEL ALCIDES CARRION2 Primaria"/>
  </r>
  <r>
    <n v="4"/>
    <x v="0"/>
    <s v="Primaria"/>
    <x v="4"/>
    <x v="0"/>
    <s v="Rural"/>
    <s v="Masculino"/>
    <x v="1"/>
    <x v="0"/>
    <s v="2023 Y 2024"/>
    <s v="PADD 2023 Y 2024"/>
    <x v="0"/>
    <s v="14924 DANIEL ALCIDES CARRION2 Primaria"/>
  </r>
  <r>
    <n v="5"/>
    <x v="0"/>
    <s v="Primaria"/>
    <x v="4"/>
    <x v="0"/>
    <s v="Rural"/>
    <s v="Masculino"/>
    <x v="0"/>
    <x v="0"/>
    <s v="2023 Y 2024"/>
    <s v="PADD 2023 Y 2024"/>
    <x v="0"/>
    <s v="14924 DANIEL ALCIDES CARRION2 Primaria"/>
  </r>
  <r>
    <n v="6"/>
    <x v="0"/>
    <s v="Primaria"/>
    <x v="4"/>
    <x v="0"/>
    <s v="Rural"/>
    <s v="Femenino"/>
    <x v="0"/>
    <x v="0"/>
    <s v="2023 Y 2024"/>
    <s v="PADD 2023 Y 2024"/>
    <x v="0"/>
    <s v="14924 DANIEL ALCIDES CARRION2 Primaria"/>
  </r>
  <r>
    <n v="7"/>
    <x v="0"/>
    <s v="Primaria"/>
    <x v="4"/>
    <x v="0"/>
    <s v="Rural"/>
    <s v="Femenino"/>
    <x v="0"/>
    <x v="0"/>
    <s v="2023 Y 2024"/>
    <s v="PADD 2023 Y 2024"/>
    <x v="0"/>
    <s v="14924 DANIEL ALCIDES CARRION2 Primaria"/>
  </r>
  <r>
    <n v="8"/>
    <x v="0"/>
    <s v="Primaria"/>
    <x v="4"/>
    <x v="0"/>
    <s v="Rural"/>
    <s v="Femenino"/>
    <x v="0"/>
    <x v="0"/>
    <s v="2023 Y 2024"/>
    <s v="PADD 2023 Y 2024"/>
    <x v="0"/>
    <s v="14924 DANIEL ALCIDES CARRION2 Primaria"/>
  </r>
  <r>
    <n v="9"/>
    <x v="0"/>
    <s v="Primaria"/>
    <x v="4"/>
    <x v="0"/>
    <s v="Rural"/>
    <s v="Femenino"/>
    <x v="2"/>
    <x v="0"/>
    <s v="2023 Y 2024"/>
    <s v="PADD 2023 Y 2024"/>
    <x v="0"/>
    <s v="14924 DANIEL ALCIDES CARRION2 Primaria"/>
  </r>
  <r>
    <n v="10"/>
    <x v="0"/>
    <s v="Primaria"/>
    <x v="4"/>
    <x v="0"/>
    <s v="Rural"/>
    <s v="Masculino"/>
    <x v="0"/>
    <x v="0"/>
    <s v="2023 Y 2024"/>
    <s v="PADD 2023 Y 2024"/>
    <x v="0"/>
    <s v="14924 DANIEL ALCIDES CARRION2 Primaria"/>
  </r>
  <r>
    <n v="11"/>
    <x v="0"/>
    <s v="Primaria"/>
    <x v="4"/>
    <x v="0"/>
    <s v="Rural"/>
    <s v="Masculino"/>
    <x v="0"/>
    <x v="0"/>
    <s v="2023 Y 2024"/>
    <s v="PADD 2023 Y 2024"/>
    <x v="0"/>
    <s v="14924 DANIEL ALCIDES CARRION2 Primaria"/>
  </r>
  <r>
    <n v="12"/>
    <x v="0"/>
    <s v="Primaria"/>
    <x v="4"/>
    <x v="0"/>
    <s v="Rural"/>
    <s v="Femenino"/>
    <x v="2"/>
    <x v="0"/>
    <s v="2023 Y 2024"/>
    <s v="PADD 2023 Y 2024"/>
    <x v="0"/>
    <s v="14924 DANIEL ALCIDES CARRION2 Primaria"/>
  </r>
  <r>
    <n v="13"/>
    <x v="0"/>
    <s v="Primaria"/>
    <x v="4"/>
    <x v="0"/>
    <s v="Rural"/>
    <s v="Masculino"/>
    <x v="2"/>
    <x v="0"/>
    <s v="2023 Y 2024"/>
    <s v="PADD 2023 Y 2024"/>
    <x v="0"/>
    <s v="14924 DANIEL ALCIDES CARRION2 Primaria"/>
  </r>
  <r>
    <n v="14"/>
    <x v="0"/>
    <s v="Primaria"/>
    <x v="4"/>
    <x v="0"/>
    <s v="Rural"/>
    <s v="Masculino"/>
    <x v="2"/>
    <x v="0"/>
    <s v="2023 Y 2024"/>
    <s v="PADD 2023 Y 2024"/>
    <x v="0"/>
    <s v="14924 DANIEL ALCIDES CARRION2 Primaria"/>
  </r>
  <r>
    <n v="15"/>
    <x v="0"/>
    <s v="Primaria"/>
    <x v="4"/>
    <x v="0"/>
    <s v="Rural"/>
    <s v="Masculino"/>
    <x v="0"/>
    <x v="0"/>
    <s v="2023 Y 2024"/>
    <s v="PADD 2023 Y 2024"/>
    <x v="0"/>
    <s v="14924 DANIEL ALCIDES CARRION2 Primaria"/>
  </r>
  <r>
    <n v="16"/>
    <x v="0"/>
    <s v="Primaria"/>
    <x v="4"/>
    <x v="0"/>
    <s v="Rural"/>
    <s v="Masculino"/>
    <x v="0"/>
    <x v="0"/>
    <s v="2023 Y 2024"/>
    <s v="PADD 2023 Y 2024"/>
    <x v="0"/>
    <s v="14924 DANIEL ALCIDES CARRION2 Primaria"/>
  </r>
  <r>
    <n v="17"/>
    <x v="0"/>
    <s v="Primaria"/>
    <x v="4"/>
    <x v="0"/>
    <s v="Rural"/>
    <s v="Femenino"/>
    <x v="0"/>
    <x v="0"/>
    <s v="2023 Y 2024"/>
    <s v="PADD 2023 Y 2024"/>
    <x v="0"/>
    <s v="14924 DANIEL ALCIDES CARRION2 Primaria"/>
  </r>
  <r>
    <n v="18"/>
    <x v="0"/>
    <s v="Primaria"/>
    <x v="4"/>
    <x v="0"/>
    <s v="Rural"/>
    <s v="Masculino"/>
    <x v="2"/>
    <x v="0"/>
    <s v="2023 Y 2024"/>
    <s v="PADD 2023 Y 2024"/>
    <x v="0"/>
    <s v="14924 DANIEL ALCIDES CARRION2 Primaria"/>
  </r>
  <r>
    <n v="19"/>
    <x v="0"/>
    <s v="Primaria"/>
    <x v="4"/>
    <x v="0"/>
    <s v="Rural"/>
    <s v="Femenino"/>
    <x v="0"/>
    <x v="0"/>
    <s v="2023 Y 2024"/>
    <s v="PADD 2023 Y 2024"/>
    <x v="0"/>
    <s v="14924 DANIEL ALCIDES CARRION2 Primaria"/>
  </r>
  <r>
    <n v="20"/>
    <x v="0"/>
    <s v="Primaria"/>
    <x v="4"/>
    <x v="0"/>
    <s v="Rural"/>
    <s v="Masculino"/>
    <x v="0"/>
    <x v="0"/>
    <s v="2023 Y 2024"/>
    <s v="PADD 2023 Y 2024"/>
    <x v="0"/>
    <s v="14924 DANIEL ALCIDES CARRION2 Primaria"/>
  </r>
  <r>
    <n v="21"/>
    <x v="0"/>
    <s v="Primaria"/>
    <x v="4"/>
    <x v="0"/>
    <s v="Rural"/>
    <s v="Femenino"/>
    <x v="0"/>
    <x v="0"/>
    <s v="2023 Y 2024"/>
    <s v="PADD 2023 Y 2024"/>
    <x v="0"/>
    <s v="14924 DANIEL ALCIDES CARRION2 Primaria"/>
  </r>
  <r>
    <n v="22"/>
    <x v="0"/>
    <s v="Primaria"/>
    <x v="4"/>
    <x v="1"/>
    <s v="Rural"/>
    <s v="Masculino"/>
    <x v="2"/>
    <x v="0"/>
    <s v="2023 Y 2024"/>
    <s v="PADD 2023 Y 2024"/>
    <x v="1"/>
    <s v="201042 Primaria"/>
  </r>
  <r>
    <n v="23"/>
    <x v="0"/>
    <s v="Primaria"/>
    <x v="4"/>
    <x v="1"/>
    <s v="Rural"/>
    <s v="Masculino"/>
    <x v="0"/>
    <x v="0"/>
    <s v="2023 Y 2024"/>
    <s v="PADD 2023 Y 2024"/>
    <x v="1"/>
    <s v="201042 Primaria"/>
  </r>
  <r>
    <n v="24"/>
    <x v="0"/>
    <s v="Primaria"/>
    <x v="4"/>
    <x v="1"/>
    <s v="Rural"/>
    <s v="Masculino"/>
    <x v="0"/>
    <x v="0"/>
    <s v="2023 Y 2024"/>
    <s v="PADD 2023 Y 2024"/>
    <x v="1"/>
    <s v="201042 Primaria"/>
  </r>
  <r>
    <n v="25"/>
    <x v="0"/>
    <s v="Primaria"/>
    <x v="4"/>
    <x v="1"/>
    <s v="Rural"/>
    <s v="Femenino"/>
    <x v="1"/>
    <x v="0"/>
    <s v="2023 Y 2024"/>
    <s v="PADD 2023 Y 2024"/>
    <x v="1"/>
    <s v="201042 Primaria"/>
  </r>
  <r>
    <n v="26"/>
    <x v="0"/>
    <s v="Primaria"/>
    <x v="4"/>
    <x v="1"/>
    <s v="Rural"/>
    <s v="Femenino"/>
    <x v="0"/>
    <x v="0"/>
    <s v="2023 Y 2024"/>
    <s v="PADD 2023 Y 2024"/>
    <x v="1"/>
    <s v="201042 Primaria"/>
  </r>
  <r>
    <n v="27"/>
    <x v="0"/>
    <s v="Primaria"/>
    <x v="4"/>
    <x v="2"/>
    <s v="Rural"/>
    <s v="Masculino"/>
    <x v="0"/>
    <x v="0"/>
    <s v="2023 Y 2024"/>
    <s v="PADD 2023 Y 2024"/>
    <x v="2"/>
    <s v="149752 Primaria"/>
  </r>
  <r>
    <n v="28"/>
    <x v="0"/>
    <s v="Primaria"/>
    <x v="4"/>
    <x v="2"/>
    <s v="Rural"/>
    <s v="Masculino"/>
    <x v="2"/>
    <x v="0"/>
    <s v="2023 Y 2024"/>
    <s v="PADD 2023 Y 2024"/>
    <x v="2"/>
    <s v="149752 Primaria"/>
  </r>
  <r>
    <n v="29"/>
    <x v="0"/>
    <s v="Primaria"/>
    <x v="4"/>
    <x v="2"/>
    <s v="Rural"/>
    <s v="Masculino"/>
    <x v="0"/>
    <x v="0"/>
    <s v="2023 Y 2024"/>
    <s v="PADD 2023 Y 2024"/>
    <x v="2"/>
    <s v="149752 Primaria"/>
  </r>
  <r>
    <n v="30"/>
    <x v="0"/>
    <s v="Primaria"/>
    <x v="4"/>
    <x v="2"/>
    <s v="Rural"/>
    <s v="Femenino"/>
    <x v="0"/>
    <x v="0"/>
    <s v="2023 Y 2024"/>
    <s v="PADD 2023 Y 2024"/>
    <x v="2"/>
    <s v="149752 Primaria"/>
  </r>
  <r>
    <n v="31"/>
    <x v="0"/>
    <s v="Primaria"/>
    <x v="4"/>
    <x v="2"/>
    <s v="Rural"/>
    <s v="Femenino"/>
    <x v="2"/>
    <x v="0"/>
    <s v="2023 Y 2024"/>
    <s v="PADD 2023 Y 2024"/>
    <x v="2"/>
    <s v="149752 Primaria"/>
  </r>
  <r>
    <n v="32"/>
    <x v="0"/>
    <s v="Primaria"/>
    <x v="4"/>
    <x v="3"/>
    <s v="Rural"/>
    <s v="Masculino"/>
    <x v="1"/>
    <x v="0"/>
    <s v="2023 Y 2024"/>
    <s v="SOLO 2023"/>
    <x v="3"/>
    <s v="153042 Primaria"/>
  </r>
  <r>
    <n v="33"/>
    <x v="0"/>
    <s v="Primaria"/>
    <x v="4"/>
    <x v="3"/>
    <s v="Rural"/>
    <s v="Masculino"/>
    <x v="0"/>
    <x v="0"/>
    <s v="2023 Y 2024"/>
    <s v="SOLO 2023"/>
    <x v="3"/>
    <s v="153042 Primaria"/>
  </r>
  <r>
    <n v="34"/>
    <x v="0"/>
    <s v="Primaria"/>
    <x v="4"/>
    <x v="3"/>
    <s v="Rural"/>
    <s v="Femenino"/>
    <x v="0"/>
    <x v="0"/>
    <s v="2023 Y 2024"/>
    <s v="SOLO 2023"/>
    <x v="3"/>
    <s v="153042 Primaria"/>
  </r>
  <r>
    <n v="35"/>
    <x v="0"/>
    <s v="Primaria"/>
    <x v="4"/>
    <x v="3"/>
    <s v="Rural"/>
    <s v="Femenino"/>
    <x v="2"/>
    <x v="0"/>
    <s v="2023 Y 2024"/>
    <s v="SOLO 2023"/>
    <x v="3"/>
    <s v="153042 Primaria"/>
  </r>
  <r>
    <n v="36"/>
    <x v="0"/>
    <s v="Primaria"/>
    <x v="4"/>
    <x v="66"/>
    <s v="Rural"/>
    <s v="Masculino"/>
    <x v="0"/>
    <x v="0"/>
    <s v="SOLO 2024"/>
    <s v="SOLO 2023"/>
    <x v="102"/>
    <s v="153742 Primaria"/>
  </r>
  <r>
    <n v="37"/>
    <x v="0"/>
    <s v="Primaria"/>
    <x v="4"/>
    <x v="66"/>
    <s v="Rural"/>
    <s v="Masculino"/>
    <x v="1"/>
    <x v="0"/>
    <s v="SOLO 2024"/>
    <s v="SOLO 2023"/>
    <x v="102"/>
    <s v="153742 Primaria"/>
  </r>
  <r>
    <n v="38"/>
    <x v="0"/>
    <s v="Primaria"/>
    <x v="4"/>
    <x v="66"/>
    <s v="Rural"/>
    <s v="Masculino"/>
    <x v="2"/>
    <x v="0"/>
    <s v="SOLO 2024"/>
    <s v="SOLO 2023"/>
    <x v="102"/>
    <s v="153742 Primaria"/>
  </r>
  <r>
    <n v="39"/>
    <x v="0"/>
    <s v="Primaria"/>
    <x v="4"/>
    <x v="66"/>
    <s v="Rural"/>
    <s v="Femenino"/>
    <x v="0"/>
    <x v="0"/>
    <s v="SOLO 2024"/>
    <s v="SOLO 2023"/>
    <x v="102"/>
    <s v="153742 Primaria"/>
  </r>
  <r>
    <n v="40"/>
    <x v="0"/>
    <s v="Primaria"/>
    <x v="4"/>
    <x v="66"/>
    <s v="Rural"/>
    <s v="Femenino"/>
    <x v="1"/>
    <x v="0"/>
    <s v="SOLO 2024"/>
    <s v="SOLO 2023"/>
    <x v="102"/>
    <s v="153742 Primaria"/>
  </r>
  <r>
    <n v="41"/>
    <x v="0"/>
    <s v="Primaria"/>
    <x v="4"/>
    <x v="66"/>
    <s v="Rural"/>
    <s v="Femenino"/>
    <x v="0"/>
    <x v="0"/>
    <s v="SOLO 2024"/>
    <s v="SOLO 2023"/>
    <x v="102"/>
    <s v="153742 Primaria"/>
  </r>
  <r>
    <n v="42"/>
    <x v="0"/>
    <s v="Primaria"/>
    <x v="4"/>
    <x v="66"/>
    <s v="Rural"/>
    <s v="Femenino"/>
    <x v="0"/>
    <x v="0"/>
    <s v="SOLO 2024"/>
    <s v="SOLO 2023"/>
    <x v="102"/>
    <s v="153742 Primaria"/>
  </r>
  <r>
    <n v="43"/>
    <x v="0"/>
    <s v="Primaria"/>
    <x v="4"/>
    <x v="12"/>
    <s v="Rural"/>
    <s v="Femenino"/>
    <x v="2"/>
    <x v="0"/>
    <s v="2023 Y 2024"/>
    <s v="SOLO 2023"/>
    <x v="12"/>
    <s v="201232 Primaria"/>
  </r>
  <r>
    <n v="44"/>
    <x v="0"/>
    <s v="Primaria"/>
    <x v="4"/>
    <x v="5"/>
    <s v="Rural"/>
    <s v="Femenino"/>
    <x v="0"/>
    <x v="0"/>
    <s v="2023 Y 2024"/>
    <s v="SOLO 2023"/>
    <x v="5"/>
    <s v="14144 SANTA ROSA2 Primaria"/>
  </r>
  <r>
    <n v="45"/>
    <x v="0"/>
    <s v="Primaria"/>
    <x v="4"/>
    <x v="5"/>
    <s v="Rural"/>
    <s v="Masculino"/>
    <x v="1"/>
    <x v="0"/>
    <s v="2023 Y 2024"/>
    <s v="SOLO 2023"/>
    <x v="5"/>
    <s v="14144 SANTA ROSA2 Primaria"/>
  </r>
  <r>
    <n v="46"/>
    <x v="0"/>
    <s v="Primaria"/>
    <x v="4"/>
    <x v="5"/>
    <s v="Rural"/>
    <s v="Masculino"/>
    <x v="1"/>
    <x v="0"/>
    <s v="2023 Y 2024"/>
    <s v="SOLO 2023"/>
    <x v="5"/>
    <s v="14144 SANTA ROSA2 Primaria"/>
  </r>
  <r>
    <n v="47"/>
    <x v="0"/>
    <s v="Primaria"/>
    <x v="4"/>
    <x v="5"/>
    <s v="Rural"/>
    <s v="Femenino"/>
    <x v="2"/>
    <x v="0"/>
    <s v="2023 Y 2024"/>
    <s v="SOLO 2023"/>
    <x v="5"/>
    <s v="14144 SANTA ROSA2 Primaria"/>
  </r>
  <r>
    <n v="48"/>
    <x v="0"/>
    <s v="Primaria"/>
    <x v="4"/>
    <x v="5"/>
    <s v="Rural"/>
    <s v="Masculino"/>
    <x v="0"/>
    <x v="0"/>
    <s v="2023 Y 2024"/>
    <s v="SOLO 2023"/>
    <x v="5"/>
    <s v="14144 SANTA ROSA2 Primaria"/>
  </r>
  <r>
    <n v="49"/>
    <x v="0"/>
    <s v="Primaria"/>
    <x v="4"/>
    <x v="5"/>
    <s v="Rural"/>
    <s v="Femenino"/>
    <x v="1"/>
    <x v="0"/>
    <s v="2023 Y 2024"/>
    <s v="SOLO 2023"/>
    <x v="5"/>
    <s v="14144 SANTA ROSA2 Primaria"/>
  </r>
  <r>
    <n v="50"/>
    <x v="0"/>
    <s v="Primaria"/>
    <x v="4"/>
    <x v="5"/>
    <s v="Rural"/>
    <s v="Femenino"/>
    <x v="0"/>
    <x v="0"/>
    <s v="2023 Y 2024"/>
    <s v="SOLO 2023"/>
    <x v="5"/>
    <s v="14144 SANTA ROSA2 Primaria"/>
  </r>
  <r>
    <n v="51"/>
    <x v="0"/>
    <s v="Primaria"/>
    <x v="4"/>
    <x v="5"/>
    <s v="Rural"/>
    <s v="Femenino"/>
    <x v="2"/>
    <x v="0"/>
    <s v="2023 Y 2024"/>
    <s v="SOLO 2023"/>
    <x v="5"/>
    <s v="14144 SANTA ROSA2 Primaria"/>
  </r>
  <r>
    <n v="52"/>
    <x v="0"/>
    <s v="Primaria"/>
    <x v="4"/>
    <x v="5"/>
    <s v="Rural"/>
    <s v="Femenino"/>
    <x v="1"/>
    <x v="0"/>
    <s v="2023 Y 2024"/>
    <s v="SOLO 2023"/>
    <x v="5"/>
    <s v="14144 SANTA ROSA2 Primaria"/>
  </r>
  <r>
    <n v="53"/>
    <x v="0"/>
    <s v="Primaria"/>
    <x v="4"/>
    <x v="5"/>
    <s v="Rural"/>
    <s v="Masculino"/>
    <x v="1"/>
    <x v="0"/>
    <s v="2023 Y 2024"/>
    <s v="SOLO 2023"/>
    <x v="5"/>
    <s v="14144 SANTA ROSA2 Primaria"/>
  </r>
  <r>
    <n v="54"/>
    <x v="0"/>
    <s v="Primaria"/>
    <x v="4"/>
    <x v="5"/>
    <s v="Rural"/>
    <s v="Masculino"/>
    <x v="1"/>
    <x v="0"/>
    <s v="2023 Y 2024"/>
    <s v="SOLO 2023"/>
    <x v="5"/>
    <s v="14144 SANTA ROSA2 Primaria"/>
  </r>
  <r>
    <n v="55"/>
    <x v="0"/>
    <s v="Primaria"/>
    <x v="4"/>
    <x v="5"/>
    <s v="Rural"/>
    <s v="Femenino"/>
    <x v="0"/>
    <x v="0"/>
    <s v="2023 Y 2024"/>
    <s v="SOLO 2023"/>
    <x v="5"/>
    <s v="14144 SANTA ROSA2 Primaria"/>
  </r>
  <r>
    <n v="56"/>
    <x v="0"/>
    <s v="Primaria"/>
    <x v="4"/>
    <x v="5"/>
    <s v="Rural"/>
    <s v="Femenino"/>
    <x v="1"/>
    <x v="0"/>
    <s v="2023 Y 2024"/>
    <s v="SOLO 2023"/>
    <x v="5"/>
    <s v="14144 SANTA ROSA2 Primaria"/>
  </r>
  <r>
    <n v="57"/>
    <x v="0"/>
    <s v="Primaria"/>
    <x v="4"/>
    <x v="5"/>
    <s v="Rural"/>
    <s v="Masculino"/>
    <x v="0"/>
    <x v="0"/>
    <s v="2023 Y 2024"/>
    <s v="SOLO 2023"/>
    <x v="5"/>
    <s v="14144 SANTA ROSA2 Primaria"/>
  </r>
  <r>
    <n v="58"/>
    <x v="0"/>
    <s v="Primaria"/>
    <x v="4"/>
    <x v="5"/>
    <s v="Rural"/>
    <s v="Masculino"/>
    <x v="2"/>
    <x v="0"/>
    <s v="2023 Y 2024"/>
    <s v="SOLO 2023"/>
    <x v="5"/>
    <s v="14144 SANTA ROSA2 Primaria"/>
  </r>
  <r>
    <n v="59"/>
    <x v="0"/>
    <s v="Primaria"/>
    <x v="4"/>
    <x v="5"/>
    <s v="Rural"/>
    <s v="Masculino"/>
    <x v="0"/>
    <x v="0"/>
    <s v="2023 Y 2024"/>
    <s v="SOLO 2023"/>
    <x v="5"/>
    <s v="14144 SANTA ROSA2 Primaria"/>
  </r>
  <r>
    <n v="60"/>
    <x v="0"/>
    <s v="Primaria"/>
    <x v="4"/>
    <x v="5"/>
    <s v="Rural"/>
    <s v="Masculino"/>
    <x v="0"/>
    <x v="0"/>
    <s v="2023 Y 2024"/>
    <s v="SOLO 2023"/>
    <x v="5"/>
    <s v="14144 SANTA ROSA2 Primaria"/>
  </r>
  <r>
    <n v="61"/>
    <x v="0"/>
    <s v="Primaria"/>
    <x v="4"/>
    <x v="5"/>
    <s v="Rural"/>
    <s v="Masculino"/>
    <x v="2"/>
    <x v="0"/>
    <s v="2023 Y 2024"/>
    <s v="SOLO 2023"/>
    <x v="5"/>
    <s v="14144 SANTA ROSA2 Primaria"/>
  </r>
  <r>
    <n v="62"/>
    <x v="0"/>
    <s v="Primaria"/>
    <x v="4"/>
    <x v="5"/>
    <s v="Rural"/>
    <s v="Masculino"/>
    <x v="2"/>
    <x v="0"/>
    <s v="2023 Y 2024"/>
    <s v="SOLO 2023"/>
    <x v="5"/>
    <s v="14144 SANTA ROSA2 Primaria"/>
  </r>
  <r>
    <n v="63"/>
    <x v="0"/>
    <s v="Primaria"/>
    <x v="4"/>
    <x v="5"/>
    <s v="Rural"/>
    <s v="Femenino"/>
    <x v="2"/>
    <x v="0"/>
    <s v="2023 Y 2024"/>
    <s v="SOLO 2023"/>
    <x v="5"/>
    <s v="14144 SANTA ROSA2 Primaria"/>
  </r>
  <r>
    <n v="64"/>
    <x v="0"/>
    <s v="Primaria"/>
    <x v="4"/>
    <x v="5"/>
    <s v="Rural"/>
    <s v="Femenino"/>
    <x v="2"/>
    <x v="0"/>
    <s v="2023 Y 2024"/>
    <s v="SOLO 2023"/>
    <x v="5"/>
    <s v="14144 SANTA ROSA2 Primaria"/>
  </r>
  <r>
    <n v="65"/>
    <x v="0"/>
    <s v="Primaria"/>
    <x v="4"/>
    <x v="5"/>
    <s v="Rural"/>
    <s v="Femenino"/>
    <x v="2"/>
    <x v="0"/>
    <s v="2023 Y 2024"/>
    <s v="SOLO 2023"/>
    <x v="5"/>
    <s v="14144 SANTA ROSA2 Primaria"/>
  </r>
  <r>
    <n v="66"/>
    <x v="0"/>
    <s v="Primaria"/>
    <x v="4"/>
    <x v="5"/>
    <s v="Rural"/>
    <s v="Femenino"/>
    <x v="2"/>
    <x v="0"/>
    <s v="2023 Y 2024"/>
    <s v="SOLO 2023"/>
    <x v="5"/>
    <s v="14144 SANTA ROSA2 Primaria"/>
  </r>
  <r>
    <n v="67"/>
    <x v="0"/>
    <s v="Primaria"/>
    <x v="4"/>
    <x v="5"/>
    <s v="Rural"/>
    <s v="Femenino"/>
    <x v="0"/>
    <x v="0"/>
    <s v="2023 Y 2024"/>
    <s v="SOLO 2023"/>
    <x v="5"/>
    <s v="14144 SANTA ROSA2 Primaria"/>
  </r>
  <r>
    <n v="68"/>
    <x v="0"/>
    <s v="Primaria"/>
    <x v="4"/>
    <x v="5"/>
    <s v="Rural"/>
    <s v="Femenino"/>
    <x v="2"/>
    <x v="0"/>
    <s v="2023 Y 2024"/>
    <s v="SOLO 2023"/>
    <x v="5"/>
    <s v="14144 SANTA ROSA2 Primaria"/>
  </r>
  <r>
    <n v="69"/>
    <x v="0"/>
    <s v="Primaria"/>
    <x v="4"/>
    <x v="6"/>
    <s v="Rural"/>
    <s v="Femenino"/>
    <x v="0"/>
    <x v="0"/>
    <s v="SOLO 2024"/>
    <s v="SOLO 2024"/>
    <x v="6"/>
    <s v="148942 Primaria"/>
  </r>
  <r>
    <n v="70"/>
    <x v="0"/>
    <s v="Primaria"/>
    <x v="4"/>
    <x v="13"/>
    <s v="Rural"/>
    <s v="Femenino"/>
    <x v="0"/>
    <x v="0"/>
    <s v="2023 Y 2024"/>
    <s v="SOLO 2023"/>
    <x v="13"/>
    <s v="152192 Primaria"/>
  </r>
  <r>
    <n v="71"/>
    <x v="0"/>
    <s v="Primaria"/>
    <x v="4"/>
    <x v="13"/>
    <s v="Rural"/>
    <s v="Femenino"/>
    <x v="0"/>
    <x v="0"/>
    <s v="2023 Y 2024"/>
    <s v="SOLO 2023"/>
    <x v="13"/>
    <s v="152192 Primaria"/>
  </r>
  <r>
    <n v="72"/>
    <x v="0"/>
    <s v="Primaria"/>
    <x v="4"/>
    <x v="8"/>
    <s v="Rural"/>
    <s v="Masculino"/>
    <x v="0"/>
    <x v="0"/>
    <s v="2023 Y 2024"/>
    <s v="PADD 2023 Y 2024"/>
    <x v="8"/>
    <s v="141412 Primaria"/>
  </r>
  <r>
    <n v="73"/>
    <x v="0"/>
    <s v="Primaria"/>
    <x v="4"/>
    <x v="9"/>
    <s v="Rural"/>
    <s v="Femenino"/>
    <x v="0"/>
    <x v="0"/>
    <s v="2023 Y 2024"/>
    <s v="PADD 2023 Y 2024"/>
    <x v="9"/>
    <s v="154782 Primaria"/>
  </r>
  <r>
    <n v="74"/>
    <x v="0"/>
    <s v="Primaria"/>
    <x v="4"/>
    <x v="9"/>
    <s v="Rural"/>
    <s v="Femenino"/>
    <x v="0"/>
    <x v="0"/>
    <s v="2023 Y 2024"/>
    <s v="PADD 2023 Y 2024"/>
    <x v="9"/>
    <s v="154782 Primaria"/>
  </r>
  <r>
    <n v="75"/>
    <x v="0"/>
    <s v="Primaria"/>
    <x v="4"/>
    <x v="10"/>
    <s v="Rural"/>
    <s v="Masculino"/>
    <x v="0"/>
    <x v="0"/>
    <s v="SOLO 2024"/>
    <s v="SOLO 2023"/>
    <x v="10"/>
    <s v="140452 Primaria"/>
  </r>
  <r>
    <n v="76"/>
    <x v="0"/>
    <s v="Primaria"/>
    <x v="4"/>
    <x v="10"/>
    <s v="Rural"/>
    <s v="Femenino"/>
    <x v="1"/>
    <x v="0"/>
    <s v="SOLO 2024"/>
    <s v="SOLO 2023"/>
    <x v="10"/>
    <s v="140452 Primaria"/>
  </r>
  <r>
    <n v="77"/>
    <x v="0"/>
    <s v="Primaria"/>
    <x v="4"/>
    <x v="11"/>
    <s v="Rural"/>
    <s v="Femenino"/>
    <x v="0"/>
    <x v="0"/>
    <s v="2023 Y 2024"/>
    <s v="SOLO 2023"/>
    <x v="11"/>
    <s v="14145 SANTA JULIA BILLIART2 Primaria"/>
  </r>
  <r>
    <n v="78"/>
    <x v="0"/>
    <s v="Primaria"/>
    <x v="4"/>
    <x v="11"/>
    <s v="Rural"/>
    <s v="Femenino"/>
    <x v="0"/>
    <x v="0"/>
    <s v="2023 Y 2024"/>
    <s v="SOLO 2023"/>
    <x v="11"/>
    <s v="14145 SANTA JULIA BILLIART2 Primaria"/>
  </r>
  <r>
    <n v="79"/>
    <x v="0"/>
    <s v="Primaria"/>
    <x v="4"/>
    <x v="11"/>
    <s v="Rural"/>
    <s v="Femenino"/>
    <x v="0"/>
    <x v="0"/>
    <s v="2023 Y 2024"/>
    <s v="SOLO 2023"/>
    <x v="11"/>
    <s v="14145 SANTA JULIA BILLIART2 Primaria"/>
  </r>
  <r>
    <n v="80"/>
    <x v="0"/>
    <s v="Primaria"/>
    <x v="4"/>
    <x v="11"/>
    <s v="Rural"/>
    <s v="Femenino"/>
    <x v="2"/>
    <x v="0"/>
    <s v="2023 Y 2024"/>
    <s v="SOLO 2023"/>
    <x v="11"/>
    <s v="14145 SANTA JULIA BILLIART2 Primaria"/>
  </r>
  <r>
    <n v="81"/>
    <x v="0"/>
    <s v="Primaria"/>
    <x v="4"/>
    <x v="11"/>
    <s v="Rural"/>
    <s v="Femenino"/>
    <x v="0"/>
    <x v="0"/>
    <s v="2023 Y 2024"/>
    <s v="SOLO 2023"/>
    <x v="11"/>
    <s v="14145 SANTA JULIA BILLIART2 Primaria"/>
  </r>
  <r>
    <n v="82"/>
    <x v="0"/>
    <s v="Primaria"/>
    <x v="4"/>
    <x v="11"/>
    <s v="Rural"/>
    <s v="Masculino"/>
    <x v="0"/>
    <x v="0"/>
    <s v="2023 Y 2024"/>
    <s v="SOLO 2023"/>
    <x v="11"/>
    <s v="14145 SANTA JULIA BILLIART2 Primaria"/>
  </r>
  <r>
    <n v="83"/>
    <x v="0"/>
    <s v="Primaria"/>
    <x v="4"/>
    <x v="11"/>
    <s v="Rural"/>
    <s v="Masculino"/>
    <x v="0"/>
    <x v="0"/>
    <s v="2023 Y 2024"/>
    <s v="SOLO 2023"/>
    <x v="11"/>
    <s v="14145 SANTA JULIA BILLIART2 Primaria"/>
  </r>
  <r>
    <n v="84"/>
    <x v="0"/>
    <s v="Primaria"/>
    <x v="4"/>
    <x v="11"/>
    <s v="Rural"/>
    <s v="Masculino"/>
    <x v="0"/>
    <x v="0"/>
    <s v="2023 Y 2024"/>
    <s v="SOLO 2023"/>
    <x v="11"/>
    <s v="14145 SANTA JULIA BILLIART2 Primaria"/>
  </r>
  <r>
    <n v="85"/>
    <x v="0"/>
    <s v="Primaria"/>
    <x v="4"/>
    <x v="11"/>
    <s v="Rural"/>
    <s v="Masculino"/>
    <x v="0"/>
    <x v="0"/>
    <s v="2023 Y 2024"/>
    <s v="SOLO 2023"/>
    <x v="11"/>
    <s v="14145 SANTA JULIA BILLIART2 Primaria"/>
  </r>
  <r>
    <n v="86"/>
    <x v="0"/>
    <s v="Primaria"/>
    <x v="4"/>
    <x v="11"/>
    <s v="Rural"/>
    <s v="Masculino"/>
    <x v="0"/>
    <x v="0"/>
    <s v="2023 Y 2024"/>
    <s v="SOLO 2023"/>
    <x v="11"/>
    <s v="14145 SANTA JULIA BILLIART2 Primaria"/>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18">
  <r>
    <n v="1"/>
    <x v="0"/>
    <x v="0"/>
    <x v="0"/>
    <x v="0"/>
    <s v="Rural"/>
    <x v="0"/>
    <x v="0"/>
    <x v="0"/>
  </r>
  <r>
    <n v="2"/>
    <x v="0"/>
    <x v="0"/>
    <x v="0"/>
    <x v="0"/>
    <s v="Rural"/>
    <x v="0"/>
    <x v="0"/>
    <x v="0"/>
  </r>
  <r>
    <n v="3"/>
    <x v="0"/>
    <x v="0"/>
    <x v="0"/>
    <x v="0"/>
    <s v="Rural"/>
    <x v="0"/>
    <x v="1"/>
    <x v="0"/>
  </r>
  <r>
    <n v="4"/>
    <x v="0"/>
    <x v="0"/>
    <x v="0"/>
    <x v="0"/>
    <s v="Rural"/>
    <x v="1"/>
    <x v="1"/>
    <x v="0"/>
  </r>
  <r>
    <n v="5"/>
    <x v="0"/>
    <x v="0"/>
    <x v="0"/>
    <x v="0"/>
    <s v="Rural"/>
    <x v="0"/>
    <x v="1"/>
    <x v="0"/>
  </r>
  <r>
    <n v="6"/>
    <x v="0"/>
    <x v="0"/>
    <x v="0"/>
    <x v="0"/>
    <s v="Rural"/>
    <x v="1"/>
    <x v="0"/>
    <x v="0"/>
  </r>
  <r>
    <n v="7"/>
    <x v="0"/>
    <x v="0"/>
    <x v="0"/>
    <x v="0"/>
    <s v="Rural"/>
    <x v="1"/>
    <x v="0"/>
    <x v="0"/>
  </r>
  <r>
    <n v="8"/>
    <x v="0"/>
    <x v="0"/>
    <x v="0"/>
    <x v="0"/>
    <s v="Rural"/>
    <x v="1"/>
    <x v="0"/>
    <x v="0"/>
  </r>
  <r>
    <n v="9"/>
    <x v="0"/>
    <x v="0"/>
    <x v="0"/>
    <x v="0"/>
    <s v="Rural"/>
    <x v="0"/>
    <x v="1"/>
    <x v="0"/>
  </r>
  <r>
    <n v="10"/>
    <x v="0"/>
    <x v="0"/>
    <x v="0"/>
    <x v="0"/>
    <s v="Rural"/>
    <x v="1"/>
    <x v="2"/>
    <x v="0"/>
  </r>
  <r>
    <n v="11"/>
    <x v="0"/>
    <x v="0"/>
    <x v="0"/>
    <x v="0"/>
    <s v="Rural"/>
    <x v="0"/>
    <x v="1"/>
    <x v="0"/>
  </r>
  <r>
    <n v="12"/>
    <x v="0"/>
    <x v="0"/>
    <x v="0"/>
    <x v="0"/>
    <s v="Rural"/>
    <x v="1"/>
    <x v="0"/>
    <x v="0"/>
  </r>
  <r>
    <n v="13"/>
    <x v="0"/>
    <x v="0"/>
    <x v="0"/>
    <x v="0"/>
    <s v="Rural"/>
    <x v="1"/>
    <x v="0"/>
    <x v="0"/>
  </r>
  <r>
    <n v="14"/>
    <x v="0"/>
    <x v="0"/>
    <x v="0"/>
    <x v="0"/>
    <s v="Rural"/>
    <x v="1"/>
    <x v="1"/>
    <x v="0"/>
  </r>
  <r>
    <n v="15"/>
    <x v="0"/>
    <x v="0"/>
    <x v="0"/>
    <x v="0"/>
    <s v="Rural"/>
    <x v="0"/>
    <x v="0"/>
    <x v="0"/>
  </r>
  <r>
    <n v="16"/>
    <x v="0"/>
    <x v="0"/>
    <x v="0"/>
    <x v="0"/>
    <s v="Rural"/>
    <x v="0"/>
    <x v="0"/>
    <x v="0"/>
  </r>
  <r>
    <n v="17"/>
    <x v="0"/>
    <x v="0"/>
    <x v="0"/>
    <x v="0"/>
    <s v="Rural"/>
    <x v="1"/>
    <x v="0"/>
    <x v="0"/>
  </r>
  <r>
    <n v="18"/>
    <x v="0"/>
    <x v="0"/>
    <x v="0"/>
    <x v="0"/>
    <s v="Rural"/>
    <x v="1"/>
    <x v="2"/>
    <x v="0"/>
  </r>
  <r>
    <n v="19"/>
    <x v="0"/>
    <x v="0"/>
    <x v="0"/>
    <x v="0"/>
    <s v="Rural"/>
    <x v="1"/>
    <x v="0"/>
    <x v="0"/>
  </r>
  <r>
    <n v="20"/>
    <x v="0"/>
    <x v="0"/>
    <x v="0"/>
    <x v="0"/>
    <s v="Rural"/>
    <x v="0"/>
    <x v="0"/>
    <x v="0"/>
  </r>
  <r>
    <n v="21"/>
    <x v="0"/>
    <x v="0"/>
    <x v="0"/>
    <x v="0"/>
    <s v="Rural"/>
    <x v="0"/>
    <x v="0"/>
    <x v="0"/>
  </r>
  <r>
    <n v="22"/>
    <x v="0"/>
    <x v="0"/>
    <x v="0"/>
    <x v="0"/>
    <s v="Rural"/>
    <x v="0"/>
    <x v="0"/>
    <x v="0"/>
  </r>
  <r>
    <n v="23"/>
    <x v="0"/>
    <x v="0"/>
    <x v="0"/>
    <x v="1"/>
    <s v="Rural"/>
    <x v="0"/>
    <x v="0"/>
    <x v="0"/>
  </r>
  <r>
    <n v="24"/>
    <x v="0"/>
    <x v="0"/>
    <x v="0"/>
    <x v="1"/>
    <s v="Rural"/>
    <x v="0"/>
    <x v="0"/>
    <x v="0"/>
  </r>
  <r>
    <n v="25"/>
    <x v="0"/>
    <x v="0"/>
    <x v="0"/>
    <x v="1"/>
    <s v="Rural"/>
    <x v="0"/>
    <x v="0"/>
    <x v="0"/>
  </r>
  <r>
    <n v="26"/>
    <x v="0"/>
    <x v="0"/>
    <x v="0"/>
    <x v="1"/>
    <s v="Rural"/>
    <x v="0"/>
    <x v="0"/>
    <x v="0"/>
  </r>
  <r>
    <n v="27"/>
    <x v="0"/>
    <x v="0"/>
    <x v="0"/>
    <x v="1"/>
    <s v="Rural"/>
    <x v="1"/>
    <x v="0"/>
    <x v="0"/>
  </r>
  <r>
    <n v="28"/>
    <x v="0"/>
    <x v="0"/>
    <x v="0"/>
    <x v="1"/>
    <s v="Rural"/>
    <x v="1"/>
    <x v="0"/>
    <x v="0"/>
  </r>
  <r>
    <n v="29"/>
    <x v="0"/>
    <x v="0"/>
    <x v="0"/>
    <x v="1"/>
    <s v="Rural"/>
    <x v="1"/>
    <x v="0"/>
    <x v="0"/>
  </r>
  <r>
    <n v="30"/>
    <x v="0"/>
    <x v="0"/>
    <x v="0"/>
    <x v="2"/>
    <s v="Rural"/>
    <x v="0"/>
    <x v="0"/>
    <x v="0"/>
  </r>
  <r>
    <n v="31"/>
    <x v="0"/>
    <x v="0"/>
    <x v="0"/>
    <x v="2"/>
    <s v="Rural"/>
    <x v="0"/>
    <x v="0"/>
    <x v="0"/>
  </r>
  <r>
    <n v="32"/>
    <x v="0"/>
    <x v="0"/>
    <x v="0"/>
    <x v="2"/>
    <s v="Rural"/>
    <x v="0"/>
    <x v="1"/>
    <x v="0"/>
  </r>
  <r>
    <n v="33"/>
    <x v="0"/>
    <x v="0"/>
    <x v="0"/>
    <x v="2"/>
    <s v="Rural"/>
    <x v="1"/>
    <x v="0"/>
    <x v="0"/>
  </r>
  <r>
    <n v="34"/>
    <x v="0"/>
    <x v="0"/>
    <x v="0"/>
    <x v="2"/>
    <s v="Rural"/>
    <x v="1"/>
    <x v="0"/>
    <x v="0"/>
  </r>
  <r>
    <n v="35"/>
    <x v="0"/>
    <x v="0"/>
    <x v="0"/>
    <x v="2"/>
    <s v="Rural"/>
    <x v="1"/>
    <x v="1"/>
    <x v="0"/>
  </r>
  <r>
    <n v="36"/>
    <x v="0"/>
    <x v="0"/>
    <x v="0"/>
    <x v="3"/>
    <s v="Rural"/>
    <x v="0"/>
    <x v="0"/>
    <x v="0"/>
  </r>
  <r>
    <n v="37"/>
    <x v="0"/>
    <x v="0"/>
    <x v="0"/>
    <x v="3"/>
    <s v="Rural"/>
    <x v="0"/>
    <x v="0"/>
    <x v="0"/>
  </r>
  <r>
    <n v="38"/>
    <x v="0"/>
    <x v="0"/>
    <x v="0"/>
    <x v="4"/>
    <s v="Rural"/>
    <x v="0"/>
    <x v="0"/>
    <x v="0"/>
  </r>
  <r>
    <n v="39"/>
    <x v="0"/>
    <x v="0"/>
    <x v="0"/>
    <x v="4"/>
    <s v="Rural"/>
    <x v="0"/>
    <x v="0"/>
    <x v="0"/>
  </r>
  <r>
    <n v="40"/>
    <x v="0"/>
    <x v="0"/>
    <x v="0"/>
    <x v="4"/>
    <s v="Rural"/>
    <x v="0"/>
    <x v="0"/>
    <x v="0"/>
  </r>
  <r>
    <n v="41"/>
    <x v="0"/>
    <x v="0"/>
    <x v="0"/>
    <x v="4"/>
    <s v="Rural"/>
    <x v="0"/>
    <x v="0"/>
    <x v="0"/>
  </r>
  <r>
    <n v="42"/>
    <x v="0"/>
    <x v="0"/>
    <x v="0"/>
    <x v="4"/>
    <s v="Rural"/>
    <x v="1"/>
    <x v="0"/>
    <x v="0"/>
  </r>
  <r>
    <n v="43"/>
    <x v="0"/>
    <x v="0"/>
    <x v="0"/>
    <x v="4"/>
    <s v="Rural"/>
    <x v="1"/>
    <x v="0"/>
    <x v="0"/>
  </r>
  <r>
    <n v="44"/>
    <x v="0"/>
    <x v="0"/>
    <x v="0"/>
    <x v="4"/>
    <s v="Rural"/>
    <x v="1"/>
    <x v="0"/>
    <x v="0"/>
  </r>
  <r>
    <n v="45"/>
    <x v="0"/>
    <x v="0"/>
    <x v="0"/>
    <x v="5"/>
    <s v="Rural"/>
    <x v="1"/>
    <x v="1"/>
    <x v="0"/>
  </r>
  <r>
    <n v="46"/>
    <x v="0"/>
    <x v="0"/>
    <x v="0"/>
    <x v="5"/>
    <s v="Rural"/>
    <x v="1"/>
    <x v="0"/>
    <x v="0"/>
  </r>
  <r>
    <n v="47"/>
    <x v="0"/>
    <x v="0"/>
    <x v="0"/>
    <x v="5"/>
    <s v="Rural"/>
    <x v="1"/>
    <x v="0"/>
    <x v="0"/>
  </r>
  <r>
    <n v="48"/>
    <x v="0"/>
    <x v="0"/>
    <x v="0"/>
    <x v="5"/>
    <s v="Rural"/>
    <x v="1"/>
    <x v="1"/>
    <x v="0"/>
  </r>
  <r>
    <n v="49"/>
    <x v="0"/>
    <x v="0"/>
    <x v="0"/>
    <x v="5"/>
    <s v="Rural"/>
    <x v="0"/>
    <x v="0"/>
    <x v="0"/>
  </r>
  <r>
    <n v="50"/>
    <x v="0"/>
    <x v="0"/>
    <x v="0"/>
    <x v="5"/>
    <s v="Rural"/>
    <x v="0"/>
    <x v="0"/>
    <x v="0"/>
  </r>
  <r>
    <n v="51"/>
    <x v="0"/>
    <x v="0"/>
    <x v="0"/>
    <x v="5"/>
    <s v="Rural"/>
    <x v="0"/>
    <x v="0"/>
    <x v="0"/>
  </r>
  <r>
    <n v="52"/>
    <x v="0"/>
    <x v="0"/>
    <x v="0"/>
    <x v="5"/>
    <s v="Rural"/>
    <x v="0"/>
    <x v="0"/>
    <x v="0"/>
  </r>
  <r>
    <n v="53"/>
    <x v="0"/>
    <x v="0"/>
    <x v="0"/>
    <x v="5"/>
    <s v="Rural"/>
    <x v="0"/>
    <x v="0"/>
    <x v="0"/>
  </r>
  <r>
    <n v="54"/>
    <x v="0"/>
    <x v="0"/>
    <x v="0"/>
    <x v="5"/>
    <s v="Rural"/>
    <x v="0"/>
    <x v="0"/>
    <x v="0"/>
  </r>
  <r>
    <n v="55"/>
    <x v="0"/>
    <x v="0"/>
    <x v="0"/>
    <x v="5"/>
    <s v="Rural"/>
    <x v="0"/>
    <x v="0"/>
    <x v="0"/>
  </r>
  <r>
    <n v="56"/>
    <x v="0"/>
    <x v="0"/>
    <x v="0"/>
    <x v="5"/>
    <s v="Rural"/>
    <x v="0"/>
    <x v="1"/>
    <x v="0"/>
  </r>
  <r>
    <n v="57"/>
    <x v="0"/>
    <x v="0"/>
    <x v="0"/>
    <x v="5"/>
    <s v="Rural"/>
    <x v="0"/>
    <x v="1"/>
    <x v="0"/>
  </r>
  <r>
    <n v="58"/>
    <x v="0"/>
    <x v="0"/>
    <x v="0"/>
    <x v="5"/>
    <s v="Rural"/>
    <x v="0"/>
    <x v="1"/>
    <x v="0"/>
  </r>
  <r>
    <n v="59"/>
    <x v="0"/>
    <x v="0"/>
    <x v="0"/>
    <x v="5"/>
    <s v="Rural"/>
    <x v="0"/>
    <x v="2"/>
    <x v="0"/>
  </r>
  <r>
    <n v="60"/>
    <x v="0"/>
    <x v="0"/>
    <x v="0"/>
    <x v="5"/>
    <s v="Rural"/>
    <x v="1"/>
    <x v="2"/>
    <x v="0"/>
  </r>
  <r>
    <n v="61"/>
    <x v="0"/>
    <x v="0"/>
    <x v="0"/>
    <x v="5"/>
    <s v="Rural"/>
    <x v="1"/>
    <x v="1"/>
    <x v="0"/>
  </r>
  <r>
    <n v="62"/>
    <x v="0"/>
    <x v="0"/>
    <x v="0"/>
    <x v="5"/>
    <s v="Rural"/>
    <x v="1"/>
    <x v="1"/>
    <x v="0"/>
  </r>
  <r>
    <n v="63"/>
    <x v="0"/>
    <x v="0"/>
    <x v="0"/>
    <x v="5"/>
    <s v="Rural"/>
    <x v="1"/>
    <x v="1"/>
    <x v="0"/>
  </r>
  <r>
    <n v="64"/>
    <x v="0"/>
    <x v="0"/>
    <x v="0"/>
    <x v="5"/>
    <s v="Rural"/>
    <x v="1"/>
    <x v="1"/>
    <x v="0"/>
  </r>
  <r>
    <n v="65"/>
    <x v="0"/>
    <x v="0"/>
    <x v="0"/>
    <x v="6"/>
    <s v="Rural"/>
    <x v="1"/>
    <x v="0"/>
    <x v="0"/>
  </r>
  <r>
    <n v="66"/>
    <x v="0"/>
    <x v="0"/>
    <x v="0"/>
    <x v="7"/>
    <s v="Rural"/>
    <x v="0"/>
    <x v="0"/>
    <x v="0"/>
  </r>
  <r>
    <n v="67"/>
    <x v="0"/>
    <x v="0"/>
    <x v="0"/>
    <x v="8"/>
    <s v="Rural"/>
    <x v="0"/>
    <x v="0"/>
    <x v="0"/>
  </r>
  <r>
    <n v="68"/>
    <x v="0"/>
    <x v="0"/>
    <x v="0"/>
    <x v="9"/>
    <s v="Rural"/>
    <x v="0"/>
    <x v="0"/>
    <x v="0"/>
  </r>
  <r>
    <n v="69"/>
    <x v="0"/>
    <x v="0"/>
    <x v="0"/>
    <x v="10"/>
    <s v="Rural"/>
    <x v="0"/>
    <x v="0"/>
    <x v="0"/>
  </r>
  <r>
    <n v="70"/>
    <x v="0"/>
    <x v="0"/>
    <x v="0"/>
    <x v="10"/>
    <s v="Rural"/>
    <x v="1"/>
    <x v="0"/>
    <x v="0"/>
  </r>
  <r>
    <n v="71"/>
    <x v="0"/>
    <x v="0"/>
    <x v="0"/>
    <x v="11"/>
    <s v="Rural"/>
    <x v="0"/>
    <x v="1"/>
    <x v="0"/>
  </r>
  <r>
    <n v="72"/>
    <x v="0"/>
    <x v="0"/>
    <x v="0"/>
    <x v="11"/>
    <s v="Rural"/>
    <x v="0"/>
    <x v="0"/>
    <x v="0"/>
  </r>
  <r>
    <n v="73"/>
    <x v="0"/>
    <x v="0"/>
    <x v="0"/>
    <x v="11"/>
    <s v="Rural"/>
    <x v="0"/>
    <x v="0"/>
    <x v="0"/>
  </r>
  <r>
    <n v="74"/>
    <x v="0"/>
    <x v="0"/>
    <x v="0"/>
    <x v="11"/>
    <s v="Rural"/>
    <x v="0"/>
    <x v="0"/>
    <x v="0"/>
  </r>
  <r>
    <n v="75"/>
    <x v="0"/>
    <x v="0"/>
    <x v="0"/>
    <x v="11"/>
    <s v="Rural"/>
    <x v="0"/>
    <x v="0"/>
    <x v="0"/>
  </r>
  <r>
    <n v="76"/>
    <x v="0"/>
    <x v="0"/>
    <x v="0"/>
    <x v="11"/>
    <s v="Rural"/>
    <x v="0"/>
    <x v="0"/>
    <x v="0"/>
  </r>
  <r>
    <n v="77"/>
    <x v="0"/>
    <x v="0"/>
    <x v="0"/>
    <x v="11"/>
    <s v="Rural"/>
    <x v="1"/>
    <x v="0"/>
    <x v="0"/>
  </r>
  <r>
    <n v="78"/>
    <x v="0"/>
    <x v="0"/>
    <x v="0"/>
    <x v="11"/>
    <s v="Rural"/>
    <x v="1"/>
    <x v="0"/>
    <x v="0"/>
  </r>
  <r>
    <n v="79"/>
    <x v="0"/>
    <x v="0"/>
    <x v="0"/>
    <x v="11"/>
    <s v="Rural"/>
    <x v="1"/>
    <x v="1"/>
    <x v="0"/>
  </r>
  <r>
    <n v="80"/>
    <x v="0"/>
    <x v="0"/>
    <x v="0"/>
    <x v="11"/>
    <s v="Rural"/>
    <x v="1"/>
    <x v="0"/>
    <x v="0"/>
  </r>
  <r>
    <n v="1"/>
    <x v="0"/>
    <x v="0"/>
    <x v="1"/>
    <x v="0"/>
    <s v="Rural"/>
    <x v="1"/>
    <x v="0"/>
    <x v="0"/>
  </r>
  <r>
    <n v="2"/>
    <x v="0"/>
    <x v="0"/>
    <x v="1"/>
    <x v="0"/>
    <s v="Rural"/>
    <x v="1"/>
    <x v="0"/>
    <x v="0"/>
  </r>
  <r>
    <n v="3"/>
    <x v="0"/>
    <x v="0"/>
    <x v="1"/>
    <x v="0"/>
    <s v="Rural"/>
    <x v="1"/>
    <x v="1"/>
    <x v="0"/>
  </r>
  <r>
    <n v="4"/>
    <x v="0"/>
    <x v="0"/>
    <x v="1"/>
    <x v="0"/>
    <s v="Rural"/>
    <x v="1"/>
    <x v="2"/>
    <x v="0"/>
  </r>
  <r>
    <n v="5"/>
    <x v="0"/>
    <x v="0"/>
    <x v="1"/>
    <x v="0"/>
    <s v="Rural"/>
    <x v="1"/>
    <x v="2"/>
    <x v="0"/>
  </r>
  <r>
    <n v="6"/>
    <x v="0"/>
    <x v="0"/>
    <x v="1"/>
    <x v="0"/>
    <s v="Rural"/>
    <x v="1"/>
    <x v="0"/>
    <x v="0"/>
  </r>
  <r>
    <n v="7"/>
    <x v="0"/>
    <x v="0"/>
    <x v="1"/>
    <x v="0"/>
    <s v="Rural"/>
    <x v="1"/>
    <x v="1"/>
    <x v="0"/>
  </r>
  <r>
    <n v="8"/>
    <x v="0"/>
    <x v="0"/>
    <x v="1"/>
    <x v="0"/>
    <s v="Rural"/>
    <x v="1"/>
    <x v="0"/>
    <x v="0"/>
  </r>
  <r>
    <n v="9"/>
    <x v="0"/>
    <x v="0"/>
    <x v="1"/>
    <x v="0"/>
    <s v="Rural"/>
    <x v="0"/>
    <x v="0"/>
    <x v="0"/>
  </r>
  <r>
    <n v="10"/>
    <x v="0"/>
    <x v="0"/>
    <x v="1"/>
    <x v="0"/>
    <s v="Rural"/>
    <x v="0"/>
    <x v="0"/>
    <x v="0"/>
  </r>
  <r>
    <n v="11"/>
    <x v="0"/>
    <x v="0"/>
    <x v="1"/>
    <x v="0"/>
    <s v="Rural"/>
    <x v="0"/>
    <x v="0"/>
    <x v="0"/>
  </r>
  <r>
    <n v="12"/>
    <x v="0"/>
    <x v="0"/>
    <x v="1"/>
    <x v="0"/>
    <s v="Rural"/>
    <x v="0"/>
    <x v="0"/>
    <x v="0"/>
  </r>
  <r>
    <n v="13"/>
    <x v="0"/>
    <x v="0"/>
    <x v="1"/>
    <x v="0"/>
    <s v="Rural"/>
    <x v="0"/>
    <x v="0"/>
    <x v="0"/>
  </r>
  <r>
    <n v="14"/>
    <x v="0"/>
    <x v="0"/>
    <x v="1"/>
    <x v="0"/>
    <s v="Rural"/>
    <x v="0"/>
    <x v="1"/>
    <x v="0"/>
  </r>
  <r>
    <n v="15"/>
    <x v="0"/>
    <x v="0"/>
    <x v="1"/>
    <x v="0"/>
    <s v="Rural"/>
    <x v="1"/>
    <x v="0"/>
    <x v="0"/>
  </r>
  <r>
    <n v="16"/>
    <x v="0"/>
    <x v="0"/>
    <x v="1"/>
    <x v="0"/>
    <s v="Rural"/>
    <x v="1"/>
    <x v="0"/>
    <x v="0"/>
  </r>
  <r>
    <n v="17"/>
    <x v="0"/>
    <x v="0"/>
    <x v="1"/>
    <x v="0"/>
    <s v="Rural"/>
    <x v="1"/>
    <x v="0"/>
    <x v="0"/>
  </r>
  <r>
    <n v="18"/>
    <x v="0"/>
    <x v="0"/>
    <x v="1"/>
    <x v="0"/>
    <s v="Rural"/>
    <x v="1"/>
    <x v="0"/>
    <x v="0"/>
  </r>
  <r>
    <n v="19"/>
    <x v="0"/>
    <x v="0"/>
    <x v="1"/>
    <x v="0"/>
    <s v="Rural"/>
    <x v="1"/>
    <x v="0"/>
    <x v="0"/>
  </r>
  <r>
    <n v="20"/>
    <x v="0"/>
    <x v="0"/>
    <x v="1"/>
    <x v="0"/>
    <s v="Rural"/>
    <x v="0"/>
    <x v="0"/>
    <x v="0"/>
  </r>
  <r>
    <n v="21"/>
    <x v="0"/>
    <x v="0"/>
    <x v="1"/>
    <x v="0"/>
    <s v="Rural"/>
    <x v="0"/>
    <x v="0"/>
    <x v="0"/>
  </r>
  <r>
    <n v="22"/>
    <x v="0"/>
    <x v="0"/>
    <x v="1"/>
    <x v="0"/>
    <s v="Rural"/>
    <x v="0"/>
    <x v="0"/>
    <x v="0"/>
  </r>
  <r>
    <n v="23"/>
    <x v="0"/>
    <x v="0"/>
    <x v="1"/>
    <x v="0"/>
    <s v="Rural"/>
    <x v="0"/>
    <x v="0"/>
    <x v="0"/>
  </r>
  <r>
    <n v="24"/>
    <x v="0"/>
    <x v="0"/>
    <x v="1"/>
    <x v="0"/>
    <s v="Rural"/>
    <x v="0"/>
    <x v="0"/>
    <x v="0"/>
  </r>
  <r>
    <n v="25"/>
    <x v="0"/>
    <x v="0"/>
    <x v="1"/>
    <x v="1"/>
    <s v="Rural"/>
    <x v="0"/>
    <x v="0"/>
    <x v="0"/>
  </r>
  <r>
    <n v="26"/>
    <x v="0"/>
    <x v="0"/>
    <x v="1"/>
    <x v="1"/>
    <s v="Rural"/>
    <x v="0"/>
    <x v="0"/>
    <x v="0"/>
  </r>
  <r>
    <n v="27"/>
    <x v="0"/>
    <x v="0"/>
    <x v="1"/>
    <x v="1"/>
    <s v="Rural"/>
    <x v="0"/>
    <x v="0"/>
    <x v="0"/>
  </r>
  <r>
    <n v="28"/>
    <x v="0"/>
    <x v="0"/>
    <x v="1"/>
    <x v="1"/>
    <s v="Rural"/>
    <x v="1"/>
    <x v="0"/>
    <x v="0"/>
  </r>
  <r>
    <n v="29"/>
    <x v="0"/>
    <x v="0"/>
    <x v="1"/>
    <x v="2"/>
    <s v="Rural"/>
    <x v="0"/>
    <x v="0"/>
    <x v="0"/>
  </r>
  <r>
    <n v="30"/>
    <x v="0"/>
    <x v="0"/>
    <x v="1"/>
    <x v="2"/>
    <s v="Rural"/>
    <x v="0"/>
    <x v="0"/>
    <x v="0"/>
  </r>
  <r>
    <n v="31"/>
    <x v="0"/>
    <x v="0"/>
    <x v="1"/>
    <x v="2"/>
    <s v="Rural"/>
    <x v="1"/>
    <x v="0"/>
    <x v="0"/>
  </r>
  <r>
    <n v="32"/>
    <x v="0"/>
    <x v="0"/>
    <x v="1"/>
    <x v="2"/>
    <s v="Rural"/>
    <x v="1"/>
    <x v="0"/>
    <x v="0"/>
  </r>
  <r>
    <n v="33"/>
    <x v="0"/>
    <x v="0"/>
    <x v="1"/>
    <x v="2"/>
    <s v="Rural"/>
    <x v="1"/>
    <x v="0"/>
    <x v="0"/>
  </r>
  <r>
    <n v="34"/>
    <x v="0"/>
    <x v="0"/>
    <x v="1"/>
    <x v="3"/>
    <s v="Rural"/>
    <x v="0"/>
    <x v="1"/>
    <x v="0"/>
  </r>
  <r>
    <n v="35"/>
    <x v="0"/>
    <x v="0"/>
    <x v="1"/>
    <x v="3"/>
    <s v="Rural"/>
    <x v="1"/>
    <x v="0"/>
    <x v="0"/>
  </r>
  <r>
    <n v="36"/>
    <x v="0"/>
    <x v="0"/>
    <x v="1"/>
    <x v="3"/>
    <s v="Rural"/>
    <x v="1"/>
    <x v="0"/>
    <x v="0"/>
  </r>
  <r>
    <n v="37"/>
    <x v="0"/>
    <x v="0"/>
    <x v="1"/>
    <x v="4"/>
    <s v="Rural"/>
    <x v="0"/>
    <x v="0"/>
    <x v="0"/>
  </r>
  <r>
    <n v="38"/>
    <x v="0"/>
    <x v="0"/>
    <x v="1"/>
    <x v="4"/>
    <s v="Rural"/>
    <x v="0"/>
    <x v="0"/>
    <x v="0"/>
  </r>
  <r>
    <n v="39"/>
    <x v="0"/>
    <x v="0"/>
    <x v="1"/>
    <x v="4"/>
    <s v="Rural"/>
    <x v="0"/>
    <x v="0"/>
    <x v="0"/>
  </r>
  <r>
    <n v="40"/>
    <x v="0"/>
    <x v="0"/>
    <x v="1"/>
    <x v="4"/>
    <s v="Rural"/>
    <x v="0"/>
    <x v="0"/>
    <x v="0"/>
  </r>
  <r>
    <n v="41"/>
    <x v="0"/>
    <x v="0"/>
    <x v="1"/>
    <x v="4"/>
    <s v="Rural"/>
    <x v="1"/>
    <x v="0"/>
    <x v="0"/>
  </r>
  <r>
    <n v="42"/>
    <x v="0"/>
    <x v="0"/>
    <x v="1"/>
    <x v="4"/>
    <s v="Rural"/>
    <x v="1"/>
    <x v="0"/>
    <x v="0"/>
  </r>
  <r>
    <n v="43"/>
    <x v="0"/>
    <x v="0"/>
    <x v="1"/>
    <x v="4"/>
    <s v="Rural"/>
    <x v="1"/>
    <x v="0"/>
    <x v="0"/>
  </r>
  <r>
    <n v="44"/>
    <x v="0"/>
    <x v="0"/>
    <x v="1"/>
    <x v="4"/>
    <s v="Rural"/>
    <x v="1"/>
    <x v="0"/>
    <x v="0"/>
  </r>
  <r>
    <n v="45"/>
    <x v="0"/>
    <x v="0"/>
    <x v="1"/>
    <x v="4"/>
    <s v="Rural"/>
    <x v="1"/>
    <x v="0"/>
    <x v="0"/>
  </r>
  <r>
    <n v="46"/>
    <x v="0"/>
    <x v="0"/>
    <x v="1"/>
    <x v="12"/>
    <s v="Rural"/>
    <x v="1"/>
    <x v="1"/>
    <x v="0"/>
  </r>
  <r>
    <n v="47"/>
    <x v="0"/>
    <x v="0"/>
    <x v="1"/>
    <x v="12"/>
    <s v="Rural"/>
    <x v="0"/>
    <x v="1"/>
    <x v="0"/>
  </r>
  <r>
    <n v="48"/>
    <x v="0"/>
    <x v="0"/>
    <x v="1"/>
    <x v="5"/>
    <s v="Rural"/>
    <x v="1"/>
    <x v="0"/>
    <x v="0"/>
  </r>
  <r>
    <n v="49"/>
    <x v="0"/>
    <x v="0"/>
    <x v="1"/>
    <x v="5"/>
    <s v="Rural"/>
    <x v="1"/>
    <x v="0"/>
    <x v="0"/>
  </r>
  <r>
    <n v="50"/>
    <x v="0"/>
    <x v="0"/>
    <x v="1"/>
    <x v="5"/>
    <s v="Rural"/>
    <x v="1"/>
    <x v="0"/>
    <x v="0"/>
  </r>
  <r>
    <n v="51"/>
    <x v="0"/>
    <x v="0"/>
    <x v="1"/>
    <x v="5"/>
    <s v="Rural"/>
    <x v="1"/>
    <x v="1"/>
    <x v="0"/>
  </r>
  <r>
    <n v="52"/>
    <x v="0"/>
    <x v="0"/>
    <x v="1"/>
    <x v="5"/>
    <s v="Rural"/>
    <x v="0"/>
    <x v="0"/>
    <x v="0"/>
  </r>
  <r>
    <n v="53"/>
    <x v="0"/>
    <x v="0"/>
    <x v="1"/>
    <x v="5"/>
    <s v="Rural"/>
    <x v="0"/>
    <x v="0"/>
    <x v="0"/>
  </r>
  <r>
    <n v="54"/>
    <x v="0"/>
    <x v="0"/>
    <x v="1"/>
    <x v="5"/>
    <s v="Rural"/>
    <x v="0"/>
    <x v="0"/>
    <x v="0"/>
  </r>
  <r>
    <n v="55"/>
    <x v="0"/>
    <x v="0"/>
    <x v="1"/>
    <x v="5"/>
    <s v="Rural"/>
    <x v="0"/>
    <x v="1"/>
    <x v="0"/>
  </r>
  <r>
    <n v="56"/>
    <x v="0"/>
    <x v="0"/>
    <x v="1"/>
    <x v="5"/>
    <s v="Rural"/>
    <x v="0"/>
    <x v="0"/>
    <x v="0"/>
  </r>
  <r>
    <n v="57"/>
    <x v="0"/>
    <x v="0"/>
    <x v="1"/>
    <x v="5"/>
    <s v="Rural"/>
    <x v="0"/>
    <x v="0"/>
    <x v="0"/>
  </r>
  <r>
    <n v="58"/>
    <x v="0"/>
    <x v="0"/>
    <x v="1"/>
    <x v="5"/>
    <s v="Rural"/>
    <x v="0"/>
    <x v="2"/>
    <x v="0"/>
  </r>
  <r>
    <n v="59"/>
    <x v="0"/>
    <x v="0"/>
    <x v="1"/>
    <x v="5"/>
    <s v="Rural"/>
    <x v="0"/>
    <x v="0"/>
    <x v="0"/>
  </r>
  <r>
    <n v="60"/>
    <x v="0"/>
    <x v="0"/>
    <x v="1"/>
    <x v="5"/>
    <s v="Rural"/>
    <x v="1"/>
    <x v="0"/>
    <x v="0"/>
  </r>
  <r>
    <n v="61"/>
    <x v="0"/>
    <x v="0"/>
    <x v="1"/>
    <x v="5"/>
    <s v="Rural"/>
    <x v="1"/>
    <x v="0"/>
    <x v="0"/>
  </r>
  <r>
    <n v="62"/>
    <x v="0"/>
    <x v="0"/>
    <x v="1"/>
    <x v="5"/>
    <s v="Rural"/>
    <x v="1"/>
    <x v="0"/>
    <x v="0"/>
  </r>
  <r>
    <n v="63"/>
    <x v="0"/>
    <x v="0"/>
    <x v="1"/>
    <x v="5"/>
    <s v="Rural"/>
    <x v="1"/>
    <x v="0"/>
    <x v="0"/>
  </r>
  <r>
    <n v="64"/>
    <x v="0"/>
    <x v="0"/>
    <x v="1"/>
    <x v="5"/>
    <s v="Rural"/>
    <x v="1"/>
    <x v="2"/>
    <x v="0"/>
  </r>
  <r>
    <n v="65"/>
    <x v="0"/>
    <x v="0"/>
    <x v="1"/>
    <x v="5"/>
    <s v="Rural"/>
    <x v="1"/>
    <x v="0"/>
    <x v="0"/>
  </r>
  <r>
    <n v="66"/>
    <x v="0"/>
    <x v="0"/>
    <x v="1"/>
    <x v="5"/>
    <s v="Rural"/>
    <x v="1"/>
    <x v="0"/>
    <x v="0"/>
  </r>
  <r>
    <n v="67"/>
    <x v="0"/>
    <x v="0"/>
    <x v="1"/>
    <x v="5"/>
    <s v="Rural"/>
    <x v="0"/>
    <x v="1"/>
    <x v="0"/>
  </r>
  <r>
    <n v="68"/>
    <x v="0"/>
    <x v="0"/>
    <x v="1"/>
    <x v="5"/>
    <s v="Rural"/>
    <x v="0"/>
    <x v="0"/>
    <x v="0"/>
  </r>
  <r>
    <n v="69"/>
    <x v="0"/>
    <x v="0"/>
    <x v="1"/>
    <x v="5"/>
    <s v="Rural"/>
    <x v="0"/>
    <x v="0"/>
    <x v="0"/>
  </r>
  <r>
    <n v="70"/>
    <x v="0"/>
    <x v="0"/>
    <x v="1"/>
    <x v="5"/>
    <s v="Rural"/>
    <x v="0"/>
    <x v="0"/>
    <x v="0"/>
  </r>
  <r>
    <n v="71"/>
    <x v="0"/>
    <x v="0"/>
    <x v="1"/>
    <x v="5"/>
    <s v="Rural"/>
    <x v="0"/>
    <x v="0"/>
    <x v="0"/>
  </r>
  <r>
    <n v="72"/>
    <x v="0"/>
    <x v="0"/>
    <x v="1"/>
    <x v="13"/>
    <s v="Rural"/>
    <x v="1"/>
    <x v="1"/>
    <x v="0"/>
  </r>
  <r>
    <n v="73"/>
    <x v="0"/>
    <x v="0"/>
    <x v="1"/>
    <x v="8"/>
    <s v="Rural"/>
    <x v="0"/>
    <x v="0"/>
    <x v="0"/>
  </r>
  <r>
    <n v="74"/>
    <x v="0"/>
    <x v="0"/>
    <x v="1"/>
    <x v="9"/>
    <s v="Rural"/>
    <x v="1"/>
    <x v="1"/>
    <x v="0"/>
  </r>
  <r>
    <n v="75"/>
    <x v="0"/>
    <x v="0"/>
    <x v="1"/>
    <x v="9"/>
    <s v="Rural"/>
    <x v="1"/>
    <x v="1"/>
    <x v="0"/>
  </r>
  <r>
    <n v="76"/>
    <x v="0"/>
    <x v="0"/>
    <x v="1"/>
    <x v="14"/>
    <s v="Rural"/>
    <x v="0"/>
    <x v="2"/>
    <x v="0"/>
  </r>
  <r>
    <n v="77"/>
    <x v="0"/>
    <x v="0"/>
    <x v="1"/>
    <x v="10"/>
    <s v="Rural"/>
    <x v="0"/>
    <x v="1"/>
    <x v="0"/>
  </r>
  <r>
    <n v="78"/>
    <x v="0"/>
    <x v="0"/>
    <x v="1"/>
    <x v="11"/>
    <s v="Rural"/>
    <x v="0"/>
    <x v="1"/>
    <x v="0"/>
  </r>
  <r>
    <n v="79"/>
    <x v="0"/>
    <x v="0"/>
    <x v="1"/>
    <x v="11"/>
    <s v="Rural"/>
    <x v="0"/>
    <x v="0"/>
    <x v="0"/>
  </r>
  <r>
    <n v="80"/>
    <x v="0"/>
    <x v="0"/>
    <x v="1"/>
    <x v="11"/>
    <s v="Rural"/>
    <x v="0"/>
    <x v="0"/>
    <x v="0"/>
  </r>
  <r>
    <n v="81"/>
    <x v="0"/>
    <x v="0"/>
    <x v="1"/>
    <x v="11"/>
    <s v="Rural"/>
    <x v="0"/>
    <x v="1"/>
    <x v="0"/>
  </r>
  <r>
    <n v="82"/>
    <x v="0"/>
    <x v="0"/>
    <x v="1"/>
    <x v="11"/>
    <s v="Rural"/>
    <x v="0"/>
    <x v="0"/>
    <x v="0"/>
  </r>
  <r>
    <n v="83"/>
    <x v="0"/>
    <x v="0"/>
    <x v="1"/>
    <x v="11"/>
    <s v="Rural"/>
    <x v="1"/>
    <x v="0"/>
    <x v="0"/>
  </r>
  <r>
    <n v="84"/>
    <x v="0"/>
    <x v="0"/>
    <x v="1"/>
    <x v="11"/>
    <s v="Rural"/>
    <x v="1"/>
    <x v="0"/>
    <x v="0"/>
  </r>
  <r>
    <n v="85"/>
    <x v="0"/>
    <x v="0"/>
    <x v="1"/>
    <x v="11"/>
    <s v="Rural"/>
    <x v="1"/>
    <x v="0"/>
    <x v="0"/>
  </r>
  <r>
    <n v="86"/>
    <x v="0"/>
    <x v="0"/>
    <x v="1"/>
    <x v="11"/>
    <s v="Rural"/>
    <x v="1"/>
    <x v="0"/>
    <x v="0"/>
  </r>
  <r>
    <n v="87"/>
    <x v="0"/>
    <x v="0"/>
    <x v="1"/>
    <x v="11"/>
    <s v="Rural"/>
    <x v="1"/>
    <x v="1"/>
    <x v="0"/>
  </r>
  <r>
    <n v="1"/>
    <x v="0"/>
    <x v="1"/>
    <x v="2"/>
    <x v="5"/>
    <s v="Rural"/>
    <x v="0"/>
    <x v="0"/>
    <x v="0"/>
  </r>
  <r>
    <n v="2"/>
    <x v="0"/>
    <x v="1"/>
    <x v="2"/>
    <x v="5"/>
    <s v="Rural"/>
    <x v="0"/>
    <x v="1"/>
    <x v="0"/>
  </r>
  <r>
    <n v="3"/>
    <x v="0"/>
    <x v="1"/>
    <x v="2"/>
    <x v="5"/>
    <s v="Rural"/>
    <x v="0"/>
    <x v="0"/>
    <x v="0"/>
  </r>
  <r>
    <n v="4"/>
    <x v="0"/>
    <x v="1"/>
    <x v="2"/>
    <x v="5"/>
    <s v="Rural"/>
    <x v="0"/>
    <x v="0"/>
    <x v="0"/>
  </r>
  <r>
    <n v="5"/>
    <x v="0"/>
    <x v="1"/>
    <x v="2"/>
    <x v="5"/>
    <s v="Rural"/>
    <x v="0"/>
    <x v="0"/>
    <x v="0"/>
  </r>
  <r>
    <n v="6"/>
    <x v="0"/>
    <x v="1"/>
    <x v="2"/>
    <x v="5"/>
    <s v="Rural"/>
    <x v="0"/>
    <x v="0"/>
    <x v="0"/>
  </r>
  <r>
    <n v="7"/>
    <x v="0"/>
    <x v="1"/>
    <x v="2"/>
    <x v="5"/>
    <s v="Rural"/>
    <x v="0"/>
    <x v="0"/>
    <x v="0"/>
  </r>
  <r>
    <n v="8"/>
    <x v="0"/>
    <x v="1"/>
    <x v="2"/>
    <x v="5"/>
    <s v="Rural"/>
    <x v="0"/>
    <x v="0"/>
    <x v="0"/>
  </r>
  <r>
    <n v="9"/>
    <x v="0"/>
    <x v="1"/>
    <x v="2"/>
    <x v="5"/>
    <s v="Rural"/>
    <x v="0"/>
    <x v="0"/>
    <x v="0"/>
  </r>
  <r>
    <n v="10"/>
    <x v="0"/>
    <x v="1"/>
    <x v="2"/>
    <x v="5"/>
    <s v="Rural"/>
    <x v="0"/>
    <x v="0"/>
    <x v="0"/>
  </r>
  <r>
    <n v="11"/>
    <x v="0"/>
    <x v="1"/>
    <x v="2"/>
    <x v="5"/>
    <s v="Rural"/>
    <x v="0"/>
    <x v="0"/>
    <x v="0"/>
  </r>
  <r>
    <n v="12"/>
    <x v="0"/>
    <x v="1"/>
    <x v="2"/>
    <x v="5"/>
    <s v="Rural"/>
    <x v="0"/>
    <x v="0"/>
    <x v="0"/>
  </r>
  <r>
    <n v="13"/>
    <x v="0"/>
    <x v="1"/>
    <x v="2"/>
    <x v="5"/>
    <s v="Rural"/>
    <x v="0"/>
    <x v="0"/>
    <x v="0"/>
  </r>
  <r>
    <n v="14"/>
    <x v="0"/>
    <x v="1"/>
    <x v="2"/>
    <x v="5"/>
    <s v="Rural"/>
    <x v="0"/>
    <x v="0"/>
    <x v="0"/>
  </r>
  <r>
    <n v="15"/>
    <x v="0"/>
    <x v="1"/>
    <x v="2"/>
    <x v="5"/>
    <s v="Rural"/>
    <x v="0"/>
    <x v="1"/>
    <x v="0"/>
  </r>
  <r>
    <n v="16"/>
    <x v="0"/>
    <x v="1"/>
    <x v="2"/>
    <x v="5"/>
    <s v="Rural"/>
    <x v="0"/>
    <x v="0"/>
    <x v="0"/>
  </r>
  <r>
    <n v="17"/>
    <x v="0"/>
    <x v="1"/>
    <x v="2"/>
    <x v="5"/>
    <s v="Rural"/>
    <x v="0"/>
    <x v="0"/>
    <x v="0"/>
  </r>
  <r>
    <n v="18"/>
    <x v="0"/>
    <x v="1"/>
    <x v="2"/>
    <x v="5"/>
    <s v="Rural"/>
    <x v="0"/>
    <x v="0"/>
    <x v="0"/>
  </r>
  <r>
    <n v="19"/>
    <x v="0"/>
    <x v="1"/>
    <x v="2"/>
    <x v="5"/>
    <s v="Rural"/>
    <x v="0"/>
    <x v="0"/>
    <x v="0"/>
  </r>
  <r>
    <n v="20"/>
    <x v="0"/>
    <x v="1"/>
    <x v="2"/>
    <x v="5"/>
    <s v="Rural"/>
    <x v="0"/>
    <x v="0"/>
    <x v="0"/>
  </r>
  <r>
    <n v="21"/>
    <x v="0"/>
    <x v="1"/>
    <x v="2"/>
    <x v="5"/>
    <s v="Rural"/>
    <x v="1"/>
    <x v="0"/>
    <x v="0"/>
  </r>
  <r>
    <n v="22"/>
    <x v="0"/>
    <x v="1"/>
    <x v="2"/>
    <x v="5"/>
    <s v="Rural"/>
    <x v="1"/>
    <x v="0"/>
    <x v="0"/>
  </r>
  <r>
    <n v="23"/>
    <x v="0"/>
    <x v="1"/>
    <x v="2"/>
    <x v="5"/>
    <s v="Rural"/>
    <x v="1"/>
    <x v="0"/>
    <x v="0"/>
  </r>
  <r>
    <n v="24"/>
    <x v="0"/>
    <x v="1"/>
    <x v="2"/>
    <x v="5"/>
    <s v="Rural"/>
    <x v="1"/>
    <x v="1"/>
    <x v="0"/>
  </r>
  <r>
    <n v="25"/>
    <x v="0"/>
    <x v="1"/>
    <x v="2"/>
    <x v="5"/>
    <s v="Rural"/>
    <x v="1"/>
    <x v="0"/>
    <x v="0"/>
  </r>
  <r>
    <n v="26"/>
    <x v="0"/>
    <x v="1"/>
    <x v="2"/>
    <x v="5"/>
    <s v="Rural"/>
    <x v="1"/>
    <x v="0"/>
    <x v="0"/>
  </r>
  <r>
    <n v="27"/>
    <x v="0"/>
    <x v="1"/>
    <x v="2"/>
    <x v="5"/>
    <s v="Rural"/>
    <x v="1"/>
    <x v="1"/>
    <x v="0"/>
  </r>
  <r>
    <n v="28"/>
    <x v="0"/>
    <x v="1"/>
    <x v="2"/>
    <x v="5"/>
    <s v="Rural"/>
    <x v="1"/>
    <x v="1"/>
    <x v="0"/>
  </r>
  <r>
    <n v="29"/>
    <x v="0"/>
    <x v="1"/>
    <x v="2"/>
    <x v="5"/>
    <s v="Rural"/>
    <x v="1"/>
    <x v="0"/>
    <x v="0"/>
  </r>
  <r>
    <n v="30"/>
    <x v="0"/>
    <x v="1"/>
    <x v="2"/>
    <x v="5"/>
    <s v="Rural"/>
    <x v="1"/>
    <x v="1"/>
    <x v="0"/>
  </r>
  <r>
    <n v="31"/>
    <x v="0"/>
    <x v="1"/>
    <x v="2"/>
    <x v="5"/>
    <s v="Rural"/>
    <x v="1"/>
    <x v="1"/>
    <x v="0"/>
  </r>
  <r>
    <n v="32"/>
    <x v="0"/>
    <x v="1"/>
    <x v="2"/>
    <x v="5"/>
    <s v="Rural"/>
    <x v="1"/>
    <x v="0"/>
    <x v="0"/>
  </r>
  <r>
    <n v="33"/>
    <x v="0"/>
    <x v="1"/>
    <x v="2"/>
    <x v="5"/>
    <s v="Rural"/>
    <x v="1"/>
    <x v="0"/>
    <x v="0"/>
  </r>
  <r>
    <n v="34"/>
    <x v="0"/>
    <x v="1"/>
    <x v="2"/>
    <x v="5"/>
    <s v="Rural"/>
    <x v="1"/>
    <x v="0"/>
    <x v="0"/>
  </r>
  <r>
    <n v="35"/>
    <x v="0"/>
    <x v="1"/>
    <x v="2"/>
    <x v="5"/>
    <s v="Rural"/>
    <x v="1"/>
    <x v="0"/>
    <x v="0"/>
  </r>
  <r>
    <n v="36"/>
    <x v="0"/>
    <x v="1"/>
    <x v="2"/>
    <x v="5"/>
    <s v="Rural"/>
    <x v="1"/>
    <x v="0"/>
    <x v="0"/>
  </r>
  <r>
    <n v="37"/>
    <x v="0"/>
    <x v="1"/>
    <x v="2"/>
    <x v="5"/>
    <s v="Rural"/>
    <x v="1"/>
    <x v="0"/>
    <x v="0"/>
  </r>
  <r>
    <n v="1"/>
    <x v="0"/>
    <x v="1"/>
    <x v="3"/>
    <x v="5"/>
    <s v="Rural"/>
    <x v="0"/>
    <x v="0"/>
    <x v="0"/>
  </r>
  <r>
    <n v="2"/>
    <x v="0"/>
    <x v="1"/>
    <x v="3"/>
    <x v="5"/>
    <s v="Rural"/>
    <x v="0"/>
    <x v="0"/>
    <x v="0"/>
  </r>
  <r>
    <n v="3"/>
    <x v="0"/>
    <x v="1"/>
    <x v="3"/>
    <x v="5"/>
    <s v="Rural"/>
    <x v="0"/>
    <x v="0"/>
    <x v="0"/>
  </r>
  <r>
    <n v="4"/>
    <x v="0"/>
    <x v="1"/>
    <x v="3"/>
    <x v="5"/>
    <s v="Rural"/>
    <x v="0"/>
    <x v="0"/>
    <x v="0"/>
  </r>
  <r>
    <n v="5"/>
    <x v="0"/>
    <x v="1"/>
    <x v="3"/>
    <x v="5"/>
    <s v="Rural"/>
    <x v="0"/>
    <x v="0"/>
    <x v="0"/>
  </r>
  <r>
    <n v="6"/>
    <x v="0"/>
    <x v="1"/>
    <x v="3"/>
    <x v="5"/>
    <s v="Rural"/>
    <x v="0"/>
    <x v="0"/>
    <x v="0"/>
  </r>
  <r>
    <n v="7"/>
    <x v="0"/>
    <x v="1"/>
    <x v="3"/>
    <x v="5"/>
    <s v="Rural"/>
    <x v="0"/>
    <x v="0"/>
    <x v="0"/>
  </r>
  <r>
    <n v="8"/>
    <x v="0"/>
    <x v="1"/>
    <x v="3"/>
    <x v="5"/>
    <s v="Rural"/>
    <x v="0"/>
    <x v="0"/>
    <x v="0"/>
  </r>
  <r>
    <n v="9"/>
    <x v="0"/>
    <x v="1"/>
    <x v="3"/>
    <x v="5"/>
    <s v="Rural"/>
    <x v="0"/>
    <x v="1"/>
    <x v="0"/>
  </r>
  <r>
    <n v="10"/>
    <x v="0"/>
    <x v="1"/>
    <x v="3"/>
    <x v="5"/>
    <s v="Rural"/>
    <x v="0"/>
    <x v="1"/>
    <x v="0"/>
  </r>
  <r>
    <n v="11"/>
    <x v="0"/>
    <x v="1"/>
    <x v="3"/>
    <x v="5"/>
    <s v="Rural"/>
    <x v="0"/>
    <x v="1"/>
    <x v="0"/>
  </r>
  <r>
    <n v="12"/>
    <x v="0"/>
    <x v="1"/>
    <x v="3"/>
    <x v="5"/>
    <s v="Rural"/>
    <x v="0"/>
    <x v="0"/>
    <x v="0"/>
  </r>
  <r>
    <n v="13"/>
    <x v="0"/>
    <x v="1"/>
    <x v="3"/>
    <x v="5"/>
    <s v="Rural"/>
    <x v="0"/>
    <x v="0"/>
    <x v="0"/>
  </r>
  <r>
    <n v="14"/>
    <x v="0"/>
    <x v="1"/>
    <x v="3"/>
    <x v="5"/>
    <s v="Rural"/>
    <x v="0"/>
    <x v="0"/>
    <x v="0"/>
  </r>
  <r>
    <n v="15"/>
    <x v="0"/>
    <x v="1"/>
    <x v="3"/>
    <x v="5"/>
    <s v="Rural"/>
    <x v="0"/>
    <x v="0"/>
    <x v="0"/>
  </r>
  <r>
    <n v="16"/>
    <x v="0"/>
    <x v="1"/>
    <x v="3"/>
    <x v="5"/>
    <s v="Rural"/>
    <x v="1"/>
    <x v="0"/>
    <x v="0"/>
  </r>
  <r>
    <n v="17"/>
    <x v="0"/>
    <x v="1"/>
    <x v="3"/>
    <x v="5"/>
    <s v="Rural"/>
    <x v="1"/>
    <x v="0"/>
    <x v="0"/>
  </r>
  <r>
    <n v="18"/>
    <x v="0"/>
    <x v="1"/>
    <x v="3"/>
    <x v="5"/>
    <s v="Rural"/>
    <x v="1"/>
    <x v="1"/>
    <x v="0"/>
  </r>
  <r>
    <n v="19"/>
    <x v="0"/>
    <x v="1"/>
    <x v="3"/>
    <x v="5"/>
    <s v="Rural"/>
    <x v="1"/>
    <x v="0"/>
    <x v="0"/>
  </r>
  <r>
    <n v="20"/>
    <x v="0"/>
    <x v="1"/>
    <x v="3"/>
    <x v="5"/>
    <s v="Rural"/>
    <x v="1"/>
    <x v="0"/>
    <x v="0"/>
  </r>
  <r>
    <n v="21"/>
    <x v="0"/>
    <x v="1"/>
    <x v="3"/>
    <x v="5"/>
    <s v="Rural"/>
    <x v="1"/>
    <x v="0"/>
    <x v="0"/>
  </r>
  <r>
    <n v="22"/>
    <x v="0"/>
    <x v="1"/>
    <x v="3"/>
    <x v="5"/>
    <s v="Rural"/>
    <x v="1"/>
    <x v="0"/>
    <x v="0"/>
  </r>
  <r>
    <n v="23"/>
    <x v="0"/>
    <x v="1"/>
    <x v="3"/>
    <x v="5"/>
    <s v="Rural"/>
    <x v="1"/>
    <x v="1"/>
    <x v="0"/>
  </r>
  <r>
    <n v="24"/>
    <x v="0"/>
    <x v="1"/>
    <x v="3"/>
    <x v="5"/>
    <s v="Rural"/>
    <x v="1"/>
    <x v="0"/>
    <x v="0"/>
  </r>
  <r>
    <n v="25"/>
    <x v="0"/>
    <x v="1"/>
    <x v="3"/>
    <x v="5"/>
    <s v="Rural"/>
    <x v="1"/>
    <x v="1"/>
    <x v="0"/>
  </r>
  <r>
    <n v="26"/>
    <x v="0"/>
    <x v="1"/>
    <x v="3"/>
    <x v="5"/>
    <s v="Rural"/>
    <x v="1"/>
    <x v="0"/>
    <x v="0"/>
  </r>
  <r>
    <n v="27"/>
    <x v="0"/>
    <x v="1"/>
    <x v="3"/>
    <x v="5"/>
    <s v="Rural"/>
    <x v="1"/>
    <x v="0"/>
    <x v="0"/>
  </r>
  <r>
    <n v="28"/>
    <x v="0"/>
    <x v="1"/>
    <x v="3"/>
    <x v="5"/>
    <s v="Rural"/>
    <x v="1"/>
    <x v="0"/>
    <x v="0"/>
  </r>
  <r>
    <n v="29"/>
    <x v="0"/>
    <x v="1"/>
    <x v="3"/>
    <x v="5"/>
    <s v="Rural"/>
    <x v="1"/>
    <x v="0"/>
    <x v="0"/>
  </r>
  <r>
    <n v="1"/>
    <x v="1"/>
    <x v="0"/>
    <x v="4"/>
    <x v="15"/>
    <s v="Rural"/>
    <x v="0"/>
    <x v="1"/>
    <x v="0"/>
  </r>
  <r>
    <n v="2"/>
    <x v="1"/>
    <x v="0"/>
    <x v="4"/>
    <x v="15"/>
    <s v="Rural"/>
    <x v="1"/>
    <x v="0"/>
    <x v="0"/>
  </r>
  <r>
    <n v="3"/>
    <x v="1"/>
    <x v="0"/>
    <x v="0"/>
    <x v="15"/>
    <s v="Rural"/>
    <x v="0"/>
    <x v="0"/>
    <x v="0"/>
  </r>
  <r>
    <n v="4"/>
    <x v="1"/>
    <x v="0"/>
    <x v="0"/>
    <x v="15"/>
    <s v="Rural"/>
    <x v="1"/>
    <x v="0"/>
    <x v="0"/>
  </r>
  <r>
    <n v="5"/>
    <x v="1"/>
    <x v="0"/>
    <x v="1"/>
    <x v="15"/>
    <s v="Rural"/>
    <x v="0"/>
    <x v="0"/>
    <x v="0"/>
  </r>
  <r>
    <n v="6"/>
    <x v="1"/>
    <x v="0"/>
    <x v="1"/>
    <x v="15"/>
    <s v="Rural"/>
    <x v="1"/>
    <x v="0"/>
    <x v="0"/>
  </r>
  <r>
    <n v="7"/>
    <x v="1"/>
    <x v="0"/>
    <x v="1"/>
    <x v="15"/>
    <s v="Rural"/>
    <x v="1"/>
    <x v="0"/>
    <x v="0"/>
  </r>
  <r>
    <n v="1"/>
    <x v="1"/>
    <x v="0"/>
    <x v="4"/>
    <x v="16"/>
    <s v="Rural"/>
    <x v="0"/>
    <x v="0"/>
    <x v="0"/>
  </r>
  <r>
    <n v="2"/>
    <x v="1"/>
    <x v="0"/>
    <x v="4"/>
    <x v="16"/>
    <s v="Rural"/>
    <x v="0"/>
    <x v="0"/>
    <x v="0"/>
  </r>
  <r>
    <n v="3"/>
    <x v="1"/>
    <x v="0"/>
    <x v="4"/>
    <x v="16"/>
    <s v="Rural"/>
    <x v="1"/>
    <x v="1"/>
    <x v="0"/>
  </r>
  <r>
    <n v="4"/>
    <x v="1"/>
    <x v="0"/>
    <x v="0"/>
    <x v="16"/>
    <s v="Rural"/>
    <x v="0"/>
    <x v="0"/>
    <x v="0"/>
  </r>
  <r>
    <n v="5"/>
    <x v="1"/>
    <x v="0"/>
    <x v="0"/>
    <x v="16"/>
    <s v="Rural"/>
    <x v="0"/>
    <x v="1"/>
    <x v="0"/>
  </r>
  <r>
    <n v="6"/>
    <x v="1"/>
    <x v="0"/>
    <x v="1"/>
    <x v="16"/>
    <s v="Rural"/>
    <x v="0"/>
    <x v="0"/>
    <x v="0"/>
  </r>
  <r>
    <n v="7"/>
    <x v="1"/>
    <x v="0"/>
    <x v="1"/>
    <x v="16"/>
    <s v="Rural"/>
    <x v="1"/>
    <x v="0"/>
    <x v="0"/>
  </r>
  <r>
    <n v="1"/>
    <x v="1"/>
    <x v="0"/>
    <x v="4"/>
    <x v="17"/>
    <s v="Rural"/>
    <x v="0"/>
    <x v="0"/>
    <x v="0"/>
  </r>
  <r>
    <n v="2"/>
    <x v="1"/>
    <x v="0"/>
    <x v="4"/>
    <x v="17"/>
    <s v="Rural"/>
    <x v="0"/>
    <x v="0"/>
    <x v="0"/>
  </r>
  <r>
    <n v="3"/>
    <x v="1"/>
    <x v="0"/>
    <x v="4"/>
    <x v="17"/>
    <s v="Rural"/>
    <x v="0"/>
    <x v="0"/>
    <x v="0"/>
  </r>
  <r>
    <n v="4"/>
    <x v="1"/>
    <x v="0"/>
    <x v="4"/>
    <x v="17"/>
    <s v="Rural"/>
    <x v="0"/>
    <x v="0"/>
    <x v="0"/>
  </r>
  <r>
    <n v="5"/>
    <x v="1"/>
    <x v="0"/>
    <x v="4"/>
    <x v="17"/>
    <s v="Rural"/>
    <x v="0"/>
    <x v="0"/>
    <x v="0"/>
  </r>
  <r>
    <n v="6"/>
    <x v="1"/>
    <x v="0"/>
    <x v="4"/>
    <x v="17"/>
    <s v="Rural"/>
    <x v="1"/>
    <x v="0"/>
    <x v="0"/>
  </r>
  <r>
    <n v="7"/>
    <x v="1"/>
    <x v="0"/>
    <x v="4"/>
    <x v="17"/>
    <s v="Rural"/>
    <x v="1"/>
    <x v="0"/>
    <x v="0"/>
  </r>
  <r>
    <n v="8"/>
    <x v="1"/>
    <x v="0"/>
    <x v="4"/>
    <x v="17"/>
    <s v="Rural"/>
    <x v="1"/>
    <x v="0"/>
    <x v="0"/>
  </r>
  <r>
    <n v="9"/>
    <x v="1"/>
    <x v="0"/>
    <x v="0"/>
    <x v="17"/>
    <s v="Rural"/>
    <x v="0"/>
    <x v="0"/>
    <x v="0"/>
  </r>
  <r>
    <n v="10"/>
    <x v="1"/>
    <x v="0"/>
    <x v="0"/>
    <x v="17"/>
    <s v="Rural"/>
    <x v="0"/>
    <x v="0"/>
    <x v="0"/>
  </r>
  <r>
    <n v="11"/>
    <x v="1"/>
    <x v="0"/>
    <x v="0"/>
    <x v="17"/>
    <s v="Rural"/>
    <x v="0"/>
    <x v="0"/>
    <x v="0"/>
  </r>
  <r>
    <n v="12"/>
    <x v="1"/>
    <x v="0"/>
    <x v="0"/>
    <x v="17"/>
    <s v="Rural"/>
    <x v="0"/>
    <x v="0"/>
    <x v="0"/>
  </r>
  <r>
    <n v="13"/>
    <x v="1"/>
    <x v="0"/>
    <x v="0"/>
    <x v="17"/>
    <s v="Rural"/>
    <x v="1"/>
    <x v="0"/>
    <x v="0"/>
  </r>
  <r>
    <n v="14"/>
    <x v="1"/>
    <x v="0"/>
    <x v="0"/>
    <x v="17"/>
    <s v="Rural"/>
    <x v="1"/>
    <x v="0"/>
    <x v="0"/>
  </r>
  <r>
    <n v="15"/>
    <x v="1"/>
    <x v="0"/>
    <x v="0"/>
    <x v="17"/>
    <s v="Rural"/>
    <x v="1"/>
    <x v="0"/>
    <x v="0"/>
  </r>
  <r>
    <n v="16"/>
    <x v="1"/>
    <x v="0"/>
    <x v="0"/>
    <x v="17"/>
    <s v="Rural"/>
    <x v="1"/>
    <x v="0"/>
    <x v="0"/>
  </r>
  <r>
    <n v="17"/>
    <x v="1"/>
    <x v="0"/>
    <x v="0"/>
    <x v="17"/>
    <s v="Rural"/>
    <x v="1"/>
    <x v="0"/>
    <x v="0"/>
  </r>
  <r>
    <n v="18"/>
    <x v="1"/>
    <x v="0"/>
    <x v="1"/>
    <x v="17"/>
    <s v="Rural"/>
    <x v="0"/>
    <x v="0"/>
    <x v="0"/>
  </r>
  <r>
    <n v="19"/>
    <x v="1"/>
    <x v="0"/>
    <x v="1"/>
    <x v="17"/>
    <s v="Rural"/>
    <x v="0"/>
    <x v="0"/>
    <x v="0"/>
  </r>
  <r>
    <n v="20"/>
    <x v="1"/>
    <x v="0"/>
    <x v="1"/>
    <x v="17"/>
    <s v="Rural"/>
    <x v="0"/>
    <x v="0"/>
    <x v="0"/>
  </r>
  <r>
    <n v="21"/>
    <x v="1"/>
    <x v="0"/>
    <x v="1"/>
    <x v="17"/>
    <s v="Rural"/>
    <x v="0"/>
    <x v="0"/>
    <x v="0"/>
  </r>
  <r>
    <n v="22"/>
    <x v="1"/>
    <x v="0"/>
    <x v="1"/>
    <x v="17"/>
    <s v="Rural"/>
    <x v="1"/>
    <x v="0"/>
    <x v="0"/>
  </r>
  <r>
    <n v="23"/>
    <x v="1"/>
    <x v="0"/>
    <x v="1"/>
    <x v="17"/>
    <s v="Rural"/>
    <x v="1"/>
    <x v="0"/>
    <x v="0"/>
  </r>
  <r>
    <n v="24"/>
    <x v="1"/>
    <x v="0"/>
    <x v="1"/>
    <x v="17"/>
    <s v="Rural"/>
    <x v="1"/>
    <x v="0"/>
    <x v="0"/>
  </r>
  <r>
    <n v="25"/>
    <x v="1"/>
    <x v="0"/>
    <x v="1"/>
    <x v="17"/>
    <s v="Rural"/>
    <x v="1"/>
    <x v="0"/>
    <x v="0"/>
  </r>
  <r>
    <n v="1"/>
    <x v="1"/>
    <x v="0"/>
    <x v="4"/>
    <x v="18"/>
    <s v="Rural"/>
    <x v="0"/>
    <x v="0"/>
    <x v="0"/>
  </r>
  <r>
    <n v="2"/>
    <x v="1"/>
    <x v="0"/>
    <x v="4"/>
    <x v="18"/>
    <s v="Rural"/>
    <x v="0"/>
    <x v="0"/>
    <x v="0"/>
  </r>
  <r>
    <n v="3"/>
    <x v="1"/>
    <x v="0"/>
    <x v="4"/>
    <x v="18"/>
    <s v="Rural"/>
    <x v="0"/>
    <x v="0"/>
    <x v="0"/>
  </r>
  <r>
    <n v="4"/>
    <x v="1"/>
    <x v="0"/>
    <x v="4"/>
    <x v="18"/>
    <s v="Rural"/>
    <x v="0"/>
    <x v="0"/>
    <x v="0"/>
  </r>
  <r>
    <n v="5"/>
    <x v="1"/>
    <x v="0"/>
    <x v="4"/>
    <x v="18"/>
    <s v="Rural"/>
    <x v="1"/>
    <x v="0"/>
    <x v="0"/>
  </r>
  <r>
    <n v="6"/>
    <x v="1"/>
    <x v="0"/>
    <x v="4"/>
    <x v="18"/>
    <s v="Rural"/>
    <x v="1"/>
    <x v="0"/>
    <x v="0"/>
  </r>
  <r>
    <n v="7"/>
    <x v="1"/>
    <x v="0"/>
    <x v="4"/>
    <x v="18"/>
    <s v="Rural"/>
    <x v="1"/>
    <x v="0"/>
    <x v="0"/>
  </r>
  <r>
    <n v="8"/>
    <x v="1"/>
    <x v="0"/>
    <x v="0"/>
    <x v="18"/>
    <s v="Rural"/>
    <x v="0"/>
    <x v="0"/>
    <x v="0"/>
  </r>
  <r>
    <n v="9"/>
    <x v="1"/>
    <x v="0"/>
    <x v="0"/>
    <x v="18"/>
    <s v="Rural"/>
    <x v="0"/>
    <x v="0"/>
    <x v="0"/>
  </r>
  <r>
    <n v="10"/>
    <x v="1"/>
    <x v="0"/>
    <x v="0"/>
    <x v="18"/>
    <s v="Rural"/>
    <x v="1"/>
    <x v="0"/>
    <x v="0"/>
  </r>
  <r>
    <n v="11"/>
    <x v="1"/>
    <x v="0"/>
    <x v="0"/>
    <x v="18"/>
    <s v="Rural"/>
    <x v="1"/>
    <x v="0"/>
    <x v="0"/>
  </r>
  <r>
    <n v="12"/>
    <x v="1"/>
    <x v="0"/>
    <x v="1"/>
    <x v="18"/>
    <s v="Rural"/>
    <x v="0"/>
    <x v="0"/>
    <x v="0"/>
  </r>
  <r>
    <n v="13"/>
    <x v="1"/>
    <x v="0"/>
    <x v="1"/>
    <x v="18"/>
    <s v="Rural"/>
    <x v="0"/>
    <x v="0"/>
    <x v="0"/>
  </r>
  <r>
    <n v="14"/>
    <x v="1"/>
    <x v="0"/>
    <x v="1"/>
    <x v="18"/>
    <s v="Rural"/>
    <x v="1"/>
    <x v="0"/>
    <x v="0"/>
  </r>
  <r>
    <n v="15"/>
    <x v="1"/>
    <x v="0"/>
    <x v="1"/>
    <x v="18"/>
    <s v="Rural"/>
    <x v="1"/>
    <x v="0"/>
    <x v="0"/>
  </r>
  <r>
    <n v="1"/>
    <x v="1"/>
    <x v="0"/>
    <x v="4"/>
    <x v="19"/>
    <s v="Rural"/>
    <x v="0"/>
    <x v="0"/>
    <x v="0"/>
  </r>
  <r>
    <n v="2"/>
    <x v="1"/>
    <x v="0"/>
    <x v="4"/>
    <x v="19"/>
    <s v="Rural"/>
    <x v="0"/>
    <x v="0"/>
    <x v="0"/>
  </r>
  <r>
    <n v="3"/>
    <x v="1"/>
    <x v="0"/>
    <x v="0"/>
    <x v="19"/>
    <s v="Rural"/>
    <x v="1"/>
    <x v="0"/>
    <x v="0"/>
  </r>
  <r>
    <n v="4"/>
    <x v="1"/>
    <x v="0"/>
    <x v="1"/>
    <x v="19"/>
    <s v="Rural"/>
    <x v="1"/>
    <x v="0"/>
    <x v="0"/>
  </r>
  <r>
    <n v="1"/>
    <x v="1"/>
    <x v="0"/>
    <x v="4"/>
    <x v="20"/>
    <s v="Rural"/>
    <x v="1"/>
    <x v="0"/>
    <x v="0"/>
  </r>
  <r>
    <n v="3"/>
    <x v="1"/>
    <x v="0"/>
    <x v="1"/>
    <x v="20"/>
    <s v="Rural"/>
    <x v="0"/>
    <x v="1"/>
    <x v="0"/>
  </r>
  <r>
    <n v="1"/>
    <x v="1"/>
    <x v="0"/>
    <x v="4"/>
    <x v="21"/>
    <s v="Rural"/>
    <x v="0"/>
    <x v="0"/>
    <x v="0"/>
  </r>
  <r>
    <n v="2"/>
    <x v="1"/>
    <x v="0"/>
    <x v="4"/>
    <x v="21"/>
    <s v="Rural"/>
    <x v="0"/>
    <x v="0"/>
    <x v="0"/>
  </r>
  <r>
    <n v="3"/>
    <x v="1"/>
    <x v="0"/>
    <x v="4"/>
    <x v="21"/>
    <s v="Rural"/>
    <x v="0"/>
    <x v="0"/>
    <x v="0"/>
  </r>
  <r>
    <n v="4"/>
    <x v="1"/>
    <x v="0"/>
    <x v="4"/>
    <x v="21"/>
    <s v="Rural"/>
    <x v="0"/>
    <x v="0"/>
    <x v="0"/>
  </r>
  <r>
    <n v="5"/>
    <x v="1"/>
    <x v="0"/>
    <x v="4"/>
    <x v="21"/>
    <s v="Rural"/>
    <x v="0"/>
    <x v="0"/>
    <x v="0"/>
  </r>
  <r>
    <n v="6"/>
    <x v="1"/>
    <x v="0"/>
    <x v="4"/>
    <x v="21"/>
    <s v="Rural"/>
    <x v="1"/>
    <x v="0"/>
    <x v="0"/>
  </r>
  <r>
    <n v="7"/>
    <x v="1"/>
    <x v="0"/>
    <x v="4"/>
    <x v="21"/>
    <s v="Rural"/>
    <x v="1"/>
    <x v="0"/>
    <x v="0"/>
  </r>
  <r>
    <n v="8"/>
    <x v="1"/>
    <x v="0"/>
    <x v="4"/>
    <x v="21"/>
    <s v="Rural"/>
    <x v="1"/>
    <x v="0"/>
    <x v="0"/>
  </r>
  <r>
    <n v="9"/>
    <x v="1"/>
    <x v="0"/>
    <x v="4"/>
    <x v="21"/>
    <s v="Rural"/>
    <x v="1"/>
    <x v="0"/>
    <x v="0"/>
  </r>
  <r>
    <n v="10"/>
    <x v="1"/>
    <x v="0"/>
    <x v="0"/>
    <x v="21"/>
    <s v="Rural"/>
    <x v="0"/>
    <x v="0"/>
    <x v="0"/>
  </r>
  <r>
    <n v="11"/>
    <x v="1"/>
    <x v="0"/>
    <x v="0"/>
    <x v="21"/>
    <s v="Rural"/>
    <x v="0"/>
    <x v="0"/>
    <x v="0"/>
  </r>
  <r>
    <n v="12"/>
    <x v="1"/>
    <x v="0"/>
    <x v="0"/>
    <x v="21"/>
    <s v="Rural"/>
    <x v="0"/>
    <x v="0"/>
    <x v="0"/>
  </r>
  <r>
    <n v="13"/>
    <x v="1"/>
    <x v="0"/>
    <x v="0"/>
    <x v="21"/>
    <s v="Rural"/>
    <x v="0"/>
    <x v="0"/>
    <x v="0"/>
  </r>
  <r>
    <n v="14"/>
    <x v="1"/>
    <x v="0"/>
    <x v="0"/>
    <x v="21"/>
    <s v="Rural"/>
    <x v="0"/>
    <x v="0"/>
    <x v="0"/>
  </r>
  <r>
    <n v="15"/>
    <x v="1"/>
    <x v="0"/>
    <x v="0"/>
    <x v="21"/>
    <s v="Rural"/>
    <x v="0"/>
    <x v="0"/>
    <x v="0"/>
  </r>
  <r>
    <n v="16"/>
    <x v="1"/>
    <x v="0"/>
    <x v="0"/>
    <x v="21"/>
    <s v="Rural"/>
    <x v="1"/>
    <x v="0"/>
    <x v="0"/>
  </r>
  <r>
    <n v="17"/>
    <x v="1"/>
    <x v="0"/>
    <x v="0"/>
    <x v="21"/>
    <s v="Rural"/>
    <x v="1"/>
    <x v="0"/>
    <x v="0"/>
  </r>
  <r>
    <n v="18"/>
    <x v="1"/>
    <x v="0"/>
    <x v="0"/>
    <x v="21"/>
    <s v="Rural"/>
    <x v="1"/>
    <x v="0"/>
    <x v="0"/>
  </r>
  <r>
    <n v="19"/>
    <x v="1"/>
    <x v="0"/>
    <x v="0"/>
    <x v="21"/>
    <s v="Rural"/>
    <x v="1"/>
    <x v="0"/>
    <x v="0"/>
  </r>
  <r>
    <n v="20"/>
    <x v="1"/>
    <x v="0"/>
    <x v="1"/>
    <x v="21"/>
    <s v="Rural"/>
    <x v="0"/>
    <x v="0"/>
    <x v="0"/>
  </r>
  <r>
    <n v="21"/>
    <x v="1"/>
    <x v="0"/>
    <x v="1"/>
    <x v="21"/>
    <s v="Rural"/>
    <x v="0"/>
    <x v="0"/>
    <x v="0"/>
  </r>
  <r>
    <n v="22"/>
    <x v="1"/>
    <x v="0"/>
    <x v="1"/>
    <x v="21"/>
    <s v="Rural"/>
    <x v="0"/>
    <x v="0"/>
    <x v="0"/>
  </r>
  <r>
    <n v="23"/>
    <x v="1"/>
    <x v="0"/>
    <x v="1"/>
    <x v="21"/>
    <s v="Rural"/>
    <x v="0"/>
    <x v="0"/>
    <x v="0"/>
  </r>
  <r>
    <n v="24"/>
    <x v="1"/>
    <x v="0"/>
    <x v="1"/>
    <x v="21"/>
    <s v="Rural"/>
    <x v="1"/>
    <x v="0"/>
    <x v="0"/>
  </r>
  <r>
    <n v="25"/>
    <x v="1"/>
    <x v="0"/>
    <x v="1"/>
    <x v="21"/>
    <s v="Rural"/>
    <x v="1"/>
    <x v="0"/>
    <x v="0"/>
  </r>
  <r>
    <n v="26"/>
    <x v="1"/>
    <x v="0"/>
    <x v="1"/>
    <x v="21"/>
    <s v="Rural"/>
    <x v="1"/>
    <x v="0"/>
    <x v="0"/>
  </r>
  <r>
    <n v="27"/>
    <x v="1"/>
    <x v="0"/>
    <x v="1"/>
    <x v="21"/>
    <s v="Rural"/>
    <x v="1"/>
    <x v="0"/>
    <x v="0"/>
  </r>
  <r>
    <n v="28"/>
    <x v="1"/>
    <x v="0"/>
    <x v="1"/>
    <x v="21"/>
    <s v="Rural"/>
    <x v="1"/>
    <x v="0"/>
    <x v="0"/>
  </r>
  <r>
    <n v="29"/>
    <x v="1"/>
    <x v="0"/>
    <x v="1"/>
    <x v="21"/>
    <s v="Rural"/>
    <x v="1"/>
    <x v="0"/>
    <x v="0"/>
  </r>
  <r>
    <n v="1"/>
    <x v="1"/>
    <x v="0"/>
    <x v="4"/>
    <x v="22"/>
    <s v="Rural"/>
    <x v="0"/>
    <x v="0"/>
    <x v="0"/>
  </r>
  <r>
    <n v="2"/>
    <x v="1"/>
    <x v="0"/>
    <x v="4"/>
    <x v="22"/>
    <s v="Rural"/>
    <x v="1"/>
    <x v="0"/>
    <x v="0"/>
  </r>
  <r>
    <n v="3"/>
    <x v="1"/>
    <x v="0"/>
    <x v="4"/>
    <x v="22"/>
    <s v="Rural"/>
    <x v="1"/>
    <x v="0"/>
    <x v="0"/>
  </r>
  <r>
    <n v="4"/>
    <x v="1"/>
    <x v="0"/>
    <x v="0"/>
    <x v="22"/>
    <s v="Rural"/>
    <x v="0"/>
    <x v="0"/>
    <x v="0"/>
  </r>
  <r>
    <n v="5"/>
    <x v="1"/>
    <x v="0"/>
    <x v="0"/>
    <x v="22"/>
    <s v="Rural"/>
    <x v="0"/>
    <x v="0"/>
    <x v="0"/>
  </r>
  <r>
    <n v="6"/>
    <x v="1"/>
    <x v="0"/>
    <x v="0"/>
    <x v="22"/>
    <s v="Rural"/>
    <x v="1"/>
    <x v="1"/>
    <x v="0"/>
  </r>
  <r>
    <n v="7"/>
    <x v="1"/>
    <x v="0"/>
    <x v="0"/>
    <x v="22"/>
    <s v="Rural"/>
    <x v="1"/>
    <x v="1"/>
    <x v="0"/>
  </r>
  <r>
    <n v="8"/>
    <x v="1"/>
    <x v="0"/>
    <x v="1"/>
    <x v="22"/>
    <s v="Rural"/>
    <x v="0"/>
    <x v="1"/>
    <x v="0"/>
  </r>
  <r>
    <n v="9"/>
    <x v="1"/>
    <x v="0"/>
    <x v="1"/>
    <x v="22"/>
    <s v="Rural"/>
    <x v="0"/>
    <x v="1"/>
    <x v="0"/>
  </r>
  <r>
    <n v="10"/>
    <x v="1"/>
    <x v="0"/>
    <x v="1"/>
    <x v="22"/>
    <s v="Rural"/>
    <x v="1"/>
    <x v="1"/>
    <x v="0"/>
  </r>
  <r>
    <n v="11"/>
    <x v="1"/>
    <x v="0"/>
    <x v="1"/>
    <x v="22"/>
    <s v="Rural"/>
    <x v="1"/>
    <x v="0"/>
    <x v="0"/>
  </r>
  <r>
    <n v="1"/>
    <x v="2"/>
    <x v="1"/>
    <x v="2"/>
    <x v="23"/>
    <s v="Rural"/>
    <x v="1"/>
    <x v="0"/>
    <x v="0"/>
  </r>
  <r>
    <n v="5"/>
    <x v="2"/>
    <x v="1"/>
    <x v="2"/>
    <x v="23"/>
    <s v="Rural"/>
    <x v="1"/>
    <x v="0"/>
    <x v="0"/>
  </r>
  <r>
    <n v="6"/>
    <x v="2"/>
    <x v="1"/>
    <x v="2"/>
    <x v="23"/>
    <s v="Rural"/>
    <x v="0"/>
    <x v="0"/>
    <x v="0"/>
  </r>
  <r>
    <n v="7"/>
    <x v="2"/>
    <x v="1"/>
    <x v="2"/>
    <x v="23"/>
    <s v="Rural"/>
    <x v="1"/>
    <x v="0"/>
    <x v="0"/>
  </r>
  <r>
    <n v="8"/>
    <x v="2"/>
    <x v="1"/>
    <x v="2"/>
    <x v="23"/>
    <s v="Rural"/>
    <x v="1"/>
    <x v="0"/>
    <x v="0"/>
  </r>
  <r>
    <n v="9"/>
    <x v="2"/>
    <x v="1"/>
    <x v="2"/>
    <x v="23"/>
    <s v="Rural"/>
    <x v="0"/>
    <x v="0"/>
    <x v="0"/>
  </r>
  <r>
    <n v="10"/>
    <x v="2"/>
    <x v="1"/>
    <x v="2"/>
    <x v="23"/>
    <s v="Rural"/>
    <x v="1"/>
    <x v="0"/>
    <x v="0"/>
  </r>
  <r>
    <n v="11"/>
    <x v="2"/>
    <x v="1"/>
    <x v="2"/>
    <x v="23"/>
    <s v="Rural"/>
    <x v="0"/>
    <x v="0"/>
    <x v="0"/>
  </r>
  <r>
    <n v="12"/>
    <x v="2"/>
    <x v="1"/>
    <x v="2"/>
    <x v="23"/>
    <s v="Rural"/>
    <x v="0"/>
    <x v="0"/>
    <x v="0"/>
  </r>
  <r>
    <n v="13"/>
    <x v="2"/>
    <x v="1"/>
    <x v="2"/>
    <x v="23"/>
    <s v="Rural"/>
    <x v="1"/>
    <x v="0"/>
    <x v="0"/>
  </r>
  <r>
    <n v="14"/>
    <x v="2"/>
    <x v="1"/>
    <x v="2"/>
    <x v="23"/>
    <s v="Rural"/>
    <x v="0"/>
    <x v="1"/>
    <x v="0"/>
  </r>
  <r>
    <n v="15"/>
    <x v="2"/>
    <x v="1"/>
    <x v="2"/>
    <x v="23"/>
    <s v="Rural"/>
    <x v="0"/>
    <x v="0"/>
    <x v="0"/>
  </r>
  <r>
    <n v="16"/>
    <x v="2"/>
    <x v="1"/>
    <x v="2"/>
    <x v="23"/>
    <s v="Rural"/>
    <x v="0"/>
    <x v="0"/>
    <x v="0"/>
  </r>
  <r>
    <n v="17"/>
    <x v="2"/>
    <x v="1"/>
    <x v="2"/>
    <x v="23"/>
    <s v="Rural"/>
    <x v="1"/>
    <x v="0"/>
    <x v="0"/>
  </r>
  <r>
    <n v="18"/>
    <x v="2"/>
    <x v="1"/>
    <x v="2"/>
    <x v="23"/>
    <s v="Rural"/>
    <x v="0"/>
    <x v="0"/>
    <x v="0"/>
  </r>
  <r>
    <n v="19"/>
    <x v="2"/>
    <x v="1"/>
    <x v="2"/>
    <x v="23"/>
    <s v="Rural"/>
    <x v="0"/>
    <x v="0"/>
    <x v="0"/>
  </r>
  <r>
    <n v="20"/>
    <x v="2"/>
    <x v="1"/>
    <x v="2"/>
    <x v="23"/>
    <s v="Rural"/>
    <x v="1"/>
    <x v="0"/>
    <x v="0"/>
  </r>
  <r>
    <n v="21"/>
    <x v="2"/>
    <x v="1"/>
    <x v="2"/>
    <x v="23"/>
    <s v="Rural"/>
    <x v="0"/>
    <x v="0"/>
    <x v="0"/>
  </r>
  <r>
    <n v="22"/>
    <x v="2"/>
    <x v="1"/>
    <x v="2"/>
    <x v="23"/>
    <s v="Rural"/>
    <x v="1"/>
    <x v="0"/>
    <x v="0"/>
  </r>
  <r>
    <n v="23"/>
    <x v="2"/>
    <x v="1"/>
    <x v="2"/>
    <x v="23"/>
    <s v="Rural"/>
    <x v="1"/>
    <x v="1"/>
    <x v="0"/>
  </r>
  <r>
    <n v="24"/>
    <x v="2"/>
    <x v="1"/>
    <x v="2"/>
    <x v="23"/>
    <s v="Rural"/>
    <x v="1"/>
    <x v="0"/>
    <x v="0"/>
  </r>
  <r>
    <n v="25"/>
    <x v="2"/>
    <x v="1"/>
    <x v="2"/>
    <x v="23"/>
    <s v="Rural"/>
    <x v="1"/>
    <x v="0"/>
    <x v="0"/>
  </r>
  <r>
    <n v="26"/>
    <x v="2"/>
    <x v="1"/>
    <x v="2"/>
    <x v="23"/>
    <s v="Rural"/>
    <x v="1"/>
    <x v="0"/>
    <x v="0"/>
  </r>
  <r>
    <n v="27"/>
    <x v="2"/>
    <x v="1"/>
    <x v="2"/>
    <x v="23"/>
    <s v="Rural"/>
    <x v="1"/>
    <x v="0"/>
    <x v="0"/>
  </r>
  <r>
    <n v="28"/>
    <x v="2"/>
    <x v="1"/>
    <x v="2"/>
    <x v="23"/>
    <s v="Rural"/>
    <x v="1"/>
    <x v="1"/>
    <x v="0"/>
  </r>
  <r>
    <n v="29"/>
    <x v="2"/>
    <x v="1"/>
    <x v="2"/>
    <x v="23"/>
    <s v="Rural"/>
    <x v="1"/>
    <x v="1"/>
    <x v="0"/>
  </r>
  <r>
    <n v="30"/>
    <x v="2"/>
    <x v="1"/>
    <x v="2"/>
    <x v="23"/>
    <s v="Rural"/>
    <x v="0"/>
    <x v="0"/>
    <x v="0"/>
  </r>
  <r>
    <n v="31"/>
    <x v="2"/>
    <x v="1"/>
    <x v="2"/>
    <x v="23"/>
    <s v="Rural"/>
    <x v="1"/>
    <x v="0"/>
    <x v="0"/>
  </r>
  <r>
    <n v="32"/>
    <x v="2"/>
    <x v="1"/>
    <x v="2"/>
    <x v="23"/>
    <s v="Rural"/>
    <x v="1"/>
    <x v="0"/>
    <x v="0"/>
  </r>
  <r>
    <n v="33"/>
    <x v="2"/>
    <x v="1"/>
    <x v="2"/>
    <x v="23"/>
    <s v="Rural"/>
    <x v="1"/>
    <x v="0"/>
    <x v="0"/>
  </r>
  <r>
    <n v="34"/>
    <x v="2"/>
    <x v="1"/>
    <x v="2"/>
    <x v="23"/>
    <s v="Rural"/>
    <x v="1"/>
    <x v="0"/>
    <x v="0"/>
  </r>
  <r>
    <n v="36"/>
    <x v="2"/>
    <x v="1"/>
    <x v="2"/>
    <x v="23"/>
    <s v="Rural"/>
    <x v="1"/>
    <x v="1"/>
    <x v="0"/>
  </r>
  <r>
    <n v="37"/>
    <x v="2"/>
    <x v="1"/>
    <x v="2"/>
    <x v="23"/>
    <s v="Rural"/>
    <x v="1"/>
    <x v="1"/>
    <x v="0"/>
  </r>
  <r>
    <n v="38"/>
    <x v="2"/>
    <x v="1"/>
    <x v="2"/>
    <x v="23"/>
    <s v="Rural"/>
    <x v="1"/>
    <x v="0"/>
    <x v="0"/>
  </r>
  <r>
    <n v="39"/>
    <x v="2"/>
    <x v="1"/>
    <x v="2"/>
    <x v="23"/>
    <s v="Rural"/>
    <x v="1"/>
    <x v="1"/>
    <x v="0"/>
  </r>
  <r>
    <n v="40"/>
    <x v="2"/>
    <x v="1"/>
    <x v="2"/>
    <x v="23"/>
    <s v="Rural"/>
    <x v="1"/>
    <x v="0"/>
    <x v="0"/>
  </r>
  <r>
    <n v="41"/>
    <x v="2"/>
    <x v="1"/>
    <x v="2"/>
    <x v="23"/>
    <s v="Rural"/>
    <x v="1"/>
    <x v="1"/>
    <x v="0"/>
  </r>
  <r>
    <n v="42"/>
    <x v="2"/>
    <x v="1"/>
    <x v="2"/>
    <x v="23"/>
    <s v="Rural"/>
    <x v="1"/>
    <x v="0"/>
    <x v="0"/>
  </r>
  <r>
    <n v="43"/>
    <x v="2"/>
    <x v="1"/>
    <x v="2"/>
    <x v="23"/>
    <s v="Rural"/>
    <x v="1"/>
    <x v="0"/>
    <x v="0"/>
  </r>
  <r>
    <n v="1"/>
    <x v="2"/>
    <x v="1"/>
    <x v="3"/>
    <x v="23"/>
    <s v="Rural"/>
    <x v="1"/>
    <x v="0"/>
    <x v="0"/>
  </r>
  <r>
    <n v="2"/>
    <x v="2"/>
    <x v="1"/>
    <x v="3"/>
    <x v="23"/>
    <s v="Rural"/>
    <x v="1"/>
    <x v="1"/>
    <x v="0"/>
  </r>
  <r>
    <n v="3"/>
    <x v="2"/>
    <x v="1"/>
    <x v="3"/>
    <x v="23"/>
    <s v="Rural"/>
    <x v="0"/>
    <x v="0"/>
    <x v="0"/>
  </r>
  <r>
    <n v="4"/>
    <x v="2"/>
    <x v="1"/>
    <x v="3"/>
    <x v="23"/>
    <s v="Rural"/>
    <x v="0"/>
    <x v="0"/>
    <x v="0"/>
  </r>
  <r>
    <n v="5"/>
    <x v="2"/>
    <x v="1"/>
    <x v="3"/>
    <x v="23"/>
    <s v="Rural"/>
    <x v="0"/>
    <x v="0"/>
    <x v="0"/>
  </r>
  <r>
    <n v="6"/>
    <x v="2"/>
    <x v="1"/>
    <x v="3"/>
    <x v="23"/>
    <s v="Rural"/>
    <x v="0"/>
    <x v="0"/>
    <x v="0"/>
  </r>
  <r>
    <n v="7"/>
    <x v="2"/>
    <x v="1"/>
    <x v="3"/>
    <x v="23"/>
    <s v="Rural"/>
    <x v="0"/>
    <x v="0"/>
    <x v="0"/>
  </r>
  <r>
    <n v="8"/>
    <x v="2"/>
    <x v="1"/>
    <x v="3"/>
    <x v="23"/>
    <s v="Rural"/>
    <x v="1"/>
    <x v="0"/>
    <x v="0"/>
  </r>
  <r>
    <n v="9"/>
    <x v="2"/>
    <x v="1"/>
    <x v="3"/>
    <x v="23"/>
    <s v="Rural"/>
    <x v="1"/>
    <x v="0"/>
    <x v="0"/>
  </r>
  <r>
    <n v="10"/>
    <x v="2"/>
    <x v="1"/>
    <x v="3"/>
    <x v="23"/>
    <s v="Rural"/>
    <x v="0"/>
    <x v="0"/>
    <x v="0"/>
  </r>
  <r>
    <n v="13"/>
    <x v="2"/>
    <x v="1"/>
    <x v="3"/>
    <x v="23"/>
    <s v="Rural"/>
    <x v="1"/>
    <x v="0"/>
    <x v="0"/>
  </r>
  <r>
    <n v="14"/>
    <x v="2"/>
    <x v="1"/>
    <x v="3"/>
    <x v="23"/>
    <s v="Rural"/>
    <x v="1"/>
    <x v="0"/>
    <x v="0"/>
  </r>
  <r>
    <n v="17"/>
    <x v="2"/>
    <x v="1"/>
    <x v="3"/>
    <x v="23"/>
    <s v="Rural"/>
    <x v="1"/>
    <x v="0"/>
    <x v="0"/>
  </r>
  <r>
    <n v="18"/>
    <x v="2"/>
    <x v="1"/>
    <x v="3"/>
    <x v="23"/>
    <s v="Rural"/>
    <x v="0"/>
    <x v="0"/>
    <x v="0"/>
  </r>
  <r>
    <n v="20"/>
    <x v="2"/>
    <x v="1"/>
    <x v="3"/>
    <x v="23"/>
    <s v="Rural"/>
    <x v="1"/>
    <x v="0"/>
    <x v="0"/>
  </r>
  <r>
    <n v="21"/>
    <x v="2"/>
    <x v="1"/>
    <x v="3"/>
    <x v="23"/>
    <s v="Rural"/>
    <x v="0"/>
    <x v="0"/>
    <x v="0"/>
  </r>
  <r>
    <n v="23"/>
    <x v="2"/>
    <x v="1"/>
    <x v="3"/>
    <x v="23"/>
    <s v="Rural"/>
    <x v="0"/>
    <x v="0"/>
    <x v="0"/>
  </r>
  <r>
    <n v="24"/>
    <x v="2"/>
    <x v="1"/>
    <x v="3"/>
    <x v="23"/>
    <s v="Rural"/>
    <x v="1"/>
    <x v="1"/>
    <x v="0"/>
  </r>
  <r>
    <n v="26"/>
    <x v="2"/>
    <x v="1"/>
    <x v="3"/>
    <x v="23"/>
    <s v="Rural"/>
    <x v="0"/>
    <x v="1"/>
    <x v="0"/>
  </r>
  <r>
    <n v="27"/>
    <x v="2"/>
    <x v="1"/>
    <x v="3"/>
    <x v="23"/>
    <s v="Rural"/>
    <x v="1"/>
    <x v="0"/>
    <x v="0"/>
  </r>
  <r>
    <n v="28"/>
    <x v="2"/>
    <x v="1"/>
    <x v="3"/>
    <x v="23"/>
    <s v="Rural"/>
    <x v="0"/>
    <x v="0"/>
    <x v="0"/>
  </r>
  <r>
    <n v="32"/>
    <x v="2"/>
    <x v="1"/>
    <x v="3"/>
    <x v="23"/>
    <s v="Rural"/>
    <x v="0"/>
    <x v="0"/>
    <x v="0"/>
  </r>
  <r>
    <n v="33"/>
    <x v="2"/>
    <x v="1"/>
    <x v="3"/>
    <x v="23"/>
    <s v="Rural"/>
    <x v="1"/>
    <x v="1"/>
    <x v="0"/>
  </r>
  <r>
    <n v="34"/>
    <x v="2"/>
    <x v="1"/>
    <x v="3"/>
    <x v="23"/>
    <s v="Rural"/>
    <x v="0"/>
    <x v="0"/>
    <x v="0"/>
  </r>
  <r>
    <n v="37"/>
    <x v="2"/>
    <x v="1"/>
    <x v="3"/>
    <x v="23"/>
    <s v="Rural"/>
    <x v="0"/>
    <x v="0"/>
    <x v="0"/>
  </r>
  <r>
    <n v="38"/>
    <x v="2"/>
    <x v="1"/>
    <x v="3"/>
    <x v="23"/>
    <s v="Rural"/>
    <x v="0"/>
    <x v="0"/>
    <x v="0"/>
  </r>
  <r>
    <n v="39"/>
    <x v="2"/>
    <x v="1"/>
    <x v="3"/>
    <x v="23"/>
    <s v="Rural"/>
    <x v="1"/>
    <x v="1"/>
    <x v="0"/>
  </r>
  <r>
    <n v="40"/>
    <x v="2"/>
    <x v="1"/>
    <x v="3"/>
    <x v="23"/>
    <s v="Rural"/>
    <x v="0"/>
    <x v="0"/>
    <x v="0"/>
  </r>
  <r>
    <n v="41"/>
    <x v="2"/>
    <x v="1"/>
    <x v="3"/>
    <x v="23"/>
    <s v="Rural"/>
    <x v="0"/>
    <x v="0"/>
    <x v="0"/>
  </r>
  <r>
    <n v="42"/>
    <x v="2"/>
    <x v="1"/>
    <x v="3"/>
    <x v="23"/>
    <s v="Rural"/>
    <x v="0"/>
    <x v="0"/>
    <x v="0"/>
  </r>
  <r>
    <n v="43"/>
    <x v="2"/>
    <x v="1"/>
    <x v="3"/>
    <x v="23"/>
    <s v="Rural"/>
    <x v="0"/>
    <x v="0"/>
    <x v="0"/>
  </r>
  <r>
    <n v="45"/>
    <x v="2"/>
    <x v="1"/>
    <x v="3"/>
    <x v="23"/>
    <s v="Rural"/>
    <x v="1"/>
    <x v="1"/>
    <x v="0"/>
  </r>
  <r>
    <n v="46"/>
    <x v="2"/>
    <x v="1"/>
    <x v="3"/>
    <x v="23"/>
    <s v="Rural"/>
    <x v="0"/>
    <x v="0"/>
    <x v="0"/>
  </r>
  <r>
    <n v="47"/>
    <x v="2"/>
    <x v="1"/>
    <x v="3"/>
    <x v="23"/>
    <s v="Rural"/>
    <x v="1"/>
    <x v="0"/>
    <x v="0"/>
  </r>
  <r>
    <n v="49"/>
    <x v="2"/>
    <x v="1"/>
    <x v="3"/>
    <x v="23"/>
    <s v="Rural"/>
    <x v="1"/>
    <x v="0"/>
    <x v="0"/>
  </r>
  <r>
    <n v="50"/>
    <x v="2"/>
    <x v="1"/>
    <x v="3"/>
    <x v="23"/>
    <s v="Rural"/>
    <x v="0"/>
    <x v="0"/>
    <x v="0"/>
  </r>
  <r>
    <n v="51"/>
    <x v="2"/>
    <x v="1"/>
    <x v="3"/>
    <x v="23"/>
    <s v="Rural"/>
    <x v="1"/>
    <x v="0"/>
    <x v="0"/>
  </r>
  <r>
    <n v="52"/>
    <x v="2"/>
    <x v="1"/>
    <x v="3"/>
    <x v="23"/>
    <s v="Rural"/>
    <x v="0"/>
    <x v="1"/>
    <x v="0"/>
  </r>
  <r>
    <n v="54"/>
    <x v="2"/>
    <x v="1"/>
    <x v="3"/>
    <x v="23"/>
    <s v="Rural"/>
    <x v="1"/>
    <x v="0"/>
    <x v="0"/>
  </r>
  <r>
    <n v="57"/>
    <x v="2"/>
    <x v="1"/>
    <x v="3"/>
    <x v="23"/>
    <s v="Rural"/>
    <x v="1"/>
    <x v="0"/>
    <x v="0"/>
  </r>
  <r>
    <n v="58"/>
    <x v="2"/>
    <x v="1"/>
    <x v="3"/>
    <x v="23"/>
    <s v="Rural"/>
    <x v="1"/>
    <x v="1"/>
    <x v="0"/>
  </r>
  <r>
    <n v="61"/>
    <x v="2"/>
    <x v="1"/>
    <x v="3"/>
    <x v="23"/>
    <s v="Rural"/>
    <x v="1"/>
    <x v="0"/>
    <x v="0"/>
  </r>
  <r>
    <n v="62"/>
    <x v="2"/>
    <x v="1"/>
    <x v="3"/>
    <x v="23"/>
    <s v="Rural"/>
    <x v="1"/>
    <x v="0"/>
    <x v="0"/>
  </r>
  <r>
    <n v="63"/>
    <x v="2"/>
    <x v="1"/>
    <x v="3"/>
    <x v="23"/>
    <s v="Rural"/>
    <x v="1"/>
    <x v="0"/>
    <x v="0"/>
  </r>
  <r>
    <n v="64"/>
    <x v="2"/>
    <x v="1"/>
    <x v="3"/>
    <x v="23"/>
    <s v="Rural"/>
    <x v="1"/>
    <x v="0"/>
    <x v="0"/>
  </r>
  <r>
    <n v="65"/>
    <x v="2"/>
    <x v="1"/>
    <x v="3"/>
    <x v="23"/>
    <s v="Rural"/>
    <x v="1"/>
    <x v="0"/>
    <x v="0"/>
  </r>
  <r>
    <n v="1"/>
    <x v="2"/>
    <x v="0"/>
    <x v="4"/>
    <x v="24"/>
    <s v="Rural"/>
    <x v="0"/>
    <x v="0"/>
    <x v="0"/>
  </r>
  <r>
    <n v="2"/>
    <x v="2"/>
    <x v="0"/>
    <x v="4"/>
    <x v="24"/>
    <s v="Rural"/>
    <x v="1"/>
    <x v="0"/>
    <x v="0"/>
  </r>
  <r>
    <n v="3"/>
    <x v="2"/>
    <x v="0"/>
    <x v="0"/>
    <x v="24"/>
    <s v="Rural"/>
    <x v="1"/>
    <x v="0"/>
    <x v="0"/>
  </r>
  <r>
    <n v="4"/>
    <x v="2"/>
    <x v="0"/>
    <x v="1"/>
    <x v="24"/>
    <s v="Rural"/>
    <x v="0"/>
    <x v="0"/>
    <x v="0"/>
  </r>
  <r>
    <n v="5"/>
    <x v="2"/>
    <x v="0"/>
    <x v="1"/>
    <x v="24"/>
    <s v="Rural"/>
    <x v="0"/>
    <x v="0"/>
    <x v="0"/>
  </r>
  <r>
    <n v="6"/>
    <x v="2"/>
    <x v="0"/>
    <x v="1"/>
    <x v="24"/>
    <s v="Rural"/>
    <x v="0"/>
    <x v="0"/>
    <x v="0"/>
  </r>
  <r>
    <n v="7"/>
    <x v="2"/>
    <x v="0"/>
    <x v="1"/>
    <x v="24"/>
    <s v="Rural"/>
    <x v="0"/>
    <x v="0"/>
    <x v="0"/>
  </r>
  <r>
    <n v="9"/>
    <x v="2"/>
    <x v="0"/>
    <x v="4"/>
    <x v="25"/>
    <s v="Rural"/>
    <x v="1"/>
    <x v="1"/>
    <x v="0"/>
  </r>
  <r>
    <n v="10"/>
    <x v="2"/>
    <x v="0"/>
    <x v="4"/>
    <x v="25"/>
    <s v="Rural"/>
    <x v="0"/>
    <x v="0"/>
    <x v="0"/>
  </r>
  <r>
    <n v="11"/>
    <x v="2"/>
    <x v="0"/>
    <x v="4"/>
    <x v="25"/>
    <s v="Rural"/>
    <x v="1"/>
    <x v="1"/>
    <x v="0"/>
  </r>
  <r>
    <n v="12"/>
    <x v="2"/>
    <x v="0"/>
    <x v="4"/>
    <x v="25"/>
    <s v="Rural"/>
    <x v="0"/>
    <x v="1"/>
    <x v="0"/>
  </r>
  <r>
    <n v="13"/>
    <x v="2"/>
    <x v="0"/>
    <x v="4"/>
    <x v="25"/>
    <s v="Rural"/>
    <x v="1"/>
    <x v="1"/>
    <x v="0"/>
  </r>
  <r>
    <n v="14"/>
    <x v="2"/>
    <x v="0"/>
    <x v="4"/>
    <x v="25"/>
    <s v="Rural"/>
    <x v="0"/>
    <x v="0"/>
    <x v="0"/>
  </r>
  <r>
    <n v="15"/>
    <x v="2"/>
    <x v="0"/>
    <x v="4"/>
    <x v="25"/>
    <s v="Rural"/>
    <x v="0"/>
    <x v="0"/>
    <x v="0"/>
  </r>
  <r>
    <n v="16"/>
    <x v="2"/>
    <x v="0"/>
    <x v="4"/>
    <x v="25"/>
    <s v="Rural"/>
    <x v="0"/>
    <x v="0"/>
    <x v="0"/>
  </r>
  <r>
    <n v="17"/>
    <x v="2"/>
    <x v="0"/>
    <x v="0"/>
    <x v="25"/>
    <s v="Rural"/>
    <x v="1"/>
    <x v="1"/>
    <x v="0"/>
  </r>
  <r>
    <n v="18"/>
    <x v="2"/>
    <x v="0"/>
    <x v="0"/>
    <x v="25"/>
    <s v="Rural"/>
    <x v="0"/>
    <x v="2"/>
    <x v="0"/>
  </r>
  <r>
    <n v="19"/>
    <x v="2"/>
    <x v="0"/>
    <x v="0"/>
    <x v="25"/>
    <s v="Rural"/>
    <x v="1"/>
    <x v="1"/>
    <x v="0"/>
  </r>
  <r>
    <n v="20"/>
    <x v="2"/>
    <x v="0"/>
    <x v="0"/>
    <x v="25"/>
    <s v="Rural"/>
    <x v="1"/>
    <x v="1"/>
    <x v="0"/>
  </r>
  <r>
    <n v="21"/>
    <x v="2"/>
    <x v="0"/>
    <x v="1"/>
    <x v="25"/>
    <s v="Rural"/>
    <x v="1"/>
    <x v="1"/>
    <x v="0"/>
  </r>
  <r>
    <n v="22"/>
    <x v="2"/>
    <x v="0"/>
    <x v="1"/>
    <x v="25"/>
    <s v="Rural"/>
    <x v="1"/>
    <x v="2"/>
    <x v="0"/>
  </r>
  <r>
    <n v="23"/>
    <x v="2"/>
    <x v="0"/>
    <x v="1"/>
    <x v="25"/>
    <s v="Rural"/>
    <x v="0"/>
    <x v="2"/>
    <x v="0"/>
  </r>
  <r>
    <n v="24"/>
    <x v="2"/>
    <x v="0"/>
    <x v="1"/>
    <x v="25"/>
    <s v="Rural"/>
    <x v="1"/>
    <x v="2"/>
    <x v="0"/>
  </r>
  <r>
    <n v="1"/>
    <x v="2"/>
    <x v="1"/>
    <x v="2"/>
    <x v="26"/>
    <s v="Rural"/>
    <x v="0"/>
    <x v="1"/>
    <x v="0"/>
  </r>
  <r>
    <n v="2"/>
    <x v="2"/>
    <x v="1"/>
    <x v="2"/>
    <x v="26"/>
    <s v="Rural"/>
    <x v="1"/>
    <x v="0"/>
    <x v="0"/>
  </r>
  <r>
    <n v="3"/>
    <x v="2"/>
    <x v="1"/>
    <x v="2"/>
    <x v="26"/>
    <s v="Rural"/>
    <x v="1"/>
    <x v="0"/>
    <x v="0"/>
  </r>
  <r>
    <n v="4"/>
    <x v="2"/>
    <x v="1"/>
    <x v="2"/>
    <x v="26"/>
    <s v="Rural"/>
    <x v="0"/>
    <x v="0"/>
    <x v="0"/>
  </r>
  <r>
    <n v="5"/>
    <x v="2"/>
    <x v="1"/>
    <x v="2"/>
    <x v="26"/>
    <s v="Rural"/>
    <x v="1"/>
    <x v="0"/>
    <x v="0"/>
  </r>
  <r>
    <n v="6"/>
    <x v="2"/>
    <x v="1"/>
    <x v="2"/>
    <x v="26"/>
    <s v="Rural"/>
    <x v="0"/>
    <x v="0"/>
    <x v="0"/>
  </r>
  <r>
    <n v="7"/>
    <x v="2"/>
    <x v="1"/>
    <x v="2"/>
    <x v="26"/>
    <s v="Rural"/>
    <x v="1"/>
    <x v="0"/>
    <x v="0"/>
  </r>
  <r>
    <n v="8"/>
    <x v="2"/>
    <x v="1"/>
    <x v="2"/>
    <x v="26"/>
    <s v="Rural"/>
    <x v="0"/>
    <x v="0"/>
    <x v="0"/>
  </r>
  <r>
    <n v="9"/>
    <x v="2"/>
    <x v="1"/>
    <x v="2"/>
    <x v="26"/>
    <s v="Rural"/>
    <x v="0"/>
    <x v="0"/>
    <x v="0"/>
  </r>
  <r>
    <n v="10"/>
    <x v="2"/>
    <x v="1"/>
    <x v="2"/>
    <x v="26"/>
    <s v="Rural"/>
    <x v="1"/>
    <x v="0"/>
    <x v="0"/>
  </r>
  <r>
    <n v="11"/>
    <x v="2"/>
    <x v="1"/>
    <x v="2"/>
    <x v="26"/>
    <s v="Rural"/>
    <x v="0"/>
    <x v="0"/>
    <x v="0"/>
  </r>
  <r>
    <n v="12"/>
    <x v="2"/>
    <x v="1"/>
    <x v="2"/>
    <x v="26"/>
    <s v="Rural"/>
    <x v="1"/>
    <x v="0"/>
    <x v="0"/>
  </r>
  <r>
    <n v="13"/>
    <x v="2"/>
    <x v="1"/>
    <x v="2"/>
    <x v="26"/>
    <s v="Rural"/>
    <x v="1"/>
    <x v="0"/>
    <x v="0"/>
  </r>
  <r>
    <n v="14"/>
    <x v="2"/>
    <x v="1"/>
    <x v="2"/>
    <x v="26"/>
    <s v="Rural"/>
    <x v="1"/>
    <x v="0"/>
    <x v="0"/>
  </r>
  <r>
    <n v="15"/>
    <x v="2"/>
    <x v="1"/>
    <x v="2"/>
    <x v="26"/>
    <s v="Rural"/>
    <x v="0"/>
    <x v="0"/>
    <x v="0"/>
  </r>
  <r>
    <n v="16"/>
    <x v="2"/>
    <x v="1"/>
    <x v="2"/>
    <x v="26"/>
    <s v="Rural"/>
    <x v="0"/>
    <x v="0"/>
    <x v="0"/>
  </r>
  <r>
    <n v="17"/>
    <x v="2"/>
    <x v="1"/>
    <x v="2"/>
    <x v="26"/>
    <s v="Rural"/>
    <x v="1"/>
    <x v="0"/>
    <x v="0"/>
  </r>
  <r>
    <n v="18"/>
    <x v="2"/>
    <x v="1"/>
    <x v="2"/>
    <x v="26"/>
    <s v="Rural"/>
    <x v="1"/>
    <x v="0"/>
    <x v="0"/>
  </r>
  <r>
    <n v="19"/>
    <x v="2"/>
    <x v="1"/>
    <x v="2"/>
    <x v="26"/>
    <s v="Rural"/>
    <x v="1"/>
    <x v="0"/>
    <x v="0"/>
  </r>
  <r>
    <n v="20"/>
    <x v="2"/>
    <x v="1"/>
    <x v="2"/>
    <x v="26"/>
    <s v="Rural"/>
    <x v="0"/>
    <x v="0"/>
    <x v="0"/>
  </r>
  <r>
    <n v="21"/>
    <x v="2"/>
    <x v="1"/>
    <x v="2"/>
    <x v="26"/>
    <s v="Rural"/>
    <x v="1"/>
    <x v="0"/>
    <x v="0"/>
  </r>
  <r>
    <n v="22"/>
    <x v="2"/>
    <x v="1"/>
    <x v="2"/>
    <x v="26"/>
    <s v="Rural"/>
    <x v="1"/>
    <x v="0"/>
    <x v="0"/>
  </r>
  <r>
    <n v="23"/>
    <x v="2"/>
    <x v="1"/>
    <x v="2"/>
    <x v="26"/>
    <s v="Rural"/>
    <x v="1"/>
    <x v="0"/>
    <x v="0"/>
  </r>
  <r>
    <n v="24"/>
    <x v="2"/>
    <x v="1"/>
    <x v="2"/>
    <x v="26"/>
    <s v="Rural"/>
    <x v="0"/>
    <x v="0"/>
    <x v="0"/>
  </r>
  <r>
    <n v="25"/>
    <x v="2"/>
    <x v="1"/>
    <x v="2"/>
    <x v="26"/>
    <s v="Rural"/>
    <x v="0"/>
    <x v="0"/>
    <x v="0"/>
  </r>
  <r>
    <n v="26"/>
    <x v="2"/>
    <x v="1"/>
    <x v="3"/>
    <x v="26"/>
    <s v="Rural"/>
    <x v="1"/>
    <x v="1"/>
    <x v="0"/>
  </r>
  <r>
    <n v="27"/>
    <x v="2"/>
    <x v="1"/>
    <x v="3"/>
    <x v="26"/>
    <s v="Rural"/>
    <x v="0"/>
    <x v="0"/>
    <x v="0"/>
  </r>
  <r>
    <n v="28"/>
    <x v="2"/>
    <x v="1"/>
    <x v="3"/>
    <x v="26"/>
    <s v="Rural"/>
    <x v="1"/>
    <x v="1"/>
    <x v="0"/>
  </r>
  <r>
    <n v="29"/>
    <x v="2"/>
    <x v="1"/>
    <x v="3"/>
    <x v="26"/>
    <s v="Rural"/>
    <x v="1"/>
    <x v="2"/>
    <x v="0"/>
  </r>
  <r>
    <n v="30"/>
    <x v="2"/>
    <x v="1"/>
    <x v="3"/>
    <x v="26"/>
    <s v="Rural"/>
    <x v="1"/>
    <x v="0"/>
    <x v="0"/>
  </r>
  <r>
    <n v="31"/>
    <x v="2"/>
    <x v="1"/>
    <x v="3"/>
    <x v="26"/>
    <s v="Rural"/>
    <x v="0"/>
    <x v="0"/>
    <x v="0"/>
  </r>
  <r>
    <n v="32"/>
    <x v="2"/>
    <x v="1"/>
    <x v="3"/>
    <x v="26"/>
    <s v="Rural"/>
    <x v="0"/>
    <x v="0"/>
    <x v="0"/>
  </r>
  <r>
    <n v="33"/>
    <x v="2"/>
    <x v="1"/>
    <x v="3"/>
    <x v="26"/>
    <s v="Rural"/>
    <x v="0"/>
    <x v="0"/>
    <x v="0"/>
  </r>
  <r>
    <n v="34"/>
    <x v="2"/>
    <x v="1"/>
    <x v="3"/>
    <x v="26"/>
    <s v="Rural"/>
    <x v="0"/>
    <x v="0"/>
    <x v="0"/>
  </r>
  <r>
    <n v="35"/>
    <x v="2"/>
    <x v="1"/>
    <x v="3"/>
    <x v="26"/>
    <s v="Rural"/>
    <x v="0"/>
    <x v="0"/>
    <x v="0"/>
  </r>
  <r>
    <n v="36"/>
    <x v="2"/>
    <x v="1"/>
    <x v="3"/>
    <x v="26"/>
    <s v="Rural"/>
    <x v="0"/>
    <x v="0"/>
    <x v="0"/>
  </r>
  <r>
    <n v="37"/>
    <x v="2"/>
    <x v="1"/>
    <x v="3"/>
    <x v="26"/>
    <s v="Rural"/>
    <x v="1"/>
    <x v="0"/>
    <x v="0"/>
  </r>
  <r>
    <n v="38"/>
    <x v="2"/>
    <x v="1"/>
    <x v="3"/>
    <x v="26"/>
    <s v="Rural"/>
    <x v="1"/>
    <x v="0"/>
    <x v="0"/>
  </r>
  <r>
    <n v="39"/>
    <x v="2"/>
    <x v="1"/>
    <x v="3"/>
    <x v="26"/>
    <s v="Rural"/>
    <x v="0"/>
    <x v="0"/>
    <x v="0"/>
  </r>
  <r>
    <n v="40"/>
    <x v="2"/>
    <x v="1"/>
    <x v="3"/>
    <x v="26"/>
    <s v="Rural"/>
    <x v="1"/>
    <x v="0"/>
    <x v="0"/>
  </r>
  <r>
    <n v="41"/>
    <x v="2"/>
    <x v="1"/>
    <x v="3"/>
    <x v="26"/>
    <s v="Rural"/>
    <x v="1"/>
    <x v="0"/>
    <x v="0"/>
  </r>
  <r>
    <n v="42"/>
    <x v="2"/>
    <x v="1"/>
    <x v="3"/>
    <x v="26"/>
    <s v="Rural"/>
    <x v="0"/>
    <x v="0"/>
    <x v="0"/>
  </r>
  <r>
    <n v="43"/>
    <x v="2"/>
    <x v="1"/>
    <x v="3"/>
    <x v="26"/>
    <s v="Rural"/>
    <x v="1"/>
    <x v="0"/>
    <x v="0"/>
  </r>
  <r>
    <n v="44"/>
    <x v="2"/>
    <x v="1"/>
    <x v="3"/>
    <x v="26"/>
    <s v="Rural"/>
    <x v="0"/>
    <x v="0"/>
    <x v="0"/>
  </r>
  <r>
    <n v="45"/>
    <x v="2"/>
    <x v="1"/>
    <x v="3"/>
    <x v="26"/>
    <s v="Rural"/>
    <x v="1"/>
    <x v="0"/>
    <x v="0"/>
  </r>
  <r>
    <n v="46"/>
    <x v="2"/>
    <x v="1"/>
    <x v="3"/>
    <x v="26"/>
    <s v="Rural"/>
    <x v="0"/>
    <x v="0"/>
    <x v="0"/>
  </r>
  <r>
    <n v="47"/>
    <x v="2"/>
    <x v="1"/>
    <x v="3"/>
    <x v="26"/>
    <s v="Rural"/>
    <x v="1"/>
    <x v="0"/>
    <x v="0"/>
  </r>
  <r>
    <n v="48"/>
    <x v="2"/>
    <x v="1"/>
    <x v="3"/>
    <x v="26"/>
    <s v="Rural"/>
    <x v="1"/>
    <x v="0"/>
    <x v="0"/>
  </r>
  <r>
    <n v="49"/>
    <x v="2"/>
    <x v="1"/>
    <x v="3"/>
    <x v="26"/>
    <s v="Rural"/>
    <x v="1"/>
    <x v="0"/>
    <x v="0"/>
  </r>
  <r>
    <n v="50"/>
    <x v="2"/>
    <x v="1"/>
    <x v="3"/>
    <x v="26"/>
    <s v="Rural"/>
    <x v="0"/>
    <x v="0"/>
    <x v="0"/>
  </r>
  <r>
    <n v="51"/>
    <x v="2"/>
    <x v="1"/>
    <x v="3"/>
    <x v="26"/>
    <s v="Rural"/>
    <x v="0"/>
    <x v="0"/>
    <x v="0"/>
  </r>
  <r>
    <n v="11"/>
    <x v="2"/>
    <x v="0"/>
    <x v="4"/>
    <x v="27"/>
    <s v="Rural"/>
    <x v="1"/>
    <x v="0"/>
    <x v="0"/>
  </r>
  <r>
    <n v="12"/>
    <x v="2"/>
    <x v="0"/>
    <x v="4"/>
    <x v="27"/>
    <s v="Rural"/>
    <x v="0"/>
    <x v="0"/>
    <x v="0"/>
  </r>
  <r>
    <n v="13"/>
    <x v="2"/>
    <x v="0"/>
    <x v="4"/>
    <x v="27"/>
    <s v="Rural"/>
    <x v="1"/>
    <x v="0"/>
    <x v="0"/>
  </r>
  <r>
    <n v="14"/>
    <x v="2"/>
    <x v="0"/>
    <x v="4"/>
    <x v="27"/>
    <s v="Rural"/>
    <x v="0"/>
    <x v="1"/>
    <x v="0"/>
  </r>
  <r>
    <n v="15"/>
    <x v="2"/>
    <x v="0"/>
    <x v="4"/>
    <x v="27"/>
    <s v="Rural"/>
    <x v="0"/>
    <x v="1"/>
    <x v="0"/>
  </r>
  <r>
    <n v="16"/>
    <x v="2"/>
    <x v="0"/>
    <x v="4"/>
    <x v="27"/>
    <s v="Rural"/>
    <x v="0"/>
    <x v="1"/>
    <x v="0"/>
  </r>
  <r>
    <n v="17"/>
    <x v="2"/>
    <x v="0"/>
    <x v="4"/>
    <x v="27"/>
    <s v="Rural"/>
    <x v="0"/>
    <x v="1"/>
    <x v="0"/>
  </r>
  <r>
    <n v="18"/>
    <x v="2"/>
    <x v="0"/>
    <x v="4"/>
    <x v="27"/>
    <s v="Rural"/>
    <x v="0"/>
    <x v="1"/>
    <x v="0"/>
  </r>
  <r>
    <n v="19"/>
    <x v="2"/>
    <x v="0"/>
    <x v="4"/>
    <x v="27"/>
    <s v="Rural"/>
    <x v="1"/>
    <x v="1"/>
    <x v="0"/>
  </r>
  <r>
    <n v="20"/>
    <x v="2"/>
    <x v="0"/>
    <x v="4"/>
    <x v="27"/>
    <s v="Rural"/>
    <x v="1"/>
    <x v="1"/>
    <x v="0"/>
  </r>
  <r>
    <n v="21"/>
    <x v="2"/>
    <x v="0"/>
    <x v="4"/>
    <x v="27"/>
    <s v="Rural"/>
    <x v="1"/>
    <x v="0"/>
    <x v="0"/>
  </r>
  <r>
    <n v="22"/>
    <x v="2"/>
    <x v="0"/>
    <x v="4"/>
    <x v="27"/>
    <s v="Rural"/>
    <x v="1"/>
    <x v="1"/>
    <x v="0"/>
  </r>
  <r>
    <n v="23"/>
    <x v="2"/>
    <x v="0"/>
    <x v="0"/>
    <x v="27"/>
    <s v="Rural"/>
    <x v="0"/>
    <x v="1"/>
    <x v="0"/>
  </r>
  <r>
    <n v="24"/>
    <x v="2"/>
    <x v="0"/>
    <x v="0"/>
    <x v="27"/>
    <s v="Rural"/>
    <x v="1"/>
    <x v="1"/>
    <x v="0"/>
  </r>
  <r>
    <n v="25"/>
    <x v="2"/>
    <x v="0"/>
    <x v="0"/>
    <x v="27"/>
    <s v="Rural"/>
    <x v="0"/>
    <x v="0"/>
    <x v="0"/>
  </r>
  <r>
    <n v="26"/>
    <x v="2"/>
    <x v="0"/>
    <x v="0"/>
    <x v="27"/>
    <s v="Rural"/>
    <x v="0"/>
    <x v="0"/>
    <x v="0"/>
  </r>
  <r>
    <n v="27"/>
    <x v="2"/>
    <x v="0"/>
    <x v="0"/>
    <x v="27"/>
    <s v="Rural"/>
    <x v="0"/>
    <x v="1"/>
    <x v="0"/>
  </r>
  <r>
    <n v="28"/>
    <x v="2"/>
    <x v="0"/>
    <x v="0"/>
    <x v="27"/>
    <s v="Rural"/>
    <x v="1"/>
    <x v="0"/>
    <x v="0"/>
  </r>
  <r>
    <n v="29"/>
    <x v="2"/>
    <x v="0"/>
    <x v="0"/>
    <x v="27"/>
    <s v="Rural"/>
    <x v="1"/>
    <x v="1"/>
    <x v="0"/>
  </r>
  <r>
    <n v="30"/>
    <x v="2"/>
    <x v="0"/>
    <x v="1"/>
    <x v="27"/>
    <s v="Rural"/>
    <x v="0"/>
    <x v="1"/>
    <x v="0"/>
  </r>
  <r>
    <n v="31"/>
    <x v="2"/>
    <x v="0"/>
    <x v="1"/>
    <x v="27"/>
    <s v="Rural"/>
    <x v="1"/>
    <x v="1"/>
    <x v="0"/>
  </r>
  <r>
    <n v="32"/>
    <x v="2"/>
    <x v="0"/>
    <x v="1"/>
    <x v="27"/>
    <s v="Rural"/>
    <x v="0"/>
    <x v="1"/>
    <x v="0"/>
  </r>
  <r>
    <n v="33"/>
    <x v="2"/>
    <x v="0"/>
    <x v="1"/>
    <x v="27"/>
    <s v="Rural"/>
    <x v="1"/>
    <x v="1"/>
    <x v="0"/>
  </r>
  <r>
    <n v="34"/>
    <x v="2"/>
    <x v="0"/>
    <x v="1"/>
    <x v="27"/>
    <s v="Rural"/>
    <x v="1"/>
    <x v="1"/>
    <x v="0"/>
  </r>
  <r>
    <n v="35"/>
    <x v="2"/>
    <x v="0"/>
    <x v="1"/>
    <x v="27"/>
    <s v="Rural"/>
    <x v="1"/>
    <x v="1"/>
    <x v="0"/>
  </r>
  <r>
    <n v="36"/>
    <x v="2"/>
    <x v="0"/>
    <x v="1"/>
    <x v="27"/>
    <s v="Rural"/>
    <x v="0"/>
    <x v="1"/>
    <x v="0"/>
  </r>
  <r>
    <n v="37"/>
    <x v="2"/>
    <x v="0"/>
    <x v="1"/>
    <x v="27"/>
    <s v="Rural"/>
    <x v="0"/>
    <x v="1"/>
    <x v="0"/>
  </r>
  <r>
    <n v="1"/>
    <x v="3"/>
    <x v="0"/>
    <x v="4"/>
    <x v="28"/>
    <s v="Rural"/>
    <x v="1"/>
    <x v="0"/>
    <x v="0"/>
  </r>
  <r>
    <n v="2"/>
    <x v="3"/>
    <x v="0"/>
    <x v="0"/>
    <x v="28"/>
    <s v="Rural"/>
    <x v="0"/>
    <x v="0"/>
    <x v="0"/>
  </r>
  <r>
    <n v="3"/>
    <x v="3"/>
    <x v="0"/>
    <x v="0"/>
    <x v="28"/>
    <s v="Rural"/>
    <x v="1"/>
    <x v="0"/>
    <x v="0"/>
  </r>
  <r>
    <n v="4"/>
    <x v="3"/>
    <x v="0"/>
    <x v="1"/>
    <x v="28"/>
    <s v="Rural"/>
    <x v="0"/>
    <x v="0"/>
    <x v="0"/>
  </r>
  <r>
    <n v="5"/>
    <x v="3"/>
    <x v="0"/>
    <x v="1"/>
    <x v="28"/>
    <s v="Rural"/>
    <x v="1"/>
    <x v="1"/>
    <x v="0"/>
  </r>
  <r>
    <n v="6"/>
    <x v="3"/>
    <x v="0"/>
    <x v="4"/>
    <x v="29"/>
    <s v="Rural"/>
    <x v="0"/>
    <x v="1"/>
    <x v="0"/>
  </r>
  <r>
    <n v="7"/>
    <x v="3"/>
    <x v="0"/>
    <x v="4"/>
    <x v="29"/>
    <s v="Rural"/>
    <x v="1"/>
    <x v="1"/>
    <x v="0"/>
  </r>
  <r>
    <n v="8"/>
    <x v="3"/>
    <x v="0"/>
    <x v="4"/>
    <x v="29"/>
    <s v="Rural"/>
    <x v="0"/>
    <x v="0"/>
    <x v="0"/>
  </r>
  <r>
    <n v="9"/>
    <x v="3"/>
    <x v="0"/>
    <x v="0"/>
    <x v="29"/>
    <s v="Rural"/>
    <x v="0"/>
    <x v="0"/>
    <x v="0"/>
  </r>
  <r>
    <n v="10"/>
    <x v="3"/>
    <x v="0"/>
    <x v="0"/>
    <x v="29"/>
    <s v="Rural"/>
    <x v="1"/>
    <x v="0"/>
    <x v="0"/>
  </r>
  <r>
    <n v="11"/>
    <x v="3"/>
    <x v="0"/>
    <x v="0"/>
    <x v="29"/>
    <s v="Rural"/>
    <x v="1"/>
    <x v="0"/>
    <x v="0"/>
  </r>
  <r>
    <n v="12"/>
    <x v="3"/>
    <x v="0"/>
    <x v="0"/>
    <x v="29"/>
    <s v="Rural"/>
    <x v="0"/>
    <x v="1"/>
    <x v="0"/>
  </r>
  <r>
    <n v="13"/>
    <x v="3"/>
    <x v="0"/>
    <x v="0"/>
    <x v="29"/>
    <s v="Rural"/>
    <x v="0"/>
    <x v="0"/>
    <x v="0"/>
  </r>
  <r>
    <n v="14"/>
    <x v="3"/>
    <x v="0"/>
    <x v="1"/>
    <x v="29"/>
    <s v="Rural"/>
    <x v="1"/>
    <x v="0"/>
    <x v="0"/>
  </r>
  <r>
    <n v="15"/>
    <x v="3"/>
    <x v="0"/>
    <x v="1"/>
    <x v="29"/>
    <s v="Rural"/>
    <x v="1"/>
    <x v="1"/>
    <x v="0"/>
  </r>
  <r>
    <n v="16"/>
    <x v="3"/>
    <x v="0"/>
    <x v="4"/>
    <x v="30"/>
    <s v="Rural"/>
    <x v="1"/>
    <x v="1"/>
    <x v="0"/>
  </r>
  <r>
    <n v="17"/>
    <x v="3"/>
    <x v="0"/>
    <x v="4"/>
    <x v="30"/>
    <s v="Rural"/>
    <x v="0"/>
    <x v="0"/>
    <x v="0"/>
  </r>
  <r>
    <n v="18"/>
    <x v="3"/>
    <x v="0"/>
    <x v="4"/>
    <x v="30"/>
    <s v="Rural"/>
    <x v="0"/>
    <x v="0"/>
    <x v="0"/>
  </r>
  <r>
    <n v="19"/>
    <x v="3"/>
    <x v="0"/>
    <x v="0"/>
    <x v="30"/>
    <s v="Rural"/>
    <x v="0"/>
    <x v="0"/>
    <x v="0"/>
  </r>
  <r>
    <n v="20"/>
    <x v="3"/>
    <x v="0"/>
    <x v="0"/>
    <x v="30"/>
    <s v="Rural"/>
    <x v="1"/>
    <x v="0"/>
    <x v="0"/>
  </r>
  <r>
    <n v="21"/>
    <x v="3"/>
    <x v="0"/>
    <x v="1"/>
    <x v="30"/>
    <s v="Rural"/>
    <x v="0"/>
    <x v="0"/>
    <x v="0"/>
  </r>
  <r>
    <n v="22"/>
    <x v="3"/>
    <x v="0"/>
    <x v="1"/>
    <x v="30"/>
    <s v="Rural"/>
    <x v="1"/>
    <x v="0"/>
    <x v="0"/>
  </r>
  <r>
    <n v="23"/>
    <x v="3"/>
    <x v="1"/>
    <x v="2"/>
    <x v="31"/>
    <s v="Rural"/>
    <x v="0"/>
    <x v="1"/>
    <x v="0"/>
  </r>
  <r>
    <n v="24"/>
    <x v="3"/>
    <x v="1"/>
    <x v="2"/>
    <x v="31"/>
    <s v="Rural"/>
    <x v="1"/>
    <x v="0"/>
    <x v="0"/>
  </r>
  <r>
    <n v="25"/>
    <x v="3"/>
    <x v="1"/>
    <x v="2"/>
    <x v="31"/>
    <s v="Rural"/>
    <x v="1"/>
    <x v="0"/>
    <x v="0"/>
  </r>
  <r>
    <n v="26"/>
    <x v="3"/>
    <x v="1"/>
    <x v="2"/>
    <x v="31"/>
    <s v="Rural"/>
    <x v="1"/>
    <x v="0"/>
    <x v="0"/>
  </r>
  <r>
    <n v="27"/>
    <x v="3"/>
    <x v="1"/>
    <x v="2"/>
    <x v="31"/>
    <s v="Rural"/>
    <x v="0"/>
    <x v="0"/>
    <x v="0"/>
  </r>
  <r>
    <n v="28"/>
    <x v="3"/>
    <x v="1"/>
    <x v="2"/>
    <x v="31"/>
    <s v="Rural"/>
    <x v="1"/>
    <x v="0"/>
    <x v="0"/>
  </r>
  <r>
    <n v="29"/>
    <x v="3"/>
    <x v="1"/>
    <x v="2"/>
    <x v="31"/>
    <s v="Rural"/>
    <x v="0"/>
    <x v="1"/>
    <x v="0"/>
  </r>
  <r>
    <n v="30"/>
    <x v="3"/>
    <x v="1"/>
    <x v="2"/>
    <x v="31"/>
    <s v="Rural"/>
    <x v="1"/>
    <x v="0"/>
    <x v="0"/>
  </r>
  <r>
    <n v="31"/>
    <x v="3"/>
    <x v="1"/>
    <x v="2"/>
    <x v="31"/>
    <s v="Rural"/>
    <x v="1"/>
    <x v="0"/>
    <x v="0"/>
  </r>
  <r>
    <n v="32"/>
    <x v="3"/>
    <x v="1"/>
    <x v="2"/>
    <x v="31"/>
    <s v="Rural"/>
    <x v="1"/>
    <x v="0"/>
    <x v="0"/>
  </r>
  <r>
    <n v="33"/>
    <x v="3"/>
    <x v="1"/>
    <x v="2"/>
    <x v="31"/>
    <s v="Rural"/>
    <x v="1"/>
    <x v="0"/>
    <x v="0"/>
  </r>
  <r>
    <n v="34"/>
    <x v="3"/>
    <x v="1"/>
    <x v="2"/>
    <x v="31"/>
    <s v="Rural"/>
    <x v="1"/>
    <x v="0"/>
    <x v="0"/>
  </r>
  <r>
    <n v="35"/>
    <x v="3"/>
    <x v="1"/>
    <x v="2"/>
    <x v="31"/>
    <s v="Rural"/>
    <x v="1"/>
    <x v="0"/>
    <x v="0"/>
  </r>
  <r>
    <n v="36"/>
    <x v="3"/>
    <x v="1"/>
    <x v="2"/>
    <x v="31"/>
    <s v="Rural"/>
    <x v="0"/>
    <x v="0"/>
    <x v="0"/>
  </r>
  <r>
    <n v="37"/>
    <x v="3"/>
    <x v="1"/>
    <x v="2"/>
    <x v="31"/>
    <s v="Rural"/>
    <x v="1"/>
    <x v="1"/>
    <x v="0"/>
  </r>
  <r>
    <n v="38"/>
    <x v="3"/>
    <x v="1"/>
    <x v="2"/>
    <x v="31"/>
    <s v="Rural"/>
    <x v="1"/>
    <x v="0"/>
    <x v="0"/>
  </r>
  <r>
    <n v="39"/>
    <x v="3"/>
    <x v="1"/>
    <x v="2"/>
    <x v="31"/>
    <s v="Rural"/>
    <x v="0"/>
    <x v="0"/>
    <x v="0"/>
  </r>
  <r>
    <n v="40"/>
    <x v="3"/>
    <x v="1"/>
    <x v="2"/>
    <x v="31"/>
    <s v="Rural"/>
    <x v="0"/>
    <x v="0"/>
    <x v="0"/>
  </r>
  <r>
    <n v="41"/>
    <x v="3"/>
    <x v="1"/>
    <x v="2"/>
    <x v="31"/>
    <s v="Rural"/>
    <x v="1"/>
    <x v="0"/>
    <x v="0"/>
  </r>
  <r>
    <n v="42"/>
    <x v="3"/>
    <x v="1"/>
    <x v="2"/>
    <x v="31"/>
    <s v="Rural"/>
    <x v="0"/>
    <x v="0"/>
    <x v="0"/>
  </r>
  <r>
    <n v="43"/>
    <x v="3"/>
    <x v="1"/>
    <x v="2"/>
    <x v="31"/>
    <s v="Rural"/>
    <x v="1"/>
    <x v="0"/>
    <x v="0"/>
  </r>
  <r>
    <n v="44"/>
    <x v="3"/>
    <x v="1"/>
    <x v="2"/>
    <x v="31"/>
    <s v="Rural"/>
    <x v="1"/>
    <x v="0"/>
    <x v="0"/>
  </r>
  <r>
    <n v="45"/>
    <x v="3"/>
    <x v="1"/>
    <x v="2"/>
    <x v="31"/>
    <s v="Rural"/>
    <x v="1"/>
    <x v="0"/>
    <x v="0"/>
  </r>
  <r>
    <n v="46"/>
    <x v="3"/>
    <x v="1"/>
    <x v="2"/>
    <x v="31"/>
    <s v="Rural"/>
    <x v="0"/>
    <x v="0"/>
    <x v="0"/>
  </r>
  <r>
    <n v="47"/>
    <x v="3"/>
    <x v="1"/>
    <x v="2"/>
    <x v="31"/>
    <s v="Rural"/>
    <x v="0"/>
    <x v="0"/>
    <x v="0"/>
  </r>
  <r>
    <n v="48"/>
    <x v="3"/>
    <x v="1"/>
    <x v="2"/>
    <x v="31"/>
    <s v="Rural"/>
    <x v="1"/>
    <x v="1"/>
    <x v="0"/>
  </r>
  <r>
    <n v="49"/>
    <x v="3"/>
    <x v="1"/>
    <x v="3"/>
    <x v="31"/>
    <s v="Rural"/>
    <x v="0"/>
    <x v="0"/>
    <x v="0"/>
  </r>
  <r>
    <n v="50"/>
    <x v="3"/>
    <x v="1"/>
    <x v="3"/>
    <x v="31"/>
    <s v="Rural"/>
    <x v="0"/>
    <x v="0"/>
    <x v="0"/>
  </r>
  <r>
    <n v="51"/>
    <x v="3"/>
    <x v="1"/>
    <x v="3"/>
    <x v="31"/>
    <s v="Rural"/>
    <x v="1"/>
    <x v="0"/>
    <x v="0"/>
  </r>
  <r>
    <n v="52"/>
    <x v="3"/>
    <x v="1"/>
    <x v="3"/>
    <x v="31"/>
    <s v="Rural"/>
    <x v="0"/>
    <x v="0"/>
    <x v="0"/>
  </r>
  <r>
    <n v="53"/>
    <x v="3"/>
    <x v="1"/>
    <x v="3"/>
    <x v="31"/>
    <s v="Rural"/>
    <x v="0"/>
    <x v="0"/>
    <x v="0"/>
  </r>
  <r>
    <n v="54"/>
    <x v="3"/>
    <x v="1"/>
    <x v="3"/>
    <x v="31"/>
    <s v="Rural"/>
    <x v="0"/>
    <x v="0"/>
    <x v="0"/>
  </r>
  <r>
    <n v="55"/>
    <x v="3"/>
    <x v="1"/>
    <x v="3"/>
    <x v="31"/>
    <s v="Rural"/>
    <x v="0"/>
    <x v="1"/>
    <x v="0"/>
  </r>
  <r>
    <n v="56"/>
    <x v="3"/>
    <x v="1"/>
    <x v="3"/>
    <x v="31"/>
    <s v="Rural"/>
    <x v="0"/>
    <x v="0"/>
    <x v="0"/>
  </r>
  <r>
    <n v="57"/>
    <x v="3"/>
    <x v="1"/>
    <x v="3"/>
    <x v="31"/>
    <s v="Rural"/>
    <x v="0"/>
    <x v="0"/>
    <x v="0"/>
  </r>
  <r>
    <n v="58"/>
    <x v="3"/>
    <x v="1"/>
    <x v="3"/>
    <x v="31"/>
    <s v="Rural"/>
    <x v="1"/>
    <x v="0"/>
    <x v="0"/>
  </r>
  <r>
    <n v="59"/>
    <x v="3"/>
    <x v="1"/>
    <x v="3"/>
    <x v="31"/>
    <s v="Rural"/>
    <x v="0"/>
    <x v="0"/>
    <x v="0"/>
  </r>
  <r>
    <n v="60"/>
    <x v="3"/>
    <x v="1"/>
    <x v="3"/>
    <x v="31"/>
    <s v="Rural"/>
    <x v="0"/>
    <x v="0"/>
    <x v="0"/>
  </r>
  <r>
    <n v="61"/>
    <x v="3"/>
    <x v="1"/>
    <x v="3"/>
    <x v="31"/>
    <s v="Rural"/>
    <x v="0"/>
    <x v="0"/>
    <x v="0"/>
  </r>
  <r>
    <n v="62"/>
    <x v="3"/>
    <x v="1"/>
    <x v="3"/>
    <x v="31"/>
    <s v="Rural"/>
    <x v="0"/>
    <x v="0"/>
    <x v="0"/>
  </r>
  <r>
    <n v="63"/>
    <x v="3"/>
    <x v="1"/>
    <x v="3"/>
    <x v="31"/>
    <s v="Rural"/>
    <x v="0"/>
    <x v="0"/>
    <x v="0"/>
  </r>
  <r>
    <n v="64"/>
    <x v="3"/>
    <x v="1"/>
    <x v="3"/>
    <x v="31"/>
    <s v="Rural"/>
    <x v="1"/>
    <x v="0"/>
    <x v="0"/>
  </r>
  <r>
    <n v="65"/>
    <x v="3"/>
    <x v="1"/>
    <x v="3"/>
    <x v="31"/>
    <s v="Rural"/>
    <x v="1"/>
    <x v="0"/>
    <x v="0"/>
  </r>
  <r>
    <n v="66"/>
    <x v="3"/>
    <x v="1"/>
    <x v="3"/>
    <x v="31"/>
    <s v="Rural"/>
    <x v="1"/>
    <x v="0"/>
    <x v="0"/>
  </r>
  <r>
    <n v="67"/>
    <x v="3"/>
    <x v="1"/>
    <x v="3"/>
    <x v="31"/>
    <s v="Rural"/>
    <x v="0"/>
    <x v="0"/>
    <x v="0"/>
  </r>
  <r>
    <n v="68"/>
    <x v="3"/>
    <x v="1"/>
    <x v="3"/>
    <x v="31"/>
    <s v="Rural"/>
    <x v="1"/>
    <x v="0"/>
    <x v="0"/>
  </r>
  <r>
    <n v="69"/>
    <x v="3"/>
    <x v="1"/>
    <x v="3"/>
    <x v="31"/>
    <s v="Rural"/>
    <x v="1"/>
    <x v="0"/>
    <x v="0"/>
  </r>
  <r>
    <n v="70"/>
    <x v="3"/>
    <x v="1"/>
    <x v="3"/>
    <x v="31"/>
    <s v="Rural"/>
    <x v="1"/>
    <x v="0"/>
    <x v="0"/>
  </r>
  <r>
    <n v="71"/>
    <x v="3"/>
    <x v="1"/>
    <x v="3"/>
    <x v="31"/>
    <s v="Rural"/>
    <x v="0"/>
    <x v="0"/>
    <x v="0"/>
  </r>
  <r>
    <n v="72"/>
    <x v="3"/>
    <x v="1"/>
    <x v="3"/>
    <x v="31"/>
    <s v="Rural"/>
    <x v="0"/>
    <x v="0"/>
    <x v="0"/>
  </r>
  <r>
    <n v="73"/>
    <x v="3"/>
    <x v="0"/>
    <x v="4"/>
    <x v="32"/>
    <s v="Rural"/>
    <x v="0"/>
    <x v="0"/>
    <x v="0"/>
  </r>
  <r>
    <n v="74"/>
    <x v="3"/>
    <x v="0"/>
    <x v="0"/>
    <x v="32"/>
    <s v="Rural"/>
    <x v="1"/>
    <x v="1"/>
    <x v="0"/>
  </r>
  <r>
    <n v="75"/>
    <x v="3"/>
    <x v="0"/>
    <x v="4"/>
    <x v="33"/>
    <s v="Rural"/>
    <x v="0"/>
    <x v="0"/>
    <x v="0"/>
  </r>
  <r>
    <n v="76"/>
    <x v="3"/>
    <x v="0"/>
    <x v="1"/>
    <x v="33"/>
    <s v="Rural"/>
    <x v="1"/>
    <x v="2"/>
    <x v="0"/>
  </r>
  <r>
    <n v="77"/>
    <x v="3"/>
    <x v="0"/>
    <x v="4"/>
    <x v="34"/>
    <s v="Rural"/>
    <x v="1"/>
    <x v="0"/>
    <x v="0"/>
  </r>
  <r>
    <n v="78"/>
    <x v="3"/>
    <x v="0"/>
    <x v="0"/>
    <x v="34"/>
    <s v="Rural"/>
    <x v="1"/>
    <x v="0"/>
    <x v="0"/>
  </r>
  <r>
    <n v="79"/>
    <x v="3"/>
    <x v="0"/>
    <x v="1"/>
    <x v="34"/>
    <s v="Rural"/>
    <x v="0"/>
    <x v="0"/>
    <x v="0"/>
  </r>
  <r>
    <n v="80"/>
    <x v="3"/>
    <x v="0"/>
    <x v="1"/>
    <x v="34"/>
    <s v="Rural"/>
    <x v="1"/>
    <x v="0"/>
    <x v="0"/>
  </r>
  <r>
    <n v="81"/>
    <x v="3"/>
    <x v="0"/>
    <x v="4"/>
    <x v="35"/>
    <s v="Rural"/>
    <x v="0"/>
    <x v="0"/>
    <x v="0"/>
  </r>
  <r>
    <n v="82"/>
    <x v="3"/>
    <x v="0"/>
    <x v="4"/>
    <x v="35"/>
    <s v="Rural"/>
    <x v="0"/>
    <x v="0"/>
    <x v="0"/>
  </r>
  <r>
    <n v="83"/>
    <x v="3"/>
    <x v="0"/>
    <x v="4"/>
    <x v="35"/>
    <s v="Rural"/>
    <x v="0"/>
    <x v="0"/>
    <x v="0"/>
  </r>
  <r>
    <n v="84"/>
    <x v="3"/>
    <x v="0"/>
    <x v="4"/>
    <x v="35"/>
    <s v="Rural"/>
    <x v="1"/>
    <x v="0"/>
    <x v="0"/>
  </r>
  <r>
    <n v="85"/>
    <x v="3"/>
    <x v="0"/>
    <x v="4"/>
    <x v="35"/>
    <s v="Rural"/>
    <x v="0"/>
    <x v="0"/>
    <x v="0"/>
  </r>
  <r>
    <n v="86"/>
    <x v="3"/>
    <x v="0"/>
    <x v="4"/>
    <x v="35"/>
    <s v="Rural"/>
    <x v="1"/>
    <x v="0"/>
    <x v="0"/>
  </r>
  <r>
    <n v="87"/>
    <x v="3"/>
    <x v="0"/>
    <x v="4"/>
    <x v="35"/>
    <s v="Rural"/>
    <x v="1"/>
    <x v="0"/>
    <x v="0"/>
  </r>
  <r>
    <n v="88"/>
    <x v="3"/>
    <x v="0"/>
    <x v="4"/>
    <x v="35"/>
    <s v="Rural"/>
    <x v="0"/>
    <x v="0"/>
    <x v="0"/>
  </r>
  <r>
    <n v="89"/>
    <x v="3"/>
    <x v="0"/>
    <x v="4"/>
    <x v="35"/>
    <s v="Rural"/>
    <x v="1"/>
    <x v="0"/>
    <x v="0"/>
  </r>
  <r>
    <n v="90"/>
    <x v="3"/>
    <x v="0"/>
    <x v="0"/>
    <x v="35"/>
    <s v="Rural"/>
    <x v="0"/>
    <x v="0"/>
    <x v="0"/>
  </r>
  <r>
    <n v="91"/>
    <x v="3"/>
    <x v="0"/>
    <x v="0"/>
    <x v="35"/>
    <s v="Rural"/>
    <x v="1"/>
    <x v="0"/>
    <x v="0"/>
  </r>
  <r>
    <n v="92"/>
    <x v="3"/>
    <x v="0"/>
    <x v="0"/>
    <x v="35"/>
    <s v="Rural"/>
    <x v="1"/>
    <x v="1"/>
    <x v="0"/>
  </r>
  <r>
    <n v="93"/>
    <x v="3"/>
    <x v="0"/>
    <x v="0"/>
    <x v="35"/>
    <s v="Rural"/>
    <x v="0"/>
    <x v="0"/>
    <x v="0"/>
  </r>
  <r>
    <n v="94"/>
    <x v="3"/>
    <x v="0"/>
    <x v="0"/>
    <x v="35"/>
    <s v="Rural"/>
    <x v="0"/>
    <x v="0"/>
    <x v="0"/>
  </r>
  <r>
    <n v="95"/>
    <x v="3"/>
    <x v="0"/>
    <x v="0"/>
    <x v="35"/>
    <s v="Rural"/>
    <x v="0"/>
    <x v="0"/>
    <x v="0"/>
  </r>
  <r>
    <n v="96"/>
    <x v="3"/>
    <x v="0"/>
    <x v="0"/>
    <x v="35"/>
    <s v="Rural"/>
    <x v="1"/>
    <x v="1"/>
    <x v="0"/>
  </r>
  <r>
    <n v="97"/>
    <x v="3"/>
    <x v="0"/>
    <x v="1"/>
    <x v="35"/>
    <s v="Rural"/>
    <x v="0"/>
    <x v="1"/>
    <x v="0"/>
  </r>
  <r>
    <n v="98"/>
    <x v="3"/>
    <x v="0"/>
    <x v="1"/>
    <x v="35"/>
    <s v="Rural"/>
    <x v="1"/>
    <x v="1"/>
    <x v="0"/>
  </r>
  <r>
    <n v="99"/>
    <x v="3"/>
    <x v="0"/>
    <x v="1"/>
    <x v="35"/>
    <s v="Rural"/>
    <x v="1"/>
    <x v="1"/>
    <x v="0"/>
  </r>
  <r>
    <n v="100"/>
    <x v="3"/>
    <x v="0"/>
    <x v="1"/>
    <x v="35"/>
    <s v="Rural"/>
    <x v="0"/>
    <x v="1"/>
    <x v="0"/>
  </r>
  <r>
    <n v="101"/>
    <x v="3"/>
    <x v="0"/>
    <x v="1"/>
    <x v="35"/>
    <s v="Rural"/>
    <x v="0"/>
    <x v="1"/>
    <x v="0"/>
  </r>
  <r>
    <n v="102"/>
    <x v="3"/>
    <x v="0"/>
    <x v="1"/>
    <x v="35"/>
    <s v="Rural"/>
    <x v="1"/>
    <x v="1"/>
    <x v="0"/>
  </r>
  <r>
    <n v="103"/>
    <x v="3"/>
    <x v="0"/>
    <x v="1"/>
    <x v="35"/>
    <s v="Rural"/>
    <x v="1"/>
    <x v="1"/>
    <x v="0"/>
  </r>
  <r>
    <n v="104"/>
    <x v="3"/>
    <x v="0"/>
    <x v="1"/>
    <x v="35"/>
    <s v="Rural"/>
    <x v="1"/>
    <x v="2"/>
    <x v="0"/>
  </r>
  <r>
    <n v="105"/>
    <x v="3"/>
    <x v="0"/>
    <x v="1"/>
    <x v="35"/>
    <s v="Rural"/>
    <x v="0"/>
    <x v="1"/>
    <x v="0"/>
  </r>
  <r>
    <n v="106"/>
    <x v="3"/>
    <x v="1"/>
    <x v="2"/>
    <x v="35"/>
    <s v="Rural"/>
    <x v="1"/>
    <x v="1"/>
    <x v="0"/>
  </r>
  <r>
    <n v="107"/>
    <x v="3"/>
    <x v="1"/>
    <x v="2"/>
    <x v="35"/>
    <s v="Rural"/>
    <x v="1"/>
    <x v="1"/>
    <x v="0"/>
  </r>
  <r>
    <n v="108"/>
    <x v="3"/>
    <x v="1"/>
    <x v="2"/>
    <x v="35"/>
    <s v="Rural"/>
    <x v="0"/>
    <x v="0"/>
    <x v="0"/>
  </r>
  <r>
    <n v="109"/>
    <x v="3"/>
    <x v="1"/>
    <x v="2"/>
    <x v="35"/>
    <s v="Rural"/>
    <x v="1"/>
    <x v="1"/>
    <x v="0"/>
  </r>
  <r>
    <n v="110"/>
    <x v="3"/>
    <x v="1"/>
    <x v="2"/>
    <x v="35"/>
    <s v="Rural"/>
    <x v="0"/>
    <x v="1"/>
    <x v="0"/>
  </r>
  <r>
    <n v="111"/>
    <x v="3"/>
    <x v="1"/>
    <x v="2"/>
    <x v="35"/>
    <s v="Rural"/>
    <x v="0"/>
    <x v="0"/>
    <x v="0"/>
  </r>
  <r>
    <n v="112"/>
    <x v="3"/>
    <x v="1"/>
    <x v="2"/>
    <x v="35"/>
    <s v="Rural"/>
    <x v="0"/>
    <x v="0"/>
    <x v="0"/>
  </r>
  <r>
    <n v="113"/>
    <x v="3"/>
    <x v="1"/>
    <x v="2"/>
    <x v="35"/>
    <s v="Rural"/>
    <x v="1"/>
    <x v="1"/>
    <x v="0"/>
  </r>
  <r>
    <n v="114"/>
    <x v="3"/>
    <x v="1"/>
    <x v="2"/>
    <x v="35"/>
    <s v="Rural"/>
    <x v="0"/>
    <x v="1"/>
    <x v="0"/>
  </r>
  <r>
    <n v="115"/>
    <x v="3"/>
    <x v="1"/>
    <x v="2"/>
    <x v="35"/>
    <s v="Rural"/>
    <x v="0"/>
    <x v="1"/>
    <x v="0"/>
  </r>
  <r>
    <n v="116"/>
    <x v="3"/>
    <x v="1"/>
    <x v="2"/>
    <x v="35"/>
    <s v="Rural"/>
    <x v="0"/>
    <x v="0"/>
    <x v="0"/>
  </r>
  <r>
    <n v="117"/>
    <x v="3"/>
    <x v="1"/>
    <x v="2"/>
    <x v="35"/>
    <s v="Rural"/>
    <x v="1"/>
    <x v="1"/>
    <x v="0"/>
  </r>
  <r>
    <n v="118"/>
    <x v="3"/>
    <x v="1"/>
    <x v="3"/>
    <x v="35"/>
    <s v="Rural"/>
    <x v="1"/>
    <x v="0"/>
    <x v="0"/>
  </r>
  <r>
    <n v="119"/>
    <x v="3"/>
    <x v="1"/>
    <x v="3"/>
    <x v="35"/>
    <s v="Rural"/>
    <x v="0"/>
    <x v="1"/>
    <x v="0"/>
  </r>
  <r>
    <n v="120"/>
    <x v="3"/>
    <x v="1"/>
    <x v="3"/>
    <x v="35"/>
    <s v="Rural"/>
    <x v="0"/>
    <x v="1"/>
    <x v="0"/>
  </r>
  <r>
    <n v="121"/>
    <x v="3"/>
    <x v="1"/>
    <x v="3"/>
    <x v="35"/>
    <s v="Rural"/>
    <x v="0"/>
    <x v="0"/>
    <x v="0"/>
  </r>
  <r>
    <n v="122"/>
    <x v="3"/>
    <x v="1"/>
    <x v="3"/>
    <x v="35"/>
    <s v="Rural"/>
    <x v="0"/>
    <x v="1"/>
    <x v="0"/>
  </r>
  <r>
    <n v="123"/>
    <x v="3"/>
    <x v="1"/>
    <x v="3"/>
    <x v="35"/>
    <s v="Rural"/>
    <x v="0"/>
    <x v="1"/>
    <x v="0"/>
  </r>
  <r>
    <n v="124"/>
    <x v="3"/>
    <x v="1"/>
    <x v="3"/>
    <x v="35"/>
    <s v="Rural"/>
    <x v="1"/>
    <x v="1"/>
    <x v="0"/>
  </r>
  <r>
    <n v="125"/>
    <x v="3"/>
    <x v="1"/>
    <x v="3"/>
    <x v="35"/>
    <s v="Rural"/>
    <x v="1"/>
    <x v="1"/>
    <x v="0"/>
  </r>
  <r>
    <n v="126"/>
    <x v="3"/>
    <x v="1"/>
    <x v="3"/>
    <x v="35"/>
    <s v="Rural"/>
    <x v="0"/>
    <x v="1"/>
    <x v="0"/>
  </r>
  <r>
    <n v="127"/>
    <x v="3"/>
    <x v="1"/>
    <x v="3"/>
    <x v="35"/>
    <s v="Rural"/>
    <x v="1"/>
    <x v="1"/>
    <x v="0"/>
  </r>
  <r>
    <n v="128"/>
    <x v="3"/>
    <x v="1"/>
    <x v="3"/>
    <x v="35"/>
    <s v="Rural"/>
    <x v="0"/>
    <x v="1"/>
    <x v="0"/>
  </r>
  <r>
    <n v="129"/>
    <x v="3"/>
    <x v="0"/>
    <x v="4"/>
    <x v="36"/>
    <s v="Rural"/>
    <x v="1"/>
    <x v="1"/>
    <x v="0"/>
  </r>
  <r>
    <n v="130"/>
    <x v="3"/>
    <x v="0"/>
    <x v="1"/>
    <x v="36"/>
    <s v="Rural"/>
    <x v="0"/>
    <x v="0"/>
    <x v="0"/>
  </r>
  <r>
    <n v="131"/>
    <x v="3"/>
    <x v="0"/>
    <x v="4"/>
    <x v="37"/>
    <s v="Rural"/>
    <x v="1"/>
    <x v="0"/>
    <x v="0"/>
  </r>
  <r>
    <n v="132"/>
    <x v="3"/>
    <x v="0"/>
    <x v="4"/>
    <x v="37"/>
    <s v="Rural"/>
    <x v="0"/>
    <x v="0"/>
    <x v="0"/>
  </r>
  <r>
    <n v="133"/>
    <x v="3"/>
    <x v="0"/>
    <x v="1"/>
    <x v="37"/>
    <s v="Rural"/>
    <x v="0"/>
    <x v="0"/>
    <x v="0"/>
  </r>
  <r>
    <n v="134"/>
    <x v="3"/>
    <x v="0"/>
    <x v="0"/>
    <x v="38"/>
    <s v="Rural"/>
    <x v="1"/>
    <x v="0"/>
    <x v="0"/>
  </r>
  <r>
    <n v="135"/>
    <x v="3"/>
    <x v="0"/>
    <x v="1"/>
    <x v="38"/>
    <s v="Rural"/>
    <x v="0"/>
    <x v="0"/>
    <x v="0"/>
  </r>
  <r>
    <n v="136"/>
    <x v="3"/>
    <x v="0"/>
    <x v="4"/>
    <x v="39"/>
    <s v="Rural"/>
    <x v="0"/>
    <x v="0"/>
    <x v="0"/>
  </r>
  <r>
    <n v="137"/>
    <x v="3"/>
    <x v="0"/>
    <x v="4"/>
    <x v="39"/>
    <s v="Rural"/>
    <x v="1"/>
    <x v="0"/>
    <x v="0"/>
  </r>
  <r>
    <n v="138"/>
    <x v="3"/>
    <x v="0"/>
    <x v="0"/>
    <x v="39"/>
    <s v="Rural"/>
    <x v="0"/>
    <x v="0"/>
    <x v="0"/>
  </r>
  <r>
    <n v="139"/>
    <x v="3"/>
    <x v="0"/>
    <x v="0"/>
    <x v="39"/>
    <s v="Rural"/>
    <x v="0"/>
    <x v="0"/>
    <x v="0"/>
  </r>
  <r>
    <n v="140"/>
    <x v="3"/>
    <x v="0"/>
    <x v="1"/>
    <x v="39"/>
    <s v="Rural"/>
    <x v="1"/>
    <x v="0"/>
    <x v="0"/>
  </r>
  <r>
    <n v="141"/>
    <x v="3"/>
    <x v="0"/>
    <x v="1"/>
    <x v="39"/>
    <s v="Rural"/>
    <x v="0"/>
    <x v="0"/>
    <x v="0"/>
  </r>
  <r>
    <n v="142"/>
    <x v="3"/>
    <x v="0"/>
    <x v="1"/>
    <x v="39"/>
    <s v="Rural"/>
    <x v="0"/>
    <x v="0"/>
    <x v="0"/>
  </r>
  <r>
    <n v="143"/>
    <x v="3"/>
    <x v="0"/>
    <x v="1"/>
    <x v="39"/>
    <s v="Rural"/>
    <x v="0"/>
    <x v="0"/>
    <x v="0"/>
  </r>
  <r>
    <n v="144"/>
    <x v="3"/>
    <x v="1"/>
    <x v="2"/>
    <x v="39"/>
    <s v="Rural"/>
    <x v="0"/>
    <x v="0"/>
    <x v="0"/>
  </r>
  <r>
    <n v="145"/>
    <x v="3"/>
    <x v="1"/>
    <x v="2"/>
    <x v="39"/>
    <s v="Rural"/>
    <x v="1"/>
    <x v="0"/>
    <x v="0"/>
  </r>
  <r>
    <n v="146"/>
    <x v="3"/>
    <x v="1"/>
    <x v="2"/>
    <x v="39"/>
    <s v="Rural"/>
    <x v="0"/>
    <x v="0"/>
    <x v="0"/>
  </r>
  <r>
    <n v="147"/>
    <x v="3"/>
    <x v="1"/>
    <x v="2"/>
    <x v="39"/>
    <s v="Rural"/>
    <x v="1"/>
    <x v="0"/>
    <x v="0"/>
  </r>
  <r>
    <n v="148"/>
    <x v="3"/>
    <x v="1"/>
    <x v="2"/>
    <x v="39"/>
    <s v="Rural"/>
    <x v="0"/>
    <x v="0"/>
    <x v="0"/>
  </r>
  <r>
    <n v="149"/>
    <x v="3"/>
    <x v="1"/>
    <x v="2"/>
    <x v="39"/>
    <s v="Rural"/>
    <x v="0"/>
    <x v="0"/>
    <x v="0"/>
  </r>
  <r>
    <n v="150"/>
    <x v="3"/>
    <x v="1"/>
    <x v="2"/>
    <x v="39"/>
    <s v="Rural"/>
    <x v="0"/>
    <x v="0"/>
    <x v="0"/>
  </r>
  <r>
    <n v="151"/>
    <x v="3"/>
    <x v="1"/>
    <x v="2"/>
    <x v="39"/>
    <s v="Rural"/>
    <x v="0"/>
    <x v="0"/>
    <x v="0"/>
  </r>
  <r>
    <n v="152"/>
    <x v="3"/>
    <x v="1"/>
    <x v="3"/>
    <x v="39"/>
    <s v="Rural"/>
    <x v="1"/>
    <x v="0"/>
    <x v="0"/>
  </r>
  <r>
    <n v="153"/>
    <x v="3"/>
    <x v="1"/>
    <x v="3"/>
    <x v="39"/>
    <s v="Rural"/>
    <x v="0"/>
    <x v="0"/>
    <x v="0"/>
  </r>
  <r>
    <n v="154"/>
    <x v="3"/>
    <x v="1"/>
    <x v="3"/>
    <x v="39"/>
    <s v="Rural"/>
    <x v="1"/>
    <x v="0"/>
    <x v="0"/>
  </r>
  <r>
    <n v="155"/>
    <x v="3"/>
    <x v="0"/>
    <x v="4"/>
    <x v="40"/>
    <s v="Rural"/>
    <x v="0"/>
    <x v="0"/>
    <x v="0"/>
  </r>
  <r>
    <n v="156"/>
    <x v="3"/>
    <x v="0"/>
    <x v="4"/>
    <x v="41"/>
    <s v="Rural"/>
    <x v="0"/>
    <x v="0"/>
    <x v="0"/>
  </r>
  <r>
    <n v="157"/>
    <x v="3"/>
    <x v="0"/>
    <x v="4"/>
    <x v="41"/>
    <s v="Rural"/>
    <x v="1"/>
    <x v="0"/>
    <x v="0"/>
  </r>
  <r>
    <n v="158"/>
    <x v="3"/>
    <x v="0"/>
    <x v="4"/>
    <x v="41"/>
    <s v="Rural"/>
    <x v="1"/>
    <x v="0"/>
    <x v="0"/>
  </r>
  <r>
    <n v="159"/>
    <x v="3"/>
    <x v="0"/>
    <x v="4"/>
    <x v="41"/>
    <s v="Rural"/>
    <x v="0"/>
    <x v="0"/>
    <x v="0"/>
  </r>
  <r>
    <n v="160"/>
    <x v="3"/>
    <x v="0"/>
    <x v="4"/>
    <x v="41"/>
    <s v="Rural"/>
    <x v="0"/>
    <x v="0"/>
    <x v="0"/>
  </r>
  <r>
    <n v="161"/>
    <x v="3"/>
    <x v="0"/>
    <x v="4"/>
    <x v="41"/>
    <s v="Rural"/>
    <x v="1"/>
    <x v="0"/>
    <x v="0"/>
  </r>
  <r>
    <n v="162"/>
    <x v="3"/>
    <x v="0"/>
    <x v="4"/>
    <x v="41"/>
    <s v="Rural"/>
    <x v="0"/>
    <x v="0"/>
    <x v="0"/>
  </r>
  <r>
    <n v="163"/>
    <x v="3"/>
    <x v="0"/>
    <x v="4"/>
    <x v="41"/>
    <s v="Rural"/>
    <x v="1"/>
    <x v="0"/>
    <x v="0"/>
  </r>
  <r>
    <n v="164"/>
    <x v="3"/>
    <x v="0"/>
    <x v="4"/>
    <x v="41"/>
    <s v="Rural"/>
    <x v="1"/>
    <x v="0"/>
    <x v="0"/>
  </r>
  <r>
    <n v="165"/>
    <x v="3"/>
    <x v="0"/>
    <x v="4"/>
    <x v="41"/>
    <s v="Rural"/>
    <x v="1"/>
    <x v="0"/>
    <x v="0"/>
  </r>
  <r>
    <n v="166"/>
    <x v="3"/>
    <x v="0"/>
    <x v="0"/>
    <x v="41"/>
    <s v="Rural"/>
    <x v="0"/>
    <x v="0"/>
    <x v="0"/>
  </r>
  <r>
    <n v="167"/>
    <x v="3"/>
    <x v="0"/>
    <x v="0"/>
    <x v="41"/>
    <s v="Rural"/>
    <x v="0"/>
    <x v="0"/>
    <x v="0"/>
  </r>
  <r>
    <n v="168"/>
    <x v="3"/>
    <x v="0"/>
    <x v="0"/>
    <x v="41"/>
    <s v="Rural"/>
    <x v="1"/>
    <x v="0"/>
    <x v="0"/>
  </r>
  <r>
    <n v="169"/>
    <x v="3"/>
    <x v="0"/>
    <x v="0"/>
    <x v="41"/>
    <s v="Rural"/>
    <x v="0"/>
    <x v="0"/>
    <x v="0"/>
  </r>
  <r>
    <n v="170"/>
    <x v="3"/>
    <x v="0"/>
    <x v="0"/>
    <x v="41"/>
    <s v="Rural"/>
    <x v="1"/>
    <x v="0"/>
    <x v="0"/>
  </r>
  <r>
    <n v="171"/>
    <x v="3"/>
    <x v="0"/>
    <x v="0"/>
    <x v="41"/>
    <s v="Rural"/>
    <x v="1"/>
    <x v="0"/>
    <x v="0"/>
  </r>
  <r>
    <n v="172"/>
    <x v="3"/>
    <x v="0"/>
    <x v="0"/>
    <x v="41"/>
    <s v="Rural"/>
    <x v="1"/>
    <x v="0"/>
    <x v="0"/>
  </r>
  <r>
    <n v="173"/>
    <x v="3"/>
    <x v="0"/>
    <x v="0"/>
    <x v="41"/>
    <s v="Rural"/>
    <x v="0"/>
    <x v="0"/>
    <x v="0"/>
  </r>
  <r>
    <n v="174"/>
    <x v="3"/>
    <x v="0"/>
    <x v="0"/>
    <x v="41"/>
    <s v="Rural"/>
    <x v="1"/>
    <x v="0"/>
    <x v="0"/>
  </r>
  <r>
    <n v="175"/>
    <x v="3"/>
    <x v="0"/>
    <x v="0"/>
    <x v="41"/>
    <s v="Rural"/>
    <x v="1"/>
    <x v="0"/>
    <x v="0"/>
  </r>
  <r>
    <n v="176"/>
    <x v="3"/>
    <x v="0"/>
    <x v="0"/>
    <x v="41"/>
    <s v="Rural"/>
    <x v="1"/>
    <x v="0"/>
    <x v="0"/>
  </r>
  <r>
    <n v="177"/>
    <x v="3"/>
    <x v="0"/>
    <x v="0"/>
    <x v="41"/>
    <s v="Rural"/>
    <x v="0"/>
    <x v="0"/>
    <x v="0"/>
  </r>
  <r>
    <n v="178"/>
    <x v="3"/>
    <x v="0"/>
    <x v="0"/>
    <x v="41"/>
    <s v="Rural"/>
    <x v="1"/>
    <x v="0"/>
    <x v="0"/>
  </r>
  <r>
    <n v="179"/>
    <x v="3"/>
    <x v="0"/>
    <x v="0"/>
    <x v="41"/>
    <s v="Rural"/>
    <x v="0"/>
    <x v="0"/>
    <x v="0"/>
  </r>
  <r>
    <n v="180"/>
    <x v="3"/>
    <x v="0"/>
    <x v="0"/>
    <x v="41"/>
    <s v="Rural"/>
    <x v="0"/>
    <x v="0"/>
    <x v="0"/>
  </r>
  <r>
    <n v="181"/>
    <x v="3"/>
    <x v="0"/>
    <x v="1"/>
    <x v="41"/>
    <s v="Rural"/>
    <x v="1"/>
    <x v="0"/>
    <x v="0"/>
  </r>
  <r>
    <n v="182"/>
    <x v="3"/>
    <x v="0"/>
    <x v="1"/>
    <x v="41"/>
    <s v="Rural"/>
    <x v="1"/>
    <x v="0"/>
    <x v="0"/>
  </r>
  <r>
    <n v="183"/>
    <x v="3"/>
    <x v="0"/>
    <x v="1"/>
    <x v="41"/>
    <s v="Rural"/>
    <x v="0"/>
    <x v="0"/>
    <x v="0"/>
  </r>
  <r>
    <n v="184"/>
    <x v="3"/>
    <x v="0"/>
    <x v="1"/>
    <x v="41"/>
    <s v="Rural"/>
    <x v="0"/>
    <x v="0"/>
    <x v="0"/>
  </r>
  <r>
    <n v="185"/>
    <x v="3"/>
    <x v="0"/>
    <x v="1"/>
    <x v="41"/>
    <s v="Rural"/>
    <x v="1"/>
    <x v="0"/>
    <x v="0"/>
  </r>
  <r>
    <n v="186"/>
    <x v="3"/>
    <x v="0"/>
    <x v="1"/>
    <x v="41"/>
    <s v="Rural"/>
    <x v="1"/>
    <x v="0"/>
    <x v="0"/>
  </r>
  <r>
    <n v="187"/>
    <x v="3"/>
    <x v="0"/>
    <x v="1"/>
    <x v="41"/>
    <s v="Rural"/>
    <x v="0"/>
    <x v="0"/>
    <x v="0"/>
  </r>
  <r>
    <n v="188"/>
    <x v="3"/>
    <x v="0"/>
    <x v="1"/>
    <x v="41"/>
    <s v="Rural"/>
    <x v="1"/>
    <x v="0"/>
    <x v="0"/>
  </r>
  <r>
    <n v="189"/>
    <x v="3"/>
    <x v="0"/>
    <x v="1"/>
    <x v="41"/>
    <s v="Rural"/>
    <x v="0"/>
    <x v="0"/>
    <x v="0"/>
  </r>
  <r>
    <n v="190"/>
    <x v="3"/>
    <x v="0"/>
    <x v="1"/>
    <x v="41"/>
    <s v="Rural"/>
    <x v="0"/>
    <x v="0"/>
    <x v="0"/>
  </r>
  <r>
    <n v="191"/>
    <x v="3"/>
    <x v="0"/>
    <x v="1"/>
    <x v="41"/>
    <s v="Rural"/>
    <x v="1"/>
    <x v="0"/>
    <x v="0"/>
  </r>
  <r>
    <n v="192"/>
    <x v="3"/>
    <x v="0"/>
    <x v="1"/>
    <x v="41"/>
    <s v="Rural"/>
    <x v="1"/>
    <x v="0"/>
    <x v="0"/>
  </r>
  <r>
    <n v="193"/>
    <x v="3"/>
    <x v="0"/>
    <x v="1"/>
    <x v="41"/>
    <s v="Rural"/>
    <x v="1"/>
    <x v="0"/>
    <x v="0"/>
  </r>
  <r>
    <n v="194"/>
    <x v="3"/>
    <x v="1"/>
    <x v="2"/>
    <x v="41"/>
    <s v="Rural"/>
    <x v="1"/>
    <x v="0"/>
    <x v="0"/>
  </r>
  <r>
    <n v="195"/>
    <x v="3"/>
    <x v="1"/>
    <x v="2"/>
    <x v="41"/>
    <s v="Rural"/>
    <x v="0"/>
    <x v="0"/>
    <x v="0"/>
  </r>
  <r>
    <n v="196"/>
    <x v="3"/>
    <x v="1"/>
    <x v="2"/>
    <x v="41"/>
    <s v="Rural"/>
    <x v="0"/>
    <x v="0"/>
    <x v="0"/>
  </r>
  <r>
    <n v="197"/>
    <x v="3"/>
    <x v="1"/>
    <x v="2"/>
    <x v="41"/>
    <s v="Rural"/>
    <x v="0"/>
    <x v="0"/>
    <x v="0"/>
  </r>
  <r>
    <n v="198"/>
    <x v="3"/>
    <x v="1"/>
    <x v="2"/>
    <x v="41"/>
    <s v="Rural"/>
    <x v="1"/>
    <x v="0"/>
    <x v="0"/>
  </r>
  <r>
    <n v="199"/>
    <x v="3"/>
    <x v="1"/>
    <x v="2"/>
    <x v="41"/>
    <s v="Rural"/>
    <x v="1"/>
    <x v="0"/>
    <x v="0"/>
  </r>
  <r>
    <n v="200"/>
    <x v="3"/>
    <x v="1"/>
    <x v="2"/>
    <x v="41"/>
    <s v="Rural"/>
    <x v="0"/>
    <x v="0"/>
    <x v="0"/>
  </r>
  <r>
    <n v="201"/>
    <x v="3"/>
    <x v="1"/>
    <x v="2"/>
    <x v="41"/>
    <s v="Rural"/>
    <x v="0"/>
    <x v="0"/>
    <x v="0"/>
  </r>
  <r>
    <n v="202"/>
    <x v="3"/>
    <x v="1"/>
    <x v="2"/>
    <x v="41"/>
    <s v="Rural"/>
    <x v="0"/>
    <x v="0"/>
    <x v="0"/>
  </r>
  <r>
    <n v="203"/>
    <x v="3"/>
    <x v="1"/>
    <x v="2"/>
    <x v="41"/>
    <s v="Rural"/>
    <x v="0"/>
    <x v="0"/>
    <x v="0"/>
  </r>
  <r>
    <n v="204"/>
    <x v="3"/>
    <x v="1"/>
    <x v="2"/>
    <x v="41"/>
    <s v="Rural"/>
    <x v="1"/>
    <x v="0"/>
    <x v="0"/>
  </r>
  <r>
    <n v="205"/>
    <x v="3"/>
    <x v="1"/>
    <x v="2"/>
    <x v="41"/>
    <s v="Rural"/>
    <x v="1"/>
    <x v="0"/>
    <x v="0"/>
  </r>
  <r>
    <n v="206"/>
    <x v="3"/>
    <x v="1"/>
    <x v="2"/>
    <x v="41"/>
    <s v="Rural"/>
    <x v="1"/>
    <x v="0"/>
    <x v="0"/>
  </r>
  <r>
    <n v="207"/>
    <x v="3"/>
    <x v="1"/>
    <x v="2"/>
    <x v="41"/>
    <s v="Rural"/>
    <x v="0"/>
    <x v="0"/>
    <x v="0"/>
  </r>
  <r>
    <n v="208"/>
    <x v="3"/>
    <x v="1"/>
    <x v="2"/>
    <x v="41"/>
    <s v="Rural"/>
    <x v="0"/>
    <x v="0"/>
    <x v="0"/>
  </r>
  <r>
    <n v="209"/>
    <x v="3"/>
    <x v="1"/>
    <x v="2"/>
    <x v="41"/>
    <s v="Rural"/>
    <x v="1"/>
    <x v="0"/>
    <x v="0"/>
  </r>
  <r>
    <n v="210"/>
    <x v="3"/>
    <x v="1"/>
    <x v="2"/>
    <x v="41"/>
    <s v="Rural"/>
    <x v="1"/>
    <x v="0"/>
    <x v="0"/>
  </r>
  <r>
    <n v="211"/>
    <x v="3"/>
    <x v="1"/>
    <x v="2"/>
    <x v="41"/>
    <s v="Rural"/>
    <x v="1"/>
    <x v="0"/>
    <x v="0"/>
  </r>
  <r>
    <n v="212"/>
    <x v="3"/>
    <x v="1"/>
    <x v="2"/>
    <x v="41"/>
    <s v="Rural"/>
    <x v="1"/>
    <x v="0"/>
    <x v="0"/>
  </r>
  <r>
    <n v="213"/>
    <x v="3"/>
    <x v="1"/>
    <x v="2"/>
    <x v="41"/>
    <s v="Rural"/>
    <x v="1"/>
    <x v="0"/>
    <x v="0"/>
  </r>
  <r>
    <n v="214"/>
    <x v="3"/>
    <x v="1"/>
    <x v="2"/>
    <x v="41"/>
    <s v="Rural"/>
    <x v="1"/>
    <x v="0"/>
    <x v="0"/>
  </r>
  <r>
    <n v="215"/>
    <x v="3"/>
    <x v="1"/>
    <x v="2"/>
    <x v="41"/>
    <s v="Rural"/>
    <x v="0"/>
    <x v="0"/>
    <x v="0"/>
  </r>
  <r>
    <n v="216"/>
    <x v="3"/>
    <x v="1"/>
    <x v="2"/>
    <x v="41"/>
    <s v="Rural"/>
    <x v="0"/>
    <x v="0"/>
    <x v="0"/>
  </r>
  <r>
    <n v="217"/>
    <x v="3"/>
    <x v="1"/>
    <x v="3"/>
    <x v="41"/>
    <s v="Rural"/>
    <x v="1"/>
    <x v="0"/>
    <x v="0"/>
  </r>
  <r>
    <n v="218"/>
    <x v="3"/>
    <x v="1"/>
    <x v="3"/>
    <x v="41"/>
    <s v="Rural"/>
    <x v="1"/>
    <x v="0"/>
    <x v="0"/>
  </r>
  <r>
    <n v="219"/>
    <x v="3"/>
    <x v="1"/>
    <x v="3"/>
    <x v="41"/>
    <s v="Rural"/>
    <x v="1"/>
    <x v="0"/>
    <x v="0"/>
  </r>
  <r>
    <n v="220"/>
    <x v="3"/>
    <x v="1"/>
    <x v="3"/>
    <x v="41"/>
    <s v="Rural"/>
    <x v="1"/>
    <x v="0"/>
    <x v="0"/>
  </r>
  <r>
    <n v="221"/>
    <x v="3"/>
    <x v="1"/>
    <x v="3"/>
    <x v="41"/>
    <s v="Rural"/>
    <x v="1"/>
    <x v="0"/>
    <x v="0"/>
  </r>
  <r>
    <n v="222"/>
    <x v="3"/>
    <x v="1"/>
    <x v="3"/>
    <x v="41"/>
    <s v="Rural"/>
    <x v="0"/>
    <x v="0"/>
    <x v="0"/>
  </r>
  <r>
    <n v="223"/>
    <x v="3"/>
    <x v="1"/>
    <x v="3"/>
    <x v="41"/>
    <s v="Rural"/>
    <x v="0"/>
    <x v="0"/>
    <x v="0"/>
  </r>
  <r>
    <n v="224"/>
    <x v="3"/>
    <x v="1"/>
    <x v="3"/>
    <x v="41"/>
    <s v="Rural"/>
    <x v="1"/>
    <x v="0"/>
    <x v="0"/>
  </r>
  <r>
    <n v="229"/>
    <x v="3"/>
    <x v="0"/>
    <x v="0"/>
    <x v="42"/>
    <s v="Rural"/>
    <x v="1"/>
    <x v="0"/>
    <x v="0"/>
  </r>
  <r>
    <n v="230"/>
    <x v="3"/>
    <x v="0"/>
    <x v="1"/>
    <x v="42"/>
    <s v="Rural"/>
    <x v="0"/>
    <x v="0"/>
    <x v="0"/>
  </r>
  <r>
    <n v="231"/>
    <x v="3"/>
    <x v="0"/>
    <x v="1"/>
    <x v="42"/>
    <s v="Rural"/>
    <x v="0"/>
    <x v="0"/>
    <x v="0"/>
  </r>
  <r>
    <n v="232"/>
    <x v="3"/>
    <x v="0"/>
    <x v="1"/>
    <x v="43"/>
    <s v="Rural"/>
    <x v="0"/>
    <x v="0"/>
    <x v="0"/>
  </r>
  <r>
    <n v="233"/>
    <x v="3"/>
    <x v="0"/>
    <x v="1"/>
    <x v="43"/>
    <s v="Rural"/>
    <x v="1"/>
    <x v="0"/>
    <x v="0"/>
  </r>
  <r>
    <n v="234"/>
    <x v="3"/>
    <x v="0"/>
    <x v="4"/>
    <x v="44"/>
    <s v="Rural"/>
    <x v="1"/>
    <x v="0"/>
    <x v="0"/>
  </r>
  <r>
    <n v="235"/>
    <x v="3"/>
    <x v="0"/>
    <x v="4"/>
    <x v="44"/>
    <s v="Rural"/>
    <x v="0"/>
    <x v="0"/>
    <x v="0"/>
  </r>
  <r>
    <n v="236"/>
    <x v="3"/>
    <x v="0"/>
    <x v="0"/>
    <x v="44"/>
    <s v="Rural"/>
    <x v="0"/>
    <x v="0"/>
    <x v="0"/>
  </r>
  <r>
    <n v="237"/>
    <x v="3"/>
    <x v="0"/>
    <x v="0"/>
    <x v="44"/>
    <s v="Rural"/>
    <x v="0"/>
    <x v="0"/>
    <x v="0"/>
  </r>
  <r>
    <n v="238"/>
    <x v="3"/>
    <x v="0"/>
    <x v="1"/>
    <x v="44"/>
    <s v="Rural"/>
    <x v="0"/>
    <x v="0"/>
    <x v="0"/>
  </r>
  <r>
    <n v="239"/>
    <x v="3"/>
    <x v="0"/>
    <x v="4"/>
    <x v="45"/>
    <s v="Rural"/>
    <x v="1"/>
    <x v="0"/>
    <x v="0"/>
  </r>
  <r>
    <n v="240"/>
    <x v="3"/>
    <x v="0"/>
    <x v="4"/>
    <x v="45"/>
    <s v="Rural"/>
    <x v="0"/>
    <x v="0"/>
    <x v="0"/>
  </r>
  <r>
    <n v="241"/>
    <x v="3"/>
    <x v="0"/>
    <x v="0"/>
    <x v="45"/>
    <s v="Rural"/>
    <x v="0"/>
    <x v="0"/>
    <x v="0"/>
  </r>
  <r>
    <n v="242"/>
    <x v="3"/>
    <x v="0"/>
    <x v="1"/>
    <x v="45"/>
    <s v="Rural"/>
    <x v="1"/>
    <x v="0"/>
    <x v="0"/>
  </r>
  <r>
    <n v="243"/>
    <x v="3"/>
    <x v="0"/>
    <x v="4"/>
    <x v="46"/>
    <s v="Rural"/>
    <x v="1"/>
    <x v="0"/>
    <x v="0"/>
  </r>
  <r>
    <n v="244"/>
    <x v="3"/>
    <x v="0"/>
    <x v="0"/>
    <x v="46"/>
    <s v="Rural"/>
    <x v="0"/>
    <x v="0"/>
    <x v="0"/>
  </r>
  <r>
    <n v="246"/>
    <x v="3"/>
    <x v="0"/>
    <x v="4"/>
    <x v="47"/>
    <s v="Rural"/>
    <x v="1"/>
    <x v="0"/>
    <x v="0"/>
  </r>
  <r>
    <n v="247"/>
    <x v="3"/>
    <x v="0"/>
    <x v="4"/>
    <x v="47"/>
    <s v="Rural"/>
    <x v="1"/>
    <x v="0"/>
    <x v="0"/>
  </r>
  <r>
    <n v="248"/>
    <x v="3"/>
    <x v="0"/>
    <x v="4"/>
    <x v="47"/>
    <s v="Rural"/>
    <x v="1"/>
    <x v="0"/>
    <x v="0"/>
  </r>
  <r>
    <n v="249"/>
    <x v="3"/>
    <x v="0"/>
    <x v="4"/>
    <x v="47"/>
    <s v="Rural"/>
    <x v="0"/>
    <x v="0"/>
    <x v="0"/>
  </r>
  <r>
    <n v="250"/>
    <x v="3"/>
    <x v="0"/>
    <x v="4"/>
    <x v="47"/>
    <s v="Rural"/>
    <x v="0"/>
    <x v="0"/>
    <x v="0"/>
  </r>
  <r>
    <n v="251"/>
    <x v="3"/>
    <x v="0"/>
    <x v="4"/>
    <x v="47"/>
    <s v="Rural"/>
    <x v="1"/>
    <x v="0"/>
    <x v="0"/>
  </r>
  <r>
    <n v="252"/>
    <x v="3"/>
    <x v="0"/>
    <x v="4"/>
    <x v="47"/>
    <s v="Rural"/>
    <x v="1"/>
    <x v="1"/>
    <x v="0"/>
  </r>
  <r>
    <n v="253"/>
    <x v="3"/>
    <x v="0"/>
    <x v="4"/>
    <x v="47"/>
    <s v="Rural"/>
    <x v="0"/>
    <x v="0"/>
    <x v="0"/>
  </r>
  <r>
    <n v="254"/>
    <x v="3"/>
    <x v="0"/>
    <x v="4"/>
    <x v="47"/>
    <s v="Rural"/>
    <x v="0"/>
    <x v="0"/>
    <x v="0"/>
  </r>
  <r>
    <n v="255"/>
    <x v="3"/>
    <x v="0"/>
    <x v="4"/>
    <x v="47"/>
    <s v="Rural"/>
    <x v="0"/>
    <x v="0"/>
    <x v="0"/>
  </r>
  <r>
    <n v="257"/>
    <x v="3"/>
    <x v="0"/>
    <x v="4"/>
    <x v="47"/>
    <s v="Rural"/>
    <x v="1"/>
    <x v="0"/>
    <x v="0"/>
  </r>
  <r>
    <n v="258"/>
    <x v="3"/>
    <x v="0"/>
    <x v="0"/>
    <x v="47"/>
    <s v="Rural"/>
    <x v="0"/>
    <x v="0"/>
    <x v="0"/>
  </r>
  <r>
    <n v="259"/>
    <x v="3"/>
    <x v="0"/>
    <x v="0"/>
    <x v="47"/>
    <s v="Rural"/>
    <x v="1"/>
    <x v="1"/>
    <x v="0"/>
  </r>
  <r>
    <n v="260"/>
    <x v="3"/>
    <x v="0"/>
    <x v="0"/>
    <x v="47"/>
    <s v="Rural"/>
    <x v="0"/>
    <x v="0"/>
    <x v="0"/>
  </r>
  <r>
    <n v="261"/>
    <x v="3"/>
    <x v="0"/>
    <x v="0"/>
    <x v="47"/>
    <s v="Rural"/>
    <x v="0"/>
    <x v="0"/>
    <x v="0"/>
  </r>
  <r>
    <n v="263"/>
    <x v="3"/>
    <x v="0"/>
    <x v="0"/>
    <x v="47"/>
    <s v="Rural"/>
    <x v="0"/>
    <x v="0"/>
    <x v="0"/>
  </r>
  <r>
    <n v="264"/>
    <x v="3"/>
    <x v="0"/>
    <x v="0"/>
    <x v="47"/>
    <s v="Rural"/>
    <x v="1"/>
    <x v="0"/>
    <x v="0"/>
  </r>
  <r>
    <n v="265"/>
    <x v="3"/>
    <x v="0"/>
    <x v="0"/>
    <x v="47"/>
    <s v="Rural"/>
    <x v="0"/>
    <x v="0"/>
    <x v="0"/>
  </r>
  <r>
    <n v="266"/>
    <x v="3"/>
    <x v="0"/>
    <x v="0"/>
    <x v="47"/>
    <s v="Rural"/>
    <x v="1"/>
    <x v="0"/>
    <x v="0"/>
  </r>
  <r>
    <n v="267"/>
    <x v="3"/>
    <x v="0"/>
    <x v="0"/>
    <x v="47"/>
    <s v="Rural"/>
    <x v="0"/>
    <x v="0"/>
    <x v="0"/>
  </r>
  <r>
    <n v="268"/>
    <x v="3"/>
    <x v="0"/>
    <x v="0"/>
    <x v="47"/>
    <s v="Rural"/>
    <x v="1"/>
    <x v="0"/>
    <x v="0"/>
  </r>
  <r>
    <n v="269"/>
    <x v="3"/>
    <x v="0"/>
    <x v="0"/>
    <x v="47"/>
    <s v="Rural"/>
    <x v="1"/>
    <x v="1"/>
    <x v="0"/>
  </r>
  <r>
    <n v="270"/>
    <x v="3"/>
    <x v="0"/>
    <x v="1"/>
    <x v="47"/>
    <s v="Rural"/>
    <x v="1"/>
    <x v="0"/>
    <x v="0"/>
  </r>
  <r>
    <n v="271"/>
    <x v="3"/>
    <x v="0"/>
    <x v="1"/>
    <x v="47"/>
    <s v="Rural"/>
    <x v="1"/>
    <x v="0"/>
    <x v="0"/>
  </r>
  <r>
    <n v="272"/>
    <x v="3"/>
    <x v="0"/>
    <x v="1"/>
    <x v="47"/>
    <s v="Rural"/>
    <x v="1"/>
    <x v="0"/>
    <x v="0"/>
  </r>
  <r>
    <n v="273"/>
    <x v="3"/>
    <x v="0"/>
    <x v="1"/>
    <x v="47"/>
    <s v="Rural"/>
    <x v="1"/>
    <x v="0"/>
    <x v="0"/>
  </r>
  <r>
    <n v="275"/>
    <x v="3"/>
    <x v="0"/>
    <x v="1"/>
    <x v="47"/>
    <s v="Rural"/>
    <x v="1"/>
    <x v="0"/>
    <x v="0"/>
  </r>
  <r>
    <n v="276"/>
    <x v="3"/>
    <x v="0"/>
    <x v="1"/>
    <x v="47"/>
    <s v="Rural"/>
    <x v="0"/>
    <x v="0"/>
    <x v="0"/>
  </r>
  <r>
    <n v="277"/>
    <x v="3"/>
    <x v="0"/>
    <x v="1"/>
    <x v="47"/>
    <s v="Rural"/>
    <x v="0"/>
    <x v="0"/>
    <x v="0"/>
  </r>
  <r>
    <n v="279"/>
    <x v="3"/>
    <x v="0"/>
    <x v="1"/>
    <x v="47"/>
    <s v="Rural"/>
    <x v="1"/>
    <x v="0"/>
    <x v="0"/>
  </r>
  <r>
    <n v="280"/>
    <x v="3"/>
    <x v="0"/>
    <x v="1"/>
    <x v="47"/>
    <s v="Rural"/>
    <x v="0"/>
    <x v="0"/>
    <x v="0"/>
  </r>
  <r>
    <n v="281"/>
    <x v="3"/>
    <x v="0"/>
    <x v="1"/>
    <x v="47"/>
    <s v="Rural"/>
    <x v="1"/>
    <x v="0"/>
    <x v="0"/>
  </r>
  <r>
    <n v="282"/>
    <x v="3"/>
    <x v="0"/>
    <x v="1"/>
    <x v="47"/>
    <s v="Rural"/>
    <x v="0"/>
    <x v="0"/>
    <x v="0"/>
  </r>
  <r>
    <n v="283"/>
    <x v="3"/>
    <x v="0"/>
    <x v="1"/>
    <x v="47"/>
    <s v="Rural"/>
    <x v="1"/>
    <x v="0"/>
    <x v="0"/>
  </r>
  <r>
    <n v="284"/>
    <x v="3"/>
    <x v="1"/>
    <x v="2"/>
    <x v="47"/>
    <s v="Rural"/>
    <x v="1"/>
    <x v="0"/>
    <x v="0"/>
  </r>
  <r>
    <n v="285"/>
    <x v="3"/>
    <x v="1"/>
    <x v="2"/>
    <x v="47"/>
    <s v="Rural"/>
    <x v="1"/>
    <x v="0"/>
    <x v="0"/>
  </r>
  <r>
    <n v="286"/>
    <x v="3"/>
    <x v="1"/>
    <x v="2"/>
    <x v="47"/>
    <s v="Rural"/>
    <x v="0"/>
    <x v="0"/>
    <x v="0"/>
  </r>
  <r>
    <n v="287"/>
    <x v="3"/>
    <x v="1"/>
    <x v="2"/>
    <x v="47"/>
    <s v="Rural"/>
    <x v="0"/>
    <x v="0"/>
    <x v="0"/>
  </r>
  <r>
    <n v="288"/>
    <x v="3"/>
    <x v="1"/>
    <x v="2"/>
    <x v="47"/>
    <s v="Rural"/>
    <x v="0"/>
    <x v="0"/>
    <x v="0"/>
  </r>
  <r>
    <n v="290"/>
    <x v="3"/>
    <x v="1"/>
    <x v="2"/>
    <x v="47"/>
    <s v="Rural"/>
    <x v="0"/>
    <x v="0"/>
    <x v="0"/>
  </r>
  <r>
    <n v="291"/>
    <x v="3"/>
    <x v="1"/>
    <x v="2"/>
    <x v="47"/>
    <s v="Rural"/>
    <x v="0"/>
    <x v="0"/>
    <x v="0"/>
  </r>
  <r>
    <n v="292"/>
    <x v="3"/>
    <x v="1"/>
    <x v="2"/>
    <x v="47"/>
    <s v="Rural"/>
    <x v="1"/>
    <x v="0"/>
    <x v="0"/>
  </r>
  <r>
    <n v="293"/>
    <x v="3"/>
    <x v="1"/>
    <x v="2"/>
    <x v="47"/>
    <s v="Rural"/>
    <x v="1"/>
    <x v="0"/>
    <x v="0"/>
  </r>
  <r>
    <n v="294"/>
    <x v="3"/>
    <x v="1"/>
    <x v="2"/>
    <x v="47"/>
    <s v="Rural"/>
    <x v="1"/>
    <x v="0"/>
    <x v="0"/>
  </r>
  <r>
    <n v="295"/>
    <x v="3"/>
    <x v="1"/>
    <x v="2"/>
    <x v="47"/>
    <s v="Rural"/>
    <x v="0"/>
    <x v="0"/>
    <x v="0"/>
  </r>
  <r>
    <n v="297"/>
    <x v="3"/>
    <x v="1"/>
    <x v="2"/>
    <x v="47"/>
    <s v="Rural"/>
    <x v="1"/>
    <x v="0"/>
    <x v="0"/>
  </r>
  <r>
    <n v="298"/>
    <x v="3"/>
    <x v="1"/>
    <x v="2"/>
    <x v="47"/>
    <s v="Rural"/>
    <x v="1"/>
    <x v="0"/>
    <x v="0"/>
  </r>
  <r>
    <n v="299"/>
    <x v="3"/>
    <x v="1"/>
    <x v="2"/>
    <x v="47"/>
    <s v="Rural"/>
    <x v="0"/>
    <x v="0"/>
    <x v="0"/>
  </r>
  <r>
    <n v="300"/>
    <x v="3"/>
    <x v="1"/>
    <x v="2"/>
    <x v="47"/>
    <s v="Rural"/>
    <x v="0"/>
    <x v="0"/>
    <x v="0"/>
  </r>
  <r>
    <n v="302"/>
    <x v="3"/>
    <x v="1"/>
    <x v="2"/>
    <x v="47"/>
    <s v="Rural"/>
    <x v="0"/>
    <x v="0"/>
    <x v="0"/>
  </r>
  <r>
    <n v="303"/>
    <x v="3"/>
    <x v="1"/>
    <x v="2"/>
    <x v="47"/>
    <s v="Rural"/>
    <x v="0"/>
    <x v="0"/>
    <x v="0"/>
  </r>
  <r>
    <n v="304"/>
    <x v="3"/>
    <x v="1"/>
    <x v="2"/>
    <x v="47"/>
    <s v="Rural"/>
    <x v="1"/>
    <x v="0"/>
    <x v="0"/>
  </r>
  <r>
    <n v="305"/>
    <x v="3"/>
    <x v="1"/>
    <x v="2"/>
    <x v="47"/>
    <s v="Rural"/>
    <x v="1"/>
    <x v="0"/>
    <x v="0"/>
  </r>
  <r>
    <n v="306"/>
    <x v="3"/>
    <x v="1"/>
    <x v="2"/>
    <x v="47"/>
    <s v="Rural"/>
    <x v="1"/>
    <x v="0"/>
    <x v="0"/>
  </r>
  <r>
    <n v="307"/>
    <x v="3"/>
    <x v="1"/>
    <x v="2"/>
    <x v="47"/>
    <s v="Rural"/>
    <x v="0"/>
    <x v="0"/>
    <x v="0"/>
  </r>
  <r>
    <n v="308"/>
    <x v="3"/>
    <x v="1"/>
    <x v="2"/>
    <x v="47"/>
    <s v="Rural"/>
    <x v="0"/>
    <x v="0"/>
    <x v="0"/>
  </r>
  <r>
    <n v="310"/>
    <x v="3"/>
    <x v="1"/>
    <x v="2"/>
    <x v="47"/>
    <s v="Rural"/>
    <x v="0"/>
    <x v="0"/>
    <x v="0"/>
  </r>
  <r>
    <n v="311"/>
    <x v="3"/>
    <x v="1"/>
    <x v="2"/>
    <x v="47"/>
    <s v="Rural"/>
    <x v="1"/>
    <x v="0"/>
    <x v="0"/>
  </r>
  <r>
    <n v="312"/>
    <x v="3"/>
    <x v="1"/>
    <x v="2"/>
    <x v="47"/>
    <s v="Rural"/>
    <x v="1"/>
    <x v="0"/>
    <x v="0"/>
  </r>
  <r>
    <n v="313"/>
    <x v="3"/>
    <x v="1"/>
    <x v="3"/>
    <x v="47"/>
    <s v="Rural"/>
    <x v="1"/>
    <x v="0"/>
    <x v="0"/>
  </r>
  <r>
    <n v="314"/>
    <x v="3"/>
    <x v="1"/>
    <x v="3"/>
    <x v="47"/>
    <s v="Rural"/>
    <x v="1"/>
    <x v="0"/>
    <x v="0"/>
  </r>
  <r>
    <n v="315"/>
    <x v="3"/>
    <x v="1"/>
    <x v="3"/>
    <x v="47"/>
    <s v="Rural"/>
    <x v="1"/>
    <x v="0"/>
    <x v="0"/>
  </r>
  <r>
    <n v="316"/>
    <x v="3"/>
    <x v="1"/>
    <x v="3"/>
    <x v="47"/>
    <s v="Rural"/>
    <x v="0"/>
    <x v="1"/>
    <x v="0"/>
  </r>
  <r>
    <n v="317"/>
    <x v="3"/>
    <x v="1"/>
    <x v="3"/>
    <x v="47"/>
    <s v="Rural"/>
    <x v="0"/>
    <x v="0"/>
    <x v="0"/>
  </r>
  <r>
    <n v="318"/>
    <x v="3"/>
    <x v="1"/>
    <x v="3"/>
    <x v="47"/>
    <s v="Rural"/>
    <x v="1"/>
    <x v="0"/>
    <x v="0"/>
  </r>
  <r>
    <n v="319"/>
    <x v="3"/>
    <x v="1"/>
    <x v="3"/>
    <x v="47"/>
    <s v="Rural"/>
    <x v="1"/>
    <x v="0"/>
    <x v="0"/>
  </r>
  <r>
    <n v="320"/>
    <x v="3"/>
    <x v="1"/>
    <x v="3"/>
    <x v="47"/>
    <s v="Rural"/>
    <x v="1"/>
    <x v="0"/>
    <x v="0"/>
  </r>
  <r>
    <n v="321"/>
    <x v="3"/>
    <x v="1"/>
    <x v="3"/>
    <x v="47"/>
    <s v="Rural"/>
    <x v="0"/>
    <x v="0"/>
    <x v="0"/>
  </r>
  <r>
    <n v="322"/>
    <x v="3"/>
    <x v="1"/>
    <x v="3"/>
    <x v="47"/>
    <s v="Rural"/>
    <x v="0"/>
    <x v="0"/>
    <x v="0"/>
  </r>
  <r>
    <n v="323"/>
    <x v="3"/>
    <x v="1"/>
    <x v="3"/>
    <x v="47"/>
    <s v="Rural"/>
    <x v="1"/>
    <x v="0"/>
    <x v="0"/>
  </r>
  <r>
    <n v="324"/>
    <x v="3"/>
    <x v="1"/>
    <x v="3"/>
    <x v="47"/>
    <s v="Rural"/>
    <x v="0"/>
    <x v="0"/>
    <x v="0"/>
  </r>
  <r>
    <n v="326"/>
    <x v="3"/>
    <x v="1"/>
    <x v="3"/>
    <x v="47"/>
    <s v="Rural"/>
    <x v="0"/>
    <x v="0"/>
    <x v="0"/>
  </r>
  <r>
    <n v="327"/>
    <x v="3"/>
    <x v="1"/>
    <x v="3"/>
    <x v="47"/>
    <s v="Rural"/>
    <x v="0"/>
    <x v="0"/>
    <x v="0"/>
  </r>
  <r>
    <n v="328"/>
    <x v="3"/>
    <x v="1"/>
    <x v="3"/>
    <x v="47"/>
    <s v="Rural"/>
    <x v="0"/>
    <x v="0"/>
    <x v="0"/>
  </r>
  <r>
    <n v="329"/>
    <x v="3"/>
    <x v="1"/>
    <x v="3"/>
    <x v="47"/>
    <s v="Rural"/>
    <x v="1"/>
    <x v="0"/>
    <x v="0"/>
  </r>
  <r>
    <n v="330"/>
    <x v="3"/>
    <x v="1"/>
    <x v="3"/>
    <x v="47"/>
    <s v="Rural"/>
    <x v="0"/>
    <x v="0"/>
    <x v="0"/>
  </r>
  <r>
    <n v="331"/>
    <x v="3"/>
    <x v="1"/>
    <x v="3"/>
    <x v="47"/>
    <s v="Rural"/>
    <x v="1"/>
    <x v="0"/>
    <x v="0"/>
  </r>
  <r>
    <n v="332"/>
    <x v="3"/>
    <x v="1"/>
    <x v="3"/>
    <x v="47"/>
    <s v="Rural"/>
    <x v="0"/>
    <x v="0"/>
    <x v="0"/>
  </r>
  <r>
    <n v="333"/>
    <x v="3"/>
    <x v="1"/>
    <x v="3"/>
    <x v="47"/>
    <s v="Rural"/>
    <x v="0"/>
    <x v="0"/>
    <x v="0"/>
  </r>
  <r>
    <n v="334"/>
    <x v="3"/>
    <x v="1"/>
    <x v="3"/>
    <x v="47"/>
    <s v="Rural"/>
    <x v="0"/>
    <x v="1"/>
    <x v="0"/>
  </r>
  <r>
    <n v="335"/>
    <x v="3"/>
    <x v="1"/>
    <x v="3"/>
    <x v="47"/>
    <s v="Rural"/>
    <x v="1"/>
    <x v="0"/>
    <x v="0"/>
  </r>
  <r>
    <n v="1"/>
    <x v="4"/>
    <x v="0"/>
    <x v="4"/>
    <x v="48"/>
    <s v="Rural"/>
    <x v="0"/>
    <x v="0"/>
    <x v="0"/>
  </r>
  <r>
    <n v="2"/>
    <x v="4"/>
    <x v="0"/>
    <x v="0"/>
    <x v="48"/>
    <s v="Rural"/>
    <x v="0"/>
    <x v="0"/>
    <x v="0"/>
  </r>
  <r>
    <n v="3"/>
    <x v="4"/>
    <x v="0"/>
    <x v="0"/>
    <x v="48"/>
    <s v="Rural"/>
    <x v="0"/>
    <x v="0"/>
    <x v="0"/>
  </r>
  <r>
    <n v="4"/>
    <x v="4"/>
    <x v="0"/>
    <x v="0"/>
    <x v="48"/>
    <s v="Rural"/>
    <x v="1"/>
    <x v="0"/>
    <x v="0"/>
  </r>
  <r>
    <n v="5"/>
    <x v="4"/>
    <x v="0"/>
    <x v="0"/>
    <x v="48"/>
    <s v="Rural"/>
    <x v="1"/>
    <x v="0"/>
    <x v="0"/>
  </r>
  <r>
    <n v="6"/>
    <x v="4"/>
    <x v="0"/>
    <x v="1"/>
    <x v="48"/>
    <s v="Rural"/>
    <x v="1"/>
    <x v="0"/>
    <x v="0"/>
  </r>
  <r>
    <n v="7"/>
    <x v="4"/>
    <x v="0"/>
    <x v="1"/>
    <x v="48"/>
    <s v="Rural"/>
    <x v="1"/>
    <x v="0"/>
    <x v="0"/>
  </r>
  <r>
    <n v="8"/>
    <x v="4"/>
    <x v="0"/>
    <x v="4"/>
    <x v="49"/>
    <s v="Rural"/>
    <x v="0"/>
    <x v="0"/>
    <x v="0"/>
  </r>
  <r>
    <n v="9"/>
    <x v="4"/>
    <x v="0"/>
    <x v="4"/>
    <x v="49"/>
    <s v="Rural"/>
    <x v="1"/>
    <x v="0"/>
    <x v="0"/>
  </r>
  <r>
    <n v="10"/>
    <x v="4"/>
    <x v="0"/>
    <x v="4"/>
    <x v="49"/>
    <s v="Rural"/>
    <x v="1"/>
    <x v="0"/>
    <x v="0"/>
  </r>
  <r>
    <n v="12"/>
    <x v="4"/>
    <x v="0"/>
    <x v="4"/>
    <x v="49"/>
    <s v="Rural"/>
    <x v="0"/>
    <x v="0"/>
    <x v="0"/>
  </r>
  <r>
    <n v="13"/>
    <x v="4"/>
    <x v="0"/>
    <x v="4"/>
    <x v="49"/>
    <s v="Rural"/>
    <x v="0"/>
    <x v="0"/>
    <x v="0"/>
  </r>
  <r>
    <n v="14"/>
    <x v="4"/>
    <x v="0"/>
    <x v="4"/>
    <x v="49"/>
    <s v="Rural"/>
    <x v="0"/>
    <x v="0"/>
    <x v="0"/>
  </r>
  <r>
    <n v="15"/>
    <x v="4"/>
    <x v="0"/>
    <x v="4"/>
    <x v="49"/>
    <s v="Rural"/>
    <x v="1"/>
    <x v="0"/>
    <x v="0"/>
  </r>
  <r>
    <n v="16"/>
    <x v="4"/>
    <x v="0"/>
    <x v="4"/>
    <x v="49"/>
    <s v="Rural"/>
    <x v="1"/>
    <x v="0"/>
    <x v="0"/>
  </r>
  <r>
    <n v="17"/>
    <x v="4"/>
    <x v="0"/>
    <x v="4"/>
    <x v="49"/>
    <s v="Rural"/>
    <x v="1"/>
    <x v="0"/>
    <x v="0"/>
  </r>
  <r>
    <n v="18"/>
    <x v="4"/>
    <x v="0"/>
    <x v="4"/>
    <x v="49"/>
    <s v="Rural"/>
    <x v="0"/>
    <x v="0"/>
    <x v="0"/>
  </r>
  <r>
    <n v="19"/>
    <x v="4"/>
    <x v="0"/>
    <x v="4"/>
    <x v="49"/>
    <s v="Rural"/>
    <x v="0"/>
    <x v="0"/>
    <x v="0"/>
  </r>
  <r>
    <n v="20"/>
    <x v="4"/>
    <x v="0"/>
    <x v="4"/>
    <x v="49"/>
    <s v="Rural"/>
    <x v="0"/>
    <x v="0"/>
    <x v="0"/>
  </r>
  <r>
    <n v="21"/>
    <x v="4"/>
    <x v="0"/>
    <x v="4"/>
    <x v="49"/>
    <s v="Rural"/>
    <x v="0"/>
    <x v="0"/>
    <x v="0"/>
  </r>
  <r>
    <n v="22"/>
    <x v="4"/>
    <x v="0"/>
    <x v="4"/>
    <x v="49"/>
    <s v="Rural"/>
    <x v="1"/>
    <x v="0"/>
    <x v="0"/>
  </r>
  <r>
    <n v="23"/>
    <x v="4"/>
    <x v="0"/>
    <x v="4"/>
    <x v="49"/>
    <s v="Rural"/>
    <x v="0"/>
    <x v="0"/>
    <x v="0"/>
  </r>
  <r>
    <n v="24"/>
    <x v="4"/>
    <x v="0"/>
    <x v="0"/>
    <x v="49"/>
    <s v="Rural"/>
    <x v="0"/>
    <x v="0"/>
    <x v="0"/>
  </r>
  <r>
    <n v="25"/>
    <x v="4"/>
    <x v="0"/>
    <x v="0"/>
    <x v="49"/>
    <s v="Rural"/>
    <x v="1"/>
    <x v="0"/>
    <x v="0"/>
  </r>
  <r>
    <n v="26"/>
    <x v="4"/>
    <x v="0"/>
    <x v="0"/>
    <x v="49"/>
    <s v="Rural"/>
    <x v="1"/>
    <x v="0"/>
    <x v="0"/>
  </r>
  <r>
    <n v="27"/>
    <x v="4"/>
    <x v="0"/>
    <x v="0"/>
    <x v="49"/>
    <s v="Rural"/>
    <x v="0"/>
    <x v="0"/>
    <x v="0"/>
  </r>
  <r>
    <n v="28"/>
    <x v="4"/>
    <x v="0"/>
    <x v="0"/>
    <x v="49"/>
    <s v="Rural"/>
    <x v="0"/>
    <x v="0"/>
    <x v="0"/>
  </r>
  <r>
    <n v="29"/>
    <x v="4"/>
    <x v="0"/>
    <x v="0"/>
    <x v="49"/>
    <s v="Rural"/>
    <x v="0"/>
    <x v="0"/>
    <x v="0"/>
  </r>
  <r>
    <n v="30"/>
    <x v="4"/>
    <x v="0"/>
    <x v="1"/>
    <x v="49"/>
    <s v="Rural"/>
    <x v="1"/>
    <x v="0"/>
    <x v="0"/>
  </r>
  <r>
    <n v="31"/>
    <x v="4"/>
    <x v="0"/>
    <x v="1"/>
    <x v="49"/>
    <s v="Rural"/>
    <x v="1"/>
    <x v="0"/>
    <x v="0"/>
  </r>
  <r>
    <n v="32"/>
    <x v="4"/>
    <x v="0"/>
    <x v="1"/>
    <x v="49"/>
    <s v="Rural"/>
    <x v="1"/>
    <x v="0"/>
    <x v="0"/>
  </r>
  <r>
    <n v="33"/>
    <x v="4"/>
    <x v="0"/>
    <x v="1"/>
    <x v="49"/>
    <s v="Rural"/>
    <x v="0"/>
    <x v="0"/>
    <x v="0"/>
  </r>
  <r>
    <n v="34"/>
    <x v="4"/>
    <x v="0"/>
    <x v="1"/>
    <x v="49"/>
    <s v="Rural"/>
    <x v="0"/>
    <x v="0"/>
    <x v="0"/>
  </r>
  <r>
    <n v="35"/>
    <x v="4"/>
    <x v="0"/>
    <x v="1"/>
    <x v="49"/>
    <s v="Rural"/>
    <x v="0"/>
    <x v="0"/>
    <x v="0"/>
  </r>
  <r>
    <n v="36"/>
    <x v="4"/>
    <x v="0"/>
    <x v="1"/>
    <x v="49"/>
    <s v="Rural"/>
    <x v="1"/>
    <x v="0"/>
    <x v="0"/>
  </r>
  <r>
    <n v="37"/>
    <x v="4"/>
    <x v="0"/>
    <x v="1"/>
    <x v="49"/>
    <s v="Rural"/>
    <x v="0"/>
    <x v="0"/>
    <x v="0"/>
  </r>
  <r>
    <n v="38"/>
    <x v="4"/>
    <x v="0"/>
    <x v="1"/>
    <x v="49"/>
    <s v="Rural"/>
    <x v="1"/>
    <x v="0"/>
    <x v="0"/>
  </r>
  <r>
    <n v="39"/>
    <x v="4"/>
    <x v="0"/>
    <x v="1"/>
    <x v="49"/>
    <s v="Rural"/>
    <x v="1"/>
    <x v="0"/>
    <x v="0"/>
  </r>
  <r>
    <n v="40"/>
    <x v="4"/>
    <x v="0"/>
    <x v="1"/>
    <x v="49"/>
    <s v="Rural"/>
    <x v="1"/>
    <x v="0"/>
    <x v="0"/>
  </r>
  <r>
    <n v="41"/>
    <x v="4"/>
    <x v="0"/>
    <x v="1"/>
    <x v="49"/>
    <s v="Rural"/>
    <x v="0"/>
    <x v="0"/>
    <x v="0"/>
  </r>
  <r>
    <n v="42"/>
    <x v="4"/>
    <x v="1"/>
    <x v="2"/>
    <x v="49"/>
    <s v="Rural"/>
    <x v="0"/>
    <x v="0"/>
    <x v="0"/>
  </r>
  <r>
    <n v="43"/>
    <x v="4"/>
    <x v="1"/>
    <x v="2"/>
    <x v="49"/>
    <s v="Rural"/>
    <x v="0"/>
    <x v="0"/>
    <x v="0"/>
  </r>
  <r>
    <n v="44"/>
    <x v="4"/>
    <x v="1"/>
    <x v="2"/>
    <x v="49"/>
    <s v="Rural"/>
    <x v="1"/>
    <x v="0"/>
    <x v="0"/>
  </r>
  <r>
    <n v="45"/>
    <x v="4"/>
    <x v="1"/>
    <x v="2"/>
    <x v="49"/>
    <s v="Rural"/>
    <x v="0"/>
    <x v="0"/>
    <x v="0"/>
  </r>
  <r>
    <n v="46"/>
    <x v="4"/>
    <x v="1"/>
    <x v="2"/>
    <x v="49"/>
    <s v="Rural"/>
    <x v="1"/>
    <x v="0"/>
    <x v="0"/>
  </r>
  <r>
    <n v="47"/>
    <x v="4"/>
    <x v="1"/>
    <x v="2"/>
    <x v="49"/>
    <s v="Rural"/>
    <x v="1"/>
    <x v="0"/>
    <x v="0"/>
  </r>
  <r>
    <n v="50"/>
    <x v="4"/>
    <x v="1"/>
    <x v="2"/>
    <x v="49"/>
    <s v="Rural"/>
    <x v="0"/>
    <x v="0"/>
    <x v="0"/>
  </r>
  <r>
    <n v="51"/>
    <x v="4"/>
    <x v="1"/>
    <x v="2"/>
    <x v="49"/>
    <s v="Rural"/>
    <x v="0"/>
    <x v="0"/>
    <x v="0"/>
  </r>
  <r>
    <n v="52"/>
    <x v="4"/>
    <x v="1"/>
    <x v="2"/>
    <x v="49"/>
    <s v="Rural"/>
    <x v="0"/>
    <x v="0"/>
    <x v="0"/>
  </r>
  <r>
    <n v="53"/>
    <x v="4"/>
    <x v="1"/>
    <x v="2"/>
    <x v="49"/>
    <s v="Rural"/>
    <x v="1"/>
    <x v="0"/>
    <x v="0"/>
  </r>
  <r>
    <n v="55"/>
    <x v="4"/>
    <x v="1"/>
    <x v="2"/>
    <x v="49"/>
    <s v="Rural"/>
    <x v="0"/>
    <x v="0"/>
    <x v="0"/>
  </r>
  <r>
    <n v="57"/>
    <x v="4"/>
    <x v="1"/>
    <x v="2"/>
    <x v="49"/>
    <s v="Rural"/>
    <x v="0"/>
    <x v="0"/>
    <x v="0"/>
  </r>
  <r>
    <n v="59"/>
    <x v="4"/>
    <x v="1"/>
    <x v="2"/>
    <x v="49"/>
    <s v="Rural"/>
    <x v="0"/>
    <x v="0"/>
    <x v="0"/>
  </r>
  <r>
    <n v="60"/>
    <x v="4"/>
    <x v="1"/>
    <x v="2"/>
    <x v="49"/>
    <s v="Rural"/>
    <x v="1"/>
    <x v="0"/>
    <x v="0"/>
  </r>
  <r>
    <n v="61"/>
    <x v="4"/>
    <x v="1"/>
    <x v="2"/>
    <x v="49"/>
    <s v="Rural"/>
    <x v="1"/>
    <x v="0"/>
    <x v="0"/>
  </r>
  <r>
    <n v="62"/>
    <x v="4"/>
    <x v="1"/>
    <x v="2"/>
    <x v="49"/>
    <s v="Rural"/>
    <x v="1"/>
    <x v="0"/>
    <x v="0"/>
  </r>
  <r>
    <n v="63"/>
    <x v="4"/>
    <x v="1"/>
    <x v="2"/>
    <x v="49"/>
    <s v="Rural"/>
    <x v="0"/>
    <x v="0"/>
    <x v="0"/>
  </r>
  <r>
    <n v="64"/>
    <x v="4"/>
    <x v="1"/>
    <x v="2"/>
    <x v="49"/>
    <s v="Rural"/>
    <x v="0"/>
    <x v="0"/>
    <x v="0"/>
  </r>
  <r>
    <n v="65"/>
    <x v="4"/>
    <x v="1"/>
    <x v="2"/>
    <x v="49"/>
    <s v="Rural"/>
    <x v="1"/>
    <x v="0"/>
    <x v="0"/>
  </r>
  <r>
    <n v="66"/>
    <x v="4"/>
    <x v="1"/>
    <x v="2"/>
    <x v="49"/>
    <s v="Rural"/>
    <x v="0"/>
    <x v="0"/>
    <x v="0"/>
  </r>
  <r>
    <n v="67"/>
    <x v="4"/>
    <x v="1"/>
    <x v="3"/>
    <x v="49"/>
    <s v="Rural"/>
    <x v="1"/>
    <x v="0"/>
    <x v="0"/>
  </r>
  <r>
    <n v="68"/>
    <x v="4"/>
    <x v="1"/>
    <x v="3"/>
    <x v="49"/>
    <s v="Rural"/>
    <x v="1"/>
    <x v="0"/>
    <x v="0"/>
  </r>
  <r>
    <n v="69"/>
    <x v="4"/>
    <x v="1"/>
    <x v="3"/>
    <x v="49"/>
    <s v="Rural"/>
    <x v="0"/>
    <x v="0"/>
    <x v="0"/>
  </r>
  <r>
    <n v="70"/>
    <x v="4"/>
    <x v="1"/>
    <x v="3"/>
    <x v="49"/>
    <s v="Rural"/>
    <x v="1"/>
    <x v="0"/>
    <x v="0"/>
  </r>
  <r>
    <n v="72"/>
    <x v="4"/>
    <x v="1"/>
    <x v="3"/>
    <x v="49"/>
    <s v="Rural"/>
    <x v="1"/>
    <x v="0"/>
    <x v="0"/>
  </r>
  <r>
    <n v="73"/>
    <x v="4"/>
    <x v="1"/>
    <x v="3"/>
    <x v="49"/>
    <s v="Rural"/>
    <x v="0"/>
    <x v="0"/>
    <x v="0"/>
  </r>
  <r>
    <n v="74"/>
    <x v="4"/>
    <x v="1"/>
    <x v="3"/>
    <x v="49"/>
    <s v="Rural"/>
    <x v="0"/>
    <x v="0"/>
    <x v="0"/>
  </r>
  <r>
    <n v="75"/>
    <x v="4"/>
    <x v="1"/>
    <x v="3"/>
    <x v="49"/>
    <s v="Rural"/>
    <x v="1"/>
    <x v="0"/>
    <x v="0"/>
  </r>
  <r>
    <n v="77"/>
    <x v="4"/>
    <x v="1"/>
    <x v="3"/>
    <x v="49"/>
    <s v="Rural"/>
    <x v="1"/>
    <x v="0"/>
    <x v="0"/>
  </r>
  <r>
    <n v="78"/>
    <x v="4"/>
    <x v="1"/>
    <x v="3"/>
    <x v="49"/>
    <s v="Rural"/>
    <x v="0"/>
    <x v="0"/>
    <x v="0"/>
  </r>
  <r>
    <n v="80"/>
    <x v="4"/>
    <x v="1"/>
    <x v="3"/>
    <x v="49"/>
    <s v="Rural"/>
    <x v="0"/>
    <x v="0"/>
    <x v="0"/>
  </r>
  <r>
    <n v="81"/>
    <x v="4"/>
    <x v="1"/>
    <x v="3"/>
    <x v="49"/>
    <s v="Rural"/>
    <x v="0"/>
    <x v="0"/>
    <x v="0"/>
  </r>
  <r>
    <n v="82"/>
    <x v="4"/>
    <x v="1"/>
    <x v="3"/>
    <x v="49"/>
    <s v="Rural"/>
    <x v="1"/>
    <x v="0"/>
    <x v="0"/>
  </r>
  <r>
    <n v="84"/>
    <x v="4"/>
    <x v="1"/>
    <x v="3"/>
    <x v="49"/>
    <s v="Rural"/>
    <x v="1"/>
    <x v="0"/>
    <x v="0"/>
  </r>
  <r>
    <n v="85"/>
    <x v="4"/>
    <x v="1"/>
    <x v="3"/>
    <x v="49"/>
    <s v="Rural"/>
    <x v="0"/>
    <x v="0"/>
    <x v="0"/>
  </r>
  <r>
    <n v="87"/>
    <x v="4"/>
    <x v="1"/>
    <x v="3"/>
    <x v="49"/>
    <s v="Rural"/>
    <x v="1"/>
    <x v="0"/>
    <x v="0"/>
  </r>
  <r>
    <n v="88"/>
    <x v="4"/>
    <x v="1"/>
    <x v="3"/>
    <x v="49"/>
    <s v="Rural"/>
    <x v="0"/>
    <x v="0"/>
    <x v="0"/>
  </r>
  <r>
    <n v="89"/>
    <x v="4"/>
    <x v="1"/>
    <x v="3"/>
    <x v="49"/>
    <s v="Rural"/>
    <x v="0"/>
    <x v="0"/>
    <x v="0"/>
  </r>
  <r>
    <n v="90"/>
    <x v="4"/>
    <x v="1"/>
    <x v="3"/>
    <x v="49"/>
    <s v="Rural"/>
    <x v="1"/>
    <x v="0"/>
    <x v="0"/>
  </r>
  <r>
    <n v="91"/>
    <x v="4"/>
    <x v="1"/>
    <x v="3"/>
    <x v="49"/>
    <s v="Rural"/>
    <x v="0"/>
    <x v="0"/>
    <x v="0"/>
  </r>
  <r>
    <n v="92"/>
    <x v="4"/>
    <x v="1"/>
    <x v="3"/>
    <x v="49"/>
    <s v="Rural"/>
    <x v="1"/>
    <x v="0"/>
    <x v="0"/>
  </r>
  <r>
    <n v="94"/>
    <x v="4"/>
    <x v="0"/>
    <x v="4"/>
    <x v="50"/>
    <s v="Rural"/>
    <x v="0"/>
    <x v="0"/>
    <x v="0"/>
  </r>
  <r>
    <n v="95"/>
    <x v="4"/>
    <x v="0"/>
    <x v="4"/>
    <x v="50"/>
    <s v="Rural"/>
    <x v="1"/>
    <x v="0"/>
    <x v="0"/>
  </r>
  <r>
    <n v="96"/>
    <x v="4"/>
    <x v="0"/>
    <x v="4"/>
    <x v="50"/>
    <s v="Rural"/>
    <x v="0"/>
    <x v="0"/>
    <x v="0"/>
  </r>
  <r>
    <n v="97"/>
    <x v="4"/>
    <x v="0"/>
    <x v="4"/>
    <x v="50"/>
    <s v="Rural"/>
    <x v="1"/>
    <x v="0"/>
    <x v="0"/>
  </r>
  <r>
    <n v="98"/>
    <x v="4"/>
    <x v="0"/>
    <x v="0"/>
    <x v="50"/>
    <s v="Rural"/>
    <x v="0"/>
    <x v="0"/>
    <x v="0"/>
  </r>
  <r>
    <n v="99"/>
    <x v="4"/>
    <x v="0"/>
    <x v="0"/>
    <x v="50"/>
    <s v="Rural"/>
    <x v="0"/>
    <x v="0"/>
    <x v="0"/>
  </r>
  <r>
    <n v="100"/>
    <x v="4"/>
    <x v="0"/>
    <x v="0"/>
    <x v="50"/>
    <s v="Rural"/>
    <x v="1"/>
    <x v="0"/>
    <x v="0"/>
  </r>
  <r>
    <n v="101"/>
    <x v="4"/>
    <x v="0"/>
    <x v="0"/>
    <x v="50"/>
    <s v="Rural"/>
    <x v="0"/>
    <x v="0"/>
    <x v="0"/>
  </r>
  <r>
    <n v="102"/>
    <x v="4"/>
    <x v="0"/>
    <x v="0"/>
    <x v="50"/>
    <s v="Rural"/>
    <x v="0"/>
    <x v="0"/>
    <x v="0"/>
  </r>
  <r>
    <n v="103"/>
    <x v="4"/>
    <x v="0"/>
    <x v="0"/>
    <x v="50"/>
    <s v="Rural"/>
    <x v="0"/>
    <x v="0"/>
    <x v="0"/>
  </r>
  <r>
    <n v="104"/>
    <x v="4"/>
    <x v="0"/>
    <x v="0"/>
    <x v="50"/>
    <s v="Rural"/>
    <x v="1"/>
    <x v="0"/>
    <x v="0"/>
  </r>
  <r>
    <n v="105"/>
    <x v="4"/>
    <x v="0"/>
    <x v="1"/>
    <x v="50"/>
    <s v="Rural"/>
    <x v="1"/>
    <x v="0"/>
    <x v="0"/>
  </r>
  <r>
    <n v="106"/>
    <x v="4"/>
    <x v="0"/>
    <x v="1"/>
    <x v="50"/>
    <s v="Rural"/>
    <x v="0"/>
    <x v="0"/>
    <x v="0"/>
  </r>
  <r>
    <n v="107"/>
    <x v="4"/>
    <x v="0"/>
    <x v="1"/>
    <x v="50"/>
    <s v="Rural"/>
    <x v="1"/>
    <x v="0"/>
    <x v="0"/>
  </r>
  <r>
    <n v="108"/>
    <x v="4"/>
    <x v="0"/>
    <x v="4"/>
    <x v="51"/>
    <s v="Rural"/>
    <x v="0"/>
    <x v="0"/>
    <x v="0"/>
  </r>
  <r>
    <n v="109"/>
    <x v="4"/>
    <x v="0"/>
    <x v="4"/>
    <x v="51"/>
    <s v="Rural"/>
    <x v="1"/>
    <x v="0"/>
    <x v="0"/>
  </r>
  <r>
    <n v="110"/>
    <x v="4"/>
    <x v="0"/>
    <x v="4"/>
    <x v="51"/>
    <s v="Rural"/>
    <x v="0"/>
    <x v="0"/>
    <x v="0"/>
  </r>
  <r>
    <n v="111"/>
    <x v="4"/>
    <x v="0"/>
    <x v="4"/>
    <x v="51"/>
    <s v="Rural"/>
    <x v="1"/>
    <x v="0"/>
    <x v="0"/>
  </r>
  <r>
    <n v="112"/>
    <x v="4"/>
    <x v="0"/>
    <x v="4"/>
    <x v="51"/>
    <s v="Rural"/>
    <x v="0"/>
    <x v="0"/>
    <x v="0"/>
  </r>
  <r>
    <n v="113"/>
    <x v="4"/>
    <x v="0"/>
    <x v="4"/>
    <x v="51"/>
    <s v="Rural"/>
    <x v="1"/>
    <x v="0"/>
    <x v="0"/>
  </r>
  <r>
    <n v="114"/>
    <x v="4"/>
    <x v="0"/>
    <x v="0"/>
    <x v="51"/>
    <s v="Rural"/>
    <x v="1"/>
    <x v="0"/>
    <x v="0"/>
  </r>
  <r>
    <n v="115"/>
    <x v="4"/>
    <x v="0"/>
    <x v="0"/>
    <x v="51"/>
    <s v="Rural"/>
    <x v="1"/>
    <x v="0"/>
    <x v="0"/>
  </r>
  <r>
    <n v="116"/>
    <x v="4"/>
    <x v="0"/>
    <x v="0"/>
    <x v="51"/>
    <s v="Rural"/>
    <x v="1"/>
    <x v="0"/>
    <x v="0"/>
  </r>
  <r>
    <n v="117"/>
    <x v="4"/>
    <x v="0"/>
    <x v="0"/>
    <x v="51"/>
    <s v="Rural"/>
    <x v="0"/>
    <x v="0"/>
    <x v="0"/>
  </r>
  <r>
    <n v="118"/>
    <x v="4"/>
    <x v="0"/>
    <x v="0"/>
    <x v="51"/>
    <s v="Rural"/>
    <x v="1"/>
    <x v="0"/>
    <x v="0"/>
  </r>
  <r>
    <n v="119"/>
    <x v="4"/>
    <x v="0"/>
    <x v="0"/>
    <x v="51"/>
    <s v="Rural"/>
    <x v="1"/>
    <x v="0"/>
    <x v="0"/>
  </r>
  <r>
    <n v="120"/>
    <x v="4"/>
    <x v="0"/>
    <x v="0"/>
    <x v="51"/>
    <s v="Rural"/>
    <x v="1"/>
    <x v="0"/>
    <x v="0"/>
  </r>
  <r>
    <n v="121"/>
    <x v="4"/>
    <x v="0"/>
    <x v="0"/>
    <x v="51"/>
    <s v="Rural"/>
    <x v="1"/>
    <x v="0"/>
    <x v="0"/>
  </r>
  <r>
    <n v="123"/>
    <x v="4"/>
    <x v="0"/>
    <x v="1"/>
    <x v="51"/>
    <s v="Rural"/>
    <x v="1"/>
    <x v="0"/>
    <x v="0"/>
  </r>
  <r>
    <n v="124"/>
    <x v="4"/>
    <x v="0"/>
    <x v="1"/>
    <x v="51"/>
    <s v="Rural"/>
    <x v="1"/>
    <x v="0"/>
    <x v="0"/>
  </r>
  <r>
    <n v="125"/>
    <x v="4"/>
    <x v="0"/>
    <x v="1"/>
    <x v="51"/>
    <s v="Rural"/>
    <x v="1"/>
    <x v="0"/>
    <x v="0"/>
  </r>
  <r>
    <n v="126"/>
    <x v="4"/>
    <x v="0"/>
    <x v="1"/>
    <x v="51"/>
    <s v="Rural"/>
    <x v="1"/>
    <x v="0"/>
    <x v="0"/>
  </r>
  <r>
    <n v="127"/>
    <x v="4"/>
    <x v="0"/>
    <x v="1"/>
    <x v="51"/>
    <s v="Rural"/>
    <x v="0"/>
    <x v="0"/>
    <x v="0"/>
  </r>
  <r>
    <n v="128"/>
    <x v="4"/>
    <x v="0"/>
    <x v="4"/>
    <x v="52"/>
    <s v="Rural"/>
    <x v="1"/>
    <x v="0"/>
    <x v="0"/>
  </r>
  <r>
    <n v="129"/>
    <x v="4"/>
    <x v="0"/>
    <x v="4"/>
    <x v="52"/>
    <s v="Rural"/>
    <x v="1"/>
    <x v="0"/>
    <x v="0"/>
  </r>
  <r>
    <n v="130"/>
    <x v="4"/>
    <x v="0"/>
    <x v="4"/>
    <x v="52"/>
    <s v="Rural"/>
    <x v="1"/>
    <x v="0"/>
    <x v="0"/>
  </r>
  <r>
    <n v="131"/>
    <x v="4"/>
    <x v="0"/>
    <x v="4"/>
    <x v="52"/>
    <s v="Rural"/>
    <x v="1"/>
    <x v="0"/>
    <x v="0"/>
  </r>
  <r>
    <n v="132"/>
    <x v="4"/>
    <x v="0"/>
    <x v="4"/>
    <x v="52"/>
    <s v="Rural"/>
    <x v="0"/>
    <x v="0"/>
    <x v="0"/>
  </r>
  <r>
    <n v="133"/>
    <x v="4"/>
    <x v="0"/>
    <x v="4"/>
    <x v="52"/>
    <s v="Rural"/>
    <x v="0"/>
    <x v="0"/>
    <x v="0"/>
  </r>
  <r>
    <n v="134"/>
    <x v="4"/>
    <x v="0"/>
    <x v="4"/>
    <x v="52"/>
    <s v="Rural"/>
    <x v="0"/>
    <x v="0"/>
    <x v="0"/>
  </r>
  <r>
    <n v="135"/>
    <x v="4"/>
    <x v="0"/>
    <x v="0"/>
    <x v="52"/>
    <s v="Rural"/>
    <x v="1"/>
    <x v="0"/>
    <x v="0"/>
  </r>
  <r>
    <n v="136"/>
    <x v="4"/>
    <x v="0"/>
    <x v="0"/>
    <x v="52"/>
    <s v="Rural"/>
    <x v="0"/>
    <x v="0"/>
    <x v="0"/>
  </r>
  <r>
    <n v="137"/>
    <x v="4"/>
    <x v="0"/>
    <x v="0"/>
    <x v="52"/>
    <s v="Rural"/>
    <x v="0"/>
    <x v="0"/>
    <x v="0"/>
  </r>
  <r>
    <n v="138"/>
    <x v="4"/>
    <x v="0"/>
    <x v="0"/>
    <x v="52"/>
    <s v="Rural"/>
    <x v="1"/>
    <x v="0"/>
    <x v="0"/>
  </r>
  <r>
    <n v="139"/>
    <x v="4"/>
    <x v="0"/>
    <x v="0"/>
    <x v="52"/>
    <s v="Rural"/>
    <x v="1"/>
    <x v="0"/>
    <x v="0"/>
  </r>
  <r>
    <n v="140"/>
    <x v="4"/>
    <x v="0"/>
    <x v="1"/>
    <x v="52"/>
    <s v="Rural"/>
    <x v="0"/>
    <x v="0"/>
    <x v="0"/>
  </r>
  <r>
    <n v="141"/>
    <x v="4"/>
    <x v="0"/>
    <x v="1"/>
    <x v="52"/>
    <s v="Rural"/>
    <x v="0"/>
    <x v="0"/>
    <x v="0"/>
  </r>
  <r>
    <n v="142"/>
    <x v="4"/>
    <x v="0"/>
    <x v="1"/>
    <x v="52"/>
    <s v="Rural"/>
    <x v="0"/>
    <x v="0"/>
    <x v="0"/>
  </r>
  <r>
    <n v="143"/>
    <x v="4"/>
    <x v="0"/>
    <x v="1"/>
    <x v="52"/>
    <s v="Rural"/>
    <x v="0"/>
    <x v="0"/>
    <x v="0"/>
  </r>
  <r>
    <n v="144"/>
    <x v="4"/>
    <x v="0"/>
    <x v="1"/>
    <x v="52"/>
    <s v="Rural"/>
    <x v="1"/>
    <x v="0"/>
    <x v="0"/>
  </r>
  <r>
    <n v="145"/>
    <x v="4"/>
    <x v="1"/>
    <x v="2"/>
    <x v="52"/>
    <s v="Rural"/>
    <x v="1"/>
    <x v="0"/>
    <x v="0"/>
  </r>
  <r>
    <n v="146"/>
    <x v="4"/>
    <x v="1"/>
    <x v="2"/>
    <x v="52"/>
    <s v="Rural"/>
    <x v="0"/>
    <x v="0"/>
    <x v="0"/>
  </r>
  <r>
    <n v="147"/>
    <x v="4"/>
    <x v="1"/>
    <x v="2"/>
    <x v="52"/>
    <s v="Rural"/>
    <x v="1"/>
    <x v="0"/>
    <x v="0"/>
  </r>
  <r>
    <n v="148"/>
    <x v="4"/>
    <x v="1"/>
    <x v="2"/>
    <x v="52"/>
    <s v="Rural"/>
    <x v="1"/>
    <x v="0"/>
    <x v="0"/>
  </r>
  <r>
    <n v="150"/>
    <x v="4"/>
    <x v="1"/>
    <x v="3"/>
    <x v="52"/>
    <s v="Rural"/>
    <x v="1"/>
    <x v="0"/>
    <x v="0"/>
  </r>
  <r>
    <n v="151"/>
    <x v="4"/>
    <x v="1"/>
    <x v="3"/>
    <x v="52"/>
    <s v="Rural"/>
    <x v="1"/>
    <x v="0"/>
    <x v="0"/>
  </r>
  <r>
    <n v="152"/>
    <x v="4"/>
    <x v="1"/>
    <x v="3"/>
    <x v="52"/>
    <s v="Rural"/>
    <x v="0"/>
    <x v="0"/>
    <x v="0"/>
  </r>
  <r>
    <n v="153"/>
    <x v="4"/>
    <x v="1"/>
    <x v="3"/>
    <x v="52"/>
    <s v="Rural"/>
    <x v="1"/>
    <x v="0"/>
    <x v="0"/>
  </r>
  <r>
    <n v="154"/>
    <x v="4"/>
    <x v="1"/>
    <x v="3"/>
    <x v="52"/>
    <s v="Rural"/>
    <x v="0"/>
    <x v="0"/>
    <x v="0"/>
  </r>
  <r>
    <n v="1"/>
    <x v="5"/>
    <x v="1"/>
    <x v="2"/>
    <x v="53"/>
    <s v="Rural"/>
    <x v="1"/>
    <x v="1"/>
    <x v="0"/>
  </r>
  <r>
    <n v="2"/>
    <x v="5"/>
    <x v="1"/>
    <x v="2"/>
    <x v="53"/>
    <s v="Rural"/>
    <x v="0"/>
    <x v="1"/>
    <x v="0"/>
  </r>
  <r>
    <n v="3"/>
    <x v="5"/>
    <x v="1"/>
    <x v="2"/>
    <x v="53"/>
    <s v="Rural"/>
    <x v="1"/>
    <x v="0"/>
    <x v="0"/>
  </r>
  <r>
    <n v="4"/>
    <x v="5"/>
    <x v="1"/>
    <x v="2"/>
    <x v="53"/>
    <s v="Rural"/>
    <x v="0"/>
    <x v="1"/>
    <x v="0"/>
  </r>
  <r>
    <n v="5"/>
    <x v="5"/>
    <x v="1"/>
    <x v="2"/>
    <x v="53"/>
    <s v="Rural"/>
    <x v="1"/>
    <x v="0"/>
    <x v="0"/>
  </r>
  <r>
    <n v="6"/>
    <x v="5"/>
    <x v="1"/>
    <x v="2"/>
    <x v="53"/>
    <s v="Rural"/>
    <x v="1"/>
    <x v="1"/>
    <x v="0"/>
  </r>
  <r>
    <n v="7"/>
    <x v="5"/>
    <x v="1"/>
    <x v="2"/>
    <x v="53"/>
    <s v="Rural"/>
    <x v="1"/>
    <x v="1"/>
    <x v="0"/>
  </r>
  <r>
    <n v="8"/>
    <x v="5"/>
    <x v="1"/>
    <x v="2"/>
    <x v="53"/>
    <s v="Rural"/>
    <x v="0"/>
    <x v="0"/>
    <x v="0"/>
  </r>
  <r>
    <n v="9"/>
    <x v="5"/>
    <x v="1"/>
    <x v="2"/>
    <x v="53"/>
    <s v="Rural"/>
    <x v="1"/>
    <x v="1"/>
    <x v="0"/>
  </r>
  <r>
    <n v="10"/>
    <x v="5"/>
    <x v="1"/>
    <x v="2"/>
    <x v="53"/>
    <s v="Rural"/>
    <x v="0"/>
    <x v="1"/>
    <x v="0"/>
  </r>
  <r>
    <n v="11"/>
    <x v="5"/>
    <x v="1"/>
    <x v="2"/>
    <x v="53"/>
    <s v="Rural"/>
    <x v="1"/>
    <x v="1"/>
    <x v="0"/>
  </r>
  <r>
    <n v="12"/>
    <x v="5"/>
    <x v="1"/>
    <x v="3"/>
    <x v="53"/>
    <s v="Rural"/>
    <x v="1"/>
    <x v="2"/>
    <x v="0"/>
  </r>
  <r>
    <n v="13"/>
    <x v="5"/>
    <x v="1"/>
    <x v="3"/>
    <x v="53"/>
    <s v="Rural"/>
    <x v="1"/>
    <x v="2"/>
    <x v="0"/>
  </r>
  <r>
    <n v="14"/>
    <x v="5"/>
    <x v="1"/>
    <x v="3"/>
    <x v="53"/>
    <s v="Rural"/>
    <x v="1"/>
    <x v="2"/>
    <x v="0"/>
  </r>
  <r>
    <n v="15"/>
    <x v="5"/>
    <x v="1"/>
    <x v="3"/>
    <x v="53"/>
    <s v="Rural"/>
    <x v="1"/>
    <x v="2"/>
    <x v="0"/>
  </r>
  <r>
    <n v="16"/>
    <x v="5"/>
    <x v="1"/>
    <x v="3"/>
    <x v="53"/>
    <s v="Rural"/>
    <x v="0"/>
    <x v="1"/>
    <x v="0"/>
  </r>
  <r>
    <n v="17"/>
    <x v="5"/>
    <x v="1"/>
    <x v="3"/>
    <x v="53"/>
    <s v="Rural"/>
    <x v="0"/>
    <x v="1"/>
    <x v="0"/>
  </r>
  <r>
    <n v="18"/>
    <x v="5"/>
    <x v="1"/>
    <x v="3"/>
    <x v="53"/>
    <s v="Rural"/>
    <x v="0"/>
    <x v="0"/>
    <x v="0"/>
  </r>
  <r>
    <n v="19"/>
    <x v="5"/>
    <x v="1"/>
    <x v="3"/>
    <x v="53"/>
    <s v="Rural"/>
    <x v="0"/>
    <x v="2"/>
    <x v="0"/>
  </r>
  <r>
    <n v="20"/>
    <x v="5"/>
    <x v="1"/>
    <x v="3"/>
    <x v="53"/>
    <s v="Rural"/>
    <x v="1"/>
    <x v="1"/>
    <x v="0"/>
  </r>
  <r>
    <n v="21"/>
    <x v="5"/>
    <x v="1"/>
    <x v="3"/>
    <x v="53"/>
    <s v="Rural"/>
    <x v="0"/>
    <x v="1"/>
    <x v="0"/>
  </r>
  <r>
    <n v="22"/>
    <x v="5"/>
    <x v="1"/>
    <x v="3"/>
    <x v="53"/>
    <s v="Rural"/>
    <x v="0"/>
    <x v="2"/>
    <x v="0"/>
  </r>
  <r>
    <n v="23"/>
    <x v="5"/>
    <x v="1"/>
    <x v="3"/>
    <x v="53"/>
    <s v="Rural"/>
    <x v="0"/>
    <x v="1"/>
    <x v="0"/>
  </r>
  <r>
    <n v="24"/>
    <x v="5"/>
    <x v="1"/>
    <x v="3"/>
    <x v="53"/>
    <s v="Rural"/>
    <x v="1"/>
    <x v="2"/>
    <x v="0"/>
  </r>
  <r>
    <n v="25"/>
    <x v="5"/>
    <x v="1"/>
    <x v="3"/>
    <x v="53"/>
    <s v="Rural"/>
    <x v="1"/>
    <x v="1"/>
    <x v="0"/>
  </r>
  <r>
    <n v="26"/>
    <x v="5"/>
    <x v="1"/>
    <x v="3"/>
    <x v="53"/>
    <s v="Rural"/>
    <x v="1"/>
    <x v="0"/>
    <x v="0"/>
  </r>
  <r>
    <n v="27"/>
    <x v="5"/>
    <x v="1"/>
    <x v="3"/>
    <x v="53"/>
    <s v="Rural"/>
    <x v="0"/>
    <x v="2"/>
    <x v="0"/>
  </r>
  <r>
    <n v="1"/>
    <x v="5"/>
    <x v="1"/>
    <x v="2"/>
    <x v="53"/>
    <s v="Rural"/>
    <x v="1"/>
    <x v="1"/>
    <x v="0"/>
  </r>
  <r>
    <n v="2"/>
    <x v="5"/>
    <x v="1"/>
    <x v="2"/>
    <x v="53"/>
    <s v="Rural"/>
    <x v="0"/>
    <x v="1"/>
    <x v="0"/>
  </r>
  <r>
    <n v="3"/>
    <x v="5"/>
    <x v="1"/>
    <x v="2"/>
    <x v="53"/>
    <s v="Rural"/>
    <x v="1"/>
    <x v="0"/>
    <x v="0"/>
  </r>
  <r>
    <n v="4"/>
    <x v="5"/>
    <x v="1"/>
    <x v="2"/>
    <x v="53"/>
    <s v="Rural"/>
    <x v="0"/>
    <x v="1"/>
    <x v="0"/>
  </r>
  <r>
    <n v="5"/>
    <x v="5"/>
    <x v="1"/>
    <x v="2"/>
    <x v="53"/>
    <s v="Rural"/>
    <x v="1"/>
    <x v="0"/>
    <x v="0"/>
  </r>
  <r>
    <n v="6"/>
    <x v="5"/>
    <x v="1"/>
    <x v="2"/>
    <x v="53"/>
    <s v="Rural"/>
    <x v="1"/>
    <x v="1"/>
    <x v="0"/>
  </r>
  <r>
    <n v="7"/>
    <x v="5"/>
    <x v="1"/>
    <x v="3"/>
    <x v="53"/>
    <s v="Rural"/>
    <x v="1"/>
    <x v="2"/>
    <x v="0"/>
  </r>
  <r>
    <n v="8"/>
    <x v="5"/>
    <x v="1"/>
    <x v="3"/>
    <x v="53"/>
    <s v="Rural"/>
    <x v="1"/>
    <x v="2"/>
    <x v="0"/>
  </r>
  <r>
    <n v="9"/>
    <x v="5"/>
    <x v="1"/>
    <x v="3"/>
    <x v="53"/>
    <s v="Rural"/>
    <x v="1"/>
    <x v="2"/>
    <x v="0"/>
  </r>
  <r>
    <n v="10"/>
    <x v="5"/>
    <x v="1"/>
    <x v="3"/>
    <x v="53"/>
    <s v="Rural"/>
    <x v="1"/>
    <x v="2"/>
    <x v="0"/>
  </r>
  <r>
    <n v="11"/>
    <x v="5"/>
    <x v="1"/>
    <x v="3"/>
    <x v="53"/>
    <s v="Rural"/>
    <x v="0"/>
    <x v="1"/>
    <x v="0"/>
  </r>
  <r>
    <n v="12"/>
    <x v="5"/>
    <x v="1"/>
    <x v="3"/>
    <x v="53"/>
    <s v="Rural"/>
    <x v="0"/>
    <x v="1"/>
    <x v="0"/>
  </r>
  <r>
    <n v="13"/>
    <x v="5"/>
    <x v="1"/>
    <x v="3"/>
    <x v="53"/>
    <s v="Rural"/>
    <x v="0"/>
    <x v="0"/>
    <x v="0"/>
  </r>
  <r>
    <n v="14"/>
    <x v="5"/>
    <x v="1"/>
    <x v="3"/>
    <x v="53"/>
    <s v="Rural"/>
    <x v="0"/>
    <x v="2"/>
    <x v="0"/>
  </r>
  <r>
    <n v="2008"/>
    <x v="3"/>
    <x v="0"/>
    <x v="4"/>
    <x v="35"/>
    <s v="Rural"/>
    <x v="1"/>
    <x v="1"/>
    <x v="1"/>
  </r>
  <r>
    <n v="2009"/>
    <x v="3"/>
    <x v="0"/>
    <x v="4"/>
    <x v="47"/>
    <s v="Rural"/>
    <x v="1"/>
    <x v="0"/>
    <x v="1"/>
  </r>
  <r>
    <n v="2010"/>
    <x v="3"/>
    <x v="1"/>
    <x v="2"/>
    <x v="31"/>
    <s v="Rural"/>
    <x v="0"/>
    <x v="0"/>
    <x v="1"/>
  </r>
  <r>
    <n v="2011"/>
    <x v="3"/>
    <x v="1"/>
    <x v="2"/>
    <x v="31"/>
    <s v="Rural"/>
    <x v="0"/>
    <x v="0"/>
    <x v="1"/>
  </r>
  <r>
    <n v="2012"/>
    <x v="3"/>
    <x v="1"/>
    <x v="2"/>
    <x v="31"/>
    <s v="Rural"/>
    <x v="0"/>
    <x v="0"/>
    <x v="1"/>
  </r>
  <r>
    <n v="2013"/>
    <x v="3"/>
    <x v="1"/>
    <x v="2"/>
    <x v="31"/>
    <s v="Rural"/>
    <x v="0"/>
    <x v="0"/>
    <x v="1"/>
  </r>
  <r>
    <n v="2014"/>
    <x v="3"/>
    <x v="1"/>
    <x v="2"/>
    <x v="31"/>
    <s v="Rural"/>
    <x v="0"/>
    <x v="0"/>
    <x v="1"/>
  </r>
  <r>
    <n v="2015"/>
    <x v="3"/>
    <x v="1"/>
    <x v="2"/>
    <x v="31"/>
    <s v="Rural"/>
    <x v="0"/>
    <x v="0"/>
    <x v="1"/>
  </r>
  <r>
    <n v="2016"/>
    <x v="3"/>
    <x v="1"/>
    <x v="2"/>
    <x v="31"/>
    <s v="Rural"/>
    <x v="1"/>
    <x v="0"/>
    <x v="1"/>
  </r>
  <r>
    <n v="2017"/>
    <x v="3"/>
    <x v="1"/>
    <x v="2"/>
    <x v="31"/>
    <s v="Rural"/>
    <x v="0"/>
    <x v="0"/>
    <x v="1"/>
  </r>
  <r>
    <n v="2018"/>
    <x v="3"/>
    <x v="1"/>
    <x v="2"/>
    <x v="31"/>
    <s v="Rural"/>
    <x v="0"/>
    <x v="0"/>
    <x v="1"/>
  </r>
  <r>
    <n v="2019"/>
    <x v="3"/>
    <x v="1"/>
    <x v="2"/>
    <x v="31"/>
    <s v="Rural"/>
    <x v="0"/>
    <x v="0"/>
    <x v="1"/>
  </r>
  <r>
    <n v="2020"/>
    <x v="3"/>
    <x v="1"/>
    <x v="2"/>
    <x v="31"/>
    <s v="Rural"/>
    <x v="0"/>
    <x v="0"/>
    <x v="1"/>
  </r>
  <r>
    <n v="2021"/>
    <x v="3"/>
    <x v="1"/>
    <x v="2"/>
    <x v="31"/>
    <s v="Rural"/>
    <x v="0"/>
    <x v="0"/>
    <x v="1"/>
  </r>
  <r>
    <n v="2022"/>
    <x v="3"/>
    <x v="1"/>
    <x v="2"/>
    <x v="31"/>
    <s v="Rural"/>
    <x v="1"/>
    <x v="0"/>
    <x v="1"/>
  </r>
  <r>
    <n v="2023"/>
    <x v="3"/>
    <x v="1"/>
    <x v="2"/>
    <x v="31"/>
    <s v="Rural"/>
    <x v="0"/>
    <x v="0"/>
    <x v="1"/>
  </r>
  <r>
    <n v="2024"/>
    <x v="3"/>
    <x v="1"/>
    <x v="2"/>
    <x v="31"/>
    <s v="Rural"/>
    <x v="0"/>
    <x v="0"/>
    <x v="1"/>
  </r>
  <r>
    <n v="2025"/>
    <x v="3"/>
    <x v="1"/>
    <x v="2"/>
    <x v="35"/>
    <s v="Rural"/>
    <x v="1"/>
    <x v="2"/>
    <x v="1"/>
  </r>
  <r>
    <n v="2026"/>
    <x v="3"/>
    <x v="1"/>
    <x v="2"/>
    <x v="35"/>
    <s v="Rural"/>
    <x v="1"/>
    <x v="0"/>
    <x v="1"/>
  </r>
  <r>
    <n v="2027"/>
    <x v="3"/>
    <x v="1"/>
    <x v="2"/>
    <x v="35"/>
    <s v="Rural"/>
    <x v="0"/>
    <x v="0"/>
    <x v="1"/>
  </r>
  <r>
    <n v="2028"/>
    <x v="3"/>
    <x v="1"/>
    <x v="2"/>
    <x v="35"/>
    <s v="Rural"/>
    <x v="1"/>
    <x v="0"/>
    <x v="1"/>
  </r>
  <r>
    <n v="2029"/>
    <x v="3"/>
    <x v="1"/>
    <x v="2"/>
    <x v="35"/>
    <s v="Rural"/>
    <x v="0"/>
    <x v="0"/>
    <x v="1"/>
  </r>
  <r>
    <n v="2030"/>
    <x v="3"/>
    <x v="1"/>
    <x v="2"/>
    <x v="35"/>
    <s v="Rural"/>
    <x v="1"/>
    <x v="0"/>
    <x v="1"/>
  </r>
  <r>
    <n v="2031"/>
    <x v="3"/>
    <x v="1"/>
    <x v="2"/>
    <x v="35"/>
    <s v="Rural"/>
    <x v="0"/>
    <x v="0"/>
    <x v="1"/>
  </r>
  <r>
    <n v="2032"/>
    <x v="3"/>
    <x v="1"/>
    <x v="2"/>
    <x v="35"/>
    <s v="Rural"/>
    <x v="0"/>
    <x v="0"/>
    <x v="1"/>
  </r>
  <r>
    <n v="2033"/>
    <x v="3"/>
    <x v="1"/>
    <x v="2"/>
    <x v="35"/>
    <s v="Rural"/>
    <x v="0"/>
    <x v="0"/>
    <x v="1"/>
  </r>
  <r>
    <n v="2034"/>
    <x v="3"/>
    <x v="1"/>
    <x v="2"/>
    <x v="35"/>
    <s v="Rural"/>
    <x v="0"/>
    <x v="0"/>
    <x v="1"/>
  </r>
  <r>
    <n v="2035"/>
    <x v="3"/>
    <x v="1"/>
    <x v="2"/>
    <x v="35"/>
    <s v="Rural"/>
    <x v="0"/>
    <x v="0"/>
    <x v="1"/>
  </r>
  <r>
    <n v="2036"/>
    <x v="3"/>
    <x v="1"/>
    <x v="2"/>
    <x v="35"/>
    <s v="Rural"/>
    <x v="1"/>
    <x v="0"/>
    <x v="1"/>
  </r>
  <r>
    <n v="2037"/>
    <x v="3"/>
    <x v="1"/>
    <x v="2"/>
    <x v="35"/>
    <s v="Rural"/>
    <x v="0"/>
    <x v="0"/>
    <x v="1"/>
  </r>
  <r>
    <n v="2038"/>
    <x v="3"/>
    <x v="1"/>
    <x v="2"/>
    <x v="35"/>
    <s v="Rural"/>
    <x v="1"/>
    <x v="0"/>
    <x v="1"/>
  </r>
  <r>
    <n v="2039"/>
    <x v="3"/>
    <x v="1"/>
    <x v="2"/>
    <x v="39"/>
    <s v="Rural"/>
    <x v="1"/>
    <x v="0"/>
    <x v="1"/>
  </r>
  <r>
    <n v="2040"/>
    <x v="3"/>
    <x v="1"/>
    <x v="2"/>
    <x v="39"/>
    <s v="Rural"/>
    <x v="1"/>
    <x v="0"/>
    <x v="1"/>
  </r>
  <r>
    <n v="2041"/>
    <x v="3"/>
    <x v="1"/>
    <x v="2"/>
    <x v="39"/>
    <s v="Rural"/>
    <x v="0"/>
    <x v="0"/>
    <x v="1"/>
  </r>
  <r>
    <n v="2042"/>
    <x v="3"/>
    <x v="1"/>
    <x v="2"/>
    <x v="39"/>
    <s v="Rural"/>
    <x v="0"/>
    <x v="0"/>
    <x v="1"/>
  </r>
  <r>
    <n v="2043"/>
    <x v="3"/>
    <x v="1"/>
    <x v="2"/>
    <x v="39"/>
    <s v="Rural"/>
    <x v="1"/>
    <x v="0"/>
    <x v="1"/>
  </r>
  <r>
    <n v="2044"/>
    <x v="3"/>
    <x v="1"/>
    <x v="2"/>
    <x v="39"/>
    <s v="Rural"/>
    <x v="0"/>
    <x v="0"/>
    <x v="1"/>
  </r>
  <r>
    <n v="2045"/>
    <x v="3"/>
    <x v="1"/>
    <x v="2"/>
    <x v="39"/>
    <s v="Rural"/>
    <x v="1"/>
    <x v="0"/>
    <x v="1"/>
  </r>
  <r>
    <n v="2046"/>
    <x v="3"/>
    <x v="1"/>
    <x v="2"/>
    <x v="47"/>
    <s v="Rural"/>
    <x v="1"/>
    <x v="0"/>
    <x v="1"/>
  </r>
  <r>
    <n v="2047"/>
    <x v="3"/>
    <x v="1"/>
    <x v="2"/>
    <x v="47"/>
    <s v="Rural"/>
    <x v="1"/>
    <x v="0"/>
    <x v="1"/>
  </r>
  <r>
    <n v="2048"/>
    <x v="3"/>
    <x v="1"/>
    <x v="2"/>
    <x v="47"/>
    <s v="Rural"/>
    <x v="1"/>
    <x v="0"/>
    <x v="1"/>
  </r>
  <r>
    <n v="2049"/>
    <x v="3"/>
    <x v="1"/>
    <x v="2"/>
    <x v="47"/>
    <s v="Rural"/>
    <x v="1"/>
    <x v="0"/>
    <x v="1"/>
  </r>
  <r>
    <n v="2050"/>
    <x v="3"/>
    <x v="1"/>
    <x v="2"/>
    <x v="47"/>
    <s v="Rural"/>
    <x v="0"/>
    <x v="0"/>
    <x v="1"/>
  </r>
  <r>
    <n v="2051"/>
    <x v="3"/>
    <x v="1"/>
    <x v="2"/>
    <x v="47"/>
    <s v="Rural"/>
    <x v="0"/>
    <x v="0"/>
    <x v="1"/>
  </r>
  <r>
    <n v="2052"/>
    <x v="3"/>
    <x v="1"/>
    <x v="2"/>
    <x v="47"/>
    <s v="Rural"/>
    <x v="1"/>
    <x v="0"/>
    <x v="1"/>
  </r>
  <r>
    <n v="2053"/>
    <x v="3"/>
    <x v="1"/>
    <x v="2"/>
    <x v="47"/>
    <s v="Rural"/>
    <x v="0"/>
    <x v="0"/>
    <x v="1"/>
  </r>
  <r>
    <n v="2054"/>
    <x v="3"/>
    <x v="1"/>
    <x v="2"/>
    <x v="47"/>
    <s v="Rural"/>
    <x v="1"/>
    <x v="0"/>
    <x v="1"/>
  </r>
  <r>
    <n v="2055"/>
    <x v="3"/>
    <x v="1"/>
    <x v="2"/>
    <x v="47"/>
    <s v="Rural"/>
    <x v="1"/>
    <x v="0"/>
    <x v="1"/>
  </r>
  <r>
    <n v="2056"/>
    <x v="3"/>
    <x v="1"/>
    <x v="2"/>
    <x v="47"/>
    <s v="Rural"/>
    <x v="1"/>
    <x v="0"/>
    <x v="1"/>
  </r>
  <r>
    <n v="2057"/>
    <x v="3"/>
    <x v="1"/>
    <x v="2"/>
    <x v="47"/>
    <s v="Rural"/>
    <x v="1"/>
    <x v="0"/>
    <x v="1"/>
  </r>
  <r>
    <n v="2058"/>
    <x v="3"/>
    <x v="1"/>
    <x v="2"/>
    <x v="47"/>
    <s v="Rural"/>
    <x v="1"/>
    <x v="0"/>
    <x v="1"/>
  </r>
  <r>
    <n v="2059"/>
    <x v="3"/>
    <x v="1"/>
    <x v="2"/>
    <x v="47"/>
    <s v="Rural"/>
    <x v="1"/>
    <x v="0"/>
    <x v="1"/>
  </r>
  <r>
    <n v="2060"/>
    <x v="3"/>
    <x v="1"/>
    <x v="2"/>
    <x v="47"/>
    <s v="Rural"/>
    <x v="0"/>
    <x v="0"/>
    <x v="1"/>
  </r>
  <r>
    <n v="2061"/>
    <x v="3"/>
    <x v="1"/>
    <x v="2"/>
    <x v="47"/>
    <s v="Rural"/>
    <x v="0"/>
    <x v="0"/>
    <x v="1"/>
  </r>
  <r>
    <n v="2062"/>
    <x v="3"/>
    <x v="1"/>
    <x v="2"/>
    <x v="47"/>
    <s v="Rural"/>
    <x v="1"/>
    <x v="0"/>
    <x v="1"/>
  </r>
  <r>
    <n v="2063"/>
    <x v="3"/>
    <x v="1"/>
    <x v="2"/>
    <x v="47"/>
    <s v="Rural"/>
    <x v="0"/>
    <x v="0"/>
    <x v="1"/>
  </r>
  <r>
    <n v="2064"/>
    <x v="3"/>
    <x v="1"/>
    <x v="2"/>
    <x v="47"/>
    <s v="Rural"/>
    <x v="0"/>
    <x v="0"/>
    <x v="1"/>
  </r>
  <r>
    <n v="2065"/>
    <x v="3"/>
    <x v="1"/>
    <x v="2"/>
    <x v="47"/>
    <s v="Rural"/>
    <x v="1"/>
    <x v="0"/>
    <x v="1"/>
  </r>
  <r>
    <n v="2066"/>
    <x v="3"/>
    <x v="1"/>
    <x v="2"/>
    <x v="47"/>
    <s v="Rural"/>
    <x v="1"/>
    <x v="0"/>
    <x v="1"/>
  </r>
  <r>
    <n v="2067"/>
    <x v="3"/>
    <x v="1"/>
    <x v="2"/>
    <x v="47"/>
    <s v="Rural"/>
    <x v="0"/>
    <x v="0"/>
    <x v="1"/>
  </r>
  <r>
    <n v="2068"/>
    <x v="3"/>
    <x v="1"/>
    <x v="2"/>
    <x v="47"/>
    <s v="Rural"/>
    <x v="0"/>
    <x v="0"/>
    <x v="1"/>
  </r>
  <r>
    <n v="2069"/>
    <x v="3"/>
    <x v="1"/>
    <x v="2"/>
    <x v="47"/>
    <s v="Rural"/>
    <x v="1"/>
    <x v="0"/>
    <x v="1"/>
  </r>
  <r>
    <n v="2070"/>
    <x v="3"/>
    <x v="1"/>
    <x v="2"/>
    <x v="47"/>
    <s v="Rural"/>
    <x v="0"/>
    <x v="0"/>
    <x v="1"/>
  </r>
  <r>
    <n v="2071"/>
    <x v="3"/>
    <x v="1"/>
    <x v="2"/>
    <x v="47"/>
    <s v="Rural"/>
    <x v="1"/>
    <x v="0"/>
    <x v="1"/>
  </r>
  <r>
    <n v="2072"/>
    <x v="3"/>
    <x v="1"/>
    <x v="2"/>
    <x v="47"/>
    <s v="Rural"/>
    <x v="1"/>
    <x v="0"/>
    <x v="1"/>
  </r>
  <r>
    <n v="2073"/>
    <x v="3"/>
    <x v="1"/>
    <x v="2"/>
    <x v="47"/>
    <s v="Rural"/>
    <x v="0"/>
    <x v="0"/>
    <x v="1"/>
  </r>
  <r>
    <n v="2074"/>
    <x v="3"/>
    <x v="1"/>
    <x v="2"/>
    <x v="47"/>
    <s v="Rural"/>
    <x v="0"/>
    <x v="0"/>
    <x v="1"/>
  </r>
  <r>
    <n v="2075"/>
    <x v="3"/>
    <x v="1"/>
    <x v="2"/>
    <x v="47"/>
    <s v="Rural"/>
    <x v="0"/>
    <x v="0"/>
    <x v="1"/>
  </r>
  <r>
    <n v="2076"/>
    <x v="3"/>
    <x v="1"/>
    <x v="2"/>
    <x v="47"/>
    <s v="Rural"/>
    <x v="1"/>
    <x v="0"/>
    <x v="1"/>
  </r>
  <r>
    <n v="2077"/>
    <x v="3"/>
    <x v="0"/>
    <x v="0"/>
    <x v="30"/>
    <s v="Rural"/>
    <x v="1"/>
    <x v="0"/>
    <x v="1"/>
  </r>
  <r>
    <n v="2078"/>
    <x v="3"/>
    <x v="0"/>
    <x v="0"/>
    <x v="30"/>
    <s v="Rural"/>
    <x v="1"/>
    <x v="0"/>
    <x v="1"/>
  </r>
  <r>
    <n v="2079"/>
    <x v="3"/>
    <x v="0"/>
    <x v="0"/>
    <x v="30"/>
    <s v="Rural"/>
    <x v="0"/>
    <x v="0"/>
    <x v="1"/>
  </r>
  <r>
    <n v="2080"/>
    <x v="3"/>
    <x v="0"/>
    <x v="0"/>
    <x v="35"/>
    <s v="Rural"/>
    <x v="1"/>
    <x v="2"/>
    <x v="1"/>
  </r>
  <r>
    <n v="2081"/>
    <x v="3"/>
    <x v="0"/>
    <x v="0"/>
    <x v="39"/>
    <s v="Rural"/>
    <x v="0"/>
    <x v="0"/>
    <x v="1"/>
  </r>
  <r>
    <n v="2082"/>
    <x v="3"/>
    <x v="0"/>
    <x v="0"/>
    <x v="39"/>
    <s v="Rural"/>
    <x v="0"/>
    <x v="0"/>
    <x v="1"/>
  </r>
  <r>
    <n v="2083"/>
    <x v="3"/>
    <x v="0"/>
    <x v="0"/>
    <x v="39"/>
    <s v="Rural"/>
    <x v="0"/>
    <x v="0"/>
    <x v="1"/>
  </r>
  <r>
    <n v="2084"/>
    <x v="3"/>
    <x v="0"/>
    <x v="0"/>
    <x v="39"/>
    <s v="Rural"/>
    <x v="0"/>
    <x v="0"/>
    <x v="1"/>
  </r>
  <r>
    <n v="2085"/>
    <x v="3"/>
    <x v="0"/>
    <x v="0"/>
    <x v="39"/>
    <s v="Rural"/>
    <x v="1"/>
    <x v="0"/>
    <x v="1"/>
  </r>
  <r>
    <n v="2086"/>
    <x v="3"/>
    <x v="0"/>
    <x v="0"/>
    <x v="39"/>
    <s v="Rural"/>
    <x v="0"/>
    <x v="0"/>
    <x v="1"/>
  </r>
  <r>
    <n v="2087"/>
    <x v="3"/>
    <x v="0"/>
    <x v="0"/>
    <x v="39"/>
    <s v="Rural"/>
    <x v="1"/>
    <x v="0"/>
    <x v="1"/>
  </r>
  <r>
    <n v="2088"/>
    <x v="3"/>
    <x v="0"/>
    <x v="0"/>
    <x v="39"/>
    <s v="Rural"/>
    <x v="0"/>
    <x v="0"/>
    <x v="1"/>
  </r>
  <r>
    <n v="2089"/>
    <x v="3"/>
    <x v="0"/>
    <x v="0"/>
    <x v="39"/>
    <s v="Rural"/>
    <x v="1"/>
    <x v="0"/>
    <x v="1"/>
  </r>
  <r>
    <n v="2090"/>
    <x v="3"/>
    <x v="1"/>
    <x v="3"/>
    <x v="31"/>
    <s v="Rural"/>
    <x v="0"/>
    <x v="0"/>
    <x v="1"/>
  </r>
  <r>
    <n v="2091"/>
    <x v="3"/>
    <x v="1"/>
    <x v="3"/>
    <x v="31"/>
    <s v="Rural"/>
    <x v="1"/>
    <x v="0"/>
    <x v="1"/>
  </r>
  <r>
    <n v="2092"/>
    <x v="3"/>
    <x v="1"/>
    <x v="3"/>
    <x v="31"/>
    <s v="Rural"/>
    <x v="0"/>
    <x v="1"/>
    <x v="1"/>
  </r>
  <r>
    <n v="2093"/>
    <x v="3"/>
    <x v="1"/>
    <x v="3"/>
    <x v="31"/>
    <s v="Rural"/>
    <x v="0"/>
    <x v="0"/>
    <x v="1"/>
  </r>
  <r>
    <n v="2094"/>
    <x v="3"/>
    <x v="1"/>
    <x v="3"/>
    <x v="31"/>
    <s v="Rural"/>
    <x v="1"/>
    <x v="0"/>
    <x v="1"/>
  </r>
  <r>
    <n v="2095"/>
    <x v="3"/>
    <x v="1"/>
    <x v="3"/>
    <x v="31"/>
    <s v="Rural"/>
    <x v="1"/>
    <x v="0"/>
    <x v="1"/>
  </r>
  <r>
    <n v="2096"/>
    <x v="3"/>
    <x v="1"/>
    <x v="3"/>
    <x v="31"/>
    <s v="Rural"/>
    <x v="1"/>
    <x v="0"/>
    <x v="1"/>
  </r>
  <r>
    <n v="2097"/>
    <x v="3"/>
    <x v="1"/>
    <x v="3"/>
    <x v="31"/>
    <s v="Rural"/>
    <x v="0"/>
    <x v="0"/>
    <x v="1"/>
  </r>
  <r>
    <n v="2098"/>
    <x v="3"/>
    <x v="1"/>
    <x v="3"/>
    <x v="31"/>
    <s v="Rural"/>
    <x v="0"/>
    <x v="0"/>
    <x v="1"/>
  </r>
  <r>
    <n v="2099"/>
    <x v="3"/>
    <x v="1"/>
    <x v="3"/>
    <x v="31"/>
    <s v="Rural"/>
    <x v="0"/>
    <x v="0"/>
    <x v="1"/>
  </r>
  <r>
    <n v="2100"/>
    <x v="3"/>
    <x v="1"/>
    <x v="3"/>
    <x v="31"/>
    <s v="Rural"/>
    <x v="0"/>
    <x v="0"/>
    <x v="1"/>
  </r>
  <r>
    <n v="2101"/>
    <x v="3"/>
    <x v="1"/>
    <x v="3"/>
    <x v="31"/>
    <s v="Rural"/>
    <x v="1"/>
    <x v="0"/>
    <x v="1"/>
  </r>
  <r>
    <n v="2102"/>
    <x v="3"/>
    <x v="1"/>
    <x v="3"/>
    <x v="31"/>
    <s v="Rural"/>
    <x v="1"/>
    <x v="0"/>
    <x v="1"/>
  </r>
  <r>
    <n v="2103"/>
    <x v="3"/>
    <x v="1"/>
    <x v="3"/>
    <x v="31"/>
    <s v="Rural"/>
    <x v="1"/>
    <x v="0"/>
    <x v="1"/>
  </r>
  <r>
    <n v="2104"/>
    <x v="3"/>
    <x v="1"/>
    <x v="3"/>
    <x v="31"/>
    <s v="Rural"/>
    <x v="0"/>
    <x v="0"/>
    <x v="1"/>
  </r>
  <r>
    <n v="2105"/>
    <x v="3"/>
    <x v="1"/>
    <x v="3"/>
    <x v="31"/>
    <s v="Rural"/>
    <x v="0"/>
    <x v="0"/>
    <x v="1"/>
  </r>
  <r>
    <n v="2106"/>
    <x v="3"/>
    <x v="1"/>
    <x v="3"/>
    <x v="31"/>
    <s v="Rural"/>
    <x v="0"/>
    <x v="0"/>
    <x v="1"/>
  </r>
  <r>
    <n v="2107"/>
    <x v="3"/>
    <x v="1"/>
    <x v="3"/>
    <x v="31"/>
    <s v="Rural"/>
    <x v="0"/>
    <x v="0"/>
    <x v="1"/>
  </r>
  <r>
    <n v="2108"/>
    <x v="3"/>
    <x v="1"/>
    <x v="3"/>
    <x v="31"/>
    <s v="Rural"/>
    <x v="0"/>
    <x v="0"/>
    <x v="1"/>
  </r>
  <r>
    <n v="2109"/>
    <x v="3"/>
    <x v="1"/>
    <x v="3"/>
    <x v="31"/>
    <s v="Rural"/>
    <x v="0"/>
    <x v="0"/>
    <x v="1"/>
  </r>
  <r>
    <n v="2110"/>
    <x v="3"/>
    <x v="1"/>
    <x v="3"/>
    <x v="31"/>
    <s v="Rural"/>
    <x v="1"/>
    <x v="0"/>
    <x v="1"/>
  </r>
  <r>
    <n v="2111"/>
    <x v="3"/>
    <x v="1"/>
    <x v="3"/>
    <x v="31"/>
    <s v="Rural"/>
    <x v="0"/>
    <x v="0"/>
    <x v="1"/>
  </r>
  <r>
    <n v="2112"/>
    <x v="3"/>
    <x v="1"/>
    <x v="3"/>
    <x v="31"/>
    <s v="Rural"/>
    <x v="0"/>
    <x v="0"/>
    <x v="1"/>
  </r>
  <r>
    <n v="2113"/>
    <x v="3"/>
    <x v="1"/>
    <x v="3"/>
    <x v="31"/>
    <s v="Rural"/>
    <x v="1"/>
    <x v="0"/>
    <x v="1"/>
  </r>
  <r>
    <n v="2114"/>
    <x v="3"/>
    <x v="1"/>
    <x v="3"/>
    <x v="35"/>
    <s v="Rural"/>
    <x v="1"/>
    <x v="2"/>
    <x v="1"/>
  </r>
  <r>
    <n v="2115"/>
    <x v="3"/>
    <x v="1"/>
    <x v="3"/>
    <x v="35"/>
    <s v="Rural"/>
    <x v="0"/>
    <x v="0"/>
    <x v="1"/>
  </r>
  <r>
    <n v="2116"/>
    <x v="3"/>
    <x v="1"/>
    <x v="3"/>
    <x v="35"/>
    <s v="Rural"/>
    <x v="1"/>
    <x v="0"/>
    <x v="1"/>
  </r>
  <r>
    <n v="2117"/>
    <x v="3"/>
    <x v="1"/>
    <x v="3"/>
    <x v="35"/>
    <s v="Rural"/>
    <x v="0"/>
    <x v="1"/>
    <x v="1"/>
  </r>
  <r>
    <n v="2118"/>
    <x v="3"/>
    <x v="1"/>
    <x v="3"/>
    <x v="35"/>
    <s v="Rural"/>
    <x v="0"/>
    <x v="2"/>
    <x v="1"/>
  </r>
  <r>
    <n v="2119"/>
    <x v="3"/>
    <x v="1"/>
    <x v="3"/>
    <x v="35"/>
    <s v="Rural"/>
    <x v="0"/>
    <x v="0"/>
    <x v="1"/>
  </r>
  <r>
    <n v="2120"/>
    <x v="3"/>
    <x v="1"/>
    <x v="3"/>
    <x v="35"/>
    <s v="Rural"/>
    <x v="0"/>
    <x v="1"/>
    <x v="1"/>
  </r>
  <r>
    <n v="2121"/>
    <x v="3"/>
    <x v="1"/>
    <x v="3"/>
    <x v="35"/>
    <s v="Rural"/>
    <x v="1"/>
    <x v="0"/>
    <x v="1"/>
  </r>
  <r>
    <n v="2122"/>
    <x v="3"/>
    <x v="1"/>
    <x v="3"/>
    <x v="35"/>
    <s v="Rural"/>
    <x v="0"/>
    <x v="0"/>
    <x v="1"/>
  </r>
  <r>
    <n v="2123"/>
    <x v="3"/>
    <x v="1"/>
    <x v="3"/>
    <x v="35"/>
    <s v="Rural"/>
    <x v="0"/>
    <x v="0"/>
    <x v="1"/>
  </r>
  <r>
    <n v="2124"/>
    <x v="3"/>
    <x v="1"/>
    <x v="3"/>
    <x v="35"/>
    <s v="Rural"/>
    <x v="1"/>
    <x v="2"/>
    <x v="1"/>
  </r>
  <r>
    <n v="2125"/>
    <x v="3"/>
    <x v="1"/>
    <x v="3"/>
    <x v="35"/>
    <s v="Rural"/>
    <x v="1"/>
    <x v="0"/>
    <x v="1"/>
  </r>
  <r>
    <n v="2126"/>
    <x v="3"/>
    <x v="1"/>
    <x v="3"/>
    <x v="35"/>
    <s v="Rural"/>
    <x v="1"/>
    <x v="0"/>
    <x v="1"/>
  </r>
  <r>
    <n v="2127"/>
    <x v="3"/>
    <x v="1"/>
    <x v="3"/>
    <x v="35"/>
    <s v="Rural"/>
    <x v="1"/>
    <x v="0"/>
    <x v="1"/>
  </r>
  <r>
    <n v="2128"/>
    <x v="3"/>
    <x v="1"/>
    <x v="3"/>
    <x v="35"/>
    <s v="Rural"/>
    <x v="0"/>
    <x v="0"/>
    <x v="1"/>
  </r>
  <r>
    <n v="2129"/>
    <x v="3"/>
    <x v="1"/>
    <x v="3"/>
    <x v="35"/>
    <s v="Rural"/>
    <x v="1"/>
    <x v="2"/>
    <x v="1"/>
  </r>
  <r>
    <n v="2130"/>
    <x v="3"/>
    <x v="1"/>
    <x v="3"/>
    <x v="39"/>
    <s v="Rural"/>
    <x v="0"/>
    <x v="0"/>
    <x v="1"/>
  </r>
  <r>
    <n v="2131"/>
    <x v="3"/>
    <x v="1"/>
    <x v="3"/>
    <x v="39"/>
    <s v="Rural"/>
    <x v="0"/>
    <x v="0"/>
    <x v="1"/>
  </r>
  <r>
    <n v="2132"/>
    <x v="3"/>
    <x v="1"/>
    <x v="3"/>
    <x v="39"/>
    <s v="Rural"/>
    <x v="0"/>
    <x v="0"/>
    <x v="1"/>
  </r>
  <r>
    <n v="2133"/>
    <x v="3"/>
    <x v="1"/>
    <x v="3"/>
    <x v="39"/>
    <s v="Rural"/>
    <x v="1"/>
    <x v="0"/>
    <x v="1"/>
  </r>
  <r>
    <n v="2134"/>
    <x v="3"/>
    <x v="1"/>
    <x v="3"/>
    <x v="39"/>
    <s v="Rural"/>
    <x v="1"/>
    <x v="0"/>
    <x v="1"/>
  </r>
  <r>
    <n v="2135"/>
    <x v="3"/>
    <x v="1"/>
    <x v="3"/>
    <x v="39"/>
    <s v="Rural"/>
    <x v="1"/>
    <x v="0"/>
    <x v="1"/>
  </r>
  <r>
    <n v="2136"/>
    <x v="3"/>
    <x v="1"/>
    <x v="3"/>
    <x v="39"/>
    <s v="Rural"/>
    <x v="1"/>
    <x v="0"/>
    <x v="1"/>
  </r>
  <r>
    <n v="2137"/>
    <x v="3"/>
    <x v="1"/>
    <x v="3"/>
    <x v="39"/>
    <s v="Rural"/>
    <x v="0"/>
    <x v="0"/>
    <x v="1"/>
  </r>
  <r>
    <n v="2138"/>
    <x v="3"/>
    <x v="1"/>
    <x v="3"/>
    <x v="39"/>
    <s v="Rural"/>
    <x v="0"/>
    <x v="0"/>
    <x v="1"/>
  </r>
  <r>
    <n v="2139"/>
    <x v="3"/>
    <x v="1"/>
    <x v="3"/>
    <x v="47"/>
    <s v="Rural"/>
    <x v="1"/>
    <x v="0"/>
    <x v="1"/>
  </r>
  <r>
    <n v="2140"/>
    <x v="3"/>
    <x v="1"/>
    <x v="3"/>
    <x v="47"/>
    <s v="Rural"/>
    <x v="0"/>
    <x v="0"/>
    <x v="1"/>
  </r>
  <r>
    <n v="2141"/>
    <x v="3"/>
    <x v="1"/>
    <x v="3"/>
    <x v="47"/>
    <s v="Rural"/>
    <x v="0"/>
    <x v="0"/>
    <x v="1"/>
  </r>
  <r>
    <n v="2142"/>
    <x v="3"/>
    <x v="1"/>
    <x v="3"/>
    <x v="47"/>
    <s v="Rural"/>
    <x v="0"/>
    <x v="0"/>
    <x v="1"/>
  </r>
  <r>
    <n v="2143"/>
    <x v="3"/>
    <x v="1"/>
    <x v="3"/>
    <x v="47"/>
    <s v="Rural"/>
    <x v="1"/>
    <x v="0"/>
    <x v="1"/>
  </r>
  <r>
    <n v="2144"/>
    <x v="3"/>
    <x v="1"/>
    <x v="3"/>
    <x v="47"/>
    <s v="Rural"/>
    <x v="1"/>
    <x v="0"/>
    <x v="1"/>
  </r>
  <r>
    <n v="2145"/>
    <x v="3"/>
    <x v="1"/>
    <x v="3"/>
    <x v="47"/>
    <s v="Rural"/>
    <x v="1"/>
    <x v="0"/>
    <x v="1"/>
  </r>
  <r>
    <n v="2146"/>
    <x v="3"/>
    <x v="1"/>
    <x v="3"/>
    <x v="47"/>
    <s v="Rural"/>
    <x v="1"/>
    <x v="0"/>
    <x v="1"/>
  </r>
  <r>
    <n v="2147"/>
    <x v="3"/>
    <x v="1"/>
    <x v="3"/>
    <x v="47"/>
    <s v="Rural"/>
    <x v="0"/>
    <x v="0"/>
    <x v="1"/>
  </r>
  <r>
    <n v="2148"/>
    <x v="3"/>
    <x v="1"/>
    <x v="3"/>
    <x v="47"/>
    <s v="Rural"/>
    <x v="0"/>
    <x v="0"/>
    <x v="1"/>
  </r>
  <r>
    <n v="2149"/>
    <x v="3"/>
    <x v="1"/>
    <x v="3"/>
    <x v="47"/>
    <s v="Rural"/>
    <x v="1"/>
    <x v="0"/>
    <x v="1"/>
  </r>
  <r>
    <n v="2150"/>
    <x v="3"/>
    <x v="1"/>
    <x v="3"/>
    <x v="47"/>
    <s v="Rural"/>
    <x v="0"/>
    <x v="0"/>
    <x v="1"/>
  </r>
  <r>
    <n v="2151"/>
    <x v="3"/>
    <x v="1"/>
    <x v="3"/>
    <x v="47"/>
    <s v="Rural"/>
    <x v="1"/>
    <x v="0"/>
    <x v="1"/>
  </r>
  <r>
    <n v="2152"/>
    <x v="3"/>
    <x v="1"/>
    <x v="3"/>
    <x v="47"/>
    <s v="Rural"/>
    <x v="1"/>
    <x v="0"/>
    <x v="1"/>
  </r>
  <r>
    <n v="2153"/>
    <x v="3"/>
    <x v="1"/>
    <x v="3"/>
    <x v="47"/>
    <s v="Rural"/>
    <x v="1"/>
    <x v="0"/>
    <x v="1"/>
  </r>
  <r>
    <n v="2154"/>
    <x v="3"/>
    <x v="1"/>
    <x v="3"/>
    <x v="47"/>
    <s v="Rural"/>
    <x v="0"/>
    <x v="0"/>
    <x v="1"/>
  </r>
  <r>
    <n v="2155"/>
    <x v="3"/>
    <x v="1"/>
    <x v="3"/>
    <x v="47"/>
    <s v="Rural"/>
    <x v="0"/>
    <x v="0"/>
    <x v="1"/>
  </r>
  <r>
    <n v="2156"/>
    <x v="3"/>
    <x v="1"/>
    <x v="3"/>
    <x v="47"/>
    <s v="Rural"/>
    <x v="0"/>
    <x v="0"/>
    <x v="1"/>
  </r>
  <r>
    <n v="2157"/>
    <x v="3"/>
    <x v="0"/>
    <x v="1"/>
    <x v="35"/>
    <s v="Rural"/>
    <x v="1"/>
    <x v="0"/>
    <x v="1"/>
  </r>
  <r>
    <n v="2158"/>
    <x v="3"/>
    <x v="0"/>
    <x v="1"/>
    <x v="35"/>
    <s v="Rural"/>
    <x v="0"/>
    <x v="0"/>
    <x v="1"/>
  </r>
  <r>
    <n v="2159"/>
    <x v="3"/>
    <x v="0"/>
    <x v="1"/>
    <x v="35"/>
    <s v="Rural"/>
    <x v="0"/>
    <x v="0"/>
    <x v="1"/>
  </r>
  <r>
    <n v="2160"/>
    <x v="3"/>
    <x v="0"/>
    <x v="1"/>
    <x v="35"/>
    <s v="Rural"/>
    <x v="0"/>
    <x v="0"/>
    <x v="1"/>
  </r>
  <r>
    <n v="2161"/>
    <x v="3"/>
    <x v="0"/>
    <x v="1"/>
    <x v="35"/>
    <s v="Rural"/>
    <x v="1"/>
    <x v="0"/>
    <x v="1"/>
  </r>
  <r>
    <n v="2162"/>
    <x v="3"/>
    <x v="0"/>
    <x v="1"/>
    <x v="35"/>
    <s v="Rural"/>
    <x v="1"/>
    <x v="0"/>
    <x v="1"/>
  </r>
  <r>
    <n v="2163"/>
    <x v="3"/>
    <x v="0"/>
    <x v="1"/>
    <x v="35"/>
    <s v="Rural"/>
    <x v="1"/>
    <x v="0"/>
    <x v="1"/>
  </r>
  <r>
    <n v="2164"/>
    <x v="3"/>
    <x v="0"/>
    <x v="1"/>
    <x v="35"/>
    <s v="Rural"/>
    <x v="0"/>
    <x v="0"/>
    <x v="1"/>
  </r>
  <r>
    <n v="2165"/>
    <x v="3"/>
    <x v="0"/>
    <x v="1"/>
    <x v="35"/>
    <s v="Rural"/>
    <x v="1"/>
    <x v="0"/>
    <x v="1"/>
  </r>
  <r>
    <n v="2166"/>
    <x v="3"/>
    <x v="0"/>
    <x v="1"/>
    <x v="39"/>
    <s v="Rural"/>
    <x v="0"/>
    <x v="0"/>
    <x v="1"/>
  </r>
  <r>
    <n v="2167"/>
    <x v="3"/>
    <x v="0"/>
    <x v="1"/>
    <x v="39"/>
    <s v="Rural"/>
    <x v="1"/>
    <x v="0"/>
    <x v="1"/>
  </r>
  <r>
    <n v="2168"/>
    <x v="3"/>
    <x v="0"/>
    <x v="1"/>
    <x v="39"/>
    <s v="Rural"/>
    <x v="0"/>
    <x v="0"/>
    <x v="1"/>
  </r>
  <r>
    <n v="2169"/>
    <x v="3"/>
    <x v="0"/>
    <x v="1"/>
    <x v="39"/>
    <s v="Rural"/>
    <x v="0"/>
    <x v="0"/>
    <x v="1"/>
  </r>
  <r>
    <n v="2170"/>
    <x v="3"/>
    <x v="0"/>
    <x v="1"/>
    <x v="47"/>
    <s v="Rural"/>
    <x v="0"/>
    <x v="0"/>
    <x v="1"/>
  </r>
  <r>
    <n v="2171"/>
    <x v="3"/>
    <x v="0"/>
    <x v="1"/>
    <x v="47"/>
    <s v="Rural"/>
    <x v="0"/>
    <x v="0"/>
    <x v="1"/>
  </r>
  <r>
    <n v="2172"/>
    <x v="3"/>
    <x v="0"/>
    <x v="1"/>
    <x v="47"/>
    <s v="Rural"/>
    <x v="0"/>
    <x v="1"/>
    <x v="1"/>
  </r>
  <r>
    <n v="2731"/>
    <x v="4"/>
    <x v="0"/>
    <x v="4"/>
    <x v="54"/>
    <s v="Rural"/>
    <x v="1"/>
    <x v="0"/>
    <x v="1"/>
  </r>
  <r>
    <n v="2732"/>
    <x v="4"/>
    <x v="0"/>
    <x v="4"/>
    <x v="48"/>
    <s v="Rural"/>
    <x v="0"/>
    <x v="0"/>
    <x v="1"/>
  </r>
  <r>
    <n v="2733"/>
    <x v="4"/>
    <x v="0"/>
    <x v="4"/>
    <x v="50"/>
    <s v="Rural"/>
    <x v="0"/>
    <x v="0"/>
    <x v="1"/>
  </r>
  <r>
    <n v="2734"/>
    <x v="4"/>
    <x v="1"/>
    <x v="2"/>
    <x v="49"/>
    <s v="Rural"/>
    <x v="1"/>
    <x v="0"/>
    <x v="1"/>
  </r>
  <r>
    <n v="2735"/>
    <x v="4"/>
    <x v="1"/>
    <x v="2"/>
    <x v="49"/>
    <s v="Rural"/>
    <x v="1"/>
    <x v="0"/>
    <x v="1"/>
  </r>
  <r>
    <n v="2736"/>
    <x v="4"/>
    <x v="1"/>
    <x v="2"/>
    <x v="49"/>
    <s v="Rural"/>
    <x v="1"/>
    <x v="0"/>
    <x v="1"/>
  </r>
  <r>
    <n v="2737"/>
    <x v="4"/>
    <x v="1"/>
    <x v="2"/>
    <x v="49"/>
    <s v="Rural"/>
    <x v="0"/>
    <x v="0"/>
    <x v="1"/>
  </r>
  <r>
    <n v="2738"/>
    <x v="4"/>
    <x v="1"/>
    <x v="2"/>
    <x v="49"/>
    <s v="Rural"/>
    <x v="1"/>
    <x v="0"/>
    <x v="1"/>
  </r>
  <r>
    <n v="2739"/>
    <x v="4"/>
    <x v="1"/>
    <x v="2"/>
    <x v="52"/>
    <s v="Rural"/>
    <x v="1"/>
    <x v="0"/>
    <x v="1"/>
  </r>
  <r>
    <n v="2740"/>
    <x v="4"/>
    <x v="1"/>
    <x v="2"/>
    <x v="52"/>
    <s v="Rural"/>
    <x v="1"/>
    <x v="0"/>
    <x v="1"/>
  </r>
  <r>
    <n v="2741"/>
    <x v="4"/>
    <x v="1"/>
    <x v="2"/>
    <x v="52"/>
    <s v="Rural"/>
    <x v="0"/>
    <x v="0"/>
    <x v="1"/>
  </r>
  <r>
    <n v="2742"/>
    <x v="4"/>
    <x v="0"/>
    <x v="0"/>
    <x v="54"/>
    <s v="Rural"/>
    <x v="0"/>
    <x v="0"/>
    <x v="1"/>
  </r>
  <r>
    <n v="2743"/>
    <x v="4"/>
    <x v="0"/>
    <x v="0"/>
    <x v="54"/>
    <s v="Rural"/>
    <x v="1"/>
    <x v="0"/>
    <x v="1"/>
  </r>
  <r>
    <n v="2744"/>
    <x v="4"/>
    <x v="0"/>
    <x v="0"/>
    <x v="54"/>
    <s v="Rural"/>
    <x v="0"/>
    <x v="0"/>
    <x v="1"/>
  </r>
  <r>
    <n v="2745"/>
    <x v="4"/>
    <x v="0"/>
    <x v="0"/>
    <x v="48"/>
    <s v="Rural"/>
    <x v="0"/>
    <x v="0"/>
    <x v="1"/>
  </r>
  <r>
    <n v="2746"/>
    <x v="4"/>
    <x v="0"/>
    <x v="0"/>
    <x v="52"/>
    <s v="Rural"/>
    <x v="0"/>
    <x v="0"/>
    <x v="1"/>
  </r>
  <r>
    <n v="2747"/>
    <x v="4"/>
    <x v="0"/>
    <x v="0"/>
    <x v="52"/>
    <s v="Rural"/>
    <x v="0"/>
    <x v="0"/>
    <x v="1"/>
  </r>
  <r>
    <n v="2748"/>
    <x v="4"/>
    <x v="0"/>
    <x v="0"/>
    <x v="52"/>
    <s v="Rural"/>
    <x v="0"/>
    <x v="0"/>
    <x v="1"/>
  </r>
  <r>
    <n v="2749"/>
    <x v="4"/>
    <x v="1"/>
    <x v="3"/>
    <x v="49"/>
    <s v="Rural"/>
    <x v="1"/>
    <x v="0"/>
    <x v="1"/>
  </r>
  <r>
    <n v="2750"/>
    <x v="4"/>
    <x v="1"/>
    <x v="3"/>
    <x v="49"/>
    <s v="Rural"/>
    <x v="1"/>
    <x v="0"/>
    <x v="1"/>
  </r>
  <r>
    <n v="2751"/>
    <x v="4"/>
    <x v="0"/>
    <x v="1"/>
    <x v="54"/>
    <s v="Rural"/>
    <x v="1"/>
    <x v="1"/>
    <x v="1"/>
  </r>
  <r>
    <n v="2752"/>
    <x v="4"/>
    <x v="0"/>
    <x v="1"/>
    <x v="54"/>
    <s v="Rural"/>
    <x v="1"/>
    <x v="1"/>
    <x v="1"/>
  </r>
  <r>
    <n v="2753"/>
    <x v="4"/>
    <x v="0"/>
    <x v="1"/>
    <x v="54"/>
    <s v="Rural"/>
    <x v="1"/>
    <x v="1"/>
    <x v="1"/>
  </r>
  <r>
    <n v="2754"/>
    <x v="4"/>
    <x v="0"/>
    <x v="1"/>
    <x v="54"/>
    <s v="Rural"/>
    <x v="0"/>
    <x v="1"/>
    <x v="1"/>
  </r>
  <r>
    <n v="2755"/>
    <x v="4"/>
    <x v="0"/>
    <x v="1"/>
    <x v="54"/>
    <s v="Rural"/>
    <x v="0"/>
    <x v="1"/>
    <x v="1"/>
  </r>
  <r>
    <n v="2756"/>
    <x v="4"/>
    <x v="0"/>
    <x v="1"/>
    <x v="54"/>
    <s v="Rural"/>
    <x v="0"/>
    <x v="1"/>
    <x v="1"/>
  </r>
  <r>
    <n v="2757"/>
    <x v="4"/>
    <x v="0"/>
    <x v="1"/>
    <x v="54"/>
    <s v="Rural"/>
    <x v="0"/>
    <x v="1"/>
    <x v="1"/>
  </r>
  <r>
    <n v="2758"/>
    <x v="4"/>
    <x v="0"/>
    <x v="1"/>
    <x v="54"/>
    <s v="Rural"/>
    <x v="0"/>
    <x v="1"/>
    <x v="1"/>
  </r>
  <r>
    <n v="2759"/>
    <x v="4"/>
    <x v="0"/>
    <x v="1"/>
    <x v="54"/>
    <s v="Rural"/>
    <x v="1"/>
    <x v="1"/>
    <x v="1"/>
  </r>
  <r>
    <n v="2760"/>
    <x v="4"/>
    <x v="0"/>
    <x v="1"/>
    <x v="54"/>
    <s v="Rural"/>
    <x v="0"/>
    <x v="1"/>
    <x v="1"/>
  </r>
  <r>
    <n v="2761"/>
    <x v="4"/>
    <x v="0"/>
    <x v="1"/>
    <x v="48"/>
    <s v="Rural"/>
    <x v="0"/>
    <x v="1"/>
    <x v="1"/>
  </r>
  <r>
    <n v="2762"/>
    <x v="4"/>
    <x v="0"/>
    <x v="1"/>
    <x v="48"/>
    <s v="Rural"/>
    <x v="1"/>
    <x v="0"/>
    <x v="1"/>
  </r>
  <r>
    <n v="2763"/>
    <x v="4"/>
    <x v="0"/>
    <x v="1"/>
    <x v="48"/>
    <s v="Rural"/>
    <x v="0"/>
    <x v="1"/>
    <x v="1"/>
  </r>
  <r>
    <n v="2764"/>
    <x v="4"/>
    <x v="0"/>
    <x v="1"/>
    <x v="48"/>
    <s v="Rural"/>
    <x v="0"/>
    <x v="1"/>
    <x v="1"/>
  </r>
  <r>
    <n v="2765"/>
    <x v="4"/>
    <x v="0"/>
    <x v="1"/>
    <x v="50"/>
    <s v="Rural"/>
    <x v="0"/>
    <x v="0"/>
    <x v="1"/>
  </r>
  <r>
    <n v="2766"/>
    <x v="4"/>
    <x v="0"/>
    <x v="1"/>
    <x v="50"/>
    <s v="Rural"/>
    <x v="0"/>
    <x v="1"/>
    <x v="1"/>
  </r>
  <r>
    <n v="2767"/>
    <x v="4"/>
    <x v="0"/>
    <x v="1"/>
    <x v="52"/>
    <s v="Rural"/>
    <x v="0"/>
    <x v="0"/>
    <x v="1"/>
  </r>
  <r>
    <n v="3349"/>
    <x v="1"/>
    <x v="0"/>
    <x v="4"/>
    <x v="55"/>
    <s v="Rural"/>
    <x v="0"/>
    <x v="1"/>
    <x v="1"/>
  </r>
  <r>
    <n v="3350"/>
    <x v="1"/>
    <x v="0"/>
    <x v="4"/>
    <x v="16"/>
    <s v="Rural"/>
    <x v="0"/>
    <x v="1"/>
    <x v="1"/>
  </r>
  <r>
    <n v="3351"/>
    <x v="1"/>
    <x v="0"/>
    <x v="4"/>
    <x v="16"/>
    <s v="Rural"/>
    <x v="0"/>
    <x v="1"/>
    <x v="1"/>
  </r>
  <r>
    <n v="3352"/>
    <x v="1"/>
    <x v="0"/>
    <x v="4"/>
    <x v="16"/>
    <s v="Rural"/>
    <x v="1"/>
    <x v="1"/>
    <x v="1"/>
  </r>
  <r>
    <n v="3353"/>
    <x v="1"/>
    <x v="0"/>
    <x v="4"/>
    <x v="16"/>
    <s v="Rural"/>
    <x v="0"/>
    <x v="1"/>
    <x v="1"/>
  </r>
  <r>
    <n v="3354"/>
    <x v="1"/>
    <x v="0"/>
    <x v="4"/>
    <x v="22"/>
    <s v="Rural"/>
    <x v="0"/>
    <x v="1"/>
    <x v="1"/>
  </r>
  <r>
    <n v="3355"/>
    <x v="1"/>
    <x v="0"/>
    <x v="4"/>
    <x v="22"/>
    <s v="Rural"/>
    <x v="1"/>
    <x v="1"/>
    <x v="1"/>
  </r>
  <r>
    <n v="3356"/>
    <x v="1"/>
    <x v="0"/>
    <x v="4"/>
    <x v="22"/>
    <s v="Rural"/>
    <x v="1"/>
    <x v="1"/>
    <x v="1"/>
  </r>
  <r>
    <n v="3357"/>
    <x v="1"/>
    <x v="0"/>
    <x v="4"/>
    <x v="22"/>
    <s v="Rural"/>
    <x v="1"/>
    <x v="2"/>
    <x v="1"/>
  </r>
  <r>
    <n v="3358"/>
    <x v="1"/>
    <x v="0"/>
    <x v="0"/>
    <x v="56"/>
    <s v="Rural"/>
    <x v="0"/>
    <x v="2"/>
    <x v="1"/>
  </r>
  <r>
    <n v="3359"/>
    <x v="1"/>
    <x v="0"/>
    <x v="0"/>
    <x v="57"/>
    <s v="Rural"/>
    <x v="0"/>
    <x v="1"/>
    <x v="1"/>
  </r>
  <r>
    <n v="3360"/>
    <x v="1"/>
    <x v="0"/>
    <x v="0"/>
    <x v="56"/>
    <s v="Rural"/>
    <x v="1"/>
    <x v="2"/>
    <x v="1"/>
  </r>
  <r>
    <n v="3361"/>
    <x v="1"/>
    <x v="0"/>
    <x v="0"/>
    <x v="16"/>
    <s v="Rural"/>
    <x v="0"/>
    <x v="2"/>
    <x v="1"/>
  </r>
  <r>
    <n v="3362"/>
    <x v="1"/>
    <x v="0"/>
    <x v="0"/>
    <x v="56"/>
    <s v="Rural"/>
    <x v="1"/>
    <x v="2"/>
    <x v="1"/>
  </r>
  <r>
    <n v="3363"/>
    <x v="1"/>
    <x v="0"/>
    <x v="0"/>
    <x v="56"/>
    <s v="Rural"/>
    <x v="1"/>
    <x v="2"/>
    <x v="1"/>
  </r>
  <r>
    <n v="3364"/>
    <x v="1"/>
    <x v="0"/>
    <x v="0"/>
    <x v="15"/>
    <s v="Rural"/>
    <x v="0"/>
    <x v="1"/>
    <x v="1"/>
  </r>
  <r>
    <n v="3365"/>
    <x v="1"/>
    <x v="0"/>
    <x v="0"/>
    <x v="15"/>
    <s v="Rural"/>
    <x v="0"/>
    <x v="1"/>
    <x v="1"/>
  </r>
  <r>
    <n v="3366"/>
    <x v="1"/>
    <x v="0"/>
    <x v="0"/>
    <x v="22"/>
    <s v="Rural"/>
    <x v="0"/>
    <x v="1"/>
    <x v="1"/>
  </r>
  <r>
    <n v="3367"/>
    <x v="1"/>
    <x v="0"/>
    <x v="0"/>
    <x v="22"/>
    <s v="Rural"/>
    <x v="0"/>
    <x v="1"/>
    <x v="1"/>
  </r>
  <r>
    <n v="3368"/>
    <x v="1"/>
    <x v="0"/>
    <x v="0"/>
    <x v="22"/>
    <s v="Rural"/>
    <x v="0"/>
    <x v="2"/>
    <x v="1"/>
  </r>
  <r>
    <n v="3369"/>
    <x v="1"/>
    <x v="0"/>
    <x v="0"/>
    <x v="22"/>
    <s v="Rural"/>
    <x v="1"/>
    <x v="1"/>
    <x v="1"/>
  </r>
  <r>
    <n v="3370"/>
    <x v="1"/>
    <x v="0"/>
    <x v="0"/>
    <x v="22"/>
    <s v="Rural"/>
    <x v="1"/>
    <x v="2"/>
    <x v="1"/>
  </r>
  <r>
    <n v="3371"/>
    <x v="1"/>
    <x v="0"/>
    <x v="0"/>
    <x v="22"/>
    <s v="Rural"/>
    <x v="1"/>
    <x v="1"/>
    <x v="1"/>
  </r>
  <r>
    <n v="3372"/>
    <x v="1"/>
    <x v="0"/>
    <x v="0"/>
    <x v="22"/>
    <s v="Rural"/>
    <x v="1"/>
    <x v="1"/>
    <x v="1"/>
  </r>
  <r>
    <n v="3373"/>
    <x v="1"/>
    <x v="0"/>
    <x v="0"/>
    <x v="22"/>
    <s v="Rural"/>
    <x v="1"/>
    <x v="2"/>
    <x v="1"/>
  </r>
  <r>
    <n v="3374"/>
    <x v="1"/>
    <x v="0"/>
    <x v="0"/>
    <x v="22"/>
    <s v="Rural"/>
    <x v="1"/>
    <x v="2"/>
    <x v="1"/>
  </r>
  <r>
    <n v="3375"/>
    <x v="1"/>
    <x v="0"/>
    <x v="0"/>
    <x v="22"/>
    <s v="Rural"/>
    <x v="1"/>
    <x v="1"/>
    <x v="1"/>
  </r>
  <r>
    <n v="3376"/>
    <x v="1"/>
    <x v="0"/>
    <x v="0"/>
    <x v="22"/>
    <s v="Rural"/>
    <x v="1"/>
    <x v="2"/>
    <x v="1"/>
  </r>
  <r>
    <n v="3377"/>
    <x v="1"/>
    <x v="0"/>
    <x v="0"/>
    <x v="22"/>
    <s v="Rural"/>
    <x v="0"/>
    <x v="2"/>
    <x v="1"/>
  </r>
  <r>
    <n v="3378"/>
    <x v="1"/>
    <x v="0"/>
    <x v="1"/>
    <x v="55"/>
    <s v="Rural"/>
    <x v="0"/>
    <x v="2"/>
    <x v="1"/>
  </r>
  <r>
    <n v="3379"/>
    <x v="1"/>
    <x v="0"/>
    <x v="1"/>
    <x v="57"/>
    <s v="Rural"/>
    <x v="0"/>
    <x v="2"/>
    <x v="1"/>
  </r>
  <r>
    <n v="3380"/>
    <x v="1"/>
    <x v="0"/>
    <x v="1"/>
    <x v="56"/>
    <s v="Rural"/>
    <x v="0"/>
    <x v="2"/>
    <x v="1"/>
  </r>
  <r>
    <n v="3381"/>
    <x v="1"/>
    <x v="0"/>
    <x v="1"/>
    <x v="56"/>
    <s v="Rural"/>
    <x v="0"/>
    <x v="2"/>
    <x v="1"/>
  </r>
  <r>
    <n v="3382"/>
    <x v="1"/>
    <x v="0"/>
    <x v="1"/>
    <x v="56"/>
    <s v="Rural"/>
    <x v="0"/>
    <x v="2"/>
    <x v="1"/>
  </r>
  <r>
    <n v="3383"/>
    <x v="1"/>
    <x v="0"/>
    <x v="1"/>
    <x v="16"/>
    <s v="Rural"/>
    <x v="0"/>
    <x v="2"/>
    <x v="1"/>
  </r>
  <r>
    <n v="3384"/>
    <x v="1"/>
    <x v="0"/>
    <x v="1"/>
    <x v="16"/>
    <s v="Rural"/>
    <x v="1"/>
    <x v="1"/>
    <x v="1"/>
  </r>
  <r>
    <n v="3385"/>
    <x v="1"/>
    <x v="0"/>
    <x v="1"/>
    <x v="15"/>
    <s v="Rural"/>
    <x v="0"/>
    <x v="1"/>
    <x v="1"/>
  </r>
  <r>
    <n v="3386"/>
    <x v="1"/>
    <x v="0"/>
    <x v="1"/>
    <x v="15"/>
    <s v="Rural"/>
    <x v="0"/>
    <x v="1"/>
    <x v="1"/>
  </r>
  <r>
    <n v="3387"/>
    <x v="1"/>
    <x v="0"/>
    <x v="1"/>
    <x v="16"/>
    <s v="Rural"/>
    <x v="1"/>
    <x v="1"/>
    <x v="1"/>
  </r>
  <r>
    <n v="3388"/>
    <x v="1"/>
    <x v="0"/>
    <x v="1"/>
    <x v="15"/>
    <s v="Rural"/>
    <x v="1"/>
    <x v="2"/>
    <x v="1"/>
  </r>
  <r>
    <n v="3389"/>
    <x v="1"/>
    <x v="0"/>
    <x v="1"/>
    <x v="15"/>
    <s v="Rural"/>
    <x v="1"/>
    <x v="2"/>
    <x v="1"/>
  </r>
  <r>
    <n v="3390"/>
    <x v="1"/>
    <x v="0"/>
    <x v="1"/>
    <x v="22"/>
    <s v="Rural"/>
    <x v="0"/>
    <x v="1"/>
    <x v="1"/>
  </r>
  <r>
    <n v="3391"/>
    <x v="1"/>
    <x v="0"/>
    <x v="1"/>
    <x v="22"/>
    <s v="Rural"/>
    <x v="1"/>
    <x v="2"/>
    <x v="1"/>
  </r>
  <r>
    <n v="3392"/>
    <x v="1"/>
    <x v="0"/>
    <x v="1"/>
    <x v="22"/>
    <s v="Rural"/>
    <x v="1"/>
    <x v="2"/>
    <x v="1"/>
  </r>
  <r>
    <n v="3393"/>
    <x v="1"/>
    <x v="0"/>
    <x v="1"/>
    <x v="22"/>
    <s v="Rural"/>
    <x v="0"/>
    <x v="2"/>
    <x v="1"/>
  </r>
  <r>
    <n v="3394"/>
    <x v="1"/>
    <x v="0"/>
    <x v="1"/>
    <x v="22"/>
    <s v="Rural"/>
    <x v="0"/>
    <x v="2"/>
    <x v="1"/>
  </r>
  <r>
    <n v="3395"/>
    <x v="1"/>
    <x v="0"/>
    <x v="1"/>
    <x v="22"/>
    <s v="Rural"/>
    <x v="0"/>
    <x v="2"/>
    <x v="1"/>
  </r>
  <r>
    <n v="3396"/>
    <x v="1"/>
    <x v="0"/>
    <x v="1"/>
    <x v="22"/>
    <s v="Rural"/>
    <x v="1"/>
    <x v="2"/>
    <x v="1"/>
  </r>
  <r>
    <n v="3540"/>
    <x v="2"/>
    <x v="0"/>
    <x v="4"/>
    <x v="58"/>
    <s v="Rural"/>
    <x v="1"/>
    <x v="0"/>
    <x v="1"/>
  </r>
  <r>
    <n v="3541"/>
    <x v="2"/>
    <x v="0"/>
    <x v="4"/>
    <x v="58"/>
    <s v="Rural"/>
    <x v="1"/>
    <x v="0"/>
    <x v="1"/>
  </r>
  <r>
    <n v="3542"/>
    <x v="2"/>
    <x v="0"/>
    <x v="4"/>
    <x v="58"/>
    <s v="Rural"/>
    <x v="0"/>
    <x v="0"/>
    <x v="1"/>
  </r>
  <r>
    <n v="3543"/>
    <x v="2"/>
    <x v="0"/>
    <x v="4"/>
    <x v="58"/>
    <s v="Rural"/>
    <x v="1"/>
    <x v="0"/>
    <x v="1"/>
  </r>
  <r>
    <n v="3544"/>
    <x v="2"/>
    <x v="0"/>
    <x v="4"/>
    <x v="59"/>
    <s v="Rural"/>
    <x v="1"/>
    <x v="0"/>
    <x v="1"/>
  </r>
  <r>
    <n v="3545"/>
    <x v="2"/>
    <x v="0"/>
    <x v="4"/>
    <x v="59"/>
    <s v="Rural"/>
    <x v="1"/>
    <x v="1"/>
    <x v="1"/>
  </r>
  <r>
    <n v="3546"/>
    <x v="2"/>
    <x v="0"/>
    <x v="4"/>
    <x v="59"/>
    <s v="Rural"/>
    <x v="1"/>
    <x v="0"/>
    <x v="1"/>
  </r>
  <r>
    <n v="3547"/>
    <x v="2"/>
    <x v="0"/>
    <x v="4"/>
    <x v="59"/>
    <s v="Rural"/>
    <x v="0"/>
    <x v="0"/>
    <x v="1"/>
  </r>
  <r>
    <n v="3548"/>
    <x v="2"/>
    <x v="0"/>
    <x v="4"/>
    <x v="59"/>
    <s v="Rural"/>
    <x v="1"/>
    <x v="0"/>
    <x v="1"/>
  </r>
  <r>
    <n v="3549"/>
    <x v="2"/>
    <x v="0"/>
    <x v="4"/>
    <x v="25"/>
    <s v="Rural"/>
    <x v="1"/>
    <x v="0"/>
    <x v="1"/>
  </r>
  <r>
    <n v="3550"/>
    <x v="2"/>
    <x v="1"/>
    <x v="2"/>
    <x v="60"/>
    <s v="Rural"/>
    <x v="0"/>
    <x v="1"/>
    <x v="1"/>
  </r>
  <r>
    <n v="3551"/>
    <x v="2"/>
    <x v="1"/>
    <x v="2"/>
    <x v="60"/>
    <s v="Rural"/>
    <x v="1"/>
    <x v="2"/>
    <x v="1"/>
  </r>
  <r>
    <n v="3552"/>
    <x v="2"/>
    <x v="1"/>
    <x v="2"/>
    <x v="60"/>
    <s v="Rural"/>
    <x v="0"/>
    <x v="0"/>
    <x v="1"/>
  </r>
  <r>
    <n v="3553"/>
    <x v="2"/>
    <x v="1"/>
    <x v="2"/>
    <x v="60"/>
    <s v="Rural"/>
    <x v="0"/>
    <x v="0"/>
    <x v="1"/>
  </r>
  <r>
    <n v="3554"/>
    <x v="2"/>
    <x v="1"/>
    <x v="2"/>
    <x v="60"/>
    <s v="Rural"/>
    <x v="1"/>
    <x v="0"/>
    <x v="1"/>
  </r>
  <r>
    <n v="3555"/>
    <x v="2"/>
    <x v="1"/>
    <x v="2"/>
    <x v="60"/>
    <s v="Rural"/>
    <x v="1"/>
    <x v="2"/>
    <x v="1"/>
  </r>
  <r>
    <n v="3556"/>
    <x v="2"/>
    <x v="1"/>
    <x v="2"/>
    <x v="60"/>
    <s v="Rural"/>
    <x v="0"/>
    <x v="2"/>
    <x v="1"/>
  </r>
  <r>
    <n v="3557"/>
    <x v="2"/>
    <x v="1"/>
    <x v="2"/>
    <x v="60"/>
    <s v="Rural"/>
    <x v="0"/>
    <x v="0"/>
    <x v="1"/>
  </r>
  <r>
    <n v="3558"/>
    <x v="2"/>
    <x v="1"/>
    <x v="2"/>
    <x v="60"/>
    <s v="Rural"/>
    <x v="0"/>
    <x v="1"/>
    <x v="1"/>
  </r>
  <r>
    <n v="3559"/>
    <x v="2"/>
    <x v="1"/>
    <x v="2"/>
    <x v="60"/>
    <s v="Rural"/>
    <x v="0"/>
    <x v="0"/>
    <x v="1"/>
  </r>
  <r>
    <n v="3560"/>
    <x v="2"/>
    <x v="1"/>
    <x v="2"/>
    <x v="60"/>
    <s v="Rural"/>
    <x v="0"/>
    <x v="2"/>
    <x v="1"/>
  </r>
  <r>
    <n v="3561"/>
    <x v="2"/>
    <x v="1"/>
    <x v="2"/>
    <x v="60"/>
    <s v="Rural"/>
    <x v="0"/>
    <x v="0"/>
    <x v="1"/>
  </r>
  <r>
    <n v="3562"/>
    <x v="2"/>
    <x v="1"/>
    <x v="2"/>
    <x v="60"/>
    <s v="Rural"/>
    <x v="1"/>
    <x v="2"/>
    <x v="1"/>
  </r>
  <r>
    <n v="3563"/>
    <x v="2"/>
    <x v="1"/>
    <x v="2"/>
    <x v="60"/>
    <s v="Rural"/>
    <x v="1"/>
    <x v="0"/>
    <x v="1"/>
  </r>
  <r>
    <n v="3564"/>
    <x v="2"/>
    <x v="1"/>
    <x v="2"/>
    <x v="60"/>
    <s v="Rural"/>
    <x v="1"/>
    <x v="0"/>
    <x v="1"/>
  </r>
  <r>
    <n v="3565"/>
    <x v="2"/>
    <x v="1"/>
    <x v="2"/>
    <x v="60"/>
    <s v="Rural"/>
    <x v="1"/>
    <x v="2"/>
    <x v="1"/>
  </r>
  <r>
    <n v="3566"/>
    <x v="2"/>
    <x v="1"/>
    <x v="2"/>
    <x v="61"/>
    <s v="Rural"/>
    <x v="1"/>
    <x v="0"/>
    <x v="1"/>
  </r>
  <r>
    <n v="3567"/>
    <x v="2"/>
    <x v="1"/>
    <x v="2"/>
    <x v="62"/>
    <s v="Rural"/>
    <x v="0"/>
    <x v="1"/>
    <x v="1"/>
  </r>
  <r>
    <n v="3568"/>
    <x v="2"/>
    <x v="1"/>
    <x v="2"/>
    <x v="62"/>
    <s v="Rural"/>
    <x v="0"/>
    <x v="2"/>
    <x v="1"/>
  </r>
  <r>
    <n v="3569"/>
    <x v="2"/>
    <x v="1"/>
    <x v="2"/>
    <x v="62"/>
    <s v="Rural"/>
    <x v="0"/>
    <x v="0"/>
    <x v="1"/>
  </r>
  <r>
    <n v="3570"/>
    <x v="2"/>
    <x v="1"/>
    <x v="2"/>
    <x v="62"/>
    <s v="Rural"/>
    <x v="1"/>
    <x v="2"/>
    <x v="1"/>
  </r>
  <r>
    <n v="3571"/>
    <x v="2"/>
    <x v="1"/>
    <x v="2"/>
    <x v="62"/>
    <s v="Rural"/>
    <x v="1"/>
    <x v="2"/>
    <x v="1"/>
  </r>
  <r>
    <n v="3572"/>
    <x v="2"/>
    <x v="1"/>
    <x v="2"/>
    <x v="62"/>
    <s v="Rural"/>
    <x v="1"/>
    <x v="0"/>
    <x v="1"/>
  </r>
  <r>
    <n v="3573"/>
    <x v="2"/>
    <x v="1"/>
    <x v="2"/>
    <x v="62"/>
    <s v="Rural"/>
    <x v="1"/>
    <x v="1"/>
    <x v="1"/>
  </r>
  <r>
    <n v="3574"/>
    <x v="2"/>
    <x v="1"/>
    <x v="2"/>
    <x v="62"/>
    <s v="Rural"/>
    <x v="1"/>
    <x v="0"/>
    <x v="1"/>
  </r>
  <r>
    <n v="3575"/>
    <x v="2"/>
    <x v="1"/>
    <x v="2"/>
    <x v="62"/>
    <s v="Rural"/>
    <x v="1"/>
    <x v="0"/>
    <x v="1"/>
  </r>
  <r>
    <n v="3576"/>
    <x v="2"/>
    <x v="1"/>
    <x v="2"/>
    <x v="62"/>
    <s v="Rural"/>
    <x v="1"/>
    <x v="1"/>
    <x v="1"/>
  </r>
  <r>
    <n v="3577"/>
    <x v="2"/>
    <x v="1"/>
    <x v="2"/>
    <x v="62"/>
    <s v="Rural"/>
    <x v="0"/>
    <x v="2"/>
    <x v="1"/>
  </r>
  <r>
    <n v="3578"/>
    <x v="2"/>
    <x v="1"/>
    <x v="2"/>
    <x v="62"/>
    <s v="Rural"/>
    <x v="0"/>
    <x v="2"/>
    <x v="1"/>
  </r>
  <r>
    <n v="3579"/>
    <x v="2"/>
    <x v="1"/>
    <x v="2"/>
    <x v="62"/>
    <s v="Rural"/>
    <x v="0"/>
    <x v="1"/>
    <x v="1"/>
  </r>
  <r>
    <n v="3580"/>
    <x v="2"/>
    <x v="1"/>
    <x v="2"/>
    <x v="62"/>
    <s v="Rural"/>
    <x v="0"/>
    <x v="0"/>
    <x v="1"/>
  </r>
  <r>
    <n v="3581"/>
    <x v="2"/>
    <x v="1"/>
    <x v="2"/>
    <x v="62"/>
    <s v="Rural"/>
    <x v="1"/>
    <x v="0"/>
    <x v="1"/>
  </r>
  <r>
    <n v="3582"/>
    <x v="2"/>
    <x v="1"/>
    <x v="2"/>
    <x v="62"/>
    <s v="Rural"/>
    <x v="0"/>
    <x v="2"/>
    <x v="1"/>
  </r>
  <r>
    <n v="3583"/>
    <x v="2"/>
    <x v="0"/>
    <x v="0"/>
    <x v="25"/>
    <s v="Rural"/>
    <x v="1"/>
    <x v="0"/>
    <x v="1"/>
  </r>
  <r>
    <n v="3584"/>
    <x v="2"/>
    <x v="0"/>
    <x v="0"/>
    <x v="25"/>
    <s v="Rural"/>
    <x v="1"/>
    <x v="2"/>
    <x v="1"/>
  </r>
  <r>
    <n v="3585"/>
    <x v="2"/>
    <x v="1"/>
    <x v="3"/>
    <x v="60"/>
    <s v="Rural"/>
    <x v="1"/>
    <x v="0"/>
    <x v="1"/>
  </r>
  <r>
    <n v="3586"/>
    <x v="2"/>
    <x v="1"/>
    <x v="3"/>
    <x v="60"/>
    <s v="Rural"/>
    <x v="0"/>
    <x v="0"/>
    <x v="1"/>
  </r>
  <r>
    <n v="3587"/>
    <x v="2"/>
    <x v="1"/>
    <x v="3"/>
    <x v="60"/>
    <s v="Rural"/>
    <x v="0"/>
    <x v="0"/>
    <x v="1"/>
  </r>
  <r>
    <n v="3588"/>
    <x v="2"/>
    <x v="1"/>
    <x v="3"/>
    <x v="60"/>
    <s v="Rural"/>
    <x v="0"/>
    <x v="0"/>
    <x v="1"/>
  </r>
  <r>
    <n v="3589"/>
    <x v="2"/>
    <x v="1"/>
    <x v="3"/>
    <x v="60"/>
    <s v="Rural"/>
    <x v="0"/>
    <x v="1"/>
    <x v="1"/>
  </r>
  <r>
    <n v="3590"/>
    <x v="2"/>
    <x v="1"/>
    <x v="3"/>
    <x v="60"/>
    <s v="Rural"/>
    <x v="1"/>
    <x v="0"/>
    <x v="1"/>
  </r>
  <r>
    <n v="3591"/>
    <x v="2"/>
    <x v="1"/>
    <x v="3"/>
    <x v="60"/>
    <s v="Rural"/>
    <x v="0"/>
    <x v="0"/>
    <x v="1"/>
  </r>
  <r>
    <n v="3592"/>
    <x v="2"/>
    <x v="1"/>
    <x v="3"/>
    <x v="60"/>
    <s v="Rural"/>
    <x v="1"/>
    <x v="0"/>
    <x v="1"/>
  </r>
  <r>
    <n v="3593"/>
    <x v="2"/>
    <x v="1"/>
    <x v="3"/>
    <x v="60"/>
    <s v="Rural"/>
    <x v="0"/>
    <x v="0"/>
    <x v="1"/>
  </r>
  <r>
    <n v="3594"/>
    <x v="2"/>
    <x v="1"/>
    <x v="3"/>
    <x v="60"/>
    <s v="Rural"/>
    <x v="0"/>
    <x v="0"/>
    <x v="1"/>
  </r>
  <r>
    <n v="3595"/>
    <x v="2"/>
    <x v="1"/>
    <x v="3"/>
    <x v="60"/>
    <s v="Rural"/>
    <x v="1"/>
    <x v="0"/>
    <x v="1"/>
  </r>
  <r>
    <n v="3596"/>
    <x v="2"/>
    <x v="1"/>
    <x v="3"/>
    <x v="60"/>
    <s v="Rural"/>
    <x v="1"/>
    <x v="1"/>
    <x v="1"/>
  </r>
  <r>
    <n v="3597"/>
    <x v="2"/>
    <x v="1"/>
    <x v="3"/>
    <x v="60"/>
    <s v="Rural"/>
    <x v="0"/>
    <x v="2"/>
    <x v="1"/>
  </r>
  <r>
    <n v="3598"/>
    <x v="2"/>
    <x v="1"/>
    <x v="3"/>
    <x v="60"/>
    <s v="Rural"/>
    <x v="1"/>
    <x v="1"/>
    <x v="1"/>
  </r>
  <r>
    <n v="3599"/>
    <x v="2"/>
    <x v="1"/>
    <x v="3"/>
    <x v="60"/>
    <s v="Rural"/>
    <x v="0"/>
    <x v="0"/>
    <x v="1"/>
  </r>
  <r>
    <n v="3600"/>
    <x v="2"/>
    <x v="1"/>
    <x v="3"/>
    <x v="60"/>
    <s v="Rural"/>
    <x v="0"/>
    <x v="0"/>
    <x v="1"/>
  </r>
  <r>
    <n v="3601"/>
    <x v="2"/>
    <x v="1"/>
    <x v="3"/>
    <x v="60"/>
    <s v="Rural"/>
    <x v="0"/>
    <x v="0"/>
    <x v="1"/>
  </r>
  <r>
    <n v="3602"/>
    <x v="2"/>
    <x v="1"/>
    <x v="3"/>
    <x v="60"/>
    <s v="Rural"/>
    <x v="0"/>
    <x v="1"/>
    <x v="1"/>
  </r>
  <r>
    <n v="3603"/>
    <x v="2"/>
    <x v="1"/>
    <x v="3"/>
    <x v="60"/>
    <s v="Rural"/>
    <x v="1"/>
    <x v="0"/>
    <x v="1"/>
  </r>
  <r>
    <n v="3604"/>
    <x v="2"/>
    <x v="1"/>
    <x v="3"/>
    <x v="60"/>
    <s v="Rural"/>
    <x v="0"/>
    <x v="0"/>
    <x v="1"/>
  </r>
  <r>
    <n v="3605"/>
    <x v="2"/>
    <x v="1"/>
    <x v="3"/>
    <x v="60"/>
    <s v="Rural"/>
    <x v="1"/>
    <x v="1"/>
    <x v="1"/>
  </r>
  <r>
    <n v="3606"/>
    <x v="2"/>
    <x v="1"/>
    <x v="3"/>
    <x v="60"/>
    <s v="Rural"/>
    <x v="1"/>
    <x v="1"/>
    <x v="1"/>
  </r>
  <r>
    <n v="3607"/>
    <x v="2"/>
    <x v="1"/>
    <x v="3"/>
    <x v="61"/>
    <s v="Rural"/>
    <x v="0"/>
    <x v="1"/>
    <x v="1"/>
  </r>
  <r>
    <n v="3608"/>
    <x v="2"/>
    <x v="1"/>
    <x v="3"/>
    <x v="61"/>
    <s v="Rural"/>
    <x v="0"/>
    <x v="0"/>
    <x v="1"/>
  </r>
  <r>
    <n v="3609"/>
    <x v="2"/>
    <x v="1"/>
    <x v="3"/>
    <x v="61"/>
    <s v="Rural"/>
    <x v="1"/>
    <x v="1"/>
    <x v="1"/>
  </r>
  <r>
    <n v="3610"/>
    <x v="2"/>
    <x v="1"/>
    <x v="3"/>
    <x v="61"/>
    <s v="Rural"/>
    <x v="0"/>
    <x v="1"/>
    <x v="1"/>
  </r>
  <r>
    <n v="3611"/>
    <x v="2"/>
    <x v="1"/>
    <x v="3"/>
    <x v="61"/>
    <s v="Rural"/>
    <x v="0"/>
    <x v="0"/>
    <x v="1"/>
  </r>
  <r>
    <n v="3612"/>
    <x v="2"/>
    <x v="1"/>
    <x v="3"/>
    <x v="61"/>
    <s v="Rural"/>
    <x v="1"/>
    <x v="2"/>
    <x v="1"/>
  </r>
  <r>
    <n v="3613"/>
    <x v="2"/>
    <x v="1"/>
    <x v="3"/>
    <x v="61"/>
    <s v="Rural"/>
    <x v="0"/>
    <x v="0"/>
    <x v="1"/>
  </r>
  <r>
    <n v="3614"/>
    <x v="2"/>
    <x v="1"/>
    <x v="3"/>
    <x v="61"/>
    <s v="Rural"/>
    <x v="1"/>
    <x v="0"/>
    <x v="1"/>
  </r>
  <r>
    <n v="3615"/>
    <x v="2"/>
    <x v="1"/>
    <x v="3"/>
    <x v="61"/>
    <s v="Rural"/>
    <x v="1"/>
    <x v="1"/>
    <x v="1"/>
  </r>
  <r>
    <n v="3616"/>
    <x v="2"/>
    <x v="1"/>
    <x v="3"/>
    <x v="61"/>
    <s v="Rural"/>
    <x v="0"/>
    <x v="0"/>
    <x v="1"/>
  </r>
  <r>
    <n v="3617"/>
    <x v="2"/>
    <x v="1"/>
    <x v="3"/>
    <x v="61"/>
    <s v="Rural"/>
    <x v="1"/>
    <x v="0"/>
    <x v="1"/>
  </r>
  <r>
    <n v="3618"/>
    <x v="2"/>
    <x v="1"/>
    <x v="3"/>
    <x v="61"/>
    <s v="Rural"/>
    <x v="1"/>
    <x v="0"/>
    <x v="1"/>
  </r>
  <r>
    <n v="3619"/>
    <x v="2"/>
    <x v="1"/>
    <x v="3"/>
    <x v="61"/>
    <s v="Rural"/>
    <x v="1"/>
    <x v="0"/>
    <x v="1"/>
  </r>
  <r>
    <n v="3620"/>
    <x v="2"/>
    <x v="1"/>
    <x v="3"/>
    <x v="61"/>
    <s v="Rural"/>
    <x v="0"/>
    <x v="1"/>
    <x v="1"/>
  </r>
  <r>
    <n v="3621"/>
    <x v="2"/>
    <x v="1"/>
    <x v="3"/>
    <x v="62"/>
    <s v="Rural"/>
    <x v="1"/>
    <x v="0"/>
    <x v="1"/>
  </r>
  <r>
    <n v="3622"/>
    <x v="2"/>
    <x v="1"/>
    <x v="3"/>
    <x v="62"/>
    <s v="Rural"/>
    <x v="0"/>
    <x v="0"/>
    <x v="1"/>
  </r>
  <r>
    <n v="3623"/>
    <x v="2"/>
    <x v="1"/>
    <x v="3"/>
    <x v="62"/>
    <s v="Rural"/>
    <x v="0"/>
    <x v="1"/>
    <x v="1"/>
  </r>
  <r>
    <n v="3624"/>
    <x v="2"/>
    <x v="1"/>
    <x v="3"/>
    <x v="62"/>
    <s v="Rural"/>
    <x v="1"/>
    <x v="1"/>
    <x v="1"/>
  </r>
  <r>
    <n v="3625"/>
    <x v="2"/>
    <x v="1"/>
    <x v="3"/>
    <x v="62"/>
    <s v="Rural"/>
    <x v="1"/>
    <x v="1"/>
    <x v="1"/>
  </r>
  <r>
    <n v="3626"/>
    <x v="2"/>
    <x v="1"/>
    <x v="3"/>
    <x v="62"/>
    <s v="Rural"/>
    <x v="0"/>
    <x v="0"/>
    <x v="1"/>
  </r>
  <r>
    <n v="3627"/>
    <x v="2"/>
    <x v="1"/>
    <x v="3"/>
    <x v="62"/>
    <s v="Rural"/>
    <x v="1"/>
    <x v="1"/>
    <x v="1"/>
  </r>
  <r>
    <n v="3628"/>
    <x v="2"/>
    <x v="0"/>
    <x v="1"/>
    <x v="59"/>
    <s v="Rural"/>
    <x v="0"/>
    <x v="0"/>
    <x v="1"/>
  </r>
  <r>
    <n v="3629"/>
    <x v="2"/>
    <x v="0"/>
    <x v="1"/>
    <x v="59"/>
    <s v="Rural"/>
    <x v="1"/>
    <x v="1"/>
    <x v="1"/>
  </r>
  <r>
    <n v="3630"/>
    <x v="2"/>
    <x v="0"/>
    <x v="1"/>
    <x v="59"/>
    <s v="Rural"/>
    <x v="0"/>
    <x v="1"/>
    <x v="1"/>
  </r>
  <r>
    <n v="3631"/>
    <x v="2"/>
    <x v="0"/>
    <x v="1"/>
    <x v="59"/>
    <s v="Rural"/>
    <x v="0"/>
    <x v="1"/>
    <x v="1"/>
  </r>
  <r>
    <n v="3632"/>
    <x v="2"/>
    <x v="0"/>
    <x v="1"/>
    <x v="59"/>
    <s v="Rural"/>
    <x v="0"/>
    <x v="1"/>
    <x v="1"/>
  </r>
  <r>
    <n v="3633"/>
    <x v="2"/>
    <x v="0"/>
    <x v="1"/>
    <x v="59"/>
    <s v="Rural"/>
    <x v="0"/>
    <x v="1"/>
    <x v="1"/>
  </r>
  <r>
    <n v="3634"/>
    <x v="2"/>
    <x v="0"/>
    <x v="1"/>
    <x v="59"/>
    <s v="Rural"/>
    <x v="0"/>
    <x v="1"/>
    <x v="1"/>
  </r>
  <r>
    <n v="3635"/>
    <x v="2"/>
    <x v="0"/>
    <x v="1"/>
    <x v="59"/>
    <s v="Rural"/>
    <x v="0"/>
    <x v="1"/>
    <x v="1"/>
  </r>
  <r>
    <n v="3636"/>
    <x v="2"/>
    <x v="0"/>
    <x v="1"/>
    <x v="59"/>
    <s v="Rural"/>
    <x v="0"/>
    <x v="1"/>
    <x v="1"/>
  </r>
  <r>
    <n v="3637"/>
    <x v="2"/>
    <x v="0"/>
    <x v="1"/>
    <x v="25"/>
    <s v="Rural"/>
    <x v="0"/>
    <x v="1"/>
    <x v="1"/>
  </r>
  <r>
    <n v="3638"/>
    <x v="2"/>
    <x v="0"/>
    <x v="1"/>
    <x v="25"/>
    <s v="Rural"/>
    <x v="1"/>
    <x v="1"/>
    <x v="1"/>
  </r>
  <r>
    <n v="3639"/>
    <x v="2"/>
    <x v="0"/>
    <x v="1"/>
    <x v="25"/>
    <s v="Rural"/>
    <x v="0"/>
    <x v="1"/>
    <x v="1"/>
  </r>
  <r>
    <n v="3640"/>
    <x v="2"/>
    <x v="0"/>
    <x v="1"/>
    <x v="25"/>
    <s v="Rural"/>
    <x v="1"/>
    <x v="1"/>
    <x v="1"/>
  </r>
  <r>
    <n v="3641"/>
    <x v="2"/>
    <x v="0"/>
    <x v="1"/>
    <x v="25"/>
    <s v="Rural"/>
    <x v="0"/>
    <x v="1"/>
    <x v="1"/>
  </r>
  <r>
    <n v="3642"/>
    <x v="2"/>
    <x v="0"/>
    <x v="1"/>
    <x v="58"/>
    <s v="Rural"/>
    <x v="1"/>
    <x v="2"/>
    <x v="1"/>
  </r>
  <r>
    <n v="3643"/>
    <x v="2"/>
    <x v="0"/>
    <x v="1"/>
    <x v="58"/>
    <s v="Rural"/>
    <x v="1"/>
    <x v="1"/>
    <x v="1"/>
  </r>
  <r>
    <n v="3644"/>
    <x v="2"/>
    <x v="0"/>
    <x v="1"/>
    <x v="58"/>
    <s v="Rural"/>
    <x v="1"/>
    <x v="2"/>
    <x v="1"/>
  </r>
  <r>
    <n v="1"/>
    <x v="2"/>
    <x v="1"/>
    <x v="2"/>
    <x v="23"/>
    <s v="Rural"/>
    <x v="1"/>
    <x v="0"/>
    <x v="2"/>
  </r>
  <r>
    <n v="2"/>
    <x v="2"/>
    <x v="1"/>
    <x v="2"/>
    <x v="23"/>
    <s v="Rural"/>
    <x v="0"/>
    <x v="1"/>
    <x v="2"/>
  </r>
  <r>
    <n v="3"/>
    <x v="2"/>
    <x v="1"/>
    <x v="2"/>
    <x v="23"/>
    <s v="Rural"/>
    <x v="0"/>
    <x v="0"/>
    <x v="2"/>
  </r>
  <r>
    <n v="4"/>
    <x v="2"/>
    <x v="1"/>
    <x v="2"/>
    <x v="23"/>
    <s v="Rural"/>
    <x v="1"/>
    <x v="0"/>
    <x v="2"/>
  </r>
  <r>
    <n v="5"/>
    <x v="2"/>
    <x v="1"/>
    <x v="2"/>
    <x v="23"/>
    <s v="Rural"/>
    <x v="0"/>
    <x v="0"/>
    <x v="2"/>
  </r>
  <r>
    <n v="6"/>
    <x v="2"/>
    <x v="1"/>
    <x v="2"/>
    <x v="23"/>
    <s v="Rural"/>
    <x v="0"/>
    <x v="1"/>
    <x v="2"/>
  </r>
  <r>
    <n v="7"/>
    <x v="2"/>
    <x v="1"/>
    <x v="2"/>
    <x v="23"/>
    <s v="Rural"/>
    <x v="0"/>
    <x v="0"/>
    <x v="2"/>
  </r>
  <r>
    <n v="8"/>
    <x v="2"/>
    <x v="1"/>
    <x v="2"/>
    <x v="23"/>
    <s v="Rural"/>
    <x v="1"/>
    <x v="0"/>
    <x v="2"/>
  </r>
  <r>
    <n v="9"/>
    <x v="2"/>
    <x v="1"/>
    <x v="2"/>
    <x v="23"/>
    <s v="Rural"/>
    <x v="1"/>
    <x v="0"/>
    <x v="2"/>
  </r>
  <r>
    <n v="10"/>
    <x v="2"/>
    <x v="1"/>
    <x v="2"/>
    <x v="23"/>
    <s v="Rural"/>
    <x v="0"/>
    <x v="2"/>
    <x v="2"/>
  </r>
  <r>
    <n v="11"/>
    <x v="2"/>
    <x v="1"/>
    <x v="2"/>
    <x v="23"/>
    <s v="Rural"/>
    <x v="1"/>
    <x v="0"/>
    <x v="2"/>
  </r>
  <r>
    <n v="12"/>
    <x v="2"/>
    <x v="1"/>
    <x v="2"/>
    <x v="23"/>
    <s v="Rural"/>
    <x v="0"/>
    <x v="0"/>
    <x v="2"/>
  </r>
  <r>
    <n v="13"/>
    <x v="2"/>
    <x v="1"/>
    <x v="2"/>
    <x v="23"/>
    <s v="Rural"/>
    <x v="1"/>
    <x v="0"/>
    <x v="2"/>
  </r>
  <r>
    <n v="14"/>
    <x v="2"/>
    <x v="1"/>
    <x v="2"/>
    <x v="23"/>
    <s v="Rural"/>
    <x v="1"/>
    <x v="0"/>
    <x v="2"/>
  </r>
  <r>
    <n v="15"/>
    <x v="2"/>
    <x v="1"/>
    <x v="2"/>
    <x v="23"/>
    <s v="Rural"/>
    <x v="1"/>
    <x v="0"/>
    <x v="2"/>
  </r>
  <r>
    <n v="16"/>
    <x v="2"/>
    <x v="1"/>
    <x v="2"/>
    <x v="23"/>
    <s v="Rural"/>
    <x v="0"/>
    <x v="0"/>
    <x v="2"/>
  </r>
  <r>
    <n v="17"/>
    <x v="2"/>
    <x v="1"/>
    <x v="2"/>
    <x v="23"/>
    <s v="Rural"/>
    <x v="0"/>
    <x v="0"/>
    <x v="2"/>
  </r>
  <r>
    <n v="18"/>
    <x v="2"/>
    <x v="1"/>
    <x v="2"/>
    <x v="23"/>
    <s v="Rural"/>
    <x v="1"/>
    <x v="0"/>
    <x v="2"/>
  </r>
  <r>
    <n v="19"/>
    <x v="2"/>
    <x v="1"/>
    <x v="2"/>
    <x v="23"/>
    <s v="Rural"/>
    <x v="0"/>
    <x v="0"/>
    <x v="2"/>
  </r>
  <r>
    <n v="20"/>
    <x v="2"/>
    <x v="1"/>
    <x v="2"/>
    <x v="23"/>
    <s v="Rural"/>
    <x v="0"/>
    <x v="0"/>
    <x v="2"/>
  </r>
  <r>
    <n v="21"/>
    <x v="2"/>
    <x v="1"/>
    <x v="2"/>
    <x v="23"/>
    <s v="Rural"/>
    <x v="1"/>
    <x v="0"/>
    <x v="2"/>
  </r>
  <r>
    <n v="22"/>
    <x v="2"/>
    <x v="1"/>
    <x v="2"/>
    <x v="23"/>
    <s v="Rural"/>
    <x v="0"/>
    <x v="0"/>
    <x v="2"/>
  </r>
  <r>
    <n v="23"/>
    <x v="2"/>
    <x v="1"/>
    <x v="2"/>
    <x v="23"/>
    <s v="Rural"/>
    <x v="0"/>
    <x v="0"/>
    <x v="2"/>
  </r>
  <r>
    <n v="24"/>
    <x v="2"/>
    <x v="1"/>
    <x v="2"/>
    <x v="23"/>
    <s v="Rural"/>
    <x v="0"/>
    <x v="0"/>
    <x v="2"/>
  </r>
  <r>
    <n v="25"/>
    <x v="2"/>
    <x v="1"/>
    <x v="2"/>
    <x v="23"/>
    <s v="Rural"/>
    <x v="1"/>
    <x v="0"/>
    <x v="2"/>
  </r>
  <r>
    <n v="26"/>
    <x v="2"/>
    <x v="1"/>
    <x v="2"/>
    <x v="23"/>
    <s v="Rural"/>
    <x v="0"/>
    <x v="0"/>
    <x v="2"/>
  </r>
  <r>
    <n v="27"/>
    <x v="2"/>
    <x v="1"/>
    <x v="2"/>
    <x v="23"/>
    <s v="Rural"/>
    <x v="0"/>
    <x v="0"/>
    <x v="2"/>
  </r>
  <r>
    <n v="28"/>
    <x v="2"/>
    <x v="1"/>
    <x v="2"/>
    <x v="23"/>
    <s v="Rural"/>
    <x v="1"/>
    <x v="0"/>
    <x v="2"/>
  </r>
  <r>
    <n v="29"/>
    <x v="2"/>
    <x v="1"/>
    <x v="2"/>
    <x v="23"/>
    <s v="Rural"/>
    <x v="0"/>
    <x v="0"/>
    <x v="2"/>
  </r>
  <r>
    <n v="30"/>
    <x v="2"/>
    <x v="1"/>
    <x v="2"/>
    <x v="23"/>
    <s v="Rural"/>
    <x v="1"/>
    <x v="0"/>
    <x v="2"/>
  </r>
  <r>
    <n v="31"/>
    <x v="2"/>
    <x v="1"/>
    <x v="2"/>
    <x v="23"/>
    <s v="Rural"/>
    <x v="1"/>
    <x v="0"/>
    <x v="2"/>
  </r>
  <r>
    <n v="32"/>
    <x v="2"/>
    <x v="1"/>
    <x v="2"/>
    <x v="23"/>
    <s v="Rural"/>
    <x v="1"/>
    <x v="0"/>
    <x v="2"/>
  </r>
  <r>
    <n v="33"/>
    <x v="2"/>
    <x v="1"/>
    <x v="2"/>
    <x v="23"/>
    <s v="Rural"/>
    <x v="1"/>
    <x v="0"/>
    <x v="2"/>
  </r>
  <r>
    <n v="34"/>
    <x v="2"/>
    <x v="1"/>
    <x v="2"/>
    <x v="23"/>
    <s v="Rural"/>
    <x v="1"/>
    <x v="0"/>
    <x v="2"/>
  </r>
  <r>
    <n v="35"/>
    <x v="2"/>
    <x v="1"/>
    <x v="2"/>
    <x v="23"/>
    <s v="Rural"/>
    <x v="0"/>
    <x v="1"/>
    <x v="2"/>
  </r>
  <r>
    <n v="36"/>
    <x v="2"/>
    <x v="1"/>
    <x v="2"/>
    <x v="23"/>
    <s v="Rural"/>
    <x v="1"/>
    <x v="0"/>
    <x v="2"/>
  </r>
  <r>
    <n v="37"/>
    <x v="2"/>
    <x v="1"/>
    <x v="2"/>
    <x v="23"/>
    <s v="Rural"/>
    <x v="0"/>
    <x v="0"/>
    <x v="2"/>
  </r>
  <r>
    <n v="38"/>
    <x v="2"/>
    <x v="1"/>
    <x v="2"/>
    <x v="23"/>
    <s v="Rural"/>
    <x v="1"/>
    <x v="0"/>
    <x v="2"/>
  </r>
  <r>
    <n v="39"/>
    <x v="2"/>
    <x v="1"/>
    <x v="2"/>
    <x v="23"/>
    <s v="Rural"/>
    <x v="1"/>
    <x v="0"/>
    <x v="2"/>
  </r>
  <r>
    <n v="40"/>
    <x v="2"/>
    <x v="1"/>
    <x v="2"/>
    <x v="23"/>
    <s v="Rural"/>
    <x v="0"/>
    <x v="0"/>
    <x v="2"/>
  </r>
  <r>
    <n v="41"/>
    <x v="2"/>
    <x v="1"/>
    <x v="3"/>
    <x v="23"/>
    <s v="Rural"/>
    <x v="0"/>
    <x v="0"/>
    <x v="2"/>
  </r>
  <r>
    <n v="42"/>
    <x v="2"/>
    <x v="1"/>
    <x v="3"/>
    <x v="23"/>
    <s v="Rural"/>
    <x v="1"/>
    <x v="0"/>
    <x v="2"/>
  </r>
  <r>
    <n v="43"/>
    <x v="2"/>
    <x v="1"/>
    <x v="3"/>
    <x v="23"/>
    <s v="Rural"/>
    <x v="0"/>
    <x v="1"/>
    <x v="2"/>
  </r>
  <r>
    <n v="44"/>
    <x v="2"/>
    <x v="1"/>
    <x v="3"/>
    <x v="23"/>
    <s v="Rural"/>
    <x v="1"/>
    <x v="1"/>
    <x v="2"/>
  </r>
  <r>
    <n v="45"/>
    <x v="2"/>
    <x v="1"/>
    <x v="3"/>
    <x v="23"/>
    <s v="Rural"/>
    <x v="0"/>
    <x v="0"/>
    <x v="2"/>
  </r>
  <r>
    <n v="46"/>
    <x v="2"/>
    <x v="1"/>
    <x v="3"/>
    <x v="23"/>
    <s v="Rural"/>
    <x v="0"/>
    <x v="1"/>
    <x v="2"/>
  </r>
  <r>
    <n v="47"/>
    <x v="2"/>
    <x v="1"/>
    <x v="3"/>
    <x v="23"/>
    <s v="Rural"/>
    <x v="1"/>
    <x v="0"/>
    <x v="2"/>
  </r>
  <r>
    <n v="48"/>
    <x v="2"/>
    <x v="1"/>
    <x v="3"/>
    <x v="23"/>
    <s v="Rural"/>
    <x v="1"/>
    <x v="0"/>
    <x v="2"/>
  </r>
  <r>
    <n v="49"/>
    <x v="2"/>
    <x v="1"/>
    <x v="3"/>
    <x v="23"/>
    <s v="Rural"/>
    <x v="0"/>
    <x v="0"/>
    <x v="2"/>
  </r>
  <r>
    <n v="50"/>
    <x v="2"/>
    <x v="1"/>
    <x v="3"/>
    <x v="23"/>
    <s v="Rural"/>
    <x v="1"/>
    <x v="0"/>
    <x v="2"/>
  </r>
  <r>
    <n v="51"/>
    <x v="2"/>
    <x v="1"/>
    <x v="3"/>
    <x v="23"/>
    <s v="Rural"/>
    <x v="0"/>
    <x v="0"/>
    <x v="2"/>
  </r>
  <r>
    <n v="52"/>
    <x v="2"/>
    <x v="1"/>
    <x v="3"/>
    <x v="23"/>
    <s v="Rural"/>
    <x v="1"/>
    <x v="0"/>
    <x v="2"/>
  </r>
  <r>
    <n v="53"/>
    <x v="2"/>
    <x v="1"/>
    <x v="3"/>
    <x v="23"/>
    <s v="Rural"/>
    <x v="1"/>
    <x v="0"/>
    <x v="2"/>
  </r>
  <r>
    <n v="54"/>
    <x v="2"/>
    <x v="1"/>
    <x v="3"/>
    <x v="23"/>
    <s v="Rural"/>
    <x v="0"/>
    <x v="0"/>
    <x v="2"/>
  </r>
  <r>
    <n v="55"/>
    <x v="2"/>
    <x v="1"/>
    <x v="3"/>
    <x v="23"/>
    <s v="Rural"/>
    <x v="0"/>
    <x v="0"/>
    <x v="2"/>
  </r>
  <r>
    <n v="56"/>
    <x v="2"/>
    <x v="1"/>
    <x v="3"/>
    <x v="23"/>
    <s v="Rural"/>
    <x v="0"/>
    <x v="0"/>
    <x v="2"/>
  </r>
  <r>
    <n v="57"/>
    <x v="2"/>
    <x v="1"/>
    <x v="3"/>
    <x v="23"/>
    <s v="Rural"/>
    <x v="1"/>
    <x v="0"/>
    <x v="2"/>
  </r>
  <r>
    <n v="58"/>
    <x v="2"/>
    <x v="1"/>
    <x v="3"/>
    <x v="23"/>
    <s v="Rural"/>
    <x v="1"/>
    <x v="0"/>
    <x v="2"/>
  </r>
  <r>
    <n v="59"/>
    <x v="2"/>
    <x v="1"/>
    <x v="3"/>
    <x v="23"/>
    <s v="Rural"/>
    <x v="0"/>
    <x v="0"/>
    <x v="2"/>
  </r>
  <r>
    <n v="60"/>
    <x v="2"/>
    <x v="1"/>
    <x v="3"/>
    <x v="23"/>
    <s v="Rural"/>
    <x v="0"/>
    <x v="0"/>
    <x v="2"/>
  </r>
  <r>
    <n v="61"/>
    <x v="2"/>
    <x v="1"/>
    <x v="3"/>
    <x v="23"/>
    <s v="Rural"/>
    <x v="0"/>
    <x v="0"/>
    <x v="2"/>
  </r>
  <r>
    <n v="62"/>
    <x v="2"/>
    <x v="1"/>
    <x v="3"/>
    <x v="23"/>
    <s v="Rural"/>
    <x v="1"/>
    <x v="0"/>
    <x v="2"/>
  </r>
  <r>
    <n v="63"/>
    <x v="2"/>
    <x v="1"/>
    <x v="3"/>
    <x v="23"/>
    <s v="Rural"/>
    <x v="1"/>
    <x v="0"/>
    <x v="2"/>
  </r>
  <r>
    <n v="64"/>
    <x v="2"/>
    <x v="1"/>
    <x v="3"/>
    <x v="23"/>
    <s v="Rural"/>
    <x v="1"/>
    <x v="0"/>
    <x v="2"/>
  </r>
  <r>
    <n v="65"/>
    <x v="2"/>
    <x v="1"/>
    <x v="3"/>
    <x v="23"/>
    <s v="Rural"/>
    <x v="0"/>
    <x v="0"/>
    <x v="2"/>
  </r>
  <r>
    <n v="66"/>
    <x v="2"/>
    <x v="1"/>
    <x v="3"/>
    <x v="23"/>
    <s v="Rural"/>
    <x v="0"/>
    <x v="0"/>
    <x v="2"/>
  </r>
  <r>
    <n v="67"/>
    <x v="2"/>
    <x v="1"/>
    <x v="3"/>
    <x v="23"/>
    <s v="Rural"/>
    <x v="1"/>
    <x v="0"/>
    <x v="2"/>
  </r>
  <r>
    <n v="68"/>
    <x v="2"/>
    <x v="1"/>
    <x v="3"/>
    <x v="23"/>
    <s v="Rural"/>
    <x v="0"/>
    <x v="0"/>
    <x v="2"/>
  </r>
  <r>
    <n v="69"/>
    <x v="2"/>
    <x v="1"/>
    <x v="3"/>
    <x v="23"/>
    <s v="Rural"/>
    <x v="0"/>
    <x v="0"/>
    <x v="2"/>
  </r>
  <r>
    <n v="70"/>
    <x v="2"/>
    <x v="1"/>
    <x v="3"/>
    <x v="23"/>
    <s v="Rural"/>
    <x v="1"/>
    <x v="0"/>
    <x v="2"/>
  </r>
  <r>
    <n v="71"/>
    <x v="2"/>
    <x v="1"/>
    <x v="3"/>
    <x v="23"/>
    <s v="Rural"/>
    <x v="1"/>
    <x v="0"/>
    <x v="2"/>
  </r>
  <r>
    <n v="72"/>
    <x v="2"/>
    <x v="1"/>
    <x v="3"/>
    <x v="23"/>
    <s v="Rural"/>
    <x v="1"/>
    <x v="0"/>
    <x v="2"/>
  </r>
  <r>
    <n v="73"/>
    <x v="2"/>
    <x v="1"/>
    <x v="3"/>
    <x v="23"/>
    <s v="Rural"/>
    <x v="0"/>
    <x v="0"/>
    <x v="2"/>
  </r>
  <r>
    <n v="74"/>
    <x v="2"/>
    <x v="1"/>
    <x v="3"/>
    <x v="23"/>
    <s v="Rural"/>
    <x v="0"/>
    <x v="0"/>
    <x v="2"/>
  </r>
  <r>
    <n v="75"/>
    <x v="2"/>
    <x v="1"/>
    <x v="3"/>
    <x v="23"/>
    <s v="Rural"/>
    <x v="1"/>
    <x v="0"/>
    <x v="2"/>
  </r>
  <r>
    <n v="76"/>
    <x v="2"/>
    <x v="1"/>
    <x v="3"/>
    <x v="23"/>
    <s v="Rural"/>
    <x v="0"/>
    <x v="0"/>
    <x v="2"/>
  </r>
  <r>
    <n v="77"/>
    <x v="2"/>
    <x v="1"/>
    <x v="3"/>
    <x v="23"/>
    <s v="Rural"/>
    <x v="0"/>
    <x v="0"/>
    <x v="2"/>
  </r>
  <r>
    <n v="78"/>
    <x v="2"/>
    <x v="1"/>
    <x v="3"/>
    <x v="23"/>
    <s v="Rural"/>
    <x v="1"/>
    <x v="0"/>
    <x v="2"/>
  </r>
  <r>
    <n v="79"/>
    <x v="2"/>
    <x v="1"/>
    <x v="3"/>
    <x v="23"/>
    <s v="Rural"/>
    <x v="0"/>
    <x v="1"/>
    <x v="2"/>
  </r>
  <r>
    <n v="80"/>
    <x v="1"/>
    <x v="0"/>
    <x v="4"/>
    <x v="63"/>
    <s v="Rural"/>
    <x v="1"/>
    <x v="0"/>
    <x v="2"/>
  </r>
  <r>
    <n v="81"/>
    <x v="1"/>
    <x v="0"/>
    <x v="4"/>
    <x v="63"/>
    <s v="Rural"/>
    <x v="0"/>
    <x v="0"/>
    <x v="2"/>
  </r>
  <r>
    <n v="82"/>
    <x v="1"/>
    <x v="0"/>
    <x v="4"/>
    <x v="55"/>
    <s v="Rural"/>
    <x v="1"/>
    <x v="0"/>
    <x v="2"/>
  </r>
  <r>
    <n v="83"/>
    <x v="1"/>
    <x v="0"/>
    <x v="4"/>
    <x v="55"/>
    <s v="Rural"/>
    <x v="1"/>
    <x v="0"/>
    <x v="2"/>
  </r>
  <r>
    <n v="84"/>
    <x v="1"/>
    <x v="0"/>
    <x v="1"/>
    <x v="55"/>
    <s v="Rural"/>
    <x v="0"/>
    <x v="0"/>
    <x v="2"/>
  </r>
  <r>
    <n v="85"/>
    <x v="1"/>
    <x v="0"/>
    <x v="1"/>
    <x v="55"/>
    <s v="Rural"/>
    <x v="1"/>
    <x v="0"/>
    <x v="2"/>
  </r>
  <r>
    <n v="86"/>
    <x v="1"/>
    <x v="0"/>
    <x v="1"/>
    <x v="55"/>
    <s v="Rural"/>
    <x v="0"/>
    <x v="0"/>
    <x v="2"/>
  </r>
  <r>
    <n v="87"/>
    <x v="1"/>
    <x v="0"/>
    <x v="1"/>
    <x v="55"/>
    <s v="Rural"/>
    <x v="0"/>
    <x v="1"/>
    <x v="2"/>
  </r>
  <r>
    <n v="88"/>
    <x v="1"/>
    <x v="0"/>
    <x v="0"/>
    <x v="64"/>
    <s v="Rural"/>
    <x v="1"/>
    <x v="1"/>
    <x v="2"/>
  </r>
  <r>
    <n v="89"/>
    <x v="1"/>
    <x v="0"/>
    <x v="0"/>
    <x v="64"/>
    <s v="Rural"/>
    <x v="0"/>
    <x v="0"/>
    <x v="2"/>
  </r>
  <r>
    <n v="90"/>
    <x v="1"/>
    <x v="0"/>
    <x v="1"/>
    <x v="64"/>
    <s v="Rural"/>
    <x v="0"/>
    <x v="0"/>
    <x v="2"/>
  </r>
  <r>
    <n v="91"/>
    <x v="1"/>
    <x v="0"/>
    <x v="1"/>
    <x v="64"/>
    <s v="Rural"/>
    <x v="1"/>
    <x v="0"/>
    <x v="2"/>
  </r>
  <r>
    <n v="92"/>
    <x v="1"/>
    <x v="0"/>
    <x v="1"/>
    <x v="64"/>
    <s v="Rural"/>
    <x v="1"/>
    <x v="1"/>
    <x v="2"/>
  </r>
  <r>
    <n v="93"/>
    <x v="1"/>
    <x v="0"/>
    <x v="1"/>
    <x v="64"/>
    <s v="Rural"/>
    <x v="0"/>
    <x v="1"/>
    <x v="2"/>
  </r>
  <r>
    <n v="94"/>
    <x v="1"/>
    <x v="0"/>
    <x v="0"/>
    <x v="21"/>
    <s v="Rural"/>
    <x v="0"/>
    <x v="1"/>
    <x v="2"/>
  </r>
  <r>
    <n v="95"/>
    <x v="1"/>
    <x v="0"/>
    <x v="0"/>
    <x v="21"/>
    <s v="Rural"/>
    <x v="1"/>
    <x v="1"/>
    <x v="2"/>
  </r>
  <r>
    <n v="96"/>
    <x v="1"/>
    <x v="0"/>
    <x v="0"/>
    <x v="21"/>
    <s v="Rural"/>
    <x v="1"/>
    <x v="1"/>
    <x v="2"/>
  </r>
  <r>
    <n v="97"/>
    <x v="1"/>
    <x v="0"/>
    <x v="0"/>
    <x v="21"/>
    <s v="Rural"/>
    <x v="0"/>
    <x v="0"/>
    <x v="2"/>
  </r>
  <r>
    <n v="98"/>
    <x v="1"/>
    <x v="0"/>
    <x v="0"/>
    <x v="21"/>
    <s v="Rural"/>
    <x v="0"/>
    <x v="0"/>
    <x v="2"/>
  </r>
  <r>
    <n v="99"/>
    <x v="1"/>
    <x v="0"/>
    <x v="0"/>
    <x v="21"/>
    <s v="Rural"/>
    <x v="1"/>
    <x v="1"/>
    <x v="2"/>
  </r>
  <r>
    <n v="100"/>
    <x v="1"/>
    <x v="0"/>
    <x v="0"/>
    <x v="21"/>
    <s v="Rural"/>
    <x v="1"/>
    <x v="1"/>
    <x v="2"/>
  </r>
  <r>
    <n v="101"/>
    <x v="1"/>
    <x v="0"/>
    <x v="0"/>
    <x v="21"/>
    <s v="Rural"/>
    <x v="1"/>
    <x v="1"/>
    <x v="2"/>
  </r>
  <r>
    <n v="102"/>
    <x v="1"/>
    <x v="0"/>
    <x v="0"/>
    <x v="21"/>
    <s v="Rural"/>
    <x v="1"/>
    <x v="0"/>
    <x v="2"/>
  </r>
  <r>
    <n v="103"/>
    <x v="1"/>
    <x v="0"/>
    <x v="0"/>
    <x v="21"/>
    <s v="Rural"/>
    <x v="0"/>
    <x v="1"/>
    <x v="2"/>
  </r>
  <r>
    <n v="104"/>
    <x v="1"/>
    <x v="0"/>
    <x v="0"/>
    <x v="21"/>
    <s v="Rural"/>
    <x v="1"/>
    <x v="1"/>
    <x v="2"/>
  </r>
  <r>
    <n v="105"/>
    <x v="1"/>
    <x v="0"/>
    <x v="0"/>
    <x v="21"/>
    <s v="Rural"/>
    <x v="1"/>
    <x v="1"/>
    <x v="2"/>
  </r>
  <r>
    <n v="106"/>
    <x v="1"/>
    <x v="0"/>
    <x v="0"/>
    <x v="21"/>
    <s v="Rural"/>
    <x v="0"/>
    <x v="0"/>
    <x v="2"/>
  </r>
  <r>
    <n v="107"/>
    <x v="1"/>
    <x v="0"/>
    <x v="0"/>
    <x v="21"/>
    <s v="Rural"/>
    <x v="1"/>
    <x v="1"/>
    <x v="2"/>
  </r>
  <r>
    <n v="108"/>
    <x v="1"/>
    <x v="0"/>
    <x v="0"/>
    <x v="21"/>
    <s v="Rural"/>
    <x v="0"/>
    <x v="0"/>
    <x v="2"/>
  </r>
  <r>
    <n v="109"/>
    <x v="1"/>
    <x v="0"/>
    <x v="0"/>
    <x v="21"/>
    <s v="Rural"/>
    <x v="1"/>
    <x v="0"/>
    <x v="2"/>
  </r>
  <r>
    <n v="110"/>
    <x v="1"/>
    <x v="0"/>
    <x v="0"/>
    <x v="21"/>
    <s v="Rural"/>
    <x v="0"/>
    <x v="1"/>
    <x v="2"/>
  </r>
  <r>
    <n v="111"/>
    <x v="1"/>
    <x v="0"/>
    <x v="4"/>
    <x v="65"/>
    <s v="Rural"/>
    <x v="1"/>
    <x v="0"/>
    <x v="2"/>
  </r>
  <r>
    <n v="112"/>
    <x v="1"/>
    <x v="0"/>
    <x v="0"/>
    <x v="65"/>
    <s v="Rural"/>
    <x v="0"/>
    <x v="1"/>
    <x v="2"/>
  </r>
  <r>
    <n v="113"/>
    <x v="1"/>
    <x v="0"/>
    <x v="1"/>
    <x v="65"/>
    <s v="Rural"/>
    <x v="1"/>
    <x v="1"/>
    <x v="2"/>
  </r>
  <r>
    <n v="114"/>
    <x v="1"/>
    <x v="0"/>
    <x v="1"/>
    <x v="65"/>
    <s v="Rural"/>
    <x v="1"/>
    <x v="1"/>
    <x v="2"/>
  </r>
  <r>
    <n v="115"/>
    <x v="1"/>
    <x v="0"/>
    <x v="1"/>
    <x v="65"/>
    <s v="Rural"/>
    <x v="0"/>
    <x v="1"/>
    <x v="2"/>
  </r>
  <r>
    <n v="116"/>
    <x v="1"/>
    <x v="0"/>
    <x v="4"/>
    <x v="22"/>
    <s v="Rural"/>
    <x v="1"/>
    <x v="0"/>
    <x v="2"/>
  </r>
  <r>
    <n v="117"/>
    <x v="1"/>
    <x v="0"/>
    <x v="4"/>
    <x v="22"/>
    <s v="Rural"/>
    <x v="1"/>
    <x v="1"/>
    <x v="2"/>
  </r>
  <r>
    <n v="118"/>
    <x v="1"/>
    <x v="0"/>
    <x v="4"/>
    <x v="22"/>
    <s v="Rural"/>
    <x v="1"/>
    <x v="1"/>
    <x v="2"/>
  </r>
  <r>
    <n v="119"/>
    <x v="1"/>
    <x v="0"/>
    <x v="4"/>
    <x v="22"/>
    <s v="Rural"/>
    <x v="1"/>
    <x v="1"/>
    <x v="2"/>
  </r>
  <r>
    <n v="120"/>
    <x v="1"/>
    <x v="0"/>
    <x v="4"/>
    <x v="22"/>
    <s v="Rural"/>
    <x v="1"/>
    <x v="1"/>
    <x v="2"/>
  </r>
  <r>
    <n v="121"/>
    <x v="1"/>
    <x v="0"/>
    <x v="4"/>
    <x v="22"/>
    <s v="Rural"/>
    <x v="0"/>
    <x v="0"/>
    <x v="2"/>
  </r>
  <r>
    <n v="122"/>
    <x v="1"/>
    <x v="0"/>
    <x v="4"/>
    <x v="22"/>
    <s v="Rural"/>
    <x v="1"/>
    <x v="0"/>
    <x v="2"/>
  </r>
  <r>
    <n v="123"/>
    <x v="1"/>
    <x v="0"/>
    <x v="4"/>
    <x v="22"/>
    <s v="Rural"/>
    <x v="1"/>
    <x v="0"/>
    <x v="2"/>
  </r>
  <r>
    <n v="124"/>
    <x v="1"/>
    <x v="0"/>
    <x v="4"/>
    <x v="22"/>
    <s v="Rural"/>
    <x v="1"/>
    <x v="1"/>
    <x v="2"/>
  </r>
  <r>
    <n v="125"/>
    <x v="1"/>
    <x v="0"/>
    <x v="4"/>
    <x v="22"/>
    <s v="Rural"/>
    <x v="1"/>
    <x v="1"/>
    <x v="2"/>
  </r>
  <r>
    <n v="126"/>
    <x v="1"/>
    <x v="0"/>
    <x v="4"/>
    <x v="22"/>
    <s v="Rural"/>
    <x v="1"/>
    <x v="1"/>
    <x v="2"/>
  </r>
  <r>
    <n v="127"/>
    <x v="1"/>
    <x v="0"/>
    <x v="4"/>
    <x v="22"/>
    <s v="Rural"/>
    <x v="1"/>
    <x v="1"/>
    <x v="2"/>
  </r>
  <r>
    <n v="128"/>
    <x v="1"/>
    <x v="0"/>
    <x v="4"/>
    <x v="22"/>
    <s v="Rural"/>
    <x v="1"/>
    <x v="0"/>
    <x v="2"/>
  </r>
  <r>
    <n v="129"/>
    <x v="1"/>
    <x v="0"/>
    <x v="4"/>
    <x v="22"/>
    <s v="Rural"/>
    <x v="1"/>
    <x v="1"/>
    <x v="2"/>
  </r>
  <r>
    <n v="130"/>
    <x v="1"/>
    <x v="0"/>
    <x v="4"/>
    <x v="22"/>
    <s v="Rural"/>
    <x v="0"/>
    <x v="1"/>
    <x v="2"/>
  </r>
  <r>
    <n v="131"/>
    <x v="1"/>
    <x v="0"/>
    <x v="0"/>
    <x v="22"/>
    <s v="Rural"/>
    <x v="0"/>
    <x v="0"/>
    <x v="2"/>
  </r>
  <r>
    <n v="132"/>
    <x v="1"/>
    <x v="0"/>
    <x v="0"/>
    <x v="22"/>
    <s v="Rural"/>
    <x v="1"/>
    <x v="0"/>
    <x v="2"/>
  </r>
  <r>
    <n v="133"/>
    <x v="1"/>
    <x v="0"/>
    <x v="0"/>
    <x v="22"/>
    <s v="Rural"/>
    <x v="1"/>
    <x v="1"/>
    <x v="2"/>
  </r>
  <r>
    <n v="134"/>
    <x v="1"/>
    <x v="0"/>
    <x v="0"/>
    <x v="22"/>
    <s v="Rural"/>
    <x v="0"/>
    <x v="0"/>
    <x v="2"/>
  </r>
  <r>
    <n v="135"/>
    <x v="1"/>
    <x v="0"/>
    <x v="0"/>
    <x v="22"/>
    <s v="Rural"/>
    <x v="1"/>
    <x v="2"/>
    <x v="2"/>
  </r>
  <r>
    <n v="136"/>
    <x v="4"/>
    <x v="0"/>
    <x v="4"/>
    <x v="48"/>
    <s v="Rural"/>
    <x v="1"/>
    <x v="1"/>
    <x v="2"/>
  </r>
  <r>
    <n v="137"/>
    <x v="4"/>
    <x v="0"/>
    <x v="4"/>
    <x v="48"/>
    <s v="Rural"/>
    <x v="1"/>
    <x v="1"/>
    <x v="2"/>
  </r>
  <r>
    <n v="138"/>
    <x v="4"/>
    <x v="0"/>
    <x v="4"/>
    <x v="48"/>
    <s v="Rural"/>
    <x v="0"/>
    <x v="0"/>
    <x v="2"/>
  </r>
  <r>
    <n v="139"/>
    <x v="4"/>
    <x v="0"/>
    <x v="4"/>
    <x v="51"/>
    <s v="Rural"/>
    <x v="0"/>
    <x v="0"/>
    <x v="2"/>
  </r>
  <r>
    <n v="140"/>
    <x v="4"/>
    <x v="0"/>
    <x v="4"/>
    <x v="51"/>
    <s v="Rural"/>
    <x v="1"/>
    <x v="0"/>
    <x v="2"/>
  </r>
  <r>
    <n v="141"/>
    <x v="4"/>
    <x v="0"/>
    <x v="4"/>
    <x v="51"/>
    <s v="Rural"/>
    <x v="1"/>
    <x v="0"/>
    <x v="2"/>
  </r>
  <r>
    <n v="142"/>
    <x v="4"/>
    <x v="0"/>
    <x v="4"/>
    <x v="51"/>
    <s v="Rural"/>
    <x v="1"/>
    <x v="0"/>
    <x v="2"/>
  </r>
  <r>
    <n v="143"/>
    <x v="4"/>
    <x v="0"/>
    <x v="0"/>
    <x v="48"/>
    <s v="Rural"/>
    <x v="1"/>
    <x v="0"/>
    <x v="2"/>
  </r>
  <r>
    <n v="144"/>
    <x v="4"/>
    <x v="0"/>
    <x v="0"/>
    <x v="48"/>
    <s v="Rural"/>
    <x v="1"/>
    <x v="0"/>
    <x v="2"/>
  </r>
  <r>
    <n v="145"/>
    <x v="4"/>
    <x v="0"/>
    <x v="0"/>
    <x v="49"/>
    <s v="Rural"/>
    <x v="0"/>
    <x v="0"/>
    <x v="2"/>
  </r>
  <r>
    <n v="146"/>
    <x v="4"/>
    <x v="0"/>
    <x v="0"/>
    <x v="49"/>
    <s v="Rural"/>
    <x v="1"/>
    <x v="0"/>
    <x v="2"/>
  </r>
  <r>
    <n v="147"/>
    <x v="4"/>
    <x v="0"/>
    <x v="0"/>
    <x v="49"/>
    <s v="Rural"/>
    <x v="0"/>
    <x v="0"/>
    <x v="2"/>
  </r>
  <r>
    <n v="148"/>
    <x v="4"/>
    <x v="0"/>
    <x v="0"/>
    <x v="49"/>
    <s v="Rural"/>
    <x v="0"/>
    <x v="0"/>
    <x v="2"/>
  </r>
  <r>
    <n v="149"/>
    <x v="4"/>
    <x v="0"/>
    <x v="0"/>
    <x v="49"/>
    <s v="Rural"/>
    <x v="0"/>
    <x v="0"/>
    <x v="2"/>
  </r>
  <r>
    <n v="150"/>
    <x v="4"/>
    <x v="0"/>
    <x v="0"/>
    <x v="49"/>
    <s v="Rural"/>
    <x v="0"/>
    <x v="0"/>
    <x v="2"/>
  </r>
  <r>
    <n v="151"/>
    <x v="4"/>
    <x v="0"/>
    <x v="0"/>
    <x v="49"/>
    <s v="Rural"/>
    <x v="0"/>
    <x v="0"/>
    <x v="2"/>
  </r>
  <r>
    <n v="152"/>
    <x v="4"/>
    <x v="0"/>
    <x v="0"/>
    <x v="49"/>
    <s v="Rural"/>
    <x v="0"/>
    <x v="0"/>
    <x v="2"/>
  </r>
  <r>
    <n v="153"/>
    <x v="4"/>
    <x v="0"/>
    <x v="0"/>
    <x v="49"/>
    <s v="Rural"/>
    <x v="1"/>
    <x v="0"/>
    <x v="2"/>
  </r>
  <r>
    <n v="154"/>
    <x v="4"/>
    <x v="0"/>
    <x v="0"/>
    <x v="49"/>
    <s v="Rural"/>
    <x v="1"/>
    <x v="0"/>
    <x v="2"/>
  </r>
  <r>
    <n v="155"/>
    <x v="4"/>
    <x v="0"/>
    <x v="0"/>
    <x v="49"/>
    <s v="Rural"/>
    <x v="1"/>
    <x v="0"/>
    <x v="2"/>
  </r>
  <r>
    <n v="156"/>
    <x v="4"/>
    <x v="0"/>
    <x v="0"/>
    <x v="49"/>
    <s v="Rural"/>
    <x v="1"/>
    <x v="0"/>
    <x v="2"/>
  </r>
  <r>
    <n v="157"/>
    <x v="4"/>
    <x v="0"/>
    <x v="0"/>
    <x v="49"/>
    <s v="Rural"/>
    <x v="1"/>
    <x v="0"/>
    <x v="2"/>
  </r>
  <r>
    <n v="158"/>
    <x v="4"/>
    <x v="0"/>
    <x v="0"/>
    <x v="51"/>
    <s v="Rural"/>
    <x v="0"/>
    <x v="0"/>
    <x v="2"/>
  </r>
  <r>
    <n v="159"/>
    <x v="4"/>
    <x v="0"/>
    <x v="0"/>
    <x v="51"/>
    <s v="Rural"/>
    <x v="0"/>
    <x v="0"/>
    <x v="2"/>
  </r>
  <r>
    <n v="160"/>
    <x v="4"/>
    <x v="0"/>
    <x v="0"/>
    <x v="51"/>
    <s v="Rural"/>
    <x v="0"/>
    <x v="0"/>
    <x v="2"/>
  </r>
  <r>
    <n v="161"/>
    <x v="4"/>
    <x v="0"/>
    <x v="0"/>
    <x v="51"/>
    <s v="Rural"/>
    <x v="1"/>
    <x v="0"/>
    <x v="2"/>
  </r>
  <r>
    <n v="162"/>
    <x v="4"/>
    <x v="0"/>
    <x v="1"/>
    <x v="48"/>
    <s v="Rural"/>
    <x v="0"/>
    <x v="0"/>
    <x v="2"/>
  </r>
  <r>
    <n v="163"/>
    <x v="4"/>
    <x v="0"/>
    <x v="1"/>
    <x v="48"/>
    <s v="Rural"/>
    <x v="0"/>
    <x v="0"/>
    <x v="2"/>
  </r>
  <r>
    <n v="164"/>
    <x v="4"/>
    <x v="0"/>
    <x v="1"/>
    <x v="48"/>
    <s v="Rural"/>
    <x v="1"/>
    <x v="0"/>
    <x v="2"/>
  </r>
  <r>
    <n v="165"/>
    <x v="4"/>
    <x v="0"/>
    <x v="1"/>
    <x v="48"/>
    <s v="Rural"/>
    <x v="1"/>
    <x v="0"/>
    <x v="2"/>
  </r>
  <r>
    <n v="166"/>
    <x v="4"/>
    <x v="0"/>
    <x v="1"/>
    <x v="49"/>
    <s v="Rural"/>
    <x v="1"/>
    <x v="0"/>
    <x v="2"/>
  </r>
  <r>
    <n v="167"/>
    <x v="4"/>
    <x v="0"/>
    <x v="1"/>
    <x v="49"/>
    <s v="Rural"/>
    <x v="0"/>
    <x v="0"/>
    <x v="2"/>
  </r>
  <r>
    <n v="168"/>
    <x v="4"/>
    <x v="0"/>
    <x v="1"/>
    <x v="49"/>
    <s v="Rural"/>
    <x v="0"/>
    <x v="0"/>
    <x v="2"/>
  </r>
  <r>
    <n v="169"/>
    <x v="4"/>
    <x v="0"/>
    <x v="1"/>
    <x v="49"/>
    <s v="Rural"/>
    <x v="0"/>
    <x v="0"/>
    <x v="2"/>
  </r>
  <r>
    <n v="170"/>
    <x v="4"/>
    <x v="0"/>
    <x v="1"/>
    <x v="49"/>
    <s v="Rural"/>
    <x v="0"/>
    <x v="0"/>
    <x v="2"/>
  </r>
  <r>
    <n v="171"/>
    <x v="4"/>
    <x v="0"/>
    <x v="1"/>
    <x v="49"/>
    <s v="Rural"/>
    <x v="1"/>
    <x v="0"/>
    <x v="2"/>
  </r>
  <r>
    <n v="172"/>
    <x v="4"/>
    <x v="0"/>
    <x v="1"/>
    <x v="49"/>
    <s v="Rural"/>
    <x v="1"/>
    <x v="0"/>
    <x v="2"/>
  </r>
  <r>
    <n v="173"/>
    <x v="4"/>
    <x v="0"/>
    <x v="1"/>
    <x v="49"/>
    <s v="Rural"/>
    <x v="0"/>
    <x v="0"/>
    <x v="2"/>
  </r>
  <r>
    <n v="174"/>
    <x v="4"/>
    <x v="0"/>
    <x v="1"/>
    <x v="51"/>
    <s v="Rural"/>
    <x v="0"/>
    <x v="0"/>
    <x v="2"/>
  </r>
  <r>
    <n v="175"/>
    <x v="4"/>
    <x v="0"/>
    <x v="1"/>
    <x v="51"/>
    <s v="Rural"/>
    <x v="0"/>
    <x v="0"/>
    <x v="2"/>
  </r>
  <r>
    <n v="176"/>
    <x v="4"/>
    <x v="0"/>
    <x v="1"/>
    <x v="51"/>
    <s v="Rural"/>
    <x v="0"/>
    <x v="0"/>
    <x v="2"/>
  </r>
  <r>
    <n v="177"/>
    <x v="0"/>
    <x v="0"/>
    <x v="4"/>
    <x v="7"/>
    <s v="Rural"/>
    <x v="0"/>
    <x v="0"/>
    <x v="2"/>
  </r>
  <r>
    <n v="178"/>
    <x v="0"/>
    <x v="0"/>
    <x v="0"/>
    <x v="7"/>
    <s v="Rural"/>
    <x v="1"/>
    <x v="0"/>
    <x v="2"/>
  </r>
  <r>
    <n v="179"/>
    <x v="0"/>
    <x v="0"/>
    <x v="0"/>
    <x v="7"/>
    <s v="Rural"/>
    <x v="1"/>
    <x v="1"/>
    <x v="2"/>
  </r>
  <r>
    <n v="180"/>
    <x v="0"/>
    <x v="0"/>
    <x v="0"/>
    <x v="7"/>
    <s v="Rural"/>
    <x v="0"/>
    <x v="1"/>
    <x v="2"/>
  </r>
  <r>
    <n v="181"/>
    <x v="0"/>
    <x v="0"/>
    <x v="1"/>
    <x v="7"/>
    <s v="Rural"/>
    <x v="1"/>
    <x v="1"/>
    <x v="2"/>
  </r>
  <r>
    <n v="182"/>
    <x v="0"/>
    <x v="0"/>
    <x v="1"/>
    <x v="7"/>
    <s v="Rural"/>
    <x v="0"/>
    <x v="1"/>
    <x v="2"/>
  </r>
  <r>
    <n v="183"/>
    <x v="0"/>
    <x v="0"/>
    <x v="4"/>
    <x v="13"/>
    <s v="Rural"/>
    <x v="0"/>
    <x v="1"/>
    <x v="2"/>
  </r>
  <r>
    <n v="184"/>
    <x v="0"/>
    <x v="0"/>
    <x v="1"/>
    <x v="13"/>
    <s v="Rural"/>
    <x v="1"/>
    <x v="1"/>
    <x v="2"/>
  </r>
  <r>
    <n v="185"/>
    <x v="0"/>
    <x v="0"/>
    <x v="4"/>
    <x v="4"/>
    <s v="Rural"/>
    <x v="1"/>
    <x v="2"/>
    <x v="2"/>
  </r>
  <r>
    <n v="186"/>
    <x v="0"/>
    <x v="0"/>
    <x v="4"/>
    <x v="4"/>
    <s v="Rural"/>
    <x v="0"/>
    <x v="1"/>
    <x v="2"/>
  </r>
  <r>
    <n v="187"/>
    <x v="0"/>
    <x v="0"/>
    <x v="4"/>
    <x v="4"/>
    <s v="Rural"/>
    <x v="1"/>
    <x v="1"/>
    <x v="2"/>
  </r>
  <r>
    <n v="188"/>
    <x v="0"/>
    <x v="0"/>
    <x v="4"/>
    <x v="4"/>
    <s v="Rural"/>
    <x v="0"/>
    <x v="1"/>
    <x v="2"/>
  </r>
  <r>
    <n v="189"/>
    <x v="0"/>
    <x v="0"/>
    <x v="4"/>
    <x v="4"/>
    <s v="Rural"/>
    <x v="0"/>
    <x v="1"/>
    <x v="2"/>
  </r>
  <r>
    <n v="190"/>
    <x v="0"/>
    <x v="0"/>
    <x v="4"/>
    <x v="4"/>
    <s v="Rural"/>
    <x v="0"/>
    <x v="1"/>
    <x v="2"/>
  </r>
  <r>
    <n v="191"/>
    <x v="0"/>
    <x v="0"/>
    <x v="4"/>
    <x v="4"/>
    <s v="Rural"/>
    <x v="0"/>
    <x v="1"/>
    <x v="2"/>
  </r>
  <r>
    <n v="192"/>
    <x v="0"/>
    <x v="0"/>
    <x v="4"/>
    <x v="4"/>
    <s v="Rural"/>
    <x v="1"/>
    <x v="1"/>
    <x v="2"/>
  </r>
  <r>
    <n v="193"/>
    <x v="0"/>
    <x v="0"/>
    <x v="4"/>
    <x v="4"/>
    <s v="Rural"/>
    <x v="1"/>
    <x v="1"/>
    <x v="2"/>
  </r>
  <r>
    <n v="194"/>
    <x v="0"/>
    <x v="0"/>
    <x v="4"/>
    <x v="4"/>
    <s v="Rural"/>
    <x v="0"/>
    <x v="1"/>
    <x v="2"/>
  </r>
  <r>
    <n v="195"/>
    <x v="0"/>
    <x v="0"/>
    <x v="4"/>
    <x v="4"/>
    <s v="Rural"/>
    <x v="0"/>
    <x v="1"/>
    <x v="2"/>
  </r>
  <r>
    <n v="196"/>
    <x v="0"/>
    <x v="0"/>
    <x v="4"/>
    <x v="4"/>
    <s v="Rural"/>
    <x v="0"/>
    <x v="0"/>
    <x v="2"/>
  </r>
  <r>
    <n v="197"/>
    <x v="0"/>
    <x v="0"/>
    <x v="4"/>
    <x v="4"/>
    <s v="Rural"/>
    <x v="0"/>
    <x v="0"/>
    <x v="2"/>
  </r>
  <r>
    <n v="198"/>
    <x v="0"/>
    <x v="0"/>
    <x v="4"/>
    <x v="4"/>
    <s v="Rural"/>
    <x v="1"/>
    <x v="0"/>
    <x v="2"/>
  </r>
  <r>
    <n v="199"/>
    <x v="0"/>
    <x v="0"/>
    <x v="0"/>
    <x v="4"/>
    <s v="Rural"/>
    <x v="1"/>
    <x v="1"/>
    <x v="2"/>
  </r>
  <r>
    <n v="200"/>
    <x v="0"/>
    <x v="0"/>
    <x v="0"/>
    <x v="4"/>
    <s v="Rural"/>
    <x v="0"/>
    <x v="1"/>
    <x v="2"/>
  </r>
  <r>
    <n v="201"/>
    <x v="0"/>
    <x v="0"/>
    <x v="0"/>
    <x v="4"/>
    <s v="Rural"/>
    <x v="1"/>
    <x v="0"/>
    <x v="2"/>
  </r>
  <r>
    <n v="202"/>
    <x v="0"/>
    <x v="0"/>
    <x v="0"/>
    <x v="4"/>
    <s v="Rural"/>
    <x v="0"/>
    <x v="0"/>
    <x v="2"/>
  </r>
  <r>
    <n v="203"/>
    <x v="0"/>
    <x v="0"/>
    <x v="0"/>
    <x v="4"/>
    <s v="Rural"/>
    <x v="0"/>
    <x v="0"/>
    <x v="2"/>
  </r>
  <r>
    <n v="204"/>
    <x v="0"/>
    <x v="0"/>
    <x v="0"/>
    <x v="4"/>
    <s v="Rural"/>
    <x v="0"/>
    <x v="0"/>
    <x v="2"/>
  </r>
  <r>
    <n v="205"/>
    <x v="0"/>
    <x v="0"/>
    <x v="0"/>
    <x v="4"/>
    <s v="Rural"/>
    <x v="1"/>
    <x v="0"/>
    <x v="2"/>
  </r>
  <r>
    <n v="206"/>
    <x v="0"/>
    <x v="0"/>
    <x v="0"/>
    <x v="4"/>
    <s v="Rural"/>
    <x v="1"/>
    <x v="0"/>
    <x v="2"/>
  </r>
  <r>
    <n v="207"/>
    <x v="0"/>
    <x v="0"/>
    <x v="0"/>
    <x v="4"/>
    <s v="Rural"/>
    <x v="1"/>
    <x v="0"/>
    <x v="2"/>
  </r>
  <r>
    <n v="208"/>
    <x v="0"/>
    <x v="0"/>
    <x v="0"/>
    <x v="4"/>
    <s v="Rural"/>
    <x v="1"/>
    <x v="0"/>
    <x v="2"/>
  </r>
  <r>
    <n v="209"/>
    <x v="0"/>
    <x v="0"/>
    <x v="0"/>
    <x v="4"/>
    <s v="Rural"/>
    <x v="0"/>
    <x v="0"/>
    <x v="2"/>
  </r>
  <r>
    <n v="210"/>
    <x v="0"/>
    <x v="0"/>
    <x v="0"/>
    <x v="4"/>
    <s v="Rural"/>
    <x v="0"/>
    <x v="0"/>
    <x v="2"/>
  </r>
  <r>
    <n v="211"/>
    <x v="0"/>
    <x v="0"/>
    <x v="0"/>
    <x v="4"/>
    <s v="Rural"/>
    <x v="0"/>
    <x v="1"/>
    <x v="2"/>
  </r>
  <r>
    <n v="212"/>
    <x v="0"/>
    <x v="0"/>
    <x v="1"/>
    <x v="4"/>
    <s v="Rural"/>
    <x v="0"/>
    <x v="1"/>
    <x v="2"/>
  </r>
  <r>
    <n v="213"/>
    <x v="0"/>
    <x v="0"/>
    <x v="1"/>
    <x v="4"/>
    <s v="Rural"/>
    <x v="1"/>
    <x v="1"/>
    <x v="2"/>
  </r>
  <r>
    <n v="214"/>
    <x v="0"/>
    <x v="0"/>
    <x v="1"/>
    <x v="4"/>
    <s v="Rural"/>
    <x v="0"/>
    <x v="1"/>
    <x v="2"/>
  </r>
  <r>
    <n v="215"/>
    <x v="0"/>
    <x v="0"/>
    <x v="1"/>
    <x v="4"/>
    <s v="Rural"/>
    <x v="0"/>
    <x v="0"/>
    <x v="2"/>
  </r>
  <r>
    <n v="216"/>
    <x v="0"/>
    <x v="0"/>
    <x v="1"/>
    <x v="4"/>
    <s v="Rural"/>
    <x v="0"/>
    <x v="1"/>
    <x v="2"/>
  </r>
  <r>
    <n v="217"/>
    <x v="0"/>
    <x v="0"/>
    <x v="1"/>
    <x v="4"/>
    <s v="Rural"/>
    <x v="1"/>
    <x v="1"/>
    <x v="2"/>
  </r>
  <r>
    <n v="218"/>
    <x v="0"/>
    <x v="0"/>
    <x v="1"/>
    <x v="4"/>
    <s v="Rural"/>
    <x v="1"/>
    <x v="1"/>
    <x v="2"/>
  </r>
  <r>
    <n v="219"/>
    <x v="0"/>
    <x v="0"/>
    <x v="1"/>
    <x v="4"/>
    <s v="Rural"/>
    <x v="1"/>
    <x v="1"/>
    <x v="2"/>
  </r>
  <r>
    <n v="220"/>
    <x v="0"/>
    <x v="0"/>
    <x v="1"/>
    <x v="4"/>
    <s v="Rural"/>
    <x v="1"/>
    <x v="2"/>
    <x v="2"/>
  </r>
  <r>
    <n v="221"/>
    <x v="0"/>
    <x v="0"/>
    <x v="1"/>
    <x v="4"/>
    <s v="Rural"/>
    <x v="0"/>
    <x v="2"/>
    <x v="2"/>
  </r>
  <r>
    <n v="222"/>
    <x v="0"/>
    <x v="0"/>
    <x v="1"/>
    <x v="4"/>
    <s v="Rural"/>
    <x v="0"/>
    <x v="1"/>
    <x v="2"/>
  </r>
  <r>
    <n v="223"/>
    <x v="0"/>
    <x v="0"/>
    <x v="1"/>
    <x v="4"/>
    <s v="Rural"/>
    <x v="1"/>
    <x v="1"/>
    <x v="2"/>
  </r>
  <r>
    <n v="224"/>
    <x v="0"/>
    <x v="0"/>
    <x v="1"/>
    <x v="4"/>
    <s v="Rural"/>
    <x v="1"/>
    <x v="1"/>
    <x v="2"/>
  </r>
  <r>
    <n v="225"/>
    <x v="0"/>
    <x v="0"/>
    <x v="1"/>
    <x v="4"/>
    <s v="Rural"/>
    <x v="0"/>
    <x v="1"/>
    <x v="2"/>
  </r>
  <r>
    <n v="226"/>
    <x v="0"/>
    <x v="0"/>
    <x v="1"/>
    <x v="4"/>
    <s v="Rural"/>
    <x v="0"/>
    <x v="2"/>
    <x v="2"/>
  </r>
  <r>
    <n v="227"/>
    <x v="0"/>
    <x v="0"/>
    <x v="4"/>
    <x v="5"/>
    <s v="Rural"/>
    <x v="0"/>
    <x v="0"/>
    <x v="2"/>
  </r>
  <r>
    <n v="228"/>
    <x v="0"/>
    <x v="0"/>
    <x v="4"/>
    <x v="5"/>
    <s v="Rural"/>
    <x v="0"/>
    <x v="2"/>
    <x v="2"/>
  </r>
  <r>
    <n v="229"/>
    <x v="0"/>
    <x v="0"/>
    <x v="4"/>
    <x v="5"/>
    <s v="Rural"/>
    <x v="1"/>
    <x v="1"/>
    <x v="2"/>
  </r>
  <r>
    <n v="230"/>
    <x v="0"/>
    <x v="0"/>
    <x v="4"/>
    <x v="5"/>
    <s v="Rural"/>
    <x v="1"/>
    <x v="2"/>
    <x v="2"/>
  </r>
  <r>
    <n v="231"/>
    <x v="0"/>
    <x v="0"/>
    <x v="4"/>
    <x v="5"/>
    <s v="Rural"/>
    <x v="1"/>
    <x v="1"/>
    <x v="2"/>
  </r>
  <r>
    <n v="232"/>
    <x v="0"/>
    <x v="0"/>
    <x v="4"/>
    <x v="5"/>
    <s v="Rural"/>
    <x v="0"/>
    <x v="0"/>
    <x v="2"/>
  </r>
  <r>
    <n v="233"/>
    <x v="0"/>
    <x v="0"/>
    <x v="4"/>
    <x v="5"/>
    <s v="Rural"/>
    <x v="0"/>
    <x v="1"/>
    <x v="2"/>
  </r>
  <r>
    <n v="234"/>
    <x v="0"/>
    <x v="0"/>
    <x v="4"/>
    <x v="5"/>
    <s v="Rural"/>
    <x v="1"/>
    <x v="0"/>
    <x v="2"/>
  </r>
  <r>
    <n v="235"/>
    <x v="0"/>
    <x v="0"/>
    <x v="4"/>
    <x v="5"/>
    <s v="Rural"/>
    <x v="1"/>
    <x v="2"/>
    <x v="2"/>
  </r>
  <r>
    <n v="236"/>
    <x v="0"/>
    <x v="0"/>
    <x v="4"/>
    <x v="5"/>
    <s v="Rural"/>
    <x v="1"/>
    <x v="0"/>
    <x v="2"/>
  </r>
  <r>
    <n v="237"/>
    <x v="0"/>
    <x v="0"/>
    <x v="4"/>
    <x v="5"/>
    <s v="Rural"/>
    <x v="0"/>
    <x v="0"/>
    <x v="2"/>
  </r>
  <r>
    <n v="238"/>
    <x v="0"/>
    <x v="0"/>
    <x v="4"/>
    <x v="5"/>
    <s v="Rural"/>
    <x v="0"/>
    <x v="0"/>
    <x v="2"/>
  </r>
  <r>
    <n v="239"/>
    <x v="0"/>
    <x v="0"/>
    <x v="4"/>
    <x v="5"/>
    <s v="Rural"/>
    <x v="1"/>
    <x v="0"/>
    <x v="2"/>
  </r>
  <r>
    <n v="240"/>
    <x v="0"/>
    <x v="0"/>
    <x v="4"/>
    <x v="5"/>
    <s v="Rural"/>
    <x v="1"/>
    <x v="1"/>
    <x v="2"/>
  </r>
  <r>
    <n v="241"/>
    <x v="0"/>
    <x v="0"/>
    <x v="4"/>
    <x v="5"/>
    <s v="Rural"/>
    <x v="0"/>
    <x v="1"/>
    <x v="2"/>
  </r>
  <r>
    <n v="242"/>
    <x v="0"/>
    <x v="0"/>
    <x v="4"/>
    <x v="5"/>
    <s v="Rural"/>
    <x v="0"/>
    <x v="0"/>
    <x v="2"/>
  </r>
  <r>
    <n v="243"/>
    <x v="0"/>
    <x v="0"/>
    <x v="4"/>
    <x v="5"/>
    <s v="Rural"/>
    <x v="0"/>
    <x v="2"/>
    <x v="2"/>
  </r>
  <r>
    <n v="244"/>
    <x v="0"/>
    <x v="0"/>
    <x v="4"/>
    <x v="5"/>
    <s v="Rural"/>
    <x v="0"/>
    <x v="1"/>
    <x v="2"/>
  </r>
  <r>
    <n v="245"/>
    <x v="0"/>
    <x v="0"/>
    <x v="4"/>
    <x v="5"/>
    <s v="Rural"/>
    <x v="1"/>
    <x v="1"/>
    <x v="2"/>
  </r>
  <r>
    <n v="246"/>
    <x v="0"/>
    <x v="0"/>
    <x v="4"/>
    <x v="5"/>
    <s v="Rural"/>
    <x v="0"/>
    <x v="0"/>
    <x v="2"/>
  </r>
  <r>
    <n v="247"/>
    <x v="0"/>
    <x v="0"/>
    <x v="4"/>
    <x v="5"/>
    <s v="Rural"/>
    <x v="1"/>
    <x v="2"/>
    <x v="2"/>
  </r>
  <r>
    <n v="248"/>
    <x v="0"/>
    <x v="0"/>
    <x v="4"/>
    <x v="5"/>
    <s v="Rural"/>
    <x v="0"/>
    <x v="0"/>
    <x v="2"/>
  </r>
  <r>
    <n v="249"/>
    <x v="0"/>
    <x v="0"/>
    <x v="4"/>
    <x v="5"/>
    <s v="Rural"/>
    <x v="0"/>
    <x v="0"/>
    <x v="2"/>
  </r>
  <r>
    <n v="250"/>
    <x v="0"/>
    <x v="0"/>
    <x v="4"/>
    <x v="5"/>
    <s v="Rural"/>
    <x v="1"/>
    <x v="2"/>
    <x v="2"/>
  </r>
  <r>
    <n v="251"/>
    <x v="0"/>
    <x v="0"/>
    <x v="4"/>
    <x v="5"/>
    <s v="Rural"/>
    <x v="1"/>
    <x v="1"/>
    <x v="2"/>
  </r>
  <r>
    <n v="252"/>
    <x v="0"/>
    <x v="0"/>
    <x v="4"/>
    <x v="5"/>
    <s v="Rural"/>
    <x v="0"/>
    <x v="1"/>
    <x v="2"/>
  </r>
  <r>
    <n v="253"/>
    <x v="0"/>
    <x v="0"/>
    <x v="4"/>
    <x v="5"/>
    <s v="Rural"/>
    <x v="0"/>
    <x v="0"/>
    <x v="2"/>
  </r>
  <r>
    <n v="254"/>
    <x v="0"/>
    <x v="0"/>
    <x v="4"/>
    <x v="5"/>
    <s v="Rural"/>
    <x v="1"/>
    <x v="2"/>
    <x v="2"/>
  </r>
  <r>
    <n v="255"/>
    <x v="0"/>
    <x v="0"/>
    <x v="4"/>
    <x v="5"/>
    <s v="Rural"/>
    <x v="1"/>
    <x v="1"/>
    <x v="2"/>
  </r>
  <r>
    <n v="256"/>
    <x v="0"/>
    <x v="0"/>
    <x v="4"/>
    <x v="5"/>
    <s v="Rural"/>
    <x v="1"/>
    <x v="2"/>
    <x v="2"/>
  </r>
  <r>
    <n v="257"/>
    <x v="0"/>
    <x v="0"/>
    <x v="4"/>
    <x v="5"/>
    <s v="Rural"/>
    <x v="1"/>
    <x v="1"/>
    <x v="2"/>
  </r>
  <r>
    <n v="258"/>
    <x v="0"/>
    <x v="0"/>
    <x v="4"/>
    <x v="5"/>
    <s v="Rural"/>
    <x v="1"/>
    <x v="1"/>
    <x v="2"/>
  </r>
  <r>
    <n v="259"/>
    <x v="0"/>
    <x v="0"/>
    <x v="4"/>
    <x v="5"/>
    <s v="Rural"/>
    <x v="0"/>
    <x v="1"/>
    <x v="2"/>
  </r>
  <r>
    <n v="260"/>
    <x v="0"/>
    <x v="0"/>
    <x v="4"/>
    <x v="5"/>
    <s v="Rural"/>
    <x v="0"/>
    <x v="1"/>
    <x v="2"/>
  </r>
  <r>
    <n v="261"/>
    <x v="0"/>
    <x v="0"/>
    <x v="4"/>
    <x v="5"/>
    <s v="Rural"/>
    <x v="0"/>
    <x v="0"/>
    <x v="2"/>
  </r>
  <r>
    <n v="262"/>
    <x v="0"/>
    <x v="0"/>
    <x v="4"/>
    <x v="5"/>
    <s v="Rural"/>
    <x v="1"/>
    <x v="0"/>
    <x v="2"/>
  </r>
  <r>
    <n v="263"/>
    <x v="0"/>
    <x v="0"/>
    <x v="4"/>
    <x v="5"/>
    <s v="Rural"/>
    <x v="1"/>
    <x v="1"/>
    <x v="2"/>
  </r>
  <r>
    <n v="264"/>
    <x v="0"/>
    <x v="0"/>
    <x v="4"/>
    <x v="5"/>
    <s v="Rural"/>
    <x v="1"/>
    <x v="1"/>
    <x v="2"/>
  </r>
  <r>
    <n v="265"/>
    <x v="0"/>
    <x v="0"/>
    <x v="4"/>
    <x v="5"/>
    <s v="Rural"/>
    <x v="1"/>
    <x v="1"/>
    <x v="2"/>
  </r>
  <r>
    <n v="266"/>
    <x v="0"/>
    <x v="0"/>
    <x v="4"/>
    <x v="5"/>
    <s v="Rural"/>
    <x v="1"/>
    <x v="0"/>
    <x v="2"/>
  </r>
  <r>
    <n v="267"/>
    <x v="0"/>
    <x v="0"/>
    <x v="4"/>
    <x v="5"/>
    <s v="Rural"/>
    <x v="0"/>
    <x v="0"/>
    <x v="2"/>
  </r>
  <r>
    <n v="268"/>
    <x v="0"/>
    <x v="0"/>
    <x v="4"/>
    <x v="5"/>
    <s v="Rural"/>
    <x v="0"/>
    <x v="1"/>
    <x v="2"/>
  </r>
  <r>
    <n v="269"/>
    <x v="0"/>
    <x v="0"/>
    <x v="4"/>
    <x v="5"/>
    <s v="Rural"/>
    <x v="0"/>
    <x v="1"/>
    <x v="2"/>
  </r>
  <r>
    <n v="270"/>
    <x v="0"/>
    <x v="0"/>
    <x v="4"/>
    <x v="5"/>
    <s v="Rural"/>
    <x v="1"/>
    <x v="1"/>
    <x v="2"/>
  </r>
  <r>
    <n v="271"/>
    <x v="0"/>
    <x v="0"/>
    <x v="4"/>
    <x v="5"/>
    <s v="Rural"/>
    <x v="0"/>
    <x v="1"/>
    <x v="2"/>
  </r>
  <r>
    <n v="272"/>
    <x v="0"/>
    <x v="0"/>
    <x v="4"/>
    <x v="5"/>
    <s v="Rural"/>
    <x v="0"/>
    <x v="1"/>
    <x v="2"/>
  </r>
  <r>
    <n v="273"/>
    <x v="0"/>
    <x v="0"/>
    <x v="4"/>
    <x v="5"/>
    <s v="Rural"/>
    <x v="1"/>
    <x v="0"/>
    <x v="2"/>
  </r>
  <r>
    <n v="274"/>
    <x v="0"/>
    <x v="0"/>
    <x v="4"/>
    <x v="5"/>
    <s v="Rural"/>
    <x v="0"/>
    <x v="0"/>
    <x v="2"/>
  </r>
  <r>
    <n v="275"/>
    <x v="0"/>
    <x v="0"/>
    <x v="4"/>
    <x v="5"/>
    <s v="Rural"/>
    <x v="1"/>
    <x v="1"/>
    <x v="2"/>
  </r>
  <r>
    <n v="276"/>
    <x v="0"/>
    <x v="0"/>
    <x v="4"/>
    <x v="5"/>
    <s v="Rural"/>
    <x v="1"/>
    <x v="0"/>
    <x v="2"/>
  </r>
  <r>
    <n v="277"/>
    <x v="0"/>
    <x v="0"/>
    <x v="4"/>
    <x v="5"/>
    <s v="Rural"/>
    <x v="0"/>
    <x v="1"/>
    <x v="2"/>
  </r>
  <r>
    <n v="278"/>
    <x v="0"/>
    <x v="0"/>
    <x v="4"/>
    <x v="5"/>
    <s v="Rural"/>
    <x v="0"/>
    <x v="1"/>
    <x v="2"/>
  </r>
  <r>
    <n v="279"/>
    <x v="0"/>
    <x v="0"/>
    <x v="4"/>
    <x v="5"/>
    <s v="Rural"/>
    <x v="0"/>
    <x v="2"/>
    <x v="2"/>
  </r>
  <r>
    <n v="280"/>
    <x v="0"/>
    <x v="0"/>
    <x v="4"/>
    <x v="5"/>
    <s v="Rural"/>
    <x v="1"/>
    <x v="2"/>
    <x v="2"/>
  </r>
  <r>
    <n v="281"/>
    <x v="0"/>
    <x v="0"/>
    <x v="4"/>
    <x v="5"/>
    <s v="Rural"/>
    <x v="0"/>
    <x v="2"/>
    <x v="2"/>
  </r>
  <r>
    <n v="282"/>
    <x v="0"/>
    <x v="0"/>
    <x v="4"/>
    <x v="5"/>
    <s v="Rural"/>
    <x v="0"/>
    <x v="0"/>
    <x v="2"/>
  </r>
  <r>
    <n v="283"/>
    <x v="0"/>
    <x v="0"/>
    <x v="4"/>
    <x v="5"/>
    <s v="Rural"/>
    <x v="1"/>
    <x v="1"/>
    <x v="2"/>
  </r>
  <r>
    <n v="284"/>
    <x v="0"/>
    <x v="0"/>
    <x v="0"/>
    <x v="5"/>
    <s v="Rural"/>
    <x v="1"/>
    <x v="1"/>
    <x v="2"/>
  </r>
  <r>
    <n v="285"/>
    <x v="0"/>
    <x v="0"/>
    <x v="0"/>
    <x v="5"/>
    <s v="Rural"/>
    <x v="0"/>
    <x v="1"/>
    <x v="2"/>
  </r>
  <r>
    <n v="286"/>
    <x v="0"/>
    <x v="0"/>
    <x v="0"/>
    <x v="5"/>
    <s v="Rural"/>
    <x v="1"/>
    <x v="0"/>
    <x v="2"/>
  </r>
  <r>
    <n v="287"/>
    <x v="0"/>
    <x v="0"/>
    <x v="0"/>
    <x v="5"/>
    <s v="Rural"/>
    <x v="1"/>
    <x v="0"/>
    <x v="2"/>
  </r>
  <r>
    <n v="288"/>
    <x v="0"/>
    <x v="0"/>
    <x v="0"/>
    <x v="5"/>
    <s v="Rural"/>
    <x v="1"/>
    <x v="1"/>
    <x v="2"/>
  </r>
  <r>
    <n v="289"/>
    <x v="0"/>
    <x v="0"/>
    <x v="0"/>
    <x v="5"/>
    <s v="Rural"/>
    <x v="1"/>
    <x v="0"/>
    <x v="2"/>
  </r>
  <r>
    <n v="290"/>
    <x v="0"/>
    <x v="0"/>
    <x v="0"/>
    <x v="5"/>
    <s v="Rural"/>
    <x v="1"/>
    <x v="0"/>
    <x v="2"/>
  </r>
  <r>
    <n v="291"/>
    <x v="0"/>
    <x v="0"/>
    <x v="0"/>
    <x v="5"/>
    <s v="Rural"/>
    <x v="0"/>
    <x v="0"/>
    <x v="2"/>
  </r>
  <r>
    <n v="292"/>
    <x v="0"/>
    <x v="0"/>
    <x v="0"/>
    <x v="5"/>
    <s v="Rural"/>
    <x v="0"/>
    <x v="1"/>
    <x v="2"/>
  </r>
  <r>
    <n v="293"/>
    <x v="0"/>
    <x v="0"/>
    <x v="0"/>
    <x v="5"/>
    <s v="Rural"/>
    <x v="1"/>
    <x v="0"/>
    <x v="2"/>
  </r>
  <r>
    <n v="294"/>
    <x v="0"/>
    <x v="0"/>
    <x v="0"/>
    <x v="5"/>
    <s v="Rural"/>
    <x v="0"/>
    <x v="0"/>
    <x v="2"/>
  </r>
  <r>
    <n v="295"/>
    <x v="0"/>
    <x v="0"/>
    <x v="0"/>
    <x v="5"/>
    <s v="Rural"/>
    <x v="1"/>
    <x v="2"/>
    <x v="2"/>
  </r>
  <r>
    <n v="296"/>
    <x v="0"/>
    <x v="0"/>
    <x v="0"/>
    <x v="5"/>
    <s v="Rural"/>
    <x v="1"/>
    <x v="1"/>
    <x v="2"/>
  </r>
  <r>
    <n v="297"/>
    <x v="0"/>
    <x v="0"/>
    <x v="0"/>
    <x v="5"/>
    <s v="Rural"/>
    <x v="1"/>
    <x v="1"/>
    <x v="2"/>
  </r>
  <r>
    <n v="298"/>
    <x v="0"/>
    <x v="0"/>
    <x v="0"/>
    <x v="5"/>
    <s v="Rural"/>
    <x v="1"/>
    <x v="1"/>
    <x v="2"/>
  </r>
  <r>
    <n v="299"/>
    <x v="0"/>
    <x v="0"/>
    <x v="0"/>
    <x v="5"/>
    <s v="Rural"/>
    <x v="1"/>
    <x v="1"/>
    <x v="2"/>
  </r>
  <r>
    <n v="300"/>
    <x v="0"/>
    <x v="0"/>
    <x v="0"/>
    <x v="5"/>
    <s v="Rural"/>
    <x v="1"/>
    <x v="0"/>
    <x v="2"/>
  </r>
  <r>
    <n v="301"/>
    <x v="0"/>
    <x v="0"/>
    <x v="0"/>
    <x v="5"/>
    <s v="Rural"/>
    <x v="1"/>
    <x v="0"/>
    <x v="2"/>
  </r>
  <r>
    <n v="302"/>
    <x v="0"/>
    <x v="0"/>
    <x v="0"/>
    <x v="5"/>
    <s v="Rural"/>
    <x v="1"/>
    <x v="1"/>
    <x v="2"/>
  </r>
  <r>
    <n v="303"/>
    <x v="0"/>
    <x v="0"/>
    <x v="0"/>
    <x v="5"/>
    <s v="Rural"/>
    <x v="1"/>
    <x v="0"/>
    <x v="2"/>
  </r>
  <r>
    <n v="304"/>
    <x v="0"/>
    <x v="0"/>
    <x v="0"/>
    <x v="5"/>
    <s v="Rural"/>
    <x v="0"/>
    <x v="1"/>
    <x v="2"/>
  </r>
  <r>
    <n v="305"/>
    <x v="0"/>
    <x v="0"/>
    <x v="0"/>
    <x v="5"/>
    <s v="Rural"/>
    <x v="0"/>
    <x v="2"/>
    <x v="2"/>
  </r>
  <r>
    <n v="306"/>
    <x v="0"/>
    <x v="0"/>
    <x v="0"/>
    <x v="5"/>
    <s v="Rural"/>
    <x v="1"/>
    <x v="1"/>
    <x v="2"/>
  </r>
  <r>
    <n v="307"/>
    <x v="0"/>
    <x v="0"/>
    <x v="0"/>
    <x v="5"/>
    <s v="Rural"/>
    <x v="1"/>
    <x v="0"/>
    <x v="2"/>
  </r>
  <r>
    <n v="308"/>
    <x v="0"/>
    <x v="0"/>
    <x v="0"/>
    <x v="5"/>
    <s v="Rural"/>
    <x v="1"/>
    <x v="1"/>
    <x v="2"/>
  </r>
  <r>
    <n v="309"/>
    <x v="0"/>
    <x v="0"/>
    <x v="0"/>
    <x v="5"/>
    <s v="Rural"/>
    <x v="1"/>
    <x v="0"/>
    <x v="2"/>
  </r>
  <r>
    <n v="310"/>
    <x v="0"/>
    <x v="0"/>
    <x v="0"/>
    <x v="5"/>
    <s v="Rural"/>
    <x v="1"/>
    <x v="1"/>
    <x v="2"/>
  </r>
  <r>
    <n v="311"/>
    <x v="0"/>
    <x v="0"/>
    <x v="0"/>
    <x v="5"/>
    <s v="Rural"/>
    <x v="0"/>
    <x v="0"/>
    <x v="2"/>
  </r>
  <r>
    <n v="312"/>
    <x v="0"/>
    <x v="0"/>
    <x v="0"/>
    <x v="5"/>
    <s v="Rural"/>
    <x v="1"/>
    <x v="2"/>
    <x v="2"/>
  </r>
  <r>
    <n v="313"/>
    <x v="0"/>
    <x v="0"/>
    <x v="0"/>
    <x v="5"/>
    <s v="Rural"/>
    <x v="0"/>
    <x v="1"/>
    <x v="2"/>
  </r>
  <r>
    <n v="314"/>
    <x v="0"/>
    <x v="0"/>
    <x v="0"/>
    <x v="5"/>
    <s v="Rural"/>
    <x v="1"/>
    <x v="0"/>
    <x v="2"/>
  </r>
  <r>
    <n v="315"/>
    <x v="0"/>
    <x v="0"/>
    <x v="0"/>
    <x v="5"/>
    <s v="Rural"/>
    <x v="0"/>
    <x v="0"/>
    <x v="2"/>
  </r>
  <r>
    <n v="316"/>
    <x v="0"/>
    <x v="0"/>
    <x v="0"/>
    <x v="5"/>
    <s v="Rural"/>
    <x v="0"/>
    <x v="0"/>
    <x v="2"/>
  </r>
  <r>
    <n v="317"/>
    <x v="0"/>
    <x v="0"/>
    <x v="0"/>
    <x v="5"/>
    <s v="Rural"/>
    <x v="1"/>
    <x v="0"/>
    <x v="2"/>
  </r>
  <r>
    <n v="318"/>
    <x v="0"/>
    <x v="0"/>
    <x v="0"/>
    <x v="5"/>
    <s v="Rural"/>
    <x v="0"/>
    <x v="1"/>
    <x v="2"/>
  </r>
  <r>
    <n v="319"/>
    <x v="0"/>
    <x v="0"/>
    <x v="0"/>
    <x v="5"/>
    <s v="Rural"/>
    <x v="1"/>
    <x v="0"/>
    <x v="2"/>
  </r>
  <r>
    <n v="320"/>
    <x v="0"/>
    <x v="0"/>
    <x v="0"/>
    <x v="5"/>
    <s v="Rural"/>
    <x v="0"/>
    <x v="0"/>
    <x v="2"/>
  </r>
  <r>
    <n v="321"/>
    <x v="0"/>
    <x v="0"/>
    <x v="0"/>
    <x v="5"/>
    <s v="Rural"/>
    <x v="1"/>
    <x v="1"/>
    <x v="2"/>
  </r>
  <r>
    <n v="322"/>
    <x v="0"/>
    <x v="0"/>
    <x v="0"/>
    <x v="5"/>
    <s v="Rural"/>
    <x v="0"/>
    <x v="0"/>
    <x v="2"/>
  </r>
  <r>
    <n v="323"/>
    <x v="0"/>
    <x v="0"/>
    <x v="0"/>
    <x v="5"/>
    <s v="Rural"/>
    <x v="0"/>
    <x v="0"/>
    <x v="2"/>
  </r>
  <r>
    <n v="324"/>
    <x v="0"/>
    <x v="0"/>
    <x v="0"/>
    <x v="5"/>
    <s v="Rural"/>
    <x v="0"/>
    <x v="2"/>
    <x v="2"/>
  </r>
  <r>
    <n v="325"/>
    <x v="0"/>
    <x v="0"/>
    <x v="0"/>
    <x v="5"/>
    <s v="Rural"/>
    <x v="1"/>
    <x v="0"/>
    <x v="2"/>
  </r>
  <r>
    <n v="326"/>
    <x v="0"/>
    <x v="0"/>
    <x v="0"/>
    <x v="5"/>
    <s v="Rural"/>
    <x v="1"/>
    <x v="0"/>
    <x v="2"/>
  </r>
  <r>
    <n v="327"/>
    <x v="0"/>
    <x v="0"/>
    <x v="0"/>
    <x v="5"/>
    <s v="Rural"/>
    <x v="1"/>
    <x v="0"/>
    <x v="2"/>
  </r>
  <r>
    <n v="328"/>
    <x v="0"/>
    <x v="0"/>
    <x v="0"/>
    <x v="5"/>
    <s v="Rural"/>
    <x v="0"/>
    <x v="2"/>
    <x v="2"/>
  </r>
  <r>
    <n v="329"/>
    <x v="0"/>
    <x v="0"/>
    <x v="0"/>
    <x v="5"/>
    <s v="Rural"/>
    <x v="0"/>
    <x v="0"/>
    <x v="2"/>
  </r>
  <r>
    <n v="330"/>
    <x v="0"/>
    <x v="0"/>
    <x v="0"/>
    <x v="5"/>
    <s v="Rural"/>
    <x v="0"/>
    <x v="0"/>
    <x v="2"/>
  </r>
  <r>
    <n v="331"/>
    <x v="0"/>
    <x v="0"/>
    <x v="0"/>
    <x v="5"/>
    <s v="Rural"/>
    <x v="0"/>
    <x v="0"/>
    <x v="2"/>
  </r>
  <r>
    <n v="332"/>
    <x v="0"/>
    <x v="0"/>
    <x v="0"/>
    <x v="5"/>
    <s v="Rural"/>
    <x v="0"/>
    <x v="0"/>
    <x v="2"/>
  </r>
  <r>
    <n v="333"/>
    <x v="0"/>
    <x v="0"/>
    <x v="0"/>
    <x v="5"/>
    <s v="Rural"/>
    <x v="0"/>
    <x v="0"/>
    <x v="2"/>
  </r>
  <r>
    <n v="334"/>
    <x v="0"/>
    <x v="0"/>
    <x v="0"/>
    <x v="5"/>
    <s v="Rural"/>
    <x v="1"/>
    <x v="0"/>
    <x v="2"/>
  </r>
  <r>
    <n v="335"/>
    <x v="0"/>
    <x v="0"/>
    <x v="0"/>
    <x v="5"/>
    <s v="Rural"/>
    <x v="1"/>
    <x v="2"/>
    <x v="2"/>
  </r>
  <r>
    <n v="336"/>
    <x v="0"/>
    <x v="0"/>
    <x v="0"/>
    <x v="5"/>
    <s v="Rural"/>
    <x v="1"/>
    <x v="0"/>
    <x v="2"/>
  </r>
  <r>
    <n v="337"/>
    <x v="0"/>
    <x v="0"/>
    <x v="0"/>
    <x v="5"/>
    <s v="Rural"/>
    <x v="0"/>
    <x v="0"/>
    <x v="2"/>
  </r>
  <r>
    <n v="338"/>
    <x v="0"/>
    <x v="0"/>
    <x v="0"/>
    <x v="5"/>
    <s v="Rural"/>
    <x v="0"/>
    <x v="0"/>
    <x v="2"/>
  </r>
  <r>
    <n v="339"/>
    <x v="0"/>
    <x v="0"/>
    <x v="0"/>
    <x v="5"/>
    <s v="Rural"/>
    <x v="0"/>
    <x v="0"/>
    <x v="2"/>
  </r>
  <r>
    <n v="340"/>
    <x v="0"/>
    <x v="0"/>
    <x v="0"/>
    <x v="5"/>
    <s v="Rural"/>
    <x v="1"/>
    <x v="0"/>
    <x v="2"/>
  </r>
  <r>
    <n v="341"/>
    <x v="0"/>
    <x v="0"/>
    <x v="0"/>
    <x v="5"/>
    <s v="Rural"/>
    <x v="1"/>
    <x v="0"/>
    <x v="2"/>
  </r>
  <r>
    <n v="342"/>
    <x v="0"/>
    <x v="0"/>
    <x v="0"/>
    <x v="5"/>
    <s v="Rural"/>
    <x v="0"/>
    <x v="0"/>
    <x v="2"/>
  </r>
  <r>
    <n v="343"/>
    <x v="0"/>
    <x v="0"/>
    <x v="0"/>
    <x v="5"/>
    <s v="Rural"/>
    <x v="0"/>
    <x v="0"/>
    <x v="2"/>
  </r>
  <r>
    <n v="344"/>
    <x v="0"/>
    <x v="0"/>
    <x v="0"/>
    <x v="5"/>
    <s v="Rural"/>
    <x v="1"/>
    <x v="0"/>
    <x v="2"/>
  </r>
  <r>
    <n v="345"/>
    <x v="0"/>
    <x v="0"/>
    <x v="0"/>
    <x v="5"/>
    <s v="Rural"/>
    <x v="0"/>
    <x v="0"/>
    <x v="2"/>
  </r>
  <r>
    <n v="346"/>
    <x v="0"/>
    <x v="0"/>
    <x v="0"/>
    <x v="5"/>
    <s v="Rural"/>
    <x v="1"/>
    <x v="0"/>
    <x v="2"/>
  </r>
  <r>
    <n v="347"/>
    <x v="0"/>
    <x v="0"/>
    <x v="0"/>
    <x v="5"/>
    <s v="Rural"/>
    <x v="1"/>
    <x v="0"/>
    <x v="2"/>
  </r>
  <r>
    <n v="348"/>
    <x v="0"/>
    <x v="0"/>
    <x v="0"/>
    <x v="5"/>
    <s v="Rural"/>
    <x v="1"/>
    <x v="0"/>
    <x v="2"/>
  </r>
  <r>
    <n v="349"/>
    <x v="0"/>
    <x v="0"/>
    <x v="0"/>
    <x v="5"/>
    <s v="Rural"/>
    <x v="1"/>
    <x v="0"/>
    <x v="2"/>
  </r>
  <r>
    <n v="350"/>
    <x v="0"/>
    <x v="0"/>
    <x v="0"/>
    <x v="5"/>
    <s v="Rural"/>
    <x v="0"/>
    <x v="0"/>
    <x v="2"/>
  </r>
  <r>
    <n v="351"/>
    <x v="0"/>
    <x v="0"/>
    <x v="0"/>
    <x v="5"/>
    <s v="Rural"/>
    <x v="1"/>
    <x v="0"/>
    <x v="2"/>
  </r>
  <r>
    <n v="352"/>
    <x v="0"/>
    <x v="0"/>
    <x v="0"/>
    <x v="5"/>
    <s v="Rural"/>
    <x v="0"/>
    <x v="0"/>
    <x v="2"/>
  </r>
  <r>
    <n v="353"/>
    <x v="0"/>
    <x v="0"/>
    <x v="0"/>
    <x v="5"/>
    <s v="Rural"/>
    <x v="1"/>
    <x v="0"/>
    <x v="2"/>
  </r>
  <r>
    <n v="354"/>
    <x v="0"/>
    <x v="0"/>
    <x v="0"/>
    <x v="5"/>
    <s v="Rural"/>
    <x v="1"/>
    <x v="0"/>
    <x v="2"/>
  </r>
  <r>
    <n v="355"/>
    <x v="0"/>
    <x v="0"/>
    <x v="0"/>
    <x v="5"/>
    <s v="Rural"/>
    <x v="1"/>
    <x v="0"/>
    <x v="2"/>
  </r>
  <r>
    <n v="356"/>
    <x v="0"/>
    <x v="0"/>
    <x v="0"/>
    <x v="5"/>
    <s v="Rural"/>
    <x v="1"/>
    <x v="0"/>
    <x v="2"/>
  </r>
  <r>
    <n v="357"/>
    <x v="0"/>
    <x v="0"/>
    <x v="0"/>
    <x v="5"/>
    <s v="Rural"/>
    <x v="0"/>
    <x v="0"/>
    <x v="2"/>
  </r>
  <r>
    <n v="358"/>
    <x v="0"/>
    <x v="0"/>
    <x v="0"/>
    <x v="5"/>
    <s v="Rural"/>
    <x v="0"/>
    <x v="0"/>
    <x v="2"/>
  </r>
  <r>
    <n v="359"/>
    <x v="0"/>
    <x v="0"/>
    <x v="0"/>
    <x v="5"/>
    <s v="Rural"/>
    <x v="1"/>
    <x v="0"/>
    <x v="2"/>
  </r>
  <r>
    <n v="360"/>
    <x v="0"/>
    <x v="0"/>
    <x v="0"/>
    <x v="5"/>
    <s v="Rural"/>
    <x v="1"/>
    <x v="0"/>
    <x v="2"/>
  </r>
  <r>
    <n v="361"/>
    <x v="0"/>
    <x v="0"/>
    <x v="0"/>
    <x v="5"/>
    <s v="Rural"/>
    <x v="0"/>
    <x v="0"/>
    <x v="2"/>
  </r>
  <r>
    <n v="362"/>
    <x v="0"/>
    <x v="0"/>
    <x v="0"/>
    <x v="5"/>
    <s v="Rural"/>
    <x v="0"/>
    <x v="0"/>
    <x v="2"/>
  </r>
  <r>
    <n v="363"/>
    <x v="0"/>
    <x v="0"/>
    <x v="0"/>
    <x v="5"/>
    <s v="Rural"/>
    <x v="1"/>
    <x v="0"/>
    <x v="2"/>
  </r>
  <r>
    <n v="364"/>
    <x v="0"/>
    <x v="0"/>
    <x v="1"/>
    <x v="5"/>
    <s v="Rural"/>
    <x v="1"/>
    <x v="0"/>
    <x v="2"/>
  </r>
  <r>
    <n v="365"/>
    <x v="0"/>
    <x v="0"/>
    <x v="1"/>
    <x v="5"/>
    <s v="Rural"/>
    <x v="1"/>
    <x v="1"/>
    <x v="2"/>
  </r>
  <r>
    <n v="366"/>
    <x v="0"/>
    <x v="0"/>
    <x v="1"/>
    <x v="5"/>
    <s v="Rural"/>
    <x v="1"/>
    <x v="1"/>
    <x v="2"/>
  </r>
  <r>
    <n v="367"/>
    <x v="0"/>
    <x v="0"/>
    <x v="1"/>
    <x v="5"/>
    <s v="Rural"/>
    <x v="1"/>
    <x v="1"/>
    <x v="2"/>
  </r>
  <r>
    <n v="368"/>
    <x v="0"/>
    <x v="0"/>
    <x v="1"/>
    <x v="5"/>
    <s v="Rural"/>
    <x v="0"/>
    <x v="1"/>
    <x v="2"/>
  </r>
  <r>
    <n v="369"/>
    <x v="0"/>
    <x v="0"/>
    <x v="1"/>
    <x v="5"/>
    <s v="Rural"/>
    <x v="0"/>
    <x v="1"/>
    <x v="2"/>
  </r>
  <r>
    <n v="370"/>
    <x v="0"/>
    <x v="0"/>
    <x v="1"/>
    <x v="5"/>
    <s v="Rural"/>
    <x v="0"/>
    <x v="2"/>
    <x v="2"/>
  </r>
  <r>
    <n v="371"/>
    <x v="0"/>
    <x v="0"/>
    <x v="1"/>
    <x v="5"/>
    <s v="Rural"/>
    <x v="0"/>
    <x v="2"/>
    <x v="2"/>
  </r>
  <r>
    <n v="372"/>
    <x v="0"/>
    <x v="0"/>
    <x v="1"/>
    <x v="5"/>
    <s v="Rural"/>
    <x v="0"/>
    <x v="1"/>
    <x v="2"/>
  </r>
  <r>
    <n v="373"/>
    <x v="0"/>
    <x v="0"/>
    <x v="1"/>
    <x v="5"/>
    <s v="Rural"/>
    <x v="0"/>
    <x v="2"/>
    <x v="2"/>
  </r>
  <r>
    <n v="374"/>
    <x v="0"/>
    <x v="0"/>
    <x v="1"/>
    <x v="5"/>
    <s v="Rural"/>
    <x v="1"/>
    <x v="2"/>
    <x v="2"/>
  </r>
  <r>
    <n v="375"/>
    <x v="0"/>
    <x v="0"/>
    <x v="1"/>
    <x v="5"/>
    <s v="Rural"/>
    <x v="1"/>
    <x v="2"/>
    <x v="2"/>
  </r>
  <r>
    <n v="376"/>
    <x v="0"/>
    <x v="0"/>
    <x v="1"/>
    <x v="5"/>
    <s v="Rural"/>
    <x v="0"/>
    <x v="1"/>
    <x v="2"/>
  </r>
  <r>
    <n v="377"/>
    <x v="0"/>
    <x v="0"/>
    <x v="1"/>
    <x v="5"/>
    <s v="Rural"/>
    <x v="0"/>
    <x v="1"/>
    <x v="2"/>
  </r>
  <r>
    <n v="378"/>
    <x v="0"/>
    <x v="0"/>
    <x v="1"/>
    <x v="5"/>
    <s v="Rural"/>
    <x v="1"/>
    <x v="2"/>
    <x v="2"/>
  </r>
  <r>
    <n v="379"/>
    <x v="0"/>
    <x v="0"/>
    <x v="1"/>
    <x v="5"/>
    <s v="Rural"/>
    <x v="0"/>
    <x v="2"/>
    <x v="2"/>
  </r>
  <r>
    <n v="380"/>
    <x v="0"/>
    <x v="0"/>
    <x v="1"/>
    <x v="5"/>
    <s v="Rural"/>
    <x v="0"/>
    <x v="2"/>
    <x v="2"/>
  </r>
  <r>
    <n v="381"/>
    <x v="0"/>
    <x v="0"/>
    <x v="1"/>
    <x v="5"/>
    <s v="Rural"/>
    <x v="1"/>
    <x v="2"/>
    <x v="2"/>
  </r>
  <r>
    <n v="382"/>
    <x v="0"/>
    <x v="0"/>
    <x v="1"/>
    <x v="5"/>
    <s v="Rural"/>
    <x v="1"/>
    <x v="2"/>
    <x v="2"/>
  </r>
  <r>
    <n v="383"/>
    <x v="0"/>
    <x v="0"/>
    <x v="1"/>
    <x v="5"/>
    <s v="Rural"/>
    <x v="0"/>
    <x v="2"/>
    <x v="2"/>
  </r>
  <r>
    <n v="384"/>
    <x v="0"/>
    <x v="0"/>
    <x v="1"/>
    <x v="5"/>
    <s v="Rural"/>
    <x v="1"/>
    <x v="2"/>
    <x v="2"/>
  </r>
  <r>
    <n v="385"/>
    <x v="0"/>
    <x v="0"/>
    <x v="1"/>
    <x v="5"/>
    <s v="Rural"/>
    <x v="0"/>
    <x v="2"/>
    <x v="2"/>
  </r>
  <r>
    <n v="386"/>
    <x v="0"/>
    <x v="0"/>
    <x v="1"/>
    <x v="5"/>
    <s v="Rural"/>
    <x v="1"/>
    <x v="2"/>
    <x v="2"/>
  </r>
  <r>
    <n v="387"/>
    <x v="0"/>
    <x v="0"/>
    <x v="1"/>
    <x v="5"/>
    <s v="Rural"/>
    <x v="1"/>
    <x v="2"/>
    <x v="2"/>
  </r>
  <r>
    <n v="388"/>
    <x v="0"/>
    <x v="0"/>
    <x v="4"/>
    <x v="11"/>
    <s v="Rural"/>
    <x v="1"/>
    <x v="2"/>
    <x v="2"/>
  </r>
  <r>
    <n v="389"/>
    <x v="0"/>
    <x v="0"/>
    <x v="4"/>
    <x v="11"/>
    <s v="Rural"/>
    <x v="0"/>
    <x v="1"/>
    <x v="2"/>
  </r>
  <r>
    <n v="390"/>
    <x v="0"/>
    <x v="0"/>
    <x v="4"/>
    <x v="11"/>
    <s v="Rural"/>
    <x v="0"/>
    <x v="0"/>
    <x v="2"/>
  </r>
  <r>
    <n v="391"/>
    <x v="0"/>
    <x v="0"/>
    <x v="4"/>
    <x v="11"/>
    <s v="Rural"/>
    <x v="0"/>
    <x v="0"/>
    <x v="2"/>
  </r>
  <r>
    <n v="392"/>
    <x v="0"/>
    <x v="0"/>
    <x v="4"/>
    <x v="11"/>
    <s v="Rural"/>
    <x v="0"/>
    <x v="0"/>
    <x v="2"/>
  </r>
  <r>
    <n v="393"/>
    <x v="0"/>
    <x v="0"/>
    <x v="4"/>
    <x v="11"/>
    <s v="Rural"/>
    <x v="0"/>
    <x v="1"/>
    <x v="2"/>
  </r>
  <r>
    <n v="394"/>
    <x v="0"/>
    <x v="0"/>
    <x v="4"/>
    <x v="11"/>
    <s v="Rural"/>
    <x v="1"/>
    <x v="1"/>
    <x v="2"/>
  </r>
  <r>
    <n v="395"/>
    <x v="0"/>
    <x v="0"/>
    <x v="4"/>
    <x v="11"/>
    <s v="Rural"/>
    <x v="1"/>
    <x v="1"/>
    <x v="2"/>
  </r>
  <r>
    <n v="396"/>
    <x v="0"/>
    <x v="0"/>
    <x v="4"/>
    <x v="11"/>
    <s v="Rural"/>
    <x v="1"/>
    <x v="1"/>
    <x v="2"/>
  </r>
  <r>
    <n v="397"/>
    <x v="0"/>
    <x v="0"/>
    <x v="4"/>
    <x v="11"/>
    <s v="Rural"/>
    <x v="0"/>
    <x v="1"/>
    <x v="2"/>
  </r>
  <r>
    <n v="398"/>
    <x v="0"/>
    <x v="0"/>
    <x v="4"/>
    <x v="11"/>
    <s v="Rural"/>
    <x v="1"/>
    <x v="0"/>
    <x v="2"/>
  </r>
  <r>
    <n v="399"/>
    <x v="0"/>
    <x v="0"/>
    <x v="4"/>
    <x v="11"/>
    <s v="Rural"/>
    <x v="0"/>
    <x v="0"/>
    <x v="2"/>
  </r>
  <r>
    <n v="400"/>
    <x v="0"/>
    <x v="0"/>
    <x v="4"/>
    <x v="11"/>
    <s v="Rural"/>
    <x v="1"/>
    <x v="1"/>
    <x v="2"/>
  </r>
  <r>
    <n v="401"/>
    <x v="0"/>
    <x v="0"/>
    <x v="4"/>
    <x v="11"/>
    <s v="Rural"/>
    <x v="1"/>
    <x v="2"/>
    <x v="2"/>
  </r>
  <r>
    <n v="402"/>
    <x v="0"/>
    <x v="0"/>
    <x v="0"/>
    <x v="11"/>
    <s v="Rural"/>
    <x v="0"/>
    <x v="0"/>
    <x v="2"/>
  </r>
  <r>
    <n v="403"/>
    <x v="0"/>
    <x v="0"/>
    <x v="0"/>
    <x v="11"/>
    <s v="Rural"/>
    <x v="1"/>
    <x v="0"/>
    <x v="2"/>
  </r>
  <r>
    <n v="404"/>
    <x v="0"/>
    <x v="0"/>
    <x v="0"/>
    <x v="11"/>
    <s v="Rural"/>
    <x v="1"/>
    <x v="0"/>
    <x v="2"/>
  </r>
  <r>
    <n v="405"/>
    <x v="0"/>
    <x v="0"/>
    <x v="0"/>
    <x v="11"/>
    <s v="Rural"/>
    <x v="0"/>
    <x v="0"/>
    <x v="2"/>
  </r>
  <r>
    <n v="406"/>
    <x v="0"/>
    <x v="0"/>
    <x v="0"/>
    <x v="11"/>
    <s v="Rural"/>
    <x v="0"/>
    <x v="0"/>
    <x v="2"/>
  </r>
  <r>
    <n v="407"/>
    <x v="0"/>
    <x v="0"/>
    <x v="0"/>
    <x v="11"/>
    <s v="Rural"/>
    <x v="1"/>
    <x v="0"/>
    <x v="2"/>
  </r>
  <r>
    <n v="408"/>
    <x v="0"/>
    <x v="0"/>
    <x v="0"/>
    <x v="11"/>
    <s v="Rural"/>
    <x v="0"/>
    <x v="0"/>
    <x v="2"/>
  </r>
  <r>
    <n v="409"/>
    <x v="0"/>
    <x v="0"/>
    <x v="0"/>
    <x v="11"/>
    <s v="Rural"/>
    <x v="1"/>
    <x v="0"/>
    <x v="2"/>
  </r>
  <r>
    <n v="410"/>
    <x v="0"/>
    <x v="0"/>
    <x v="0"/>
    <x v="11"/>
    <s v="Rural"/>
    <x v="0"/>
    <x v="0"/>
    <x v="2"/>
  </r>
  <r>
    <n v="411"/>
    <x v="0"/>
    <x v="0"/>
    <x v="0"/>
    <x v="11"/>
    <s v="Rural"/>
    <x v="1"/>
    <x v="0"/>
    <x v="2"/>
  </r>
  <r>
    <n v="412"/>
    <x v="0"/>
    <x v="0"/>
    <x v="0"/>
    <x v="11"/>
    <s v="Rural"/>
    <x v="0"/>
    <x v="0"/>
    <x v="2"/>
  </r>
  <r>
    <n v="413"/>
    <x v="0"/>
    <x v="0"/>
    <x v="0"/>
    <x v="11"/>
    <s v="Rural"/>
    <x v="1"/>
    <x v="0"/>
    <x v="2"/>
  </r>
  <r>
    <n v="414"/>
    <x v="0"/>
    <x v="0"/>
    <x v="0"/>
    <x v="11"/>
    <s v="Rural"/>
    <x v="0"/>
    <x v="0"/>
    <x v="2"/>
  </r>
  <r>
    <n v="415"/>
    <x v="0"/>
    <x v="0"/>
    <x v="0"/>
    <x v="11"/>
    <s v="Rural"/>
    <x v="1"/>
    <x v="0"/>
    <x v="2"/>
  </r>
  <r>
    <n v="416"/>
    <x v="0"/>
    <x v="0"/>
    <x v="0"/>
    <x v="11"/>
    <s v="Rural"/>
    <x v="0"/>
    <x v="0"/>
    <x v="2"/>
  </r>
  <r>
    <n v="417"/>
    <x v="0"/>
    <x v="0"/>
    <x v="0"/>
    <x v="11"/>
    <s v="Rural"/>
    <x v="1"/>
    <x v="0"/>
    <x v="2"/>
  </r>
  <r>
    <n v="418"/>
    <x v="0"/>
    <x v="0"/>
    <x v="0"/>
    <x v="11"/>
    <s v="Rural"/>
    <x v="1"/>
    <x v="0"/>
    <x v="2"/>
  </r>
  <r>
    <n v="419"/>
    <x v="0"/>
    <x v="0"/>
    <x v="0"/>
    <x v="11"/>
    <s v="Rural"/>
    <x v="1"/>
    <x v="0"/>
    <x v="2"/>
  </r>
  <r>
    <n v="420"/>
    <x v="0"/>
    <x v="0"/>
    <x v="0"/>
    <x v="11"/>
    <s v="Rural"/>
    <x v="1"/>
    <x v="0"/>
    <x v="2"/>
  </r>
  <r>
    <n v="421"/>
    <x v="0"/>
    <x v="0"/>
    <x v="0"/>
    <x v="11"/>
    <s v="Rural"/>
    <x v="0"/>
    <x v="0"/>
    <x v="2"/>
  </r>
  <r>
    <n v="422"/>
    <x v="0"/>
    <x v="0"/>
    <x v="0"/>
    <x v="11"/>
    <s v="Rural"/>
    <x v="1"/>
    <x v="0"/>
    <x v="2"/>
  </r>
  <r>
    <n v="423"/>
    <x v="0"/>
    <x v="0"/>
    <x v="0"/>
    <x v="11"/>
    <s v="Rural"/>
    <x v="0"/>
    <x v="0"/>
    <x v="2"/>
  </r>
  <r>
    <n v="424"/>
    <x v="0"/>
    <x v="0"/>
    <x v="0"/>
    <x v="11"/>
    <s v="Rural"/>
    <x v="0"/>
    <x v="0"/>
    <x v="2"/>
  </r>
  <r>
    <n v="425"/>
    <x v="0"/>
    <x v="0"/>
    <x v="0"/>
    <x v="11"/>
    <s v="Rural"/>
    <x v="1"/>
    <x v="0"/>
    <x v="2"/>
  </r>
  <r>
    <n v="426"/>
    <x v="0"/>
    <x v="0"/>
    <x v="0"/>
    <x v="11"/>
    <s v="Rural"/>
    <x v="0"/>
    <x v="0"/>
    <x v="2"/>
  </r>
  <r>
    <n v="427"/>
    <x v="0"/>
    <x v="0"/>
    <x v="0"/>
    <x v="11"/>
    <s v="Rural"/>
    <x v="0"/>
    <x v="0"/>
    <x v="2"/>
  </r>
  <r>
    <n v="428"/>
    <x v="0"/>
    <x v="0"/>
    <x v="0"/>
    <x v="11"/>
    <s v="Rural"/>
    <x v="1"/>
    <x v="1"/>
    <x v="2"/>
  </r>
  <r>
    <n v="429"/>
    <x v="0"/>
    <x v="0"/>
    <x v="0"/>
    <x v="11"/>
    <s v="Rural"/>
    <x v="0"/>
    <x v="0"/>
    <x v="2"/>
  </r>
  <r>
    <n v="430"/>
    <x v="0"/>
    <x v="0"/>
    <x v="1"/>
    <x v="11"/>
    <s v="Rural"/>
    <x v="1"/>
    <x v="1"/>
    <x v="2"/>
  </r>
  <r>
    <n v="431"/>
    <x v="0"/>
    <x v="0"/>
    <x v="1"/>
    <x v="11"/>
    <s v="Rural"/>
    <x v="0"/>
    <x v="1"/>
    <x v="2"/>
  </r>
  <r>
    <n v="432"/>
    <x v="0"/>
    <x v="0"/>
    <x v="1"/>
    <x v="11"/>
    <s v="Rural"/>
    <x v="1"/>
    <x v="1"/>
    <x v="2"/>
  </r>
  <r>
    <n v="433"/>
    <x v="0"/>
    <x v="0"/>
    <x v="1"/>
    <x v="11"/>
    <s v="Rural"/>
    <x v="1"/>
    <x v="2"/>
    <x v="2"/>
  </r>
  <r>
    <n v="434"/>
    <x v="0"/>
    <x v="0"/>
    <x v="1"/>
    <x v="11"/>
    <s v="Rural"/>
    <x v="1"/>
    <x v="2"/>
    <x v="2"/>
  </r>
  <r>
    <n v="435"/>
    <x v="0"/>
    <x v="0"/>
    <x v="1"/>
    <x v="11"/>
    <s v="Rural"/>
    <x v="0"/>
    <x v="0"/>
    <x v="2"/>
  </r>
  <r>
    <n v="436"/>
    <x v="0"/>
    <x v="0"/>
    <x v="1"/>
    <x v="11"/>
    <s v="Rural"/>
    <x v="1"/>
    <x v="1"/>
    <x v="2"/>
  </r>
  <r>
    <n v="437"/>
    <x v="0"/>
    <x v="0"/>
    <x v="1"/>
    <x v="11"/>
    <s v="Rural"/>
    <x v="0"/>
    <x v="1"/>
    <x v="2"/>
  </r>
  <r>
    <n v="438"/>
    <x v="0"/>
    <x v="0"/>
    <x v="1"/>
    <x v="11"/>
    <s v="Rural"/>
    <x v="0"/>
    <x v="0"/>
    <x v="2"/>
  </r>
  <r>
    <n v="439"/>
    <x v="0"/>
    <x v="0"/>
    <x v="1"/>
    <x v="11"/>
    <s v="Rural"/>
    <x v="1"/>
    <x v="0"/>
    <x v="2"/>
  </r>
  <r>
    <n v="440"/>
    <x v="0"/>
    <x v="0"/>
    <x v="1"/>
    <x v="11"/>
    <s v="Rural"/>
    <x v="0"/>
    <x v="0"/>
    <x v="2"/>
  </r>
  <r>
    <n v="441"/>
    <x v="0"/>
    <x v="0"/>
    <x v="1"/>
    <x v="11"/>
    <s v="Rural"/>
    <x v="0"/>
    <x v="1"/>
    <x v="2"/>
  </r>
  <r>
    <n v="442"/>
    <x v="0"/>
    <x v="0"/>
    <x v="1"/>
    <x v="11"/>
    <s v="Rural"/>
    <x v="0"/>
    <x v="1"/>
    <x v="2"/>
  </r>
  <r>
    <n v="443"/>
    <x v="0"/>
    <x v="0"/>
    <x v="1"/>
    <x v="11"/>
    <s v="Rural"/>
    <x v="1"/>
    <x v="1"/>
    <x v="2"/>
  </r>
  <r>
    <n v="444"/>
    <x v="0"/>
    <x v="0"/>
    <x v="1"/>
    <x v="11"/>
    <s v="Rural"/>
    <x v="1"/>
    <x v="1"/>
    <x v="2"/>
  </r>
  <r>
    <n v="445"/>
    <x v="0"/>
    <x v="0"/>
    <x v="1"/>
    <x v="11"/>
    <s v="Rural"/>
    <x v="0"/>
    <x v="0"/>
    <x v="2"/>
  </r>
  <r>
    <n v="446"/>
    <x v="0"/>
    <x v="0"/>
    <x v="1"/>
    <x v="11"/>
    <s v="Rural"/>
    <x v="0"/>
    <x v="1"/>
    <x v="2"/>
  </r>
  <r>
    <n v="447"/>
    <x v="0"/>
    <x v="0"/>
    <x v="1"/>
    <x v="11"/>
    <s v="Rural"/>
    <x v="0"/>
    <x v="0"/>
    <x v="2"/>
  </r>
  <r>
    <n v="448"/>
    <x v="0"/>
    <x v="0"/>
    <x v="1"/>
    <x v="11"/>
    <s v="Rural"/>
    <x v="1"/>
    <x v="1"/>
    <x v="2"/>
  </r>
  <r>
    <n v="449"/>
    <x v="0"/>
    <x v="0"/>
    <x v="1"/>
    <x v="11"/>
    <s v="Rural"/>
    <x v="0"/>
    <x v="1"/>
    <x v="2"/>
  </r>
  <r>
    <n v="450"/>
    <x v="0"/>
    <x v="0"/>
    <x v="1"/>
    <x v="11"/>
    <s v="Rural"/>
    <x v="1"/>
    <x v="1"/>
    <x v="2"/>
  </r>
  <r>
    <n v="451"/>
    <x v="0"/>
    <x v="0"/>
    <x v="1"/>
    <x v="11"/>
    <s v="Rural"/>
    <x v="0"/>
    <x v="1"/>
    <x v="2"/>
  </r>
  <r>
    <n v="452"/>
    <x v="0"/>
    <x v="0"/>
    <x v="1"/>
    <x v="11"/>
    <s v="Rural"/>
    <x v="1"/>
    <x v="2"/>
    <x v="2"/>
  </r>
  <r>
    <n v="453"/>
    <x v="0"/>
    <x v="0"/>
    <x v="1"/>
    <x v="11"/>
    <s v="Rural"/>
    <x v="0"/>
    <x v="1"/>
    <x v="2"/>
  </r>
  <r>
    <n v="454"/>
    <x v="0"/>
    <x v="0"/>
    <x v="1"/>
    <x v="11"/>
    <s v="Rural"/>
    <x v="0"/>
    <x v="0"/>
    <x v="2"/>
  </r>
  <r>
    <n v="455"/>
    <x v="0"/>
    <x v="0"/>
    <x v="1"/>
    <x v="11"/>
    <s v="Rural"/>
    <x v="0"/>
    <x v="0"/>
    <x v="2"/>
  </r>
  <r>
    <n v="456"/>
    <x v="0"/>
    <x v="0"/>
    <x v="1"/>
    <x v="11"/>
    <s v="Rural"/>
    <x v="0"/>
    <x v="1"/>
    <x v="2"/>
  </r>
  <r>
    <n v="457"/>
    <x v="0"/>
    <x v="0"/>
    <x v="1"/>
    <x v="11"/>
    <s v="Rural"/>
    <x v="0"/>
    <x v="0"/>
    <x v="2"/>
  </r>
  <r>
    <n v="458"/>
    <x v="0"/>
    <x v="0"/>
    <x v="1"/>
    <x v="11"/>
    <s v="Rural"/>
    <x v="1"/>
    <x v="1"/>
    <x v="2"/>
  </r>
  <r>
    <n v="459"/>
    <x v="0"/>
    <x v="0"/>
    <x v="1"/>
    <x v="11"/>
    <s v="Rural"/>
    <x v="0"/>
    <x v="1"/>
    <x v="2"/>
  </r>
  <r>
    <n v="460"/>
    <x v="0"/>
    <x v="0"/>
    <x v="4"/>
    <x v="9"/>
    <s v="Rural"/>
    <x v="0"/>
    <x v="2"/>
    <x v="2"/>
  </r>
  <r>
    <n v="461"/>
    <x v="0"/>
    <x v="0"/>
    <x v="0"/>
    <x v="9"/>
    <s v="Rural"/>
    <x v="0"/>
    <x v="1"/>
    <x v="2"/>
  </r>
  <r>
    <n v="462"/>
    <x v="0"/>
    <x v="0"/>
    <x v="1"/>
    <x v="9"/>
    <s v="Rural"/>
    <x v="1"/>
    <x v="1"/>
    <x v="2"/>
  </r>
  <r>
    <n v="463"/>
    <x v="0"/>
    <x v="0"/>
    <x v="1"/>
    <x v="9"/>
    <s v="Rural"/>
    <x v="0"/>
    <x v="0"/>
    <x v="2"/>
  </r>
  <r>
    <n v="464"/>
    <x v="0"/>
    <x v="0"/>
    <x v="1"/>
    <x v="1"/>
    <s v="Rural"/>
    <x v="0"/>
    <x v="1"/>
    <x v="2"/>
  </r>
  <r>
    <n v="465"/>
    <x v="0"/>
    <x v="0"/>
    <x v="1"/>
    <x v="1"/>
    <s v="Rural"/>
    <x v="0"/>
    <x v="0"/>
    <x v="2"/>
  </r>
  <r>
    <n v="466"/>
    <x v="0"/>
    <x v="0"/>
    <x v="1"/>
    <x v="1"/>
    <s v="Rural"/>
    <x v="0"/>
    <x v="1"/>
    <x v="2"/>
  </r>
  <r>
    <n v="467"/>
    <x v="0"/>
    <x v="0"/>
    <x v="1"/>
    <x v="1"/>
    <s v="Rural"/>
    <x v="0"/>
    <x v="0"/>
    <x v="2"/>
  </r>
  <r>
    <n v="468"/>
    <x v="0"/>
    <x v="0"/>
    <x v="1"/>
    <x v="1"/>
    <s v="Rural"/>
    <x v="1"/>
    <x v="0"/>
    <x v="2"/>
  </r>
  <r>
    <n v="469"/>
    <x v="0"/>
    <x v="0"/>
    <x v="1"/>
    <x v="1"/>
    <s v="Rural"/>
    <x v="1"/>
    <x v="0"/>
    <x v="2"/>
  </r>
  <r>
    <n v="470"/>
    <x v="0"/>
    <x v="0"/>
    <x v="1"/>
    <x v="1"/>
    <s v="Rural"/>
    <x v="0"/>
    <x v="0"/>
    <x v="2"/>
  </r>
  <r>
    <n v="471"/>
    <x v="0"/>
    <x v="0"/>
    <x v="1"/>
    <x v="1"/>
    <s v="Rural"/>
    <x v="0"/>
    <x v="1"/>
    <x v="2"/>
  </r>
  <r>
    <n v="472"/>
    <x v="0"/>
    <x v="0"/>
    <x v="1"/>
    <x v="1"/>
    <s v="Rural"/>
    <x v="0"/>
    <x v="0"/>
    <x v="2"/>
  </r>
  <r>
    <n v="473"/>
    <x v="0"/>
    <x v="0"/>
    <x v="1"/>
    <x v="1"/>
    <s v="Rural"/>
    <x v="1"/>
    <x v="0"/>
    <x v="2"/>
  </r>
  <r>
    <n v="474"/>
    <x v="0"/>
    <x v="0"/>
    <x v="1"/>
    <x v="1"/>
    <s v="Rural"/>
    <x v="0"/>
    <x v="1"/>
    <x v="2"/>
  </r>
  <r>
    <n v="475"/>
    <x v="0"/>
    <x v="0"/>
    <x v="1"/>
    <x v="1"/>
    <s v="Rural"/>
    <x v="1"/>
    <x v="1"/>
    <x v="2"/>
  </r>
  <r>
    <n v="476"/>
    <x v="0"/>
    <x v="0"/>
    <x v="1"/>
    <x v="1"/>
    <s v="Rural"/>
    <x v="1"/>
    <x v="1"/>
    <x v="2"/>
  </r>
  <r>
    <n v="477"/>
    <x v="0"/>
    <x v="0"/>
    <x v="1"/>
    <x v="1"/>
    <s v="Rural"/>
    <x v="1"/>
    <x v="0"/>
    <x v="2"/>
  </r>
  <r>
    <n v="478"/>
    <x v="0"/>
    <x v="0"/>
    <x v="1"/>
    <x v="1"/>
    <s v="Rural"/>
    <x v="0"/>
    <x v="1"/>
    <x v="2"/>
  </r>
  <r>
    <n v="479"/>
    <x v="0"/>
    <x v="0"/>
    <x v="1"/>
    <x v="1"/>
    <s v="Rural"/>
    <x v="1"/>
    <x v="1"/>
    <x v="2"/>
  </r>
  <r>
    <n v="480"/>
    <x v="0"/>
    <x v="0"/>
    <x v="1"/>
    <x v="1"/>
    <s v="Rural"/>
    <x v="1"/>
    <x v="1"/>
    <x v="2"/>
  </r>
  <r>
    <n v="481"/>
    <x v="0"/>
    <x v="0"/>
    <x v="1"/>
    <x v="1"/>
    <s v="Rural"/>
    <x v="0"/>
    <x v="0"/>
    <x v="2"/>
  </r>
  <r>
    <n v="482"/>
    <x v="0"/>
    <x v="0"/>
    <x v="1"/>
    <x v="1"/>
    <s v="Rural"/>
    <x v="0"/>
    <x v="0"/>
    <x v="2"/>
  </r>
  <r>
    <n v="483"/>
    <x v="0"/>
    <x v="0"/>
    <x v="4"/>
    <x v="1"/>
    <s v="Rural"/>
    <x v="0"/>
    <x v="0"/>
    <x v="2"/>
  </r>
  <r>
    <n v="484"/>
    <x v="0"/>
    <x v="0"/>
    <x v="4"/>
    <x v="1"/>
    <s v="Rural"/>
    <x v="1"/>
    <x v="0"/>
    <x v="2"/>
  </r>
  <r>
    <n v="485"/>
    <x v="0"/>
    <x v="0"/>
    <x v="4"/>
    <x v="1"/>
    <s v="Rural"/>
    <x v="1"/>
    <x v="0"/>
    <x v="2"/>
  </r>
  <r>
    <n v="486"/>
    <x v="0"/>
    <x v="0"/>
    <x v="4"/>
    <x v="1"/>
    <s v="Rural"/>
    <x v="1"/>
    <x v="0"/>
    <x v="2"/>
  </r>
  <r>
    <n v="487"/>
    <x v="0"/>
    <x v="0"/>
    <x v="4"/>
    <x v="1"/>
    <s v="Rural"/>
    <x v="0"/>
    <x v="0"/>
    <x v="2"/>
  </r>
  <r>
    <n v="488"/>
    <x v="0"/>
    <x v="0"/>
    <x v="4"/>
    <x v="1"/>
    <s v="Rural"/>
    <x v="0"/>
    <x v="0"/>
    <x v="2"/>
  </r>
  <r>
    <n v="489"/>
    <x v="0"/>
    <x v="0"/>
    <x v="4"/>
    <x v="1"/>
    <s v="Rural"/>
    <x v="0"/>
    <x v="1"/>
    <x v="2"/>
  </r>
  <r>
    <n v="490"/>
    <x v="0"/>
    <x v="0"/>
    <x v="4"/>
    <x v="1"/>
    <s v="Rural"/>
    <x v="1"/>
    <x v="1"/>
    <x v="2"/>
  </r>
  <r>
    <n v="491"/>
    <x v="0"/>
    <x v="0"/>
    <x v="4"/>
    <x v="1"/>
    <s v="Rural"/>
    <x v="0"/>
    <x v="1"/>
    <x v="2"/>
  </r>
  <r>
    <n v="492"/>
    <x v="0"/>
    <x v="0"/>
    <x v="4"/>
    <x v="0"/>
    <s v="Rural"/>
    <x v="0"/>
    <x v="0"/>
    <x v="2"/>
  </r>
  <r>
    <n v="493"/>
    <x v="0"/>
    <x v="0"/>
    <x v="4"/>
    <x v="0"/>
    <s v="Rural"/>
    <x v="1"/>
    <x v="1"/>
    <x v="2"/>
  </r>
  <r>
    <n v="494"/>
    <x v="0"/>
    <x v="0"/>
    <x v="4"/>
    <x v="0"/>
    <s v="Rural"/>
    <x v="0"/>
    <x v="1"/>
    <x v="2"/>
  </r>
  <r>
    <n v="495"/>
    <x v="0"/>
    <x v="0"/>
    <x v="4"/>
    <x v="0"/>
    <s v="Rural"/>
    <x v="1"/>
    <x v="1"/>
    <x v="2"/>
  </r>
  <r>
    <n v="496"/>
    <x v="0"/>
    <x v="0"/>
    <x v="4"/>
    <x v="0"/>
    <s v="Rural"/>
    <x v="1"/>
    <x v="1"/>
    <x v="2"/>
  </r>
  <r>
    <n v="497"/>
    <x v="0"/>
    <x v="0"/>
    <x v="4"/>
    <x v="0"/>
    <s v="Rural"/>
    <x v="1"/>
    <x v="2"/>
    <x v="2"/>
  </r>
  <r>
    <n v="498"/>
    <x v="0"/>
    <x v="0"/>
    <x v="4"/>
    <x v="0"/>
    <s v="Rural"/>
    <x v="1"/>
    <x v="1"/>
    <x v="2"/>
  </r>
  <r>
    <n v="499"/>
    <x v="0"/>
    <x v="0"/>
    <x v="4"/>
    <x v="0"/>
    <s v="Rural"/>
    <x v="0"/>
    <x v="0"/>
    <x v="2"/>
  </r>
  <r>
    <n v="500"/>
    <x v="0"/>
    <x v="0"/>
    <x v="4"/>
    <x v="0"/>
    <s v="Rural"/>
    <x v="1"/>
    <x v="1"/>
    <x v="2"/>
  </r>
  <r>
    <n v="501"/>
    <x v="0"/>
    <x v="0"/>
    <x v="4"/>
    <x v="0"/>
    <s v="Rural"/>
    <x v="1"/>
    <x v="1"/>
    <x v="2"/>
  </r>
  <r>
    <n v="502"/>
    <x v="0"/>
    <x v="0"/>
    <x v="4"/>
    <x v="0"/>
    <s v="Rural"/>
    <x v="0"/>
    <x v="1"/>
    <x v="2"/>
  </r>
  <r>
    <n v="503"/>
    <x v="0"/>
    <x v="0"/>
    <x v="4"/>
    <x v="0"/>
    <s v="Rural"/>
    <x v="0"/>
    <x v="1"/>
    <x v="2"/>
  </r>
  <r>
    <n v="504"/>
    <x v="0"/>
    <x v="0"/>
    <x v="4"/>
    <x v="0"/>
    <s v="Rural"/>
    <x v="1"/>
    <x v="0"/>
    <x v="2"/>
  </r>
  <r>
    <n v="505"/>
    <x v="0"/>
    <x v="0"/>
    <x v="4"/>
    <x v="0"/>
    <s v="Rural"/>
    <x v="1"/>
    <x v="1"/>
    <x v="2"/>
  </r>
  <r>
    <n v="506"/>
    <x v="0"/>
    <x v="0"/>
    <x v="4"/>
    <x v="0"/>
    <s v="Rural"/>
    <x v="0"/>
    <x v="1"/>
    <x v="2"/>
  </r>
  <r>
    <n v="507"/>
    <x v="0"/>
    <x v="0"/>
    <x v="4"/>
    <x v="0"/>
    <s v="Rural"/>
    <x v="1"/>
    <x v="0"/>
    <x v="2"/>
  </r>
  <r>
    <n v="508"/>
    <x v="0"/>
    <x v="0"/>
    <x v="4"/>
    <x v="0"/>
    <s v="Rural"/>
    <x v="1"/>
    <x v="1"/>
    <x v="2"/>
  </r>
  <r>
    <n v="509"/>
    <x v="0"/>
    <x v="0"/>
    <x v="4"/>
    <x v="0"/>
    <s v="Rural"/>
    <x v="1"/>
    <x v="0"/>
    <x v="2"/>
  </r>
  <r>
    <n v="510"/>
    <x v="0"/>
    <x v="0"/>
    <x v="4"/>
    <x v="0"/>
    <s v="Rural"/>
    <x v="1"/>
    <x v="1"/>
    <x v="2"/>
  </r>
  <r>
    <n v="511"/>
    <x v="0"/>
    <x v="0"/>
    <x v="4"/>
    <x v="0"/>
    <s v="Rural"/>
    <x v="0"/>
    <x v="0"/>
    <x v="2"/>
  </r>
  <r>
    <n v="512"/>
    <x v="0"/>
    <x v="0"/>
    <x v="4"/>
    <x v="0"/>
    <s v="Rural"/>
    <x v="1"/>
    <x v="1"/>
    <x v="2"/>
  </r>
  <r>
    <n v="513"/>
    <x v="0"/>
    <x v="0"/>
    <x v="4"/>
    <x v="0"/>
    <s v="Rural"/>
    <x v="0"/>
    <x v="0"/>
    <x v="2"/>
  </r>
  <r>
    <n v="514"/>
    <x v="0"/>
    <x v="0"/>
    <x v="4"/>
    <x v="0"/>
    <s v="Rural"/>
    <x v="1"/>
    <x v="0"/>
    <x v="2"/>
  </r>
  <r>
    <n v="515"/>
    <x v="0"/>
    <x v="0"/>
    <x v="4"/>
    <x v="0"/>
    <s v="Rural"/>
    <x v="0"/>
    <x v="1"/>
    <x v="2"/>
  </r>
  <r>
    <n v="516"/>
    <x v="0"/>
    <x v="0"/>
    <x v="4"/>
    <x v="0"/>
    <s v="Rural"/>
    <x v="0"/>
    <x v="0"/>
    <x v="2"/>
  </r>
  <r>
    <n v="517"/>
    <x v="0"/>
    <x v="0"/>
    <x v="4"/>
    <x v="0"/>
    <s v="Rural"/>
    <x v="1"/>
    <x v="1"/>
    <x v="2"/>
  </r>
  <r>
    <n v="518"/>
    <x v="0"/>
    <x v="0"/>
    <x v="4"/>
    <x v="0"/>
    <s v="Rural"/>
    <x v="1"/>
    <x v="0"/>
    <x v="2"/>
  </r>
  <r>
    <n v="519"/>
    <x v="0"/>
    <x v="0"/>
    <x v="4"/>
    <x v="0"/>
    <s v="Rural"/>
    <x v="1"/>
    <x v="0"/>
    <x v="2"/>
  </r>
  <r>
    <n v="520"/>
    <x v="0"/>
    <x v="0"/>
    <x v="4"/>
    <x v="0"/>
    <s v="Rural"/>
    <x v="0"/>
    <x v="0"/>
    <x v="2"/>
  </r>
  <r>
    <n v="521"/>
    <x v="0"/>
    <x v="0"/>
    <x v="4"/>
    <x v="0"/>
    <s v="Rural"/>
    <x v="0"/>
    <x v="0"/>
    <x v="2"/>
  </r>
  <r>
    <n v="522"/>
    <x v="0"/>
    <x v="0"/>
    <x v="4"/>
    <x v="0"/>
    <s v="Rural"/>
    <x v="0"/>
    <x v="0"/>
    <x v="2"/>
  </r>
  <r>
    <n v="523"/>
    <x v="0"/>
    <x v="0"/>
    <x v="4"/>
    <x v="0"/>
    <s v="Rural"/>
    <x v="1"/>
    <x v="1"/>
    <x v="2"/>
  </r>
  <r>
    <n v="524"/>
    <x v="0"/>
    <x v="0"/>
    <x v="4"/>
    <x v="0"/>
    <s v="Rural"/>
    <x v="0"/>
    <x v="0"/>
    <x v="2"/>
  </r>
  <r>
    <n v="525"/>
    <x v="0"/>
    <x v="0"/>
    <x v="4"/>
    <x v="0"/>
    <s v="Rural"/>
    <x v="0"/>
    <x v="0"/>
    <x v="2"/>
  </r>
  <r>
    <n v="526"/>
    <x v="0"/>
    <x v="0"/>
    <x v="4"/>
    <x v="0"/>
    <s v="Rural"/>
    <x v="1"/>
    <x v="0"/>
    <x v="2"/>
  </r>
  <r>
    <n v="527"/>
    <x v="0"/>
    <x v="0"/>
    <x v="4"/>
    <x v="0"/>
    <s v="Rural"/>
    <x v="1"/>
    <x v="0"/>
    <x v="2"/>
  </r>
  <r>
    <n v="528"/>
    <x v="0"/>
    <x v="0"/>
    <x v="4"/>
    <x v="0"/>
    <s v="Rural"/>
    <x v="0"/>
    <x v="0"/>
    <x v="2"/>
  </r>
  <r>
    <n v="529"/>
    <x v="0"/>
    <x v="0"/>
    <x v="4"/>
    <x v="0"/>
    <s v="Rural"/>
    <x v="1"/>
    <x v="1"/>
    <x v="2"/>
  </r>
  <r>
    <n v="530"/>
    <x v="0"/>
    <x v="0"/>
    <x v="4"/>
    <x v="0"/>
    <s v="Rural"/>
    <x v="1"/>
    <x v="0"/>
    <x v="2"/>
  </r>
  <r>
    <n v="531"/>
    <x v="0"/>
    <x v="0"/>
    <x v="4"/>
    <x v="0"/>
    <s v="Rural"/>
    <x v="1"/>
    <x v="1"/>
    <x v="2"/>
  </r>
  <r>
    <n v="532"/>
    <x v="0"/>
    <x v="0"/>
    <x v="4"/>
    <x v="0"/>
    <s v="Rural"/>
    <x v="1"/>
    <x v="0"/>
    <x v="2"/>
  </r>
  <r>
    <n v="533"/>
    <x v="0"/>
    <x v="0"/>
    <x v="4"/>
    <x v="0"/>
    <s v="Rural"/>
    <x v="1"/>
    <x v="1"/>
    <x v="2"/>
  </r>
  <r>
    <n v="534"/>
    <x v="0"/>
    <x v="0"/>
    <x v="4"/>
    <x v="0"/>
    <s v="Rural"/>
    <x v="1"/>
    <x v="0"/>
    <x v="2"/>
  </r>
  <r>
    <n v="535"/>
    <x v="0"/>
    <x v="0"/>
    <x v="4"/>
    <x v="0"/>
    <s v="Rural"/>
    <x v="1"/>
    <x v="0"/>
    <x v="2"/>
  </r>
  <r>
    <n v="536"/>
    <x v="0"/>
    <x v="0"/>
    <x v="4"/>
    <x v="0"/>
    <s v="Rural"/>
    <x v="1"/>
    <x v="0"/>
    <x v="2"/>
  </r>
  <r>
    <n v="537"/>
    <x v="0"/>
    <x v="0"/>
    <x v="4"/>
    <x v="0"/>
    <s v="Rural"/>
    <x v="1"/>
    <x v="0"/>
    <x v="2"/>
  </r>
  <r>
    <n v="538"/>
    <x v="0"/>
    <x v="0"/>
    <x v="4"/>
    <x v="0"/>
    <s v="Rural"/>
    <x v="1"/>
    <x v="0"/>
    <x v="2"/>
  </r>
  <r>
    <n v="539"/>
    <x v="0"/>
    <x v="0"/>
    <x v="4"/>
    <x v="0"/>
    <s v="Rural"/>
    <x v="0"/>
    <x v="0"/>
    <x v="2"/>
  </r>
  <r>
    <n v="540"/>
    <x v="0"/>
    <x v="0"/>
    <x v="4"/>
    <x v="0"/>
    <s v="Rural"/>
    <x v="0"/>
    <x v="0"/>
    <x v="2"/>
  </r>
  <r>
    <n v="541"/>
    <x v="0"/>
    <x v="0"/>
    <x v="4"/>
    <x v="0"/>
    <s v="Rural"/>
    <x v="0"/>
    <x v="1"/>
    <x v="2"/>
  </r>
  <r>
    <n v="542"/>
    <x v="0"/>
    <x v="0"/>
    <x v="4"/>
    <x v="0"/>
    <s v="Rural"/>
    <x v="1"/>
    <x v="0"/>
    <x v="2"/>
  </r>
  <r>
    <n v="543"/>
    <x v="0"/>
    <x v="0"/>
    <x v="4"/>
    <x v="0"/>
    <s v="Rural"/>
    <x v="0"/>
    <x v="0"/>
    <x v="2"/>
  </r>
  <r>
    <n v="544"/>
    <x v="0"/>
    <x v="0"/>
    <x v="4"/>
    <x v="0"/>
    <s v="Rural"/>
    <x v="0"/>
    <x v="0"/>
    <x v="2"/>
  </r>
  <r>
    <n v="545"/>
    <x v="0"/>
    <x v="0"/>
    <x v="4"/>
    <x v="0"/>
    <s v="Rural"/>
    <x v="0"/>
    <x v="0"/>
    <x v="2"/>
  </r>
  <r>
    <n v="546"/>
    <x v="0"/>
    <x v="0"/>
    <x v="4"/>
    <x v="0"/>
    <s v="Rural"/>
    <x v="0"/>
    <x v="0"/>
    <x v="2"/>
  </r>
  <r>
    <n v="547"/>
    <x v="0"/>
    <x v="0"/>
    <x v="1"/>
    <x v="10"/>
    <s v="Rural"/>
    <x v="1"/>
    <x v="0"/>
    <x v="2"/>
  </r>
  <r>
    <n v="548"/>
    <x v="0"/>
    <x v="0"/>
    <x v="1"/>
    <x v="10"/>
    <s v="Rural"/>
    <x v="1"/>
    <x v="1"/>
    <x v="2"/>
  </r>
  <r>
    <n v="549"/>
    <x v="0"/>
    <x v="0"/>
    <x v="1"/>
    <x v="10"/>
    <s v="Rural"/>
    <x v="0"/>
    <x v="1"/>
    <x v="2"/>
  </r>
  <r>
    <n v="550"/>
    <x v="0"/>
    <x v="0"/>
    <x v="1"/>
    <x v="14"/>
    <s v="Rural"/>
    <x v="0"/>
    <x v="1"/>
    <x v="2"/>
  </r>
  <r>
    <n v="551"/>
    <x v="0"/>
    <x v="0"/>
    <x v="4"/>
    <x v="12"/>
    <s v="Rural"/>
    <x v="0"/>
    <x v="1"/>
    <x v="2"/>
  </r>
  <r>
    <n v="552"/>
    <x v="0"/>
    <x v="0"/>
    <x v="4"/>
    <x v="12"/>
    <s v="Rural"/>
    <x v="0"/>
    <x v="1"/>
    <x v="2"/>
  </r>
  <r>
    <n v="553"/>
    <x v="0"/>
    <x v="0"/>
    <x v="4"/>
    <x v="12"/>
    <s v="Rural"/>
    <x v="1"/>
    <x v="1"/>
    <x v="2"/>
  </r>
  <r>
    <n v="554"/>
    <x v="0"/>
    <x v="0"/>
    <x v="4"/>
    <x v="12"/>
    <s v="Rural"/>
    <x v="0"/>
    <x v="1"/>
    <x v="2"/>
  </r>
  <r>
    <n v="555"/>
    <x v="0"/>
    <x v="0"/>
    <x v="4"/>
    <x v="12"/>
    <s v="Rural"/>
    <x v="1"/>
    <x v="1"/>
    <x v="2"/>
  </r>
  <r>
    <n v="556"/>
    <x v="0"/>
    <x v="0"/>
    <x v="4"/>
    <x v="12"/>
    <s v="Rural"/>
    <x v="1"/>
    <x v="0"/>
    <x v="2"/>
  </r>
  <r>
    <n v="557"/>
    <x v="0"/>
    <x v="0"/>
    <x v="4"/>
    <x v="12"/>
    <s v="Rural"/>
    <x v="1"/>
    <x v="1"/>
    <x v="2"/>
  </r>
  <r>
    <n v="558"/>
    <x v="0"/>
    <x v="0"/>
    <x v="4"/>
    <x v="8"/>
    <s v="Rural"/>
    <x v="1"/>
    <x v="1"/>
    <x v="2"/>
  </r>
  <r>
    <n v="559"/>
    <x v="0"/>
    <x v="0"/>
    <x v="4"/>
    <x v="8"/>
    <s v="Rural"/>
    <x v="1"/>
    <x v="1"/>
    <x v="2"/>
  </r>
  <r>
    <n v="560"/>
    <x v="0"/>
    <x v="0"/>
    <x v="0"/>
    <x v="8"/>
    <s v="Rural"/>
    <x v="0"/>
    <x v="1"/>
    <x v="2"/>
  </r>
  <r>
    <n v="561"/>
    <x v="0"/>
    <x v="0"/>
    <x v="0"/>
    <x v="8"/>
    <s v="Rural"/>
    <x v="0"/>
    <x v="0"/>
    <x v="2"/>
  </r>
  <r>
    <n v="562"/>
    <x v="0"/>
    <x v="0"/>
    <x v="0"/>
    <x v="8"/>
    <s v="Rural"/>
    <x v="0"/>
    <x v="0"/>
    <x v="2"/>
  </r>
  <r>
    <n v="563"/>
    <x v="0"/>
    <x v="0"/>
    <x v="0"/>
    <x v="8"/>
    <s v="Rural"/>
    <x v="0"/>
    <x v="0"/>
    <x v="2"/>
  </r>
  <r>
    <n v="564"/>
    <x v="0"/>
    <x v="0"/>
    <x v="0"/>
    <x v="8"/>
    <s v="Rural"/>
    <x v="0"/>
    <x v="1"/>
    <x v="2"/>
  </r>
  <r>
    <n v="565"/>
    <x v="0"/>
    <x v="0"/>
    <x v="0"/>
    <x v="8"/>
    <s v="Rural"/>
    <x v="0"/>
    <x v="1"/>
    <x v="2"/>
  </r>
  <r>
    <n v="566"/>
    <x v="0"/>
    <x v="0"/>
    <x v="1"/>
    <x v="8"/>
    <s v="Rural"/>
    <x v="0"/>
    <x v="1"/>
    <x v="2"/>
  </r>
  <r>
    <n v="567"/>
    <x v="0"/>
    <x v="0"/>
    <x v="1"/>
    <x v="8"/>
    <s v="Rural"/>
    <x v="0"/>
    <x v="1"/>
    <x v="2"/>
  </r>
  <r>
    <n v="568"/>
    <x v="0"/>
    <x v="0"/>
    <x v="1"/>
    <x v="8"/>
    <s v="Rural"/>
    <x v="0"/>
    <x v="1"/>
    <x v="2"/>
  </r>
  <r>
    <n v="569"/>
    <x v="0"/>
    <x v="0"/>
    <x v="1"/>
    <x v="8"/>
    <s v="Rural"/>
    <x v="0"/>
    <x v="1"/>
    <x v="2"/>
  </r>
  <r>
    <n v="570"/>
    <x v="0"/>
    <x v="0"/>
    <x v="1"/>
    <x v="8"/>
    <s v="Rural"/>
    <x v="1"/>
    <x v="1"/>
    <x v="2"/>
  </r>
  <r>
    <n v="571"/>
    <x v="0"/>
    <x v="0"/>
    <x v="4"/>
    <x v="3"/>
    <s v="Rural"/>
    <x v="0"/>
    <x v="0"/>
    <x v="2"/>
  </r>
  <r>
    <n v="572"/>
    <x v="0"/>
    <x v="0"/>
    <x v="4"/>
    <x v="3"/>
    <s v="Rural"/>
    <x v="1"/>
    <x v="1"/>
    <x v="2"/>
  </r>
  <r>
    <n v="573"/>
    <x v="0"/>
    <x v="0"/>
    <x v="4"/>
    <x v="3"/>
    <s v="Rural"/>
    <x v="1"/>
    <x v="0"/>
    <x v="2"/>
  </r>
  <r>
    <n v="574"/>
    <x v="0"/>
    <x v="0"/>
    <x v="4"/>
    <x v="3"/>
    <s v="Rural"/>
    <x v="0"/>
    <x v="1"/>
    <x v="2"/>
  </r>
  <r>
    <n v="575"/>
    <x v="0"/>
    <x v="0"/>
    <x v="0"/>
    <x v="3"/>
    <s v="Rural"/>
    <x v="0"/>
    <x v="1"/>
    <x v="2"/>
  </r>
  <r>
    <n v="576"/>
    <x v="0"/>
    <x v="0"/>
    <x v="0"/>
    <x v="3"/>
    <s v="Rural"/>
    <x v="0"/>
    <x v="0"/>
    <x v="2"/>
  </r>
  <r>
    <n v="577"/>
    <x v="0"/>
    <x v="0"/>
    <x v="0"/>
    <x v="3"/>
    <s v="Rural"/>
    <x v="1"/>
    <x v="0"/>
    <x v="2"/>
  </r>
  <r>
    <n v="578"/>
    <x v="0"/>
    <x v="0"/>
    <x v="0"/>
    <x v="3"/>
    <s v="Rural"/>
    <x v="0"/>
    <x v="0"/>
    <x v="2"/>
  </r>
  <r>
    <n v="579"/>
    <x v="0"/>
    <x v="0"/>
    <x v="0"/>
    <x v="3"/>
    <s v="Rural"/>
    <x v="1"/>
    <x v="2"/>
    <x v="2"/>
  </r>
  <r>
    <n v="580"/>
    <x v="0"/>
    <x v="0"/>
    <x v="0"/>
    <x v="3"/>
    <s v="Rural"/>
    <x v="0"/>
    <x v="1"/>
    <x v="2"/>
  </r>
  <r>
    <n v="581"/>
    <x v="0"/>
    <x v="0"/>
    <x v="0"/>
    <x v="3"/>
    <s v="Rural"/>
    <x v="0"/>
    <x v="1"/>
    <x v="2"/>
  </r>
  <r>
    <n v="582"/>
    <x v="0"/>
    <x v="0"/>
    <x v="1"/>
    <x v="3"/>
    <s v="Rural"/>
    <x v="0"/>
    <x v="0"/>
    <x v="2"/>
  </r>
  <r>
    <n v="583"/>
    <x v="0"/>
    <x v="0"/>
    <x v="1"/>
    <x v="3"/>
    <s v="Rural"/>
    <x v="0"/>
    <x v="1"/>
    <x v="2"/>
  </r>
  <r>
    <n v="584"/>
    <x v="0"/>
    <x v="0"/>
    <x v="1"/>
    <x v="3"/>
    <s v="Rural"/>
    <x v="0"/>
    <x v="1"/>
    <x v="2"/>
  </r>
  <r>
    <n v="585"/>
    <x v="0"/>
    <x v="0"/>
    <x v="1"/>
    <x v="3"/>
    <s v="Rural"/>
    <x v="1"/>
    <x v="1"/>
    <x v="2"/>
  </r>
  <r>
    <n v="586"/>
    <x v="0"/>
    <x v="0"/>
    <x v="1"/>
    <x v="3"/>
    <s v="Rural"/>
    <x v="1"/>
    <x v="1"/>
    <x v="2"/>
  </r>
  <r>
    <n v="587"/>
    <x v="0"/>
    <x v="0"/>
    <x v="1"/>
    <x v="3"/>
    <s v="Rural"/>
    <x v="0"/>
    <x v="1"/>
    <x v="2"/>
  </r>
  <r>
    <n v="588"/>
    <x v="0"/>
    <x v="0"/>
    <x v="1"/>
    <x v="3"/>
    <s v="Rural"/>
    <x v="1"/>
    <x v="0"/>
    <x v="2"/>
  </r>
  <r>
    <n v="589"/>
    <x v="0"/>
    <x v="0"/>
    <x v="1"/>
    <x v="3"/>
    <s v="Rural"/>
    <x v="1"/>
    <x v="0"/>
    <x v="2"/>
  </r>
  <r>
    <n v="590"/>
    <x v="0"/>
    <x v="0"/>
    <x v="4"/>
    <x v="2"/>
    <s v="Rural"/>
    <x v="0"/>
    <x v="0"/>
    <x v="2"/>
  </r>
  <r>
    <n v="591"/>
    <x v="0"/>
    <x v="0"/>
    <x v="4"/>
    <x v="2"/>
    <s v="Rural"/>
    <x v="1"/>
    <x v="1"/>
    <x v="2"/>
  </r>
  <r>
    <n v="592"/>
    <x v="0"/>
    <x v="0"/>
    <x v="4"/>
    <x v="2"/>
    <s v="Rural"/>
    <x v="0"/>
    <x v="1"/>
    <x v="2"/>
  </r>
  <r>
    <n v="593"/>
    <x v="0"/>
    <x v="0"/>
    <x v="4"/>
    <x v="2"/>
    <s v="Rural"/>
    <x v="1"/>
    <x v="0"/>
    <x v="2"/>
  </r>
  <r>
    <n v="594"/>
    <x v="0"/>
    <x v="0"/>
    <x v="4"/>
    <x v="2"/>
    <s v="Rural"/>
    <x v="0"/>
    <x v="0"/>
    <x v="2"/>
  </r>
  <r>
    <n v="595"/>
    <x v="0"/>
    <x v="0"/>
    <x v="4"/>
    <x v="2"/>
    <s v="Rural"/>
    <x v="0"/>
    <x v="0"/>
    <x v="2"/>
  </r>
  <r>
    <n v="596"/>
    <x v="0"/>
    <x v="0"/>
    <x v="4"/>
    <x v="2"/>
    <s v="Rural"/>
    <x v="1"/>
    <x v="1"/>
    <x v="2"/>
  </r>
  <r>
    <n v="597"/>
    <x v="0"/>
    <x v="0"/>
    <x v="4"/>
    <x v="2"/>
    <s v="Rural"/>
    <x v="0"/>
    <x v="0"/>
    <x v="2"/>
  </r>
  <r>
    <n v="598"/>
    <x v="0"/>
    <x v="0"/>
    <x v="4"/>
    <x v="2"/>
    <s v="Rural"/>
    <x v="1"/>
    <x v="1"/>
    <x v="2"/>
  </r>
  <r>
    <n v="599"/>
    <x v="0"/>
    <x v="0"/>
    <x v="1"/>
    <x v="2"/>
    <s v="Rural"/>
    <x v="1"/>
    <x v="2"/>
    <x v="2"/>
  </r>
  <r>
    <n v="600"/>
    <x v="0"/>
    <x v="0"/>
    <x v="1"/>
    <x v="2"/>
    <s v="Rural"/>
    <x v="1"/>
    <x v="1"/>
    <x v="2"/>
  </r>
  <r>
    <n v="601"/>
    <x v="0"/>
    <x v="0"/>
    <x v="1"/>
    <x v="2"/>
    <s v="Rural"/>
    <x v="1"/>
    <x v="0"/>
    <x v="2"/>
  </r>
  <r>
    <n v="602"/>
    <x v="0"/>
    <x v="0"/>
    <x v="1"/>
    <x v="2"/>
    <s v="Rural"/>
    <x v="1"/>
    <x v="1"/>
    <x v="2"/>
  </r>
  <r>
    <n v="603"/>
    <x v="0"/>
    <x v="0"/>
    <x v="1"/>
    <x v="2"/>
    <s v="Rural"/>
    <x v="0"/>
    <x v="0"/>
    <x v="2"/>
  </r>
  <r>
    <n v="604"/>
    <x v="0"/>
    <x v="0"/>
    <x v="1"/>
    <x v="2"/>
    <s v="Rural"/>
    <x v="1"/>
    <x v="2"/>
    <x v="2"/>
  </r>
  <r>
    <n v="605"/>
    <x v="0"/>
    <x v="0"/>
    <x v="1"/>
    <x v="2"/>
    <s v="Rural"/>
    <x v="0"/>
    <x v="1"/>
    <x v="2"/>
  </r>
  <r>
    <n v="606"/>
    <x v="0"/>
    <x v="0"/>
    <x v="1"/>
    <x v="2"/>
    <s v="Rural"/>
    <x v="1"/>
    <x v="1"/>
    <x v="2"/>
  </r>
  <r>
    <n v="607"/>
    <x v="0"/>
    <x v="0"/>
    <x v="1"/>
    <x v="2"/>
    <s v="Rural"/>
    <x v="0"/>
    <x v="0"/>
    <x v="2"/>
  </r>
  <r>
    <n v="608"/>
    <x v="0"/>
    <x v="0"/>
    <x v="1"/>
    <x v="2"/>
    <s v="Rural"/>
    <x v="1"/>
    <x v="1"/>
    <x v="2"/>
  </r>
  <r>
    <n v="609"/>
    <x v="0"/>
    <x v="0"/>
    <x v="1"/>
    <x v="2"/>
    <s v="Rural"/>
    <x v="0"/>
    <x v="1"/>
    <x v="2"/>
  </r>
  <r>
    <n v="610"/>
    <x v="0"/>
    <x v="0"/>
    <x v="1"/>
    <x v="2"/>
    <s v="Rural"/>
    <x v="0"/>
    <x v="1"/>
    <x v="2"/>
  </r>
  <r>
    <n v="611"/>
    <x v="0"/>
    <x v="0"/>
    <x v="1"/>
    <x v="2"/>
    <s v="Rural"/>
    <x v="0"/>
    <x v="0"/>
    <x v="2"/>
  </r>
  <r>
    <n v="612"/>
    <x v="0"/>
    <x v="0"/>
    <x v="1"/>
    <x v="2"/>
    <s v="Rural"/>
    <x v="0"/>
    <x v="1"/>
    <x v="2"/>
  </r>
  <r>
    <n v="613"/>
    <x v="0"/>
    <x v="0"/>
    <x v="1"/>
    <x v="2"/>
    <s v="Rural"/>
    <x v="1"/>
    <x v="1"/>
    <x v="2"/>
  </r>
  <r>
    <n v="614"/>
    <x v="0"/>
    <x v="0"/>
    <x v="1"/>
    <x v="2"/>
    <s v="Rural"/>
    <x v="1"/>
    <x v="1"/>
    <x v="2"/>
  </r>
  <r>
    <n v="615"/>
    <x v="0"/>
    <x v="0"/>
    <x v="1"/>
    <x v="2"/>
    <s v="Rural"/>
    <x v="0"/>
    <x v="1"/>
    <x v="2"/>
  </r>
  <r>
    <n v="616"/>
    <x v="0"/>
    <x v="0"/>
    <x v="1"/>
    <x v="2"/>
    <s v="Rural"/>
    <x v="0"/>
    <x v="1"/>
    <x v="2"/>
  </r>
  <r>
    <n v="617"/>
    <x v="0"/>
    <x v="0"/>
    <x v="1"/>
    <x v="2"/>
    <s v="Rural"/>
    <x v="1"/>
    <x v="1"/>
    <x v="2"/>
  </r>
  <r>
    <n v="618"/>
    <x v="0"/>
    <x v="0"/>
    <x v="1"/>
    <x v="2"/>
    <s v="Rural"/>
    <x v="0"/>
    <x v="1"/>
    <x v="2"/>
  </r>
  <r>
    <n v="619"/>
    <x v="0"/>
    <x v="0"/>
    <x v="1"/>
    <x v="2"/>
    <s v="Rural"/>
    <x v="1"/>
    <x v="0"/>
    <x v="2"/>
  </r>
  <r>
    <n v="620"/>
    <x v="0"/>
    <x v="0"/>
    <x v="1"/>
    <x v="2"/>
    <s v="Rural"/>
    <x v="1"/>
    <x v="0"/>
    <x v="2"/>
  </r>
  <r>
    <n v="621"/>
    <x v="0"/>
    <x v="0"/>
    <x v="1"/>
    <x v="2"/>
    <s v="Rural"/>
    <x v="1"/>
    <x v="0"/>
    <x v="2"/>
  </r>
  <r>
    <n v="622"/>
    <x v="3"/>
    <x v="0"/>
    <x v="4"/>
    <x v="30"/>
    <s v="Rural"/>
    <x v="0"/>
    <x v="1"/>
    <x v="2"/>
  </r>
  <r>
    <n v="623"/>
    <x v="3"/>
    <x v="0"/>
    <x v="4"/>
    <x v="30"/>
    <s v="Rural"/>
    <x v="1"/>
    <x v="2"/>
    <x v="2"/>
  </r>
  <r>
    <n v="624"/>
    <x v="3"/>
    <x v="0"/>
    <x v="4"/>
    <x v="30"/>
    <s v="Rural"/>
    <x v="0"/>
    <x v="0"/>
    <x v="2"/>
  </r>
  <r>
    <n v="625"/>
    <x v="3"/>
    <x v="0"/>
    <x v="4"/>
    <x v="30"/>
    <s v="Rural"/>
    <x v="0"/>
    <x v="2"/>
    <x v="2"/>
  </r>
  <r>
    <n v="626"/>
    <x v="3"/>
    <x v="0"/>
    <x v="4"/>
    <x v="30"/>
    <s v="Rural"/>
    <x v="0"/>
    <x v="0"/>
    <x v="2"/>
  </r>
  <r>
    <n v="627"/>
    <x v="3"/>
    <x v="0"/>
    <x v="4"/>
    <x v="30"/>
    <s v="Rural"/>
    <x v="1"/>
    <x v="1"/>
    <x v="2"/>
  </r>
  <r>
    <n v="628"/>
    <x v="3"/>
    <x v="0"/>
    <x v="4"/>
    <x v="30"/>
    <s v="Rural"/>
    <x v="0"/>
    <x v="1"/>
    <x v="2"/>
  </r>
  <r>
    <n v="629"/>
    <x v="3"/>
    <x v="0"/>
    <x v="4"/>
    <x v="30"/>
    <s v="Rural"/>
    <x v="1"/>
    <x v="1"/>
    <x v="2"/>
  </r>
  <r>
    <n v="630"/>
    <x v="3"/>
    <x v="0"/>
    <x v="0"/>
    <x v="30"/>
    <s v="Rural"/>
    <x v="0"/>
    <x v="2"/>
    <x v="2"/>
  </r>
  <r>
    <n v="631"/>
    <x v="3"/>
    <x v="0"/>
    <x v="0"/>
    <x v="30"/>
    <s v="Rural"/>
    <x v="0"/>
    <x v="0"/>
    <x v="2"/>
  </r>
  <r>
    <n v="632"/>
    <x v="3"/>
    <x v="0"/>
    <x v="0"/>
    <x v="30"/>
    <s v="Rural"/>
    <x v="0"/>
    <x v="1"/>
    <x v="2"/>
  </r>
  <r>
    <n v="633"/>
    <x v="3"/>
    <x v="0"/>
    <x v="0"/>
    <x v="30"/>
    <s v="Rural"/>
    <x v="0"/>
    <x v="0"/>
    <x v="2"/>
  </r>
  <r>
    <n v="634"/>
    <x v="3"/>
    <x v="0"/>
    <x v="0"/>
    <x v="30"/>
    <s v="Rural"/>
    <x v="0"/>
    <x v="0"/>
    <x v="2"/>
  </r>
  <r>
    <n v="635"/>
    <x v="3"/>
    <x v="0"/>
    <x v="0"/>
    <x v="30"/>
    <s v="Rural"/>
    <x v="0"/>
    <x v="1"/>
    <x v="2"/>
  </r>
  <r>
    <n v="636"/>
    <x v="3"/>
    <x v="0"/>
    <x v="0"/>
    <x v="30"/>
    <s v="Rural"/>
    <x v="0"/>
    <x v="0"/>
    <x v="2"/>
  </r>
  <r>
    <n v="637"/>
    <x v="3"/>
    <x v="0"/>
    <x v="1"/>
    <x v="30"/>
    <s v="Rural"/>
    <x v="0"/>
    <x v="0"/>
    <x v="2"/>
  </r>
  <r>
    <n v="638"/>
    <x v="3"/>
    <x v="0"/>
    <x v="1"/>
    <x v="30"/>
    <s v="Rural"/>
    <x v="0"/>
    <x v="2"/>
    <x v="2"/>
  </r>
  <r>
    <n v="639"/>
    <x v="3"/>
    <x v="0"/>
    <x v="1"/>
    <x v="30"/>
    <s v="Rural"/>
    <x v="1"/>
    <x v="0"/>
    <x v="2"/>
  </r>
  <r>
    <n v="640"/>
    <x v="3"/>
    <x v="0"/>
    <x v="1"/>
    <x v="30"/>
    <s v="Rural"/>
    <x v="0"/>
    <x v="0"/>
    <x v="2"/>
  </r>
  <r>
    <n v="641"/>
    <x v="3"/>
    <x v="0"/>
    <x v="1"/>
    <x v="30"/>
    <s v="Rural"/>
    <x v="0"/>
    <x v="1"/>
    <x v="2"/>
  </r>
  <r>
    <n v="642"/>
    <x v="3"/>
    <x v="0"/>
    <x v="0"/>
    <x v="32"/>
    <s v="Rural"/>
    <x v="0"/>
    <x v="1"/>
    <x v="2"/>
  </r>
  <r>
    <n v="643"/>
    <x v="3"/>
    <x v="0"/>
    <x v="1"/>
    <x v="32"/>
    <s v="Rural"/>
    <x v="0"/>
    <x v="2"/>
    <x v="2"/>
  </r>
  <r>
    <n v="644"/>
    <x v="3"/>
    <x v="0"/>
    <x v="1"/>
    <x v="32"/>
    <s v="Rural"/>
    <x v="1"/>
    <x v="1"/>
    <x v="2"/>
  </r>
  <r>
    <n v="645"/>
    <x v="3"/>
    <x v="0"/>
    <x v="1"/>
    <x v="32"/>
    <s v="Rural"/>
    <x v="0"/>
    <x v="1"/>
    <x v="2"/>
  </r>
  <r>
    <n v="646"/>
    <x v="3"/>
    <x v="1"/>
    <x v="2"/>
    <x v="31"/>
    <s v="Rural"/>
    <x v="1"/>
    <x v="0"/>
    <x v="2"/>
  </r>
  <r>
    <n v="647"/>
    <x v="3"/>
    <x v="1"/>
    <x v="2"/>
    <x v="31"/>
    <s v="Rural"/>
    <x v="0"/>
    <x v="0"/>
    <x v="2"/>
  </r>
  <r>
    <n v="648"/>
    <x v="3"/>
    <x v="1"/>
    <x v="2"/>
    <x v="31"/>
    <s v="Rural"/>
    <x v="1"/>
    <x v="1"/>
    <x v="2"/>
  </r>
  <r>
    <n v="649"/>
    <x v="3"/>
    <x v="1"/>
    <x v="2"/>
    <x v="31"/>
    <s v="Rural"/>
    <x v="0"/>
    <x v="1"/>
    <x v="2"/>
  </r>
  <r>
    <n v="650"/>
    <x v="3"/>
    <x v="1"/>
    <x v="2"/>
    <x v="31"/>
    <s v="Rural"/>
    <x v="0"/>
    <x v="0"/>
    <x v="2"/>
  </r>
  <r>
    <n v="651"/>
    <x v="3"/>
    <x v="1"/>
    <x v="2"/>
    <x v="31"/>
    <s v="Rural"/>
    <x v="0"/>
    <x v="0"/>
    <x v="2"/>
  </r>
  <r>
    <n v="652"/>
    <x v="3"/>
    <x v="1"/>
    <x v="2"/>
    <x v="31"/>
    <s v="Rural"/>
    <x v="1"/>
    <x v="2"/>
    <x v="2"/>
  </r>
  <r>
    <n v="653"/>
    <x v="3"/>
    <x v="1"/>
    <x v="2"/>
    <x v="31"/>
    <s v="Rural"/>
    <x v="1"/>
    <x v="0"/>
    <x v="2"/>
  </r>
  <r>
    <n v="654"/>
    <x v="3"/>
    <x v="1"/>
    <x v="2"/>
    <x v="31"/>
    <s v="Rural"/>
    <x v="0"/>
    <x v="0"/>
    <x v="2"/>
  </r>
  <r>
    <n v="655"/>
    <x v="3"/>
    <x v="1"/>
    <x v="2"/>
    <x v="31"/>
    <s v="Rural"/>
    <x v="0"/>
    <x v="0"/>
    <x v="2"/>
  </r>
  <r>
    <n v="656"/>
    <x v="3"/>
    <x v="1"/>
    <x v="2"/>
    <x v="31"/>
    <s v="Rural"/>
    <x v="1"/>
    <x v="0"/>
    <x v="2"/>
  </r>
  <r>
    <n v="657"/>
    <x v="3"/>
    <x v="1"/>
    <x v="2"/>
    <x v="31"/>
    <s v="Rural"/>
    <x v="0"/>
    <x v="2"/>
    <x v="2"/>
  </r>
  <r>
    <n v="658"/>
    <x v="3"/>
    <x v="1"/>
    <x v="2"/>
    <x v="31"/>
    <s v="Rural"/>
    <x v="0"/>
    <x v="0"/>
    <x v="2"/>
  </r>
  <r>
    <n v="659"/>
    <x v="3"/>
    <x v="1"/>
    <x v="2"/>
    <x v="31"/>
    <s v="Rural"/>
    <x v="0"/>
    <x v="0"/>
    <x v="2"/>
  </r>
  <r>
    <n v="660"/>
    <x v="3"/>
    <x v="1"/>
    <x v="2"/>
    <x v="31"/>
    <s v="Rural"/>
    <x v="0"/>
    <x v="0"/>
    <x v="2"/>
  </r>
  <r>
    <n v="661"/>
    <x v="3"/>
    <x v="1"/>
    <x v="2"/>
    <x v="31"/>
    <s v="Rural"/>
    <x v="0"/>
    <x v="1"/>
    <x v="2"/>
  </r>
  <r>
    <n v="662"/>
    <x v="3"/>
    <x v="1"/>
    <x v="2"/>
    <x v="31"/>
    <s v="Rural"/>
    <x v="0"/>
    <x v="0"/>
    <x v="2"/>
  </r>
  <r>
    <n v="663"/>
    <x v="3"/>
    <x v="1"/>
    <x v="2"/>
    <x v="31"/>
    <s v="Rural"/>
    <x v="0"/>
    <x v="0"/>
    <x v="2"/>
  </r>
  <r>
    <n v="664"/>
    <x v="3"/>
    <x v="1"/>
    <x v="2"/>
    <x v="31"/>
    <s v="Rural"/>
    <x v="0"/>
    <x v="0"/>
    <x v="2"/>
  </r>
  <r>
    <n v="665"/>
    <x v="3"/>
    <x v="1"/>
    <x v="2"/>
    <x v="31"/>
    <s v="Rural"/>
    <x v="0"/>
    <x v="0"/>
    <x v="2"/>
  </r>
  <r>
    <n v="666"/>
    <x v="3"/>
    <x v="1"/>
    <x v="2"/>
    <x v="31"/>
    <s v="Rural"/>
    <x v="0"/>
    <x v="0"/>
    <x v="2"/>
  </r>
  <r>
    <n v="667"/>
    <x v="3"/>
    <x v="1"/>
    <x v="2"/>
    <x v="31"/>
    <s v="Rural"/>
    <x v="0"/>
    <x v="0"/>
    <x v="2"/>
  </r>
  <r>
    <n v="668"/>
    <x v="3"/>
    <x v="1"/>
    <x v="2"/>
    <x v="31"/>
    <s v="Rural"/>
    <x v="0"/>
    <x v="0"/>
    <x v="2"/>
  </r>
  <r>
    <n v="669"/>
    <x v="3"/>
    <x v="1"/>
    <x v="2"/>
    <x v="31"/>
    <s v="Rural"/>
    <x v="0"/>
    <x v="0"/>
    <x v="2"/>
  </r>
  <r>
    <n v="670"/>
    <x v="3"/>
    <x v="1"/>
    <x v="2"/>
    <x v="31"/>
    <s v="Rural"/>
    <x v="1"/>
    <x v="0"/>
    <x v="2"/>
  </r>
  <r>
    <n v="671"/>
    <x v="3"/>
    <x v="1"/>
    <x v="2"/>
    <x v="31"/>
    <s v="Rural"/>
    <x v="0"/>
    <x v="0"/>
    <x v="2"/>
  </r>
  <r>
    <n v="672"/>
    <x v="3"/>
    <x v="1"/>
    <x v="2"/>
    <x v="31"/>
    <s v="Rural"/>
    <x v="0"/>
    <x v="0"/>
    <x v="2"/>
  </r>
  <r>
    <n v="673"/>
    <x v="3"/>
    <x v="1"/>
    <x v="2"/>
    <x v="31"/>
    <s v="Rural"/>
    <x v="1"/>
    <x v="0"/>
    <x v="2"/>
  </r>
  <r>
    <n v="674"/>
    <x v="3"/>
    <x v="1"/>
    <x v="2"/>
    <x v="31"/>
    <s v="Rural"/>
    <x v="1"/>
    <x v="1"/>
    <x v="2"/>
  </r>
  <r>
    <n v="675"/>
    <x v="3"/>
    <x v="1"/>
    <x v="2"/>
    <x v="31"/>
    <s v="Rural"/>
    <x v="0"/>
    <x v="0"/>
    <x v="2"/>
  </r>
  <r>
    <n v="676"/>
    <x v="3"/>
    <x v="1"/>
    <x v="2"/>
    <x v="31"/>
    <s v="Rural"/>
    <x v="1"/>
    <x v="1"/>
    <x v="2"/>
  </r>
  <r>
    <n v="677"/>
    <x v="3"/>
    <x v="1"/>
    <x v="2"/>
    <x v="31"/>
    <s v="Rural"/>
    <x v="1"/>
    <x v="0"/>
    <x v="2"/>
  </r>
  <r>
    <n v="678"/>
    <x v="3"/>
    <x v="1"/>
    <x v="2"/>
    <x v="31"/>
    <s v="Rural"/>
    <x v="1"/>
    <x v="0"/>
    <x v="2"/>
  </r>
  <r>
    <n v="679"/>
    <x v="3"/>
    <x v="1"/>
    <x v="2"/>
    <x v="31"/>
    <s v="Rural"/>
    <x v="0"/>
    <x v="0"/>
    <x v="2"/>
  </r>
  <r>
    <n v="680"/>
    <x v="3"/>
    <x v="1"/>
    <x v="2"/>
    <x v="31"/>
    <s v="Rural"/>
    <x v="1"/>
    <x v="0"/>
    <x v="2"/>
  </r>
  <r>
    <n v="681"/>
    <x v="3"/>
    <x v="1"/>
    <x v="2"/>
    <x v="31"/>
    <s v="Rural"/>
    <x v="1"/>
    <x v="0"/>
    <x v="2"/>
  </r>
  <r>
    <n v="682"/>
    <x v="3"/>
    <x v="1"/>
    <x v="2"/>
    <x v="31"/>
    <s v="Rural"/>
    <x v="1"/>
    <x v="0"/>
    <x v="2"/>
  </r>
  <r>
    <n v="683"/>
    <x v="3"/>
    <x v="1"/>
    <x v="2"/>
    <x v="31"/>
    <s v="Rural"/>
    <x v="1"/>
    <x v="0"/>
    <x v="2"/>
  </r>
  <r>
    <n v="684"/>
    <x v="3"/>
    <x v="1"/>
    <x v="2"/>
    <x v="31"/>
    <s v="Rural"/>
    <x v="1"/>
    <x v="0"/>
    <x v="2"/>
  </r>
  <r>
    <n v="685"/>
    <x v="3"/>
    <x v="1"/>
    <x v="2"/>
    <x v="31"/>
    <s v="Rural"/>
    <x v="1"/>
    <x v="0"/>
    <x v="2"/>
  </r>
  <r>
    <n v="686"/>
    <x v="3"/>
    <x v="1"/>
    <x v="3"/>
    <x v="31"/>
    <s v="Rural"/>
    <x v="0"/>
    <x v="1"/>
    <x v="2"/>
  </r>
  <r>
    <n v="687"/>
    <x v="3"/>
    <x v="1"/>
    <x v="3"/>
    <x v="31"/>
    <s v="Rural"/>
    <x v="0"/>
    <x v="1"/>
    <x v="2"/>
  </r>
  <r>
    <n v="688"/>
    <x v="3"/>
    <x v="1"/>
    <x v="3"/>
    <x v="31"/>
    <s v="Rural"/>
    <x v="1"/>
    <x v="2"/>
    <x v="2"/>
  </r>
  <r>
    <n v="689"/>
    <x v="3"/>
    <x v="1"/>
    <x v="3"/>
    <x v="31"/>
    <s v="Rural"/>
    <x v="0"/>
    <x v="1"/>
    <x v="2"/>
  </r>
  <r>
    <n v="690"/>
    <x v="3"/>
    <x v="1"/>
    <x v="3"/>
    <x v="31"/>
    <s v="Rural"/>
    <x v="1"/>
    <x v="1"/>
    <x v="2"/>
  </r>
  <r>
    <n v="691"/>
    <x v="3"/>
    <x v="1"/>
    <x v="3"/>
    <x v="31"/>
    <s v="Rural"/>
    <x v="1"/>
    <x v="1"/>
    <x v="2"/>
  </r>
  <r>
    <n v="692"/>
    <x v="3"/>
    <x v="1"/>
    <x v="3"/>
    <x v="31"/>
    <s v="Rural"/>
    <x v="1"/>
    <x v="2"/>
    <x v="2"/>
  </r>
  <r>
    <n v="693"/>
    <x v="3"/>
    <x v="1"/>
    <x v="3"/>
    <x v="31"/>
    <s v="Rural"/>
    <x v="1"/>
    <x v="1"/>
    <x v="2"/>
  </r>
  <r>
    <n v="694"/>
    <x v="3"/>
    <x v="1"/>
    <x v="3"/>
    <x v="31"/>
    <s v="Rural"/>
    <x v="0"/>
    <x v="0"/>
    <x v="2"/>
  </r>
  <r>
    <n v="695"/>
    <x v="3"/>
    <x v="1"/>
    <x v="3"/>
    <x v="31"/>
    <s v="Rural"/>
    <x v="1"/>
    <x v="0"/>
    <x v="2"/>
  </r>
  <r>
    <n v="696"/>
    <x v="3"/>
    <x v="1"/>
    <x v="3"/>
    <x v="31"/>
    <s v="Rural"/>
    <x v="0"/>
    <x v="0"/>
    <x v="2"/>
  </r>
  <r>
    <n v="697"/>
    <x v="3"/>
    <x v="1"/>
    <x v="3"/>
    <x v="31"/>
    <s v="Rural"/>
    <x v="0"/>
    <x v="1"/>
    <x v="2"/>
  </r>
  <r>
    <n v="698"/>
    <x v="3"/>
    <x v="1"/>
    <x v="3"/>
    <x v="31"/>
    <s v="Rural"/>
    <x v="0"/>
    <x v="0"/>
    <x v="2"/>
  </r>
  <r>
    <n v="699"/>
    <x v="3"/>
    <x v="1"/>
    <x v="3"/>
    <x v="31"/>
    <s v="Rural"/>
    <x v="0"/>
    <x v="0"/>
    <x v="2"/>
  </r>
  <r>
    <n v="700"/>
    <x v="3"/>
    <x v="1"/>
    <x v="3"/>
    <x v="31"/>
    <s v="Rural"/>
    <x v="1"/>
    <x v="0"/>
    <x v="2"/>
  </r>
  <r>
    <n v="701"/>
    <x v="3"/>
    <x v="1"/>
    <x v="3"/>
    <x v="31"/>
    <s v="Rural"/>
    <x v="0"/>
    <x v="0"/>
    <x v="2"/>
  </r>
  <r>
    <n v="702"/>
    <x v="3"/>
    <x v="1"/>
    <x v="3"/>
    <x v="31"/>
    <s v="Rural"/>
    <x v="1"/>
    <x v="0"/>
    <x v="2"/>
  </r>
  <r>
    <n v="703"/>
    <x v="3"/>
    <x v="1"/>
    <x v="3"/>
    <x v="31"/>
    <s v="Rural"/>
    <x v="0"/>
    <x v="0"/>
    <x v="2"/>
  </r>
  <r>
    <n v="704"/>
    <x v="3"/>
    <x v="1"/>
    <x v="3"/>
    <x v="31"/>
    <s v="Rural"/>
    <x v="0"/>
    <x v="0"/>
    <x v="2"/>
  </r>
  <r>
    <n v="705"/>
    <x v="3"/>
    <x v="1"/>
    <x v="3"/>
    <x v="31"/>
    <s v="Rural"/>
    <x v="1"/>
    <x v="1"/>
    <x v="2"/>
  </r>
  <r>
    <n v="706"/>
    <x v="3"/>
    <x v="1"/>
    <x v="3"/>
    <x v="31"/>
    <s v="Rural"/>
    <x v="0"/>
    <x v="0"/>
    <x v="2"/>
  </r>
  <r>
    <n v="707"/>
    <x v="3"/>
    <x v="1"/>
    <x v="3"/>
    <x v="31"/>
    <s v="Rural"/>
    <x v="0"/>
    <x v="0"/>
    <x v="2"/>
  </r>
  <r>
    <n v="708"/>
    <x v="3"/>
    <x v="1"/>
    <x v="3"/>
    <x v="31"/>
    <s v="Rural"/>
    <x v="0"/>
    <x v="0"/>
    <x v="2"/>
  </r>
  <r>
    <n v="709"/>
    <x v="3"/>
    <x v="0"/>
    <x v="4"/>
    <x v="34"/>
    <s v="Rural"/>
    <x v="0"/>
    <x v="0"/>
    <x v="2"/>
  </r>
  <r>
    <n v="710"/>
    <x v="3"/>
    <x v="0"/>
    <x v="4"/>
    <x v="34"/>
    <s v="Rural"/>
    <x v="1"/>
    <x v="1"/>
    <x v="2"/>
  </r>
  <r>
    <n v="711"/>
    <x v="3"/>
    <x v="0"/>
    <x v="4"/>
    <x v="34"/>
    <s v="Rural"/>
    <x v="1"/>
    <x v="0"/>
    <x v="2"/>
  </r>
  <r>
    <n v="712"/>
    <x v="3"/>
    <x v="0"/>
    <x v="4"/>
    <x v="34"/>
    <s v="Rural"/>
    <x v="1"/>
    <x v="0"/>
    <x v="2"/>
  </r>
  <r>
    <n v="713"/>
    <x v="3"/>
    <x v="0"/>
    <x v="0"/>
    <x v="34"/>
    <s v="Rural"/>
    <x v="1"/>
    <x v="1"/>
    <x v="2"/>
  </r>
  <r>
    <n v="714"/>
    <x v="3"/>
    <x v="0"/>
    <x v="0"/>
    <x v="34"/>
    <s v="Rural"/>
    <x v="0"/>
    <x v="1"/>
    <x v="2"/>
  </r>
  <r>
    <n v="715"/>
    <x v="3"/>
    <x v="0"/>
    <x v="0"/>
    <x v="34"/>
    <s v="Rural"/>
    <x v="0"/>
    <x v="1"/>
    <x v="2"/>
  </r>
  <r>
    <n v="716"/>
    <x v="3"/>
    <x v="0"/>
    <x v="0"/>
    <x v="34"/>
    <s v="Rural"/>
    <x v="1"/>
    <x v="0"/>
    <x v="2"/>
  </r>
  <r>
    <n v="717"/>
    <x v="3"/>
    <x v="0"/>
    <x v="0"/>
    <x v="34"/>
    <s v="Rural"/>
    <x v="0"/>
    <x v="0"/>
    <x v="2"/>
  </r>
  <r>
    <n v="718"/>
    <x v="3"/>
    <x v="0"/>
    <x v="0"/>
    <x v="34"/>
    <s v="Rural"/>
    <x v="0"/>
    <x v="1"/>
    <x v="2"/>
  </r>
  <r>
    <n v="719"/>
    <x v="3"/>
    <x v="0"/>
    <x v="0"/>
    <x v="34"/>
    <s v="Rural"/>
    <x v="1"/>
    <x v="1"/>
    <x v="2"/>
  </r>
  <r>
    <n v="720"/>
    <x v="3"/>
    <x v="0"/>
    <x v="0"/>
    <x v="34"/>
    <s v="Rural"/>
    <x v="1"/>
    <x v="0"/>
    <x v="2"/>
  </r>
  <r>
    <n v="721"/>
    <x v="3"/>
    <x v="0"/>
    <x v="1"/>
    <x v="34"/>
    <s v="Rural"/>
    <x v="1"/>
    <x v="0"/>
    <x v="2"/>
  </r>
  <r>
    <n v="722"/>
    <x v="3"/>
    <x v="0"/>
    <x v="1"/>
    <x v="34"/>
    <s v="Rural"/>
    <x v="0"/>
    <x v="1"/>
    <x v="2"/>
  </r>
  <r>
    <n v="723"/>
    <x v="3"/>
    <x v="0"/>
    <x v="1"/>
    <x v="34"/>
    <s v="Rural"/>
    <x v="0"/>
    <x v="1"/>
    <x v="2"/>
  </r>
  <r>
    <n v="724"/>
    <x v="3"/>
    <x v="0"/>
    <x v="1"/>
    <x v="34"/>
    <s v="Rural"/>
    <x v="0"/>
    <x v="0"/>
    <x v="2"/>
  </r>
  <r>
    <n v="725"/>
    <x v="3"/>
    <x v="0"/>
    <x v="1"/>
    <x v="34"/>
    <s v="Rural"/>
    <x v="0"/>
    <x v="0"/>
    <x v="2"/>
  </r>
  <r>
    <n v="726"/>
    <x v="3"/>
    <x v="0"/>
    <x v="1"/>
    <x v="34"/>
    <s v="Rural"/>
    <x v="0"/>
    <x v="0"/>
    <x v="2"/>
  </r>
  <r>
    <n v="727"/>
    <x v="3"/>
    <x v="0"/>
    <x v="1"/>
    <x v="34"/>
    <s v="Rural"/>
    <x v="0"/>
    <x v="0"/>
    <x v="2"/>
  </r>
  <r>
    <n v="728"/>
    <x v="3"/>
    <x v="0"/>
    <x v="1"/>
    <x v="34"/>
    <s v="Rural"/>
    <x v="0"/>
    <x v="0"/>
    <x v="2"/>
  </r>
  <r>
    <n v="729"/>
    <x v="3"/>
    <x v="0"/>
    <x v="1"/>
    <x v="34"/>
    <s v="Rural"/>
    <x v="1"/>
    <x v="0"/>
    <x v="2"/>
  </r>
  <r>
    <n v="730"/>
    <x v="3"/>
    <x v="0"/>
    <x v="4"/>
    <x v="35"/>
    <s v="Rural"/>
    <x v="0"/>
    <x v="0"/>
    <x v="2"/>
  </r>
  <r>
    <n v="731"/>
    <x v="3"/>
    <x v="0"/>
    <x v="4"/>
    <x v="35"/>
    <s v="Rural"/>
    <x v="0"/>
    <x v="1"/>
    <x v="2"/>
  </r>
  <r>
    <n v="732"/>
    <x v="3"/>
    <x v="0"/>
    <x v="4"/>
    <x v="35"/>
    <s v="Rural"/>
    <x v="0"/>
    <x v="0"/>
    <x v="2"/>
  </r>
  <r>
    <n v="733"/>
    <x v="3"/>
    <x v="0"/>
    <x v="4"/>
    <x v="35"/>
    <s v="Rural"/>
    <x v="1"/>
    <x v="0"/>
    <x v="2"/>
  </r>
  <r>
    <n v="734"/>
    <x v="3"/>
    <x v="0"/>
    <x v="4"/>
    <x v="35"/>
    <s v="Rural"/>
    <x v="0"/>
    <x v="0"/>
    <x v="2"/>
  </r>
  <r>
    <n v="735"/>
    <x v="3"/>
    <x v="0"/>
    <x v="4"/>
    <x v="35"/>
    <s v="Rural"/>
    <x v="1"/>
    <x v="0"/>
    <x v="2"/>
  </r>
  <r>
    <n v="736"/>
    <x v="3"/>
    <x v="0"/>
    <x v="4"/>
    <x v="35"/>
    <s v="Rural"/>
    <x v="1"/>
    <x v="0"/>
    <x v="2"/>
  </r>
  <r>
    <n v="737"/>
    <x v="3"/>
    <x v="0"/>
    <x v="4"/>
    <x v="35"/>
    <s v="Rural"/>
    <x v="0"/>
    <x v="0"/>
    <x v="2"/>
  </r>
  <r>
    <n v="738"/>
    <x v="3"/>
    <x v="0"/>
    <x v="4"/>
    <x v="35"/>
    <s v="Rural"/>
    <x v="0"/>
    <x v="0"/>
    <x v="2"/>
  </r>
  <r>
    <n v="739"/>
    <x v="3"/>
    <x v="0"/>
    <x v="4"/>
    <x v="35"/>
    <s v="Rural"/>
    <x v="1"/>
    <x v="0"/>
    <x v="2"/>
  </r>
  <r>
    <n v="740"/>
    <x v="3"/>
    <x v="0"/>
    <x v="4"/>
    <x v="35"/>
    <s v="Rural"/>
    <x v="0"/>
    <x v="0"/>
    <x v="2"/>
  </r>
  <r>
    <n v="741"/>
    <x v="3"/>
    <x v="0"/>
    <x v="4"/>
    <x v="35"/>
    <s v="Rural"/>
    <x v="1"/>
    <x v="0"/>
    <x v="2"/>
  </r>
  <r>
    <n v="742"/>
    <x v="3"/>
    <x v="0"/>
    <x v="4"/>
    <x v="35"/>
    <s v="Rural"/>
    <x v="0"/>
    <x v="0"/>
    <x v="2"/>
  </r>
  <r>
    <n v="743"/>
    <x v="3"/>
    <x v="0"/>
    <x v="4"/>
    <x v="35"/>
    <s v="Rural"/>
    <x v="0"/>
    <x v="0"/>
    <x v="2"/>
  </r>
  <r>
    <n v="744"/>
    <x v="3"/>
    <x v="0"/>
    <x v="4"/>
    <x v="35"/>
    <s v="Rural"/>
    <x v="1"/>
    <x v="0"/>
    <x v="2"/>
  </r>
  <r>
    <n v="745"/>
    <x v="3"/>
    <x v="0"/>
    <x v="4"/>
    <x v="35"/>
    <s v="Rural"/>
    <x v="1"/>
    <x v="0"/>
    <x v="2"/>
  </r>
  <r>
    <n v="746"/>
    <x v="3"/>
    <x v="0"/>
    <x v="4"/>
    <x v="35"/>
    <s v="Rural"/>
    <x v="1"/>
    <x v="0"/>
    <x v="2"/>
  </r>
  <r>
    <n v="747"/>
    <x v="3"/>
    <x v="0"/>
    <x v="4"/>
    <x v="35"/>
    <s v="Rural"/>
    <x v="0"/>
    <x v="0"/>
    <x v="2"/>
  </r>
  <r>
    <n v="748"/>
    <x v="3"/>
    <x v="0"/>
    <x v="4"/>
    <x v="35"/>
    <s v="Rural"/>
    <x v="0"/>
    <x v="0"/>
    <x v="2"/>
  </r>
  <r>
    <n v="749"/>
    <x v="3"/>
    <x v="0"/>
    <x v="4"/>
    <x v="35"/>
    <s v="Rural"/>
    <x v="0"/>
    <x v="0"/>
    <x v="2"/>
  </r>
  <r>
    <n v="750"/>
    <x v="3"/>
    <x v="0"/>
    <x v="4"/>
    <x v="35"/>
    <s v="Rural"/>
    <x v="1"/>
    <x v="1"/>
    <x v="2"/>
  </r>
  <r>
    <n v="751"/>
    <x v="3"/>
    <x v="0"/>
    <x v="4"/>
    <x v="35"/>
    <s v="Rural"/>
    <x v="0"/>
    <x v="0"/>
    <x v="2"/>
  </r>
  <r>
    <n v="752"/>
    <x v="3"/>
    <x v="0"/>
    <x v="0"/>
    <x v="35"/>
    <s v="Rural"/>
    <x v="1"/>
    <x v="0"/>
    <x v="2"/>
  </r>
  <r>
    <n v="753"/>
    <x v="3"/>
    <x v="0"/>
    <x v="0"/>
    <x v="35"/>
    <s v="Rural"/>
    <x v="1"/>
    <x v="0"/>
    <x v="2"/>
  </r>
  <r>
    <n v="754"/>
    <x v="3"/>
    <x v="0"/>
    <x v="0"/>
    <x v="35"/>
    <s v="Rural"/>
    <x v="1"/>
    <x v="0"/>
    <x v="2"/>
  </r>
  <r>
    <n v="755"/>
    <x v="3"/>
    <x v="0"/>
    <x v="0"/>
    <x v="35"/>
    <s v="Rural"/>
    <x v="0"/>
    <x v="0"/>
    <x v="2"/>
  </r>
  <r>
    <n v="756"/>
    <x v="3"/>
    <x v="0"/>
    <x v="0"/>
    <x v="35"/>
    <s v="Rural"/>
    <x v="0"/>
    <x v="0"/>
    <x v="2"/>
  </r>
  <r>
    <n v="757"/>
    <x v="3"/>
    <x v="0"/>
    <x v="0"/>
    <x v="35"/>
    <s v="Rural"/>
    <x v="1"/>
    <x v="0"/>
    <x v="2"/>
  </r>
  <r>
    <n v="758"/>
    <x v="3"/>
    <x v="0"/>
    <x v="0"/>
    <x v="35"/>
    <s v="Rural"/>
    <x v="0"/>
    <x v="1"/>
    <x v="2"/>
  </r>
  <r>
    <n v="759"/>
    <x v="3"/>
    <x v="0"/>
    <x v="0"/>
    <x v="35"/>
    <s v="Rural"/>
    <x v="0"/>
    <x v="0"/>
    <x v="2"/>
  </r>
  <r>
    <n v="760"/>
    <x v="3"/>
    <x v="0"/>
    <x v="0"/>
    <x v="35"/>
    <s v="Rural"/>
    <x v="0"/>
    <x v="0"/>
    <x v="2"/>
  </r>
  <r>
    <n v="761"/>
    <x v="3"/>
    <x v="0"/>
    <x v="0"/>
    <x v="35"/>
    <s v="Rural"/>
    <x v="1"/>
    <x v="0"/>
    <x v="2"/>
  </r>
  <r>
    <n v="762"/>
    <x v="3"/>
    <x v="0"/>
    <x v="0"/>
    <x v="35"/>
    <s v="Rural"/>
    <x v="1"/>
    <x v="0"/>
    <x v="2"/>
  </r>
  <r>
    <n v="763"/>
    <x v="3"/>
    <x v="0"/>
    <x v="0"/>
    <x v="35"/>
    <s v="Rural"/>
    <x v="0"/>
    <x v="0"/>
    <x v="2"/>
  </r>
  <r>
    <n v="764"/>
    <x v="3"/>
    <x v="0"/>
    <x v="0"/>
    <x v="35"/>
    <s v="Rural"/>
    <x v="1"/>
    <x v="0"/>
    <x v="2"/>
  </r>
  <r>
    <n v="765"/>
    <x v="3"/>
    <x v="0"/>
    <x v="1"/>
    <x v="35"/>
    <s v="Rural"/>
    <x v="1"/>
    <x v="0"/>
    <x v="2"/>
  </r>
  <r>
    <n v="766"/>
    <x v="3"/>
    <x v="0"/>
    <x v="1"/>
    <x v="35"/>
    <s v="Rural"/>
    <x v="1"/>
    <x v="0"/>
    <x v="2"/>
  </r>
  <r>
    <n v="767"/>
    <x v="3"/>
    <x v="0"/>
    <x v="1"/>
    <x v="35"/>
    <s v="Rural"/>
    <x v="0"/>
    <x v="0"/>
    <x v="2"/>
  </r>
  <r>
    <n v="768"/>
    <x v="3"/>
    <x v="0"/>
    <x v="1"/>
    <x v="35"/>
    <s v="Rural"/>
    <x v="1"/>
    <x v="0"/>
    <x v="2"/>
  </r>
  <r>
    <n v="769"/>
    <x v="3"/>
    <x v="0"/>
    <x v="1"/>
    <x v="35"/>
    <s v="Rural"/>
    <x v="1"/>
    <x v="0"/>
    <x v="2"/>
  </r>
  <r>
    <n v="770"/>
    <x v="3"/>
    <x v="0"/>
    <x v="1"/>
    <x v="35"/>
    <s v="Rural"/>
    <x v="1"/>
    <x v="0"/>
    <x v="2"/>
  </r>
  <r>
    <n v="771"/>
    <x v="3"/>
    <x v="0"/>
    <x v="1"/>
    <x v="35"/>
    <s v="Rural"/>
    <x v="1"/>
    <x v="0"/>
    <x v="2"/>
  </r>
  <r>
    <n v="772"/>
    <x v="3"/>
    <x v="0"/>
    <x v="1"/>
    <x v="35"/>
    <s v="Rural"/>
    <x v="1"/>
    <x v="0"/>
    <x v="2"/>
  </r>
  <r>
    <n v="773"/>
    <x v="3"/>
    <x v="0"/>
    <x v="1"/>
    <x v="35"/>
    <s v="Rural"/>
    <x v="0"/>
    <x v="0"/>
    <x v="2"/>
  </r>
  <r>
    <n v="774"/>
    <x v="3"/>
    <x v="0"/>
    <x v="1"/>
    <x v="35"/>
    <s v="Rural"/>
    <x v="0"/>
    <x v="0"/>
    <x v="2"/>
  </r>
  <r>
    <n v="775"/>
    <x v="3"/>
    <x v="0"/>
    <x v="1"/>
    <x v="35"/>
    <s v="Rural"/>
    <x v="0"/>
    <x v="0"/>
    <x v="2"/>
  </r>
  <r>
    <n v="776"/>
    <x v="3"/>
    <x v="0"/>
    <x v="1"/>
    <x v="35"/>
    <s v="Rural"/>
    <x v="0"/>
    <x v="0"/>
    <x v="2"/>
  </r>
  <r>
    <n v="777"/>
    <x v="3"/>
    <x v="0"/>
    <x v="1"/>
    <x v="35"/>
    <s v="Rural"/>
    <x v="0"/>
    <x v="0"/>
    <x v="2"/>
  </r>
  <r>
    <n v="778"/>
    <x v="3"/>
    <x v="0"/>
    <x v="1"/>
    <x v="35"/>
    <s v="Rural"/>
    <x v="0"/>
    <x v="0"/>
    <x v="2"/>
  </r>
  <r>
    <n v="779"/>
    <x v="3"/>
    <x v="0"/>
    <x v="1"/>
    <x v="35"/>
    <s v="Rural"/>
    <x v="0"/>
    <x v="0"/>
    <x v="2"/>
  </r>
  <r>
    <n v="780"/>
    <x v="3"/>
    <x v="0"/>
    <x v="1"/>
    <x v="35"/>
    <s v="Rural"/>
    <x v="0"/>
    <x v="0"/>
    <x v="2"/>
  </r>
  <r>
    <n v="781"/>
    <x v="3"/>
    <x v="0"/>
    <x v="1"/>
    <x v="35"/>
    <s v="Rural"/>
    <x v="1"/>
    <x v="0"/>
    <x v="2"/>
  </r>
  <r>
    <n v="782"/>
    <x v="3"/>
    <x v="0"/>
    <x v="1"/>
    <x v="35"/>
    <s v="Rural"/>
    <x v="0"/>
    <x v="1"/>
    <x v="2"/>
  </r>
  <r>
    <n v="783"/>
    <x v="3"/>
    <x v="1"/>
    <x v="2"/>
    <x v="35"/>
    <s v="Rural"/>
    <x v="0"/>
    <x v="1"/>
    <x v="2"/>
  </r>
  <r>
    <n v="784"/>
    <x v="3"/>
    <x v="1"/>
    <x v="2"/>
    <x v="35"/>
    <s v="Rural"/>
    <x v="0"/>
    <x v="1"/>
    <x v="2"/>
  </r>
  <r>
    <n v="785"/>
    <x v="3"/>
    <x v="1"/>
    <x v="2"/>
    <x v="35"/>
    <s v="Rural"/>
    <x v="1"/>
    <x v="0"/>
    <x v="2"/>
  </r>
  <r>
    <n v="786"/>
    <x v="3"/>
    <x v="1"/>
    <x v="2"/>
    <x v="35"/>
    <s v="Rural"/>
    <x v="1"/>
    <x v="0"/>
    <x v="2"/>
  </r>
  <r>
    <n v="787"/>
    <x v="3"/>
    <x v="1"/>
    <x v="2"/>
    <x v="35"/>
    <s v="Rural"/>
    <x v="1"/>
    <x v="1"/>
    <x v="2"/>
  </r>
  <r>
    <n v="788"/>
    <x v="3"/>
    <x v="1"/>
    <x v="2"/>
    <x v="35"/>
    <s v="Rural"/>
    <x v="1"/>
    <x v="1"/>
    <x v="2"/>
  </r>
  <r>
    <n v="789"/>
    <x v="3"/>
    <x v="1"/>
    <x v="2"/>
    <x v="35"/>
    <s v="Rural"/>
    <x v="1"/>
    <x v="0"/>
    <x v="2"/>
  </r>
  <r>
    <n v="790"/>
    <x v="3"/>
    <x v="1"/>
    <x v="2"/>
    <x v="35"/>
    <s v="Rural"/>
    <x v="0"/>
    <x v="0"/>
    <x v="2"/>
  </r>
  <r>
    <n v="791"/>
    <x v="3"/>
    <x v="1"/>
    <x v="2"/>
    <x v="35"/>
    <s v="Rural"/>
    <x v="1"/>
    <x v="0"/>
    <x v="2"/>
  </r>
  <r>
    <n v="792"/>
    <x v="3"/>
    <x v="1"/>
    <x v="2"/>
    <x v="35"/>
    <s v="Rural"/>
    <x v="0"/>
    <x v="0"/>
    <x v="2"/>
  </r>
  <r>
    <n v="793"/>
    <x v="3"/>
    <x v="1"/>
    <x v="2"/>
    <x v="35"/>
    <s v="Rural"/>
    <x v="0"/>
    <x v="0"/>
    <x v="2"/>
  </r>
  <r>
    <n v="794"/>
    <x v="3"/>
    <x v="1"/>
    <x v="2"/>
    <x v="35"/>
    <s v="Rural"/>
    <x v="1"/>
    <x v="0"/>
    <x v="2"/>
  </r>
  <r>
    <n v="795"/>
    <x v="3"/>
    <x v="1"/>
    <x v="2"/>
    <x v="35"/>
    <s v="Rural"/>
    <x v="0"/>
    <x v="0"/>
    <x v="2"/>
  </r>
  <r>
    <n v="796"/>
    <x v="3"/>
    <x v="1"/>
    <x v="2"/>
    <x v="35"/>
    <s v="Rural"/>
    <x v="0"/>
    <x v="0"/>
    <x v="2"/>
  </r>
  <r>
    <n v="797"/>
    <x v="3"/>
    <x v="1"/>
    <x v="3"/>
    <x v="35"/>
    <s v="Rural"/>
    <x v="0"/>
    <x v="0"/>
    <x v="2"/>
  </r>
  <r>
    <n v="798"/>
    <x v="3"/>
    <x v="1"/>
    <x v="3"/>
    <x v="35"/>
    <s v="Rural"/>
    <x v="1"/>
    <x v="0"/>
    <x v="2"/>
  </r>
  <r>
    <n v="799"/>
    <x v="3"/>
    <x v="1"/>
    <x v="3"/>
    <x v="35"/>
    <s v="Rural"/>
    <x v="1"/>
    <x v="0"/>
    <x v="2"/>
  </r>
  <r>
    <n v="800"/>
    <x v="3"/>
    <x v="1"/>
    <x v="3"/>
    <x v="35"/>
    <s v="Rural"/>
    <x v="1"/>
    <x v="0"/>
    <x v="2"/>
  </r>
  <r>
    <n v="801"/>
    <x v="3"/>
    <x v="1"/>
    <x v="3"/>
    <x v="35"/>
    <s v="Rural"/>
    <x v="0"/>
    <x v="0"/>
    <x v="2"/>
  </r>
  <r>
    <n v="802"/>
    <x v="3"/>
    <x v="1"/>
    <x v="3"/>
    <x v="35"/>
    <s v="Rural"/>
    <x v="1"/>
    <x v="0"/>
    <x v="2"/>
  </r>
  <r>
    <n v="803"/>
    <x v="3"/>
    <x v="1"/>
    <x v="3"/>
    <x v="35"/>
    <s v="Rural"/>
    <x v="0"/>
    <x v="0"/>
    <x v="2"/>
  </r>
  <r>
    <n v="804"/>
    <x v="3"/>
    <x v="1"/>
    <x v="3"/>
    <x v="35"/>
    <s v="Rural"/>
    <x v="0"/>
    <x v="0"/>
    <x v="2"/>
  </r>
  <r>
    <n v="805"/>
    <x v="3"/>
    <x v="1"/>
    <x v="3"/>
    <x v="35"/>
    <s v="Rural"/>
    <x v="1"/>
    <x v="0"/>
    <x v="2"/>
  </r>
  <r>
    <n v="806"/>
    <x v="3"/>
    <x v="1"/>
    <x v="3"/>
    <x v="35"/>
    <s v="Rural"/>
    <x v="1"/>
    <x v="0"/>
    <x v="2"/>
  </r>
  <r>
    <n v="807"/>
    <x v="3"/>
    <x v="1"/>
    <x v="3"/>
    <x v="35"/>
    <s v="Rural"/>
    <x v="1"/>
    <x v="0"/>
    <x v="2"/>
  </r>
  <r>
    <n v="808"/>
    <x v="3"/>
    <x v="1"/>
    <x v="3"/>
    <x v="35"/>
    <s v="Rural"/>
    <x v="1"/>
    <x v="0"/>
    <x v="2"/>
  </r>
  <r>
    <n v="809"/>
    <x v="3"/>
    <x v="1"/>
    <x v="3"/>
    <x v="35"/>
    <s v="Rural"/>
    <x v="0"/>
    <x v="0"/>
    <x v="2"/>
  </r>
  <r>
    <n v="810"/>
    <x v="3"/>
    <x v="1"/>
    <x v="3"/>
    <x v="35"/>
    <s v="Rural"/>
    <x v="1"/>
    <x v="0"/>
    <x v="2"/>
  </r>
  <r>
    <n v="811"/>
    <x v="3"/>
    <x v="1"/>
    <x v="3"/>
    <x v="35"/>
    <s v="Rural"/>
    <x v="1"/>
    <x v="0"/>
    <x v="2"/>
  </r>
  <r>
    <n v="812"/>
    <x v="3"/>
    <x v="0"/>
    <x v="4"/>
    <x v="39"/>
    <s v="Rural"/>
    <x v="0"/>
    <x v="0"/>
    <x v="2"/>
  </r>
  <r>
    <n v="813"/>
    <x v="3"/>
    <x v="0"/>
    <x v="4"/>
    <x v="39"/>
    <s v="Rural"/>
    <x v="0"/>
    <x v="0"/>
    <x v="2"/>
  </r>
  <r>
    <n v="814"/>
    <x v="3"/>
    <x v="0"/>
    <x v="4"/>
    <x v="39"/>
    <s v="Rural"/>
    <x v="0"/>
    <x v="0"/>
    <x v="2"/>
  </r>
  <r>
    <n v="815"/>
    <x v="3"/>
    <x v="0"/>
    <x v="4"/>
    <x v="39"/>
    <s v="Rural"/>
    <x v="0"/>
    <x v="1"/>
    <x v="2"/>
  </r>
  <r>
    <n v="816"/>
    <x v="3"/>
    <x v="0"/>
    <x v="0"/>
    <x v="39"/>
    <s v="Rural"/>
    <x v="0"/>
    <x v="0"/>
    <x v="2"/>
  </r>
  <r>
    <n v="817"/>
    <x v="3"/>
    <x v="0"/>
    <x v="0"/>
    <x v="39"/>
    <s v="Rural"/>
    <x v="1"/>
    <x v="0"/>
    <x v="2"/>
  </r>
  <r>
    <n v="818"/>
    <x v="3"/>
    <x v="0"/>
    <x v="0"/>
    <x v="39"/>
    <s v="Rural"/>
    <x v="0"/>
    <x v="0"/>
    <x v="2"/>
  </r>
  <r>
    <n v="819"/>
    <x v="3"/>
    <x v="0"/>
    <x v="0"/>
    <x v="39"/>
    <s v="Rural"/>
    <x v="0"/>
    <x v="0"/>
    <x v="2"/>
  </r>
  <r>
    <n v="820"/>
    <x v="3"/>
    <x v="0"/>
    <x v="0"/>
    <x v="39"/>
    <s v="Rural"/>
    <x v="1"/>
    <x v="0"/>
    <x v="2"/>
  </r>
  <r>
    <n v="821"/>
    <x v="3"/>
    <x v="0"/>
    <x v="0"/>
    <x v="39"/>
    <s v="Rural"/>
    <x v="0"/>
    <x v="0"/>
    <x v="2"/>
  </r>
  <r>
    <n v="822"/>
    <x v="3"/>
    <x v="0"/>
    <x v="0"/>
    <x v="39"/>
    <s v="Rural"/>
    <x v="0"/>
    <x v="0"/>
    <x v="2"/>
  </r>
  <r>
    <n v="823"/>
    <x v="3"/>
    <x v="0"/>
    <x v="0"/>
    <x v="39"/>
    <s v="Rural"/>
    <x v="0"/>
    <x v="0"/>
    <x v="2"/>
  </r>
  <r>
    <n v="824"/>
    <x v="3"/>
    <x v="0"/>
    <x v="1"/>
    <x v="39"/>
    <s v="Rural"/>
    <x v="1"/>
    <x v="0"/>
    <x v="2"/>
  </r>
  <r>
    <n v="825"/>
    <x v="3"/>
    <x v="0"/>
    <x v="1"/>
    <x v="39"/>
    <s v="Rural"/>
    <x v="1"/>
    <x v="1"/>
    <x v="2"/>
  </r>
  <r>
    <n v="826"/>
    <x v="3"/>
    <x v="0"/>
    <x v="1"/>
    <x v="39"/>
    <s v="Rural"/>
    <x v="1"/>
    <x v="1"/>
    <x v="2"/>
  </r>
  <r>
    <n v="827"/>
    <x v="3"/>
    <x v="0"/>
    <x v="1"/>
    <x v="39"/>
    <s v="Rural"/>
    <x v="0"/>
    <x v="0"/>
    <x v="2"/>
  </r>
  <r>
    <n v="828"/>
    <x v="3"/>
    <x v="0"/>
    <x v="1"/>
    <x v="39"/>
    <s v="Rural"/>
    <x v="1"/>
    <x v="0"/>
    <x v="2"/>
  </r>
  <r>
    <n v="829"/>
    <x v="3"/>
    <x v="1"/>
    <x v="2"/>
    <x v="39"/>
    <s v="Rural"/>
    <x v="0"/>
    <x v="1"/>
    <x v="2"/>
  </r>
  <r>
    <n v="830"/>
    <x v="3"/>
    <x v="1"/>
    <x v="2"/>
    <x v="39"/>
    <s v="Rural"/>
    <x v="1"/>
    <x v="1"/>
    <x v="2"/>
  </r>
  <r>
    <n v="831"/>
    <x v="3"/>
    <x v="1"/>
    <x v="2"/>
    <x v="39"/>
    <s v="Rural"/>
    <x v="1"/>
    <x v="1"/>
    <x v="2"/>
  </r>
  <r>
    <n v="832"/>
    <x v="3"/>
    <x v="1"/>
    <x v="2"/>
    <x v="39"/>
    <s v="Rural"/>
    <x v="0"/>
    <x v="1"/>
    <x v="2"/>
  </r>
  <r>
    <n v="833"/>
    <x v="3"/>
    <x v="1"/>
    <x v="2"/>
    <x v="39"/>
    <s v="Rural"/>
    <x v="0"/>
    <x v="0"/>
    <x v="2"/>
  </r>
  <r>
    <n v="834"/>
    <x v="3"/>
    <x v="1"/>
    <x v="2"/>
    <x v="39"/>
    <s v="Rural"/>
    <x v="1"/>
    <x v="1"/>
    <x v="2"/>
  </r>
  <r>
    <n v="835"/>
    <x v="3"/>
    <x v="1"/>
    <x v="2"/>
    <x v="39"/>
    <s v="Rural"/>
    <x v="0"/>
    <x v="0"/>
    <x v="2"/>
  </r>
  <r>
    <n v="836"/>
    <x v="3"/>
    <x v="1"/>
    <x v="2"/>
    <x v="39"/>
    <s v="Rural"/>
    <x v="1"/>
    <x v="1"/>
    <x v="2"/>
  </r>
  <r>
    <n v="837"/>
    <x v="3"/>
    <x v="1"/>
    <x v="2"/>
    <x v="39"/>
    <s v="Rural"/>
    <x v="1"/>
    <x v="1"/>
    <x v="2"/>
  </r>
  <r>
    <n v="838"/>
    <x v="3"/>
    <x v="1"/>
    <x v="3"/>
    <x v="39"/>
    <s v="Rural"/>
    <x v="1"/>
    <x v="1"/>
    <x v="2"/>
  </r>
  <r>
    <n v="839"/>
    <x v="3"/>
    <x v="1"/>
    <x v="3"/>
    <x v="39"/>
    <s v="Rural"/>
    <x v="0"/>
    <x v="1"/>
    <x v="2"/>
  </r>
  <r>
    <n v="840"/>
    <x v="3"/>
    <x v="1"/>
    <x v="3"/>
    <x v="39"/>
    <s v="Rural"/>
    <x v="0"/>
    <x v="0"/>
    <x v="2"/>
  </r>
  <r>
    <n v="841"/>
    <x v="3"/>
    <x v="1"/>
    <x v="3"/>
    <x v="39"/>
    <s v="Rural"/>
    <x v="1"/>
    <x v="0"/>
    <x v="2"/>
  </r>
  <r>
    <n v="842"/>
    <x v="3"/>
    <x v="1"/>
    <x v="3"/>
    <x v="39"/>
    <s v="Rural"/>
    <x v="1"/>
    <x v="1"/>
    <x v="2"/>
  </r>
  <r>
    <n v="843"/>
    <x v="3"/>
    <x v="0"/>
    <x v="4"/>
    <x v="47"/>
    <s v="Rural"/>
    <x v="1"/>
    <x v="1"/>
    <x v="2"/>
  </r>
  <r>
    <n v="844"/>
    <x v="3"/>
    <x v="0"/>
    <x v="4"/>
    <x v="47"/>
    <s v="Rural"/>
    <x v="1"/>
    <x v="1"/>
    <x v="2"/>
  </r>
  <r>
    <n v="845"/>
    <x v="3"/>
    <x v="0"/>
    <x v="4"/>
    <x v="47"/>
    <s v="Rural"/>
    <x v="1"/>
    <x v="0"/>
    <x v="2"/>
  </r>
  <r>
    <n v="846"/>
    <x v="3"/>
    <x v="0"/>
    <x v="4"/>
    <x v="47"/>
    <s v="Rural"/>
    <x v="0"/>
    <x v="0"/>
    <x v="2"/>
  </r>
  <r>
    <n v="847"/>
    <x v="3"/>
    <x v="0"/>
    <x v="4"/>
    <x v="47"/>
    <s v="Rural"/>
    <x v="1"/>
    <x v="0"/>
    <x v="2"/>
  </r>
  <r>
    <n v="848"/>
    <x v="3"/>
    <x v="0"/>
    <x v="4"/>
    <x v="47"/>
    <s v="Rural"/>
    <x v="1"/>
    <x v="1"/>
    <x v="2"/>
  </r>
  <r>
    <n v="849"/>
    <x v="3"/>
    <x v="0"/>
    <x v="4"/>
    <x v="47"/>
    <s v="Rural"/>
    <x v="0"/>
    <x v="0"/>
    <x v="2"/>
  </r>
  <r>
    <n v="850"/>
    <x v="3"/>
    <x v="0"/>
    <x v="4"/>
    <x v="47"/>
    <s v="Rural"/>
    <x v="0"/>
    <x v="0"/>
    <x v="2"/>
  </r>
  <r>
    <n v="851"/>
    <x v="3"/>
    <x v="0"/>
    <x v="4"/>
    <x v="47"/>
    <s v="Rural"/>
    <x v="0"/>
    <x v="1"/>
    <x v="2"/>
  </r>
  <r>
    <n v="852"/>
    <x v="3"/>
    <x v="0"/>
    <x v="4"/>
    <x v="47"/>
    <s v="Rural"/>
    <x v="0"/>
    <x v="1"/>
    <x v="2"/>
  </r>
  <r>
    <n v="853"/>
    <x v="3"/>
    <x v="0"/>
    <x v="4"/>
    <x v="47"/>
    <s v="Rural"/>
    <x v="1"/>
    <x v="0"/>
    <x v="2"/>
  </r>
  <r>
    <n v="854"/>
    <x v="3"/>
    <x v="0"/>
    <x v="4"/>
    <x v="47"/>
    <s v="Rural"/>
    <x v="0"/>
    <x v="0"/>
    <x v="2"/>
  </r>
  <r>
    <n v="855"/>
    <x v="3"/>
    <x v="0"/>
    <x v="4"/>
    <x v="47"/>
    <s v="Rural"/>
    <x v="1"/>
    <x v="0"/>
    <x v="2"/>
  </r>
  <r>
    <n v="856"/>
    <x v="3"/>
    <x v="0"/>
    <x v="4"/>
    <x v="47"/>
    <s v="Rural"/>
    <x v="0"/>
    <x v="0"/>
    <x v="2"/>
  </r>
  <r>
    <n v="857"/>
    <x v="3"/>
    <x v="0"/>
    <x v="0"/>
    <x v="47"/>
    <s v="Rural"/>
    <x v="1"/>
    <x v="0"/>
    <x v="2"/>
  </r>
  <r>
    <n v="858"/>
    <x v="3"/>
    <x v="0"/>
    <x v="0"/>
    <x v="47"/>
    <s v="Rural"/>
    <x v="0"/>
    <x v="0"/>
    <x v="2"/>
  </r>
  <r>
    <n v="859"/>
    <x v="3"/>
    <x v="0"/>
    <x v="0"/>
    <x v="47"/>
    <s v="Rural"/>
    <x v="0"/>
    <x v="0"/>
    <x v="2"/>
  </r>
  <r>
    <n v="860"/>
    <x v="3"/>
    <x v="0"/>
    <x v="0"/>
    <x v="47"/>
    <s v="Rural"/>
    <x v="0"/>
    <x v="0"/>
    <x v="2"/>
  </r>
  <r>
    <n v="861"/>
    <x v="3"/>
    <x v="0"/>
    <x v="0"/>
    <x v="47"/>
    <s v="Rural"/>
    <x v="1"/>
    <x v="0"/>
    <x v="2"/>
  </r>
  <r>
    <n v="862"/>
    <x v="3"/>
    <x v="0"/>
    <x v="0"/>
    <x v="47"/>
    <s v="Rural"/>
    <x v="1"/>
    <x v="0"/>
    <x v="2"/>
  </r>
  <r>
    <n v="863"/>
    <x v="3"/>
    <x v="0"/>
    <x v="0"/>
    <x v="47"/>
    <s v="Rural"/>
    <x v="1"/>
    <x v="0"/>
    <x v="2"/>
  </r>
  <r>
    <n v="864"/>
    <x v="3"/>
    <x v="0"/>
    <x v="0"/>
    <x v="47"/>
    <s v="Rural"/>
    <x v="1"/>
    <x v="0"/>
    <x v="2"/>
  </r>
  <r>
    <n v="865"/>
    <x v="3"/>
    <x v="0"/>
    <x v="0"/>
    <x v="47"/>
    <s v="Rural"/>
    <x v="1"/>
    <x v="0"/>
    <x v="2"/>
  </r>
  <r>
    <n v="866"/>
    <x v="3"/>
    <x v="0"/>
    <x v="0"/>
    <x v="47"/>
    <s v="Rural"/>
    <x v="1"/>
    <x v="0"/>
    <x v="2"/>
  </r>
  <r>
    <n v="867"/>
    <x v="3"/>
    <x v="0"/>
    <x v="0"/>
    <x v="47"/>
    <s v="Rural"/>
    <x v="1"/>
    <x v="0"/>
    <x v="2"/>
  </r>
  <r>
    <n v="868"/>
    <x v="3"/>
    <x v="0"/>
    <x v="0"/>
    <x v="47"/>
    <s v="Rural"/>
    <x v="1"/>
    <x v="0"/>
    <x v="2"/>
  </r>
  <r>
    <n v="869"/>
    <x v="3"/>
    <x v="0"/>
    <x v="0"/>
    <x v="47"/>
    <s v="Rural"/>
    <x v="0"/>
    <x v="0"/>
    <x v="2"/>
  </r>
  <r>
    <n v="870"/>
    <x v="3"/>
    <x v="0"/>
    <x v="0"/>
    <x v="47"/>
    <s v="Rural"/>
    <x v="0"/>
    <x v="0"/>
    <x v="2"/>
  </r>
  <r>
    <n v="871"/>
    <x v="3"/>
    <x v="0"/>
    <x v="0"/>
    <x v="47"/>
    <s v="Rural"/>
    <x v="1"/>
    <x v="0"/>
    <x v="2"/>
  </r>
  <r>
    <n v="872"/>
    <x v="3"/>
    <x v="0"/>
    <x v="0"/>
    <x v="47"/>
    <s v="Rural"/>
    <x v="0"/>
    <x v="0"/>
    <x v="2"/>
  </r>
  <r>
    <n v="873"/>
    <x v="3"/>
    <x v="0"/>
    <x v="1"/>
    <x v="47"/>
    <s v="Rural"/>
    <x v="0"/>
    <x v="0"/>
    <x v="2"/>
  </r>
  <r>
    <n v="874"/>
    <x v="3"/>
    <x v="0"/>
    <x v="1"/>
    <x v="47"/>
    <s v="Rural"/>
    <x v="1"/>
    <x v="0"/>
    <x v="2"/>
  </r>
  <r>
    <n v="875"/>
    <x v="3"/>
    <x v="0"/>
    <x v="1"/>
    <x v="47"/>
    <s v="Rural"/>
    <x v="0"/>
    <x v="0"/>
    <x v="2"/>
  </r>
  <r>
    <n v="876"/>
    <x v="3"/>
    <x v="0"/>
    <x v="1"/>
    <x v="47"/>
    <s v="Rural"/>
    <x v="0"/>
    <x v="0"/>
    <x v="2"/>
  </r>
  <r>
    <n v="877"/>
    <x v="3"/>
    <x v="0"/>
    <x v="1"/>
    <x v="47"/>
    <s v="Rural"/>
    <x v="0"/>
    <x v="0"/>
    <x v="2"/>
  </r>
  <r>
    <n v="878"/>
    <x v="3"/>
    <x v="0"/>
    <x v="1"/>
    <x v="47"/>
    <s v="Rural"/>
    <x v="1"/>
    <x v="0"/>
    <x v="2"/>
  </r>
  <r>
    <n v="879"/>
    <x v="3"/>
    <x v="0"/>
    <x v="1"/>
    <x v="47"/>
    <s v="Rural"/>
    <x v="1"/>
    <x v="0"/>
    <x v="2"/>
  </r>
  <r>
    <n v="880"/>
    <x v="3"/>
    <x v="0"/>
    <x v="1"/>
    <x v="47"/>
    <s v="Rural"/>
    <x v="1"/>
    <x v="0"/>
    <x v="2"/>
  </r>
  <r>
    <n v="881"/>
    <x v="3"/>
    <x v="0"/>
    <x v="1"/>
    <x v="47"/>
    <s v="Rural"/>
    <x v="0"/>
    <x v="0"/>
    <x v="2"/>
  </r>
  <r>
    <n v="882"/>
    <x v="3"/>
    <x v="0"/>
    <x v="1"/>
    <x v="47"/>
    <s v="Rural"/>
    <x v="0"/>
    <x v="0"/>
    <x v="2"/>
  </r>
  <r>
    <n v="883"/>
    <x v="3"/>
    <x v="0"/>
    <x v="1"/>
    <x v="47"/>
    <s v="Rural"/>
    <x v="0"/>
    <x v="0"/>
    <x v="2"/>
  </r>
  <r>
    <n v="884"/>
    <x v="3"/>
    <x v="0"/>
    <x v="1"/>
    <x v="47"/>
    <s v="Rural"/>
    <x v="1"/>
    <x v="0"/>
    <x v="2"/>
  </r>
  <r>
    <n v="885"/>
    <x v="3"/>
    <x v="0"/>
    <x v="1"/>
    <x v="47"/>
    <s v="Rural"/>
    <x v="0"/>
    <x v="0"/>
    <x v="2"/>
  </r>
  <r>
    <n v="886"/>
    <x v="3"/>
    <x v="0"/>
    <x v="1"/>
    <x v="47"/>
    <s v="Rural"/>
    <x v="0"/>
    <x v="0"/>
    <x v="2"/>
  </r>
  <r>
    <n v="887"/>
    <x v="3"/>
    <x v="0"/>
    <x v="1"/>
    <x v="47"/>
    <s v="Rural"/>
    <x v="1"/>
    <x v="0"/>
    <x v="2"/>
  </r>
  <r>
    <n v="888"/>
    <x v="3"/>
    <x v="0"/>
    <x v="1"/>
    <x v="47"/>
    <s v="Rural"/>
    <x v="1"/>
    <x v="0"/>
    <x v="2"/>
  </r>
  <r>
    <n v="889"/>
    <x v="3"/>
    <x v="0"/>
    <x v="1"/>
    <x v="47"/>
    <s v="Rural"/>
    <x v="1"/>
    <x v="0"/>
    <x v="2"/>
  </r>
  <r>
    <n v="890"/>
    <x v="3"/>
    <x v="0"/>
    <x v="1"/>
    <x v="47"/>
    <s v="Rural"/>
    <x v="0"/>
    <x v="0"/>
    <x v="2"/>
  </r>
  <r>
    <n v="891"/>
    <x v="3"/>
    <x v="0"/>
    <x v="1"/>
    <x v="47"/>
    <s v="Rural"/>
    <x v="0"/>
    <x v="0"/>
    <x v="2"/>
  </r>
  <r>
    <n v="892"/>
    <x v="3"/>
    <x v="0"/>
    <x v="1"/>
    <x v="47"/>
    <s v="Rural"/>
    <x v="0"/>
    <x v="0"/>
    <x v="2"/>
  </r>
  <r>
    <n v="893"/>
    <x v="3"/>
    <x v="0"/>
    <x v="1"/>
    <x v="47"/>
    <s v="Rural"/>
    <x v="0"/>
    <x v="0"/>
    <x v="2"/>
  </r>
  <r>
    <n v="894"/>
    <x v="3"/>
    <x v="0"/>
    <x v="1"/>
    <x v="47"/>
    <s v="Rural"/>
    <x v="0"/>
    <x v="0"/>
    <x v="2"/>
  </r>
  <r>
    <n v="895"/>
    <x v="3"/>
    <x v="0"/>
    <x v="1"/>
    <x v="47"/>
    <s v="Rural"/>
    <x v="0"/>
    <x v="1"/>
    <x v="2"/>
  </r>
  <r>
    <n v="896"/>
    <x v="3"/>
    <x v="0"/>
    <x v="1"/>
    <x v="47"/>
    <s v="Rural"/>
    <x v="0"/>
    <x v="1"/>
    <x v="2"/>
  </r>
  <r>
    <n v="897"/>
    <x v="3"/>
    <x v="1"/>
    <x v="2"/>
    <x v="47"/>
    <s v="Rural"/>
    <x v="1"/>
    <x v="1"/>
    <x v="2"/>
  </r>
  <r>
    <n v="898"/>
    <x v="3"/>
    <x v="1"/>
    <x v="2"/>
    <x v="47"/>
    <s v="Rural"/>
    <x v="1"/>
    <x v="1"/>
    <x v="2"/>
  </r>
  <r>
    <n v="899"/>
    <x v="3"/>
    <x v="1"/>
    <x v="2"/>
    <x v="47"/>
    <s v="Rural"/>
    <x v="1"/>
    <x v="1"/>
    <x v="2"/>
  </r>
  <r>
    <n v="900"/>
    <x v="3"/>
    <x v="1"/>
    <x v="2"/>
    <x v="47"/>
    <s v="Rural"/>
    <x v="0"/>
    <x v="1"/>
    <x v="2"/>
  </r>
  <r>
    <n v="901"/>
    <x v="3"/>
    <x v="1"/>
    <x v="2"/>
    <x v="47"/>
    <s v="Rural"/>
    <x v="1"/>
    <x v="1"/>
    <x v="2"/>
  </r>
  <r>
    <n v="902"/>
    <x v="3"/>
    <x v="1"/>
    <x v="2"/>
    <x v="47"/>
    <s v="Rural"/>
    <x v="0"/>
    <x v="1"/>
    <x v="2"/>
  </r>
  <r>
    <n v="903"/>
    <x v="3"/>
    <x v="1"/>
    <x v="2"/>
    <x v="47"/>
    <s v="Rural"/>
    <x v="1"/>
    <x v="1"/>
    <x v="2"/>
  </r>
  <r>
    <n v="904"/>
    <x v="3"/>
    <x v="1"/>
    <x v="2"/>
    <x v="47"/>
    <s v="Rural"/>
    <x v="0"/>
    <x v="1"/>
    <x v="2"/>
  </r>
  <r>
    <n v="905"/>
    <x v="3"/>
    <x v="1"/>
    <x v="2"/>
    <x v="47"/>
    <s v="Rural"/>
    <x v="1"/>
    <x v="1"/>
    <x v="2"/>
  </r>
  <r>
    <n v="906"/>
    <x v="3"/>
    <x v="1"/>
    <x v="2"/>
    <x v="47"/>
    <s v="Rural"/>
    <x v="1"/>
    <x v="1"/>
    <x v="2"/>
  </r>
  <r>
    <n v="907"/>
    <x v="3"/>
    <x v="1"/>
    <x v="2"/>
    <x v="47"/>
    <s v="Rural"/>
    <x v="1"/>
    <x v="1"/>
    <x v="2"/>
  </r>
  <r>
    <n v="908"/>
    <x v="3"/>
    <x v="1"/>
    <x v="2"/>
    <x v="47"/>
    <s v="Rural"/>
    <x v="1"/>
    <x v="1"/>
    <x v="2"/>
  </r>
  <r>
    <n v="909"/>
    <x v="3"/>
    <x v="1"/>
    <x v="2"/>
    <x v="47"/>
    <s v="Rural"/>
    <x v="0"/>
    <x v="1"/>
    <x v="2"/>
  </r>
  <r>
    <n v="910"/>
    <x v="3"/>
    <x v="1"/>
    <x v="2"/>
    <x v="47"/>
    <s v="Rural"/>
    <x v="0"/>
    <x v="1"/>
    <x v="2"/>
  </r>
  <r>
    <n v="911"/>
    <x v="3"/>
    <x v="1"/>
    <x v="2"/>
    <x v="47"/>
    <s v="Rural"/>
    <x v="1"/>
    <x v="1"/>
    <x v="2"/>
  </r>
  <r>
    <n v="912"/>
    <x v="3"/>
    <x v="1"/>
    <x v="2"/>
    <x v="47"/>
    <s v="Rural"/>
    <x v="0"/>
    <x v="1"/>
    <x v="2"/>
  </r>
  <r>
    <n v="913"/>
    <x v="3"/>
    <x v="1"/>
    <x v="2"/>
    <x v="47"/>
    <s v="Rural"/>
    <x v="1"/>
    <x v="1"/>
    <x v="2"/>
  </r>
  <r>
    <n v="914"/>
    <x v="3"/>
    <x v="1"/>
    <x v="2"/>
    <x v="47"/>
    <s v="Rural"/>
    <x v="1"/>
    <x v="1"/>
    <x v="2"/>
  </r>
  <r>
    <n v="915"/>
    <x v="3"/>
    <x v="1"/>
    <x v="2"/>
    <x v="47"/>
    <s v="Rural"/>
    <x v="0"/>
    <x v="1"/>
    <x v="2"/>
  </r>
  <r>
    <n v="916"/>
    <x v="3"/>
    <x v="1"/>
    <x v="2"/>
    <x v="47"/>
    <s v="Rural"/>
    <x v="1"/>
    <x v="1"/>
    <x v="2"/>
  </r>
  <r>
    <n v="917"/>
    <x v="3"/>
    <x v="1"/>
    <x v="2"/>
    <x v="47"/>
    <s v="Rural"/>
    <x v="0"/>
    <x v="1"/>
    <x v="2"/>
  </r>
  <r>
    <n v="918"/>
    <x v="3"/>
    <x v="1"/>
    <x v="2"/>
    <x v="47"/>
    <s v="Rural"/>
    <x v="0"/>
    <x v="1"/>
    <x v="2"/>
  </r>
  <r>
    <n v="919"/>
    <x v="3"/>
    <x v="1"/>
    <x v="3"/>
    <x v="47"/>
    <s v="Rural"/>
    <x v="0"/>
    <x v="1"/>
    <x v="2"/>
  </r>
  <r>
    <n v="920"/>
    <x v="3"/>
    <x v="1"/>
    <x v="3"/>
    <x v="47"/>
    <s v="Rural"/>
    <x v="1"/>
    <x v="1"/>
    <x v="2"/>
  </r>
  <r>
    <n v="921"/>
    <x v="3"/>
    <x v="1"/>
    <x v="3"/>
    <x v="47"/>
    <s v="Rural"/>
    <x v="0"/>
    <x v="1"/>
    <x v="2"/>
  </r>
  <r>
    <n v="922"/>
    <x v="3"/>
    <x v="1"/>
    <x v="3"/>
    <x v="47"/>
    <s v="Rural"/>
    <x v="0"/>
    <x v="1"/>
    <x v="2"/>
  </r>
  <r>
    <n v="923"/>
    <x v="3"/>
    <x v="1"/>
    <x v="3"/>
    <x v="47"/>
    <s v="Rural"/>
    <x v="0"/>
    <x v="1"/>
    <x v="2"/>
  </r>
  <r>
    <n v="924"/>
    <x v="3"/>
    <x v="1"/>
    <x v="3"/>
    <x v="47"/>
    <s v="Rural"/>
    <x v="0"/>
    <x v="1"/>
    <x v="2"/>
  </r>
  <r>
    <n v="925"/>
    <x v="3"/>
    <x v="1"/>
    <x v="3"/>
    <x v="47"/>
    <s v="Rural"/>
    <x v="1"/>
    <x v="1"/>
    <x v="2"/>
  </r>
  <r>
    <n v="926"/>
    <x v="3"/>
    <x v="1"/>
    <x v="3"/>
    <x v="47"/>
    <s v="Rural"/>
    <x v="1"/>
    <x v="0"/>
    <x v="2"/>
  </r>
  <r>
    <n v="927"/>
    <x v="3"/>
    <x v="1"/>
    <x v="3"/>
    <x v="47"/>
    <s v="Rural"/>
    <x v="1"/>
    <x v="1"/>
    <x v="2"/>
  </r>
  <r>
    <n v="928"/>
    <x v="3"/>
    <x v="1"/>
    <x v="3"/>
    <x v="47"/>
    <s v="Rural"/>
    <x v="1"/>
    <x v="1"/>
    <x v="2"/>
  </r>
  <r>
    <n v="929"/>
    <x v="3"/>
    <x v="1"/>
    <x v="3"/>
    <x v="47"/>
    <s v="Rural"/>
    <x v="1"/>
    <x v="1"/>
    <x v="2"/>
  </r>
  <r>
    <n v="930"/>
    <x v="3"/>
    <x v="1"/>
    <x v="3"/>
    <x v="47"/>
    <s v="Rural"/>
    <x v="1"/>
    <x v="1"/>
    <x v="2"/>
  </r>
  <r>
    <n v="931"/>
    <x v="3"/>
    <x v="1"/>
    <x v="3"/>
    <x v="47"/>
    <s v="Rural"/>
    <x v="1"/>
    <x v="1"/>
    <x v="2"/>
  </r>
  <r>
    <n v="932"/>
    <x v="3"/>
    <x v="1"/>
    <x v="3"/>
    <x v="47"/>
    <s v="Rural"/>
    <x v="1"/>
    <x v="1"/>
    <x v="2"/>
  </r>
  <r>
    <n v="1"/>
    <x v="2"/>
    <x v="0"/>
    <x v="5"/>
    <x v="25"/>
    <s v="Rural"/>
    <x v="1"/>
    <x v="0"/>
    <x v="0"/>
  </r>
  <r>
    <n v="2"/>
    <x v="2"/>
    <x v="0"/>
    <x v="5"/>
    <x v="25"/>
    <s v="Rural"/>
    <x v="0"/>
    <x v="0"/>
    <x v="0"/>
  </r>
  <r>
    <n v="3"/>
    <x v="2"/>
    <x v="0"/>
    <x v="5"/>
    <x v="25"/>
    <s v="Rural"/>
    <x v="1"/>
    <x v="1"/>
    <x v="0"/>
  </r>
  <r>
    <n v="4"/>
    <x v="2"/>
    <x v="0"/>
    <x v="5"/>
    <x v="25"/>
    <s v="Rural"/>
    <x v="0"/>
    <x v="0"/>
    <x v="0"/>
  </r>
  <r>
    <n v="5"/>
    <x v="2"/>
    <x v="0"/>
    <x v="5"/>
    <x v="25"/>
    <s v="Rural"/>
    <x v="0"/>
    <x v="0"/>
    <x v="0"/>
  </r>
  <r>
    <n v="6"/>
    <x v="2"/>
    <x v="0"/>
    <x v="5"/>
    <x v="25"/>
    <s v="Rural"/>
    <x v="1"/>
    <x v="0"/>
    <x v="0"/>
  </r>
  <r>
    <n v="7"/>
    <x v="2"/>
    <x v="0"/>
    <x v="5"/>
    <x v="25"/>
    <s v="Rural"/>
    <x v="0"/>
    <x v="0"/>
    <x v="0"/>
  </r>
  <r>
    <n v="8"/>
    <x v="2"/>
    <x v="0"/>
    <x v="5"/>
    <x v="25"/>
    <s v="Rural"/>
    <x v="1"/>
    <x v="0"/>
    <x v="0"/>
  </r>
  <r>
    <n v="1"/>
    <x v="2"/>
    <x v="0"/>
    <x v="5"/>
    <x v="27"/>
    <s v="Rural"/>
    <x v="0"/>
    <x v="1"/>
    <x v="0"/>
  </r>
  <r>
    <n v="2"/>
    <x v="2"/>
    <x v="0"/>
    <x v="5"/>
    <x v="27"/>
    <s v="Rural"/>
    <x v="0"/>
    <x v="0"/>
    <x v="0"/>
  </r>
  <r>
    <n v="3"/>
    <x v="2"/>
    <x v="0"/>
    <x v="5"/>
    <x v="27"/>
    <s v="Rural"/>
    <x v="1"/>
    <x v="0"/>
    <x v="0"/>
  </r>
  <r>
    <n v="4"/>
    <x v="2"/>
    <x v="0"/>
    <x v="5"/>
    <x v="27"/>
    <s v="Rural"/>
    <x v="1"/>
    <x v="0"/>
    <x v="0"/>
  </r>
  <r>
    <n v="5"/>
    <x v="2"/>
    <x v="0"/>
    <x v="5"/>
    <x v="27"/>
    <s v="Rural"/>
    <x v="1"/>
    <x v="0"/>
    <x v="0"/>
  </r>
  <r>
    <n v="6"/>
    <x v="2"/>
    <x v="0"/>
    <x v="5"/>
    <x v="27"/>
    <s v="Rural"/>
    <x v="1"/>
    <x v="0"/>
    <x v="0"/>
  </r>
  <r>
    <n v="7"/>
    <x v="2"/>
    <x v="0"/>
    <x v="5"/>
    <x v="27"/>
    <s v="Rural"/>
    <x v="0"/>
    <x v="0"/>
    <x v="0"/>
  </r>
  <r>
    <n v="8"/>
    <x v="2"/>
    <x v="0"/>
    <x v="5"/>
    <x v="27"/>
    <s v="Rural"/>
    <x v="1"/>
    <x v="0"/>
    <x v="0"/>
  </r>
  <r>
    <n v="9"/>
    <x v="2"/>
    <x v="0"/>
    <x v="5"/>
    <x v="27"/>
    <s v="Rural"/>
    <x v="0"/>
    <x v="0"/>
    <x v="0"/>
  </r>
  <r>
    <n v="10"/>
    <x v="2"/>
    <x v="0"/>
    <x v="5"/>
    <x v="27"/>
    <s v="Rural"/>
    <x v="0"/>
    <x v="0"/>
    <x v="0"/>
  </r>
  <r>
    <n v="2005"/>
    <x v="3"/>
    <x v="0"/>
    <x v="5"/>
    <x v="47"/>
    <s v="Rural"/>
    <x v="0"/>
    <x v="1"/>
    <x v="1"/>
  </r>
  <r>
    <n v="2006"/>
    <x v="3"/>
    <x v="0"/>
    <x v="5"/>
    <x v="47"/>
    <s v="Rural"/>
    <x v="1"/>
    <x v="0"/>
    <x v="1"/>
  </r>
  <r>
    <n v="2007"/>
    <x v="3"/>
    <x v="0"/>
    <x v="5"/>
    <x v="47"/>
    <s v="Rural"/>
    <x v="1"/>
    <x v="0"/>
    <x v="1"/>
  </r>
  <r>
    <n v="2728"/>
    <x v="4"/>
    <x v="0"/>
    <x v="5"/>
    <x v="54"/>
    <s v="Rural"/>
    <x v="0"/>
    <x v="0"/>
    <x v="1"/>
  </r>
  <r>
    <n v="2729"/>
    <x v="4"/>
    <x v="0"/>
    <x v="5"/>
    <x v="54"/>
    <s v="Rural"/>
    <x v="1"/>
    <x v="0"/>
    <x v="1"/>
  </r>
  <r>
    <n v="2730"/>
    <x v="4"/>
    <x v="0"/>
    <x v="5"/>
    <x v="48"/>
    <s v="Rural"/>
    <x v="0"/>
    <x v="0"/>
    <x v="1"/>
  </r>
  <r>
    <n v="1"/>
    <x v="0"/>
    <x v="0"/>
    <x v="4"/>
    <x v="0"/>
    <s v="Rural"/>
    <x v="0"/>
    <x v="2"/>
    <x v="0"/>
  </r>
  <r>
    <n v="2"/>
    <x v="0"/>
    <x v="0"/>
    <x v="4"/>
    <x v="0"/>
    <s v="Rural"/>
    <x v="1"/>
    <x v="0"/>
    <x v="0"/>
  </r>
  <r>
    <n v="3"/>
    <x v="0"/>
    <x v="0"/>
    <x v="4"/>
    <x v="0"/>
    <s v="Rural"/>
    <x v="0"/>
    <x v="2"/>
    <x v="0"/>
  </r>
  <r>
    <n v="4"/>
    <x v="0"/>
    <x v="0"/>
    <x v="4"/>
    <x v="0"/>
    <s v="Rural"/>
    <x v="0"/>
    <x v="1"/>
    <x v="0"/>
  </r>
  <r>
    <n v="5"/>
    <x v="0"/>
    <x v="0"/>
    <x v="4"/>
    <x v="0"/>
    <s v="Rural"/>
    <x v="0"/>
    <x v="0"/>
    <x v="0"/>
  </r>
  <r>
    <n v="6"/>
    <x v="0"/>
    <x v="0"/>
    <x v="4"/>
    <x v="0"/>
    <s v="Rural"/>
    <x v="1"/>
    <x v="0"/>
    <x v="0"/>
  </r>
  <r>
    <n v="7"/>
    <x v="0"/>
    <x v="0"/>
    <x v="4"/>
    <x v="0"/>
    <s v="Rural"/>
    <x v="1"/>
    <x v="0"/>
    <x v="0"/>
  </r>
  <r>
    <n v="8"/>
    <x v="0"/>
    <x v="0"/>
    <x v="4"/>
    <x v="0"/>
    <s v="Rural"/>
    <x v="1"/>
    <x v="0"/>
    <x v="0"/>
  </r>
  <r>
    <n v="9"/>
    <x v="0"/>
    <x v="0"/>
    <x v="4"/>
    <x v="0"/>
    <s v="Rural"/>
    <x v="1"/>
    <x v="2"/>
    <x v="0"/>
  </r>
  <r>
    <n v="10"/>
    <x v="0"/>
    <x v="0"/>
    <x v="4"/>
    <x v="0"/>
    <s v="Rural"/>
    <x v="0"/>
    <x v="0"/>
    <x v="0"/>
  </r>
  <r>
    <n v="11"/>
    <x v="0"/>
    <x v="0"/>
    <x v="4"/>
    <x v="0"/>
    <s v="Rural"/>
    <x v="0"/>
    <x v="0"/>
    <x v="0"/>
  </r>
  <r>
    <n v="12"/>
    <x v="0"/>
    <x v="0"/>
    <x v="4"/>
    <x v="0"/>
    <s v="Rural"/>
    <x v="1"/>
    <x v="2"/>
    <x v="0"/>
  </r>
  <r>
    <n v="13"/>
    <x v="0"/>
    <x v="0"/>
    <x v="4"/>
    <x v="0"/>
    <s v="Rural"/>
    <x v="0"/>
    <x v="2"/>
    <x v="0"/>
  </r>
  <r>
    <n v="14"/>
    <x v="0"/>
    <x v="0"/>
    <x v="4"/>
    <x v="0"/>
    <s v="Rural"/>
    <x v="0"/>
    <x v="2"/>
    <x v="0"/>
  </r>
  <r>
    <n v="15"/>
    <x v="0"/>
    <x v="0"/>
    <x v="4"/>
    <x v="0"/>
    <s v="Rural"/>
    <x v="0"/>
    <x v="0"/>
    <x v="0"/>
  </r>
  <r>
    <n v="16"/>
    <x v="0"/>
    <x v="0"/>
    <x v="4"/>
    <x v="0"/>
    <s v="Rural"/>
    <x v="0"/>
    <x v="0"/>
    <x v="0"/>
  </r>
  <r>
    <n v="17"/>
    <x v="0"/>
    <x v="0"/>
    <x v="4"/>
    <x v="0"/>
    <s v="Rural"/>
    <x v="1"/>
    <x v="0"/>
    <x v="0"/>
  </r>
  <r>
    <n v="18"/>
    <x v="0"/>
    <x v="0"/>
    <x v="4"/>
    <x v="0"/>
    <s v="Rural"/>
    <x v="0"/>
    <x v="2"/>
    <x v="0"/>
  </r>
  <r>
    <n v="19"/>
    <x v="0"/>
    <x v="0"/>
    <x v="4"/>
    <x v="0"/>
    <s v="Rural"/>
    <x v="1"/>
    <x v="0"/>
    <x v="0"/>
  </r>
  <r>
    <n v="20"/>
    <x v="0"/>
    <x v="0"/>
    <x v="4"/>
    <x v="0"/>
    <s v="Rural"/>
    <x v="0"/>
    <x v="0"/>
    <x v="0"/>
  </r>
  <r>
    <n v="21"/>
    <x v="0"/>
    <x v="0"/>
    <x v="4"/>
    <x v="0"/>
    <s v="Rural"/>
    <x v="1"/>
    <x v="0"/>
    <x v="0"/>
  </r>
  <r>
    <n v="22"/>
    <x v="0"/>
    <x v="0"/>
    <x v="4"/>
    <x v="1"/>
    <s v="Rural"/>
    <x v="0"/>
    <x v="2"/>
    <x v="0"/>
  </r>
  <r>
    <n v="23"/>
    <x v="0"/>
    <x v="0"/>
    <x v="4"/>
    <x v="1"/>
    <s v="Rural"/>
    <x v="0"/>
    <x v="0"/>
    <x v="0"/>
  </r>
  <r>
    <n v="24"/>
    <x v="0"/>
    <x v="0"/>
    <x v="4"/>
    <x v="1"/>
    <s v="Rural"/>
    <x v="0"/>
    <x v="0"/>
    <x v="0"/>
  </r>
  <r>
    <n v="25"/>
    <x v="0"/>
    <x v="0"/>
    <x v="4"/>
    <x v="1"/>
    <s v="Rural"/>
    <x v="1"/>
    <x v="1"/>
    <x v="0"/>
  </r>
  <r>
    <n v="26"/>
    <x v="0"/>
    <x v="0"/>
    <x v="4"/>
    <x v="1"/>
    <s v="Rural"/>
    <x v="1"/>
    <x v="0"/>
    <x v="0"/>
  </r>
  <r>
    <n v="27"/>
    <x v="0"/>
    <x v="0"/>
    <x v="4"/>
    <x v="2"/>
    <s v="Rural"/>
    <x v="0"/>
    <x v="0"/>
    <x v="0"/>
  </r>
  <r>
    <n v="28"/>
    <x v="0"/>
    <x v="0"/>
    <x v="4"/>
    <x v="2"/>
    <s v="Rural"/>
    <x v="0"/>
    <x v="2"/>
    <x v="0"/>
  </r>
  <r>
    <n v="29"/>
    <x v="0"/>
    <x v="0"/>
    <x v="4"/>
    <x v="2"/>
    <s v="Rural"/>
    <x v="0"/>
    <x v="0"/>
    <x v="0"/>
  </r>
  <r>
    <n v="30"/>
    <x v="0"/>
    <x v="0"/>
    <x v="4"/>
    <x v="2"/>
    <s v="Rural"/>
    <x v="1"/>
    <x v="0"/>
    <x v="0"/>
  </r>
  <r>
    <n v="31"/>
    <x v="0"/>
    <x v="0"/>
    <x v="4"/>
    <x v="2"/>
    <s v="Rural"/>
    <x v="1"/>
    <x v="2"/>
    <x v="0"/>
  </r>
  <r>
    <n v="32"/>
    <x v="0"/>
    <x v="0"/>
    <x v="4"/>
    <x v="3"/>
    <s v="Rural"/>
    <x v="0"/>
    <x v="1"/>
    <x v="0"/>
  </r>
  <r>
    <n v="33"/>
    <x v="0"/>
    <x v="0"/>
    <x v="4"/>
    <x v="3"/>
    <s v="Rural"/>
    <x v="0"/>
    <x v="0"/>
    <x v="0"/>
  </r>
  <r>
    <n v="34"/>
    <x v="0"/>
    <x v="0"/>
    <x v="4"/>
    <x v="3"/>
    <s v="Rural"/>
    <x v="1"/>
    <x v="0"/>
    <x v="0"/>
  </r>
  <r>
    <n v="35"/>
    <x v="0"/>
    <x v="0"/>
    <x v="4"/>
    <x v="3"/>
    <s v="Rural"/>
    <x v="1"/>
    <x v="2"/>
    <x v="0"/>
  </r>
  <r>
    <n v="36"/>
    <x v="0"/>
    <x v="0"/>
    <x v="4"/>
    <x v="66"/>
    <s v="Rural"/>
    <x v="0"/>
    <x v="0"/>
    <x v="0"/>
  </r>
  <r>
    <n v="37"/>
    <x v="0"/>
    <x v="0"/>
    <x v="4"/>
    <x v="66"/>
    <s v="Rural"/>
    <x v="0"/>
    <x v="1"/>
    <x v="0"/>
  </r>
  <r>
    <n v="38"/>
    <x v="0"/>
    <x v="0"/>
    <x v="4"/>
    <x v="66"/>
    <s v="Rural"/>
    <x v="0"/>
    <x v="2"/>
    <x v="0"/>
  </r>
  <r>
    <n v="39"/>
    <x v="0"/>
    <x v="0"/>
    <x v="4"/>
    <x v="66"/>
    <s v="Rural"/>
    <x v="1"/>
    <x v="0"/>
    <x v="0"/>
  </r>
  <r>
    <n v="40"/>
    <x v="0"/>
    <x v="0"/>
    <x v="4"/>
    <x v="66"/>
    <s v="Rural"/>
    <x v="1"/>
    <x v="1"/>
    <x v="0"/>
  </r>
  <r>
    <n v="41"/>
    <x v="0"/>
    <x v="0"/>
    <x v="4"/>
    <x v="66"/>
    <s v="Rural"/>
    <x v="1"/>
    <x v="0"/>
    <x v="0"/>
  </r>
  <r>
    <n v="42"/>
    <x v="0"/>
    <x v="0"/>
    <x v="4"/>
    <x v="66"/>
    <s v="Rural"/>
    <x v="1"/>
    <x v="0"/>
    <x v="0"/>
  </r>
  <r>
    <n v="43"/>
    <x v="0"/>
    <x v="0"/>
    <x v="4"/>
    <x v="12"/>
    <s v="Rural"/>
    <x v="1"/>
    <x v="2"/>
    <x v="0"/>
  </r>
  <r>
    <n v="44"/>
    <x v="0"/>
    <x v="0"/>
    <x v="4"/>
    <x v="5"/>
    <s v="Rural"/>
    <x v="1"/>
    <x v="0"/>
    <x v="0"/>
  </r>
  <r>
    <n v="45"/>
    <x v="0"/>
    <x v="0"/>
    <x v="4"/>
    <x v="5"/>
    <s v="Rural"/>
    <x v="0"/>
    <x v="1"/>
    <x v="0"/>
  </r>
  <r>
    <n v="46"/>
    <x v="0"/>
    <x v="0"/>
    <x v="4"/>
    <x v="5"/>
    <s v="Rural"/>
    <x v="0"/>
    <x v="1"/>
    <x v="0"/>
  </r>
  <r>
    <n v="47"/>
    <x v="0"/>
    <x v="0"/>
    <x v="4"/>
    <x v="5"/>
    <s v="Rural"/>
    <x v="1"/>
    <x v="2"/>
    <x v="0"/>
  </r>
  <r>
    <n v="48"/>
    <x v="0"/>
    <x v="0"/>
    <x v="4"/>
    <x v="5"/>
    <s v="Rural"/>
    <x v="0"/>
    <x v="0"/>
    <x v="0"/>
  </r>
  <r>
    <n v="49"/>
    <x v="0"/>
    <x v="0"/>
    <x v="4"/>
    <x v="5"/>
    <s v="Rural"/>
    <x v="1"/>
    <x v="1"/>
    <x v="0"/>
  </r>
  <r>
    <n v="50"/>
    <x v="0"/>
    <x v="0"/>
    <x v="4"/>
    <x v="5"/>
    <s v="Rural"/>
    <x v="1"/>
    <x v="0"/>
    <x v="0"/>
  </r>
  <r>
    <n v="51"/>
    <x v="0"/>
    <x v="0"/>
    <x v="4"/>
    <x v="5"/>
    <s v="Rural"/>
    <x v="1"/>
    <x v="2"/>
    <x v="0"/>
  </r>
  <r>
    <n v="52"/>
    <x v="0"/>
    <x v="0"/>
    <x v="4"/>
    <x v="5"/>
    <s v="Rural"/>
    <x v="1"/>
    <x v="1"/>
    <x v="0"/>
  </r>
  <r>
    <n v="53"/>
    <x v="0"/>
    <x v="0"/>
    <x v="4"/>
    <x v="5"/>
    <s v="Rural"/>
    <x v="0"/>
    <x v="1"/>
    <x v="0"/>
  </r>
  <r>
    <n v="54"/>
    <x v="0"/>
    <x v="0"/>
    <x v="4"/>
    <x v="5"/>
    <s v="Rural"/>
    <x v="0"/>
    <x v="1"/>
    <x v="0"/>
  </r>
  <r>
    <n v="55"/>
    <x v="0"/>
    <x v="0"/>
    <x v="4"/>
    <x v="5"/>
    <s v="Rural"/>
    <x v="1"/>
    <x v="0"/>
    <x v="0"/>
  </r>
  <r>
    <n v="56"/>
    <x v="0"/>
    <x v="0"/>
    <x v="4"/>
    <x v="5"/>
    <s v="Rural"/>
    <x v="1"/>
    <x v="1"/>
    <x v="0"/>
  </r>
  <r>
    <n v="57"/>
    <x v="0"/>
    <x v="0"/>
    <x v="4"/>
    <x v="5"/>
    <s v="Rural"/>
    <x v="0"/>
    <x v="0"/>
    <x v="0"/>
  </r>
  <r>
    <n v="58"/>
    <x v="0"/>
    <x v="0"/>
    <x v="4"/>
    <x v="5"/>
    <s v="Rural"/>
    <x v="0"/>
    <x v="2"/>
    <x v="0"/>
  </r>
  <r>
    <n v="59"/>
    <x v="0"/>
    <x v="0"/>
    <x v="4"/>
    <x v="5"/>
    <s v="Rural"/>
    <x v="0"/>
    <x v="0"/>
    <x v="0"/>
  </r>
  <r>
    <n v="60"/>
    <x v="0"/>
    <x v="0"/>
    <x v="4"/>
    <x v="5"/>
    <s v="Rural"/>
    <x v="0"/>
    <x v="0"/>
    <x v="0"/>
  </r>
  <r>
    <n v="61"/>
    <x v="0"/>
    <x v="0"/>
    <x v="4"/>
    <x v="5"/>
    <s v="Rural"/>
    <x v="0"/>
    <x v="2"/>
    <x v="0"/>
  </r>
  <r>
    <n v="62"/>
    <x v="0"/>
    <x v="0"/>
    <x v="4"/>
    <x v="5"/>
    <s v="Rural"/>
    <x v="0"/>
    <x v="2"/>
    <x v="0"/>
  </r>
  <r>
    <n v="63"/>
    <x v="0"/>
    <x v="0"/>
    <x v="4"/>
    <x v="5"/>
    <s v="Rural"/>
    <x v="1"/>
    <x v="2"/>
    <x v="0"/>
  </r>
  <r>
    <n v="64"/>
    <x v="0"/>
    <x v="0"/>
    <x v="4"/>
    <x v="5"/>
    <s v="Rural"/>
    <x v="1"/>
    <x v="2"/>
    <x v="0"/>
  </r>
  <r>
    <n v="65"/>
    <x v="0"/>
    <x v="0"/>
    <x v="4"/>
    <x v="5"/>
    <s v="Rural"/>
    <x v="1"/>
    <x v="2"/>
    <x v="0"/>
  </r>
  <r>
    <n v="66"/>
    <x v="0"/>
    <x v="0"/>
    <x v="4"/>
    <x v="5"/>
    <s v="Rural"/>
    <x v="1"/>
    <x v="2"/>
    <x v="0"/>
  </r>
  <r>
    <n v="67"/>
    <x v="0"/>
    <x v="0"/>
    <x v="4"/>
    <x v="5"/>
    <s v="Rural"/>
    <x v="1"/>
    <x v="0"/>
    <x v="0"/>
  </r>
  <r>
    <n v="68"/>
    <x v="0"/>
    <x v="0"/>
    <x v="4"/>
    <x v="5"/>
    <s v="Rural"/>
    <x v="1"/>
    <x v="2"/>
    <x v="0"/>
  </r>
  <r>
    <n v="69"/>
    <x v="0"/>
    <x v="0"/>
    <x v="4"/>
    <x v="6"/>
    <s v="Rural"/>
    <x v="1"/>
    <x v="0"/>
    <x v="0"/>
  </r>
  <r>
    <n v="70"/>
    <x v="0"/>
    <x v="0"/>
    <x v="4"/>
    <x v="13"/>
    <s v="Rural"/>
    <x v="1"/>
    <x v="0"/>
    <x v="0"/>
  </r>
  <r>
    <n v="71"/>
    <x v="0"/>
    <x v="0"/>
    <x v="4"/>
    <x v="13"/>
    <s v="Rural"/>
    <x v="1"/>
    <x v="0"/>
    <x v="0"/>
  </r>
  <r>
    <n v="72"/>
    <x v="0"/>
    <x v="0"/>
    <x v="4"/>
    <x v="8"/>
    <s v="Rural"/>
    <x v="0"/>
    <x v="0"/>
    <x v="0"/>
  </r>
  <r>
    <n v="73"/>
    <x v="0"/>
    <x v="0"/>
    <x v="4"/>
    <x v="9"/>
    <s v="Rural"/>
    <x v="1"/>
    <x v="0"/>
    <x v="0"/>
  </r>
  <r>
    <n v="74"/>
    <x v="0"/>
    <x v="0"/>
    <x v="4"/>
    <x v="9"/>
    <s v="Rural"/>
    <x v="1"/>
    <x v="0"/>
    <x v="0"/>
  </r>
  <r>
    <n v="75"/>
    <x v="0"/>
    <x v="0"/>
    <x v="4"/>
    <x v="10"/>
    <s v="Rural"/>
    <x v="0"/>
    <x v="0"/>
    <x v="0"/>
  </r>
  <r>
    <n v="76"/>
    <x v="0"/>
    <x v="0"/>
    <x v="4"/>
    <x v="10"/>
    <s v="Rural"/>
    <x v="1"/>
    <x v="1"/>
    <x v="0"/>
  </r>
  <r>
    <n v="77"/>
    <x v="0"/>
    <x v="0"/>
    <x v="4"/>
    <x v="11"/>
    <s v="Rural"/>
    <x v="1"/>
    <x v="0"/>
    <x v="0"/>
  </r>
  <r>
    <n v="78"/>
    <x v="0"/>
    <x v="0"/>
    <x v="4"/>
    <x v="11"/>
    <s v="Rural"/>
    <x v="1"/>
    <x v="0"/>
    <x v="0"/>
  </r>
  <r>
    <n v="79"/>
    <x v="0"/>
    <x v="0"/>
    <x v="4"/>
    <x v="11"/>
    <s v="Rural"/>
    <x v="1"/>
    <x v="0"/>
    <x v="0"/>
  </r>
  <r>
    <n v="80"/>
    <x v="0"/>
    <x v="0"/>
    <x v="4"/>
    <x v="11"/>
    <s v="Rural"/>
    <x v="1"/>
    <x v="2"/>
    <x v="0"/>
  </r>
  <r>
    <n v="81"/>
    <x v="0"/>
    <x v="0"/>
    <x v="4"/>
    <x v="11"/>
    <s v="Rural"/>
    <x v="1"/>
    <x v="0"/>
    <x v="0"/>
  </r>
  <r>
    <n v="82"/>
    <x v="0"/>
    <x v="0"/>
    <x v="4"/>
    <x v="11"/>
    <s v="Rural"/>
    <x v="0"/>
    <x v="0"/>
    <x v="0"/>
  </r>
  <r>
    <n v="83"/>
    <x v="0"/>
    <x v="0"/>
    <x v="4"/>
    <x v="11"/>
    <s v="Rural"/>
    <x v="0"/>
    <x v="0"/>
    <x v="0"/>
  </r>
  <r>
    <n v="84"/>
    <x v="0"/>
    <x v="0"/>
    <x v="4"/>
    <x v="11"/>
    <s v="Rural"/>
    <x v="0"/>
    <x v="0"/>
    <x v="0"/>
  </r>
  <r>
    <n v="85"/>
    <x v="0"/>
    <x v="0"/>
    <x v="4"/>
    <x v="11"/>
    <s v="Rural"/>
    <x v="0"/>
    <x v="0"/>
    <x v="0"/>
  </r>
  <r>
    <n v="86"/>
    <x v="0"/>
    <x v="0"/>
    <x v="4"/>
    <x v="11"/>
    <s v="Rural"/>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rocesados" cacheId="61" applyNumberFormats="0" applyBorderFormats="0" applyFontFormats="0" applyPatternFormats="0" applyAlignmentFormats="0" applyWidthHeightFormats="0" dataCaption="" updatedVersion="8" colGrandTotals="0" compact="0" compactData="0">
  <location ref="C4:F8" firstHeaderRow="1" firstDataRow="2"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7">
        <item x="0"/>
        <item x="1"/>
        <item x="2"/>
        <item x="3"/>
        <item x="4"/>
        <item h="1" x="5"/>
        <item t="default"/>
      </items>
    </pivotField>
    <pivotField name="Institución Educativa" compact="0" numFmtId="49" outline="0" multipleItemSelectionAllowed="1" showAll="0"/>
    <pivotField name="Ambito" compact="0" numFmtId="49" outline="0" multipleItemSelectionAllowed="1" showAll="0"/>
    <pivotField name="Sexo" axis="axisRow" compact="0" outline="0" multipleItemSelectionAllowed="1" showAll="0" sortType="ascending">
      <items count="3">
        <item x="1"/>
        <item x="0"/>
        <item t="default"/>
      </items>
    </pivotField>
    <pivotField name="R Producción de textos" dataField="1" compact="0" numFmtId="49" outline="0" multipleItemSelectionAllowed="1" showAll="0"/>
    <pivotField name="Año" axis="axisCol" compact="0" outline="0" multipleItemSelectionAllowed="1" showAll="0" sortType="ascending">
      <items count="4">
        <item x="1"/>
        <item x="2"/>
        <item x="0"/>
        <item t="default"/>
      </items>
    </pivotField>
  </pivotFields>
  <rowFields count="1">
    <field x="6"/>
  </rowFields>
  <rowItems count="3">
    <i>
      <x/>
    </i>
    <i>
      <x v="1"/>
    </i>
    <i t="grand">
      <x/>
    </i>
  </rowItems>
  <colFields count="1">
    <field x="8"/>
  </colFields>
  <colItems count="3">
    <i>
      <x/>
    </i>
    <i>
      <x v="1"/>
    </i>
    <i>
      <x v="2"/>
    </i>
  </colItems>
  <pageFields count="1">
    <pageField fld="3"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rocesados 2" cacheId="61" applyNumberFormats="0" applyBorderFormats="0" applyFontFormats="0" applyPatternFormats="0" applyAlignmentFormats="0" applyWidthHeightFormats="0" dataCaption="" updatedVersion="8" colGrandTotals="0" compact="0" compactData="0">
  <location ref="C23:F30" firstHeaderRow="1" firstDataRow="2" firstDataCol="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Row" compact="0" outline="0" multipleItemSelectionAllowed="1" showAll="0" sortType="ascending">
      <items count="7">
        <item h="1" x="5"/>
        <item x="4"/>
        <item x="2"/>
        <item x="0"/>
        <item x="3"/>
        <item x="1"/>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compact="0" numFmtId="49" outline="0" multipleItemSelectionAllowed="1" showAll="0"/>
    <pivotField name="Año" axis="axisCol" dataField="1" compact="0" outline="0" multipleItemSelectionAllowed="1" showAll="0" sortType="ascending">
      <items count="4">
        <item x="1"/>
        <item x="2"/>
        <item x="0"/>
        <item t="default"/>
      </items>
    </pivotField>
  </pivotFields>
  <rowFields count="1">
    <field x="3"/>
  </rowFields>
  <rowItems count="6">
    <i>
      <x v="1"/>
    </i>
    <i>
      <x v="2"/>
    </i>
    <i>
      <x v="3"/>
    </i>
    <i>
      <x v="4"/>
    </i>
    <i>
      <x v="5"/>
    </i>
    <i t="grand">
      <x/>
    </i>
  </rowItems>
  <colFields count="1">
    <field x="8"/>
  </colFields>
  <colItems count="3">
    <i>
      <x/>
    </i>
    <i>
      <x v="1"/>
    </i>
    <i>
      <x v="2"/>
    </i>
  </colItems>
  <dataFields count="1">
    <dataField name="COUNTA of Año"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rocesados 3" cacheId="61" applyNumberFormats="0" applyBorderFormats="0" applyFontFormats="0" applyPatternFormats="0" applyAlignmentFormats="0" applyWidthHeightFormats="0" dataCaption="" updatedVersion="8" colGrandTotals="0" compact="0" compactData="0">
  <location ref="C44:F52" firstHeaderRow="1" firstDataRow="2" firstDataCol="1" rowPageCount="1" colPageCount="1"/>
  <pivotFields count="9">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compact="0" outline="0" multipleItemSelectionAllowed="1" showAll="0"/>
    <pivotField name="Grado" axis="axisPage" compact="0" outline="0" multipleItemSelectionAllowed="1" showAll="0">
      <items count="7">
        <item x="0"/>
        <item x="1"/>
        <item x="2"/>
        <item x="3"/>
        <item x="4"/>
        <item h="1" x="5"/>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dataField="1" compact="0" numFmtId="49" outline="0" multipleItemSelectionAllowed="1" showAll="0"/>
    <pivotField name="Año" axis="axisCol" compact="0" outline="0" multipleItemSelectionAllowed="1" showAll="0" sortType="ascending">
      <items count="4">
        <item x="1"/>
        <item x="2"/>
        <item x="0"/>
        <item t="default"/>
      </items>
    </pivotField>
  </pivotFields>
  <rowFields count="1">
    <field x="1"/>
  </rowFields>
  <rowItems count="7">
    <i>
      <x/>
    </i>
    <i>
      <x v="1"/>
    </i>
    <i>
      <x v="2"/>
    </i>
    <i>
      <x v="3"/>
    </i>
    <i>
      <x v="4"/>
    </i>
    <i>
      <x v="5"/>
    </i>
    <i t="grand">
      <x/>
    </i>
  </rowItems>
  <colFields count="1">
    <field x="8"/>
  </colFields>
  <colItems count="3">
    <i>
      <x/>
    </i>
    <i>
      <x v="1"/>
    </i>
    <i>
      <x v="2"/>
    </i>
  </colItems>
  <pageFields count="1">
    <pageField fld="3"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rocesados 4" cacheId="61" applyNumberFormats="0" applyBorderFormats="0" applyFontFormats="0" applyPatternFormats="0" applyAlignmentFormats="0" applyWidthHeightFormats="0" dataCaption="" updatedVersion="8" compact="0" compactData="0">
  <location ref="C66:J129" firstHeaderRow="1" firstDataRow="2" firstDataCol="2" rowPageCount="1" colPageCount="1"/>
  <pivotFields count="9">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compact="0" outline="0" multipleItemSelectionAllowed="1" showAll="0"/>
    <pivotField name="Grado" axis="axisCol" compact="0" outline="0" multipleItemSelectionAllowed="1" showAll="0" sortType="ascending">
      <items count="7">
        <item h="1" x="5"/>
        <item x="4"/>
        <item x="2"/>
        <item x="0"/>
        <item x="3"/>
        <item x="1"/>
        <item t="default"/>
      </items>
    </pivotField>
    <pivotField name="Institución Educativa" axis="axisRow" compact="0" numFmtId="49" outline="0" multipleItemSelectionAllowed="1" showAll="0" sortType="ascending">
      <items count="68">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 t="default"/>
      </items>
    </pivotField>
    <pivotField name="Ambito" compact="0" numFmtId="49" outline="0" multipleItemSelectionAllowed="1" showAll="0"/>
    <pivotField name="Sexo" compact="0" outline="0" multipleItemSelectionAllowed="1" showAll="0"/>
    <pivotField name="R Producción de textos" dataField="1" compact="0" numFmtId="49" outline="0" multipleItemSelectionAllowed="1" showAll="0"/>
    <pivotField name="Año" axis="axisPage" compact="0" outline="0" multipleItemSelectionAllowed="1" showAll="0">
      <items count="4">
        <item x="0"/>
        <item h="1" x="1"/>
        <item h="1" x="2"/>
        <item t="default"/>
      </items>
    </pivotField>
  </pivotFields>
  <rowFields count="2">
    <field x="1"/>
    <field x="4"/>
  </rowFields>
  <rowItems count="62">
    <i>
      <x/>
      <x v="20"/>
    </i>
    <i t="default">
      <x/>
    </i>
    <i>
      <x v="1"/>
      <x v="21"/>
    </i>
    <i r="1">
      <x v="22"/>
    </i>
    <i r="1">
      <x v="23"/>
    </i>
    <i r="1">
      <x v="24"/>
    </i>
    <i r="1">
      <x v="25"/>
    </i>
    <i r="1">
      <x v="26"/>
    </i>
    <i r="1">
      <x v="27"/>
    </i>
    <i r="1">
      <x v="28"/>
    </i>
    <i r="1">
      <x v="29"/>
    </i>
    <i r="1">
      <x v="30"/>
    </i>
    <i r="1">
      <x v="31"/>
    </i>
    <i r="1">
      <x v="32"/>
    </i>
    <i r="1">
      <x v="33"/>
    </i>
    <i r="1">
      <x v="34"/>
    </i>
    <i r="1">
      <x v="35"/>
    </i>
    <i r="1">
      <x v="36"/>
    </i>
    <i r="1">
      <x v="37"/>
    </i>
    <i r="1">
      <x v="38"/>
    </i>
    <i r="1">
      <x v="39"/>
    </i>
    <i r="1">
      <x v="61"/>
    </i>
    <i t="default">
      <x v="1"/>
    </i>
    <i>
      <x v="2"/>
      <x/>
    </i>
    <i r="1">
      <x v="1"/>
    </i>
    <i r="1">
      <x v="2"/>
    </i>
    <i r="1">
      <x v="3"/>
    </i>
    <i r="1">
      <x v="4"/>
    </i>
    <i r="1">
      <x v="5"/>
    </i>
    <i r="1">
      <x v="6"/>
    </i>
    <i r="1">
      <x v="7"/>
    </i>
    <i r="1">
      <x v="8"/>
    </i>
    <i r="1">
      <x v="9"/>
    </i>
    <i r="1">
      <x v="10"/>
    </i>
    <i r="1">
      <x v="11"/>
    </i>
    <i r="1">
      <x v="12"/>
    </i>
    <i r="1">
      <x v="13"/>
    </i>
    <i r="1">
      <x v="14"/>
    </i>
    <i r="1">
      <x v="66"/>
    </i>
    <i t="default">
      <x v="2"/>
    </i>
    <i>
      <x v="3"/>
      <x v="54"/>
    </i>
    <i r="1">
      <x v="55"/>
    </i>
    <i r="1">
      <x v="56"/>
    </i>
    <i r="1">
      <x v="58"/>
    </i>
    <i r="1">
      <x v="59"/>
    </i>
    <i t="default">
      <x v="3"/>
    </i>
    <i>
      <x v="4"/>
      <x v="40"/>
    </i>
    <i r="1">
      <x v="41"/>
    </i>
    <i r="1">
      <x v="42"/>
    </i>
    <i r="1">
      <x v="45"/>
    </i>
    <i r="1">
      <x v="46"/>
    </i>
    <i r="1">
      <x v="49"/>
    </i>
    <i r="1">
      <x v="50"/>
    </i>
    <i r="1">
      <x v="51"/>
    </i>
    <i t="default">
      <x v="4"/>
    </i>
    <i>
      <x v="5"/>
      <x v="17"/>
    </i>
    <i r="1">
      <x v="18"/>
    </i>
    <i r="1">
      <x v="19"/>
    </i>
    <i r="1">
      <x v="60"/>
    </i>
    <i r="1">
      <x v="64"/>
    </i>
    <i t="default">
      <x v="5"/>
    </i>
    <i t="grand">
      <x/>
    </i>
  </rowItems>
  <colFields count="1">
    <field x="3"/>
  </colFields>
  <colItems count="6">
    <i>
      <x v="1"/>
    </i>
    <i>
      <x v="2"/>
    </i>
    <i>
      <x v="3"/>
    </i>
    <i>
      <x v="4"/>
    </i>
    <i>
      <x v="5"/>
    </i>
    <i t="grand">
      <x/>
    </i>
  </colItems>
  <pageFields count="1">
    <pageField fld="8"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CLASFICACIÓN" cacheId="61" applyNumberFormats="0" applyBorderFormats="0" applyFontFormats="0" applyPatternFormats="0" applyAlignmentFormats="0" applyWidthHeightFormats="0" dataCaption="" updatedVersion="8" rowGrandTotals="0" colGrandTotals="0" compact="0" compactData="0">
  <location ref="A1:E189" firstHeaderRow="1" firstDataRow="2" firstDataCol="2"/>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Row" compact="0" outline="0" multipleItemSelectionAllowed="1" showAll="0" sortType="ascending">
      <items count="7">
        <item x="5"/>
        <item x="4"/>
        <item x="2"/>
        <item x="0"/>
        <item x="3"/>
        <item x="1"/>
        <item t="default"/>
      </items>
    </pivotField>
    <pivotField name="Institución Educativa" axis="axisRow" compact="0" numFmtId="49" outline="0" multipleItemSelectionAllowed="1" showAll="0" sortType="ascending" defaultSubtotal="0">
      <items count="67">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dataField="1" compact="0" numFmtId="49" outline="0" multipleItemSelectionAllowed="1" showAll="0"/>
    <pivotField name="Año" axis="axisCol" compact="0" outline="0" multipleItemSelectionAllowed="1" showAll="0" sortType="ascending">
      <items count="4">
        <item x="1"/>
        <item x="2"/>
        <item x="0"/>
        <item t="default"/>
      </items>
    </pivotField>
  </pivotFields>
  <rowFields count="2">
    <field x="4"/>
    <field x="3"/>
  </rowFields>
  <rowItems count="187">
    <i>
      <x/>
      <x v="1"/>
    </i>
    <i r="1">
      <x v="3"/>
    </i>
    <i r="1">
      <x v="5"/>
    </i>
    <i>
      <x v="1"/>
      <x v="1"/>
    </i>
    <i r="1">
      <x v="3"/>
    </i>
    <i r="1">
      <x v="5"/>
    </i>
    <i>
      <x v="2"/>
      <x v="1"/>
    </i>
    <i r="1">
      <x v="2"/>
    </i>
    <i r="1">
      <x v="3"/>
    </i>
    <i r="1">
      <x v="4"/>
    </i>
    <i r="1">
      <x v="5"/>
    </i>
    <i>
      <x v="3"/>
      <x v="1"/>
    </i>
    <i r="1">
      <x v="3"/>
    </i>
    <i r="1">
      <x v="5"/>
    </i>
    <i>
      <x v="4"/>
      <x v="1"/>
    </i>
    <i r="1">
      <x v="3"/>
    </i>
    <i>
      <x v="5"/>
      <x v="1"/>
    </i>
    <i r="1">
      <x v="3"/>
    </i>
    <i r="1">
      <x v="5"/>
    </i>
    <i>
      <x v="6"/>
      <x v="1"/>
    </i>
    <i r="1">
      <x v="3"/>
    </i>
    <i r="1">
      <x v="5"/>
    </i>
    <i>
      <x v="7"/>
      <x v="1"/>
    </i>
    <i r="1">
      <x v="5"/>
    </i>
    <i>
      <x v="8"/>
      <x v="5"/>
    </i>
    <i>
      <x v="9"/>
      <x v="1"/>
    </i>
    <i r="1">
      <x v="3"/>
    </i>
    <i r="1">
      <x v="5"/>
    </i>
    <i>
      <x v="10"/>
      <x v="1"/>
    </i>
    <i>
      <x v="11"/>
      <x v="1"/>
    </i>
    <i r="1">
      <x v="3"/>
    </i>
    <i r="1">
      <x v="5"/>
    </i>
    <i>
      <x v="12"/>
      <x v="1"/>
    </i>
    <i r="1">
      <x v="3"/>
    </i>
    <i r="1">
      <x v="5"/>
    </i>
    <i>
      <x v="13"/>
      <x v="1"/>
    </i>
    <i r="1">
      <x v="3"/>
    </i>
    <i r="1">
      <x v="5"/>
    </i>
    <i>
      <x v="14"/>
      <x v="1"/>
    </i>
    <i r="1">
      <x v="5"/>
    </i>
    <i>
      <x v="15"/>
      <x v="1"/>
    </i>
    <i r="1">
      <x v="5"/>
    </i>
    <i>
      <x v="16"/>
      <x v="1"/>
    </i>
    <i r="1">
      <x v="5"/>
    </i>
    <i>
      <x v="17"/>
      <x/>
    </i>
    <i r="1">
      <x v="1"/>
    </i>
    <i r="1">
      <x v="3"/>
    </i>
    <i r="1">
      <x v="5"/>
    </i>
    <i>
      <x v="18"/>
      <x/>
    </i>
    <i r="1">
      <x v="1"/>
    </i>
    <i r="1">
      <x v="3"/>
    </i>
    <i r="1">
      <x v="5"/>
    </i>
    <i>
      <x v="19"/>
      <x v="1"/>
    </i>
    <i r="1">
      <x v="3"/>
    </i>
    <i r="1">
      <x v="5"/>
    </i>
    <i>
      <x v="20"/>
      <x v="2"/>
    </i>
    <i r="1">
      <x v="4"/>
    </i>
    <i>
      <x v="21"/>
      <x v="1"/>
    </i>
    <i r="1">
      <x v="3"/>
    </i>
    <i r="1">
      <x v="5"/>
    </i>
    <i>
      <x v="22"/>
      <x v="1"/>
    </i>
    <i r="1">
      <x v="5"/>
    </i>
    <i>
      <x v="23"/>
      <x v="1"/>
    </i>
    <i r="1">
      <x v="2"/>
    </i>
    <i r="1">
      <x v="3"/>
    </i>
    <i r="1">
      <x v="4"/>
    </i>
    <i r="1">
      <x v="5"/>
    </i>
    <i>
      <x v="24"/>
      <x v="1"/>
    </i>
    <i r="1">
      <x v="2"/>
    </i>
    <i r="1">
      <x v="3"/>
    </i>
    <i r="1">
      <x v="4"/>
    </i>
    <i r="1">
      <x v="5"/>
    </i>
    <i>
      <x v="25"/>
      <x/>
    </i>
    <i r="1">
      <x v="1"/>
    </i>
    <i r="1">
      <x v="2"/>
    </i>
    <i r="1">
      <x v="3"/>
    </i>
    <i r="1">
      <x v="4"/>
    </i>
    <i r="1">
      <x v="5"/>
    </i>
    <i>
      <x v="26"/>
      <x v="1"/>
    </i>
    <i r="1">
      <x v="2"/>
    </i>
    <i r="1">
      <x v="3"/>
    </i>
    <i r="1">
      <x v="4"/>
    </i>
    <i r="1">
      <x v="5"/>
    </i>
    <i>
      <x v="27"/>
      <x v="1"/>
    </i>
    <i r="1">
      <x v="3"/>
    </i>
    <i r="1">
      <x v="5"/>
    </i>
    <i>
      <x v="28"/>
      <x v="1"/>
    </i>
    <i r="1">
      <x v="5"/>
    </i>
    <i>
      <x v="29"/>
      <x v="1"/>
    </i>
    <i r="1">
      <x v="3"/>
    </i>
    <i r="1">
      <x v="5"/>
    </i>
    <i>
      <x v="30"/>
      <x v="1"/>
    </i>
    <i r="1">
      <x v="3"/>
    </i>
    <i r="1">
      <x v="5"/>
    </i>
    <i>
      <x v="31"/>
      <x v="3"/>
    </i>
    <i r="1">
      <x v="5"/>
    </i>
    <i>
      <x v="32"/>
      <x v="1"/>
    </i>
    <i r="1">
      <x v="3"/>
    </i>
    <i r="1">
      <x v="5"/>
    </i>
    <i>
      <x v="33"/>
      <x v="1"/>
    </i>
    <i r="1">
      <x v="3"/>
    </i>
    <i>
      <x v="34"/>
      <x v="1"/>
    </i>
    <i r="1">
      <x v="5"/>
    </i>
    <i>
      <x v="35"/>
      <x v="1"/>
    </i>
    <i r="1">
      <x v="3"/>
    </i>
    <i r="1">
      <x v="5"/>
    </i>
    <i>
      <x v="36"/>
      <x v="5"/>
    </i>
    <i>
      <x v="37"/>
      <x v="1"/>
    </i>
    <i r="1">
      <x v="3"/>
    </i>
    <i r="1">
      <x v="5"/>
    </i>
    <i>
      <x v="38"/>
      <x v="3"/>
    </i>
    <i r="1">
      <x v="5"/>
    </i>
    <i>
      <x v="39"/>
      <x v="1"/>
    </i>
    <i>
      <x v="40"/>
      <x v="1"/>
    </i>
    <i r="1">
      <x v="3"/>
    </i>
    <i r="1">
      <x v="5"/>
    </i>
    <i>
      <x v="41"/>
      <x v="1"/>
    </i>
    <i r="1">
      <x v="3"/>
    </i>
    <i r="1">
      <x v="5"/>
    </i>
    <i>
      <x v="42"/>
      <x v="1"/>
    </i>
    <i r="1">
      <x v="3"/>
    </i>
    <i r="1">
      <x v="5"/>
    </i>
    <i>
      <x v="43"/>
      <x v="1"/>
    </i>
    <i>
      <x v="44"/>
      <x v="1"/>
    </i>
    <i r="1">
      <x v="5"/>
    </i>
    <i>
      <x v="45"/>
      <x v="1"/>
    </i>
    <i r="1">
      <x v="3"/>
    </i>
    <i r="1">
      <x v="5"/>
    </i>
    <i>
      <x v="46"/>
      <x v="1"/>
    </i>
    <i r="1">
      <x v="3"/>
    </i>
    <i r="1">
      <x v="5"/>
    </i>
    <i>
      <x v="47"/>
      <x v="3"/>
    </i>
    <i r="1">
      <x v="5"/>
    </i>
    <i>
      <x v="48"/>
      <x v="3"/>
    </i>
    <i r="1">
      <x v="5"/>
    </i>
    <i>
      <x v="49"/>
      <x v="1"/>
    </i>
    <i r="1">
      <x v="3"/>
    </i>
    <i r="1">
      <x v="5"/>
    </i>
    <i>
      <x v="50"/>
      <x v="1"/>
    </i>
    <i r="1">
      <x v="3"/>
    </i>
    <i r="1">
      <x v="5"/>
    </i>
    <i>
      <x v="51"/>
      <x v="1"/>
    </i>
    <i r="1">
      <x v="5"/>
    </i>
    <i>
      <x v="52"/>
      <x v="1"/>
    </i>
    <i r="1">
      <x v="3"/>
    </i>
    <i r="1">
      <x v="5"/>
    </i>
    <i>
      <x v="53"/>
      <x v="3"/>
    </i>
    <i r="1">
      <x v="5"/>
    </i>
    <i>
      <x v="54"/>
      <x v="1"/>
    </i>
    <i r="1">
      <x v="2"/>
    </i>
    <i r="1">
      <x v="3"/>
    </i>
    <i r="1">
      <x v="4"/>
    </i>
    <i r="1">
      <x v="5"/>
    </i>
    <i>
      <x v="55"/>
      <x v="1"/>
    </i>
    <i r="1">
      <x v="2"/>
    </i>
    <i r="1">
      <x v="3"/>
    </i>
    <i r="1">
      <x v="4"/>
    </i>
    <i r="1">
      <x v="5"/>
    </i>
    <i>
      <x v="56"/>
      <x/>
    </i>
    <i r="1">
      <x v="1"/>
    </i>
    <i r="1">
      <x v="3"/>
    </i>
    <i r="1">
      <x v="5"/>
    </i>
    <i>
      <x v="57"/>
      <x/>
    </i>
    <i r="1">
      <x v="1"/>
    </i>
    <i r="1">
      <x v="3"/>
    </i>
    <i r="1">
      <x v="5"/>
    </i>
    <i>
      <x v="58"/>
      <x v="1"/>
    </i>
    <i r="1">
      <x v="3"/>
    </i>
    <i r="1">
      <x v="5"/>
    </i>
    <i>
      <x v="59"/>
      <x v="1"/>
    </i>
    <i r="1">
      <x v="3"/>
    </i>
    <i r="1">
      <x v="5"/>
    </i>
    <i>
      <x v="60"/>
      <x v="2"/>
    </i>
    <i r="1">
      <x v="4"/>
    </i>
    <i>
      <x v="61"/>
      <x v="2"/>
    </i>
    <i r="1">
      <x v="4"/>
    </i>
    <i>
      <x v="62"/>
      <x v="2"/>
    </i>
    <i r="1">
      <x v="4"/>
    </i>
    <i>
      <x v="63"/>
      <x v="2"/>
    </i>
    <i r="1">
      <x v="4"/>
    </i>
    <i>
      <x v="64"/>
      <x v="2"/>
    </i>
    <i r="1">
      <x v="4"/>
    </i>
    <i>
      <x v="65"/>
      <x v="2"/>
    </i>
    <i r="1">
      <x v="4"/>
    </i>
    <i>
      <x v="66"/>
      <x v="1"/>
    </i>
    <i r="1">
      <x v="3"/>
    </i>
    <i r="1">
      <x v="5"/>
    </i>
  </rowItems>
  <colFields count="1">
    <field x="8"/>
  </colFields>
  <colItems count="3">
    <i>
      <x/>
    </i>
    <i>
      <x v="1"/>
    </i>
    <i>
      <x v="2"/>
    </i>
  </colItem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GLOBAL 2" cacheId="61" applyNumberFormats="0" applyBorderFormats="0" applyFontFormats="0" applyPatternFormats="0" applyAlignmentFormats="0" applyWidthHeightFormats="0" dataCaption="" updatedVersion="8" rowGrandTotals="0" colGrandTotals="0" compact="0" compactData="0">
  <location ref="A26:E30" firstHeaderRow="1" firstDataRow="3" firstDataCol="2" rowPageCount="1" colPageCount="1"/>
  <pivotFields count="9">
    <pivotField name="Estudiante" compact="0" outline="0" multipleItemSelectionAllowed="1" showAll="0"/>
    <pivotField name="Región" axis="axisPage" compact="0" outline="0" multipleItemSelectionAllowed="1" showAll="0">
      <items count="7">
        <item h="1" x="0"/>
        <item h="1" x="1"/>
        <item h="1" x="2"/>
        <item h="1" x="3"/>
        <item h="1" x="4"/>
        <item x="5"/>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7">
        <item h="1" x="5"/>
        <item x="4"/>
        <item x="2"/>
        <item x="0"/>
        <item x="3"/>
        <item x="1"/>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Col" compact="0" outline="0" multipleItemSelectionAllowed="1" showAll="0" sortType="ascending" defaultSubtotal="0">
      <items count="3">
        <item x="1"/>
        <item x="2"/>
        <item x="0"/>
      </items>
    </pivotField>
  </pivotFields>
  <rowFields count="2">
    <field x="2"/>
    <field x="3"/>
  </rowFields>
  <rowItems count="2">
    <i>
      <x v="1"/>
      <x v="2"/>
    </i>
    <i r="1">
      <x v="4"/>
    </i>
  </rowItems>
  <colFields count="2">
    <field x="8"/>
    <field x="7"/>
  </colFields>
  <colItems count="3">
    <i>
      <x v="2"/>
      <x/>
    </i>
    <i r="1">
      <x v="1"/>
    </i>
    <i r="1">
      <x v="2"/>
    </i>
  </colItems>
  <pageFields count="1">
    <pageField fld="1"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GLOBAL 3" cacheId="51" applyNumberFormats="0" applyBorderFormats="0" applyFontFormats="0" applyPatternFormats="0" applyAlignmentFormats="0" applyWidthHeightFormats="0" dataCaption="" updatedVersion="8" rowGrandTotals="0" colGrandTotals="0" compact="0" compactData="0">
  <location ref="A48:D50" firstHeaderRow="1" firstDataRow="3" firstDataCol="2" rowPageCount="2" colPageCount="1"/>
  <pivotFields count="13">
    <pivotField name="Estudiante" compact="0" outline="0" multipleItemSelectionAllowed="1" showAll="0"/>
    <pivotField name="Región" axis="axisPage" compact="0" outline="0" multipleItemSelectionAllowed="1" showAll="0">
      <items count="7">
        <item h="1" x="0"/>
        <item h="1" x="1"/>
        <item h="1" x="2"/>
        <item h="1" x="3"/>
        <item h="1" x="4"/>
        <item x="5"/>
        <item t="default"/>
      </items>
    </pivotField>
    <pivotField name="Nivel" compact="0" outline="0" multipleItemSelectionAllowed="1" showAll="0"/>
    <pivotField name="Grado" axis="axisRow" compact="0" outline="0" multipleItemSelectionAllowed="1" showAll="0" sortType="ascending">
      <items count="7">
        <item x="5"/>
        <item x="4"/>
        <item x="2"/>
        <item x="0"/>
        <item x="3"/>
        <item x="1"/>
        <item t="default"/>
      </items>
    </pivotField>
    <pivotField name="Institución Educativa" axis="axisRow" compact="0" numFmtId="49" outline="0" multipleItemSelectionAllowed="1" showAll="0" sortType="ascending" defaultSubtotal="0">
      <items count="67">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defaultSubtotal="0">
      <items count="3">
        <item x="0"/>
        <item x="1"/>
        <item x="2"/>
      </items>
    </pivotField>
    <pivotField name="Año" axis="axisCol" compact="0" outline="0" multipleItemSelectionAllowed="1" showAll="0" sortType="ascending">
      <items count="4">
        <item x="1"/>
        <item x="2"/>
        <item x="0"/>
        <item t="default"/>
      </items>
    </pivotField>
    <pivotField name="ANALISIS" compact="0" numFmtId="49" outline="0" multipleItemSelectionAllowed="1" showAll="0"/>
    <pivotField name="PADD-R" compact="0" numFmtId="49" outline="0" multipleItemSelectionAllowed="1" showAll="0"/>
    <pivotField name="ID IE" axis="axisPage" compact="0" numFmtId="49" outline="0" multipleItemSelectionAllowed="1" showAll="0">
      <items count="104">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t="default"/>
      </items>
    </pivotField>
    <pivotField name="ID2" compact="0" numFmtId="49" outline="0" multipleItemSelectionAllowed="1" showAll="0"/>
  </pivotFields>
  <rowFields count="2">
    <field x="4"/>
    <field x="3"/>
  </rowFields>
  <colFields count="2">
    <field x="7"/>
    <field x="8"/>
  </colFields>
  <pageFields count="2">
    <pageField fld="1" hier="0"/>
    <pageField fld="11"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GLOBAL" cacheId="61" applyNumberFormats="0" applyBorderFormats="0" applyFontFormats="0" applyPatternFormats="0" applyAlignmentFormats="0" applyWidthHeightFormats="0" dataCaption="" updatedVersion="8" rowGrandTotals="0" colGrandTotals="0" compact="0" compactData="0">
  <location ref="A3:K10" firstHeaderRow="1" firstDataRow="3" firstDataCol="2" rowPageCount="1" colPageCount="1"/>
  <pivotFields count="9">
    <pivotField name="Estudiante" compact="0" outline="0" multipleItemSelectionAllowed="1" showAll="0"/>
    <pivotField name="Región" axis="axisPage" compact="0" outline="0" multipleItemSelectionAllowed="1" showAll="0">
      <items count="7">
        <item x="0"/>
        <item x="1"/>
        <item x="2"/>
        <item x="3"/>
        <item x="4"/>
        <item h="1" x="5"/>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7">
        <item h="1" x="5"/>
        <item x="4"/>
        <item x="2"/>
        <item x="0"/>
        <item x="3"/>
        <item x="1"/>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Col" compact="0" outline="0" multipleItemSelectionAllowed="1" showAll="0" sortType="ascending" defaultSubtotal="0">
      <items count="3">
        <item x="1"/>
        <item x="2"/>
        <item x="0"/>
      </items>
    </pivotField>
  </pivotFields>
  <rowFields count="2">
    <field x="2"/>
    <field x="3"/>
  </rowFields>
  <rowItems count="5">
    <i>
      <x/>
      <x v="1"/>
    </i>
    <i r="1">
      <x v="3"/>
    </i>
    <i r="1">
      <x v="5"/>
    </i>
    <i>
      <x v="1"/>
      <x v="2"/>
    </i>
    <i r="1">
      <x v="4"/>
    </i>
  </rowItems>
  <colFields count="2">
    <field x="8"/>
    <field x="7"/>
  </colFields>
  <colItems count="9">
    <i>
      <x/>
      <x/>
    </i>
    <i r="1">
      <x v="1"/>
    </i>
    <i r="1">
      <x v="2"/>
    </i>
    <i>
      <x v="1"/>
      <x/>
    </i>
    <i r="1">
      <x v="1"/>
    </i>
    <i r="1">
      <x v="2"/>
    </i>
    <i>
      <x v="2"/>
      <x/>
    </i>
    <i r="1">
      <x v="1"/>
    </i>
    <i r="1">
      <x v="2"/>
    </i>
  </colItems>
  <pageFields count="1">
    <pageField fld="1"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8000000}" name="LOS 3 AÑOS" cacheId="42" applyNumberFormats="0" applyBorderFormats="0" applyFontFormats="0" applyPatternFormats="0" applyAlignmentFormats="0" applyWidthHeightFormats="0" dataCaption="" updatedVersion="8" rowGrandTotals="0" colGrandTotals="0" compact="0" compactData="0">
  <location ref="A3:M29" firstHeaderRow="1" firstDataRow="3" firstDataCol="4" rowPageCount="1" colPageCount="1"/>
  <pivotFields count="12">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7">
        <item x="5"/>
        <item x="4"/>
        <item x="2"/>
        <item x="0"/>
        <item x="3"/>
        <item x="1"/>
        <item t="default"/>
      </items>
    </pivotField>
    <pivotField name="Institución Educativa" axis="axisRow" compact="0" numFmtId="49" outline="0" multipleItemSelectionAllowed="1" showAll="0" sortType="ascending" defaultSubtotal="0">
      <items count="67">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Col" compact="0" outline="0" multipleItemSelectionAllowed="1" showAll="0" sortType="ascending" defaultSubtotal="0">
      <items count="3">
        <item x="1"/>
        <item x="2"/>
        <item x="0"/>
      </items>
    </pivotField>
    <pivotField name="ANALISIS" axis="axisPage" compact="0" numFmtId="49" outline="0" multipleItemSelectionAllowed="1" showAll="0">
      <items count="8">
        <item h="1" x="0"/>
        <item h="1" x="1"/>
        <item h="1" x="2"/>
        <item x="3"/>
        <item h="1" x="4"/>
        <item h="1" x="5"/>
        <item h="1" x="6"/>
        <item t="default"/>
      </items>
    </pivotField>
    <pivotField name="PADD-R" compact="0" numFmtId="49" outline="0" multipleItemSelectionAllowed="1" showAll="0"/>
    <pivotField name="ID IE" compact="0" numFmtId="49" outline="0" multipleItemSelectionAllowed="1" showAll="0"/>
  </pivotFields>
  <rowFields count="4">
    <field x="1"/>
    <field x="4"/>
    <field x="2"/>
    <field x="3"/>
  </rowFields>
  <rowItems count="24">
    <i>
      <x v="1"/>
      <x v="23"/>
      <x/>
      <x v="3"/>
    </i>
    <i r="3">
      <x v="5"/>
    </i>
    <i r="2">
      <x v="1"/>
      <x v="2"/>
    </i>
    <i r="3">
      <x v="4"/>
    </i>
    <i r="1">
      <x v="25"/>
      <x/>
      <x v="1"/>
    </i>
    <i r="3">
      <x v="5"/>
    </i>
    <i r="2">
      <x v="1"/>
      <x v="2"/>
    </i>
    <i r="3">
      <x v="4"/>
    </i>
    <i r="1">
      <x v="26"/>
      <x/>
      <x v="1"/>
    </i>
    <i r="3">
      <x v="3"/>
    </i>
    <i r="3">
      <x v="5"/>
    </i>
    <i r="2">
      <x v="1"/>
      <x v="2"/>
    </i>
    <i r="3">
      <x v="4"/>
    </i>
    <i r="1">
      <x v="30"/>
      <x/>
      <x v="3"/>
    </i>
    <i r="1">
      <x v="61"/>
      <x v="1"/>
      <x v="2"/>
    </i>
    <i r="3">
      <x v="4"/>
    </i>
    <i t="default">
      <x v="1"/>
    </i>
    <i>
      <x v="3"/>
      <x v="56"/>
      <x/>
      <x v="1"/>
    </i>
    <i r="3">
      <x v="3"/>
    </i>
    <i r="3">
      <x v="5"/>
    </i>
    <i t="default">
      <x v="3"/>
    </i>
    <i>
      <x v="4"/>
      <x v="40"/>
      <x/>
      <x v="1"/>
    </i>
    <i r="3">
      <x v="3"/>
    </i>
    <i t="default">
      <x v="4"/>
    </i>
  </rowItems>
  <colFields count="2">
    <field x="8"/>
    <field x="7"/>
  </colFields>
  <colItems count="9">
    <i>
      <x/>
      <x/>
    </i>
    <i r="1">
      <x v="1"/>
    </i>
    <i r="1">
      <x v="2"/>
    </i>
    <i>
      <x v="1"/>
      <x/>
    </i>
    <i r="1">
      <x v="1"/>
    </i>
    <i r="1">
      <x v="2"/>
    </i>
    <i>
      <x v="2"/>
      <x/>
    </i>
    <i r="1">
      <x v="1"/>
    </i>
    <i r="1">
      <x v="2"/>
    </i>
  </colItems>
  <pageFields count="1">
    <pageField fld="9"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800-000009000000}" name="2022,24" cacheId="42" applyNumberFormats="0" applyBorderFormats="0" applyFontFormats="0" applyPatternFormats="0" applyAlignmentFormats="0" applyWidthHeightFormats="0" dataCaption="" updatedVersion="8" rowGrandTotals="0" colGrandTotals="0" compact="0" compactData="0">
  <location ref="A3:J24" firstHeaderRow="1" firstDataRow="3" firstDataCol="4" rowPageCount="1" colPageCount="1"/>
  <pivotFields count="12">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7">
        <item x="5"/>
        <item x="4"/>
        <item x="2"/>
        <item x="0"/>
        <item x="3"/>
        <item x="1"/>
        <item t="default"/>
      </items>
    </pivotField>
    <pivotField name="Institución Educativa" axis="axisRow" compact="0" numFmtId="49" outline="0" multipleItemSelectionAllowed="1" showAll="0" sortType="ascending" defaultSubtotal="0">
      <items count="67">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Col" compact="0" outline="0" multipleItemSelectionAllowed="1" showAll="0" sortType="ascending" defaultSubtotal="0">
      <items count="3">
        <item x="1"/>
        <item x="2"/>
        <item x="0"/>
      </items>
    </pivotField>
    <pivotField name="ANALISIS" axis="axisPage" compact="0" numFmtId="49" outline="0" multipleItemSelectionAllowed="1" showAll="0">
      <items count="8">
        <item h="1" x="0"/>
        <item h="1" x="1"/>
        <item x="2"/>
        <item h="1" x="3"/>
        <item h="1" x="4"/>
        <item h="1" x="5"/>
        <item h="1" x="6"/>
        <item t="default"/>
      </items>
    </pivotField>
    <pivotField name="PADD-R" compact="0" numFmtId="49" outline="0" multipleItemSelectionAllowed="1" showAll="0"/>
    <pivotField name="ID IE" compact="0" numFmtId="49" outline="0" multipleItemSelectionAllowed="1" showAll="0"/>
  </pivotFields>
  <rowFields count="4">
    <field x="1"/>
    <field x="4"/>
    <field x="2"/>
    <field x="3"/>
  </rowFields>
  <rowItems count="19">
    <i>
      <x v="3"/>
      <x v="54"/>
      <x v="1"/>
      <x v="2"/>
    </i>
    <i r="3">
      <x v="4"/>
    </i>
    <i r="1">
      <x v="55"/>
      <x/>
      <x v="3"/>
    </i>
    <i r="3">
      <x v="5"/>
    </i>
    <i r="2">
      <x v="1"/>
      <x v="2"/>
    </i>
    <i r="1">
      <x v="59"/>
      <x/>
      <x v="1"/>
    </i>
    <i r="3">
      <x v="5"/>
    </i>
    <i t="default">
      <x v="3"/>
    </i>
    <i>
      <x v="4"/>
      <x v="40"/>
      <x/>
      <x v="5"/>
    </i>
    <i r="1">
      <x v="41"/>
      <x/>
      <x v="3"/>
    </i>
    <i r="3">
      <x v="5"/>
    </i>
    <i r="1">
      <x v="42"/>
      <x/>
      <x v="1"/>
    </i>
    <i r="3">
      <x v="3"/>
    </i>
    <i r="3">
      <x v="5"/>
    </i>
    <i t="default">
      <x v="4"/>
    </i>
    <i>
      <x v="5"/>
      <x v="18"/>
      <x/>
      <x v="1"/>
    </i>
    <i r="3">
      <x v="3"/>
    </i>
    <i r="3">
      <x v="5"/>
    </i>
    <i t="default">
      <x v="5"/>
    </i>
  </rowItems>
  <colFields count="2">
    <field x="8"/>
    <field x="7"/>
  </colFields>
  <colItems count="6">
    <i>
      <x/>
      <x/>
    </i>
    <i r="1">
      <x v="1"/>
    </i>
    <i r="1">
      <x v="2"/>
    </i>
    <i>
      <x v="2"/>
      <x/>
    </i>
    <i r="1">
      <x v="1"/>
    </i>
    <i r="1">
      <x v="2"/>
    </i>
  </colItems>
  <pageFields count="1">
    <pageField fld="9"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900-00000A000000}" name="2023,24" cacheId="42" applyNumberFormats="0" applyBorderFormats="0" applyFontFormats="0" applyPatternFormats="0" applyAlignmentFormats="0" applyWidthHeightFormats="0" dataCaption="" updatedVersion="8" rowGrandTotals="0" colGrandTotals="0" compact="0" compactData="0">
  <location ref="A3:J54" firstHeaderRow="1" firstDataRow="3" firstDataCol="4" rowPageCount="1" colPageCount="1"/>
  <pivotFields count="12">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7">
        <item x="5"/>
        <item x="4"/>
        <item x="2"/>
        <item x="0"/>
        <item x="3"/>
        <item x="1"/>
        <item t="default"/>
      </items>
    </pivotField>
    <pivotField name="Institución Educativa" axis="axisRow" compact="0" numFmtId="49" outline="0" multipleItemSelectionAllowed="1" showAll="0" sortType="ascending" defaultSubtotal="0">
      <items count="67">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Col" compact="0" outline="0" multipleItemSelectionAllowed="1" showAll="0" sortType="ascending" defaultSubtotal="0">
      <items count="3">
        <item x="1"/>
        <item x="2"/>
        <item x="0"/>
      </items>
    </pivotField>
    <pivotField name="ANALISIS" axis="axisPage" compact="0" numFmtId="49" outline="0" multipleItemSelectionAllowed="1" showAll="0">
      <items count="8">
        <item h="1" x="0"/>
        <item x="1"/>
        <item h="1" x="2"/>
        <item h="1" x="3"/>
        <item h="1" x="4"/>
        <item h="1" x="5"/>
        <item h="1" x="6"/>
        <item t="default"/>
      </items>
    </pivotField>
    <pivotField name="PADD-R" compact="0" numFmtId="49" outline="0" multipleItemSelectionAllowed="1" showAll="0"/>
    <pivotField name="ID IE" compact="0" numFmtId="49" outline="0" multipleItemSelectionAllowed="1" showAll="0"/>
  </pivotFields>
  <rowFields count="4">
    <field x="1"/>
    <field x="4"/>
    <field x="2"/>
    <field x="3"/>
  </rowFields>
  <rowItems count="49">
    <i>
      <x v="1"/>
      <x v="23"/>
      <x/>
      <x v="1"/>
    </i>
    <i r="1">
      <x v="25"/>
      <x/>
      <x v="3"/>
    </i>
    <i r="1">
      <x v="30"/>
      <x/>
      <x v="1"/>
    </i>
    <i r="3">
      <x v="5"/>
    </i>
    <i r="1">
      <x v="32"/>
      <x/>
      <x v="1"/>
    </i>
    <i r="3">
      <x v="3"/>
    </i>
    <i r="3">
      <x v="5"/>
    </i>
    <i r="1">
      <x v="37"/>
      <x/>
      <x v="3"/>
    </i>
    <i t="default">
      <x v="1"/>
    </i>
    <i>
      <x v="2"/>
      <x/>
      <x/>
      <x v="5"/>
    </i>
    <i r="1">
      <x v="1"/>
      <x/>
      <x v="1"/>
    </i>
    <i r="3">
      <x v="3"/>
    </i>
    <i r="3">
      <x v="5"/>
    </i>
    <i r="1">
      <x v="2"/>
      <x/>
      <x v="1"/>
    </i>
    <i r="3">
      <x v="3"/>
    </i>
    <i r="3">
      <x v="5"/>
    </i>
    <i r="1">
      <x v="3"/>
      <x/>
      <x v="1"/>
    </i>
    <i r="3">
      <x v="3"/>
    </i>
    <i r="3">
      <x v="5"/>
    </i>
    <i r="1">
      <x v="5"/>
      <x/>
      <x v="1"/>
    </i>
    <i r="1">
      <x v="6"/>
      <x/>
      <x v="1"/>
    </i>
    <i r="3">
      <x v="5"/>
    </i>
    <i r="1">
      <x v="7"/>
      <x/>
      <x v="1"/>
    </i>
    <i r="3">
      <x v="5"/>
    </i>
    <i r="1">
      <x v="8"/>
      <x/>
      <x v="5"/>
    </i>
    <i r="1">
      <x v="9"/>
      <x/>
      <x v="1"/>
    </i>
    <i r="3">
      <x v="3"/>
    </i>
    <i r="3">
      <x v="5"/>
    </i>
    <i r="1">
      <x v="11"/>
      <x/>
      <x v="3"/>
    </i>
    <i r="1">
      <x v="12"/>
      <x/>
      <x v="1"/>
    </i>
    <i r="3">
      <x v="3"/>
    </i>
    <i r="3">
      <x v="5"/>
    </i>
    <i r="1">
      <x v="13"/>
      <x/>
      <x v="1"/>
    </i>
    <i r="3">
      <x v="5"/>
    </i>
    <i r="1">
      <x v="14"/>
      <x/>
      <x v="1"/>
    </i>
    <i r="1">
      <x v="66"/>
      <x/>
      <x v="3"/>
    </i>
    <i r="3">
      <x v="5"/>
    </i>
    <i t="default">
      <x v="2"/>
    </i>
    <i>
      <x v="3"/>
      <x v="54"/>
      <x/>
      <x v="3"/>
    </i>
    <i r="3">
      <x v="5"/>
    </i>
    <i r="1">
      <x v="58"/>
      <x/>
      <x v="1"/>
    </i>
    <i r="3">
      <x v="3"/>
    </i>
    <i r="3">
      <x v="5"/>
    </i>
    <i t="default">
      <x v="3"/>
    </i>
    <i>
      <x v="4"/>
      <x v="49"/>
      <x/>
      <x v="3"/>
    </i>
    <i t="default">
      <x v="4"/>
    </i>
    <i>
      <x v="5"/>
      <x v="64"/>
      <x v="1"/>
      <x v="2"/>
    </i>
    <i r="3">
      <x v="4"/>
    </i>
    <i t="default">
      <x v="5"/>
    </i>
  </rowItems>
  <colFields count="2">
    <field x="8"/>
    <field x="7"/>
  </colFields>
  <colItems count="6">
    <i>
      <x v="1"/>
      <x/>
    </i>
    <i r="1">
      <x v="1"/>
    </i>
    <i r="1">
      <x v="2"/>
    </i>
    <i>
      <x v="2"/>
      <x/>
    </i>
    <i r="1">
      <x v="1"/>
    </i>
    <i r="1">
      <x v="2"/>
    </i>
  </colItems>
  <pageFields count="1">
    <pageField fld="9"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A00-00000B000000}" name="SOLO 2024" cacheId="42" applyNumberFormats="0" applyBorderFormats="0" applyFontFormats="0" applyPatternFormats="0" applyAlignmentFormats="0" applyWidthHeightFormats="0" dataCaption="" updatedVersion="8" rowGrandTotals="0" colGrandTotals="0" compact="0" compactData="0">
  <location ref="A3:G85" firstHeaderRow="1" firstDataRow="3" firstDataCol="4" rowPageCount="1" colPageCount="1"/>
  <pivotFields count="12">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7">
        <item x="5"/>
        <item x="4"/>
        <item x="2"/>
        <item x="0"/>
        <item x="3"/>
        <item x="1"/>
        <item t="default"/>
      </items>
    </pivotField>
    <pivotField name="Institución Educativa" axis="axisRow" compact="0" numFmtId="49" outline="0" multipleItemSelectionAllowed="1" showAll="0" sortType="ascending" defaultSubtotal="0">
      <items count="67">
        <item x="10"/>
        <item x="8"/>
        <item x="5"/>
        <item x="11"/>
        <item x="6"/>
        <item x="0"/>
        <item x="2"/>
        <item x="13"/>
        <item x="14"/>
        <item x="3"/>
        <item x="66"/>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Col" compact="0" outline="0" multipleItemSelectionAllowed="1" showAll="0" sortType="ascending" defaultSubtotal="0">
      <items count="3">
        <item x="1"/>
        <item x="2"/>
        <item x="0"/>
      </items>
    </pivotField>
    <pivotField name="ANALISIS" axis="axisPage" compact="0" numFmtId="49" outline="0" multipleItemSelectionAllowed="1" showAll="0">
      <items count="8">
        <item x="0"/>
        <item h="1" x="1"/>
        <item h="1" x="2"/>
        <item h="1" x="3"/>
        <item h="1" x="4"/>
        <item h="1" x="5"/>
        <item h="1" x="6"/>
        <item t="default"/>
      </items>
    </pivotField>
    <pivotField name="PADD-R" compact="0" numFmtId="49" outline="0" multipleItemSelectionAllowed="1" showAll="0"/>
    <pivotField name="ID IE" compact="0" numFmtId="49" outline="0" multipleItemSelectionAllowed="1" showAll="0"/>
  </pivotFields>
  <rowFields count="4">
    <field x="1"/>
    <field x="4"/>
    <field x="2"/>
    <field x="3"/>
  </rowFields>
  <rowItems count="80">
    <i>
      <x/>
      <x v="20"/>
      <x v="1"/>
      <x v="2"/>
    </i>
    <i r="3">
      <x v="4"/>
    </i>
    <i t="default">
      <x/>
    </i>
    <i>
      <x v="1"/>
      <x v="21"/>
      <x/>
      <x v="1"/>
    </i>
    <i r="3">
      <x v="3"/>
    </i>
    <i r="3">
      <x v="5"/>
    </i>
    <i r="1">
      <x v="22"/>
      <x/>
      <x v="1"/>
    </i>
    <i r="3">
      <x v="5"/>
    </i>
    <i r="1">
      <x v="24"/>
      <x/>
      <x v="1"/>
    </i>
    <i r="3">
      <x v="3"/>
    </i>
    <i r="3">
      <x v="5"/>
    </i>
    <i r="2">
      <x v="1"/>
      <x v="2"/>
    </i>
    <i r="3">
      <x v="4"/>
    </i>
    <i r="1">
      <x v="27"/>
      <x/>
      <x v="1"/>
    </i>
    <i r="3">
      <x v="3"/>
    </i>
    <i r="3">
      <x v="5"/>
    </i>
    <i r="1">
      <x v="28"/>
      <x/>
      <x v="1"/>
    </i>
    <i r="3">
      <x v="5"/>
    </i>
    <i r="1">
      <x v="29"/>
      <x/>
      <x v="1"/>
    </i>
    <i r="3">
      <x v="3"/>
    </i>
    <i r="3">
      <x v="5"/>
    </i>
    <i r="1">
      <x v="31"/>
      <x/>
      <x v="3"/>
    </i>
    <i r="3">
      <x v="5"/>
    </i>
    <i r="1">
      <x v="33"/>
      <x/>
      <x v="1"/>
    </i>
    <i r="3">
      <x v="3"/>
    </i>
    <i r="1">
      <x v="34"/>
      <x/>
      <x v="1"/>
    </i>
    <i r="3">
      <x v="5"/>
    </i>
    <i r="1">
      <x v="35"/>
      <x/>
      <x v="1"/>
    </i>
    <i r="3">
      <x v="3"/>
    </i>
    <i r="3">
      <x v="5"/>
    </i>
    <i r="1">
      <x v="36"/>
      <x/>
      <x v="5"/>
    </i>
    <i r="1">
      <x v="37"/>
      <x/>
      <x v="1"/>
    </i>
    <i r="1">
      <x v="38"/>
      <x/>
      <x v="3"/>
    </i>
    <i r="3">
      <x v="5"/>
    </i>
    <i r="1">
      <x v="39"/>
      <x/>
      <x v="1"/>
    </i>
    <i t="default">
      <x v="1"/>
    </i>
    <i>
      <x v="2"/>
      <x/>
      <x/>
      <x v="1"/>
    </i>
    <i r="3">
      <x v="3"/>
    </i>
    <i r="1">
      <x v="2"/>
      <x v="1"/>
      <x v="2"/>
    </i>
    <i r="3">
      <x v="4"/>
    </i>
    <i r="1">
      <x v="4"/>
      <x/>
      <x v="1"/>
    </i>
    <i r="3">
      <x v="3"/>
    </i>
    <i r="1">
      <x v="5"/>
      <x/>
      <x v="3"/>
    </i>
    <i r="3">
      <x v="5"/>
    </i>
    <i r="1">
      <x v="6"/>
      <x/>
      <x v="3"/>
    </i>
    <i r="1">
      <x v="10"/>
      <x/>
      <x v="1"/>
    </i>
    <i r="1">
      <x v="13"/>
      <x/>
      <x v="3"/>
    </i>
    <i r="1">
      <x v="14"/>
      <x/>
      <x v="5"/>
    </i>
    <i t="default">
      <x v="2"/>
    </i>
    <i>
      <x v="3"/>
      <x v="54"/>
      <x/>
      <x v="1"/>
    </i>
    <i r="1">
      <x v="55"/>
      <x/>
      <x v="1"/>
    </i>
    <i r="2">
      <x v="1"/>
      <x v="4"/>
    </i>
    <i r="1">
      <x v="59"/>
      <x/>
      <x v="3"/>
    </i>
    <i t="default">
      <x v="3"/>
    </i>
    <i>
      <x v="4"/>
      <x v="41"/>
      <x/>
      <x v="1"/>
    </i>
    <i r="1">
      <x v="45"/>
      <x/>
      <x v="1"/>
    </i>
    <i r="3">
      <x v="3"/>
    </i>
    <i r="3">
      <x v="5"/>
    </i>
    <i r="1">
      <x v="46"/>
      <x/>
      <x v="1"/>
    </i>
    <i r="3">
      <x v="3"/>
    </i>
    <i r="3">
      <x v="5"/>
    </i>
    <i r="1">
      <x v="49"/>
      <x/>
      <x v="1"/>
    </i>
    <i r="3">
      <x v="5"/>
    </i>
    <i r="1">
      <x v="50"/>
      <x/>
      <x v="1"/>
    </i>
    <i r="3">
      <x v="3"/>
    </i>
    <i r="3">
      <x v="5"/>
    </i>
    <i r="1">
      <x v="51"/>
      <x/>
      <x v="1"/>
    </i>
    <i r="3">
      <x v="5"/>
    </i>
    <i t="default">
      <x v="4"/>
    </i>
    <i>
      <x v="5"/>
      <x v="17"/>
      <x/>
      <x/>
    </i>
    <i r="3">
      <x v="1"/>
    </i>
    <i r="3">
      <x v="3"/>
    </i>
    <i r="3">
      <x v="5"/>
    </i>
    <i r="1">
      <x v="18"/>
      <x/>
      <x/>
    </i>
    <i r="1">
      <x v="19"/>
      <x/>
      <x v="1"/>
    </i>
    <i r="3">
      <x v="3"/>
    </i>
    <i r="3">
      <x v="5"/>
    </i>
    <i r="1">
      <x v="60"/>
      <x v="1"/>
      <x v="2"/>
    </i>
    <i r="3">
      <x v="4"/>
    </i>
    <i t="default">
      <x v="5"/>
    </i>
  </rowItems>
  <colFields count="2">
    <field x="8"/>
    <field x="7"/>
  </colFields>
  <colItems count="3">
    <i>
      <x v="2"/>
      <x/>
    </i>
    <i r="1">
      <x v="1"/>
    </i>
    <i r="1">
      <x v="2"/>
    </i>
  </colItems>
  <pageFields count="1">
    <pageField fld="9" hier="0"/>
  </pageFields>
  <dataFields count="1">
    <dataField name="COUNTA of R Producción de textos" fld="7"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General 2" cacheId="23" applyNumberFormats="0" applyBorderFormats="0" applyFontFormats="0" applyPatternFormats="0" applyAlignmentFormats="0" applyWidthHeightFormats="0" dataCaption="" updatedVersion="8" colGrandTotals="0" compact="0" compactData="0">
  <location ref="C37:F45" firstHeaderRow="1" firstDataRow="2" firstDataCol="1"/>
  <pivotFields count="8">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s>
  <rowFields count="1">
    <field x="1"/>
  </rowFields>
  <rowItems count="7">
    <i>
      <x/>
    </i>
    <i>
      <x v="1"/>
    </i>
    <i>
      <x v="2"/>
    </i>
    <i>
      <x v="3"/>
    </i>
    <i>
      <x v="4"/>
    </i>
    <i>
      <x v="5"/>
    </i>
    <i t="grand">
      <x/>
    </i>
  </rowItems>
  <colFields count="1">
    <field x="7"/>
  </colFields>
  <colItems count="3">
    <i>
      <x/>
    </i>
    <i>
      <x v="1"/>
    </i>
    <i>
      <x v="2"/>
    </i>
  </colItems>
  <dataFields count="1">
    <dataField name="COUNTA of R Producción de textos" fld="7" subtotal="count" showDataAs="percentOfRow"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General 3" cacheId="32" applyNumberFormats="0" applyBorderFormats="0" applyFontFormats="0" applyPatternFormats="0" applyAlignmentFormats="0" applyWidthHeightFormats="0" dataCaption="" updatedVersion="8" colGrandTotals="0" compact="0" compactData="0">
  <location ref="C58:F65" firstHeaderRow="1" firstDataRow="2"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Row" compact="0" outline="0" multipleItemSelectionAllowed="1" showAll="0" sortType="ascending">
      <items count="6">
        <item x="4"/>
        <item x="2"/>
        <item x="0"/>
        <item x="3"/>
        <item x="1"/>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Page" compact="0" outline="0" multipleItemSelectionAllowed="1" showAll="0">
      <items count="4">
        <item h="1" x="0"/>
        <item x="1"/>
        <item h="1" x="2"/>
        <item t="default"/>
      </items>
    </pivotField>
  </pivotFields>
  <rowFields count="1">
    <field x="3"/>
  </rowFields>
  <rowItems count="6">
    <i>
      <x/>
    </i>
    <i>
      <x v="1"/>
    </i>
    <i>
      <x v="2"/>
    </i>
    <i>
      <x v="3"/>
    </i>
    <i>
      <x v="4"/>
    </i>
    <i t="grand">
      <x/>
    </i>
  </rowItems>
  <colFields count="1">
    <field x="7"/>
  </colFields>
  <colItems count="3">
    <i>
      <x/>
    </i>
    <i>
      <x v="1"/>
    </i>
    <i>
      <x v="2"/>
    </i>
  </colItems>
  <pageFields count="1">
    <pageField fld="8" hier="0"/>
  </pageFields>
  <dataFields count="1">
    <dataField name="COUNTA of R Producción de textos" fld="7" subtotal="count" showDataAs="percentOfRow"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General" cacheId="32" applyNumberFormats="0" applyBorderFormats="0" applyFontFormats="0" applyPatternFormats="0" applyAlignmentFormats="0" applyWidthHeightFormats="0" dataCaption="" updatedVersion="8" colGrandTotals="0" compact="0" compactData="0">
  <location ref="C22:I28" firstHeaderRow="1" firstDataRow="3" firstDataCol="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C00-000015000000}" name="resumen x colegio 2" cacheId="32" applyNumberFormats="0" applyBorderFormats="0" applyFontFormats="0" applyPatternFormats="0" applyAlignmentFormats="0" applyWidthHeightFormats="0" dataCaption="" updatedVersion="8" compact="0" compactData="0">
  <location ref="M4:U13" firstHeaderRow="1" firstDataRow="3" firstDataCol="1" rowPageCount="1" colPageCount="1"/>
  <pivotFields count="9">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axis="axisCol" compact="0" outline="0" multipleItemSelectionAllowed="1" showAll="0" sortType="ascending">
      <items count="3">
        <item x="0"/>
        <item x="1"/>
        <item t="default"/>
      </items>
    </pivotField>
    <pivotField name="Grado" axis="axisCol" compact="0" outline="0" multipleItemSelectionAllowed="1" showAll="0" sortType="ascending">
      <items count="6">
        <item x="4"/>
        <item x="2"/>
        <item x="0"/>
        <item x="3"/>
        <item x="1"/>
        <item t="default"/>
      </items>
    </pivotField>
    <pivotField name="Institución Educativa" compact="0" numFmtId="49" outline="0" multipleItemSelectionAllowed="1" showAll="0"/>
    <pivotField name="Ambito" compact="0" numFmtId="49" outline="0" multipleItemSelectionAllowed="1" showAll="0"/>
    <pivotField name="Sexo" dataField="1" compact="0" outline="0" multipleItemSelectionAllowed="1" showAll="0"/>
    <pivotField name="R Producción de textos" compact="0" numFmtId="49" outline="0" multipleItemSelectionAllowed="1" showAll="0"/>
    <pivotField name="Año" axis="axisPage" compact="0" outline="0" multipleItemSelectionAllowed="1" showAll="0">
      <items count="4">
        <item x="0"/>
        <item h="1" x="1"/>
        <item h="1" x="2"/>
        <item t="default"/>
      </items>
    </pivotField>
  </pivotFields>
  <rowFields count="1">
    <field x="1"/>
  </rowFields>
  <rowItems count="7">
    <i>
      <x/>
    </i>
    <i>
      <x v="1"/>
    </i>
    <i>
      <x v="2"/>
    </i>
    <i>
      <x v="3"/>
    </i>
    <i>
      <x v="4"/>
    </i>
    <i>
      <x v="5"/>
    </i>
    <i t="grand">
      <x/>
    </i>
  </rowItems>
  <colFields count="2">
    <field x="2"/>
    <field x="3"/>
  </colFields>
  <colItems count="8">
    <i>
      <x/>
      <x/>
    </i>
    <i r="1">
      <x v="2"/>
    </i>
    <i r="1">
      <x v="4"/>
    </i>
    <i t="default">
      <x/>
    </i>
    <i>
      <x v="1"/>
      <x v="1"/>
    </i>
    <i r="1">
      <x v="3"/>
    </i>
    <i t="default">
      <x v="1"/>
    </i>
    <i t="grand">
      <x/>
    </i>
  </colItems>
  <pageFields count="1">
    <pageField fld="8" hier="0"/>
  </pageFields>
  <dataFields count="1">
    <dataField name="COUNTA of Sexo" fld="6"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C00-000014000000}" name="resumen x colegio 7" cacheId="32" applyNumberFormats="0" applyBorderFormats="0" applyFontFormats="0" applyPatternFormats="0" applyAlignmentFormats="0" applyWidthHeightFormats="0" dataCaption="" updatedVersion="8" compact="0" compactData="0">
  <location ref="B380:C441" firstHeaderRow="1" firstDataRow="1" firstDataCol="2" rowPageCount="1" colPageCount="1"/>
  <pivotFields count="9">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compact="0" outline="0" multipleItemSelectionAllowed="1" showAll="0"/>
    <pivotField name="Grado" compact="0" outline="0" multipleItemSelectionAllowed="1" showAll="0"/>
    <pivotField name="Institución Educativa" axis="axisRow" compact="0" numFmtId="49" outline="0" multipleItemSelectionAllowed="1" showAll="0" sortType="ascending">
      <items count="67">
        <item x="10"/>
        <item x="8"/>
        <item x="5"/>
        <item x="11"/>
        <item x="6"/>
        <item x="0"/>
        <item x="2"/>
        <item x="13"/>
        <item x="14"/>
        <item x="3"/>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 t="default"/>
      </items>
    </pivotField>
    <pivotField name="Ambito" compact="0" numFmtId="49" outline="0" multipleItemSelectionAllowed="1" showAll="0"/>
    <pivotField name="Sexo" compact="0" outline="0" multipleItemSelectionAllowed="1" showAll="0"/>
    <pivotField name="R Producción de textos" compact="0" numFmtId="49" outline="0" multipleItemSelectionAllowed="1" showAll="0"/>
    <pivotField name="Año" axis="axisPage" compact="0" outline="0" multipleItemSelectionAllowed="1" showAll="0">
      <items count="4">
        <item x="0"/>
        <item h="1" x="1"/>
        <item h="1" x="2"/>
        <item t="default"/>
      </items>
    </pivotField>
  </pivotFields>
  <rowFields count="2">
    <field x="1"/>
    <field x="4"/>
  </rowFields>
  <rowItems count="61">
    <i>
      <x/>
      <x v="19"/>
    </i>
    <i t="default">
      <x/>
    </i>
    <i>
      <x v="1"/>
      <x v="20"/>
    </i>
    <i r="1">
      <x v="21"/>
    </i>
    <i r="1">
      <x v="22"/>
    </i>
    <i r="1">
      <x v="23"/>
    </i>
    <i r="1">
      <x v="24"/>
    </i>
    <i r="1">
      <x v="25"/>
    </i>
    <i r="1">
      <x v="26"/>
    </i>
    <i r="1">
      <x v="27"/>
    </i>
    <i r="1">
      <x v="28"/>
    </i>
    <i r="1">
      <x v="29"/>
    </i>
    <i r="1">
      <x v="30"/>
    </i>
    <i r="1">
      <x v="31"/>
    </i>
    <i r="1">
      <x v="32"/>
    </i>
    <i r="1">
      <x v="33"/>
    </i>
    <i r="1">
      <x v="34"/>
    </i>
    <i r="1">
      <x v="35"/>
    </i>
    <i r="1">
      <x v="36"/>
    </i>
    <i r="1">
      <x v="37"/>
    </i>
    <i r="1">
      <x v="38"/>
    </i>
    <i r="1">
      <x v="60"/>
    </i>
    <i t="default">
      <x v="1"/>
    </i>
    <i>
      <x v="2"/>
      <x/>
    </i>
    <i r="1">
      <x v="1"/>
    </i>
    <i r="1">
      <x v="2"/>
    </i>
    <i r="1">
      <x v="3"/>
    </i>
    <i r="1">
      <x v="4"/>
    </i>
    <i r="1">
      <x v="5"/>
    </i>
    <i r="1">
      <x v="6"/>
    </i>
    <i r="1">
      <x v="7"/>
    </i>
    <i r="1">
      <x v="8"/>
    </i>
    <i r="1">
      <x v="9"/>
    </i>
    <i r="1">
      <x v="10"/>
    </i>
    <i r="1">
      <x v="11"/>
    </i>
    <i r="1">
      <x v="12"/>
    </i>
    <i r="1">
      <x v="13"/>
    </i>
    <i r="1">
      <x v="65"/>
    </i>
    <i t="default">
      <x v="2"/>
    </i>
    <i>
      <x v="3"/>
      <x v="53"/>
    </i>
    <i r="1">
      <x v="54"/>
    </i>
    <i r="1">
      <x v="55"/>
    </i>
    <i r="1">
      <x v="57"/>
    </i>
    <i r="1">
      <x v="58"/>
    </i>
    <i t="default">
      <x v="3"/>
    </i>
    <i>
      <x v="4"/>
      <x v="39"/>
    </i>
    <i r="1">
      <x v="40"/>
    </i>
    <i r="1">
      <x v="41"/>
    </i>
    <i r="1">
      <x v="44"/>
    </i>
    <i r="1">
      <x v="45"/>
    </i>
    <i r="1">
      <x v="48"/>
    </i>
    <i r="1">
      <x v="49"/>
    </i>
    <i r="1">
      <x v="50"/>
    </i>
    <i t="default">
      <x v="4"/>
    </i>
    <i>
      <x v="5"/>
      <x v="16"/>
    </i>
    <i r="1">
      <x v="17"/>
    </i>
    <i r="1">
      <x v="18"/>
    </i>
    <i r="1">
      <x v="59"/>
    </i>
    <i r="1">
      <x v="63"/>
    </i>
    <i t="default">
      <x v="5"/>
    </i>
    <i t="grand">
      <x/>
    </i>
  </rowItems>
  <colItems count="1">
    <i/>
  </colItems>
  <pageFields count="1">
    <pageField fld="8" hier="0"/>
  </page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C00-000013000000}" name="resumen x colegio 3" cacheId="32" applyNumberFormats="0" applyBorderFormats="0" applyFontFormats="0" applyPatternFormats="0" applyAlignmentFormats="0" applyWidthHeightFormats="0" dataCaption="" updatedVersion="8" compact="0" compactData="0">
  <location ref="M18:O25" firstHeaderRow="1" firstDataRow="2"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Row" compact="0" outline="0" multipleItemSelectionAllowed="1" showAll="0" sortType="ascending">
      <items count="6">
        <item x="4"/>
        <item x="2"/>
        <item x="0"/>
        <item x="3"/>
        <item x="1"/>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dataField="1" compact="0" numFmtId="49" outline="0" multipleItemSelectionAllowed="1" showAll="0"/>
    <pivotField name="Año" axis="axisPage" compact="0" outline="0" multipleItemSelectionAllowed="1" showAll="0">
      <items count="4">
        <item x="0"/>
        <item h="1" x="1"/>
        <item h="1" x="2"/>
        <item t="default"/>
      </items>
    </pivotField>
  </pivotFields>
  <rowFields count="1">
    <field x="3"/>
  </rowFields>
  <rowItems count="6">
    <i>
      <x/>
    </i>
    <i>
      <x v="1"/>
    </i>
    <i>
      <x v="2"/>
    </i>
    <i>
      <x v="3"/>
    </i>
    <i>
      <x v="4"/>
    </i>
    <i t="grand">
      <x/>
    </i>
  </rowItems>
  <colFields count="1">
    <field x="-2"/>
  </colFields>
  <colItems count="2">
    <i>
      <x/>
    </i>
    <i i="1">
      <x v="1"/>
    </i>
  </colItems>
  <pageFields count="1">
    <pageField fld="8"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C00-000012000000}" name="resumen x colegio 4" cacheId="18" applyNumberFormats="0" applyBorderFormats="0" applyFontFormats="0" applyPatternFormats="0" applyAlignmentFormats="0" applyWidthHeightFormats="0" dataCaption="" updatedVersion="8" colGrandTotals="0" compact="0" compactData="0">
  <location ref="M30:Q35" firstHeaderRow="1" firstDataRow="3" firstDataCol="1" rowPageCount="2"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7">
        <item h="1" x="0"/>
        <item h="1" x="1"/>
        <item h="1" x="2"/>
        <item h="1" x="3"/>
        <item h="1" x="4"/>
        <item x="5"/>
        <item t="default"/>
      </items>
    </pivotField>
    <pivotField name="Institución Educativa" axis="axisRow" compact="0" numFmtId="49" outline="0" multipleItemSelectionAllowed="1" showAll="0" sortType="ascending">
      <items count="67">
        <item x="10"/>
        <item x="8"/>
        <item x="5"/>
        <item x="11"/>
        <item x="6"/>
        <item x="0"/>
        <item x="2"/>
        <item x="13"/>
        <item x="14"/>
        <item x="3"/>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 t="default"/>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Page" compact="0" outline="0" multipleItemSelectionAllowed="1" showAll="0">
      <items count="4">
        <item x="0"/>
        <item h="1" x="1"/>
        <item h="1" x="2"/>
        <item t="default"/>
      </items>
    </pivotField>
  </pivotFields>
  <rowFields count="1">
    <field x="4"/>
  </rowFields>
  <rowItems count="3">
    <i>
      <x v="16"/>
    </i>
    <i>
      <x v="17"/>
    </i>
    <i t="grand">
      <x/>
    </i>
  </rowItems>
  <colFields count="2">
    <field x="7"/>
    <field x="-2"/>
  </colFields>
  <colItems count="4">
    <i>
      <x/>
      <x/>
    </i>
    <i r="1" i="1">
      <x v="1"/>
    </i>
    <i>
      <x v="1"/>
      <x/>
    </i>
    <i r="1" i="1">
      <x v="1"/>
    </i>
  </colItems>
  <pageFields count="2">
    <pageField fld="3" hier="0"/>
    <pageField fld="8" hier="0"/>
  </pageFields>
  <dataFields count="2">
    <dataField name="COUNTA of R Producción de textos" fld="7" subtotal="count" baseField="0"/>
    <dataField name="COUNTA of R Producción de textos" fld="7" subtotal="count" showDataAs="percentOfRow"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C00-000011000000}" name="resumen x colegio 5" cacheId="32" applyNumberFormats="0" applyBorderFormats="0" applyFontFormats="0" applyPatternFormats="0" applyAlignmentFormats="0" applyWidthHeightFormats="0" dataCaption="" updatedVersion="8" colGrandTotals="0" compact="0" compactData="0">
  <location ref="B158:H306" firstHeaderRow="1" firstDataRow="2" firstDataCol="4" rowPageCount="1" colPageCount="1"/>
  <pivotFields count="9">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axis="axisRow" compact="0" outline="0" multipleItemSelectionAllowed="1" showAll="0" sortType="ascending" defaultSubtotal="0">
      <items count="2">
        <item x="0"/>
        <item x="1"/>
      </items>
    </pivotField>
    <pivotField name="Grado" axis="axisRow" compact="0" outline="0" multipleItemSelectionAllowed="1" showAll="0" sortType="ascending">
      <items count="6">
        <item x="4"/>
        <item x="2"/>
        <item x="0"/>
        <item x="3"/>
        <item x="1"/>
        <item t="default"/>
      </items>
    </pivotField>
    <pivotField name="Institución Educativa" axis="axisRow" compact="0" numFmtId="49" outline="0" multipleItemSelectionAllowed="1" showAll="0" sortType="ascending" defaultSubtotal="0">
      <items count="66">
        <item x="10"/>
        <item x="8"/>
        <item x="5"/>
        <item x="11"/>
        <item x="6"/>
        <item x="0"/>
        <item x="2"/>
        <item x="13"/>
        <item x="14"/>
        <item x="3"/>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axis="axisCol" dataField="1" compact="0" numFmtId="49" outline="0" multipleItemSelectionAllowed="1" showAll="0" sortType="ascending">
      <items count="4">
        <item x="0"/>
        <item x="1"/>
        <item x="2"/>
        <item t="default"/>
      </items>
    </pivotField>
    <pivotField name="Año" axis="axisPage" compact="0" outline="0" multipleItemSelectionAllowed="1" showAll="0">
      <items count="4">
        <item x="0"/>
        <item h="1" x="1"/>
        <item h="1" x="2"/>
        <item t="default"/>
      </items>
    </pivotField>
  </pivotFields>
  <rowFields count="4">
    <field x="1"/>
    <field x="4"/>
    <field x="2"/>
    <field x="3"/>
  </rowFields>
  <rowItems count="147">
    <i>
      <x/>
      <x v="19"/>
      <x v="1"/>
      <x v="1"/>
    </i>
    <i r="3">
      <x v="3"/>
    </i>
    <i t="default">
      <x/>
    </i>
    <i>
      <x v="1"/>
      <x v="20"/>
      <x/>
      <x/>
    </i>
    <i r="3">
      <x v="2"/>
    </i>
    <i r="3">
      <x v="4"/>
    </i>
    <i r="1">
      <x v="21"/>
      <x/>
      <x/>
    </i>
    <i r="3">
      <x v="4"/>
    </i>
    <i r="1">
      <x v="22"/>
      <x/>
      <x/>
    </i>
    <i r="3">
      <x v="2"/>
    </i>
    <i r="3">
      <x v="4"/>
    </i>
    <i r="2">
      <x v="1"/>
      <x v="1"/>
    </i>
    <i r="3">
      <x v="3"/>
    </i>
    <i r="1">
      <x v="23"/>
      <x/>
      <x/>
    </i>
    <i r="3">
      <x v="2"/>
    </i>
    <i r="3">
      <x v="4"/>
    </i>
    <i r="2">
      <x v="1"/>
      <x v="1"/>
    </i>
    <i r="3">
      <x v="3"/>
    </i>
    <i r="1">
      <x v="24"/>
      <x/>
      <x/>
    </i>
    <i r="3">
      <x v="2"/>
    </i>
    <i r="3">
      <x v="4"/>
    </i>
    <i r="2">
      <x v="1"/>
      <x v="1"/>
    </i>
    <i r="3">
      <x v="3"/>
    </i>
    <i r="1">
      <x v="25"/>
      <x/>
      <x/>
    </i>
    <i r="3">
      <x v="2"/>
    </i>
    <i r="3">
      <x v="4"/>
    </i>
    <i r="2">
      <x v="1"/>
      <x v="1"/>
    </i>
    <i r="3">
      <x v="3"/>
    </i>
    <i r="1">
      <x v="26"/>
      <x/>
      <x/>
    </i>
    <i r="3">
      <x v="2"/>
    </i>
    <i r="3">
      <x v="4"/>
    </i>
    <i r="1">
      <x v="27"/>
      <x/>
      <x/>
    </i>
    <i r="3">
      <x v="4"/>
    </i>
    <i r="1">
      <x v="28"/>
      <x/>
      <x/>
    </i>
    <i r="3">
      <x v="2"/>
    </i>
    <i r="3">
      <x v="4"/>
    </i>
    <i r="1">
      <x v="29"/>
      <x/>
      <x/>
    </i>
    <i r="3">
      <x v="2"/>
    </i>
    <i r="3">
      <x v="4"/>
    </i>
    <i r="1">
      <x v="30"/>
      <x/>
      <x v="2"/>
    </i>
    <i r="3">
      <x v="4"/>
    </i>
    <i r="1">
      <x v="31"/>
      <x/>
      <x/>
    </i>
    <i r="3">
      <x v="2"/>
    </i>
    <i r="3">
      <x v="4"/>
    </i>
    <i r="1">
      <x v="32"/>
      <x/>
      <x/>
    </i>
    <i r="3">
      <x v="2"/>
    </i>
    <i r="1">
      <x v="33"/>
      <x/>
      <x/>
    </i>
    <i r="3">
      <x v="4"/>
    </i>
    <i r="1">
      <x v="34"/>
      <x/>
      <x/>
    </i>
    <i r="3">
      <x v="2"/>
    </i>
    <i r="3">
      <x v="4"/>
    </i>
    <i r="1">
      <x v="35"/>
      <x/>
      <x v="4"/>
    </i>
    <i r="1">
      <x v="36"/>
      <x/>
      <x/>
    </i>
    <i r="3">
      <x v="2"/>
    </i>
    <i r="1">
      <x v="37"/>
      <x/>
      <x v="2"/>
    </i>
    <i r="3">
      <x v="4"/>
    </i>
    <i r="1">
      <x v="38"/>
      <x/>
      <x/>
    </i>
    <i r="1">
      <x v="60"/>
      <x v="1"/>
      <x v="1"/>
    </i>
    <i r="3">
      <x v="3"/>
    </i>
    <i t="default">
      <x v="1"/>
    </i>
    <i>
      <x v="2"/>
      <x/>
      <x/>
      <x v="2"/>
    </i>
    <i r="3">
      <x v="4"/>
    </i>
    <i r="1">
      <x v="1"/>
      <x/>
      <x v="2"/>
    </i>
    <i r="3">
      <x v="4"/>
    </i>
    <i r="1">
      <x v="2"/>
      <x/>
      <x v="2"/>
    </i>
    <i r="3">
      <x v="4"/>
    </i>
    <i r="2">
      <x v="1"/>
      <x v="1"/>
    </i>
    <i r="3">
      <x v="3"/>
    </i>
    <i r="1">
      <x v="3"/>
      <x/>
      <x v="2"/>
    </i>
    <i r="3">
      <x v="4"/>
    </i>
    <i r="1">
      <x v="4"/>
      <x/>
      <x v="2"/>
    </i>
    <i r="1">
      <x v="5"/>
      <x/>
      <x v="2"/>
    </i>
    <i r="3">
      <x v="4"/>
    </i>
    <i r="1">
      <x v="6"/>
      <x/>
      <x v="2"/>
    </i>
    <i r="3">
      <x v="4"/>
    </i>
    <i r="1">
      <x v="7"/>
      <x/>
      <x v="4"/>
    </i>
    <i r="1">
      <x v="8"/>
      <x/>
      <x v="4"/>
    </i>
    <i r="1">
      <x v="9"/>
      <x/>
      <x v="2"/>
    </i>
    <i r="3">
      <x v="4"/>
    </i>
    <i r="1">
      <x v="10"/>
      <x/>
      <x v="2"/>
    </i>
    <i r="1">
      <x v="11"/>
      <x/>
      <x v="2"/>
    </i>
    <i r="3">
      <x v="4"/>
    </i>
    <i r="1">
      <x v="12"/>
      <x/>
      <x v="2"/>
    </i>
    <i r="3">
      <x v="4"/>
    </i>
    <i r="1">
      <x v="13"/>
      <x/>
      <x v="4"/>
    </i>
    <i r="1">
      <x v="65"/>
      <x/>
      <x v="2"/>
    </i>
    <i r="3">
      <x v="4"/>
    </i>
    <i t="default">
      <x v="2"/>
    </i>
    <i>
      <x v="3"/>
      <x v="53"/>
      <x/>
      <x/>
    </i>
    <i r="3">
      <x v="2"/>
    </i>
    <i r="3">
      <x v="4"/>
    </i>
    <i r="2">
      <x v="1"/>
      <x v="1"/>
    </i>
    <i r="3">
      <x v="3"/>
    </i>
    <i r="1">
      <x v="54"/>
      <x/>
      <x/>
    </i>
    <i r="3">
      <x v="2"/>
    </i>
    <i r="3">
      <x v="4"/>
    </i>
    <i r="2">
      <x v="1"/>
      <x v="1"/>
    </i>
    <i r="3">
      <x v="3"/>
    </i>
    <i r="1">
      <x v="55"/>
      <x/>
      <x/>
    </i>
    <i r="3">
      <x v="2"/>
    </i>
    <i r="3">
      <x v="4"/>
    </i>
    <i r="1">
      <x v="57"/>
      <x/>
      <x/>
    </i>
    <i r="3">
      <x v="2"/>
    </i>
    <i r="3">
      <x v="4"/>
    </i>
    <i r="1">
      <x v="58"/>
      <x/>
      <x/>
    </i>
    <i r="3">
      <x v="2"/>
    </i>
    <i r="3">
      <x v="4"/>
    </i>
    <i t="default">
      <x v="3"/>
    </i>
    <i>
      <x v="4"/>
      <x v="39"/>
      <x/>
      <x/>
    </i>
    <i r="3">
      <x v="2"/>
    </i>
    <i r="3">
      <x v="4"/>
    </i>
    <i r="1">
      <x v="40"/>
      <x/>
      <x/>
    </i>
    <i r="3">
      <x v="2"/>
    </i>
    <i r="3">
      <x v="4"/>
    </i>
    <i r="1">
      <x v="41"/>
      <x/>
      <x/>
    </i>
    <i r="3">
      <x v="2"/>
    </i>
    <i r="3">
      <x v="4"/>
    </i>
    <i r="1">
      <x v="44"/>
      <x/>
      <x/>
    </i>
    <i r="3">
      <x v="2"/>
    </i>
    <i r="3">
      <x v="4"/>
    </i>
    <i r="1">
      <x v="45"/>
      <x/>
      <x/>
    </i>
    <i r="3">
      <x v="2"/>
    </i>
    <i r="3">
      <x v="4"/>
    </i>
    <i r="1">
      <x v="48"/>
      <x/>
      <x/>
    </i>
    <i r="3">
      <x v="2"/>
    </i>
    <i r="3">
      <x v="4"/>
    </i>
    <i r="1">
      <x v="49"/>
      <x/>
      <x/>
    </i>
    <i r="3">
      <x v="2"/>
    </i>
    <i r="3">
      <x v="4"/>
    </i>
    <i r="1">
      <x v="50"/>
      <x/>
      <x/>
    </i>
    <i r="3">
      <x v="4"/>
    </i>
    <i t="default">
      <x v="4"/>
    </i>
    <i>
      <x v="5"/>
      <x v="16"/>
      <x/>
      <x/>
    </i>
    <i r="3">
      <x v="2"/>
    </i>
    <i r="3">
      <x v="4"/>
    </i>
    <i r="1">
      <x v="17"/>
      <x/>
      <x/>
    </i>
    <i r="3">
      <x v="2"/>
    </i>
    <i r="3">
      <x v="4"/>
    </i>
    <i r="1">
      <x v="18"/>
      <x/>
      <x/>
    </i>
    <i r="3">
      <x v="2"/>
    </i>
    <i r="3">
      <x v="4"/>
    </i>
    <i r="1">
      <x v="59"/>
      <x v="1"/>
      <x v="1"/>
    </i>
    <i r="3">
      <x v="3"/>
    </i>
    <i r="1">
      <x v="63"/>
      <x v="1"/>
      <x v="1"/>
    </i>
    <i r="3">
      <x v="3"/>
    </i>
    <i t="default">
      <x v="5"/>
    </i>
    <i t="grand">
      <x/>
    </i>
  </rowItems>
  <colFields count="1">
    <field x="7"/>
  </colFields>
  <colItems count="3">
    <i>
      <x/>
    </i>
    <i>
      <x v="1"/>
    </i>
    <i>
      <x v="2"/>
    </i>
  </colItems>
  <pageFields count="1">
    <pageField fld="8" hier="0"/>
  </pageFields>
  <dataFields count="1">
    <dataField name="COUNTA of R Producción de textos" fld="7" subtotal="count" showDataAs="percentOfRow"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C00-000010000000}" name="resumen x colegio 6" cacheId="32" applyNumberFormats="0" applyBorderFormats="0" applyFontFormats="0" applyPatternFormats="0" applyAlignmentFormats="0" applyWidthHeightFormats="0" dataCaption="" updatedVersion="8" colGrandTotals="0" compact="0" compactData="0">
  <location ref="M181:P185" firstHeaderRow="1" firstDataRow="2" firstDataCol="1" rowPageCount="1" colPageCount="1"/>
  <pivotFields count="9">
    <pivotField name="Estudiante" compact="0" outline="0" multipleItemSelectionAllowed="1" showAll="0"/>
    <pivotField name="Región" compact="0" outline="0" multipleItemSelectionAllowed="1" showAll="0"/>
    <pivotField name="Nivel" axis="axisRow" compact="0" outline="0" multipleItemSelectionAllowed="1" showAll="0" sortType="ascending">
      <items count="3">
        <item x="0"/>
        <item x="1"/>
        <item t="default"/>
      </items>
    </pivotField>
    <pivotField name="Grado" axis="axisPage" compact="0" outline="0" multipleItemSelectionAllowed="1" showAll="0">
      <items count="6">
        <item x="0"/>
        <item x="1"/>
        <item x="2"/>
        <item x="3"/>
        <item x="4"/>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compact="0" numFmtId="49" outline="0" multipleItemSelectionAllowed="1" showAll="0"/>
    <pivotField name="Año" axis="axisCol" dataField="1" compact="0" outline="0" multipleItemSelectionAllowed="1" showAll="0" sortType="ascending">
      <items count="4">
        <item x="1"/>
        <item x="2"/>
        <item x="0"/>
        <item t="default"/>
      </items>
    </pivotField>
  </pivotFields>
  <rowFields count="1">
    <field x="2"/>
  </rowFields>
  <rowItems count="3">
    <i>
      <x/>
    </i>
    <i>
      <x v="1"/>
    </i>
    <i t="grand">
      <x/>
    </i>
  </rowItems>
  <colFields count="1">
    <field x="8"/>
  </colFields>
  <colItems count="3">
    <i>
      <x/>
    </i>
    <i>
      <x v="1"/>
    </i>
    <i>
      <x v="2"/>
    </i>
  </colItems>
  <pageFields count="1">
    <pageField fld="3" hier="0"/>
  </pageFields>
  <dataFields count="1">
    <dataField name="COUNTA of Año" fld="8"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C00-00000F000000}" name="resumen x colegio" cacheId="32" applyNumberFormats="0" applyBorderFormats="0" applyFontFormats="0" applyPatternFormats="0" applyAlignmentFormats="0" applyWidthHeightFormats="0" dataCaption="" updatedVersion="8" compact="0" compactData="0">
  <location ref="B3:F151" firstHeaderRow="1" firstDataRow="2" firstDataCol="3" rowPageCount="1" colPageCount="1"/>
  <pivotFields count="9">
    <pivotField name="Estudiante" compact="0" outline="0" multipleItemSelectionAllowed="1" showAll="0"/>
    <pivotField name="Región" axis="axisRow" compact="0" outline="0" multipleItemSelectionAllowed="1" showAll="0" sortType="ascending">
      <items count="7">
        <item x="5"/>
        <item x="3"/>
        <item x="0"/>
        <item x="4"/>
        <item x="1"/>
        <item x="2"/>
        <item t="default"/>
      </items>
    </pivotField>
    <pivotField name="Nivel" compact="0" outline="0" multipleItemSelectionAllowed="1" showAll="0"/>
    <pivotField name="Grado" axis="axisRow" compact="0" outline="0" multipleItemSelectionAllowed="1" showAll="0" sortType="ascending">
      <items count="6">
        <item x="4"/>
        <item x="2"/>
        <item x="0"/>
        <item x="3"/>
        <item x="1"/>
        <item t="default"/>
      </items>
    </pivotField>
    <pivotField name="Institución Educativa" axis="axisRow" compact="0" numFmtId="49" outline="0" multipleItemSelectionAllowed="1" showAll="0" sortType="ascending" defaultSubtotal="0">
      <items count="66">
        <item x="10"/>
        <item x="8"/>
        <item x="5"/>
        <item x="11"/>
        <item x="6"/>
        <item x="0"/>
        <item x="2"/>
        <item x="13"/>
        <item x="14"/>
        <item x="3"/>
        <item x="7"/>
        <item x="9"/>
        <item x="1"/>
        <item x="12"/>
        <item x="58"/>
        <item x="59"/>
        <item x="27"/>
        <item x="25"/>
        <item x="24"/>
        <item x="53"/>
        <item x="29"/>
        <item x="33"/>
        <item x="39"/>
        <item x="41"/>
        <item x="47"/>
        <item x="35"/>
        <item x="28"/>
        <item x="36"/>
        <item x="44"/>
        <item x="30"/>
        <item x="42"/>
        <item x="34"/>
        <item x="46"/>
        <item x="37"/>
        <item x="45"/>
        <item x="43"/>
        <item x="32"/>
        <item x="38"/>
        <item x="40"/>
        <item x="22"/>
        <item x="15"/>
        <item x="16"/>
        <item x="63"/>
        <item x="55"/>
        <item x="17"/>
        <item x="19"/>
        <item x="64"/>
        <item x="57"/>
        <item x="21"/>
        <item x="18"/>
        <item x="20"/>
        <item x="65"/>
        <item x="56"/>
        <item x="49"/>
        <item x="52"/>
        <item x="48"/>
        <item x="54"/>
        <item x="51"/>
        <item x="50"/>
        <item x="26"/>
        <item x="31"/>
        <item x="60"/>
        <item x="61"/>
        <item x="23"/>
        <item x="62"/>
        <item x="4"/>
      </items>
    </pivotField>
    <pivotField name="Ambito" compact="0" numFmtId="49" outline="0" multipleItemSelectionAllowed="1" showAll="0"/>
    <pivotField name="Sexo" compact="0" outline="0" multipleItemSelectionAllowed="1" showAll="0"/>
    <pivotField name="R Producción de textos" dataField="1" compact="0" numFmtId="49" outline="0" multipleItemSelectionAllowed="1" showAll="0"/>
    <pivotField name="Año" axis="axisPage" compact="0" outline="0" multipleItemSelectionAllowed="1" showAll="0">
      <items count="4">
        <item x="0"/>
        <item h="1" x="1"/>
        <item h="1" x="2"/>
        <item t="default"/>
      </items>
    </pivotField>
  </pivotFields>
  <rowFields count="3">
    <field x="1"/>
    <field x="4"/>
    <field x="3"/>
  </rowFields>
  <rowItems count="147">
    <i>
      <x/>
      <x v="19"/>
      <x v="1"/>
    </i>
    <i r="2">
      <x v="3"/>
    </i>
    <i t="default">
      <x/>
    </i>
    <i>
      <x v="1"/>
      <x v="20"/>
      <x/>
    </i>
    <i r="2">
      <x v="2"/>
    </i>
    <i r="2">
      <x v="4"/>
    </i>
    <i r="1">
      <x v="21"/>
      <x/>
    </i>
    <i r="2">
      <x v="4"/>
    </i>
    <i r="1">
      <x v="22"/>
      <x/>
    </i>
    <i r="2">
      <x v="1"/>
    </i>
    <i r="2">
      <x v="2"/>
    </i>
    <i r="2">
      <x v="3"/>
    </i>
    <i r="2">
      <x v="4"/>
    </i>
    <i r="1">
      <x v="23"/>
      <x/>
    </i>
    <i r="2">
      <x v="1"/>
    </i>
    <i r="2">
      <x v="2"/>
    </i>
    <i r="2">
      <x v="3"/>
    </i>
    <i r="2">
      <x v="4"/>
    </i>
    <i r="1">
      <x v="24"/>
      <x/>
    </i>
    <i r="2">
      <x v="1"/>
    </i>
    <i r="2">
      <x v="2"/>
    </i>
    <i r="2">
      <x v="3"/>
    </i>
    <i r="2">
      <x v="4"/>
    </i>
    <i r="1">
      <x v="25"/>
      <x/>
    </i>
    <i r="2">
      <x v="1"/>
    </i>
    <i r="2">
      <x v="2"/>
    </i>
    <i r="2">
      <x v="3"/>
    </i>
    <i r="2">
      <x v="4"/>
    </i>
    <i r="1">
      <x v="26"/>
      <x/>
    </i>
    <i r="2">
      <x v="2"/>
    </i>
    <i r="2">
      <x v="4"/>
    </i>
    <i r="1">
      <x v="27"/>
      <x/>
    </i>
    <i r="2">
      <x v="4"/>
    </i>
    <i r="1">
      <x v="28"/>
      <x/>
    </i>
    <i r="2">
      <x v="2"/>
    </i>
    <i r="2">
      <x v="4"/>
    </i>
    <i r="1">
      <x v="29"/>
      <x/>
    </i>
    <i r="2">
      <x v="2"/>
    </i>
    <i r="2">
      <x v="4"/>
    </i>
    <i r="1">
      <x v="30"/>
      <x v="2"/>
    </i>
    <i r="2">
      <x v="4"/>
    </i>
    <i r="1">
      <x v="31"/>
      <x/>
    </i>
    <i r="2">
      <x v="2"/>
    </i>
    <i r="2">
      <x v="4"/>
    </i>
    <i r="1">
      <x v="32"/>
      <x/>
    </i>
    <i r="2">
      <x v="2"/>
    </i>
    <i r="1">
      <x v="33"/>
      <x/>
    </i>
    <i r="2">
      <x v="4"/>
    </i>
    <i r="1">
      <x v="34"/>
      <x/>
    </i>
    <i r="2">
      <x v="2"/>
    </i>
    <i r="2">
      <x v="4"/>
    </i>
    <i r="1">
      <x v="35"/>
      <x v="4"/>
    </i>
    <i r="1">
      <x v="36"/>
      <x/>
    </i>
    <i r="2">
      <x v="2"/>
    </i>
    <i r="1">
      <x v="37"/>
      <x v="2"/>
    </i>
    <i r="2">
      <x v="4"/>
    </i>
    <i r="1">
      <x v="38"/>
      <x/>
    </i>
    <i r="1">
      <x v="60"/>
      <x v="1"/>
    </i>
    <i r="2">
      <x v="3"/>
    </i>
    <i t="default">
      <x v="1"/>
    </i>
    <i>
      <x v="2"/>
      <x/>
      <x v="2"/>
    </i>
    <i r="2">
      <x v="4"/>
    </i>
    <i r="1">
      <x v="1"/>
      <x v="2"/>
    </i>
    <i r="2">
      <x v="4"/>
    </i>
    <i r="1">
      <x v="2"/>
      <x v="1"/>
    </i>
    <i r="2">
      <x v="2"/>
    </i>
    <i r="2">
      <x v="3"/>
    </i>
    <i r="2">
      <x v="4"/>
    </i>
    <i r="1">
      <x v="3"/>
      <x v="2"/>
    </i>
    <i r="2">
      <x v="4"/>
    </i>
    <i r="1">
      <x v="4"/>
      <x v="2"/>
    </i>
    <i r="1">
      <x v="5"/>
      <x v="2"/>
    </i>
    <i r="2">
      <x v="4"/>
    </i>
    <i r="1">
      <x v="6"/>
      <x v="2"/>
    </i>
    <i r="2">
      <x v="4"/>
    </i>
    <i r="1">
      <x v="7"/>
      <x v="4"/>
    </i>
    <i r="1">
      <x v="8"/>
      <x v="4"/>
    </i>
    <i r="1">
      <x v="9"/>
      <x v="2"/>
    </i>
    <i r="2">
      <x v="4"/>
    </i>
    <i r="1">
      <x v="10"/>
      <x v="2"/>
    </i>
    <i r="1">
      <x v="11"/>
      <x v="2"/>
    </i>
    <i r="2">
      <x v="4"/>
    </i>
    <i r="1">
      <x v="12"/>
      <x v="2"/>
    </i>
    <i r="2">
      <x v="4"/>
    </i>
    <i r="1">
      <x v="13"/>
      <x v="4"/>
    </i>
    <i r="1">
      <x v="65"/>
      <x v="2"/>
    </i>
    <i r="2">
      <x v="4"/>
    </i>
    <i t="default">
      <x v="2"/>
    </i>
    <i>
      <x v="3"/>
      <x v="53"/>
      <x/>
    </i>
    <i r="2">
      <x v="1"/>
    </i>
    <i r="2">
      <x v="2"/>
    </i>
    <i r="2">
      <x v="3"/>
    </i>
    <i r="2">
      <x v="4"/>
    </i>
    <i r="1">
      <x v="54"/>
      <x/>
    </i>
    <i r="2">
      <x v="1"/>
    </i>
    <i r="2">
      <x v="2"/>
    </i>
    <i r="2">
      <x v="3"/>
    </i>
    <i r="2">
      <x v="4"/>
    </i>
    <i r="1">
      <x v="55"/>
      <x/>
    </i>
    <i r="2">
      <x v="2"/>
    </i>
    <i r="2">
      <x v="4"/>
    </i>
    <i r="1">
      <x v="57"/>
      <x/>
    </i>
    <i r="2">
      <x v="2"/>
    </i>
    <i r="2">
      <x v="4"/>
    </i>
    <i r="1">
      <x v="58"/>
      <x/>
    </i>
    <i r="2">
      <x v="2"/>
    </i>
    <i r="2">
      <x v="4"/>
    </i>
    <i t="default">
      <x v="3"/>
    </i>
    <i>
      <x v="4"/>
      <x v="39"/>
      <x/>
    </i>
    <i r="2">
      <x v="2"/>
    </i>
    <i r="2">
      <x v="4"/>
    </i>
    <i r="1">
      <x v="40"/>
      <x/>
    </i>
    <i r="2">
      <x v="2"/>
    </i>
    <i r="2">
      <x v="4"/>
    </i>
    <i r="1">
      <x v="41"/>
      <x/>
    </i>
    <i r="2">
      <x v="2"/>
    </i>
    <i r="2">
      <x v="4"/>
    </i>
    <i r="1">
      <x v="44"/>
      <x/>
    </i>
    <i r="2">
      <x v="2"/>
    </i>
    <i r="2">
      <x v="4"/>
    </i>
    <i r="1">
      <x v="45"/>
      <x/>
    </i>
    <i r="2">
      <x v="2"/>
    </i>
    <i r="2">
      <x v="4"/>
    </i>
    <i r="1">
      <x v="48"/>
      <x/>
    </i>
    <i r="2">
      <x v="2"/>
    </i>
    <i r="2">
      <x v="4"/>
    </i>
    <i r="1">
      <x v="49"/>
      <x/>
    </i>
    <i r="2">
      <x v="2"/>
    </i>
    <i r="2">
      <x v="4"/>
    </i>
    <i r="1">
      <x v="50"/>
      <x/>
    </i>
    <i r="2">
      <x v="4"/>
    </i>
    <i t="default">
      <x v="4"/>
    </i>
    <i>
      <x v="5"/>
      <x v="16"/>
      <x/>
    </i>
    <i r="2">
      <x v="2"/>
    </i>
    <i r="2">
      <x v="4"/>
    </i>
    <i r="1">
      <x v="17"/>
      <x/>
    </i>
    <i r="2">
      <x v="2"/>
    </i>
    <i r="2">
      <x v="4"/>
    </i>
    <i r="1">
      <x v="18"/>
      <x/>
    </i>
    <i r="2">
      <x v="2"/>
    </i>
    <i r="2">
      <x v="4"/>
    </i>
    <i r="1">
      <x v="59"/>
      <x v="1"/>
    </i>
    <i r="2">
      <x v="3"/>
    </i>
    <i r="1">
      <x v="63"/>
      <x v="1"/>
    </i>
    <i r="2">
      <x v="3"/>
    </i>
    <i t="default">
      <x v="5"/>
    </i>
    <i t="grand">
      <x/>
    </i>
  </rowItems>
  <colFields count="1">
    <field x="-2"/>
  </colFields>
  <colItems count="2">
    <i>
      <x/>
    </i>
    <i i="1">
      <x v="1"/>
    </i>
  </colItems>
  <pageFields count="1">
    <pageField fld="8"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D00-00001B000000}" name="xRed 3" cacheId="32" applyNumberFormats="0" applyBorderFormats="0" applyFontFormats="0" applyPatternFormats="0" applyAlignmentFormats="0" applyWidthHeightFormats="0" dataCaption="" updatedVersion="8" colGrandTotals="0" compact="0" compactData="0">
  <location ref="C84:G90" firstHeaderRow="1" firstDataRow="3" firstDataCol="1" rowPageCount="1" colPageCount="1"/>
  <pivotFields count="9">
    <pivotField name="Estudiante" compact="0" outline="0" multipleItemSelectionAllowed="1" showAll="0"/>
    <pivotField name="Región" axis="axisPage" compact="0" outline="0" multipleItemSelectionAllowed="1" showAll="0">
      <items count="7">
        <item x="0"/>
        <item h="1" x="1"/>
        <item h="1" x="2"/>
        <item h="1" x="3"/>
        <item h="1" x="4"/>
        <item h="1" x="5"/>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4">
    <i>
      <x v="1"/>
      <x/>
    </i>
    <i r="1" i="1">
      <x v="1"/>
    </i>
    <i>
      <x v="2"/>
      <x/>
    </i>
    <i r="1" i="1">
      <x v="1"/>
    </i>
  </colItems>
  <pageFields count="1">
    <pageField fld="1"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D00-00001A000000}" name="xRed 4" cacheId="32" applyNumberFormats="0" applyBorderFormats="0" applyFontFormats="0" applyPatternFormats="0" applyAlignmentFormats="0" applyWidthHeightFormats="0" dataCaption="" updatedVersion="8" colGrandTotals="0" compact="0" compactData="0">
  <location ref="C112:I117" firstHeaderRow="1" firstDataRow="3" firstDataCol="1" rowPageCount="1" colPageCount="1"/>
  <pivotFields count="9">
    <pivotField name="Estudiante" compact="0" outline="0" multipleItemSelectionAllowed="1" showAll="0"/>
    <pivotField name="Región" axis="axisPage" compact="0" outline="0" multipleItemSelectionAllowed="1" showAll="0">
      <items count="7">
        <item h="1" x="0"/>
        <item h="1" x="1"/>
        <item h="1" x="2"/>
        <item h="1" x="3"/>
        <item x="4"/>
        <item h="1" x="5"/>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3">
    <i>
      <x/>
    </i>
    <i>
      <x v="1"/>
    </i>
    <i t="grand">
      <x/>
    </i>
  </rowItems>
  <colFields count="2">
    <field x="8"/>
    <field x="-2"/>
  </colFields>
  <colItems count="6">
    <i>
      <x/>
      <x/>
    </i>
    <i r="1" i="1">
      <x v="1"/>
    </i>
    <i>
      <x v="1"/>
      <x/>
    </i>
    <i r="1" i="1">
      <x v="1"/>
    </i>
    <i>
      <x v="2"/>
      <x/>
    </i>
    <i r="1" i="1">
      <x v="1"/>
    </i>
  </colItems>
  <pageFields count="1">
    <pageField fld="1"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D00-000019000000}" name="xRed 5" cacheId="32" applyNumberFormats="0" applyBorderFormats="0" applyFontFormats="0" applyPatternFormats="0" applyAlignmentFormats="0" applyWidthHeightFormats="0" dataCaption="" updatedVersion="8" colGrandTotals="0" compact="0" compactData="0">
  <location ref="C142:I148" firstHeaderRow="1" firstDataRow="3" firstDataCol="1" rowPageCount="1" colPageCount="1"/>
  <pivotFields count="9">
    <pivotField name="Estudiante" compact="0" outline="0" multipleItemSelectionAllowed="1" showAll="0"/>
    <pivotField name="Región" axis="axisPage" compact="0" outline="0" multipleItemSelectionAllowed="1" showAll="0">
      <items count="7">
        <item h="1" x="0"/>
        <item x="1"/>
        <item h="1" x="2"/>
        <item h="1" x="3"/>
        <item h="1" x="4"/>
        <item h="1" x="5"/>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1"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D00-000018000000}" name="xRed 6" cacheId="32" applyNumberFormats="0" applyBorderFormats="0" applyFontFormats="0" applyPatternFormats="0" applyAlignmentFormats="0" applyWidthHeightFormats="0" dataCaption="" updatedVersion="8" colGrandTotals="0" compact="0" compactData="0">
  <location ref="C169:I175" firstHeaderRow="1" firstDataRow="3" firstDataCol="1" rowPageCount="1" colPageCount="1"/>
  <pivotFields count="9">
    <pivotField name="Estudiante" compact="0" outline="0" multipleItemSelectionAllowed="1" showAll="0"/>
    <pivotField name="Región" axis="axisPage" compact="0" outline="0" multipleItemSelectionAllowed="1" showAll="0">
      <items count="7">
        <item h="1" x="0"/>
        <item h="1" x="1"/>
        <item x="2"/>
        <item h="1" x="3"/>
        <item h="1" x="4"/>
        <item h="1" x="5"/>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1"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D00-000017000000}" name="xRed" cacheId="32" applyNumberFormats="0" applyBorderFormats="0" applyFontFormats="0" applyPatternFormats="0" applyAlignmentFormats="0" applyWidthHeightFormats="0" dataCaption="" updatedVersion="8" colGrandTotals="0" compact="0" compactData="0">
  <location ref="C20:E26" firstHeaderRow="1" firstDataRow="3" firstDataCol="1" rowPageCount="1" colPageCount="1"/>
  <pivotFields count="9">
    <pivotField name="Estudiante" compact="0" outline="0" multipleItemSelectionAllowed="1" showAll="0"/>
    <pivotField name="Región" axis="axisPage" compact="0" outline="0" multipleItemSelectionAllowed="1" showAll="0">
      <items count="7">
        <item h="1" x="0"/>
        <item h="1" x="1"/>
        <item h="1" x="2"/>
        <item h="1" x="3"/>
        <item h="1" x="4"/>
        <item x="5"/>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2">
    <i>
      <x v="2"/>
      <x/>
    </i>
    <i r="1" i="1">
      <x v="1"/>
    </i>
  </colItems>
  <pageFields count="1">
    <pageField fld="1"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D00-000016000000}" name="xRed 2" cacheId="32" applyNumberFormats="0" applyBorderFormats="0" applyFontFormats="0" applyPatternFormats="0" applyAlignmentFormats="0" applyWidthHeightFormats="0" dataCaption="" updatedVersion="8" colGrandTotals="0" compact="0" compactData="0">
  <location ref="C52:I58" firstHeaderRow="1" firstDataRow="3" firstDataCol="1" rowPageCount="1" colPageCount="1"/>
  <pivotFields count="9">
    <pivotField name="Estudiante" compact="0" outline="0" multipleItemSelectionAllowed="1" showAll="0"/>
    <pivotField name="Región" axis="axisPage" compact="0" outline="0" multipleItemSelectionAllowed="1" showAll="0">
      <items count="7">
        <item h="1" x="0"/>
        <item h="1" x="1"/>
        <item h="1" x="2"/>
        <item x="3"/>
        <item h="1" x="4"/>
        <item h="1" x="5"/>
        <item t="default"/>
      </items>
    </pivotField>
    <pivotField name="Nivel" compact="0" outline="0" multipleItemSelectionAllowed="1" showAll="0"/>
    <pivotField name="Grado" compact="0" outline="0" multipleItemSelectionAllowed="1" showAll="0"/>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1"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E00-000021000000}" name="XGrado 3" cacheId="32" applyNumberFormats="0" applyBorderFormats="0" applyFontFormats="0" applyPatternFormats="0" applyAlignmentFormats="0" applyWidthHeightFormats="0" dataCaption="" updatedVersion="8" colGrandTotals="0" compact="0" compactData="0">
  <location ref="C88:I94" firstHeaderRow="1" firstDataRow="3"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6">
        <item x="0"/>
        <item h="1" x="1"/>
        <item h="1" x="2"/>
        <item h="1" x="3"/>
        <item h="1" x="4"/>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3"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E00-000020000000}" name="XGrado 4" cacheId="32" applyNumberFormats="0" applyBorderFormats="0" applyFontFormats="0" applyPatternFormats="0" applyAlignmentFormats="0" applyWidthHeightFormats="0" dataCaption="" updatedVersion="8" colGrandTotals="0" compact="0" compactData="0">
  <location ref="C121:I127" firstHeaderRow="1" firstDataRow="3"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6">
        <item h="1" x="0"/>
        <item x="1"/>
        <item h="1" x="2"/>
        <item h="1" x="3"/>
        <item h="1" x="4"/>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3"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E00-00001F000000}" name="XGrado 5" cacheId="32" applyNumberFormats="0" applyBorderFormats="0" applyFontFormats="0" applyPatternFormats="0" applyAlignmentFormats="0" applyWidthHeightFormats="0" dataCaption="" updatedVersion="8" colGrandTotals="0" compact="0" compactData="0">
  <location ref="C151:I157" firstHeaderRow="1" firstDataRow="3"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6">
        <item h="1" x="0"/>
        <item h="1" x="1"/>
        <item x="2"/>
        <item h="1" x="3"/>
        <item h="1" x="4"/>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3"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E00-00001E000000}" name="XGrado 6" cacheId="32" applyNumberFormats="0" applyBorderFormats="0" applyFontFormats="0" applyPatternFormats="0" applyAlignmentFormats="0" applyWidthHeightFormats="0" dataCaption="" updatedVersion="8" colGrandTotals="0" compact="0" compactData="0">
  <location ref="C185:I191" firstHeaderRow="1" firstDataRow="3"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6">
        <item h="1" x="0"/>
        <item h="1" x="1"/>
        <item h="1" x="2"/>
        <item x="3"/>
        <item h="1" x="4"/>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3"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E00-00001D000000}" name="XGrado" cacheId="18" applyNumberFormats="0" applyBorderFormats="0" applyFontFormats="0" applyPatternFormats="0" applyAlignmentFormats="0" applyWidthHeightFormats="0" dataCaption="" updatedVersion="8" colGrandTotals="0" compact="0" compactData="0">
  <location ref="C24:G29" firstHeaderRow="1" firstDataRow="3"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7">
        <item h="1" x="0"/>
        <item h="1" x="1"/>
        <item h="1" x="2"/>
        <item h="1" x="3"/>
        <item h="1" x="4"/>
        <item x="5"/>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3">
    <i>
      <x/>
    </i>
    <i>
      <x v="1"/>
    </i>
    <i t="grand">
      <x/>
    </i>
  </rowItems>
  <colFields count="2">
    <field x="8"/>
    <field x="-2"/>
  </colFields>
  <colItems count="4">
    <i>
      <x/>
      <x/>
    </i>
    <i r="1" i="1">
      <x v="1"/>
    </i>
    <i>
      <x v="2"/>
      <x/>
    </i>
    <i r="1" i="1">
      <x v="1"/>
    </i>
  </colItems>
  <pageFields count="1">
    <pageField fld="3"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0E00-00001C000000}" name="XGrado 2" cacheId="32" applyNumberFormats="0" applyBorderFormats="0" applyFontFormats="0" applyPatternFormats="0" applyAlignmentFormats="0" applyWidthHeightFormats="0" dataCaption="" updatedVersion="8" colGrandTotals="0" compact="0" compactData="0">
  <location ref="C57:I63" firstHeaderRow="1" firstDataRow="3" firstDataCol="1" rowPageCount="1" colPageCount="1"/>
  <pivotFields count="9">
    <pivotField name="Estudiante" compact="0" outline="0" multipleItemSelectionAllowed="1" showAll="0"/>
    <pivotField name="Región" compact="0" outline="0" multipleItemSelectionAllowed="1" showAll="0"/>
    <pivotField name="Nivel" compact="0" outline="0" multipleItemSelectionAllowed="1" showAll="0"/>
    <pivotField name="Grado" axis="axisPage" compact="0" outline="0" multipleItemSelectionAllowed="1" showAll="0">
      <items count="6">
        <item h="1" x="0"/>
        <item h="1" x="1"/>
        <item h="1" x="2"/>
        <item h="1" x="3"/>
        <item x="4"/>
        <item t="default"/>
      </items>
    </pivotField>
    <pivotField name="Institución Educativa" compact="0" numFmtId="49" outline="0" multipleItemSelectionAllowed="1" showAll="0"/>
    <pivotField name="Ambito" compact="0" numFmtId="49" outline="0" multipleItemSelectionAllowed="1" showAll="0"/>
    <pivotField name="Sexo" compact="0" outline="0" multipleItemSelectionAllowed="1" showAll="0"/>
    <pivotField name="R Producción de textos" axis="axisRow" dataField="1" compact="0" numFmtId="49" outline="0" multipleItemSelectionAllowed="1" showAll="0" sortType="ascending">
      <items count="4">
        <item x="0"/>
        <item x="1"/>
        <item x="2"/>
        <item t="default"/>
      </items>
    </pivotField>
    <pivotField name="Año" axis="axisCol" compact="0" outline="0" multipleItemSelectionAllowed="1" showAll="0" sortType="ascending">
      <items count="4">
        <item x="1"/>
        <item x="2"/>
        <item x="0"/>
        <item t="default"/>
      </items>
    </pivotField>
  </pivotFields>
  <rowFields count="1">
    <field x="7"/>
  </rowFields>
  <rowItems count="4">
    <i>
      <x/>
    </i>
    <i>
      <x v="1"/>
    </i>
    <i>
      <x v="2"/>
    </i>
    <i t="grand">
      <x/>
    </i>
  </rowItems>
  <colFields count="2">
    <field x="8"/>
    <field x="-2"/>
  </colFields>
  <colItems count="6">
    <i>
      <x/>
      <x/>
    </i>
    <i r="1" i="1">
      <x v="1"/>
    </i>
    <i>
      <x v="1"/>
      <x/>
    </i>
    <i r="1" i="1">
      <x v="1"/>
    </i>
    <i>
      <x v="2"/>
      <x/>
    </i>
    <i r="1" i="1">
      <x v="1"/>
    </i>
  </colItems>
  <pageFields count="1">
    <pageField fld="3" hier="0"/>
  </pageFields>
  <dataFields count="2">
    <dataField name="COUNTA of R Producción de textos" fld="7" subtotal="count" baseField="0"/>
    <dataField name="COUNTA of R Producción de textos"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D50" headerRowCount="0">
  <tableColumns count="5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s>
  <tableStyleInfo name="Datos2-En proceso-2022-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5.xml"/><Relationship Id="rId7" Type="http://schemas.openxmlformats.org/officeDocument/2006/relationships/drawing" Target="../drawings/drawing3.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1.xml"/><Relationship Id="rId7" Type="http://schemas.openxmlformats.org/officeDocument/2006/relationships/drawing" Target="../drawings/drawing4.xml"/><Relationship Id="rId2" Type="http://schemas.openxmlformats.org/officeDocument/2006/relationships/pivotTable" Target="../pivotTables/pivotTable30.xml"/><Relationship Id="rId1" Type="http://schemas.openxmlformats.org/officeDocument/2006/relationships/pivotTable" Target="../pivotTables/pivotTable29.xml"/><Relationship Id="rId6" Type="http://schemas.openxmlformats.org/officeDocument/2006/relationships/pivotTable" Target="../pivotTables/pivotTable34.xml"/><Relationship Id="rId5" Type="http://schemas.openxmlformats.org/officeDocument/2006/relationships/pivotTable" Target="../pivotTables/pivotTable33.xml"/><Relationship Id="rId4" Type="http://schemas.openxmlformats.org/officeDocument/2006/relationships/pivotTable" Target="../pivotTables/pivotTable3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135"/>
  </sheetPr>
  <dimension ref="A1:AJ2419"/>
  <sheetViews>
    <sheetView showGridLines="0" workbookViewId="0">
      <pane ySplit="1" topLeftCell="A2" activePane="bottomLeft" state="frozen"/>
      <selection pane="bottomLeft" activeCell="B3" sqref="B3"/>
    </sheetView>
  </sheetViews>
  <sheetFormatPr baseColWidth="10" defaultColWidth="12.6328125" defaultRowHeight="15.75" customHeight="1" x14ac:dyDescent="0.25"/>
  <cols>
    <col min="1" max="1" width="9.453125" customWidth="1"/>
    <col min="2" max="2" width="13.7265625" customWidth="1"/>
    <col min="3" max="3" width="9.36328125" customWidth="1"/>
    <col min="4" max="4" width="13.36328125" customWidth="1"/>
    <col min="5" max="5" width="28.6328125" customWidth="1"/>
    <col min="6" max="6" width="6.7265625" customWidth="1"/>
    <col min="7" max="7" width="8.453125" customWidth="1"/>
    <col min="8" max="8" width="7.36328125" customWidth="1"/>
    <col min="9" max="9" width="4.7265625" customWidth="1"/>
    <col min="10" max="12" width="28.6328125" customWidth="1"/>
    <col min="13" max="13" width="10.08984375" customWidth="1"/>
    <col min="14" max="36" width="4.36328125" customWidth="1"/>
  </cols>
  <sheetData>
    <row r="1" spans="1:36" ht="14.25" customHeight="1" x14ac:dyDescent="0.3">
      <c r="A1" s="1" t="s">
        <v>0</v>
      </c>
      <c r="B1" s="2" t="s">
        <v>1</v>
      </c>
      <c r="C1" s="2" t="s">
        <v>2</v>
      </c>
      <c r="D1" s="2" t="s">
        <v>3</v>
      </c>
      <c r="E1" s="2" t="s">
        <v>4</v>
      </c>
      <c r="F1" s="2" t="s">
        <v>5</v>
      </c>
      <c r="G1" s="2" t="s">
        <v>6</v>
      </c>
      <c r="H1" s="3" t="s">
        <v>7</v>
      </c>
      <c r="I1" s="2" t="s">
        <v>8</v>
      </c>
      <c r="J1" s="4" t="s">
        <v>9</v>
      </c>
      <c r="K1" s="4" t="s">
        <v>10</v>
      </c>
      <c r="L1" s="5" t="s">
        <v>11</v>
      </c>
      <c r="M1" s="6" t="s">
        <v>12</v>
      </c>
      <c r="N1" s="7"/>
      <c r="O1" s="8"/>
      <c r="P1" s="8"/>
      <c r="Q1" s="8"/>
      <c r="R1" s="8"/>
      <c r="S1" s="8"/>
      <c r="T1" s="8"/>
      <c r="U1" s="8"/>
      <c r="V1" s="8"/>
      <c r="W1" s="8"/>
      <c r="X1" s="8"/>
      <c r="Y1" s="8"/>
      <c r="Z1" s="8"/>
      <c r="AA1" s="8"/>
      <c r="AB1" s="8"/>
      <c r="AC1" s="8"/>
      <c r="AD1" s="8"/>
      <c r="AE1" s="8"/>
      <c r="AF1" s="8"/>
      <c r="AG1" s="8"/>
      <c r="AH1" s="8"/>
      <c r="AI1" s="8" t="s">
        <v>8</v>
      </c>
      <c r="AJ1" s="8" t="s">
        <v>13</v>
      </c>
    </row>
    <row r="2" spans="1:36" ht="14.25" customHeight="1" x14ac:dyDescent="0.3">
      <c r="A2" s="9">
        <v>1</v>
      </c>
      <c r="B2" s="10" t="s">
        <v>14</v>
      </c>
      <c r="C2" s="10" t="s">
        <v>15</v>
      </c>
      <c r="D2" s="10" t="s">
        <v>16</v>
      </c>
      <c r="E2" s="11" t="str">
        <f ca="1">IFERROR(__xludf.DUMMYFUNCTION("FILTER(Colegios!$B$2:$B2419,Colegios!$A$2:$A2419=L2)"),"14924 DANIEL ALCIDES CARRION")</f>
        <v>14924 DANIEL ALCIDES CARRION</v>
      </c>
      <c r="F2" s="11" t="s">
        <v>17</v>
      </c>
      <c r="G2" s="10" t="s">
        <v>18</v>
      </c>
      <c r="H2" s="11" t="s">
        <v>19</v>
      </c>
      <c r="I2" s="11" t="s">
        <v>20</v>
      </c>
      <c r="J2" s="12" t="str">
        <f ca="1">IFERROR(__xludf.DUMMYFUNCTION("FILTER('CLASFICACIÓN'!$F$3:$F2419,'CLASFICACIÓN'!$G$3:$G2419=M2)"),"SOLO 2024")</f>
        <v>SOLO 2024</v>
      </c>
      <c r="K2" s="12" t="s">
        <v>2011</v>
      </c>
      <c r="L2" s="11" t="s">
        <v>21</v>
      </c>
      <c r="M2" s="12" t="str">
        <f t="shared" ref="M2:M256" ca="1" si="0">E2&amp;D2</f>
        <v>14924 DANIEL ALCIDES CARRION4 Primaria</v>
      </c>
      <c r="N2" s="13" t="s">
        <v>22</v>
      </c>
      <c r="O2" s="11"/>
      <c r="P2" s="11"/>
      <c r="Q2" s="11"/>
      <c r="R2" s="11"/>
      <c r="S2" s="11"/>
      <c r="T2" s="11"/>
      <c r="U2" s="11"/>
      <c r="V2" s="11"/>
      <c r="W2" s="11"/>
      <c r="X2" s="11"/>
      <c r="Y2" s="11"/>
      <c r="Z2" s="11"/>
      <c r="AA2" s="11"/>
      <c r="AB2" s="11"/>
      <c r="AC2" s="11"/>
      <c r="AD2" s="11"/>
      <c r="AE2" s="11"/>
      <c r="AF2" s="11"/>
      <c r="AG2" s="11"/>
      <c r="AH2" s="11"/>
      <c r="AI2" s="11"/>
      <c r="AJ2" s="14">
        <f>COUNTA(A2:A2419)</f>
        <v>2418</v>
      </c>
    </row>
    <row r="3" spans="1:36" ht="14.25" customHeight="1" x14ac:dyDescent="0.25">
      <c r="A3" s="9">
        <v>2</v>
      </c>
      <c r="B3" s="10" t="s">
        <v>14</v>
      </c>
      <c r="C3" s="10" t="s">
        <v>15</v>
      </c>
      <c r="D3" s="10" t="s">
        <v>16</v>
      </c>
      <c r="E3" s="11" t="str">
        <f ca="1">IFERROR(__xludf.DUMMYFUNCTION("FILTER(Colegios!$B$2:$B2419,Colegios!$A$2:$A2419=L3)"),"14924 DANIEL ALCIDES CARRION")</f>
        <v>14924 DANIEL ALCIDES CARRION</v>
      </c>
      <c r="F3" s="11" t="s">
        <v>17</v>
      </c>
      <c r="G3" s="10" t="s">
        <v>18</v>
      </c>
      <c r="H3" s="11" t="s">
        <v>19</v>
      </c>
      <c r="I3" s="11" t="s">
        <v>20</v>
      </c>
      <c r="J3" s="12" t="str">
        <f ca="1">IFERROR(__xludf.DUMMYFUNCTION("FILTER('CLASFICACIÓN'!$F$3:$F2419,'CLASFICACIÓN'!$G$3:$G2419=M3)"),"SOLO 2024")</f>
        <v>SOLO 2024</v>
      </c>
      <c r="K3" s="12" t="s">
        <v>2011</v>
      </c>
      <c r="L3" s="11" t="s">
        <v>21</v>
      </c>
      <c r="M3" s="12" t="str">
        <f t="shared" ca="1" si="0"/>
        <v>14924 DANIEL ALCIDES CARRION4 Primaria</v>
      </c>
      <c r="N3" s="11"/>
      <c r="O3" s="11"/>
      <c r="P3" s="11"/>
      <c r="Q3" s="11"/>
      <c r="R3" s="11"/>
      <c r="S3" s="11"/>
      <c r="T3" s="11"/>
      <c r="U3" s="11"/>
      <c r="V3" s="11"/>
      <c r="W3" s="11"/>
      <c r="X3" s="11"/>
      <c r="Y3" s="11"/>
      <c r="Z3" s="11"/>
      <c r="AA3" s="11"/>
      <c r="AB3" s="11"/>
      <c r="AC3" s="11"/>
      <c r="AD3" s="11"/>
      <c r="AE3" s="11"/>
      <c r="AF3" s="11"/>
      <c r="AG3" s="11"/>
      <c r="AH3" s="11"/>
      <c r="AI3" s="11"/>
      <c r="AJ3" s="14"/>
    </row>
    <row r="4" spans="1:36" ht="14.25" customHeight="1" x14ac:dyDescent="0.25">
      <c r="A4" s="9">
        <v>3</v>
      </c>
      <c r="B4" s="10" t="s">
        <v>14</v>
      </c>
      <c r="C4" s="10" t="s">
        <v>15</v>
      </c>
      <c r="D4" s="10" t="s">
        <v>16</v>
      </c>
      <c r="E4" s="11" t="str">
        <f ca="1">IFERROR(__xludf.DUMMYFUNCTION("FILTER(Colegios!$B$2:$B2419,Colegios!$A$2:$A2419=L4)"),"14924 DANIEL ALCIDES CARRION")</f>
        <v>14924 DANIEL ALCIDES CARRION</v>
      </c>
      <c r="F4" s="11" t="s">
        <v>17</v>
      </c>
      <c r="G4" s="10" t="s">
        <v>18</v>
      </c>
      <c r="H4" s="11" t="s">
        <v>23</v>
      </c>
      <c r="I4" s="11" t="s">
        <v>20</v>
      </c>
      <c r="J4" s="12" t="str">
        <f ca="1">IFERROR(__xludf.DUMMYFUNCTION("FILTER('CLASFICACIÓN'!$F$3:$F2419,'CLASFICACIÓN'!$G$3:$G2419=M4)"),"SOLO 2024")</f>
        <v>SOLO 2024</v>
      </c>
      <c r="K4" s="12" t="s">
        <v>2011</v>
      </c>
      <c r="L4" s="11" t="s">
        <v>21</v>
      </c>
      <c r="M4" s="12" t="str">
        <f t="shared" ca="1" si="0"/>
        <v>14924 DANIEL ALCIDES CARRION4 Primaria</v>
      </c>
      <c r="N4" s="11"/>
      <c r="O4" s="11"/>
      <c r="P4" s="11"/>
      <c r="Q4" s="11"/>
      <c r="R4" s="11"/>
      <c r="S4" s="11"/>
      <c r="T4" s="11"/>
      <c r="U4" s="11"/>
      <c r="V4" s="11"/>
      <c r="W4" s="11"/>
      <c r="X4" s="11"/>
      <c r="Y4" s="11"/>
      <c r="Z4" s="11"/>
      <c r="AA4" s="11"/>
      <c r="AB4" s="11"/>
      <c r="AC4" s="11"/>
      <c r="AD4" s="11"/>
      <c r="AE4" s="11"/>
      <c r="AF4" s="11"/>
      <c r="AG4" s="11"/>
      <c r="AH4" s="11"/>
      <c r="AI4" s="11"/>
      <c r="AJ4" s="14"/>
    </row>
    <row r="5" spans="1:36" ht="14.25" customHeight="1" x14ac:dyDescent="0.25">
      <c r="A5" s="9">
        <v>4</v>
      </c>
      <c r="B5" s="10" t="s">
        <v>14</v>
      </c>
      <c r="C5" s="10" t="s">
        <v>15</v>
      </c>
      <c r="D5" s="10" t="s">
        <v>16</v>
      </c>
      <c r="E5" s="11" t="str">
        <f ca="1">IFERROR(__xludf.DUMMYFUNCTION("FILTER(Colegios!$B$2:$B2419,Colegios!$A$2:$A2419=L5)"),"14924 DANIEL ALCIDES CARRION")</f>
        <v>14924 DANIEL ALCIDES CARRION</v>
      </c>
      <c r="F5" s="11" t="s">
        <v>17</v>
      </c>
      <c r="G5" s="10" t="s">
        <v>24</v>
      </c>
      <c r="H5" s="11" t="s">
        <v>23</v>
      </c>
      <c r="I5" s="11" t="s">
        <v>20</v>
      </c>
      <c r="J5" s="12" t="str">
        <f ca="1">IFERROR(__xludf.DUMMYFUNCTION("FILTER('CLASFICACIÓN'!$F$3:$F2419,'CLASFICACIÓN'!$G$3:$G2419=M5)"),"SOLO 2024")</f>
        <v>SOLO 2024</v>
      </c>
      <c r="K5" s="12" t="s">
        <v>2011</v>
      </c>
      <c r="L5" s="11" t="s">
        <v>21</v>
      </c>
      <c r="M5" s="12" t="str">
        <f t="shared" ca="1" si="0"/>
        <v>14924 DANIEL ALCIDES CARRION4 Primaria</v>
      </c>
      <c r="N5" s="11"/>
      <c r="O5" s="11"/>
      <c r="P5" s="11"/>
      <c r="Q5" s="11"/>
      <c r="R5" s="11"/>
      <c r="S5" s="11"/>
      <c r="T5" s="11"/>
      <c r="U5" s="11"/>
      <c r="V5" s="11"/>
      <c r="W5" s="11"/>
      <c r="X5" s="11"/>
      <c r="Y5" s="11"/>
      <c r="Z5" s="11"/>
      <c r="AA5" s="11"/>
      <c r="AB5" s="11"/>
      <c r="AC5" s="11"/>
      <c r="AD5" s="11"/>
      <c r="AE5" s="11"/>
      <c r="AF5" s="11"/>
      <c r="AG5" s="11"/>
      <c r="AH5" s="11"/>
      <c r="AI5" s="11"/>
      <c r="AJ5" s="14"/>
    </row>
    <row r="6" spans="1:36" ht="14.25" customHeight="1" x14ac:dyDescent="0.25">
      <c r="A6" s="9">
        <v>5</v>
      </c>
      <c r="B6" s="10" t="s">
        <v>14</v>
      </c>
      <c r="C6" s="10" t="s">
        <v>15</v>
      </c>
      <c r="D6" s="10" t="s">
        <v>16</v>
      </c>
      <c r="E6" s="11" t="str">
        <f ca="1">IFERROR(__xludf.DUMMYFUNCTION("FILTER(Colegios!$B$2:$B2419,Colegios!$A$2:$A2419=L6)"),"14924 DANIEL ALCIDES CARRION")</f>
        <v>14924 DANIEL ALCIDES CARRION</v>
      </c>
      <c r="F6" s="11" t="s">
        <v>17</v>
      </c>
      <c r="G6" s="10" t="s">
        <v>18</v>
      </c>
      <c r="H6" s="11" t="s">
        <v>23</v>
      </c>
      <c r="I6" s="11" t="s">
        <v>20</v>
      </c>
      <c r="J6" s="12" t="str">
        <f ca="1">IFERROR(__xludf.DUMMYFUNCTION("FILTER('CLASFICACIÓN'!$F$3:$F2419,'CLASFICACIÓN'!$G$3:$G2419=M6)"),"SOLO 2024")</f>
        <v>SOLO 2024</v>
      </c>
      <c r="K6" s="12" t="s">
        <v>2011</v>
      </c>
      <c r="L6" s="11" t="s">
        <v>21</v>
      </c>
      <c r="M6" s="12" t="str">
        <f t="shared" ca="1" si="0"/>
        <v>14924 DANIEL ALCIDES CARRION4 Primaria</v>
      </c>
      <c r="N6" s="11"/>
      <c r="O6" s="11"/>
      <c r="P6" s="11"/>
      <c r="Q6" s="11"/>
      <c r="R6" s="11"/>
      <c r="S6" s="11"/>
      <c r="T6" s="11"/>
      <c r="U6" s="11"/>
      <c r="V6" s="11"/>
      <c r="W6" s="11"/>
      <c r="X6" s="11"/>
      <c r="Y6" s="11"/>
      <c r="Z6" s="11"/>
      <c r="AA6" s="11"/>
      <c r="AB6" s="11"/>
      <c r="AC6" s="11"/>
      <c r="AD6" s="11"/>
      <c r="AE6" s="11"/>
      <c r="AF6" s="11"/>
      <c r="AG6" s="11"/>
      <c r="AH6" s="11"/>
      <c r="AI6" s="11"/>
      <c r="AJ6" s="14"/>
    </row>
    <row r="7" spans="1:36" ht="14.25" customHeight="1" x14ac:dyDescent="0.25">
      <c r="A7" s="9">
        <v>6</v>
      </c>
      <c r="B7" s="10" t="s">
        <v>14</v>
      </c>
      <c r="C7" s="10" t="s">
        <v>15</v>
      </c>
      <c r="D7" s="10" t="s">
        <v>16</v>
      </c>
      <c r="E7" s="11" t="str">
        <f ca="1">IFERROR(__xludf.DUMMYFUNCTION("FILTER(Colegios!$B$2:$B2419,Colegios!$A$2:$A2419=L7)"),"14924 DANIEL ALCIDES CARRION")</f>
        <v>14924 DANIEL ALCIDES CARRION</v>
      </c>
      <c r="F7" s="11" t="s">
        <v>17</v>
      </c>
      <c r="G7" s="10" t="s">
        <v>24</v>
      </c>
      <c r="H7" s="11" t="s">
        <v>19</v>
      </c>
      <c r="I7" s="11" t="s">
        <v>20</v>
      </c>
      <c r="J7" s="12" t="str">
        <f ca="1">IFERROR(__xludf.DUMMYFUNCTION("FILTER('CLASFICACIÓN'!$F$3:$F2419,'CLASFICACIÓN'!$G$3:$G2419=M7)"),"SOLO 2024")</f>
        <v>SOLO 2024</v>
      </c>
      <c r="K7" s="12" t="s">
        <v>2011</v>
      </c>
      <c r="L7" s="11" t="s">
        <v>21</v>
      </c>
      <c r="M7" s="12" t="str">
        <f t="shared" ca="1" si="0"/>
        <v>14924 DANIEL ALCIDES CARRION4 Primaria</v>
      </c>
      <c r="N7" s="11"/>
      <c r="O7" s="11"/>
      <c r="P7" s="11"/>
      <c r="Q7" s="11"/>
      <c r="R7" s="11"/>
      <c r="S7" s="11"/>
      <c r="T7" s="11"/>
      <c r="U7" s="11"/>
      <c r="V7" s="11"/>
      <c r="W7" s="11"/>
      <c r="X7" s="11"/>
      <c r="Y7" s="11"/>
      <c r="Z7" s="11"/>
      <c r="AA7" s="11"/>
      <c r="AB7" s="11"/>
      <c r="AC7" s="11"/>
      <c r="AD7" s="11"/>
      <c r="AE7" s="11"/>
      <c r="AF7" s="11"/>
      <c r="AG7" s="11"/>
      <c r="AH7" s="11"/>
      <c r="AI7" s="11"/>
      <c r="AJ7" s="14"/>
    </row>
    <row r="8" spans="1:36" ht="14.25" customHeight="1" x14ac:dyDescent="0.25">
      <c r="A8" s="9">
        <v>7</v>
      </c>
      <c r="B8" s="10" t="s">
        <v>14</v>
      </c>
      <c r="C8" s="10" t="s">
        <v>15</v>
      </c>
      <c r="D8" s="10" t="s">
        <v>16</v>
      </c>
      <c r="E8" s="11" t="str">
        <f ca="1">IFERROR(__xludf.DUMMYFUNCTION("FILTER(Colegios!$B$2:$B2419,Colegios!$A$2:$A2419=L8)"),"14924 DANIEL ALCIDES CARRION")</f>
        <v>14924 DANIEL ALCIDES CARRION</v>
      </c>
      <c r="F8" s="11" t="s">
        <v>17</v>
      </c>
      <c r="G8" s="10" t="s">
        <v>24</v>
      </c>
      <c r="H8" s="11" t="s">
        <v>19</v>
      </c>
      <c r="I8" s="11" t="s">
        <v>20</v>
      </c>
      <c r="J8" s="12" t="str">
        <f ca="1">IFERROR(__xludf.DUMMYFUNCTION("FILTER('CLASFICACIÓN'!$F$3:$F2419,'CLASFICACIÓN'!$G$3:$G2419=M8)"),"SOLO 2024")</f>
        <v>SOLO 2024</v>
      </c>
      <c r="K8" s="12" t="s">
        <v>2011</v>
      </c>
      <c r="L8" s="11" t="s">
        <v>21</v>
      </c>
      <c r="M8" s="12" t="str">
        <f t="shared" ca="1" si="0"/>
        <v>14924 DANIEL ALCIDES CARRION4 Primaria</v>
      </c>
      <c r="N8" s="11"/>
      <c r="O8" s="11"/>
      <c r="P8" s="11"/>
      <c r="Q8" s="11"/>
      <c r="R8" s="11"/>
      <c r="S8" s="11"/>
      <c r="T8" s="11"/>
      <c r="U8" s="11"/>
      <c r="V8" s="11"/>
      <c r="W8" s="11"/>
      <c r="X8" s="11"/>
      <c r="Y8" s="11"/>
      <c r="Z8" s="11"/>
      <c r="AA8" s="11"/>
      <c r="AB8" s="11"/>
      <c r="AC8" s="11"/>
      <c r="AD8" s="11"/>
      <c r="AE8" s="11"/>
      <c r="AF8" s="11"/>
      <c r="AG8" s="11"/>
      <c r="AH8" s="11"/>
      <c r="AI8" s="11"/>
      <c r="AJ8" s="14"/>
    </row>
    <row r="9" spans="1:36" ht="14.25" customHeight="1" x14ac:dyDescent="0.25">
      <c r="A9" s="9">
        <v>8</v>
      </c>
      <c r="B9" s="10" t="s">
        <v>14</v>
      </c>
      <c r="C9" s="10" t="s">
        <v>15</v>
      </c>
      <c r="D9" s="10" t="s">
        <v>16</v>
      </c>
      <c r="E9" s="11" t="str">
        <f ca="1">IFERROR(__xludf.DUMMYFUNCTION("FILTER(Colegios!$B$2:$B2419,Colegios!$A$2:$A2419=L9)"),"14924 DANIEL ALCIDES CARRION")</f>
        <v>14924 DANIEL ALCIDES CARRION</v>
      </c>
      <c r="F9" s="11" t="s">
        <v>17</v>
      </c>
      <c r="G9" s="10" t="s">
        <v>24</v>
      </c>
      <c r="H9" s="11" t="s">
        <v>19</v>
      </c>
      <c r="I9" s="11" t="s">
        <v>20</v>
      </c>
      <c r="J9" s="12" t="str">
        <f ca="1">IFERROR(__xludf.DUMMYFUNCTION("FILTER('CLASFICACIÓN'!$F$3:$F2419,'CLASFICACIÓN'!$G$3:$G2419=M9)"),"SOLO 2024")</f>
        <v>SOLO 2024</v>
      </c>
      <c r="K9" s="12" t="s">
        <v>2011</v>
      </c>
      <c r="L9" s="11" t="s">
        <v>21</v>
      </c>
      <c r="M9" s="12" t="str">
        <f t="shared" ca="1" si="0"/>
        <v>14924 DANIEL ALCIDES CARRION4 Primaria</v>
      </c>
      <c r="N9" s="11"/>
      <c r="O9" s="11"/>
      <c r="P9" s="11"/>
      <c r="Q9" s="11"/>
      <c r="R9" s="11"/>
      <c r="S9" s="11"/>
      <c r="T9" s="11"/>
      <c r="U9" s="11"/>
      <c r="V9" s="11"/>
      <c r="W9" s="11"/>
      <c r="X9" s="11"/>
      <c r="Y9" s="11"/>
      <c r="Z9" s="11"/>
      <c r="AA9" s="11"/>
      <c r="AB9" s="11"/>
      <c r="AC9" s="11"/>
      <c r="AD9" s="11"/>
      <c r="AE9" s="11"/>
      <c r="AF9" s="11"/>
      <c r="AG9" s="11"/>
      <c r="AH9" s="11"/>
      <c r="AI9" s="11"/>
      <c r="AJ9" s="14"/>
    </row>
    <row r="10" spans="1:36" ht="14.25" customHeight="1" x14ac:dyDescent="0.25">
      <c r="A10" s="9">
        <v>9</v>
      </c>
      <c r="B10" s="10" t="s">
        <v>14</v>
      </c>
      <c r="C10" s="10" t="s">
        <v>15</v>
      </c>
      <c r="D10" s="10" t="s">
        <v>16</v>
      </c>
      <c r="E10" s="11" t="str">
        <f ca="1">IFERROR(__xludf.DUMMYFUNCTION("FILTER(Colegios!$B$2:$B2419,Colegios!$A$2:$A2419=L10)"),"14924 DANIEL ALCIDES CARRION")</f>
        <v>14924 DANIEL ALCIDES CARRION</v>
      </c>
      <c r="F10" s="11" t="s">
        <v>17</v>
      </c>
      <c r="G10" s="10" t="s">
        <v>18</v>
      </c>
      <c r="H10" s="11" t="s">
        <v>23</v>
      </c>
      <c r="I10" s="11" t="s">
        <v>20</v>
      </c>
      <c r="J10" s="12" t="str">
        <f ca="1">IFERROR(__xludf.DUMMYFUNCTION("FILTER('CLASFICACIÓN'!$F$3:$F2419,'CLASFICACIÓN'!$G$3:$G2419=M10)"),"SOLO 2024")</f>
        <v>SOLO 2024</v>
      </c>
      <c r="K10" s="12" t="s">
        <v>2011</v>
      </c>
      <c r="L10" s="11" t="s">
        <v>21</v>
      </c>
      <c r="M10" s="12" t="str">
        <f t="shared" ca="1" si="0"/>
        <v>14924 DANIEL ALCIDES CARRION4 Primaria</v>
      </c>
      <c r="N10" s="11"/>
      <c r="O10" s="11"/>
      <c r="P10" s="11"/>
      <c r="Q10" s="11"/>
      <c r="R10" s="11"/>
      <c r="S10" s="11"/>
      <c r="T10" s="11"/>
      <c r="U10" s="11"/>
      <c r="V10" s="11"/>
      <c r="W10" s="11"/>
      <c r="X10" s="11"/>
      <c r="Y10" s="11"/>
      <c r="Z10" s="11"/>
      <c r="AA10" s="11"/>
      <c r="AB10" s="11"/>
      <c r="AC10" s="11"/>
      <c r="AD10" s="11"/>
      <c r="AE10" s="11"/>
      <c r="AF10" s="11"/>
      <c r="AG10" s="11"/>
      <c r="AH10" s="11"/>
      <c r="AI10" s="11"/>
      <c r="AJ10" s="14"/>
    </row>
    <row r="11" spans="1:36" ht="14.25" customHeight="1" x14ac:dyDescent="0.25">
      <c r="A11" s="9">
        <v>10</v>
      </c>
      <c r="B11" s="10" t="s">
        <v>14</v>
      </c>
      <c r="C11" s="10" t="s">
        <v>15</v>
      </c>
      <c r="D11" s="10" t="s">
        <v>16</v>
      </c>
      <c r="E11" s="11" t="str">
        <f ca="1">IFERROR(__xludf.DUMMYFUNCTION("FILTER(Colegios!$B$2:$B2419,Colegios!$A$2:$A2419=L11)"),"14924 DANIEL ALCIDES CARRION")</f>
        <v>14924 DANIEL ALCIDES CARRION</v>
      </c>
      <c r="F11" s="11" t="s">
        <v>17</v>
      </c>
      <c r="G11" s="10" t="s">
        <v>24</v>
      </c>
      <c r="H11" s="11" t="s">
        <v>25</v>
      </c>
      <c r="I11" s="11" t="s">
        <v>20</v>
      </c>
      <c r="J11" s="12" t="str">
        <f ca="1">IFERROR(__xludf.DUMMYFUNCTION("FILTER('CLASFICACIÓN'!$F$3:$F2419,'CLASFICACIÓN'!$G$3:$G2419=M11)"),"SOLO 2024")</f>
        <v>SOLO 2024</v>
      </c>
      <c r="K11" s="12" t="s">
        <v>2011</v>
      </c>
      <c r="L11" s="11" t="s">
        <v>21</v>
      </c>
      <c r="M11" s="12" t="str">
        <f t="shared" ca="1" si="0"/>
        <v>14924 DANIEL ALCIDES CARRION4 Primaria</v>
      </c>
      <c r="N11" s="11"/>
      <c r="O11" s="11"/>
      <c r="P11" s="11"/>
      <c r="Q11" s="11"/>
      <c r="R11" s="11"/>
      <c r="S11" s="11"/>
      <c r="T11" s="11"/>
      <c r="U11" s="11"/>
      <c r="V11" s="11"/>
      <c r="W11" s="11"/>
      <c r="X11" s="11"/>
      <c r="Y11" s="11"/>
      <c r="Z11" s="11"/>
      <c r="AA11" s="11"/>
      <c r="AB11" s="11"/>
      <c r="AC11" s="11"/>
      <c r="AD11" s="11"/>
      <c r="AE11" s="11"/>
      <c r="AF11" s="11"/>
      <c r="AG11" s="11"/>
      <c r="AH11" s="11"/>
      <c r="AI11" s="11"/>
      <c r="AJ11" s="14"/>
    </row>
    <row r="12" spans="1:36" ht="14.25" customHeight="1" x14ac:dyDescent="0.25">
      <c r="A12" s="9">
        <v>11</v>
      </c>
      <c r="B12" s="10" t="s">
        <v>14</v>
      </c>
      <c r="C12" s="10" t="s">
        <v>15</v>
      </c>
      <c r="D12" s="10" t="s">
        <v>16</v>
      </c>
      <c r="E12" s="11" t="str">
        <f ca="1">IFERROR(__xludf.DUMMYFUNCTION("FILTER(Colegios!$B$2:$B2419,Colegios!$A$2:$A2419=L12)"),"14924 DANIEL ALCIDES CARRION")</f>
        <v>14924 DANIEL ALCIDES CARRION</v>
      </c>
      <c r="F12" s="11" t="s">
        <v>17</v>
      </c>
      <c r="G12" s="10" t="s">
        <v>18</v>
      </c>
      <c r="H12" s="11" t="s">
        <v>23</v>
      </c>
      <c r="I12" s="11" t="s">
        <v>20</v>
      </c>
      <c r="J12" s="12" t="str">
        <f ca="1">IFERROR(__xludf.DUMMYFUNCTION("FILTER('CLASFICACIÓN'!$F$3:$F2419,'CLASFICACIÓN'!$G$3:$G2419=M12)"),"SOLO 2024")</f>
        <v>SOLO 2024</v>
      </c>
      <c r="K12" s="12" t="s">
        <v>2011</v>
      </c>
      <c r="L12" s="11" t="s">
        <v>21</v>
      </c>
      <c r="M12" s="12" t="str">
        <f t="shared" ca="1" si="0"/>
        <v>14924 DANIEL ALCIDES CARRION4 Primaria</v>
      </c>
      <c r="N12" s="11"/>
      <c r="O12" s="11"/>
      <c r="P12" s="11"/>
      <c r="Q12" s="11"/>
      <c r="R12" s="11"/>
      <c r="S12" s="11"/>
      <c r="T12" s="11"/>
      <c r="U12" s="11"/>
      <c r="V12" s="11"/>
      <c r="W12" s="11"/>
      <c r="X12" s="11"/>
      <c r="Y12" s="11"/>
      <c r="Z12" s="11"/>
      <c r="AA12" s="11"/>
      <c r="AB12" s="11"/>
      <c r="AC12" s="11"/>
      <c r="AD12" s="11"/>
      <c r="AE12" s="11"/>
      <c r="AF12" s="11"/>
      <c r="AG12" s="11"/>
      <c r="AH12" s="11"/>
      <c r="AI12" s="11"/>
      <c r="AJ12" s="14"/>
    </row>
    <row r="13" spans="1:36" ht="14.25" customHeight="1" x14ac:dyDescent="0.25">
      <c r="A13" s="9">
        <v>12</v>
      </c>
      <c r="B13" s="10" t="s">
        <v>14</v>
      </c>
      <c r="C13" s="10" t="s">
        <v>15</v>
      </c>
      <c r="D13" s="10" t="s">
        <v>16</v>
      </c>
      <c r="E13" s="11" t="str">
        <f ca="1">IFERROR(__xludf.DUMMYFUNCTION("FILTER(Colegios!$B$2:$B2419,Colegios!$A$2:$A2419=L13)"),"14924 DANIEL ALCIDES CARRION")</f>
        <v>14924 DANIEL ALCIDES CARRION</v>
      </c>
      <c r="F13" s="11" t="s">
        <v>17</v>
      </c>
      <c r="G13" s="10" t="s">
        <v>24</v>
      </c>
      <c r="H13" s="11" t="s">
        <v>19</v>
      </c>
      <c r="I13" s="11" t="s">
        <v>20</v>
      </c>
      <c r="J13" s="12" t="str">
        <f ca="1">IFERROR(__xludf.DUMMYFUNCTION("FILTER('CLASFICACIÓN'!$F$3:$F2419,'CLASFICACIÓN'!$G$3:$G2419=M13)"),"SOLO 2024")</f>
        <v>SOLO 2024</v>
      </c>
      <c r="K13" s="12" t="s">
        <v>2011</v>
      </c>
      <c r="L13" s="11" t="s">
        <v>21</v>
      </c>
      <c r="M13" s="12" t="str">
        <f t="shared" ca="1" si="0"/>
        <v>14924 DANIEL ALCIDES CARRION4 Primaria</v>
      </c>
      <c r="N13" s="11"/>
      <c r="O13" s="11"/>
      <c r="P13" s="11"/>
      <c r="Q13" s="11"/>
      <c r="R13" s="11"/>
      <c r="S13" s="11"/>
      <c r="T13" s="11"/>
      <c r="U13" s="11"/>
      <c r="V13" s="11"/>
      <c r="W13" s="11"/>
      <c r="X13" s="11"/>
      <c r="Y13" s="11"/>
      <c r="Z13" s="11"/>
      <c r="AA13" s="11"/>
      <c r="AB13" s="11"/>
      <c r="AC13" s="11"/>
      <c r="AD13" s="11"/>
      <c r="AE13" s="11"/>
      <c r="AF13" s="11"/>
      <c r="AG13" s="11"/>
      <c r="AH13" s="11"/>
      <c r="AI13" s="11"/>
      <c r="AJ13" s="14"/>
    </row>
    <row r="14" spans="1:36" ht="14.25" customHeight="1" x14ac:dyDescent="0.25">
      <c r="A14" s="9">
        <v>13</v>
      </c>
      <c r="B14" s="10" t="s">
        <v>14</v>
      </c>
      <c r="C14" s="10" t="s">
        <v>15</v>
      </c>
      <c r="D14" s="10" t="s">
        <v>16</v>
      </c>
      <c r="E14" s="11" t="str">
        <f ca="1">IFERROR(__xludf.DUMMYFUNCTION("FILTER(Colegios!$B$2:$B2419,Colegios!$A$2:$A2419=L14)"),"14924 DANIEL ALCIDES CARRION")</f>
        <v>14924 DANIEL ALCIDES CARRION</v>
      </c>
      <c r="F14" s="11" t="s">
        <v>17</v>
      </c>
      <c r="G14" s="10" t="s">
        <v>24</v>
      </c>
      <c r="H14" s="11" t="s">
        <v>19</v>
      </c>
      <c r="I14" s="11" t="s">
        <v>20</v>
      </c>
      <c r="J14" s="12" t="str">
        <f ca="1">IFERROR(__xludf.DUMMYFUNCTION("FILTER('CLASFICACIÓN'!$F$3:$F2419,'CLASFICACIÓN'!$G$3:$G2419=M14)"),"SOLO 2024")</f>
        <v>SOLO 2024</v>
      </c>
      <c r="K14" s="12" t="s">
        <v>2011</v>
      </c>
      <c r="L14" s="11" t="s">
        <v>21</v>
      </c>
      <c r="M14" s="12" t="str">
        <f t="shared" ca="1" si="0"/>
        <v>14924 DANIEL ALCIDES CARRION4 Primaria</v>
      </c>
      <c r="N14" s="11"/>
      <c r="O14" s="11"/>
      <c r="P14" s="11"/>
      <c r="Q14" s="11"/>
      <c r="R14" s="11"/>
      <c r="S14" s="11"/>
      <c r="T14" s="11"/>
      <c r="U14" s="11"/>
      <c r="V14" s="11"/>
      <c r="W14" s="11"/>
      <c r="X14" s="11"/>
      <c r="Y14" s="11"/>
      <c r="Z14" s="11"/>
      <c r="AA14" s="11"/>
      <c r="AB14" s="11"/>
      <c r="AC14" s="11"/>
      <c r="AD14" s="11"/>
      <c r="AE14" s="11"/>
      <c r="AF14" s="11"/>
      <c r="AG14" s="11"/>
      <c r="AH14" s="11"/>
      <c r="AI14" s="11"/>
      <c r="AJ14" s="14"/>
    </row>
    <row r="15" spans="1:36" ht="14.25" customHeight="1" x14ac:dyDescent="0.25">
      <c r="A15" s="9">
        <v>14</v>
      </c>
      <c r="B15" s="10" t="s">
        <v>14</v>
      </c>
      <c r="C15" s="10" t="s">
        <v>15</v>
      </c>
      <c r="D15" s="10" t="s">
        <v>16</v>
      </c>
      <c r="E15" s="11" t="str">
        <f ca="1">IFERROR(__xludf.DUMMYFUNCTION("FILTER(Colegios!$B$2:$B2419,Colegios!$A$2:$A2419=L15)"),"14924 DANIEL ALCIDES CARRION")</f>
        <v>14924 DANIEL ALCIDES CARRION</v>
      </c>
      <c r="F15" s="11" t="s">
        <v>17</v>
      </c>
      <c r="G15" s="10" t="s">
        <v>24</v>
      </c>
      <c r="H15" s="11" t="s">
        <v>23</v>
      </c>
      <c r="I15" s="11" t="s">
        <v>20</v>
      </c>
      <c r="J15" s="12" t="str">
        <f ca="1">IFERROR(__xludf.DUMMYFUNCTION("FILTER('CLASFICACIÓN'!$F$3:$F2419,'CLASFICACIÓN'!$G$3:$G2419=M15)"),"SOLO 2024")</f>
        <v>SOLO 2024</v>
      </c>
      <c r="K15" s="12" t="s">
        <v>2011</v>
      </c>
      <c r="L15" s="11" t="s">
        <v>21</v>
      </c>
      <c r="M15" s="12" t="str">
        <f t="shared" ca="1" si="0"/>
        <v>14924 DANIEL ALCIDES CARRION4 Primaria</v>
      </c>
      <c r="N15" s="11"/>
      <c r="O15" s="11"/>
      <c r="P15" s="11"/>
      <c r="Q15" s="11"/>
      <c r="R15" s="11"/>
      <c r="S15" s="11"/>
      <c r="T15" s="11"/>
      <c r="U15" s="11"/>
      <c r="V15" s="11"/>
      <c r="W15" s="11"/>
      <c r="X15" s="11"/>
      <c r="Y15" s="11"/>
      <c r="Z15" s="11"/>
      <c r="AA15" s="11"/>
      <c r="AB15" s="11"/>
      <c r="AC15" s="11"/>
      <c r="AD15" s="11"/>
      <c r="AE15" s="11"/>
      <c r="AF15" s="11"/>
      <c r="AG15" s="11"/>
      <c r="AH15" s="11"/>
      <c r="AI15" s="11"/>
      <c r="AJ15" s="14"/>
    </row>
    <row r="16" spans="1:36" ht="14.25" customHeight="1" x14ac:dyDescent="0.25">
      <c r="A16" s="9">
        <v>15</v>
      </c>
      <c r="B16" s="10" t="s">
        <v>14</v>
      </c>
      <c r="C16" s="10" t="s">
        <v>15</v>
      </c>
      <c r="D16" s="10" t="s">
        <v>16</v>
      </c>
      <c r="E16" s="11" t="str">
        <f ca="1">IFERROR(__xludf.DUMMYFUNCTION("FILTER(Colegios!$B$2:$B2419,Colegios!$A$2:$A2419=L16)"),"14924 DANIEL ALCIDES CARRION")</f>
        <v>14924 DANIEL ALCIDES CARRION</v>
      </c>
      <c r="F16" s="11" t="s">
        <v>17</v>
      </c>
      <c r="G16" s="10" t="s">
        <v>18</v>
      </c>
      <c r="H16" s="11" t="s">
        <v>19</v>
      </c>
      <c r="I16" s="11" t="s">
        <v>20</v>
      </c>
      <c r="J16" s="12" t="str">
        <f ca="1">IFERROR(__xludf.DUMMYFUNCTION("FILTER('CLASFICACIÓN'!$F$3:$F2419,'CLASFICACIÓN'!$G$3:$G2419=M16)"),"SOLO 2024")</f>
        <v>SOLO 2024</v>
      </c>
      <c r="K16" s="12" t="s">
        <v>2011</v>
      </c>
      <c r="L16" s="11" t="s">
        <v>21</v>
      </c>
      <c r="M16" s="12" t="str">
        <f t="shared" ca="1" si="0"/>
        <v>14924 DANIEL ALCIDES CARRION4 Primaria</v>
      </c>
      <c r="N16" s="11"/>
      <c r="O16" s="11"/>
      <c r="P16" s="11"/>
      <c r="Q16" s="11"/>
      <c r="R16" s="11"/>
      <c r="S16" s="11"/>
      <c r="T16" s="11"/>
      <c r="U16" s="11"/>
      <c r="V16" s="11"/>
      <c r="W16" s="11"/>
      <c r="X16" s="11"/>
      <c r="Y16" s="11"/>
      <c r="Z16" s="11"/>
      <c r="AA16" s="11"/>
      <c r="AB16" s="11"/>
      <c r="AC16" s="11"/>
      <c r="AD16" s="11"/>
      <c r="AE16" s="11"/>
      <c r="AF16" s="11"/>
      <c r="AG16" s="11"/>
      <c r="AH16" s="11"/>
      <c r="AI16" s="11"/>
      <c r="AJ16" s="14"/>
    </row>
    <row r="17" spans="1:36" ht="14.25" customHeight="1" x14ac:dyDescent="0.25">
      <c r="A17" s="9">
        <v>16</v>
      </c>
      <c r="B17" s="10" t="s">
        <v>14</v>
      </c>
      <c r="C17" s="10" t="s">
        <v>15</v>
      </c>
      <c r="D17" s="10" t="s">
        <v>16</v>
      </c>
      <c r="E17" s="11" t="str">
        <f ca="1">IFERROR(__xludf.DUMMYFUNCTION("FILTER(Colegios!$B$2:$B2419,Colegios!$A$2:$A2419=L17)"),"14924 DANIEL ALCIDES CARRION")</f>
        <v>14924 DANIEL ALCIDES CARRION</v>
      </c>
      <c r="F17" s="11" t="s">
        <v>17</v>
      </c>
      <c r="G17" s="10" t="s">
        <v>18</v>
      </c>
      <c r="H17" s="11" t="s">
        <v>19</v>
      </c>
      <c r="I17" s="11" t="s">
        <v>20</v>
      </c>
      <c r="J17" s="12" t="str">
        <f ca="1">IFERROR(__xludf.DUMMYFUNCTION("FILTER('CLASFICACIÓN'!$F$3:$F2419,'CLASFICACIÓN'!$G$3:$G2419=M17)"),"SOLO 2024")</f>
        <v>SOLO 2024</v>
      </c>
      <c r="K17" s="12" t="s">
        <v>2011</v>
      </c>
      <c r="L17" s="11" t="s">
        <v>21</v>
      </c>
      <c r="M17" s="12" t="str">
        <f t="shared" ca="1" si="0"/>
        <v>14924 DANIEL ALCIDES CARRION4 Primaria</v>
      </c>
      <c r="N17" s="11"/>
      <c r="O17" s="11"/>
      <c r="P17" s="11"/>
      <c r="Q17" s="11"/>
      <c r="R17" s="11"/>
      <c r="S17" s="11"/>
      <c r="T17" s="11"/>
      <c r="U17" s="11"/>
      <c r="V17" s="11"/>
      <c r="W17" s="11"/>
      <c r="X17" s="11"/>
      <c r="Y17" s="11"/>
      <c r="Z17" s="11"/>
      <c r="AA17" s="11"/>
      <c r="AB17" s="11"/>
      <c r="AC17" s="11"/>
      <c r="AD17" s="11"/>
      <c r="AE17" s="11"/>
      <c r="AF17" s="11"/>
      <c r="AG17" s="11"/>
      <c r="AH17" s="11"/>
      <c r="AI17" s="11"/>
      <c r="AJ17" s="14"/>
    </row>
    <row r="18" spans="1:36" ht="14.25" customHeight="1" x14ac:dyDescent="0.25">
      <c r="A18" s="9">
        <v>17</v>
      </c>
      <c r="B18" s="10" t="s">
        <v>14</v>
      </c>
      <c r="C18" s="10" t="s">
        <v>15</v>
      </c>
      <c r="D18" s="10" t="s">
        <v>16</v>
      </c>
      <c r="E18" s="11" t="str">
        <f ca="1">IFERROR(__xludf.DUMMYFUNCTION("FILTER(Colegios!$B$2:$B2419,Colegios!$A$2:$A2419=L18)"),"14924 DANIEL ALCIDES CARRION")</f>
        <v>14924 DANIEL ALCIDES CARRION</v>
      </c>
      <c r="F18" s="11" t="s">
        <v>17</v>
      </c>
      <c r="G18" s="10" t="s">
        <v>24</v>
      </c>
      <c r="H18" s="11" t="s">
        <v>19</v>
      </c>
      <c r="I18" s="11" t="s">
        <v>20</v>
      </c>
      <c r="J18" s="12" t="str">
        <f ca="1">IFERROR(__xludf.DUMMYFUNCTION("FILTER('CLASFICACIÓN'!$F$3:$F2419,'CLASFICACIÓN'!$G$3:$G2419=M18)"),"SOLO 2024")</f>
        <v>SOLO 2024</v>
      </c>
      <c r="K18" s="12" t="s">
        <v>2011</v>
      </c>
      <c r="L18" s="11" t="s">
        <v>21</v>
      </c>
      <c r="M18" s="12" t="str">
        <f t="shared" ca="1" si="0"/>
        <v>14924 DANIEL ALCIDES CARRION4 Primaria</v>
      </c>
      <c r="N18" s="11"/>
      <c r="O18" s="11"/>
      <c r="P18" s="11"/>
      <c r="Q18" s="11"/>
      <c r="R18" s="11"/>
      <c r="S18" s="11"/>
      <c r="T18" s="11"/>
      <c r="U18" s="11"/>
      <c r="V18" s="11"/>
      <c r="W18" s="11"/>
      <c r="X18" s="11"/>
      <c r="Y18" s="11"/>
      <c r="Z18" s="11"/>
      <c r="AA18" s="11"/>
      <c r="AB18" s="11"/>
      <c r="AC18" s="11"/>
      <c r="AD18" s="11"/>
      <c r="AE18" s="11"/>
      <c r="AF18" s="11"/>
      <c r="AG18" s="11"/>
      <c r="AH18" s="11"/>
      <c r="AI18" s="11"/>
      <c r="AJ18" s="14"/>
    </row>
    <row r="19" spans="1:36" ht="14.25" customHeight="1" x14ac:dyDescent="0.25">
      <c r="A19" s="9">
        <v>18</v>
      </c>
      <c r="B19" s="10" t="s">
        <v>14</v>
      </c>
      <c r="C19" s="10" t="s">
        <v>15</v>
      </c>
      <c r="D19" s="10" t="s">
        <v>16</v>
      </c>
      <c r="E19" s="11" t="str">
        <f ca="1">IFERROR(__xludf.DUMMYFUNCTION("FILTER(Colegios!$B$2:$B2419,Colegios!$A$2:$A2419=L19)"),"14924 DANIEL ALCIDES CARRION")</f>
        <v>14924 DANIEL ALCIDES CARRION</v>
      </c>
      <c r="F19" s="11" t="s">
        <v>17</v>
      </c>
      <c r="G19" s="10" t="s">
        <v>24</v>
      </c>
      <c r="H19" s="11" t="s">
        <v>25</v>
      </c>
      <c r="I19" s="11" t="s">
        <v>20</v>
      </c>
      <c r="J19" s="12" t="str">
        <f ca="1">IFERROR(__xludf.DUMMYFUNCTION("FILTER('CLASFICACIÓN'!$F$3:$F2419,'CLASFICACIÓN'!$G$3:$G2419=M19)"),"SOLO 2024")</f>
        <v>SOLO 2024</v>
      </c>
      <c r="K19" s="12" t="s">
        <v>2011</v>
      </c>
      <c r="L19" s="11" t="s">
        <v>21</v>
      </c>
      <c r="M19" s="12" t="str">
        <f t="shared" ca="1" si="0"/>
        <v>14924 DANIEL ALCIDES CARRION4 Primaria</v>
      </c>
      <c r="N19" s="11"/>
      <c r="O19" s="11"/>
      <c r="P19" s="11"/>
      <c r="Q19" s="11"/>
      <c r="R19" s="11"/>
      <c r="S19" s="11"/>
      <c r="T19" s="11"/>
      <c r="U19" s="11"/>
      <c r="V19" s="11"/>
      <c r="W19" s="11"/>
      <c r="X19" s="11"/>
      <c r="Y19" s="11"/>
      <c r="Z19" s="11"/>
      <c r="AA19" s="11"/>
      <c r="AB19" s="11"/>
      <c r="AC19" s="11"/>
      <c r="AD19" s="11"/>
      <c r="AE19" s="11"/>
      <c r="AF19" s="11"/>
      <c r="AG19" s="11"/>
      <c r="AH19" s="11"/>
      <c r="AI19" s="11"/>
      <c r="AJ19" s="14"/>
    </row>
    <row r="20" spans="1:36" ht="14.25" customHeight="1" x14ac:dyDescent="0.25">
      <c r="A20" s="9">
        <v>19</v>
      </c>
      <c r="B20" s="10" t="s">
        <v>14</v>
      </c>
      <c r="C20" s="10" t="s">
        <v>15</v>
      </c>
      <c r="D20" s="10" t="s">
        <v>16</v>
      </c>
      <c r="E20" s="11" t="str">
        <f ca="1">IFERROR(__xludf.DUMMYFUNCTION("FILTER(Colegios!$B$2:$B2419,Colegios!$A$2:$A2419=L20)"),"14924 DANIEL ALCIDES CARRION")</f>
        <v>14924 DANIEL ALCIDES CARRION</v>
      </c>
      <c r="F20" s="11" t="s">
        <v>17</v>
      </c>
      <c r="G20" s="10" t="s">
        <v>24</v>
      </c>
      <c r="H20" s="11" t="s">
        <v>19</v>
      </c>
      <c r="I20" s="11" t="s">
        <v>20</v>
      </c>
      <c r="J20" s="12" t="str">
        <f ca="1">IFERROR(__xludf.DUMMYFUNCTION("FILTER('CLASFICACIÓN'!$F$3:$F2419,'CLASFICACIÓN'!$G$3:$G2419=M20)"),"SOLO 2024")</f>
        <v>SOLO 2024</v>
      </c>
      <c r="K20" s="12" t="s">
        <v>2011</v>
      </c>
      <c r="L20" s="11" t="s">
        <v>21</v>
      </c>
      <c r="M20" s="12" t="str">
        <f t="shared" ca="1" si="0"/>
        <v>14924 DANIEL ALCIDES CARRION4 Primaria</v>
      </c>
      <c r="N20" s="11"/>
      <c r="O20" s="11"/>
      <c r="P20" s="11"/>
      <c r="Q20" s="11"/>
      <c r="R20" s="11"/>
      <c r="S20" s="11"/>
      <c r="T20" s="11"/>
      <c r="U20" s="11"/>
      <c r="V20" s="11"/>
      <c r="W20" s="11"/>
      <c r="X20" s="11"/>
      <c r="Y20" s="11"/>
      <c r="Z20" s="11"/>
      <c r="AA20" s="11"/>
      <c r="AB20" s="11"/>
      <c r="AC20" s="11"/>
      <c r="AD20" s="11"/>
      <c r="AE20" s="11"/>
      <c r="AF20" s="11"/>
      <c r="AG20" s="11"/>
      <c r="AH20" s="11"/>
      <c r="AI20" s="11"/>
      <c r="AJ20" s="14"/>
    </row>
    <row r="21" spans="1:36" ht="14.25" customHeight="1" x14ac:dyDescent="0.25">
      <c r="A21" s="9">
        <v>20</v>
      </c>
      <c r="B21" s="10" t="s">
        <v>14</v>
      </c>
      <c r="C21" s="10" t="s">
        <v>15</v>
      </c>
      <c r="D21" s="10" t="s">
        <v>16</v>
      </c>
      <c r="E21" s="11" t="str">
        <f ca="1">IFERROR(__xludf.DUMMYFUNCTION("FILTER(Colegios!$B$2:$B2419,Colegios!$A$2:$A2419=L21)"),"14924 DANIEL ALCIDES CARRION")</f>
        <v>14924 DANIEL ALCIDES CARRION</v>
      </c>
      <c r="F21" s="11" t="s">
        <v>17</v>
      </c>
      <c r="G21" s="10" t="s">
        <v>18</v>
      </c>
      <c r="H21" s="11" t="s">
        <v>19</v>
      </c>
      <c r="I21" s="11" t="s">
        <v>20</v>
      </c>
      <c r="J21" s="12" t="str">
        <f ca="1">IFERROR(__xludf.DUMMYFUNCTION("FILTER('CLASFICACIÓN'!$F$3:$F2419,'CLASFICACIÓN'!$G$3:$G2419=M21)"),"SOLO 2024")</f>
        <v>SOLO 2024</v>
      </c>
      <c r="K21" s="12" t="s">
        <v>2011</v>
      </c>
      <c r="L21" s="11" t="s">
        <v>21</v>
      </c>
      <c r="M21" s="12" t="str">
        <f t="shared" ca="1" si="0"/>
        <v>14924 DANIEL ALCIDES CARRION4 Primaria</v>
      </c>
      <c r="N21" s="11"/>
      <c r="O21" s="11"/>
      <c r="P21" s="11"/>
      <c r="Q21" s="11"/>
      <c r="R21" s="11"/>
      <c r="S21" s="11"/>
      <c r="T21" s="11"/>
      <c r="U21" s="11"/>
      <c r="V21" s="11"/>
      <c r="W21" s="11"/>
      <c r="X21" s="11"/>
      <c r="Y21" s="11"/>
      <c r="Z21" s="11"/>
      <c r="AA21" s="11"/>
      <c r="AB21" s="11"/>
      <c r="AC21" s="11"/>
      <c r="AD21" s="11"/>
      <c r="AE21" s="11"/>
      <c r="AF21" s="11"/>
      <c r="AG21" s="11"/>
      <c r="AH21" s="11"/>
      <c r="AI21" s="11"/>
      <c r="AJ21" s="14"/>
    </row>
    <row r="22" spans="1:36" ht="14.25" customHeight="1" x14ac:dyDescent="0.25">
      <c r="A22" s="9">
        <v>21</v>
      </c>
      <c r="B22" s="10" t="s">
        <v>14</v>
      </c>
      <c r="C22" s="10" t="s">
        <v>15</v>
      </c>
      <c r="D22" s="10" t="s">
        <v>16</v>
      </c>
      <c r="E22" s="11" t="str">
        <f ca="1">IFERROR(__xludf.DUMMYFUNCTION("FILTER(Colegios!$B$2:$B2419,Colegios!$A$2:$A2419=L22)"),"14924 DANIEL ALCIDES CARRION")</f>
        <v>14924 DANIEL ALCIDES CARRION</v>
      </c>
      <c r="F22" s="11" t="s">
        <v>17</v>
      </c>
      <c r="G22" s="10" t="s">
        <v>18</v>
      </c>
      <c r="H22" s="11" t="s">
        <v>19</v>
      </c>
      <c r="I22" s="11" t="s">
        <v>20</v>
      </c>
      <c r="J22" s="12" t="str">
        <f ca="1">IFERROR(__xludf.DUMMYFUNCTION("FILTER('CLASFICACIÓN'!$F$3:$F2419,'CLASFICACIÓN'!$G$3:$G2419=M22)"),"SOLO 2024")</f>
        <v>SOLO 2024</v>
      </c>
      <c r="K22" s="12" t="s">
        <v>2011</v>
      </c>
      <c r="L22" s="11" t="s">
        <v>21</v>
      </c>
      <c r="M22" s="12" t="str">
        <f t="shared" ca="1" si="0"/>
        <v>14924 DANIEL ALCIDES CARRION4 Primaria</v>
      </c>
      <c r="N22" s="11"/>
      <c r="O22" s="11"/>
      <c r="P22" s="11"/>
      <c r="Q22" s="11"/>
      <c r="R22" s="11"/>
      <c r="S22" s="11"/>
      <c r="T22" s="11"/>
      <c r="U22" s="11"/>
      <c r="V22" s="11"/>
      <c r="W22" s="11"/>
      <c r="X22" s="11"/>
      <c r="Y22" s="11"/>
      <c r="Z22" s="11"/>
      <c r="AA22" s="11"/>
      <c r="AB22" s="11"/>
      <c r="AC22" s="11"/>
      <c r="AD22" s="11"/>
      <c r="AE22" s="11"/>
      <c r="AF22" s="11"/>
      <c r="AG22" s="11"/>
      <c r="AH22" s="11"/>
      <c r="AI22" s="11"/>
      <c r="AJ22" s="14"/>
    </row>
    <row r="23" spans="1:36" ht="14.25" customHeight="1" x14ac:dyDescent="0.25">
      <c r="A23" s="9">
        <v>22</v>
      </c>
      <c r="B23" s="10" t="s">
        <v>14</v>
      </c>
      <c r="C23" s="10" t="s">
        <v>15</v>
      </c>
      <c r="D23" s="10" t="s">
        <v>16</v>
      </c>
      <c r="E23" s="11" t="str">
        <f ca="1">IFERROR(__xludf.DUMMYFUNCTION("FILTER(Colegios!$B$2:$B2419,Colegios!$A$2:$A2419=L23)"),"14924 DANIEL ALCIDES CARRION")</f>
        <v>14924 DANIEL ALCIDES CARRION</v>
      </c>
      <c r="F23" s="11" t="s">
        <v>17</v>
      </c>
      <c r="G23" s="10" t="s">
        <v>18</v>
      </c>
      <c r="H23" s="11" t="s">
        <v>19</v>
      </c>
      <c r="I23" s="11" t="s">
        <v>20</v>
      </c>
      <c r="J23" s="12" t="str">
        <f ca="1">IFERROR(__xludf.DUMMYFUNCTION("FILTER('CLASFICACIÓN'!$F$3:$F2419,'CLASFICACIÓN'!$G$3:$G2419=M23)"),"SOLO 2024")</f>
        <v>SOLO 2024</v>
      </c>
      <c r="K23" s="12" t="s">
        <v>2011</v>
      </c>
      <c r="L23" s="11" t="s">
        <v>21</v>
      </c>
      <c r="M23" s="12" t="str">
        <f t="shared" ca="1" si="0"/>
        <v>14924 DANIEL ALCIDES CARRION4 Primaria</v>
      </c>
      <c r="N23" s="11"/>
      <c r="O23" s="11"/>
      <c r="P23" s="11"/>
      <c r="Q23" s="11"/>
      <c r="R23" s="11"/>
      <c r="S23" s="11"/>
      <c r="T23" s="11"/>
      <c r="U23" s="11"/>
      <c r="V23" s="11"/>
      <c r="W23" s="11"/>
      <c r="X23" s="11"/>
      <c r="Y23" s="11"/>
      <c r="Z23" s="11"/>
      <c r="AA23" s="11"/>
      <c r="AB23" s="11"/>
      <c r="AC23" s="11"/>
      <c r="AD23" s="11"/>
      <c r="AE23" s="11"/>
      <c r="AF23" s="11"/>
      <c r="AG23" s="11"/>
      <c r="AH23" s="11"/>
      <c r="AI23" s="11"/>
      <c r="AJ23" s="14"/>
    </row>
    <row r="24" spans="1:36" ht="14.25" customHeight="1" x14ac:dyDescent="0.25">
      <c r="A24" s="9">
        <v>23</v>
      </c>
      <c r="B24" s="10" t="s">
        <v>14</v>
      </c>
      <c r="C24" s="10" t="s">
        <v>15</v>
      </c>
      <c r="D24" s="10" t="s">
        <v>16</v>
      </c>
      <c r="E24" s="11" t="str">
        <f ca="1">IFERROR(__xludf.DUMMYFUNCTION("FILTER(Colegios!$B$2:$B2419,Colegios!$A$2:$A2419=L24)"),"20104")</f>
        <v>20104</v>
      </c>
      <c r="F24" s="11" t="s">
        <v>17</v>
      </c>
      <c r="G24" s="10" t="s">
        <v>18</v>
      </c>
      <c r="H24" s="11" t="s">
        <v>19</v>
      </c>
      <c r="I24" s="11" t="s">
        <v>20</v>
      </c>
      <c r="J24" s="12" t="str">
        <f ca="1">IFERROR(__xludf.DUMMYFUNCTION("FILTER('CLASFICACIÓN'!$F$3:$F2419,'CLASFICACIÓN'!$G$3:$G2419=M24)"),"SOLO 2024")</f>
        <v>SOLO 2024</v>
      </c>
      <c r="K24" s="12" t="s">
        <v>2011</v>
      </c>
      <c r="L24" s="11" t="s">
        <v>26</v>
      </c>
      <c r="M24" s="12" t="str">
        <f t="shared" ca="1" si="0"/>
        <v>201044 Primaria</v>
      </c>
      <c r="N24" s="11"/>
      <c r="O24" s="11"/>
      <c r="P24" s="11"/>
      <c r="Q24" s="11"/>
      <c r="R24" s="11"/>
      <c r="S24" s="11"/>
      <c r="T24" s="11"/>
      <c r="U24" s="11"/>
      <c r="V24" s="11"/>
      <c r="W24" s="11"/>
      <c r="X24" s="11"/>
      <c r="Y24" s="11"/>
      <c r="Z24" s="11"/>
      <c r="AA24" s="11"/>
      <c r="AB24" s="11"/>
      <c r="AC24" s="11"/>
      <c r="AD24" s="11"/>
      <c r="AE24" s="11"/>
      <c r="AF24" s="11"/>
      <c r="AG24" s="11"/>
      <c r="AH24" s="11"/>
      <c r="AI24" s="11"/>
      <c r="AJ24" s="14"/>
    </row>
    <row r="25" spans="1:36" ht="14.25" customHeight="1" x14ac:dyDescent="0.25">
      <c r="A25" s="9">
        <v>24</v>
      </c>
      <c r="B25" s="10" t="s">
        <v>14</v>
      </c>
      <c r="C25" s="10" t="s">
        <v>15</v>
      </c>
      <c r="D25" s="10" t="s">
        <v>16</v>
      </c>
      <c r="E25" s="11" t="str">
        <f ca="1">IFERROR(__xludf.DUMMYFUNCTION("FILTER(Colegios!$B$2:$B2419,Colegios!$A$2:$A2419=L25)"),"20104")</f>
        <v>20104</v>
      </c>
      <c r="F25" s="11" t="s">
        <v>17</v>
      </c>
      <c r="G25" s="10" t="s">
        <v>18</v>
      </c>
      <c r="H25" s="11" t="s">
        <v>19</v>
      </c>
      <c r="I25" s="11" t="s">
        <v>20</v>
      </c>
      <c r="J25" s="12" t="str">
        <f ca="1">IFERROR(__xludf.DUMMYFUNCTION("FILTER('CLASFICACIÓN'!$F$3:$F2419,'CLASFICACIÓN'!$G$3:$G2419=M25)"),"SOLO 2024")</f>
        <v>SOLO 2024</v>
      </c>
      <c r="K25" s="12" t="s">
        <v>2011</v>
      </c>
      <c r="L25" s="11" t="s">
        <v>26</v>
      </c>
      <c r="M25" s="12" t="str">
        <f t="shared" ca="1" si="0"/>
        <v>201044 Primaria</v>
      </c>
      <c r="N25" s="11"/>
      <c r="O25" s="11"/>
      <c r="P25" s="11"/>
      <c r="Q25" s="11"/>
      <c r="R25" s="11"/>
      <c r="S25" s="11"/>
      <c r="T25" s="11"/>
      <c r="U25" s="11"/>
      <c r="V25" s="11"/>
      <c r="W25" s="11"/>
      <c r="X25" s="11"/>
      <c r="Y25" s="11"/>
      <c r="Z25" s="11"/>
      <c r="AA25" s="11"/>
      <c r="AB25" s="11"/>
      <c r="AC25" s="11"/>
      <c r="AD25" s="11"/>
      <c r="AE25" s="11"/>
      <c r="AF25" s="11"/>
      <c r="AG25" s="11"/>
      <c r="AH25" s="11"/>
      <c r="AI25" s="11"/>
      <c r="AJ25" s="14"/>
    </row>
    <row r="26" spans="1:36" ht="14.25" customHeight="1" x14ac:dyDescent="0.25">
      <c r="A26" s="9">
        <v>25</v>
      </c>
      <c r="B26" s="10" t="s">
        <v>14</v>
      </c>
      <c r="C26" s="10" t="s">
        <v>15</v>
      </c>
      <c r="D26" s="10" t="s">
        <v>16</v>
      </c>
      <c r="E26" s="11" t="str">
        <f ca="1">IFERROR(__xludf.DUMMYFUNCTION("FILTER(Colegios!$B$2:$B2419,Colegios!$A$2:$A2419=L26)"),"20104")</f>
        <v>20104</v>
      </c>
      <c r="F26" s="11" t="s">
        <v>17</v>
      </c>
      <c r="G26" s="10" t="s">
        <v>18</v>
      </c>
      <c r="H26" s="11" t="s">
        <v>19</v>
      </c>
      <c r="I26" s="11" t="s">
        <v>20</v>
      </c>
      <c r="J26" s="12" t="str">
        <f ca="1">IFERROR(__xludf.DUMMYFUNCTION("FILTER('CLASFICACIÓN'!$F$3:$F2419,'CLASFICACIÓN'!$G$3:$G2419=M26)"),"SOLO 2024")</f>
        <v>SOLO 2024</v>
      </c>
      <c r="K26" s="12" t="s">
        <v>2011</v>
      </c>
      <c r="L26" s="11" t="s">
        <v>26</v>
      </c>
      <c r="M26" s="12" t="str">
        <f t="shared" ca="1" si="0"/>
        <v>201044 Primaria</v>
      </c>
      <c r="N26" s="11"/>
      <c r="O26" s="11"/>
      <c r="P26" s="11"/>
      <c r="Q26" s="11"/>
      <c r="R26" s="11"/>
      <c r="S26" s="11"/>
      <c r="T26" s="11"/>
      <c r="U26" s="11"/>
      <c r="V26" s="11"/>
      <c r="W26" s="11"/>
      <c r="X26" s="11"/>
      <c r="Y26" s="11"/>
      <c r="Z26" s="11"/>
      <c r="AA26" s="11"/>
      <c r="AB26" s="11"/>
      <c r="AC26" s="11"/>
      <c r="AD26" s="11"/>
      <c r="AE26" s="11"/>
      <c r="AF26" s="11"/>
      <c r="AG26" s="11"/>
      <c r="AH26" s="11"/>
      <c r="AI26" s="11"/>
      <c r="AJ26" s="14"/>
    </row>
    <row r="27" spans="1:36" ht="14.25" customHeight="1" x14ac:dyDescent="0.25">
      <c r="A27" s="9">
        <v>26</v>
      </c>
      <c r="B27" s="10" t="s">
        <v>14</v>
      </c>
      <c r="C27" s="10" t="s">
        <v>15</v>
      </c>
      <c r="D27" s="10" t="s">
        <v>16</v>
      </c>
      <c r="E27" s="11" t="str">
        <f ca="1">IFERROR(__xludf.DUMMYFUNCTION("FILTER(Colegios!$B$2:$B2419,Colegios!$A$2:$A2419=L27)"),"20104")</f>
        <v>20104</v>
      </c>
      <c r="F27" s="11" t="s">
        <v>17</v>
      </c>
      <c r="G27" s="10" t="s">
        <v>18</v>
      </c>
      <c r="H27" s="11" t="s">
        <v>19</v>
      </c>
      <c r="I27" s="11" t="s">
        <v>20</v>
      </c>
      <c r="J27" s="12" t="str">
        <f ca="1">IFERROR(__xludf.DUMMYFUNCTION("FILTER('CLASFICACIÓN'!$F$3:$F2419,'CLASFICACIÓN'!$G$3:$G2419=M27)"),"SOLO 2024")</f>
        <v>SOLO 2024</v>
      </c>
      <c r="K27" s="12" t="s">
        <v>2011</v>
      </c>
      <c r="L27" s="11" t="s">
        <v>26</v>
      </c>
      <c r="M27" s="12" t="str">
        <f t="shared" ca="1" si="0"/>
        <v>201044 Primaria</v>
      </c>
      <c r="N27" s="11"/>
      <c r="O27" s="11"/>
      <c r="P27" s="11"/>
      <c r="Q27" s="11"/>
      <c r="R27" s="11"/>
      <c r="S27" s="11"/>
      <c r="T27" s="11"/>
      <c r="U27" s="11"/>
      <c r="V27" s="11"/>
      <c r="W27" s="11"/>
      <c r="X27" s="11"/>
      <c r="Y27" s="11"/>
      <c r="Z27" s="11"/>
      <c r="AA27" s="11"/>
      <c r="AB27" s="11"/>
      <c r="AC27" s="11"/>
      <c r="AD27" s="11"/>
      <c r="AE27" s="11"/>
      <c r="AF27" s="11"/>
      <c r="AG27" s="11"/>
      <c r="AH27" s="11"/>
      <c r="AI27" s="11"/>
      <c r="AJ27" s="14"/>
    </row>
    <row r="28" spans="1:36" ht="14.25" customHeight="1" x14ac:dyDescent="0.25">
      <c r="A28" s="9">
        <v>27</v>
      </c>
      <c r="B28" s="10" t="s">
        <v>14</v>
      </c>
      <c r="C28" s="10" t="s">
        <v>15</v>
      </c>
      <c r="D28" s="10" t="s">
        <v>16</v>
      </c>
      <c r="E28" s="11" t="str">
        <f ca="1">IFERROR(__xludf.DUMMYFUNCTION("FILTER(Colegios!$B$2:$B2419,Colegios!$A$2:$A2419=L28)"),"20104")</f>
        <v>20104</v>
      </c>
      <c r="F28" s="11" t="s">
        <v>17</v>
      </c>
      <c r="G28" s="10" t="s">
        <v>24</v>
      </c>
      <c r="H28" s="11" t="s">
        <v>19</v>
      </c>
      <c r="I28" s="11" t="s">
        <v>20</v>
      </c>
      <c r="J28" s="12" t="str">
        <f ca="1">IFERROR(__xludf.DUMMYFUNCTION("FILTER('CLASFICACIÓN'!$F$3:$F2419,'CLASFICACIÓN'!$G$3:$G2419=M28)"),"SOLO 2024")</f>
        <v>SOLO 2024</v>
      </c>
      <c r="K28" s="12" t="s">
        <v>2011</v>
      </c>
      <c r="L28" s="11" t="s">
        <v>26</v>
      </c>
      <c r="M28" s="12" t="str">
        <f t="shared" ca="1" si="0"/>
        <v>201044 Primaria</v>
      </c>
      <c r="N28" s="11"/>
      <c r="O28" s="11"/>
      <c r="P28" s="11"/>
      <c r="Q28" s="11"/>
      <c r="R28" s="11"/>
      <c r="S28" s="11"/>
      <c r="T28" s="11"/>
      <c r="U28" s="11"/>
      <c r="V28" s="11"/>
      <c r="W28" s="11"/>
      <c r="X28" s="11"/>
      <c r="Y28" s="11"/>
      <c r="Z28" s="11"/>
      <c r="AA28" s="11"/>
      <c r="AB28" s="11"/>
      <c r="AC28" s="11"/>
      <c r="AD28" s="11"/>
      <c r="AE28" s="11"/>
      <c r="AF28" s="11"/>
      <c r="AG28" s="11"/>
      <c r="AH28" s="11"/>
      <c r="AI28" s="11"/>
      <c r="AJ28" s="14"/>
    </row>
    <row r="29" spans="1:36" ht="14.25" customHeight="1" x14ac:dyDescent="0.25">
      <c r="A29" s="9">
        <v>28</v>
      </c>
      <c r="B29" s="10" t="s">
        <v>14</v>
      </c>
      <c r="C29" s="10" t="s">
        <v>15</v>
      </c>
      <c r="D29" s="10" t="s">
        <v>16</v>
      </c>
      <c r="E29" s="11" t="str">
        <f ca="1">IFERROR(__xludf.DUMMYFUNCTION("FILTER(Colegios!$B$2:$B2419,Colegios!$A$2:$A2419=L29)"),"20104")</f>
        <v>20104</v>
      </c>
      <c r="F29" s="11" t="s">
        <v>17</v>
      </c>
      <c r="G29" s="10" t="s">
        <v>24</v>
      </c>
      <c r="H29" s="11" t="s">
        <v>19</v>
      </c>
      <c r="I29" s="11" t="s">
        <v>20</v>
      </c>
      <c r="J29" s="12" t="str">
        <f ca="1">IFERROR(__xludf.DUMMYFUNCTION("FILTER('CLASFICACIÓN'!$F$3:$F2419,'CLASFICACIÓN'!$G$3:$G2419=M29)"),"SOLO 2024")</f>
        <v>SOLO 2024</v>
      </c>
      <c r="K29" s="12" t="s">
        <v>2011</v>
      </c>
      <c r="L29" s="11" t="s">
        <v>26</v>
      </c>
      <c r="M29" s="12" t="str">
        <f t="shared" ca="1" si="0"/>
        <v>201044 Primaria</v>
      </c>
      <c r="N29" s="11"/>
      <c r="O29" s="11"/>
      <c r="P29" s="11"/>
      <c r="Q29" s="11"/>
      <c r="R29" s="11"/>
      <c r="S29" s="11"/>
      <c r="T29" s="11"/>
      <c r="U29" s="11"/>
      <c r="V29" s="11"/>
      <c r="W29" s="11"/>
      <c r="X29" s="11"/>
      <c r="Y29" s="11"/>
      <c r="Z29" s="11"/>
      <c r="AA29" s="11"/>
      <c r="AB29" s="11"/>
      <c r="AC29" s="11"/>
      <c r="AD29" s="11"/>
      <c r="AE29" s="11"/>
      <c r="AF29" s="11"/>
      <c r="AG29" s="11"/>
      <c r="AH29" s="11"/>
      <c r="AI29" s="11"/>
      <c r="AJ29" s="14"/>
    </row>
    <row r="30" spans="1:36" ht="14.25" customHeight="1" x14ac:dyDescent="0.25">
      <c r="A30" s="9">
        <v>29</v>
      </c>
      <c r="B30" s="10" t="s">
        <v>14</v>
      </c>
      <c r="C30" s="10" t="s">
        <v>15</v>
      </c>
      <c r="D30" s="10" t="s">
        <v>16</v>
      </c>
      <c r="E30" s="11" t="str">
        <f ca="1">IFERROR(__xludf.DUMMYFUNCTION("FILTER(Colegios!$B$2:$B2419,Colegios!$A$2:$A2419=L30)"),"20104")</f>
        <v>20104</v>
      </c>
      <c r="F30" s="11" t="s">
        <v>17</v>
      </c>
      <c r="G30" s="10" t="s">
        <v>24</v>
      </c>
      <c r="H30" s="11" t="s">
        <v>19</v>
      </c>
      <c r="I30" s="11" t="s">
        <v>20</v>
      </c>
      <c r="J30" s="12" t="str">
        <f ca="1">IFERROR(__xludf.DUMMYFUNCTION("FILTER('CLASFICACIÓN'!$F$3:$F2419,'CLASFICACIÓN'!$G$3:$G2419=M30)"),"SOLO 2024")</f>
        <v>SOLO 2024</v>
      </c>
      <c r="K30" s="12" t="s">
        <v>2011</v>
      </c>
      <c r="L30" s="11" t="s">
        <v>26</v>
      </c>
      <c r="M30" s="12" t="str">
        <f t="shared" ca="1" si="0"/>
        <v>201044 Primaria</v>
      </c>
      <c r="N30" s="11"/>
      <c r="O30" s="11"/>
      <c r="P30" s="11"/>
      <c r="Q30" s="11"/>
      <c r="R30" s="11"/>
      <c r="S30" s="11"/>
      <c r="T30" s="11"/>
      <c r="U30" s="11"/>
      <c r="V30" s="11"/>
      <c r="W30" s="11"/>
      <c r="X30" s="11"/>
      <c r="Y30" s="11"/>
      <c r="Z30" s="11"/>
      <c r="AA30" s="11"/>
      <c r="AB30" s="11"/>
      <c r="AC30" s="11"/>
      <c r="AD30" s="11"/>
      <c r="AE30" s="11"/>
      <c r="AF30" s="11"/>
      <c r="AG30" s="11"/>
      <c r="AH30" s="11"/>
      <c r="AI30" s="11"/>
      <c r="AJ30" s="14"/>
    </row>
    <row r="31" spans="1:36" ht="14.25" customHeight="1" x14ac:dyDescent="0.25">
      <c r="A31" s="9">
        <v>30</v>
      </c>
      <c r="B31" s="10" t="s">
        <v>14</v>
      </c>
      <c r="C31" s="10" t="s">
        <v>15</v>
      </c>
      <c r="D31" s="10" t="s">
        <v>16</v>
      </c>
      <c r="E31" s="11" t="str">
        <f ca="1">IFERROR(__xludf.DUMMYFUNCTION("FILTER(Colegios!$B$2:$B2419,Colegios!$A$2:$A2419=L31)"),"14975")</f>
        <v>14975</v>
      </c>
      <c r="F31" s="11" t="s">
        <v>17</v>
      </c>
      <c r="G31" s="10" t="s">
        <v>18</v>
      </c>
      <c r="H31" s="11" t="s">
        <v>19</v>
      </c>
      <c r="I31" s="11" t="s">
        <v>20</v>
      </c>
      <c r="J31" s="12" t="str">
        <f ca="1">IFERROR(__xludf.DUMMYFUNCTION("FILTER('CLASFICACIÓN'!$F$3:$F2419,'CLASFICACIÓN'!$G$3:$G2419=M31)"),"SOLO 2024")</f>
        <v>SOLO 2024</v>
      </c>
      <c r="K31" s="12" t="s">
        <v>2011</v>
      </c>
      <c r="L31" s="11" t="s">
        <v>27</v>
      </c>
      <c r="M31" s="12" t="str">
        <f t="shared" ca="1" si="0"/>
        <v>149754 Primaria</v>
      </c>
      <c r="N31" s="11"/>
      <c r="O31" s="11"/>
      <c r="P31" s="11"/>
      <c r="Q31" s="11"/>
      <c r="R31" s="11"/>
      <c r="S31" s="11"/>
      <c r="T31" s="11"/>
      <c r="U31" s="11"/>
      <c r="V31" s="11"/>
      <c r="W31" s="11"/>
      <c r="X31" s="11"/>
      <c r="Y31" s="11"/>
      <c r="Z31" s="11"/>
      <c r="AA31" s="11"/>
      <c r="AB31" s="11"/>
      <c r="AC31" s="11"/>
      <c r="AD31" s="11"/>
      <c r="AE31" s="11"/>
      <c r="AF31" s="11"/>
      <c r="AG31" s="11"/>
      <c r="AH31" s="11"/>
      <c r="AI31" s="11"/>
      <c r="AJ31" s="14"/>
    </row>
    <row r="32" spans="1:36" ht="14.25" customHeight="1" x14ac:dyDescent="0.25">
      <c r="A32" s="9">
        <v>31</v>
      </c>
      <c r="B32" s="10" t="s">
        <v>14</v>
      </c>
      <c r="C32" s="10" t="s">
        <v>15</v>
      </c>
      <c r="D32" s="10" t="s">
        <v>16</v>
      </c>
      <c r="E32" s="11" t="str">
        <f ca="1">IFERROR(__xludf.DUMMYFUNCTION("FILTER(Colegios!$B$2:$B2419,Colegios!$A$2:$A2419=L32)"),"14975")</f>
        <v>14975</v>
      </c>
      <c r="F32" s="11" t="s">
        <v>17</v>
      </c>
      <c r="G32" s="10" t="s">
        <v>18</v>
      </c>
      <c r="H32" s="11" t="s">
        <v>19</v>
      </c>
      <c r="I32" s="11" t="s">
        <v>20</v>
      </c>
      <c r="J32" s="12" t="str">
        <f ca="1">IFERROR(__xludf.DUMMYFUNCTION("FILTER('CLASFICACIÓN'!$F$3:$F2419,'CLASFICACIÓN'!$G$3:$G2419=M32)"),"SOLO 2024")</f>
        <v>SOLO 2024</v>
      </c>
      <c r="K32" s="12" t="s">
        <v>2011</v>
      </c>
      <c r="L32" s="11" t="s">
        <v>27</v>
      </c>
      <c r="M32" s="12" t="str">
        <f t="shared" ca="1" si="0"/>
        <v>149754 Primaria</v>
      </c>
      <c r="N32" s="11"/>
      <c r="O32" s="11"/>
      <c r="P32" s="11"/>
      <c r="Q32" s="11"/>
      <c r="R32" s="11"/>
      <c r="S32" s="11"/>
      <c r="T32" s="11"/>
      <c r="U32" s="11"/>
      <c r="V32" s="11"/>
      <c r="W32" s="11"/>
      <c r="X32" s="11"/>
      <c r="Y32" s="11"/>
      <c r="Z32" s="11"/>
      <c r="AA32" s="11"/>
      <c r="AB32" s="11"/>
      <c r="AC32" s="11"/>
      <c r="AD32" s="11"/>
      <c r="AE32" s="11"/>
      <c r="AF32" s="11"/>
      <c r="AG32" s="11"/>
      <c r="AH32" s="11"/>
      <c r="AI32" s="11"/>
      <c r="AJ32" s="14"/>
    </row>
    <row r="33" spans="1:36" ht="14.25" customHeight="1" x14ac:dyDescent="0.25">
      <c r="A33" s="9">
        <v>32</v>
      </c>
      <c r="B33" s="10" t="s">
        <v>14</v>
      </c>
      <c r="C33" s="10" t="s">
        <v>15</v>
      </c>
      <c r="D33" s="10" t="s">
        <v>16</v>
      </c>
      <c r="E33" s="11" t="str">
        <f ca="1">IFERROR(__xludf.DUMMYFUNCTION("FILTER(Colegios!$B$2:$B2419,Colegios!$A$2:$A2419=L33)"),"14975")</f>
        <v>14975</v>
      </c>
      <c r="F33" s="11" t="s">
        <v>17</v>
      </c>
      <c r="G33" s="10" t="s">
        <v>18</v>
      </c>
      <c r="H33" s="11" t="s">
        <v>23</v>
      </c>
      <c r="I33" s="11" t="s">
        <v>20</v>
      </c>
      <c r="J33" s="12" t="str">
        <f ca="1">IFERROR(__xludf.DUMMYFUNCTION("FILTER('CLASFICACIÓN'!$F$3:$F2419,'CLASFICACIÓN'!$G$3:$G2419=M33)"),"SOLO 2024")</f>
        <v>SOLO 2024</v>
      </c>
      <c r="K33" s="12" t="s">
        <v>2011</v>
      </c>
      <c r="L33" s="11" t="s">
        <v>27</v>
      </c>
      <c r="M33" s="12" t="str">
        <f t="shared" ca="1" si="0"/>
        <v>149754 Primaria</v>
      </c>
      <c r="N33" s="11"/>
      <c r="O33" s="11"/>
      <c r="P33" s="11"/>
      <c r="Q33" s="11"/>
      <c r="R33" s="11"/>
      <c r="S33" s="11"/>
      <c r="T33" s="11"/>
      <c r="U33" s="11"/>
      <c r="V33" s="11"/>
      <c r="W33" s="11"/>
      <c r="X33" s="11"/>
      <c r="Y33" s="11"/>
      <c r="Z33" s="11"/>
      <c r="AA33" s="11"/>
      <c r="AB33" s="11"/>
      <c r="AC33" s="11"/>
      <c r="AD33" s="11"/>
      <c r="AE33" s="11"/>
      <c r="AF33" s="11"/>
      <c r="AG33" s="11"/>
      <c r="AH33" s="11"/>
      <c r="AI33" s="11"/>
      <c r="AJ33" s="14"/>
    </row>
    <row r="34" spans="1:36" ht="14.25" customHeight="1" x14ac:dyDescent="0.25">
      <c r="A34" s="9">
        <v>33</v>
      </c>
      <c r="B34" s="10" t="s">
        <v>14</v>
      </c>
      <c r="C34" s="10" t="s">
        <v>15</v>
      </c>
      <c r="D34" s="10" t="s">
        <v>16</v>
      </c>
      <c r="E34" s="11" t="str">
        <f ca="1">IFERROR(__xludf.DUMMYFUNCTION("FILTER(Colegios!$B$2:$B2419,Colegios!$A$2:$A2419=L34)"),"14975")</f>
        <v>14975</v>
      </c>
      <c r="F34" s="11" t="s">
        <v>17</v>
      </c>
      <c r="G34" s="10" t="s">
        <v>24</v>
      </c>
      <c r="H34" s="11" t="s">
        <v>19</v>
      </c>
      <c r="I34" s="11" t="s">
        <v>20</v>
      </c>
      <c r="J34" s="12" t="str">
        <f ca="1">IFERROR(__xludf.DUMMYFUNCTION("FILTER('CLASFICACIÓN'!$F$3:$F2419,'CLASFICACIÓN'!$G$3:$G2419=M34)"),"SOLO 2024")</f>
        <v>SOLO 2024</v>
      </c>
      <c r="K34" s="12" t="s">
        <v>2011</v>
      </c>
      <c r="L34" s="11" t="s">
        <v>27</v>
      </c>
      <c r="M34" s="12" t="str">
        <f t="shared" ca="1" si="0"/>
        <v>149754 Primaria</v>
      </c>
      <c r="N34" s="11"/>
      <c r="O34" s="11"/>
      <c r="P34" s="11"/>
      <c r="Q34" s="11"/>
      <c r="R34" s="11"/>
      <c r="S34" s="11"/>
      <c r="T34" s="11"/>
      <c r="U34" s="11"/>
      <c r="V34" s="11"/>
      <c r="W34" s="11"/>
      <c r="X34" s="11"/>
      <c r="Y34" s="11"/>
      <c r="Z34" s="11"/>
      <c r="AA34" s="11"/>
      <c r="AB34" s="11"/>
      <c r="AC34" s="11"/>
      <c r="AD34" s="11"/>
      <c r="AE34" s="11"/>
      <c r="AF34" s="11"/>
      <c r="AG34" s="11"/>
      <c r="AH34" s="11"/>
      <c r="AI34" s="11"/>
      <c r="AJ34" s="14"/>
    </row>
    <row r="35" spans="1:36" ht="14.25" customHeight="1" x14ac:dyDescent="0.25">
      <c r="A35" s="9">
        <v>34</v>
      </c>
      <c r="B35" s="10" t="s">
        <v>14</v>
      </c>
      <c r="C35" s="10" t="s">
        <v>15</v>
      </c>
      <c r="D35" s="10" t="s">
        <v>16</v>
      </c>
      <c r="E35" s="11" t="str">
        <f ca="1">IFERROR(__xludf.DUMMYFUNCTION("FILTER(Colegios!$B$2:$B2419,Colegios!$A$2:$A2419=L35)"),"14975")</f>
        <v>14975</v>
      </c>
      <c r="F35" s="11" t="s">
        <v>17</v>
      </c>
      <c r="G35" s="10" t="s">
        <v>24</v>
      </c>
      <c r="H35" s="11" t="s">
        <v>19</v>
      </c>
      <c r="I35" s="11" t="s">
        <v>20</v>
      </c>
      <c r="J35" s="12" t="str">
        <f ca="1">IFERROR(__xludf.DUMMYFUNCTION("FILTER('CLASFICACIÓN'!$F$3:$F2419,'CLASFICACIÓN'!$G$3:$G2419=M35)"),"SOLO 2024")</f>
        <v>SOLO 2024</v>
      </c>
      <c r="K35" s="12" t="s">
        <v>2011</v>
      </c>
      <c r="L35" s="11" t="s">
        <v>27</v>
      </c>
      <c r="M35" s="12" t="str">
        <f t="shared" ca="1" si="0"/>
        <v>149754 Primaria</v>
      </c>
      <c r="N35" s="11"/>
      <c r="O35" s="11"/>
      <c r="P35" s="11"/>
      <c r="Q35" s="11"/>
      <c r="R35" s="11"/>
      <c r="S35" s="11"/>
      <c r="T35" s="11"/>
      <c r="U35" s="11"/>
      <c r="V35" s="11"/>
      <c r="W35" s="11"/>
      <c r="X35" s="11"/>
      <c r="Y35" s="11"/>
      <c r="Z35" s="11"/>
      <c r="AA35" s="11"/>
      <c r="AB35" s="11"/>
      <c r="AC35" s="11"/>
      <c r="AD35" s="11"/>
      <c r="AE35" s="11"/>
      <c r="AF35" s="11"/>
      <c r="AG35" s="11"/>
      <c r="AH35" s="11"/>
      <c r="AI35" s="11"/>
      <c r="AJ35" s="14"/>
    </row>
    <row r="36" spans="1:36" ht="14.25" customHeight="1" x14ac:dyDescent="0.25">
      <c r="A36" s="9">
        <v>35</v>
      </c>
      <c r="B36" s="10" t="s">
        <v>14</v>
      </c>
      <c r="C36" s="10" t="s">
        <v>15</v>
      </c>
      <c r="D36" s="10" t="s">
        <v>16</v>
      </c>
      <c r="E36" s="11" t="str">
        <f ca="1">IFERROR(__xludf.DUMMYFUNCTION("FILTER(Colegios!$B$2:$B2419,Colegios!$A$2:$A2419=L36)"),"14975")</f>
        <v>14975</v>
      </c>
      <c r="F36" s="11" t="s">
        <v>17</v>
      </c>
      <c r="G36" s="10" t="s">
        <v>24</v>
      </c>
      <c r="H36" s="11" t="s">
        <v>23</v>
      </c>
      <c r="I36" s="11" t="s">
        <v>20</v>
      </c>
      <c r="J36" s="12" t="str">
        <f ca="1">IFERROR(__xludf.DUMMYFUNCTION("FILTER('CLASFICACIÓN'!$F$3:$F2419,'CLASFICACIÓN'!$G$3:$G2419=M36)"),"SOLO 2024")</f>
        <v>SOLO 2024</v>
      </c>
      <c r="K36" s="12" t="s">
        <v>2011</v>
      </c>
      <c r="L36" s="11" t="s">
        <v>27</v>
      </c>
      <c r="M36" s="12" t="str">
        <f t="shared" ca="1" si="0"/>
        <v>149754 Primaria</v>
      </c>
      <c r="N36" s="11"/>
      <c r="O36" s="11"/>
      <c r="P36" s="11"/>
      <c r="Q36" s="11"/>
      <c r="R36" s="11"/>
      <c r="S36" s="11"/>
      <c r="T36" s="11"/>
      <c r="U36" s="11"/>
      <c r="V36" s="11"/>
      <c r="W36" s="11"/>
      <c r="X36" s="11"/>
      <c r="Y36" s="11"/>
      <c r="Z36" s="11"/>
      <c r="AA36" s="11"/>
      <c r="AB36" s="11"/>
      <c r="AC36" s="11"/>
      <c r="AD36" s="11"/>
      <c r="AE36" s="11"/>
      <c r="AF36" s="11"/>
      <c r="AG36" s="11"/>
      <c r="AH36" s="11"/>
      <c r="AI36" s="11"/>
      <c r="AJ36" s="14"/>
    </row>
    <row r="37" spans="1:36" ht="14.25" customHeight="1" x14ac:dyDescent="0.25">
      <c r="A37" s="9">
        <v>36</v>
      </c>
      <c r="B37" s="10" t="s">
        <v>14</v>
      </c>
      <c r="C37" s="10" t="s">
        <v>15</v>
      </c>
      <c r="D37" s="10" t="s">
        <v>16</v>
      </c>
      <c r="E37" s="11" t="str">
        <f ca="1">IFERROR(__xludf.DUMMYFUNCTION("FILTER(Colegios!$B$2:$B2419,Colegios!$A$2:$A2419=L37)"),"15304")</f>
        <v>15304</v>
      </c>
      <c r="F37" s="11" t="s">
        <v>17</v>
      </c>
      <c r="G37" s="10" t="s">
        <v>18</v>
      </c>
      <c r="H37" s="11" t="s">
        <v>19</v>
      </c>
      <c r="I37" s="11" t="s">
        <v>20</v>
      </c>
      <c r="J37" s="12" t="str">
        <f ca="1">IFERROR(__xludf.DUMMYFUNCTION("FILTER('CLASFICACIÓN'!$F$3:$F2419,'CLASFICACIÓN'!$G$3:$G2419=M37)"),"2023 Y 2024")</f>
        <v>2023 Y 2024</v>
      </c>
      <c r="K37" s="12" t="s">
        <v>2012</v>
      </c>
      <c r="L37" s="11" t="s">
        <v>28</v>
      </c>
      <c r="M37" s="12" t="str">
        <f t="shared" ca="1" si="0"/>
        <v>153044 Primaria</v>
      </c>
      <c r="N37" s="11"/>
      <c r="O37" s="11"/>
      <c r="P37" s="11"/>
      <c r="Q37" s="11"/>
      <c r="R37" s="11"/>
      <c r="S37" s="11"/>
      <c r="T37" s="11"/>
      <c r="U37" s="11"/>
      <c r="V37" s="11"/>
      <c r="W37" s="11"/>
      <c r="X37" s="11"/>
      <c r="Y37" s="11"/>
      <c r="Z37" s="11"/>
      <c r="AA37" s="11"/>
      <c r="AB37" s="11"/>
      <c r="AC37" s="11"/>
      <c r="AD37" s="11"/>
      <c r="AE37" s="11"/>
      <c r="AF37" s="11"/>
      <c r="AG37" s="11"/>
      <c r="AH37" s="11"/>
      <c r="AI37" s="11"/>
      <c r="AJ37" s="14"/>
    </row>
    <row r="38" spans="1:36" ht="14.25" customHeight="1" x14ac:dyDescent="0.25">
      <c r="A38" s="9">
        <v>37</v>
      </c>
      <c r="B38" s="10" t="s">
        <v>14</v>
      </c>
      <c r="C38" s="10" t="s">
        <v>15</v>
      </c>
      <c r="D38" s="10" t="s">
        <v>16</v>
      </c>
      <c r="E38" s="11" t="str">
        <f ca="1">IFERROR(__xludf.DUMMYFUNCTION("FILTER(Colegios!$B$2:$B2419,Colegios!$A$2:$A2419=L38)"),"15304")</f>
        <v>15304</v>
      </c>
      <c r="F38" s="11" t="s">
        <v>17</v>
      </c>
      <c r="G38" s="10" t="s">
        <v>18</v>
      </c>
      <c r="H38" s="11" t="s">
        <v>19</v>
      </c>
      <c r="I38" s="11" t="s">
        <v>20</v>
      </c>
      <c r="J38" s="12" t="str">
        <f ca="1">IFERROR(__xludf.DUMMYFUNCTION("FILTER('CLASFICACIÓN'!$F$3:$F2419,'CLASFICACIÓN'!$G$3:$G2419=M38)"),"2023 Y 2024")</f>
        <v>2023 Y 2024</v>
      </c>
      <c r="K38" s="12" t="s">
        <v>2012</v>
      </c>
      <c r="L38" s="11" t="s">
        <v>28</v>
      </c>
      <c r="M38" s="12" t="str">
        <f t="shared" ca="1" si="0"/>
        <v>153044 Primaria</v>
      </c>
      <c r="N38" s="11"/>
      <c r="O38" s="11"/>
      <c r="P38" s="11"/>
      <c r="Q38" s="11"/>
      <c r="R38" s="11"/>
      <c r="S38" s="11"/>
      <c r="T38" s="11"/>
      <c r="U38" s="11"/>
      <c r="V38" s="11"/>
      <c r="W38" s="11"/>
      <c r="X38" s="11"/>
      <c r="Y38" s="11"/>
      <c r="Z38" s="11"/>
      <c r="AA38" s="11"/>
      <c r="AB38" s="11"/>
      <c r="AC38" s="11"/>
      <c r="AD38" s="11"/>
      <c r="AE38" s="11"/>
      <c r="AF38" s="11"/>
      <c r="AG38" s="11"/>
      <c r="AH38" s="11"/>
      <c r="AI38" s="11"/>
      <c r="AJ38" s="14"/>
    </row>
    <row r="39" spans="1:36" ht="14.25" customHeight="1" x14ac:dyDescent="0.25">
      <c r="A39" s="9">
        <v>38</v>
      </c>
      <c r="B39" s="10" t="s">
        <v>14</v>
      </c>
      <c r="C39" s="10" t="s">
        <v>15</v>
      </c>
      <c r="D39" s="10" t="s">
        <v>16</v>
      </c>
      <c r="E39" s="11" t="str">
        <f ca="1">IFERROR(__xludf.DUMMYFUNCTION("FILTER(Colegios!$B$2:$B2419,Colegios!$A$2:$A2419=L39)"),"SAGRADO CORAZON DE JESUS")</f>
        <v>SAGRADO CORAZON DE JESUS</v>
      </c>
      <c r="F39" s="11" t="s">
        <v>17</v>
      </c>
      <c r="G39" s="10" t="s">
        <v>18</v>
      </c>
      <c r="H39" s="11" t="s">
        <v>19</v>
      </c>
      <c r="I39" s="11" t="s">
        <v>20</v>
      </c>
      <c r="J39" s="12" t="str">
        <f ca="1">IFERROR(__xludf.DUMMYFUNCTION("FILTER('CLASFICACIÓN'!$F$3:$F2419,'CLASFICACIÓN'!$G$3:$G2419=M39)"),"2023 Y 2024")</f>
        <v>2023 Y 2024</v>
      </c>
      <c r="K39" s="12" t="s">
        <v>2013</v>
      </c>
      <c r="L39" s="11" t="s">
        <v>29</v>
      </c>
      <c r="M39" s="12" t="str">
        <f t="shared" ca="1" si="0"/>
        <v>SAGRADO CORAZON DE JESUS4 Primaria</v>
      </c>
      <c r="N39" s="11"/>
      <c r="O39" s="11"/>
      <c r="P39" s="11"/>
      <c r="Q39" s="11"/>
      <c r="R39" s="11"/>
      <c r="S39" s="11"/>
      <c r="T39" s="11"/>
      <c r="U39" s="11"/>
      <c r="V39" s="11"/>
      <c r="W39" s="11"/>
      <c r="X39" s="11"/>
      <c r="Y39" s="11"/>
      <c r="Z39" s="11"/>
      <c r="AA39" s="11"/>
      <c r="AB39" s="11"/>
      <c r="AC39" s="11"/>
      <c r="AD39" s="11"/>
      <c r="AE39" s="11"/>
      <c r="AF39" s="11"/>
      <c r="AG39" s="11"/>
      <c r="AH39" s="11"/>
      <c r="AI39" s="11"/>
      <c r="AJ39" s="14"/>
    </row>
    <row r="40" spans="1:36" ht="14.25" customHeight="1" x14ac:dyDescent="0.25">
      <c r="A40" s="9">
        <v>39</v>
      </c>
      <c r="B40" s="10" t="s">
        <v>14</v>
      </c>
      <c r="C40" s="10" t="s">
        <v>15</v>
      </c>
      <c r="D40" s="10" t="s">
        <v>16</v>
      </c>
      <c r="E40" s="11" t="str">
        <f ca="1">IFERROR(__xludf.DUMMYFUNCTION("FILTER(Colegios!$B$2:$B2419,Colegios!$A$2:$A2419=L40)"),"SAGRADO CORAZON DE JESUS")</f>
        <v>SAGRADO CORAZON DE JESUS</v>
      </c>
      <c r="F40" s="11" t="s">
        <v>17</v>
      </c>
      <c r="G40" s="10" t="s">
        <v>18</v>
      </c>
      <c r="H40" s="11" t="s">
        <v>19</v>
      </c>
      <c r="I40" s="11" t="s">
        <v>20</v>
      </c>
      <c r="J40" s="12" t="str">
        <f ca="1">IFERROR(__xludf.DUMMYFUNCTION("FILTER('CLASFICACIÓN'!$F$3:$F2419,'CLASFICACIÓN'!$G$3:$G2419=M40)"),"2023 Y 2024")</f>
        <v>2023 Y 2024</v>
      </c>
      <c r="K40" s="12" t="s">
        <v>2013</v>
      </c>
      <c r="L40" s="11" t="s">
        <v>29</v>
      </c>
      <c r="M40" s="12" t="str">
        <f t="shared" ca="1" si="0"/>
        <v>SAGRADO CORAZON DE JESUS4 Primaria</v>
      </c>
      <c r="N40" s="11"/>
      <c r="O40" s="11"/>
      <c r="P40" s="11"/>
      <c r="Q40" s="11"/>
      <c r="R40" s="11"/>
      <c r="S40" s="11"/>
      <c r="T40" s="11"/>
      <c r="U40" s="11"/>
      <c r="V40" s="11"/>
      <c r="W40" s="11"/>
      <c r="X40" s="11"/>
      <c r="Y40" s="11"/>
      <c r="Z40" s="11"/>
      <c r="AA40" s="11"/>
      <c r="AB40" s="11"/>
      <c r="AC40" s="11"/>
      <c r="AD40" s="11"/>
      <c r="AE40" s="11"/>
      <c r="AF40" s="11"/>
      <c r="AG40" s="11"/>
      <c r="AH40" s="11"/>
      <c r="AI40" s="11"/>
      <c r="AJ40" s="14"/>
    </row>
    <row r="41" spans="1:36" ht="14.25" customHeight="1" x14ac:dyDescent="0.25">
      <c r="A41" s="9">
        <v>40</v>
      </c>
      <c r="B41" s="10" t="s">
        <v>14</v>
      </c>
      <c r="C41" s="10" t="s">
        <v>15</v>
      </c>
      <c r="D41" s="10" t="s">
        <v>16</v>
      </c>
      <c r="E41" s="11" t="str">
        <f ca="1">IFERROR(__xludf.DUMMYFUNCTION("FILTER(Colegios!$B$2:$B2419,Colegios!$A$2:$A2419=L41)"),"SAGRADO CORAZON DE JESUS")</f>
        <v>SAGRADO CORAZON DE JESUS</v>
      </c>
      <c r="F41" s="11" t="s">
        <v>17</v>
      </c>
      <c r="G41" s="10" t="s">
        <v>18</v>
      </c>
      <c r="H41" s="11" t="s">
        <v>19</v>
      </c>
      <c r="I41" s="11" t="s">
        <v>20</v>
      </c>
      <c r="J41" s="12" t="str">
        <f ca="1">IFERROR(__xludf.DUMMYFUNCTION("FILTER('CLASFICACIÓN'!$F$3:$F2419,'CLASFICACIÓN'!$G$3:$G2419=M41)"),"2023 Y 2024")</f>
        <v>2023 Y 2024</v>
      </c>
      <c r="K41" s="12" t="s">
        <v>2013</v>
      </c>
      <c r="L41" s="11" t="s">
        <v>29</v>
      </c>
      <c r="M41" s="12" t="str">
        <f t="shared" ca="1" si="0"/>
        <v>SAGRADO CORAZON DE JESUS4 Primaria</v>
      </c>
      <c r="N41" s="11"/>
      <c r="O41" s="11"/>
      <c r="P41" s="11"/>
      <c r="Q41" s="11"/>
      <c r="R41" s="11"/>
      <c r="S41" s="11"/>
      <c r="T41" s="11"/>
      <c r="U41" s="11"/>
      <c r="V41" s="11"/>
      <c r="W41" s="11"/>
      <c r="X41" s="11"/>
      <c r="Y41" s="11"/>
      <c r="Z41" s="11"/>
      <c r="AA41" s="11"/>
      <c r="AB41" s="11"/>
      <c r="AC41" s="11"/>
      <c r="AD41" s="11"/>
      <c r="AE41" s="11"/>
      <c r="AF41" s="11"/>
      <c r="AG41" s="11"/>
      <c r="AH41" s="11"/>
      <c r="AI41" s="11"/>
      <c r="AJ41" s="14"/>
    </row>
    <row r="42" spans="1:36" ht="14.25" customHeight="1" x14ac:dyDescent="0.25">
      <c r="A42" s="9">
        <v>41</v>
      </c>
      <c r="B42" s="10" t="s">
        <v>14</v>
      </c>
      <c r="C42" s="10" t="s">
        <v>15</v>
      </c>
      <c r="D42" s="10" t="s">
        <v>16</v>
      </c>
      <c r="E42" s="11" t="str">
        <f ca="1">IFERROR(__xludf.DUMMYFUNCTION("FILTER(Colegios!$B$2:$B2419,Colegios!$A$2:$A2419=L42)"),"SAGRADO CORAZON DE JESUS")</f>
        <v>SAGRADO CORAZON DE JESUS</v>
      </c>
      <c r="F42" s="11" t="s">
        <v>17</v>
      </c>
      <c r="G42" s="10" t="s">
        <v>18</v>
      </c>
      <c r="H42" s="11" t="s">
        <v>19</v>
      </c>
      <c r="I42" s="11" t="s">
        <v>20</v>
      </c>
      <c r="J42" s="12" t="str">
        <f ca="1">IFERROR(__xludf.DUMMYFUNCTION("FILTER('CLASFICACIÓN'!$F$3:$F2419,'CLASFICACIÓN'!$G$3:$G2419=M42)"),"2023 Y 2024")</f>
        <v>2023 Y 2024</v>
      </c>
      <c r="K42" s="12" t="s">
        <v>2013</v>
      </c>
      <c r="L42" s="11" t="s">
        <v>29</v>
      </c>
      <c r="M42" s="12" t="str">
        <f t="shared" ca="1" si="0"/>
        <v>SAGRADO CORAZON DE JESUS4 Primaria</v>
      </c>
      <c r="N42" s="11"/>
      <c r="O42" s="11"/>
      <c r="P42" s="11"/>
      <c r="Q42" s="11"/>
      <c r="R42" s="11"/>
      <c r="S42" s="11"/>
      <c r="T42" s="11"/>
      <c r="U42" s="11"/>
      <c r="V42" s="11"/>
      <c r="W42" s="11"/>
      <c r="X42" s="11"/>
      <c r="Y42" s="11"/>
      <c r="Z42" s="11"/>
      <c r="AA42" s="11"/>
      <c r="AB42" s="11"/>
      <c r="AC42" s="11"/>
      <c r="AD42" s="11"/>
      <c r="AE42" s="11"/>
      <c r="AF42" s="11"/>
      <c r="AG42" s="11"/>
      <c r="AH42" s="11"/>
      <c r="AI42" s="11"/>
      <c r="AJ42" s="14"/>
    </row>
    <row r="43" spans="1:36" ht="14.25" customHeight="1" x14ac:dyDescent="0.25">
      <c r="A43" s="9">
        <v>42</v>
      </c>
      <c r="B43" s="10" t="s">
        <v>14</v>
      </c>
      <c r="C43" s="10" t="s">
        <v>15</v>
      </c>
      <c r="D43" s="10" t="s">
        <v>16</v>
      </c>
      <c r="E43" s="11" t="str">
        <f ca="1">IFERROR(__xludf.DUMMYFUNCTION("FILTER(Colegios!$B$2:$B2419,Colegios!$A$2:$A2419=L43)"),"SAGRADO CORAZON DE JESUS")</f>
        <v>SAGRADO CORAZON DE JESUS</v>
      </c>
      <c r="F43" s="11" t="s">
        <v>17</v>
      </c>
      <c r="G43" s="10" t="s">
        <v>24</v>
      </c>
      <c r="H43" s="11" t="s">
        <v>19</v>
      </c>
      <c r="I43" s="11" t="s">
        <v>20</v>
      </c>
      <c r="J43" s="12" t="str">
        <f ca="1">IFERROR(__xludf.DUMMYFUNCTION("FILTER('CLASFICACIÓN'!$F$3:$F2419,'CLASFICACIÓN'!$G$3:$G2419=M43)"),"2023 Y 2024")</f>
        <v>2023 Y 2024</v>
      </c>
      <c r="K43" s="12" t="s">
        <v>2013</v>
      </c>
      <c r="L43" s="11" t="s">
        <v>29</v>
      </c>
      <c r="M43" s="12" t="str">
        <f t="shared" ca="1" si="0"/>
        <v>SAGRADO CORAZON DE JESUS4 Primaria</v>
      </c>
      <c r="N43" s="11"/>
      <c r="O43" s="11"/>
      <c r="P43" s="11"/>
      <c r="Q43" s="11"/>
      <c r="R43" s="11"/>
      <c r="S43" s="11"/>
      <c r="T43" s="11"/>
      <c r="U43" s="11"/>
      <c r="V43" s="11"/>
      <c r="W43" s="11"/>
      <c r="X43" s="11"/>
      <c r="Y43" s="11"/>
      <c r="Z43" s="11"/>
      <c r="AA43" s="11"/>
      <c r="AB43" s="11"/>
      <c r="AC43" s="11"/>
      <c r="AD43" s="11"/>
      <c r="AE43" s="11"/>
      <c r="AF43" s="11"/>
      <c r="AG43" s="11"/>
      <c r="AH43" s="11"/>
      <c r="AI43" s="11"/>
      <c r="AJ43" s="14"/>
    </row>
    <row r="44" spans="1:36" ht="14.25" customHeight="1" x14ac:dyDescent="0.25">
      <c r="A44" s="9">
        <v>43</v>
      </c>
      <c r="B44" s="10" t="s">
        <v>14</v>
      </c>
      <c r="C44" s="10" t="s">
        <v>15</v>
      </c>
      <c r="D44" s="10" t="s">
        <v>16</v>
      </c>
      <c r="E44" s="11" t="str">
        <f ca="1">IFERROR(__xludf.DUMMYFUNCTION("FILTER(Colegios!$B$2:$B2419,Colegios!$A$2:$A2419=L44)"),"SAGRADO CORAZON DE JESUS")</f>
        <v>SAGRADO CORAZON DE JESUS</v>
      </c>
      <c r="F44" s="11" t="s">
        <v>17</v>
      </c>
      <c r="G44" s="10" t="s">
        <v>24</v>
      </c>
      <c r="H44" s="11" t="s">
        <v>19</v>
      </c>
      <c r="I44" s="11" t="s">
        <v>20</v>
      </c>
      <c r="J44" s="12" t="str">
        <f ca="1">IFERROR(__xludf.DUMMYFUNCTION("FILTER('CLASFICACIÓN'!$F$3:$F2419,'CLASFICACIÓN'!$G$3:$G2419=M44)"),"2023 Y 2024")</f>
        <v>2023 Y 2024</v>
      </c>
      <c r="K44" s="12" t="s">
        <v>2013</v>
      </c>
      <c r="L44" s="11" t="s">
        <v>29</v>
      </c>
      <c r="M44" s="12" t="str">
        <f t="shared" ca="1" si="0"/>
        <v>SAGRADO CORAZON DE JESUS4 Primaria</v>
      </c>
      <c r="N44" s="11"/>
      <c r="O44" s="11"/>
      <c r="P44" s="11"/>
      <c r="Q44" s="11"/>
      <c r="R44" s="11"/>
      <c r="S44" s="11"/>
      <c r="T44" s="11"/>
      <c r="U44" s="11"/>
      <c r="V44" s="11"/>
      <c r="W44" s="11"/>
      <c r="X44" s="11"/>
      <c r="Y44" s="11"/>
      <c r="Z44" s="11"/>
      <c r="AA44" s="11"/>
      <c r="AB44" s="11"/>
      <c r="AC44" s="11"/>
      <c r="AD44" s="11"/>
      <c r="AE44" s="11"/>
      <c r="AF44" s="11"/>
      <c r="AG44" s="11"/>
      <c r="AH44" s="11"/>
      <c r="AI44" s="11"/>
      <c r="AJ44" s="14"/>
    </row>
    <row r="45" spans="1:36" ht="14.25" customHeight="1" x14ac:dyDescent="0.25">
      <c r="A45" s="9">
        <v>44</v>
      </c>
      <c r="B45" s="10" t="s">
        <v>14</v>
      </c>
      <c r="C45" s="10" t="s">
        <v>15</v>
      </c>
      <c r="D45" s="10" t="s">
        <v>16</v>
      </c>
      <c r="E45" s="11" t="str">
        <f ca="1">IFERROR(__xludf.DUMMYFUNCTION("FILTER(Colegios!$B$2:$B2419,Colegios!$A$2:$A2419=L45)"),"SAGRADO CORAZON DE JESUS")</f>
        <v>SAGRADO CORAZON DE JESUS</v>
      </c>
      <c r="F45" s="11" t="s">
        <v>17</v>
      </c>
      <c r="G45" s="10" t="s">
        <v>24</v>
      </c>
      <c r="H45" s="11" t="s">
        <v>19</v>
      </c>
      <c r="I45" s="11" t="s">
        <v>20</v>
      </c>
      <c r="J45" s="12" t="str">
        <f ca="1">IFERROR(__xludf.DUMMYFUNCTION("FILTER('CLASFICACIÓN'!$F$3:$F2419,'CLASFICACIÓN'!$G$3:$G2419=M45)"),"2023 Y 2024")</f>
        <v>2023 Y 2024</v>
      </c>
      <c r="K45" s="12" t="s">
        <v>2013</v>
      </c>
      <c r="L45" s="11" t="s">
        <v>29</v>
      </c>
      <c r="M45" s="12" t="str">
        <f t="shared" ca="1" si="0"/>
        <v>SAGRADO CORAZON DE JESUS4 Primaria</v>
      </c>
      <c r="N45" s="11"/>
      <c r="O45" s="11"/>
      <c r="P45" s="11"/>
      <c r="Q45" s="11"/>
      <c r="R45" s="11"/>
      <c r="S45" s="11"/>
      <c r="T45" s="11"/>
      <c r="U45" s="11"/>
      <c r="V45" s="11"/>
      <c r="W45" s="11"/>
      <c r="X45" s="11"/>
      <c r="Y45" s="11"/>
      <c r="Z45" s="11"/>
      <c r="AA45" s="11"/>
      <c r="AB45" s="11"/>
      <c r="AC45" s="11"/>
      <c r="AD45" s="11"/>
      <c r="AE45" s="11"/>
      <c r="AF45" s="11"/>
      <c r="AG45" s="11"/>
      <c r="AH45" s="11"/>
      <c r="AI45" s="11"/>
      <c r="AJ45" s="14"/>
    </row>
    <row r="46" spans="1:36" ht="14.25" customHeight="1" x14ac:dyDescent="0.25">
      <c r="A46" s="9">
        <v>45</v>
      </c>
      <c r="B46" s="10" t="s">
        <v>14</v>
      </c>
      <c r="C46" s="10" t="s">
        <v>15</v>
      </c>
      <c r="D46" s="10" t="s">
        <v>16</v>
      </c>
      <c r="E46" s="11" t="str">
        <f ca="1">IFERROR(__xludf.DUMMYFUNCTION("FILTER(Colegios!$B$2:$B2419,Colegios!$A$2:$A2419=L46)"),"14144 SANTA ROSA")</f>
        <v>14144 SANTA ROSA</v>
      </c>
      <c r="F46" s="11" t="s">
        <v>17</v>
      </c>
      <c r="G46" s="10" t="s">
        <v>24</v>
      </c>
      <c r="H46" s="11" t="s">
        <v>23</v>
      </c>
      <c r="I46" s="11" t="s">
        <v>20</v>
      </c>
      <c r="J46" s="12" t="str">
        <f ca="1">IFERROR(__xludf.DUMMYFUNCTION("FILTER('CLASFICACIÓN'!$F$3:$F2419,'CLASFICACIÓN'!$G$3:$G2419=M46)"),"2023 Y 2024")</f>
        <v>2023 Y 2024</v>
      </c>
      <c r="K46" s="12" t="s">
        <v>2012</v>
      </c>
      <c r="L46" s="11" t="s">
        <v>30</v>
      </c>
      <c r="M46" s="12" t="str">
        <f t="shared" ca="1" si="0"/>
        <v>14144 SANTA ROSA4 Primaria</v>
      </c>
      <c r="N46" s="11"/>
      <c r="O46" s="11"/>
      <c r="P46" s="11"/>
      <c r="Q46" s="11"/>
      <c r="R46" s="11"/>
      <c r="S46" s="11"/>
      <c r="T46" s="11"/>
      <c r="U46" s="11"/>
      <c r="V46" s="11"/>
      <c r="W46" s="11"/>
      <c r="X46" s="11"/>
      <c r="Y46" s="11"/>
      <c r="Z46" s="11"/>
      <c r="AA46" s="11"/>
      <c r="AB46" s="11"/>
      <c r="AC46" s="11"/>
      <c r="AD46" s="11"/>
      <c r="AE46" s="11"/>
      <c r="AF46" s="11"/>
      <c r="AG46" s="11"/>
      <c r="AH46" s="11"/>
      <c r="AI46" s="11"/>
      <c r="AJ46" s="14"/>
    </row>
    <row r="47" spans="1:36" ht="14.25" customHeight="1" x14ac:dyDescent="0.25">
      <c r="A47" s="9">
        <v>46</v>
      </c>
      <c r="B47" s="10" t="s">
        <v>14</v>
      </c>
      <c r="C47" s="10" t="s">
        <v>15</v>
      </c>
      <c r="D47" s="10" t="s">
        <v>16</v>
      </c>
      <c r="E47" s="11" t="str">
        <f ca="1">IFERROR(__xludf.DUMMYFUNCTION("FILTER(Colegios!$B$2:$B2419,Colegios!$A$2:$A2419=L47)"),"14144 SANTA ROSA")</f>
        <v>14144 SANTA ROSA</v>
      </c>
      <c r="F47" s="11" t="s">
        <v>17</v>
      </c>
      <c r="G47" s="10" t="s">
        <v>24</v>
      </c>
      <c r="H47" s="11" t="s">
        <v>19</v>
      </c>
      <c r="I47" s="11" t="s">
        <v>20</v>
      </c>
      <c r="J47" s="12" t="str">
        <f ca="1">IFERROR(__xludf.DUMMYFUNCTION("FILTER('CLASFICACIÓN'!$F$3:$F2419,'CLASFICACIÓN'!$G$3:$G2419=M47)"),"2023 Y 2024")</f>
        <v>2023 Y 2024</v>
      </c>
      <c r="K47" s="12" t="s">
        <v>2012</v>
      </c>
      <c r="L47" s="11" t="s">
        <v>30</v>
      </c>
      <c r="M47" s="12" t="str">
        <f t="shared" ca="1" si="0"/>
        <v>14144 SANTA ROSA4 Primaria</v>
      </c>
      <c r="N47" s="11"/>
      <c r="O47" s="11"/>
      <c r="P47" s="11"/>
      <c r="Q47" s="11"/>
      <c r="R47" s="11"/>
      <c r="S47" s="11"/>
      <c r="T47" s="11"/>
      <c r="U47" s="11"/>
      <c r="V47" s="11"/>
      <c r="W47" s="11"/>
      <c r="X47" s="11"/>
      <c r="Y47" s="11"/>
      <c r="Z47" s="11"/>
      <c r="AA47" s="11"/>
      <c r="AB47" s="11"/>
      <c r="AC47" s="11"/>
      <c r="AD47" s="11"/>
      <c r="AE47" s="11"/>
      <c r="AF47" s="11"/>
      <c r="AG47" s="11"/>
      <c r="AH47" s="11"/>
      <c r="AI47" s="11"/>
      <c r="AJ47" s="14"/>
    </row>
    <row r="48" spans="1:36" ht="14.25" customHeight="1" x14ac:dyDescent="0.25">
      <c r="A48" s="9">
        <v>47</v>
      </c>
      <c r="B48" s="10" t="s">
        <v>14</v>
      </c>
      <c r="C48" s="10" t="s">
        <v>15</v>
      </c>
      <c r="D48" s="10" t="s">
        <v>16</v>
      </c>
      <c r="E48" s="11" t="str">
        <f ca="1">IFERROR(__xludf.DUMMYFUNCTION("FILTER(Colegios!$B$2:$B2419,Colegios!$A$2:$A2419=L48)"),"14144 SANTA ROSA")</f>
        <v>14144 SANTA ROSA</v>
      </c>
      <c r="F48" s="11" t="s">
        <v>17</v>
      </c>
      <c r="G48" s="10" t="s">
        <v>24</v>
      </c>
      <c r="H48" s="11" t="s">
        <v>19</v>
      </c>
      <c r="I48" s="11" t="s">
        <v>20</v>
      </c>
      <c r="J48" s="12" t="str">
        <f ca="1">IFERROR(__xludf.DUMMYFUNCTION("FILTER('CLASFICACIÓN'!$F$3:$F2419,'CLASFICACIÓN'!$G$3:$G2419=M48)"),"2023 Y 2024")</f>
        <v>2023 Y 2024</v>
      </c>
      <c r="K48" s="12" t="s">
        <v>2012</v>
      </c>
      <c r="L48" s="11" t="s">
        <v>30</v>
      </c>
      <c r="M48" s="12" t="str">
        <f t="shared" ca="1" si="0"/>
        <v>14144 SANTA ROSA4 Primaria</v>
      </c>
      <c r="N48" s="11"/>
      <c r="O48" s="11"/>
      <c r="P48" s="11"/>
      <c r="Q48" s="11"/>
      <c r="R48" s="11"/>
      <c r="S48" s="11"/>
      <c r="T48" s="11"/>
      <c r="U48" s="11"/>
      <c r="V48" s="11"/>
      <c r="W48" s="11"/>
      <c r="X48" s="11"/>
      <c r="Y48" s="11"/>
      <c r="Z48" s="11"/>
      <c r="AA48" s="11"/>
      <c r="AB48" s="11"/>
      <c r="AC48" s="11"/>
      <c r="AD48" s="11"/>
      <c r="AE48" s="11"/>
      <c r="AF48" s="11"/>
      <c r="AG48" s="11"/>
      <c r="AH48" s="11"/>
      <c r="AI48" s="11"/>
      <c r="AJ48" s="14"/>
    </row>
    <row r="49" spans="1:36" ht="14.25" customHeight="1" x14ac:dyDescent="0.25">
      <c r="A49" s="9">
        <v>48</v>
      </c>
      <c r="B49" s="10" t="s">
        <v>14</v>
      </c>
      <c r="C49" s="10" t="s">
        <v>15</v>
      </c>
      <c r="D49" s="10" t="s">
        <v>16</v>
      </c>
      <c r="E49" s="11" t="str">
        <f ca="1">IFERROR(__xludf.DUMMYFUNCTION("FILTER(Colegios!$B$2:$B2419,Colegios!$A$2:$A2419=L49)"),"14144 SANTA ROSA")</f>
        <v>14144 SANTA ROSA</v>
      </c>
      <c r="F49" s="11" t="s">
        <v>17</v>
      </c>
      <c r="G49" s="10" t="s">
        <v>24</v>
      </c>
      <c r="H49" s="11" t="s">
        <v>23</v>
      </c>
      <c r="I49" s="11" t="s">
        <v>20</v>
      </c>
      <c r="J49" s="12" t="str">
        <f ca="1">IFERROR(__xludf.DUMMYFUNCTION("FILTER('CLASFICACIÓN'!$F$3:$F2419,'CLASFICACIÓN'!$G$3:$G2419=M49)"),"2023 Y 2024")</f>
        <v>2023 Y 2024</v>
      </c>
      <c r="K49" s="12" t="s">
        <v>2012</v>
      </c>
      <c r="L49" s="11" t="s">
        <v>30</v>
      </c>
      <c r="M49" s="12" t="str">
        <f t="shared" ca="1" si="0"/>
        <v>14144 SANTA ROSA4 Primaria</v>
      </c>
      <c r="N49" s="11"/>
      <c r="O49" s="11"/>
      <c r="P49" s="11"/>
      <c r="Q49" s="11"/>
      <c r="R49" s="11"/>
      <c r="S49" s="11"/>
      <c r="T49" s="11"/>
      <c r="U49" s="11"/>
      <c r="V49" s="11"/>
      <c r="W49" s="11"/>
      <c r="X49" s="11"/>
      <c r="Y49" s="11"/>
      <c r="Z49" s="11"/>
      <c r="AA49" s="11"/>
      <c r="AB49" s="11"/>
      <c r="AC49" s="11"/>
      <c r="AD49" s="11"/>
      <c r="AE49" s="11"/>
      <c r="AF49" s="11"/>
      <c r="AG49" s="11"/>
      <c r="AH49" s="11"/>
      <c r="AI49" s="11"/>
      <c r="AJ49" s="14"/>
    </row>
    <row r="50" spans="1:36" ht="14.25" customHeight="1" x14ac:dyDescent="0.25">
      <c r="A50" s="9">
        <v>49</v>
      </c>
      <c r="B50" s="10" t="s">
        <v>14</v>
      </c>
      <c r="C50" s="10" t="s">
        <v>15</v>
      </c>
      <c r="D50" s="10" t="s">
        <v>16</v>
      </c>
      <c r="E50" s="11" t="str">
        <f ca="1">IFERROR(__xludf.DUMMYFUNCTION("FILTER(Colegios!$B$2:$B2419,Colegios!$A$2:$A2419=L50)"),"14144 SANTA ROSA")</f>
        <v>14144 SANTA ROSA</v>
      </c>
      <c r="F50" s="11" t="s">
        <v>17</v>
      </c>
      <c r="G50" s="10" t="s">
        <v>18</v>
      </c>
      <c r="H50" s="11" t="s">
        <v>19</v>
      </c>
      <c r="I50" s="11" t="s">
        <v>20</v>
      </c>
      <c r="J50" s="12" t="str">
        <f ca="1">IFERROR(__xludf.DUMMYFUNCTION("FILTER('CLASFICACIÓN'!$F$3:$F2419,'CLASFICACIÓN'!$G$3:$G2419=M50)"),"2023 Y 2024")</f>
        <v>2023 Y 2024</v>
      </c>
      <c r="K50" s="12" t="s">
        <v>2012</v>
      </c>
      <c r="L50" s="11" t="s">
        <v>30</v>
      </c>
      <c r="M50" s="12" t="str">
        <f t="shared" ca="1" si="0"/>
        <v>14144 SANTA ROSA4 Primaria</v>
      </c>
      <c r="N50" s="11"/>
      <c r="O50" s="11"/>
      <c r="P50" s="11"/>
      <c r="Q50" s="11"/>
      <c r="R50" s="11"/>
      <c r="S50" s="11"/>
      <c r="T50" s="11"/>
      <c r="U50" s="11"/>
      <c r="V50" s="11"/>
      <c r="W50" s="11"/>
      <c r="X50" s="11"/>
      <c r="Y50" s="11"/>
      <c r="Z50" s="11"/>
      <c r="AA50" s="11"/>
      <c r="AB50" s="11"/>
      <c r="AC50" s="11"/>
      <c r="AD50" s="11"/>
      <c r="AE50" s="11"/>
      <c r="AF50" s="11"/>
      <c r="AG50" s="11"/>
      <c r="AH50" s="11"/>
      <c r="AI50" s="11"/>
      <c r="AJ50" s="14"/>
    </row>
    <row r="51" spans="1:36" ht="14.25" customHeight="1" x14ac:dyDescent="0.25">
      <c r="A51" s="9">
        <v>50</v>
      </c>
      <c r="B51" s="10" t="s">
        <v>14</v>
      </c>
      <c r="C51" s="10" t="s">
        <v>15</v>
      </c>
      <c r="D51" s="10" t="s">
        <v>16</v>
      </c>
      <c r="E51" s="11" t="str">
        <f ca="1">IFERROR(__xludf.DUMMYFUNCTION("FILTER(Colegios!$B$2:$B2419,Colegios!$A$2:$A2419=L51)"),"14144 SANTA ROSA")</f>
        <v>14144 SANTA ROSA</v>
      </c>
      <c r="F51" s="11" t="s">
        <v>17</v>
      </c>
      <c r="G51" s="10" t="s">
        <v>18</v>
      </c>
      <c r="H51" s="11" t="s">
        <v>19</v>
      </c>
      <c r="I51" s="11" t="s">
        <v>20</v>
      </c>
      <c r="J51" s="12" t="str">
        <f ca="1">IFERROR(__xludf.DUMMYFUNCTION("FILTER('CLASFICACIÓN'!$F$3:$F2419,'CLASFICACIÓN'!$G$3:$G2419=M51)"),"2023 Y 2024")</f>
        <v>2023 Y 2024</v>
      </c>
      <c r="K51" s="12" t="s">
        <v>2012</v>
      </c>
      <c r="L51" s="11" t="s">
        <v>30</v>
      </c>
      <c r="M51" s="12" t="str">
        <f t="shared" ca="1" si="0"/>
        <v>14144 SANTA ROSA4 Primaria</v>
      </c>
      <c r="N51" s="11"/>
      <c r="O51" s="11"/>
      <c r="P51" s="11"/>
      <c r="Q51" s="11"/>
      <c r="R51" s="11"/>
      <c r="S51" s="11"/>
      <c r="T51" s="11"/>
      <c r="U51" s="11"/>
      <c r="V51" s="11"/>
      <c r="W51" s="11"/>
      <c r="X51" s="11"/>
      <c r="Y51" s="11"/>
      <c r="Z51" s="11"/>
      <c r="AA51" s="11"/>
      <c r="AB51" s="11"/>
      <c r="AC51" s="11"/>
      <c r="AD51" s="11"/>
      <c r="AE51" s="11"/>
      <c r="AF51" s="11"/>
      <c r="AG51" s="11"/>
      <c r="AH51" s="11"/>
      <c r="AI51" s="11"/>
      <c r="AJ51" s="14"/>
    </row>
    <row r="52" spans="1:36" ht="14.25" customHeight="1" x14ac:dyDescent="0.25">
      <c r="A52" s="9">
        <v>51</v>
      </c>
      <c r="B52" s="10" t="s">
        <v>14</v>
      </c>
      <c r="C52" s="10" t="s">
        <v>15</v>
      </c>
      <c r="D52" s="10" t="s">
        <v>16</v>
      </c>
      <c r="E52" s="11" t="str">
        <f ca="1">IFERROR(__xludf.DUMMYFUNCTION("FILTER(Colegios!$B$2:$B2419,Colegios!$A$2:$A2419=L52)"),"14144 SANTA ROSA")</f>
        <v>14144 SANTA ROSA</v>
      </c>
      <c r="F52" s="11" t="s">
        <v>17</v>
      </c>
      <c r="G52" s="10" t="s">
        <v>18</v>
      </c>
      <c r="H52" s="11" t="s">
        <v>19</v>
      </c>
      <c r="I52" s="11" t="s">
        <v>20</v>
      </c>
      <c r="J52" s="12" t="str">
        <f ca="1">IFERROR(__xludf.DUMMYFUNCTION("FILTER('CLASFICACIÓN'!$F$3:$F2419,'CLASFICACIÓN'!$G$3:$G2419=M52)"),"2023 Y 2024")</f>
        <v>2023 Y 2024</v>
      </c>
      <c r="K52" s="12" t="s">
        <v>2012</v>
      </c>
      <c r="L52" s="11" t="s">
        <v>30</v>
      </c>
      <c r="M52" s="12" t="str">
        <f t="shared" ca="1" si="0"/>
        <v>14144 SANTA ROSA4 Primaria</v>
      </c>
      <c r="N52" s="11"/>
      <c r="O52" s="11"/>
      <c r="P52" s="11"/>
      <c r="Q52" s="11"/>
      <c r="R52" s="11"/>
      <c r="S52" s="11"/>
      <c r="T52" s="11"/>
      <c r="U52" s="11"/>
      <c r="V52" s="11"/>
      <c r="W52" s="11"/>
      <c r="X52" s="11"/>
      <c r="Y52" s="11"/>
      <c r="Z52" s="11"/>
      <c r="AA52" s="11"/>
      <c r="AB52" s="11"/>
      <c r="AC52" s="11"/>
      <c r="AD52" s="11"/>
      <c r="AE52" s="11"/>
      <c r="AF52" s="11"/>
      <c r="AG52" s="11"/>
      <c r="AH52" s="11"/>
      <c r="AI52" s="11"/>
      <c r="AJ52" s="14"/>
    </row>
    <row r="53" spans="1:36" ht="14.25" customHeight="1" x14ac:dyDescent="0.25">
      <c r="A53" s="9">
        <v>52</v>
      </c>
      <c r="B53" s="10" t="s">
        <v>14</v>
      </c>
      <c r="C53" s="10" t="s">
        <v>15</v>
      </c>
      <c r="D53" s="10" t="s">
        <v>16</v>
      </c>
      <c r="E53" s="11" t="str">
        <f ca="1">IFERROR(__xludf.DUMMYFUNCTION("FILTER(Colegios!$B$2:$B2419,Colegios!$A$2:$A2419=L53)"),"14144 SANTA ROSA")</f>
        <v>14144 SANTA ROSA</v>
      </c>
      <c r="F53" s="11" t="s">
        <v>17</v>
      </c>
      <c r="G53" s="10" t="s">
        <v>18</v>
      </c>
      <c r="H53" s="11" t="s">
        <v>19</v>
      </c>
      <c r="I53" s="11" t="s">
        <v>20</v>
      </c>
      <c r="J53" s="12" t="str">
        <f ca="1">IFERROR(__xludf.DUMMYFUNCTION("FILTER('CLASFICACIÓN'!$F$3:$F2419,'CLASFICACIÓN'!$G$3:$G2419=M53)"),"2023 Y 2024")</f>
        <v>2023 Y 2024</v>
      </c>
      <c r="K53" s="12" t="s">
        <v>2012</v>
      </c>
      <c r="L53" s="11" t="s">
        <v>30</v>
      </c>
      <c r="M53" s="12" t="str">
        <f t="shared" ca="1" si="0"/>
        <v>14144 SANTA ROSA4 Primaria</v>
      </c>
      <c r="N53" s="11"/>
      <c r="O53" s="11"/>
      <c r="P53" s="11"/>
      <c r="Q53" s="11"/>
      <c r="R53" s="11"/>
      <c r="S53" s="11"/>
      <c r="T53" s="11"/>
      <c r="U53" s="11"/>
      <c r="V53" s="11"/>
      <c r="W53" s="11"/>
      <c r="X53" s="11"/>
      <c r="Y53" s="11"/>
      <c r="Z53" s="11"/>
      <c r="AA53" s="11"/>
      <c r="AB53" s="11"/>
      <c r="AC53" s="11"/>
      <c r="AD53" s="11"/>
      <c r="AE53" s="11"/>
      <c r="AF53" s="11"/>
      <c r="AG53" s="11"/>
      <c r="AH53" s="11"/>
      <c r="AI53" s="11"/>
      <c r="AJ53" s="14"/>
    </row>
    <row r="54" spans="1:36" ht="14.25" customHeight="1" x14ac:dyDescent="0.25">
      <c r="A54" s="9">
        <v>53</v>
      </c>
      <c r="B54" s="10" t="s">
        <v>14</v>
      </c>
      <c r="C54" s="10" t="s">
        <v>15</v>
      </c>
      <c r="D54" s="10" t="s">
        <v>16</v>
      </c>
      <c r="E54" s="11" t="str">
        <f ca="1">IFERROR(__xludf.DUMMYFUNCTION("FILTER(Colegios!$B$2:$B2419,Colegios!$A$2:$A2419=L54)"),"14144 SANTA ROSA")</f>
        <v>14144 SANTA ROSA</v>
      </c>
      <c r="F54" s="11" t="s">
        <v>17</v>
      </c>
      <c r="G54" s="10" t="s">
        <v>18</v>
      </c>
      <c r="H54" s="11" t="s">
        <v>19</v>
      </c>
      <c r="I54" s="11" t="s">
        <v>20</v>
      </c>
      <c r="J54" s="12" t="str">
        <f ca="1">IFERROR(__xludf.DUMMYFUNCTION("FILTER('CLASFICACIÓN'!$F$3:$F2419,'CLASFICACIÓN'!$G$3:$G2419=M54)"),"2023 Y 2024")</f>
        <v>2023 Y 2024</v>
      </c>
      <c r="K54" s="12" t="s">
        <v>2012</v>
      </c>
      <c r="L54" s="11" t="s">
        <v>30</v>
      </c>
      <c r="M54" s="12" t="str">
        <f t="shared" ca="1" si="0"/>
        <v>14144 SANTA ROSA4 Primaria</v>
      </c>
      <c r="N54" s="11"/>
      <c r="O54" s="11"/>
      <c r="P54" s="11"/>
      <c r="Q54" s="11"/>
      <c r="R54" s="11"/>
      <c r="S54" s="11"/>
      <c r="T54" s="11"/>
      <c r="U54" s="11"/>
      <c r="V54" s="11"/>
      <c r="W54" s="11"/>
      <c r="X54" s="11"/>
      <c r="Y54" s="11"/>
      <c r="Z54" s="11"/>
      <c r="AA54" s="11"/>
      <c r="AB54" s="11"/>
      <c r="AC54" s="11"/>
      <c r="AD54" s="11"/>
      <c r="AE54" s="11"/>
      <c r="AF54" s="11"/>
      <c r="AG54" s="11"/>
      <c r="AH54" s="11"/>
      <c r="AI54" s="11"/>
      <c r="AJ54" s="14"/>
    </row>
    <row r="55" spans="1:36" ht="14.25" customHeight="1" x14ac:dyDescent="0.25">
      <c r="A55" s="9">
        <v>54</v>
      </c>
      <c r="B55" s="10" t="s">
        <v>14</v>
      </c>
      <c r="C55" s="10" t="s">
        <v>15</v>
      </c>
      <c r="D55" s="10" t="s">
        <v>16</v>
      </c>
      <c r="E55" s="11" t="str">
        <f ca="1">IFERROR(__xludf.DUMMYFUNCTION("FILTER(Colegios!$B$2:$B2419,Colegios!$A$2:$A2419=L55)"),"14144 SANTA ROSA")</f>
        <v>14144 SANTA ROSA</v>
      </c>
      <c r="F55" s="11" t="s">
        <v>17</v>
      </c>
      <c r="G55" s="10" t="s">
        <v>18</v>
      </c>
      <c r="H55" s="11" t="s">
        <v>19</v>
      </c>
      <c r="I55" s="11" t="s">
        <v>20</v>
      </c>
      <c r="J55" s="12" t="str">
        <f ca="1">IFERROR(__xludf.DUMMYFUNCTION("FILTER('CLASFICACIÓN'!$F$3:$F2419,'CLASFICACIÓN'!$G$3:$G2419=M55)"),"2023 Y 2024")</f>
        <v>2023 Y 2024</v>
      </c>
      <c r="K55" s="12" t="s">
        <v>2012</v>
      </c>
      <c r="L55" s="11" t="s">
        <v>30</v>
      </c>
      <c r="M55" s="12" t="str">
        <f t="shared" ca="1" si="0"/>
        <v>14144 SANTA ROSA4 Primaria</v>
      </c>
      <c r="N55" s="11"/>
      <c r="O55" s="11"/>
      <c r="P55" s="11"/>
      <c r="Q55" s="11"/>
      <c r="R55" s="11"/>
      <c r="S55" s="11"/>
      <c r="T55" s="11"/>
      <c r="U55" s="11"/>
      <c r="V55" s="11"/>
      <c r="W55" s="11"/>
      <c r="X55" s="11"/>
      <c r="Y55" s="11"/>
      <c r="Z55" s="11"/>
      <c r="AA55" s="11"/>
      <c r="AB55" s="11"/>
      <c r="AC55" s="11"/>
      <c r="AD55" s="11"/>
      <c r="AE55" s="11"/>
      <c r="AF55" s="11"/>
      <c r="AG55" s="11"/>
      <c r="AH55" s="11"/>
      <c r="AI55" s="11"/>
      <c r="AJ55" s="14"/>
    </row>
    <row r="56" spans="1:36" ht="14.25" customHeight="1" x14ac:dyDescent="0.25">
      <c r="A56" s="9">
        <v>55</v>
      </c>
      <c r="B56" s="10" t="s">
        <v>14</v>
      </c>
      <c r="C56" s="10" t="s">
        <v>15</v>
      </c>
      <c r="D56" s="10" t="s">
        <v>16</v>
      </c>
      <c r="E56" s="11" t="str">
        <f ca="1">IFERROR(__xludf.DUMMYFUNCTION("FILTER(Colegios!$B$2:$B2419,Colegios!$A$2:$A2419=L56)"),"14144 SANTA ROSA")</f>
        <v>14144 SANTA ROSA</v>
      </c>
      <c r="F56" s="11" t="s">
        <v>17</v>
      </c>
      <c r="G56" s="10" t="s">
        <v>18</v>
      </c>
      <c r="H56" s="11" t="s">
        <v>19</v>
      </c>
      <c r="I56" s="11" t="s">
        <v>20</v>
      </c>
      <c r="J56" s="12" t="str">
        <f ca="1">IFERROR(__xludf.DUMMYFUNCTION("FILTER('CLASFICACIÓN'!$F$3:$F2419,'CLASFICACIÓN'!$G$3:$G2419=M56)"),"2023 Y 2024")</f>
        <v>2023 Y 2024</v>
      </c>
      <c r="K56" s="12" t="s">
        <v>2012</v>
      </c>
      <c r="L56" s="11" t="s">
        <v>30</v>
      </c>
      <c r="M56" s="12" t="str">
        <f t="shared" ca="1" si="0"/>
        <v>14144 SANTA ROSA4 Primaria</v>
      </c>
      <c r="N56" s="11"/>
      <c r="O56" s="11"/>
      <c r="P56" s="11"/>
      <c r="Q56" s="11"/>
      <c r="R56" s="11"/>
      <c r="S56" s="11"/>
      <c r="T56" s="11"/>
      <c r="U56" s="11"/>
      <c r="V56" s="11"/>
      <c r="W56" s="11"/>
      <c r="X56" s="11"/>
      <c r="Y56" s="11"/>
      <c r="Z56" s="11"/>
      <c r="AA56" s="11"/>
      <c r="AB56" s="11"/>
      <c r="AC56" s="11"/>
      <c r="AD56" s="11"/>
      <c r="AE56" s="11"/>
      <c r="AF56" s="11"/>
      <c r="AG56" s="11"/>
      <c r="AH56" s="11"/>
      <c r="AI56" s="11"/>
      <c r="AJ56" s="14"/>
    </row>
    <row r="57" spans="1:36" ht="14.25" customHeight="1" x14ac:dyDescent="0.25">
      <c r="A57" s="9">
        <v>56</v>
      </c>
      <c r="B57" s="10" t="s">
        <v>14</v>
      </c>
      <c r="C57" s="10" t="s">
        <v>15</v>
      </c>
      <c r="D57" s="10" t="s">
        <v>16</v>
      </c>
      <c r="E57" s="11" t="str">
        <f ca="1">IFERROR(__xludf.DUMMYFUNCTION("FILTER(Colegios!$B$2:$B2419,Colegios!$A$2:$A2419=L57)"),"14144 SANTA ROSA")</f>
        <v>14144 SANTA ROSA</v>
      </c>
      <c r="F57" s="11" t="s">
        <v>17</v>
      </c>
      <c r="G57" s="10" t="s">
        <v>18</v>
      </c>
      <c r="H57" s="11" t="s">
        <v>23</v>
      </c>
      <c r="I57" s="11" t="s">
        <v>20</v>
      </c>
      <c r="J57" s="12" t="str">
        <f ca="1">IFERROR(__xludf.DUMMYFUNCTION("FILTER('CLASFICACIÓN'!$F$3:$F2419,'CLASFICACIÓN'!$G$3:$G2419=M57)"),"2023 Y 2024")</f>
        <v>2023 Y 2024</v>
      </c>
      <c r="K57" s="12" t="s">
        <v>2012</v>
      </c>
      <c r="L57" s="11" t="s">
        <v>30</v>
      </c>
      <c r="M57" s="12" t="str">
        <f t="shared" ca="1" si="0"/>
        <v>14144 SANTA ROSA4 Primaria</v>
      </c>
      <c r="N57" s="11"/>
      <c r="O57" s="11"/>
      <c r="P57" s="11"/>
      <c r="Q57" s="11"/>
      <c r="R57" s="11"/>
      <c r="S57" s="11"/>
      <c r="T57" s="11"/>
      <c r="U57" s="11"/>
      <c r="V57" s="11"/>
      <c r="W57" s="11"/>
      <c r="X57" s="11"/>
      <c r="Y57" s="11"/>
      <c r="Z57" s="11"/>
      <c r="AA57" s="11"/>
      <c r="AB57" s="11"/>
      <c r="AC57" s="11"/>
      <c r="AD57" s="11"/>
      <c r="AE57" s="11"/>
      <c r="AF57" s="11"/>
      <c r="AG57" s="11"/>
      <c r="AH57" s="11"/>
      <c r="AI57" s="11"/>
      <c r="AJ57" s="14"/>
    </row>
    <row r="58" spans="1:36" ht="14.25" customHeight="1" x14ac:dyDescent="0.25">
      <c r="A58" s="9">
        <v>57</v>
      </c>
      <c r="B58" s="10" t="s">
        <v>14</v>
      </c>
      <c r="C58" s="10" t="s">
        <v>15</v>
      </c>
      <c r="D58" s="10" t="s">
        <v>16</v>
      </c>
      <c r="E58" s="11" t="str">
        <f ca="1">IFERROR(__xludf.DUMMYFUNCTION("FILTER(Colegios!$B$2:$B2419,Colegios!$A$2:$A2419=L58)"),"14144 SANTA ROSA")</f>
        <v>14144 SANTA ROSA</v>
      </c>
      <c r="F58" s="11" t="s">
        <v>17</v>
      </c>
      <c r="G58" s="10" t="s">
        <v>18</v>
      </c>
      <c r="H58" s="11" t="s">
        <v>23</v>
      </c>
      <c r="I58" s="11" t="s">
        <v>20</v>
      </c>
      <c r="J58" s="12" t="str">
        <f ca="1">IFERROR(__xludf.DUMMYFUNCTION("FILTER('CLASFICACIÓN'!$F$3:$F2419,'CLASFICACIÓN'!$G$3:$G2419=M58)"),"2023 Y 2024")</f>
        <v>2023 Y 2024</v>
      </c>
      <c r="K58" s="12" t="s">
        <v>2012</v>
      </c>
      <c r="L58" s="11" t="s">
        <v>30</v>
      </c>
      <c r="M58" s="12" t="str">
        <f t="shared" ca="1" si="0"/>
        <v>14144 SANTA ROSA4 Primaria</v>
      </c>
      <c r="N58" s="11"/>
      <c r="O58" s="11"/>
      <c r="P58" s="11"/>
      <c r="Q58" s="11"/>
      <c r="R58" s="11"/>
      <c r="S58" s="11"/>
      <c r="T58" s="11"/>
      <c r="U58" s="11"/>
      <c r="V58" s="11"/>
      <c r="W58" s="11"/>
      <c r="X58" s="11"/>
      <c r="Y58" s="11"/>
      <c r="Z58" s="11"/>
      <c r="AA58" s="11"/>
      <c r="AB58" s="11"/>
      <c r="AC58" s="11"/>
      <c r="AD58" s="11"/>
      <c r="AE58" s="11"/>
      <c r="AF58" s="11"/>
      <c r="AG58" s="11"/>
      <c r="AH58" s="11"/>
      <c r="AI58" s="11"/>
      <c r="AJ58" s="14"/>
    </row>
    <row r="59" spans="1:36" ht="14.25" customHeight="1" x14ac:dyDescent="0.25">
      <c r="A59" s="9">
        <v>58</v>
      </c>
      <c r="B59" s="10" t="s">
        <v>14</v>
      </c>
      <c r="C59" s="10" t="s">
        <v>15</v>
      </c>
      <c r="D59" s="10" t="s">
        <v>16</v>
      </c>
      <c r="E59" s="11" t="str">
        <f ca="1">IFERROR(__xludf.DUMMYFUNCTION("FILTER(Colegios!$B$2:$B2419,Colegios!$A$2:$A2419=L59)"),"14144 SANTA ROSA")</f>
        <v>14144 SANTA ROSA</v>
      </c>
      <c r="F59" s="11" t="s">
        <v>17</v>
      </c>
      <c r="G59" s="10" t="s">
        <v>18</v>
      </c>
      <c r="H59" s="11" t="s">
        <v>23</v>
      </c>
      <c r="I59" s="11" t="s">
        <v>20</v>
      </c>
      <c r="J59" s="12" t="str">
        <f ca="1">IFERROR(__xludf.DUMMYFUNCTION("FILTER('CLASFICACIÓN'!$F$3:$F2419,'CLASFICACIÓN'!$G$3:$G2419=M59)"),"2023 Y 2024")</f>
        <v>2023 Y 2024</v>
      </c>
      <c r="K59" s="12" t="s">
        <v>2012</v>
      </c>
      <c r="L59" s="11" t="s">
        <v>30</v>
      </c>
      <c r="M59" s="12" t="str">
        <f t="shared" ca="1" si="0"/>
        <v>14144 SANTA ROSA4 Primaria</v>
      </c>
      <c r="N59" s="11"/>
      <c r="O59" s="11"/>
      <c r="P59" s="11"/>
      <c r="Q59" s="11"/>
      <c r="R59" s="11"/>
      <c r="S59" s="11"/>
      <c r="T59" s="11"/>
      <c r="U59" s="11"/>
      <c r="V59" s="11"/>
      <c r="W59" s="11"/>
      <c r="X59" s="11"/>
      <c r="Y59" s="11"/>
      <c r="Z59" s="11"/>
      <c r="AA59" s="11"/>
      <c r="AB59" s="11"/>
      <c r="AC59" s="11"/>
      <c r="AD59" s="11"/>
      <c r="AE59" s="11"/>
      <c r="AF59" s="11"/>
      <c r="AG59" s="11"/>
      <c r="AH59" s="11"/>
      <c r="AI59" s="11"/>
      <c r="AJ59" s="14"/>
    </row>
    <row r="60" spans="1:36" ht="14.25" customHeight="1" x14ac:dyDescent="0.25">
      <c r="A60" s="9">
        <v>59</v>
      </c>
      <c r="B60" s="10" t="s">
        <v>14</v>
      </c>
      <c r="C60" s="10" t="s">
        <v>15</v>
      </c>
      <c r="D60" s="10" t="s">
        <v>16</v>
      </c>
      <c r="E60" s="11" t="str">
        <f ca="1">IFERROR(__xludf.DUMMYFUNCTION("FILTER(Colegios!$B$2:$B2419,Colegios!$A$2:$A2419=L60)"),"14144 SANTA ROSA")</f>
        <v>14144 SANTA ROSA</v>
      </c>
      <c r="F60" s="11" t="s">
        <v>17</v>
      </c>
      <c r="G60" s="10" t="s">
        <v>18</v>
      </c>
      <c r="H60" s="11" t="s">
        <v>25</v>
      </c>
      <c r="I60" s="11" t="s">
        <v>20</v>
      </c>
      <c r="J60" s="12" t="str">
        <f ca="1">IFERROR(__xludf.DUMMYFUNCTION("FILTER('CLASFICACIÓN'!$F$3:$F2419,'CLASFICACIÓN'!$G$3:$G2419=M60)"),"2023 Y 2024")</f>
        <v>2023 Y 2024</v>
      </c>
      <c r="K60" s="12" t="s">
        <v>2012</v>
      </c>
      <c r="L60" s="11" t="s">
        <v>30</v>
      </c>
      <c r="M60" s="12" t="str">
        <f t="shared" ca="1" si="0"/>
        <v>14144 SANTA ROSA4 Primaria</v>
      </c>
      <c r="N60" s="11"/>
      <c r="O60" s="11"/>
      <c r="P60" s="11"/>
      <c r="Q60" s="11"/>
      <c r="R60" s="11"/>
      <c r="S60" s="11"/>
      <c r="T60" s="11"/>
      <c r="U60" s="11"/>
      <c r="V60" s="11"/>
      <c r="W60" s="11"/>
      <c r="X60" s="11"/>
      <c r="Y60" s="11"/>
      <c r="Z60" s="11"/>
      <c r="AA60" s="11"/>
      <c r="AB60" s="11"/>
      <c r="AC60" s="11"/>
      <c r="AD60" s="11"/>
      <c r="AE60" s="11"/>
      <c r="AF60" s="11"/>
      <c r="AG60" s="11"/>
      <c r="AH60" s="11"/>
      <c r="AI60" s="11"/>
      <c r="AJ60" s="14"/>
    </row>
    <row r="61" spans="1:36" ht="14.25" customHeight="1" x14ac:dyDescent="0.25">
      <c r="A61" s="9">
        <v>60</v>
      </c>
      <c r="B61" s="10" t="s">
        <v>14</v>
      </c>
      <c r="C61" s="10" t="s">
        <v>15</v>
      </c>
      <c r="D61" s="10" t="s">
        <v>16</v>
      </c>
      <c r="E61" s="11" t="str">
        <f ca="1">IFERROR(__xludf.DUMMYFUNCTION("FILTER(Colegios!$B$2:$B2419,Colegios!$A$2:$A2419=L61)"),"14144 SANTA ROSA")</f>
        <v>14144 SANTA ROSA</v>
      </c>
      <c r="F61" s="11" t="s">
        <v>17</v>
      </c>
      <c r="G61" s="10" t="s">
        <v>24</v>
      </c>
      <c r="H61" s="11" t="s">
        <v>25</v>
      </c>
      <c r="I61" s="11" t="s">
        <v>20</v>
      </c>
      <c r="J61" s="12" t="str">
        <f ca="1">IFERROR(__xludf.DUMMYFUNCTION("FILTER('CLASFICACIÓN'!$F$3:$F2419,'CLASFICACIÓN'!$G$3:$G2419=M61)"),"2023 Y 2024")</f>
        <v>2023 Y 2024</v>
      </c>
      <c r="K61" s="12" t="s">
        <v>2012</v>
      </c>
      <c r="L61" s="11" t="s">
        <v>30</v>
      </c>
      <c r="M61" s="12" t="str">
        <f t="shared" ca="1" si="0"/>
        <v>14144 SANTA ROSA4 Primaria</v>
      </c>
      <c r="N61" s="11"/>
      <c r="O61" s="11"/>
      <c r="P61" s="11"/>
      <c r="Q61" s="11"/>
      <c r="R61" s="11"/>
      <c r="S61" s="11"/>
      <c r="T61" s="11"/>
      <c r="U61" s="11"/>
      <c r="V61" s="11"/>
      <c r="W61" s="11"/>
      <c r="X61" s="11"/>
      <c r="Y61" s="11"/>
      <c r="Z61" s="11"/>
      <c r="AA61" s="11"/>
      <c r="AB61" s="11"/>
      <c r="AC61" s="11"/>
      <c r="AD61" s="11"/>
      <c r="AE61" s="11"/>
      <c r="AF61" s="11"/>
      <c r="AG61" s="11"/>
      <c r="AH61" s="11"/>
      <c r="AI61" s="11"/>
      <c r="AJ61" s="14"/>
    </row>
    <row r="62" spans="1:36" ht="14.25" customHeight="1" x14ac:dyDescent="0.25">
      <c r="A62" s="9">
        <v>61</v>
      </c>
      <c r="B62" s="10" t="s">
        <v>14</v>
      </c>
      <c r="C62" s="10" t="s">
        <v>15</v>
      </c>
      <c r="D62" s="10" t="s">
        <v>16</v>
      </c>
      <c r="E62" s="11" t="str">
        <f ca="1">IFERROR(__xludf.DUMMYFUNCTION("FILTER(Colegios!$B$2:$B2419,Colegios!$A$2:$A2419=L62)"),"14144 SANTA ROSA")</f>
        <v>14144 SANTA ROSA</v>
      </c>
      <c r="F62" s="11" t="s">
        <v>17</v>
      </c>
      <c r="G62" s="10" t="s">
        <v>24</v>
      </c>
      <c r="H62" s="11" t="s">
        <v>23</v>
      </c>
      <c r="I62" s="11" t="s">
        <v>20</v>
      </c>
      <c r="J62" s="12" t="str">
        <f ca="1">IFERROR(__xludf.DUMMYFUNCTION("FILTER('CLASFICACIÓN'!$F$3:$F2419,'CLASFICACIÓN'!$G$3:$G2419=M62)"),"2023 Y 2024")</f>
        <v>2023 Y 2024</v>
      </c>
      <c r="K62" s="12" t="s">
        <v>2012</v>
      </c>
      <c r="L62" s="11" t="s">
        <v>30</v>
      </c>
      <c r="M62" s="12" t="str">
        <f t="shared" ca="1" si="0"/>
        <v>14144 SANTA ROSA4 Primaria</v>
      </c>
      <c r="N62" s="11"/>
      <c r="O62" s="11"/>
      <c r="P62" s="11"/>
      <c r="Q62" s="11"/>
      <c r="R62" s="11"/>
      <c r="S62" s="11"/>
      <c r="T62" s="11"/>
      <c r="U62" s="11"/>
      <c r="V62" s="11"/>
      <c r="W62" s="11"/>
      <c r="X62" s="11"/>
      <c r="Y62" s="11"/>
      <c r="Z62" s="11"/>
      <c r="AA62" s="11"/>
      <c r="AB62" s="11"/>
      <c r="AC62" s="11"/>
      <c r="AD62" s="11"/>
      <c r="AE62" s="11"/>
      <c r="AF62" s="11"/>
      <c r="AG62" s="11"/>
      <c r="AH62" s="11"/>
      <c r="AI62" s="11"/>
      <c r="AJ62" s="14"/>
    </row>
    <row r="63" spans="1:36" ht="14.25" customHeight="1" x14ac:dyDescent="0.25">
      <c r="A63" s="9">
        <v>62</v>
      </c>
      <c r="B63" s="10" t="s">
        <v>14</v>
      </c>
      <c r="C63" s="10" t="s">
        <v>15</v>
      </c>
      <c r="D63" s="10" t="s">
        <v>16</v>
      </c>
      <c r="E63" s="11" t="str">
        <f ca="1">IFERROR(__xludf.DUMMYFUNCTION("FILTER(Colegios!$B$2:$B2419,Colegios!$A$2:$A2419=L63)"),"14144 SANTA ROSA")</f>
        <v>14144 SANTA ROSA</v>
      </c>
      <c r="F63" s="11" t="s">
        <v>17</v>
      </c>
      <c r="G63" s="10" t="s">
        <v>24</v>
      </c>
      <c r="H63" s="11" t="s">
        <v>23</v>
      </c>
      <c r="I63" s="11" t="s">
        <v>20</v>
      </c>
      <c r="J63" s="12" t="str">
        <f ca="1">IFERROR(__xludf.DUMMYFUNCTION("FILTER('CLASFICACIÓN'!$F$3:$F2419,'CLASFICACIÓN'!$G$3:$G2419=M63)"),"2023 Y 2024")</f>
        <v>2023 Y 2024</v>
      </c>
      <c r="K63" s="12" t="s">
        <v>2012</v>
      </c>
      <c r="L63" s="11" t="s">
        <v>30</v>
      </c>
      <c r="M63" s="12" t="str">
        <f t="shared" ca="1" si="0"/>
        <v>14144 SANTA ROSA4 Primaria</v>
      </c>
      <c r="N63" s="11"/>
      <c r="O63" s="11"/>
      <c r="P63" s="11"/>
      <c r="Q63" s="11"/>
      <c r="R63" s="11"/>
      <c r="S63" s="11"/>
      <c r="T63" s="11"/>
      <c r="U63" s="11"/>
      <c r="V63" s="11"/>
      <c r="W63" s="11"/>
      <c r="X63" s="11"/>
      <c r="Y63" s="11"/>
      <c r="Z63" s="11"/>
      <c r="AA63" s="11"/>
      <c r="AB63" s="11"/>
      <c r="AC63" s="11"/>
      <c r="AD63" s="11"/>
      <c r="AE63" s="11"/>
      <c r="AF63" s="11"/>
      <c r="AG63" s="11"/>
      <c r="AH63" s="11"/>
      <c r="AI63" s="11"/>
      <c r="AJ63" s="14"/>
    </row>
    <row r="64" spans="1:36" ht="14.25" customHeight="1" x14ac:dyDescent="0.25">
      <c r="A64" s="9">
        <v>63</v>
      </c>
      <c r="B64" s="10" t="s">
        <v>14</v>
      </c>
      <c r="C64" s="10" t="s">
        <v>15</v>
      </c>
      <c r="D64" s="10" t="s">
        <v>16</v>
      </c>
      <c r="E64" s="11" t="str">
        <f ca="1">IFERROR(__xludf.DUMMYFUNCTION("FILTER(Colegios!$B$2:$B2419,Colegios!$A$2:$A2419=L64)"),"14144 SANTA ROSA")</f>
        <v>14144 SANTA ROSA</v>
      </c>
      <c r="F64" s="11" t="s">
        <v>17</v>
      </c>
      <c r="G64" s="10" t="s">
        <v>24</v>
      </c>
      <c r="H64" s="11" t="s">
        <v>23</v>
      </c>
      <c r="I64" s="11" t="s">
        <v>20</v>
      </c>
      <c r="J64" s="12" t="str">
        <f ca="1">IFERROR(__xludf.DUMMYFUNCTION("FILTER('CLASFICACIÓN'!$F$3:$F2419,'CLASFICACIÓN'!$G$3:$G2419=M64)"),"2023 Y 2024")</f>
        <v>2023 Y 2024</v>
      </c>
      <c r="K64" s="12" t="s">
        <v>2012</v>
      </c>
      <c r="L64" s="11" t="s">
        <v>30</v>
      </c>
      <c r="M64" s="12" t="str">
        <f t="shared" ca="1" si="0"/>
        <v>14144 SANTA ROSA4 Primaria</v>
      </c>
      <c r="N64" s="11"/>
      <c r="O64" s="11"/>
      <c r="P64" s="11"/>
      <c r="Q64" s="11"/>
      <c r="R64" s="11"/>
      <c r="S64" s="11"/>
      <c r="T64" s="11"/>
      <c r="U64" s="11"/>
      <c r="V64" s="11"/>
      <c r="W64" s="11"/>
      <c r="X64" s="11"/>
      <c r="Y64" s="11"/>
      <c r="Z64" s="11"/>
      <c r="AA64" s="11"/>
      <c r="AB64" s="11"/>
      <c r="AC64" s="11"/>
      <c r="AD64" s="11"/>
      <c r="AE64" s="11"/>
      <c r="AF64" s="11"/>
      <c r="AG64" s="11"/>
      <c r="AH64" s="11"/>
      <c r="AI64" s="11"/>
      <c r="AJ64" s="14"/>
    </row>
    <row r="65" spans="1:36" ht="14.25" customHeight="1" x14ac:dyDescent="0.25">
      <c r="A65" s="9">
        <v>64</v>
      </c>
      <c r="B65" s="10" t="s">
        <v>14</v>
      </c>
      <c r="C65" s="10" t="s">
        <v>15</v>
      </c>
      <c r="D65" s="10" t="s">
        <v>16</v>
      </c>
      <c r="E65" s="11" t="str">
        <f ca="1">IFERROR(__xludf.DUMMYFUNCTION("FILTER(Colegios!$B$2:$B2419,Colegios!$A$2:$A2419=L65)"),"14144 SANTA ROSA")</f>
        <v>14144 SANTA ROSA</v>
      </c>
      <c r="F65" s="11" t="s">
        <v>17</v>
      </c>
      <c r="G65" s="10" t="s">
        <v>24</v>
      </c>
      <c r="H65" s="11" t="s">
        <v>23</v>
      </c>
      <c r="I65" s="11" t="s">
        <v>20</v>
      </c>
      <c r="J65" s="12" t="str">
        <f ca="1">IFERROR(__xludf.DUMMYFUNCTION("FILTER('CLASFICACIÓN'!$F$3:$F2419,'CLASFICACIÓN'!$G$3:$G2419=M65)"),"2023 Y 2024")</f>
        <v>2023 Y 2024</v>
      </c>
      <c r="K65" s="12" t="s">
        <v>2012</v>
      </c>
      <c r="L65" s="11" t="s">
        <v>30</v>
      </c>
      <c r="M65" s="12" t="str">
        <f t="shared" ca="1" si="0"/>
        <v>14144 SANTA ROSA4 Primaria</v>
      </c>
      <c r="N65" s="11"/>
      <c r="O65" s="11"/>
      <c r="P65" s="11"/>
      <c r="Q65" s="11"/>
      <c r="R65" s="11"/>
      <c r="S65" s="11"/>
      <c r="T65" s="11"/>
      <c r="U65" s="11"/>
      <c r="V65" s="11"/>
      <c r="W65" s="11"/>
      <c r="X65" s="11"/>
      <c r="Y65" s="11"/>
      <c r="Z65" s="11"/>
      <c r="AA65" s="11"/>
      <c r="AB65" s="11"/>
      <c r="AC65" s="11"/>
      <c r="AD65" s="11"/>
      <c r="AE65" s="11"/>
      <c r="AF65" s="11"/>
      <c r="AG65" s="11"/>
      <c r="AH65" s="11"/>
      <c r="AI65" s="11"/>
      <c r="AJ65" s="14"/>
    </row>
    <row r="66" spans="1:36" ht="14.25" customHeight="1" x14ac:dyDescent="0.25">
      <c r="A66" s="9">
        <v>65</v>
      </c>
      <c r="B66" s="10" t="s">
        <v>14</v>
      </c>
      <c r="C66" s="10" t="s">
        <v>15</v>
      </c>
      <c r="D66" s="10" t="s">
        <v>16</v>
      </c>
      <c r="E66" s="11" t="str">
        <f ca="1">IFERROR(__xludf.DUMMYFUNCTION("FILTER(Colegios!$B$2:$B2419,Colegios!$A$2:$A2419=L66)"),"14894")</f>
        <v>14894</v>
      </c>
      <c r="F66" s="11" t="s">
        <v>17</v>
      </c>
      <c r="G66" s="10" t="s">
        <v>24</v>
      </c>
      <c r="H66" s="11" t="s">
        <v>19</v>
      </c>
      <c r="I66" s="11" t="s">
        <v>20</v>
      </c>
      <c r="J66" s="12" t="str">
        <f ca="1">IFERROR(__xludf.DUMMYFUNCTION("FILTER('CLASFICACIÓN'!$F$3:$F2419,'CLASFICACIÓN'!$G$3:$G2419=M66)"),"SOLO 2024")</f>
        <v>SOLO 2024</v>
      </c>
      <c r="K66" s="12" t="s">
        <v>2014</v>
      </c>
      <c r="L66" s="11" t="s">
        <v>31</v>
      </c>
      <c r="M66" s="12" t="str">
        <f t="shared" ca="1" si="0"/>
        <v>148944 Primaria</v>
      </c>
      <c r="N66" s="11"/>
      <c r="O66" s="11"/>
      <c r="P66" s="11"/>
      <c r="Q66" s="11"/>
      <c r="R66" s="11"/>
      <c r="S66" s="11"/>
      <c r="T66" s="11"/>
      <c r="U66" s="11"/>
      <c r="V66" s="11"/>
      <c r="W66" s="11"/>
      <c r="X66" s="11"/>
      <c r="Y66" s="11"/>
      <c r="Z66" s="11"/>
      <c r="AA66" s="11"/>
      <c r="AB66" s="11"/>
      <c r="AC66" s="11"/>
      <c r="AD66" s="11"/>
      <c r="AE66" s="11"/>
      <c r="AF66" s="11"/>
      <c r="AG66" s="11"/>
      <c r="AH66" s="11"/>
      <c r="AI66" s="11"/>
      <c r="AJ66" s="14"/>
    </row>
    <row r="67" spans="1:36" ht="14.25" customHeight="1" x14ac:dyDescent="0.25">
      <c r="A67" s="9">
        <v>66</v>
      </c>
      <c r="B67" s="10" t="s">
        <v>14</v>
      </c>
      <c r="C67" s="10" t="s">
        <v>15</v>
      </c>
      <c r="D67" s="10" t="s">
        <v>16</v>
      </c>
      <c r="E67" s="11" t="str">
        <f ca="1">IFERROR(__xludf.DUMMYFUNCTION("FILTER(Colegios!$B$2:$B2419,Colegios!$A$2:$A2419=L67)"),"15383")</f>
        <v>15383</v>
      </c>
      <c r="F67" s="11" t="s">
        <v>17</v>
      </c>
      <c r="G67" s="10" t="s">
        <v>18</v>
      </c>
      <c r="H67" s="11" t="s">
        <v>19</v>
      </c>
      <c r="I67" s="11" t="s">
        <v>20</v>
      </c>
      <c r="J67" s="12" t="str">
        <f ca="1">IFERROR(__xludf.DUMMYFUNCTION("FILTER('CLASFICACIÓN'!$F$3:$F2419,'CLASFICACIÓN'!$G$3:$G2419=M67)"),"2023 Y 2024")</f>
        <v>2023 Y 2024</v>
      </c>
      <c r="K67" s="12" t="s">
        <v>2011</v>
      </c>
      <c r="L67" s="11" t="s">
        <v>32</v>
      </c>
      <c r="M67" s="12" t="str">
        <f t="shared" ca="1" si="0"/>
        <v>153834 Primaria</v>
      </c>
      <c r="N67" s="11"/>
      <c r="O67" s="11"/>
      <c r="P67" s="11"/>
      <c r="Q67" s="11"/>
      <c r="R67" s="11"/>
      <c r="S67" s="11"/>
      <c r="T67" s="11"/>
      <c r="U67" s="11"/>
      <c r="V67" s="11"/>
      <c r="W67" s="11"/>
      <c r="X67" s="11"/>
      <c r="Y67" s="11"/>
      <c r="Z67" s="11"/>
      <c r="AA67" s="11"/>
      <c r="AB67" s="11"/>
      <c r="AC67" s="11"/>
      <c r="AD67" s="11"/>
      <c r="AE67" s="11"/>
      <c r="AF67" s="11"/>
      <c r="AG67" s="11"/>
      <c r="AH67" s="11"/>
      <c r="AI67" s="11"/>
      <c r="AJ67" s="14"/>
    </row>
    <row r="68" spans="1:36" ht="14.25" customHeight="1" x14ac:dyDescent="0.25">
      <c r="A68" s="9">
        <v>67</v>
      </c>
      <c r="B68" s="10" t="s">
        <v>14</v>
      </c>
      <c r="C68" s="10" t="s">
        <v>15</v>
      </c>
      <c r="D68" s="10" t="s">
        <v>16</v>
      </c>
      <c r="E68" s="11" t="str">
        <f ca="1">IFERROR(__xludf.DUMMYFUNCTION("FILTER(Colegios!$B$2:$B2419,Colegios!$A$2:$A2419=L68)"),"14141")</f>
        <v>14141</v>
      </c>
      <c r="F68" s="11" t="s">
        <v>17</v>
      </c>
      <c r="G68" s="10" t="s">
        <v>18</v>
      </c>
      <c r="H68" s="11" t="s">
        <v>19</v>
      </c>
      <c r="I68" s="11" t="s">
        <v>20</v>
      </c>
      <c r="J68" s="12" t="str">
        <f ca="1">IFERROR(__xludf.DUMMYFUNCTION("FILTER('CLASFICACIÓN'!$F$3:$F2419,'CLASFICACIÓN'!$G$3:$G2419=M68)"),"2023 Y 2024")</f>
        <v>2023 Y 2024</v>
      </c>
      <c r="K68" s="12" t="s">
        <v>2011</v>
      </c>
      <c r="L68" s="11" t="s">
        <v>33</v>
      </c>
      <c r="M68" s="12" t="str">
        <f t="shared" ca="1" si="0"/>
        <v>141414 Primaria</v>
      </c>
      <c r="N68" s="11"/>
      <c r="O68" s="11"/>
      <c r="P68" s="11"/>
      <c r="Q68" s="11"/>
      <c r="R68" s="11"/>
      <c r="S68" s="11"/>
      <c r="T68" s="11"/>
      <c r="U68" s="11"/>
      <c r="V68" s="11"/>
      <c r="W68" s="11"/>
      <c r="X68" s="11"/>
      <c r="Y68" s="11"/>
      <c r="Z68" s="11"/>
      <c r="AA68" s="11"/>
      <c r="AB68" s="11"/>
      <c r="AC68" s="11"/>
      <c r="AD68" s="11"/>
      <c r="AE68" s="11"/>
      <c r="AF68" s="11"/>
      <c r="AG68" s="11"/>
      <c r="AH68" s="11"/>
      <c r="AI68" s="11"/>
      <c r="AJ68" s="14"/>
    </row>
    <row r="69" spans="1:36" ht="14.25" customHeight="1" x14ac:dyDescent="0.25">
      <c r="A69" s="9">
        <v>68</v>
      </c>
      <c r="B69" s="10" t="s">
        <v>14</v>
      </c>
      <c r="C69" s="10" t="s">
        <v>15</v>
      </c>
      <c r="D69" s="10" t="s">
        <v>16</v>
      </c>
      <c r="E69" s="11" t="str">
        <f ca="1">IFERROR(__xludf.DUMMYFUNCTION("FILTER(Colegios!$B$2:$B2419,Colegios!$A$2:$A2419=L69)"),"15478")</f>
        <v>15478</v>
      </c>
      <c r="F69" s="11" t="s">
        <v>17</v>
      </c>
      <c r="G69" s="10" t="s">
        <v>18</v>
      </c>
      <c r="H69" s="11" t="s">
        <v>19</v>
      </c>
      <c r="I69" s="11" t="s">
        <v>20</v>
      </c>
      <c r="J69" s="12" t="str">
        <f ca="1">IFERROR(__xludf.DUMMYFUNCTION("FILTER('CLASFICACIÓN'!$F$3:$F2419,'CLASFICACIÓN'!$G$3:$G2419=M69)"),"2023 Y 2024")</f>
        <v>2023 Y 2024</v>
      </c>
      <c r="K69" s="12" t="s">
        <v>2011</v>
      </c>
      <c r="L69" s="11" t="s">
        <v>34</v>
      </c>
      <c r="M69" s="12" t="str">
        <f t="shared" ca="1" si="0"/>
        <v>154784 Primaria</v>
      </c>
      <c r="N69" s="11"/>
      <c r="O69" s="11"/>
      <c r="P69" s="11"/>
      <c r="Q69" s="11"/>
      <c r="R69" s="11"/>
      <c r="S69" s="11"/>
      <c r="T69" s="11"/>
      <c r="U69" s="11"/>
      <c r="V69" s="11"/>
      <c r="W69" s="11"/>
      <c r="X69" s="11"/>
      <c r="Y69" s="11"/>
      <c r="Z69" s="11"/>
      <c r="AA69" s="11"/>
      <c r="AB69" s="11"/>
      <c r="AC69" s="11"/>
      <c r="AD69" s="11"/>
      <c r="AE69" s="11"/>
      <c r="AF69" s="11"/>
      <c r="AG69" s="11"/>
      <c r="AH69" s="11"/>
      <c r="AI69" s="11"/>
      <c r="AJ69" s="14"/>
    </row>
    <row r="70" spans="1:36" ht="14.25" customHeight="1" x14ac:dyDescent="0.25">
      <c r="A70" s="9">
        <v>69</v>
      </c>
      <c r="B70" s="10" t="s">
        <v>14</v>
      </c>
      <c r="C70" s="10" t="s">
        <v>15</v>
      </c>
      <c r="D70" s="10" t="s">
        <v>16</v>
      </c>
      <c r="E70" s="11" t="str">
        <f ca="1">IFERROR(__xludf.DUMMYFUNCTION("FILTER(Colegios!$B$2:$B2419,Colegios!$A$2:$A2419=L70)"),"14045")</f>
        <v>14045</v>
      </c>
      <c r="F70" s="11" t="s">
        <v>17</v>
      </c>
      <c r="G70" s="10" t="s">
        <v>18</v>
      </c>
      <c r="H70" s="11" t="s">
        <v>19</v>
      </c>
      <c r="I70" s="11" t="s">
        <v>20</v>
      </c>
      <c r="J70" s="12" t="str">
        <f ca="1">IFERROR(__xludf.DUMMYFUNCTION("FILTER('CLASFICACIÓN'!$F$3:$F2419,'CLASFICACIÓN'!$G$3:$G2419=M70)"),"SOLO 2024")</f>
        <v>SOLO 2024</v>
      </c>
      <c r="K70" s="12" t="s">
        <v>2012</v>
      </c>
      <c r="L70" s="11" t="s">
        <v>35</v>
      </c>
      <c r="M70" s="12" t="str">
        <f t="shared" ca="1" si="0"/>
        <v>140454 Primaria</v>
      </c>
      <c r="N70" s="11"/>
      <c r="O70" s="11"/>
      <c r="P70" s="11"/>
      <c r="Q70" s="11"/>
      <c r="R70" s="11"/>
      <c r="S70" s="11"/>
      <c r="T70" s="11"/>
      <c r="U70" s="11"/>
      <c r="V70" s="11"/>
      <c r="W70" s="11"/>
      <c r="X70" s="11"/>
      <c r="Y70" s="11"/>
      <c r="Z70" s="11"/>
      <c r="AA70" s="11"/>
      <c r="AB70" s="11"/>
      <c r="AC70" s="11"/>
      <c r="AD70" s="11"/>
      <c r="AE70" s="11"/>
      <c r="AF70" s="11"/>
      <c r="AG70" s="11"/>
      <c r="AH70" s="11"/>
      <c r="AI70" s="11"/>
      <c r="AJ70" s="14"/>
    </row>
    <row r="71" spans="1:36" ht="14.25" customHeight="1" x14ac:dyDescent="0.25">
      <c r="A71" s="9">
        <v>70</v>
      </c>
      <c r="B71" s="10" t="s">
        <v>14</v>
      </c>
      <c r="C71" s="10" t="s">
        <v>15</v>
      </c>
      <c r="D71" s="10" t="s">
        <v>16</v>
      </c>
      <c r="E71" s="11" t="str">
        <f ca="1">IFERROR(__xludf.DUMMYFUNCTION("FILTER(Colegios!$B$2:$B2419,Colegios!$A$2:$A2419=L71)"),"14045")</f>
        <v>14045</v>
      </c>
      <c r="F71" s="11" t="s">
        <v>17</v>
      </c>
      <c r="G71" s="10" t="s">
        <v>24</v>
      </c>
      <c r="H71" s="11" t="s">
        <v>19</v>
      </c>
      <c r="I71" s="11" t="s">
        <v>20</v>
      </c>
      <c r="J71" s="12" t="str">
        <f ca="1">IFERROR(__xludf.DUMMYFUNCTION("FILTER('CLASFICACIÓN'!$F$3:$F2419,'CLASFICACIÓN'!$G$3:$G2419=M71)"),"SOLO 2024")</f>
        <v>SOLO 2024</v>
      </c>
      <c r="K71" s="12" t="s">
        <v>2012</v>
      </c>
      <c r="L71" s="11" t="s">
        <v>35</v>
      </c>
      <c r="M71" s="12" t="str">
        <f t="shared" ca="1" si="0"/>
        <v>140454 Primaria</v>
      </c>
      <c r="N71" s="11"/>
      <c r="O71" s="11"/>
      <c r="P71" s="11"/>
      <c r="Q71" s="11"/>
      <c r="R71" s="11"/>
      <c r="S71" s="11"/>
      <c r="T71" s="11"/>
      <c r="U71" s="11"/>
      <c r="V71" s="11"/>
      <c r="W71" s="11"/>
      <c r="X71" s="11"/>
      <c r="Y71" s="11"/>
      <c r="Z71" s="11"/>
      <c r="AA71" s="11"/>
      <c r="AB71" s="11"/>
      <c r="AC71" s="11"/>
      <c r="AD71" s="11"/>
      <c r="AE71" s="11"/>
      <c r="AF71" s="11"/>
      <c r="AG71" s="11"/>
      <c r="AH71" s="11"/>
      <c r="AI71" s="11"/>
      <c r="AJ71" s="14"/>
    </row>
    <row r="72" spans="1:36" ht="14.25" customHeight="1" x14ac:dyDescent="0.25">
      <c r="A72" s="9">
        <v>71</v>
      </c>
      <c r="B72" s="10" t="s">
        <v>14</v>
      </c>
      <c r="C72" s="10" t="s">
        <v>15</v>
      </c>
      <c r="D72" s="10" t="s">
        <v>16</v>
      </c>
      <c r="E72" s="11" t="str">
        <f ca="1">IFERROR(__xludf.DUMMYFUNCTION("FILTER(Colegios!$B$2:$B2419,Colegios!$A$2:$A2419=L72)"),"14145 SANTA JULIA BILLIART")</f>
        <v>14145 SANTA JULIA BILLIART</v>
      </c>
      <c r="F72" s="11" t="s">
        <v>17</v>
      </c>
      <c r="G72" s="10" t="s">
        <v>18</v>
      </c>
      <c r="H72" s="11" t="s">
        <v>23</v>
      </c>
      <c r="I72" s="11" t="s">
        <v>20</v>
      </c>
      <c r="J72" s="12" t="str">
        <f ca="1">IFERROR(__xludf.DUMMYFUNCTION("FILTER('CLASFICACIÓN'!$F$3:$F2419,'CLASFICACIÓN'!$G$3:$G2419=M72)"),"2023 Y 2024")</f>
        <v>2023 Y 2024</v>
      </c>
      <c r="K72" s="12" t="s">
        <v>2012</v>
      </c>
      <c r="L72" s="11" t="s">
        <v>36</v>
      </c>
      <c r="M72" s="12" t="str">
        <f t="shared" ca="1" si="0"/>
        <v>14145 SANTA JULIA BILLIART4 Primaria</v>
      </c>
      <c r="N72" s="11"/>
      <c r="O72" s="11"/>
      <c r="P72" s="11"/>
      <c r="Q72" s="11"/>
      <c r="R72" s="11"/>
      <c r="S72" s="11"/>
      <c r="T72" s="11"/>
      <c r="U72" s="11"/>
      <c r="V72" s="11"/>
      <c r="W72" s="11"/>
      <c r="X72" s="11"/>
      <c r="Y72" s="11"/>
      <c r="Z72" s="11"/>
      <c r="AA72" s="11"/>
      <c r="AB72" s="11"/>
      <c r="AC72" s="11"/>
      <c r="AD72" s="11"/>
      <c r="AE72" s="11"/>
      <c r="AF72" s="11"/>
      <c r="AG72" s="11"/>
      <c r="AH72" s="11"/>
      <c r="AI72" s="11"/>
      <c r="AJ72" s="14"/>
    </row>
    <row r="73" spans="1:36" ht="14.25" customHeight="1" x14ac:dyDescent="0.25">
      <c r="A73" s="9">
        <v>72</v>
      </c>
      <c r="B73" s="10" t="s">
        <v>14</v>
      </c>
      <c r="C73" s="10" t="s">
        <v>15</v>
      </c>
      <c r="D73" s="10" t="s">
        <v>16</v>
      </c>
      <c r="E73" s="11" t="str">
        <f ca="1">IFERROR(__xludf.DUMMYFUNCTION("FILTER(Colegios!$B$2:$B2419,Colegios!$A$2:$A2419=L73)"),"14145 SANTA JULIA BILLIART")</f>
        <v>14145 SANTA JULIA BILLIART</v>
      </c>
      <c r="F73" s="11" t="s">
        <v>17</v>
      </c>
      <c r="G73" s="10" t="s">
        <v>18</v>
      </c>
      <c r="H73" s="11" t="s">
        <v>19</v>
      </c>
      <c r="I73" s="11" t="s">
        <v>20</v>
      </c>
      <c r="J73" s="12" t="str">
        <f ca="1">IFERROR(__xludf.DUMMYFUNCTION("FILTER('CLASFICACIÓN'!$F$3:$F2419,'CLASFICACIÓN'!$G$3:$G2419=M73)"),"2023 Y 2024")</f>
        <v>2023 Y 2024</v>
      </c>
      <c r="K73" s="12" t="s">
        <v>2012</v>
      </c>
      <c r="L73" s="11" t="s">
        <v>36</v>
      </c>
      <c r="M73" s="12" t="str">
        <f t="shared" ca="1" si="0"/>
        <v>14145 SANTA JULIA BILLIART4 Primaria</v>
      </c>
      <c r="N73" s="11"/>
      <c r="O73" s="11"/>
      <c r="P73" s="11"/>
      <c r="Q73" s="11"/>
      <c r="R73" s="11"/>
      <c r="S73" s="11"/>
      <c r="T73" s="11"/>
      <c r="U73" s="11"/>
      <c r="V73" s="11"/>
      <c r="W73" s="11"/>
      <c r="X73" s="11"/>
      <c r="Y73" s="11"/>
      <c r="Z73" s="11"/>
      <c r="AA73" s="11"/>
      <c r="AB73" s="11"/>
      <c r="AC73" s="11"/>
      <c r="AD73" s="11"/>
      <c r="AE73" s="11"/>
      <c r="AF73" s="11"/>
      <c r="AG73" s="11"/>
      <c r="AH73" s="11"/>
      <c r="AI73" s="11"/>
      <c r="AJ73" s="14"/>
    </row>
    <row r="74" spans="1:36" ht="14.25" customHeight="1" x14ac:dyDescent="0.25">
      <c r="A74" s="9">
        <v>73</v>
      </c>
      <c r="B74" s="10" t="s">
        <v>14</v>
      </c>
      <c r="C74" s="10" t="s">
        <v>15</v>
      </c>
      <c r="D74" s="10" t="s">
        <v>16</v>
      </c>
      <c r="E74" s="11" t="str">
        <f ca="1">IFERROR(__xludf.DUMMYFUNCTION("FILTER(Colegios!$B$2:$B2419,Colegios!$A$2:$A2419=L74)"),"14145 SANTA JULIA BILLIART")</f>
        <v>14145 SANTA JULIA BILLIART</v>
      </c>
      <c r="F74" s="11" t="s">
        <v>17</v>
      </c>
      <c r="G74" s="10" t="s">
        <v>18</v>
      </c>
      <c r="H74" s="11" t="s">
        <v>19</v>
      </c>
      <c r="I74" s="11" t="s">
        <v>20</v>
      </c>
      <c r="J74" s="12" t="str">
        <f ca="1">IFERROR(__xludf.DUMMYFUNCTION("FILTER('CLASFICACIÓN'!$F$3:$F2419,'CLASFICACIÓN'!$G$3:$G2419=M74)"),"2023 Y 2024")</f>
        <v>2023 Y 2024</v>
      </c>
      <c r="K74" s="12" t="s">
        <v>2012</v>
      </c>
      <c r="L74" s="11" t="s">
        <v>36</v>
      </c>
      <c r="M74" s="12" t="str">
        <f t="shared" ca="1" si="0"/>
        <v>14145 SANTA JULIA BILLIART4 Primaria</v>
      </c>
      <c r="N74" s="11"/>
      <c r="O74" s="11"/>
      <c r="P74" s="11"/>
      <c r="Q74" s="11"/>
      <c r="R74" s="11"/>
      <c r="S74" s="11"/>
      <c r="T74" s="11"/>
      <c r="U74" s="11"/>
      <c r="V74" s="11"/>
      <c r="W74" s="11"/>
      <c r="X74" s="11"/>
      <c r="Y74" s="11"/>
      <c r="Z74" s="11"/>
      <c r="AA74" s="11"/>
      <c r="AB74" s="11"/>
      <c r="AC74" s="11"/>
      <c r="AD74" s="11"/>
      <c r="AE74" s="11"/>
      <c r="AF74" s="11"/>
      <c r="AG74" s="11"/>
      <c r="AH74" s="11"/>
      <c r="AI74" s="11"/>
      <c r="AJ74" s="14"/>
    </row>
    <row r="75" spans="1:36" ht="14.25" customHeight="1" x14ac:dyDescent="0.25">
      <c r="A75" s="9">
        <v>74</v>
      </c>
      <c r="B75" s="10" t="s">
        <v>14</v>
      </c>
      <c r="C75" s="10" t="s">
        <v>15</v>
      </c>
      <c r="D75" s="10" t="s">
        <v>16</v>
      </c>
      <c r="E75" s="11" t="str">
        <f ca="1">IFERROR(__xludf.DUMMYFUNCTION("FILTER(Colegios!$B$2:$B2419,Colegios!$A$2:$A2419=L75)"),"14145 SANTA JULIA BILLIART")</f>
        <v>14145 SANTA JULIA BILLIART</v>
      </c>
      <c r="F75" s="11" t="s">
        <v>17</v>
      </c>
      <c r="G75" s="10" t="s">
        <v>18</v>
      </c>
      <c r="H75" s="11" t="s">
        <v>19</v>
      </c>
      <c r="I75" s="11" t="s">
        <v>20</v>
      </c>
      <c r="J75" s="12" t="str">
        <f ca="1">IFERROR(__xludf.DUMMYFUNCTION("FILTER('CLASFICACIÓN'!$F$3:$F2419,'CLASFICACIÓN'!$G$3:$G2419=M75)"),"2023 Y 2024")</f>
        <v>2023 Y 2024</v>
      </c>
      <c r="K75" s="12" t="s">
        <v>2012</v>
      </c>
      <c r="L75" s="11" t="s">
        <v>36</v>
      </c>
      <c r="M75" s="12" t="str">
        <f t="shared" ca="1" si="0"/>
        <v>14145 SANTA JULIA BILLIART4 Primaria</v>
      </c>
      <c r="N75" s="11"/>
      <c r="O75" s="11"/>
      <c r="P75" s="11"/>
      <c r="Q75" s="11"/>
      <c r="R75" s="11"/>
      <c r="S75" s="11"/>
      <c r="T75" s="11"/>
      <c r="U75" s="11"/>
      <c r="V75" s="11"/>
      <c r="W75" s="11"/>
      <c r="X75" s="11"/>
      <c r="Y75" s="11"/>
      <c r="Z75" s="11"/>
      <c r="AA75" s="11"/>
      <c r="AB75" s="11"/>
      <c r="AC75" s="11"/>
      <c r="AD75" s="11"/>
      <c r="AE75" s="11"/>
      <c r="AF75" s="11"/>
      <c r="AG75" s="11"/>
      <c r="AH75" s="11"/>
      <c r="AI75" s="11"/>
      <c r="AJ75" s="14"/>
    </row>
    <row r="76" spans="1:36" ht="14.25" customHeight="1" x14ac:dyDescent="0.25">
      <c r="A76" s="9">
        <v>75</v>
      </c>
      <c r="B76" s="10" t="s">
        <v>14</v>
      </c>
      <c r="C76" s="10" t="s">
        <v>15</v>
      </c>
      <c r="D76" s="10" t="s">
        <v>16</v>
      </c>
      <c r="E76" s="11" t="str">
        <f ca="1">IFERROR(__xludf.DUMMYFUNCTION("FILTER(Colegios!$B$2:$B2419,Colegios!$A$2:$A2419=L76)"),"14145 SANTA JULIA BILLIART")</f>
        <v>14145 SANTA JULIA BILLIART</v>
      </c>
      <c r="F76" s="11" t="s">
        <v>17</v>
      </c>
      <c r="G76" s="10" t="s">
        <v>18</v>
      </c>
      <c r="H76" s="11" t="s">
        <v>19</v>
      </c>
      <c r="I76" s="11" t="s">
        <v>20</v>
      </c>
      <c r="J76" s="12" t="str">
        <f ca="1">IFERROR(__xludf.DUMMYFUNCTION("FILTER('CLASFICACIÓN'!$F$3:$F2419,'CLASFICACIÓN'!$G$3:$G2419=M76)"),"2023 Y 2024")</f>
        <v>2023 Y 2024</v>
      </c>
      <c r="K76" s="12" t="s">
        <v>2012</v>
      </c>
      <c r="L76" s="11" t="s">
        <v>36</v>
      </c>
      <c r="M76" s="12" t="str">
        <f t="shared" ca="1" si="0"/>
        <v>14145 SANTA JULIA BILLIART4 Primaria</v>
      </c>
      <c r="N76" s="11"/>
      <c r="O76" s="11"/>
      <c r="P76" s="11"/>
      <c r="Q76" s="11"/>
      <c r="R76" s="11"/>
      <c r="S76" s="11"/>
      <c r="T76" s="11"/>
      <c r="U76" s="11"/>
      <c r="V76" s="11"/>
      <c r="W76" s="11"/>
      <c r="X76" s="11"/>
      <c r="Y76" s="11"/>
      <c r="Z76" s="11"/>
      <c r="AA76" s="11"/>
      <c r="AB76" s="11"/>
      <c r="AC76" s="11"/>
      <c r="AD76" s="11"/>
      <c r="AE76" s="11"/>
      <c r="AF76" s="11"/>
      <c r="AG76" s="11"/>
      <c r="AH76" s="11"/>
      <c r="AI76" s="11"/>
      <c r="AJ76" s="14"/>
    </row>
    <row r="77" spans="1:36" ht="14.25" customHeight="1" x14ac:dyDescent="0.25">
      <c r="A77" s="9">
        <v>76</v>
      </c>
      <c r="B77" s="10" t="s">
        <v>14</v>
      </c>
      <c r="C77" s="10" t="s">
        <v>15</v>
      </c>
      <c r="D77" s="10" t="s">
        <v>16</v>
      </c>
      <c r="E77" s="11" t="str">
        <f ca="1">IFERROR(__xludf.DUMMYFUNCTION("FILTER(Colegios!$B$2:$B2419,Colegios!$A$2:$A2419=L77)"),"14145 SANTA JULIA BILLIART")</f>
        <v>14145 SANTA JULIA BILLIART</v>
      </c>
      <c r="F77" s="11" t="s">
        <v>17</v>
      </c>
      <c r="G77" s="10" t="s">
        <v>18</v>
      </c>
      <c r="H77" s="11" t="s">
        <v>19</v>
      </c>
      <c r="I77" s="11" t="s">
        <v>20</v>
      </c>
      <c r="J77" s="12" t="str">
        <f ca="1">IFERROR(__xludf.DUMMYFUNCTION("FILTER('CLASFICACIÓN'!$F$3:$F2419,'CLASFICACIÓN'!$G$3:$G2419=M77)"),"2023 Y 2024")</f>
        <v>2023 Y 2024</v>
      </c>
      <c r="K77" s="12" t="s">
        <v>2012</v>
      </c>
      <c r="L77" s="11" t="s">
        <v>36</v>
      </c>
      <c r="M77" s="12" t="str">
        <f t="shared" ca="1" si="0"/>
        <v>14145 SANTA JULIA BILLIART4 Primaria</v>
      </c>
      <c r="N77" s="11"/>
      <c r="O77" s="11"/>
      <c r="P77" s="11"/>
      <c r="Q77" s="11"/>
      <c r="R77" s="11"/>
      <c r="S77" s="11"/>
      <c r="T77" s="11"/>
      <c r="U77" s="11"/>
      <c r="V77" s="11"/>
      <c r="W77" s="11"/>
      <c r="X77" s="11"/>
      <c r="Y77" s="11"/>
      <c r="Z77" s="11"/>
      <c r="AA77" s="11"/>
      <c r="AB77" s="11"/>
      <c r="AC77" s="11"/>
      <c r="AD77" s="11"/>
      <c r="AE77" s="11"/>
      <c r="AF77" s="11"/>
      <c r="AG77" s="11"/>
      <c r="AH77" s="11"/>
      <c r="AI77" s="11"/>
      <c r="AJ77" s="14"/>
    </row>
    <row r="78" spans="1:36" ht="14.25" customHeight="1" x14ac:dyDescent="0.25">
      <c r="A78" s="9">
        <v>77</v>
      </c>
      <c r="B78" s="10" t="s">
        <v>14</v>
      </c>
      <c r="C78" s="10" t="s">
        <v>15</v>
      </c>
      <c r="D78" s="10" t="s">
        <v>16</v>
      </c>
      <c r="E78" s="11" t="str">
        <f ca="1">IFERROR(__xludf.DUMMYFUNCTION("FILTER(Colegios!$B$2:$B2419,Colegios!$A$2:$A2419=L78)"),"14145 SANTA JULIA BILLIART")</f>
        <v>14145 SANTA JULIA BILLIART</v>
      </c>
      <c r="F78" s="11" t="s">
        <v>17</v>
      </c>
      <c r="G78" s="10" t="s">
        <v>24</v>
      </c>
      <c r="H78" s="11" t="s">
        <v>19</v>
      </c>
      <c r="I78" s="11" t="s">
        <v>20</v>
      </c>
      <c r="J78" s="12" t="str">
        <f ca="1">IFERROR(__xludf.DUMMYFUNCTION("FILTER('CLASFICACIÓN'!$F$3:$F2419,'CLASFICACIÓN'!$G$3:$G2419=M78)"),"2023 Y 2024")</f>
        <v>2023 Y 2024</v>
      </c>
      <c r="K78" s="12" t="s">
        <v>2012</v>
      </c>
      <c r="L78" s="11" t="s">
        <v>36</v>
      </c>
      <c r="M78" s="12" t="str">
        <f t="shared" ca="1" si="0"/>
        <v>14145 SANTA JULIA BILLIART4 Primaria</v>
      </c>
      <c r="N78" s="11"/>
      <c r="O78" s="11"/>
      <c r="P78" s="11"/>
      <c r="Q78" s="11"/>
      <c r="R78" s="11"/>
      <c r="S78" s="11"/>
      <c r="T78" s="11"/>
      <c r="U78" s="11"/>
      <c r="V78" s="11"/>
      <c r="W78" s="11"/>
      <c r="X78" s="11"/>
      <c r="Y78" s="11"/>
      <c r="Z78" s="11"/>
      <c r="AA78" s="11"/>
      <c r="AB78" s="11"/>
      <c r="AC78" s="11"/>
      <c r="AD78" s="11"/>
      <c r="AE78" s="11"/>
      <c r="AF78" s="11"/>
      <c r="AG78" s="11"/>
      <c r="AH78" s="11"/>
      <c r="AI78" s="11"/>
      <c r="AJ78" s="14"/>
    </row>
    <row r="79" spans="1:36" ht="14.25" customHeight="1" x14ac:dyDescent="0.25">
      <c r="A79" s="9">
        <v>78</v>
      </c>
      <c r="B79" s="10" t="s">
        <v>14</v>
      </c>
      <c r="C79" s="10" t="s">
        <v>15</v>
      </c>
      <c r="D79" s="10" t="s">
        <v>16</v>
      </c>
      <c r="E79" s="11" t="str">
        <f ca="1">IFERROR(__xludf.DUMMYFUNCTION("FILTER(Colegios!$B$2:$B2419,Colegios!$A$2:$A2419=L79)"),"14145 SANTA JULIA BILLIART")</f>
        <v>14145 SANTA JULIA BILLIART</v>
      </c>
      <c r="F79" s="11" t="s">
        <v>17</v>
      </c>
      <c r="G79" s="10" t="s">
        <v>24</v>
      </c>
      <c r="H79" s="11" t="s">
        <v>19</v>
      </c>
      <c r="I79" s="11" t="s">
        <v>20</v>
      </c>
      <c r="J79" s="12" t="str">
        <f ca="1">IFERROR(__xludf.DUMMYFUNCTION("FILTER('CLASFICACIÓN'!$F$3:$F2419,'CLASFICACIÓN'!$G$3:$G2419=M79)"),"2023 Y 2024")</f>
        <v>2023 Y 2024</v>
      </c>
      <c r="K79" s="12" t="s">
        <v>2012</v>
      </c>
      <c r="L79" s="11" t="s">
        <v>36</v>
      </c>
      <c r="M79" s="12" t="str">
        <f t="shared" ca="1" si="0"/>
        <v>14145 SANTA JULIA BILLIART4 Primaria</v>
      </c>
      <c r="N79" s="11"/>
      <c r="O79" s="11"/>
      <c r="P79" s="11"/>
      <c r="Q79" s="11"/>
      <c r="R79" s="11"/>
      <c r="S79" s="11"/>
      <c r="T79" s="11"/>
      <c r="U79" s="11"/>
      <c r="V79" s="11"/>
      <c r="W79" s="11"/>
      <c r="X79" s="11"/>
      <c r="Y79" s="11"/>
      <c r="Z79" s="11"/>
      <c r="AA79" s="11"/>
      <c r="AB79" s="11"/>
      <c r="AC79" s="11"/>
      <c r="AD79" s="11"/>
      <c r="AE79" s="11"/>
      <c r="AF79" s="11"/>
      <c r="AG79" s="11"/>
      <c r="AH79" s="11"/>
      <c r="AI79" s="11"/>
      <c r="AJ79" s="14"/>
    </row>
    <row r="80" spans="1:36" ht="14.25" customHeight="1" x14ac:dyDescent="0.25">
      <c r="A80" s="9">
        <v>79</v>
      </c>
      <c r="B80" s="10" t="s">
        <v>14</v>
      </c>
      <c r="C80" s="10" t="s">
        <v>15</v>
      </c>
      <c r="D80" s="10" t="s">
        <v>16</v>
      </c>
      <c r="E80" s="11" t="str">
        <f ca="1">IFERROR(__xludf.DUMMYFUNCTION("FILTER(Colegios!$B$2:$B2419,Colegios!$A$2:$A2419=L80)"),"14145 SANTA JULIA BILLIART")</f>
        <v>14145 SANTA JULIA BILLIART</v>
      </c>
      <c r="F80" s="11" t="s">
        <v>17</v>
      </c>
      <c r="G80" s="10" t="s">
        <v>24</v>
      </c>
      <c r="H80" s="11" t="s">
        <v>23</v>
      </c>
      <c r="I80" s="11" t="s">
        <v>20</v>
      </c>
      <c r="J80" s="12" t="str">
        <f ca="1">IFERROR(__xludf.DUMMYFUNCTION("FILTER('CLASFICACIÓN'!$F$3:$F2419,'CLASFICACIÓN'!$G$3:$G2419=M80)"),"2023 Y 2024")</f>
        <v>2023 Y 2024</v>
      </c>
      <c r="K80" s="12" t="s">
        <v>2012</v>
      </c>
      <c r="L80" s="11" t="s">
        <v>36</v>
      </c>
      <c r="M80" s="12" t="str">
        <f t="shared" ca="1" si="0"/>
        <v>14145 SANTA JULIA BILLIART4 Primaria</v>
      </c>
      <c r="N80" s="11"/>
      <c r="O80" s="11"/>
      <c r="P80" s="11"/>
      <c r="Q80" s="11"/>
      <c r="R80" s="11"/>
      <c r="S80" s="11"/>
      <c r="T80" s="11"/>
      <c r="U80" s="11"/>
      <c r="V80" s="11"/>
      <c r="W80" s="11"/>
      <c r="X80" s="11"/>
      <c r="Y80" s="11"/>
      <c r="Z80" s="11"/>
      <c r="AA80" s="11"/>
      <c r="AB80" s="11"/>
      <c r="AC80" s="11"/>
      <c r="AD80" s="11"/>
      <c r="AE80" s="11"/>
      <c r="AF80" s="11"/>
      <c r="AG80" s="11"/>
      <c r="AH80" s="11"/>
      <c r="AI80" s="11"/>
      <c r="AJ80" s="14"/>
    </row>
    <row r="81" spans="1:36" ht="14.25" customHeight="1" x14ac:dyDescent="0.25">
      <c r="A81" s="9">
        <v>80</v>
      </c>
      <c r="B81" s="10" t="s">
        <v>14</v>
      </c>
      <c r="C81" s="10" t="s">
        <v>15</v>
      </c>
      <c r="D81" s="10" t="s">
        <v>16</v>
      </c>
      <c r="E81" s="11" t="str">
        <f ca="1">IFERROR(__xludf.DUMMYFUNCTION("FILTER(Colegios!$B$2:$B2419,Colegios!$A$2:$A2419=L81)"),"14145 SANTA JULIA BILLIART")</f>
        <v>14145 SANTA JULIA BILLIART</v>
      </c>
      <c r="F81" s="11" t="s">
        <v>17</v>
      </c>
      <c r="G81" s="10" t="s">
        <v>24</v>
      </c>
      <c r="H81" s="11" t="s">
        <v>19</v>
      </c>
      <c r="I81" s="11" t="s">
        <v>20</v>
      </c>
      <c r="J81" s="12" t="str">
        <f ca="1">IFERROR(__xludf.DUMMYFUNCTION("FILTER('CLASFICACIÓN'!$F$3:$F2419,'CLASFICACIÓN'!$G$3:$G2419=M81)"),"2023 Y 2024")</f>
        <v>2023 Y 2024</v>
      </c>
      <c r="K81" s="12" t="s">
        <v>2012</v>
      </c>
      <c r="L81" s="11" t="s">
        <v>36</v>
      </c>
      <c r="M81" s="12" t="str">
        <f t="shared" ca="1" si="0"/>
        <v>14145 SANTA JULIA BILLIART4 Primaria</v>
      </c>
      <c r="N81" s="11"/>
      <c r="O81" s="11"/>
      <c r="P81" s="11"/>
      <c r="Q81" s="11"/>
      <c r="R81" s="11"/>
      <c r="S81" s="11"/>
      <c r="T81" s="11"/>
      <c r="U81" s="11"/>
      <c r="V81" s="11"/>
      <c r="W81" s="11"/>
      <c r="X81" s="11"/>
      <c r="Y81" s="11"/>
      <c r="Z81" s="11"/>
      <c r="AA81" s="11"/>
      <c r="AB81" s="11"/>
      <c r="AC81" s="11"/>
      <c r="AD81" s="11"/>
      <c r="AE81" s="11"/>
      <c r="AF81" s="11"/>
      <c r="AG81" s="11"/>
      <c r="AH81" s="11"/>
      <c r="AI81" s="11"/>
      <c r="AJ81" s="14"/>
    </row>
    <row r="82" spans="1:36" ht="14.25" customHeight="1" x14ac:dyDescent="0.25">
      <c r="A82" s="9">
        <v>1</v>
      </c>
      <c r="B82" s="10" t="s">
        <v>14</v>
      </c>
      <c r="C82" s="10" t="s">
        <v>15</v>
      </c>
      <c r="D82" s="10" t="s">
        <v>37</v>
      </c>
      <c r="E82" s="11" t="str">
        <f ca="1">IFERROR(__xludf.DUMMYFUNCTION("FILTER(Colegios!$B$2:$B2419,Colegios!$A$2:$A2419=L82)"),"14924 DANIEL ALCIDES CARRION")</f>
        <v>14924 DANIEL ALCIDES CARRION</v>
      </c>
      <c r="F82" s="11" t="s">
        <v>17</v>
      </c>
      <c r="G82" s="10" t="s">
        <v>24</v>
      </c>
      <c r="H82" s="11" t="s">
        <v>19</v>
      </c>
      <c r="I82" s="11" t="s">
        <v>20</v>
      </c>
      <c r="J82" s="12" t="str">
        <f ca="1">IFERROR(__xludf.DUMMYFUNCTION("FILTER('CLASFICACIÓN'!$F$3:$F2419,'CLASFICACIÓN'!$G$3:$G2419=M82)"),"SOLO 2024")</f>
        <v>SOLO 2024</v>
      </c>
      <c r="K82" s="12" t="s">
        <v>2011</v>
      </c>
      <c r="L82" s="11" t="s">
        <v>21</v>
      </c>
      <c r="M82" s="12" t="str">
        <f t="shared" ca="1" si="0"/>
        <v>14924 DANIEL ALCIDES CARRION6 Primaria</v>
      </c>
      <c r="N82" s="11"/>
      <c r="O82" s="11"/>
      <c r="P82" s="11"/>
      <c r="Q82" s="11"/>
      <c r="R82" s="11"/>
      <c r="S82" s="11"/>
      <c r="T82" s="11"/>
      <c r="U82" s="11"/>
      <c r="V82" s="11"/>
      <c r="W82" s="11"/>
      <c r="X82" s="11"/>
      <c r="Y82" s="11"/>
      <c r="Z82" s="11"/>
      <c r="AA82" s="11"/>
      <c r="AB82" s="11"/>
      <c r="AC82" s="11"/>
      <c r="AD82" s="11"/>
      <c r="AE82" s="11"/>
      <c r="AF82" s="11"/>
      <c r="AG82" s="11"/>
      <c r="AH82" s="11"/>
      <c r="AI82" s="11"/>
      <c r="AJ82" s="14"/>
    </row>
    <row r="83" spans="1:36" ht="14.25" customHeight="1" x14ac:dyDescent="0.25">
      <c r="A83" s="9">
        <v>2</v>
      </c>
      <c r="B83" s="10" t="s">
        <v>14</v>
      </c>
      <c r="C83" s="10" t="s">
        <v>15</v>
      </c>
      <c r="D83" s="10" t="s">
        <v>37</v>
      </c>
      <c r="E83" s="11" t="str">
        <f ca="1">IFERROR(__xludf.DUMMYFUNCTION("FILTER(Colegios!$B$2:$B2419,Colegios!$A$2:$A2419=L83)"),"14924 DANIEL ALCIDES CARRION")</f>
        <v>14924 DANIEL ALCIDES CARRION</v>
      </c>
      <c r="F83" s="11" t="s">
        <v>17</v>
      </c>
      <c r="G83" s="10" t="s">
        <v>24</v>
      </c>
      <c r="H83" s="11" t="s">
        <v>19</v>
      </c>
      <c r="I83" s="11" t="s">
        <v>20</v>
      </c>
      <c r="J83" s="12" t="str">
        <f ca="1">IFERROR(__xludf.DUMMYFUNCTION("FILTER('CLASFICACIÓN'!$F$3:$F2419,'CLASFICACIÓN'!$G$3:$G2419=M83)"),"SOLO 2024")</f>
        <v>SOLO 2024</v>
      </c>
      <c r="K83" s="12" t="s">
        <v>2011</v>
      </c>
      <c r="L83" s="11" t="s">
        <v>21</v>
      </c>
      <c r="M83" s="12" t="str">
        <f t="shared" ca="1" si="0"/>
        <v>14924 DANIEL ALCIDES CARRION6 Primaria</v>
      </c>
      <c r="N83" s="11"/>
      <c r="O83" s="11"/>
      <c r="P83" s="11"/>
      <c r="Q83" s="11"/>
      <c r="R83" s="11"/>
      <c r="S83" s="11"/>
      <c r="T83" s="11"/>
      <c r="U83" s="11"/>
      <c r="V83" s="11"/>
      <c r="W83" s="11"/>
      <c r="X83" s="11"/>
      <c r="Y83" s="11"/>
      <c r="Z83" s="11"/>
      <c r="AA83" s="11"/>
      <c r="AB83" s="11"/>
      <c r="AC83" s="11"/>
      <c r="AD83" s="11"/>
      <c r="AE83" s="11"/>
      <c r="AF83" s="11"/>
      <c r="AG83" s="11"/>
      <c r="AH83" s="11"/>
      <c r="AI83" s="11"/>
      <c r="AJ83" s="14"/>
    </row>
    <row r="84" spans="1:36" ht="14.25" customHeight="1" x14ac:dyDescent="0.25">
      <c r="A84" s="9">
        <v>3</v>
      </c>
      <c r="B84" s="10" t="s">
        <v>14</v>
      </c>
      <c r="C84" s="10" t="s">
        <v>15</v>
      </c>
      <c r="D84" s="10" t="s">
        <v>37</v>
      </c>
      <c r="E84" s="11" t="str">
        <f ca="1">IFERROR(__xludf.DUMMYFUNCTION("FILTER(Colegios!$B$2:$B2419,Colegios!$A$2:$A2419=L84)"),"14924 DANIEL ALCIDES CARRION")</f>
        <v>14924 DANIEL ALCIDES CARRION</v>
      </c>
      <c r="F84" s="11" t="s">
        <v>17</v>
      </c>
      <c r="G84" s="10" t="s">
        <v>24</v>
      </c>
      <c r="H84" s="11" t="s">
        <v>23</v>
      </c>
      <c r="I84" s="11" t="s">
        <v>20</v>
      </c>
      <c r="J84" s="12" t="str">
        <f ca="1">IFERROR(__xludf.DUMMYFUNCTION("FILTER('CLASFICACIÓN'!$F$3:$F2419,'CLASFICACIÓN'!$G$3:$G2419=M84)"),"SOLO 2024")</f>
        <v>SOLO 2024</v>
      </c>
      <c r="K84" s="12" t="s">
        <v>2011</v>
      </c>
      <c r="L84" s="11" t="s">
        <v>21</v>
      </c>
      <c r="M84" s="12" t="str">
        <f t="shared" ca="1" si="0"/>
        <v>14924 DANIEL ALCIDES CARRION6 Primaria</v>
      </c>
      <c r="N84" s="11"/>
      <c r="O84" s="11"/>
      <c r="P84" s="11"/>
      <c r="Q84" s="11"/>
      <c r="R84" s="11"/>
      <c r="S84" s="11"/>
      <c r="T84" s="11"/>
      <c r="U84" s="11"/>
      <c r="V84" s="11"/>
      <c r="W84" s="11"/>
      <c r="X84" s="11"/>
      <c r="Y84" s="11"/>
      <c r="Z84" s="11"/>
      <c r="AA84" s="11"/>
      <c r="AB84" s="11"/>
      <c r="AC84" s="11"/>
      <c r="AD84" s="11"/>
      <c r="AE84" s="11"/>
      <c r="AF84" s="11"/>
      <c r="AG84" s="11"/>
      <c r="AH84" s="11"/>
      <c r="AI84" s="11"/>
      <c r="AJ84" s="14"/>
    </row>
    <row r="85" spans="1:36" ht="14.25" customHeight="1" x14ac:dyDescent="0.25">
      <c r="A85" s="9">
        <v>4</v>
      </c>
      <c r="B85" s="10" t="s">
        <v>14</v>
      </c>
      <c r="C85" s="10" t="s">
        <v>15</v>
      </c>
      <c r="D85" s="10" t="s">
        <v>37</v>
      </c>
      <c r="E85" s="11" t="str">
        <f ca="1">IFERROR(__xludf.DUMMYFUNCTION("FILTER(Colegios!$B$2:$B2419,Colegios!$A$2:$A2419=L85)"),"14924 DANIEL ALCIDES CARRION")</f>
        <v>14924 DANIEL ALCIDES CARRION</v>
      </c>
      <c r="F85" s="11" t="s">
        <v>17</v>
      </c>
      <c r="G85" s="10" t="s">
        <v>24</v>
      </c>
      <c r="H85" s="11" t="s">
        <v>25</v>
      </c>
      <c r="I85" s="11" t="s">
        <v>20</v>
      </c>
      <c r="J85" s="12" t="str">
        <f ca="1">IFERROR(__xludf.DUMMYFUNCTION("FILTER('CLASFICACIÓN'!$F$3:$F2419,'CLASFICACIÓN'!$G$3:$G2419=M85)"),"SOLO 2024")</f>
        <v>SOLO 2024</v>
      </c>
      <c r="K85" s="12" t="s">
        <v>2011</v>
      </c>
      <c r="L85" s="11" t="s">
        <v>21</v>
      </c>
      <c r="M85" s="12" t="str">
        <f t="shared" ca="1" si="0"/>
        <v>14924 DANIEL ALCIDES CARRION6 Primaria</v>
      </c>
      <c r="N85" s="11"/>
      <c r="O85" s="11"/>
      <c r="P85" s="11"/>
      <c r="Q85" s="11"/>
      <c r="R85" s="11"/>
      <c r="S85" s="11"/>
      <c r="T85" s="11"/>
      <c r="U85" s="11"/>
      <c r="V85" s="11"/>
      <c r="W85" s="11"/>
      <c r="X85" s="11"/>
      <c r="Y85" s="11"/>
      <c r="Z85" s="11"/>
      <c r="AA85" s="11"/>
      <c r="AB85" s="11"/>
      <c r="AC85" s="11"/>
      <c r="AD85" s="11"/>
      <c r="AE85" s="11"/>
      <c r="AF85" s="11"/>
      <c r="AG85" s="11"/>
      <c r="AH85" s="11"/>
      <c r="AI85" s="11"/>
      <c r="AJ85" s="14"/>
    </row>
    <row r="86" spans="1:36" ht="14.25" customHeight="1" x14ac:dyDescent="0.25">
      <c r="A86" s="9">
        <v>5</v>
      </c>
      <c r="B86" s="10" t="s">
        <v>14</v>
      </c>
      <c r="C86" s="10" t="s">
        <v>15</v>
      </c>
      <c r="D86" s="10" t="s">
        <v>37</v>
      </c>
      <c r="E86" s="11" t="str">
        <f ca="1">IFERROR(__xludf.DUMMYFUNCTION("FILTER(Colegios!$B$2:$B2419,Colegios!$A$2:$A2419=L86)"),"14924 DANIEL ALCIDES CARRION")</f>
        <v>14924 DANIEL ALCIDES CARRION</v>
      </c>
      <c r="F86" s="11" t="s">
        <v>17</v>
      </c>
      <c r="G86" s="10" t="s">
        <v>24</v>
      </c>
      <c r="H86" s="11" t="s">
        <v>25</v>
      </c>
      <c r="I86" s="11" t="s">
        <v>20</v>
      </c>
      <c r="J86" s="12" t="str">
        <f ca="1">IFERROR(__xludf.DUMMYFUNCTION("FILTER('CLASFICACIÓN'!$F$3:$F2419,'CLASFICACIÓN'!$G$3:$G2419=M86)"),"SOLO 2024")</f>
        <v>SOLO 2024</v>
      </c>
      <c r="K86" s="12" t="s">
        <v>2011</v>
      </c>
      <c r="L86" s="11" t="s">
        <v>21</v>
      </c>
      <c r="M86" s="12" t="str">
        <f t="shared" ca="1" si="0"/>
        <v>14924 DANIEL ALCIDES CARRION6 Primaria</v>
      </c>
      <c r="N86" s="11"/>
      <c r="O86" s="11"/>
      <c r="P86" s="11"/>
      <c r="Q86" s="11"/>
      <c r="R86" s="11"/>
      <c r="S86" s="11"/>
      <c r="T86" s="11"/>
      <c r="U86" s="11"/>
      <c r="V86" s="11"/>
      <c r="W86" s="11"/>
      <c r="X86" s="11"/>
      <c r="Y86" s="11"/>
      <c r="Z86" s="11"/>
      <c r="AA86" s="11"/>
      <c r="AB86" s="11"/>
      <c r="AC86" s="11"/>
      <c r="AD86" s="11"/>
      <c r="AE86" s="11"/>
      <c r="AF86" s="11"/>
      <c r="AG86" s="11"/>
      <c r="AH86" s="11"/>
      <c r="AI86" s="11"/>
      <c r="AJ86" s="14"/>
    </row>
    <row r="87" spans="1:36" ht="14.25" customHeight="1" x14ac:dyDescent="0.25">
      <c r="A87" s="9">
        <v>6</v>
      </c>
      <c r="B87" s="10" t="s">
        <v>14</v>
      </c>
      <c r="C87" s="10" t="s">
        <v>15</v>
      </c>
      <c r="D87" s="10" t="s">
        <v>37</v>
      </c>
      <c r="E87" s="11" t="str">
        <f ca="1">IFERROR(__xludf.DUMMYFUNCTION("FILTER(Colegios!$B$2:$B2419,Colegios!$A$2:$A2419=L87)"),"14924 DANIEL ALCIDES CARRION")</f>
        <v>14924 DANIEL ALCIDES CARRION</v>
      </c>
      <c r="F87" s="11" t="s">
        <v>17</v>
      </c>
      <c r="G87" s="10" t="s">
        <v>24</v>
      </c>
      <c r="H87" s="11" t="s">
        <v>19</v>
      </c>
      <c r="I87" s="11" t="s">
        <v>20</v>
      </c>
      <c r="J87" s="12" t="str">
        <f ca="1">IFERROR(__xludf.DUMMYFUNCTION("FILTER('CLASFICACIÓN'!$F$3:$F2419,'CLASFICACIÓN'!$G$3:$G2419=M87)"),"SOLO 2024")</f>
        <v>SOLO 2024</v>
      </c>
      <c r="K87" s="12" t="s">
        <v>2011</v>
      </c>
      <c r="L87" s="11" t="s">
        <v>21</v>
      </c>
      <c r="M87" s="12" t="str">
        <f t="shared" ca="1" si="0"/>
        <v>14924 DANIEL ALCIDES CARRION6 Primaria</v>
      </c>
      <c r="N87" s="11"/>
      <c r="O87" s="11"/>
      <c r="P87" s="11"/>
      <c r="Q87" s="11"/>
      <c r="R87" s="11"/>
      <c r="S87" s="11"/>
      <c r="T87" s="11"/>
      <c r="U87" s="11"/>
      <c r="V87" s="11"/>
      <c r="W87" s="11"/>
      <c r="X87" s="11"/>
      <c r="Y87" s="11"/>
      <c r="Z87" s="11"/>
      <c r="AA87" s="11"/>
      <c r="AB87" s="11"/>
      <c r="AC87" s="11"/>
      <c r="AD87" s="11"/>
      <c r="AE87" s="11"/>
      <c r="AF87" s="11"/>
      <c r="AG87" s="11"/>
      <c r="AH87" s="11"/>
      <c r="AI87" s="11"/>
      <c r="AJ87" s="14"/>
    </row>
    <row r="88" spans="1:36" ht="14.25" customHeight="1" x14ac:dyDescent="0.25">
      <c r="A88" s="9">
        <v>7</v>
      </c>
      <c r="B88" s="10" t="s">
        <v>14</v>
      </c>
      <c r="C88" s="10" t="s">
        <v>15</v>
      </c>
      <c r="D88" s="10" t="s">
        <v>37</v>
      </c>
      <c r="E88" s="11" t="str">
        <f ca="1">IFERROR(__xludf.DUMMYFUNCTION("FILTER(Colegios!$B$2:$B2419,Colegios!$A$2:$A2419=L88)"),"14924 DANIEL ALCIDES CARRION")</f>
        <v>14924 DANIEL ALCIDES CARRION</v>
      </c>
      <c r="F88" s="11" t="s">
        <v>17</v>
      </c>
      <c r="G88" s="10" t="s">
        <v>24</v>
      </c>
      <c r="H88" s="11" t="s">
        <v>23</v>
      </c>
      <c r="I88" s="11" t="s">
        <v>20</v>
      </c>
      <c r="J88" s="12" t="str">
        <f ca="1">IFERROR(__xludf.DUMMYFUNCTION("FILTER('CLASFICACIÓN'!$F$3:$F2419,'CLASFICACIÓN'!$G$3:$G2419=M88)"),"SOLO 2024")</f>
        <v>SOLO 2024</v>
      </c>
      <c r="K88" s="12" t="s">
        <v>2011</v>
      </c>
      <c r="L88" s="11" t="s">
        <v>21</v>
      </c>
      <c r="M88" s="12" t="str">
        <f t="shared" ca="1" si="0"/>
        <v>14924 DANIEL ALCIDES CARRION6 Primaria</v>
      </c>
      <c r="N88" s="11"/>
      <c r="O88" s="11"/>
      <c r="P88" s="11"/>
      <c r="Q88" s="11"/>
      <c r="R88" s="11"/>
      <c r="S88" s="11"/>
      <c r="T88" s="11"/>
      <c r="U88" s="11"/>
      <c r="V88" s="11"/>
      <c r="W88" s="11"/>
      <c r="X88" s="11"/>
      <c r="Y88" s="11"/>
      <c r="Z88" s="11"/>
      <c r="AA88" s="11"/>
      <c r="AB88" s="11"/>
      <c r="AC88" s="11"/>
      <c r="AD88" s="11"/>
      <c r="AE88" s="11"/>
      <c r="AF88" s="11"/>
      <c r="AG88" s="11"/>
      <c r="AH88" s="11"/>
      <c r="AI88" s="11"/>
      <c r="AJ88" s="14"/>
    </row>
    <row r="89" spans="1:36" ht="14.25" customHeight="1" x14ac:dyDescent="0.25">
      <c r="A89" s="9">
        <v>8</v>
      </c>
      <c r="B89" s="10" t="s">
        <v>14</v>
      </c>
      <c r="C89" s="10" t="s">
        <v>15</v>
      </c>
      <c r="D89" s="10" t="s">
        <v>37</v>
      </c>
      <c r="E89" s="11" t="str">
        <f ca="1">IFERROR(__xludf.DUMMYFUNCTION("FILTER(Colegios!$B$2:$B2419,Colegios!$A$2:$A2419=L89)"),"14924 DANIEL ALCIDES CARRION")</f>
        <v>14924 DANIEL ALCIDES CARRION</v>
      </c>
      <c r="F89" s="11" t="s">
        <v>17</v>
      </c>
      <c r="G89" s="10" t="s">
        <v>24</v>
      </c>
      <c r="H89" s="11" t="s">
        <v>19</v>
      </c>
      <c r="I89" s="11" t="s">
        <v>20</v>
      </c>
      <c r="J89" s="12" t="str">
        <f ca="1">IFERROR(__xludf.DUMMYFUNCTION("FILTER('CLASFICACIÓN'!$F$3:$F2419,'CLASFICACIÓN'!$G$3:$G2419=M89)"),"SOLO 2024")</f>
        <v>SOLO 2024</v>
      </c>
      <c r="K89" s="12" t="s">
        <v>2011</v>
      </c>
      <c r="L89" s="11" t="s">
        <v>21</v>
      </c>
      <c r="M89" s="12" t="str">
        <f t="shared" ca="1" si="0"/>
        <v>14924 DANIEL ALCIDES CARRION6 Primaria</v>
      </c>
      <c r="N89" s="11"/>
      <c r="O89" s="11"/>
      <c r="P89" s="11"/>
      <c r="Q89" s="11"/>
      <c r="R89" s="11"/>
      <c r="S89" s="11"/>
      <c r="T89" s="11"/>
      <c r="U89" s="11"/>
      <c r="V89" s="11"/>
      <c r="W89" s="11"/>
      <c r="X89" s="11"/>
      <c r="Y89" s="11"/>
      <c r="Z89" s="11"/>
      <c r="AA89" s="11"/>
      <c r="AB89" s="11"/>
      <c r="AC89" s="11"/>
      <c r="AD89" s="11"/>
      <c r="AE89" s="11"/>
      <c r="AF89" s="11"/>
      <c r="AG89" s="11"/>
      <c r="AH89" s="11"/>
      <c r="AI89" s="11"/>
      <c r="AJ89" s="14"/>
    </row>
    <row r="90" spans="1:36" ht="14.25" customHeight="1" x14ac:dyDescent="0.25">
      <c r="A90" s="9">
        <v>9</v>
      </c>
      <c r="B90" s="10" t="s">
        <v>14</v>
      </c>
      <c r="C90" s="10" t="s">
        <v>15</v>
      </c>
      <c r="D90" s="10" t="s">
        <v>37</v>
      </c>
      <c r="E90" s="11" t="str">
        <f ca="1">IFERROR(__xludf.DUMMYFUNCTION("FILTER(Colegios!$B$2:$B2419,Colegios!$A$2:$A2419=L90)"),"14924 DANIEL ALCIDES CARRION")</f>
        <v>14924 DANIEL ALCIDES CARRION</v>
      </c>
      <c r="F90" s="11" t="s">
        <v>17</v>
      </c>
      <c r="G90" s="10" t="s">
        <v>18</v>
      </c>
      <c r="H90" s="11" t="s">
        <v>19</v>
      </c>
      <c r="I90" s="11" t="s">
        <v>20</v>
      </c>
      <c r="J90" s="12" t="str">
        <f ca="1">IFERROR(__xludf.DUMMYFUNCTION("FILTER('CLASFICACIÓN'!$F$3:$F2419,'CLASFICACIÓN'!$G$3:$G2419=M90)"),"SOLO 2024")</f>
        <v>SOLO 2024</v>
      </c>
      <c r="K90" s="12" t="s">
        <v>2011</v>
      </c>
      <c r="L90" s="11" t="s">
        <v>21</v>
      </c>
      <c r="M90" s="12" t="str">
        <f t="shared" ca="1" si="0"/>
        <v>14924 DANIEL ALCIDES CARRION6 Primaria</v>
      </c>
      <c r="N90" s="11"/>
      <c r="O90" s="11"/>
      <c r="P90" s="11"/>
      <c r="Q90" s="11"/>
      <c r="R90" s="11"/>
      <c r="S90" s="11"/>
      <c r="T90" s="11"/>
      <c r="U90" s="11"/>
      <c r="V90" s="11"/>
      <c r="W90" s="11"/>
      <c r="X90" s="11"/>
      <c r="Y90" s="11"/>
      <c r="Z90" s="11"/>
      <c r="AA90" s="11"/>
      <c r="AB90" s="11"/>
      <c r="AC90" s="11"/>
      <c r="AD90" s="11"/>
      <c r="AE90" s="11"/>
      <c r="AF90" s="11"/>
      <c r="AG90" s="11"/>
      <c r="AH90" s="11"/>
      <c r="AI90" s="11"/>
      <c r="AJ90" s="14"/>
    </row>
    <row r="91" spans="1:36" ht="14.25" customHeight="1" x14ac:dyDescent="0.25">
      <c r="A91" s="9">
        <v>10</v>
      </c>
      <c r="B91" s="10" t="s">
        <v>14</v>
      </c>
      <c r="C91" s="10" t="s">
        <v>15</v>
      </c>
      <c r="D91" s="10" t="s">
        <v>37</v>
      </c>
      <c r="E91" s="11" t="str">
        <f ca="1">IFERROR(__xludf.DUMMYFUNCTION("FILTER(Colegios!$B$2:$B2419,Colegios!$A$2:$A2419=L91)"),"14924 DANIEL ALCIDES CARRION")</f>
        <v>14924 DANIEL ALCIDES CARRION</v>
      </c>
      <c r="F91" s="11" t="s">
        <v>17</v>
      </c>
      <c r="G91" s="10" t="s">
        <v>18</v>
      </c>
      <c r="H91" s="11" t="s">
        <v>19</v>
      </c>
      <c r="I91" s="11" t="s">
        <v>20</v>
      </c>
      <c r="J91" s="12" t="str">
        <f ca="1">IFERROR(__xludf.DUMMYFUNCTION("FILTER('CLASFICACIÓN'!$F$3:$F2419,'CLASFICACIÓN'!$G$3:$G2419=M91)"),"SOLO 2024")</f>
        <v>SOLO 2024</v>
      </c>
      <c r="K91" s="12" t="s">
        <v>2011</v>
      </c>
      <c r="L91" s="11" t="s">
        <v>21</v>
      </c>
      <c r="M91" s="12" t="str">
        <f t="shared" ca="1" si="0"/>
        <v>14924 DANIEL ALCIDES CARRION6 Primaria</v>
      </c>
      <c r="N91" s="11"/>
      <c r="O91" s="11"/>
      <c r="P91" s="11"/>
      <c r="Q91" s="11"/>
      <c r="R91" s="11"/>
      <c r="S91" s="11"/>
      <c r="T91" s="11"/>
      <c r="U91" s="11"/>
      <c r="V91" s="11"/>
      <c r="W91" s="11"/>
      <c r="X91" s="11"/>
      <c r="Y91" s="11"/>
      <c r="Z91" s="11"/>
      <c r="AA91" s="11"/>
      <c r="AB91" s="11"/>
      <c r="AC91" s="11"/>
      <c r="AD91" s="11"/>
      <c r="AE91" s="11"/>
      <c r="AF91" s="11"/>
      <c r="AG91" s="11"/>
      <c r="AH91" s="11"/>
      <c r="AI91" s="11"/>
      <c r="AJ91" s="14"/>
    </row>
    <row r="92" spans="1:36" ht="14.25" customHeight="1" x14ac:dyDescent="0.25">
      <c r="A92" s="9">
        <v>11</v>
      </c>
      <c r="B92" s="10" t="s">
        <v>14</v>
      </c>
      <c r="C92" s="10" t="s">
        <v>15</v>
      </c>
      <c r="D92" s="10" t="s">
        <v>37</v>
      </c>
      <c r="E92" s="11" t="str">
        <f ca="1">IFERROR(__xludf.DUMMYFUNCTION("FILTER(Colegios!$B$2:$B2419,Colegios!$A$2:$A2419=L92)"),"14924 DANIEL ALCIDES CARRION")</f>
        <v>14924 DANIEL ALCIDES CARRION</v>
      </c>
      <c r="F92" s="11" t="s">
        <v>17</v>
      </c>
      <c r="G92" s="10" t="s">
        <v>18</v>
      </c>
      <c r="H92" s="11" t="s">
        <v>19</v>
      </c>
      <c r="I92" s="11" t="s">
        <v>20</v>
      </c>
      <c r="J92" s="12" t="str">
        <f ca="1">IFERROR(__xludf.DUMMYFUNCTION("FILTER('CLASFICACIÓN'!$F$3:$F2419,'CLASFICACIÓN'!$G$3:$G2419=M92)"),"SOLO 2024")</f>
        <v>SOLO 2024</v>
      </c>
      <c r="K92" s="12" t="s">
        <v>2011</v>
      </c>
      <c r="L92" s="11" t="s">
        <v>21</v>
      </c>
      <c r="M92" s="12" t="str">
        <f t="shared" ca="1" si="0"/>
        <v>14924 DANIEL ALCIDES CARRION6 Primaria</v>
      </c>
      <c r="N92" s="11"/>
      <c r="O92" s="11"/>
      <c r="P92" s="11"/>
      <c r="Q92" s="11"/>
      <c r="R92" s="11"/>
      <c r="S92" s="11"/>
      <c r="T92" s="11"/>
      <c r="U92" s="11"/>
      <c r="V92" s="11"/>
      <c r="W92" s="11"/>
      <c r="X92" s="11"/>
      <c r="Y92" s="11"/>
      <c r="Z92" s="11"/>
      <c r="AA92" s="11"/>
      <c r="AB92" s="11"/>
      <c r="AC92" s="11"/>
      <c r="AD92" s="11"/>
      <c r="AE92" s="11"/>
      <c r="AF92" s="11"/>
      <c r="AG92" s="11"/>
      <c r="AH92" s="11"/>
      <c r="AI92" s="11"/>
      <c r="AJ92" s="14"/>
    </row>
    <row r="93" spans="1:36" ht="15.75" customHeight="1" x14ac:dyDescent="0.25">
      <c r="A93" s="9">
        <v>12</v>
      </c>
      <c r="B93" s="10" t="s">
        <v>14</v>
      </c>
      <c r="C93" s="10" t="s">
        <v>15</v>
      </c>
      <c r="D93" s="10" t="s">
        <v>37</v>
      </c>
      <c r="E93" s="11" t="str">
        <f ca="1">IFERROR(__xludf.DUMMYFUNCTION("FILTER(Colegios!$B$2:$B2419,Colegios!$A$2:$A2419=L93)"),"14924 DANIEL ALCIDES CARRION")</f>
        <v>14924 DANIEL ALCIDES CARRION</v>
      </c>
      <c r="F93" s="11" t="s">
        <v>17</v>
      </c>
      <c r="G93" s="10" t="s">
        <v>18</v>
      </c>
      <c r="H93" s="11" t="s">
        <v>19</v>
      </c>
      <c r="I93" s="11" t="s">
        <v>20</v>
      </c>
      <c r="J93" s="12" t="str">
        <f ca="1">IFERROR(__xludf.DUMMYFUNCTION("FILTER('CLASFICACIÓN'!$F$3:$F2419,'CLASFICACIÓN'!$G$3:$G2419=M93)"),"SOLO 2024")</f>
        <v>SOLO 2024</v>
      </c>
      <c r="K93" s="12" t="s">
        <v>2011</v>
      </c>
      <c r="L93" s="11" t="s">
        <v>21</v>
      </c>
      <c r="M93" s="12" t="str">
        <f t="shared" ca="1" si="0"/>
        <v>14924 DANIEL ALCIDES CARRION6 Primaria</v>
      </c>
      <c r="N93" s="11"/>
      <c r="O93" s="11"/>
      <c r="P93" s="11"/>
      <c r="Q93" s="11"/>
      <c r="R93" s="11"/>
      <c r="S93" s="11"/>
      <c r="T93" s="11"/>
      <c r="U93" s="11"/>
      <c r="V93" s="11"/>
      <c r="W93" s="11"/>
      <c r="X93" s="11"/>
      <c r="Y93" s="11"/>
      <c r="Z93" s="11"/>
      <c r="AA93" s="11"/>
      <c r="AB93" s="11"/>
      <c r="AC93" s="11"/>
      <c r="AD93" s="11"/>
      <c r="AE93" s="11"/>
      <c r="AF93" s="11"/>
      <c r="AG93" s="11"/>
      <c r="AH93" s="11"/>
      <c r="AI93" s="11"/>
      <c r="AJ93" s="14"/>
    </row>
    <row r="94" spans="1:36" ht="15.75" customHeight="1" x14ac:dyDescent="0.25">
      <c r="A94" s="9">
        <v>13</v>
      </c>
      <c r="B94" s="10" t="s">
        <v>14</v>
      </c>
      <c r="C94" s="10" t="s">
        <v>15</v>
      </c>
      <c r="D94" s="10" t="s">
        <v>37</v>
      </c>
      <c r="E94" s="11" t="str">
        <f ca="1">IFERROR(__xludf.DUMMYFUNCTION("FILTER(Colegios!$B$2:$B2419,Colegios!$A$2:$A2419=L94)"),"14924 DANIEL ALCIDES CARRION")</f>
        <v>14924 DANIEL ALCIDES CARRION</v>
      </c>
      <c r="F94" s="11" t="s">
        <v>17</v>
      </c>
      <c r="G94" s="10" t="s">
        <v>18</v>
      </c>
      <c r="H94" s="11" t="s">
        <v>19</v>
      </c>
      <c r="I94" s="11" t="s">
        <v>20</v>
      </c>
      <c r="J94" s="12" t="str">
        <f ca="1">IFERROR(__xludf.DUMMYFUNCTION("FILTER('CLASFICACIÓN'!$F$3:$F2419,'CLASFICACIÓN'!$G$3:$G2419=M94)"),"SOLO 2024")</f>
        <v>SOLO 2024</v>
      </c>
      <c r="K94" s="12" t="s">
        <v>2011</v>
      </c>
      <c r="L94" s="11" t="s">
        <v>21</v>
      </c>
      <c r="M94" s="12" t="str">
        <f t="shared" ca="1" si="0"/>
        <v>14924 DANIEL ALCIDES CARRION6 Primaria</v>
      </c>
      <c r="N94" s="11"/>
      <c r="O94" s="11"/>
      <c r="P94" s="11"/>
      <c r="Q94" s="11"/>
      <c r="R94" s="11"/>
      <c r="S94" s="11"/>
      <c r="T94" s="11"/>
      <c r="U94" s="11"/>
      <c r="V94" s="11"/>
      <c r="W94" s="11"/>
      <c r="X94" s="11"/>
      <c r="Y94" s="11"/>
      <c r="Z94" s="11"/>
      <c r="AA94" s="11"/>
      <c r="AB94" s="11"/>
      <c r="AC94" s="11"/>
      <c r="AD94" s="11"/>
      <c r="AE94" s="11"/>
      <c r="AF94" s="11"/>
      <c r="AG94" s="11"/>
      <c r="AH94" s="11"/>
      <c r="AI94" s="11"/>
      <c r="AJ94" s="14"/>
    </row>
    <row r="95" spans="1:36" ht="15.75" customHeight="1" x14ac:dyDescent="0.25">
      <c r="A95" s="9">
        <v>14</v>
      </c>
      <c r="B95" s="10" t="s">
        <v>14</v>
      </c>
      <c r="C95" s="10" t="s">
        <v>15</v>
      </c>
      <c r="D95" s="10" t="s">
        <v>37</v>
      </c>
      <c r="E95" s="11" t="str">
        <f ca="1">IFERROR(__xludf.DUMMYFUNCTION("FILTER(Colegios!$B$2:$B2419,Colegios!$A$2:$A2419=L95)"),"14924 DANIEL ALCIDES CARRION")</f>
        <v>14924 DANIEL ALCIDES CARRION</v>
      </c>
      <c r="F95" s="11" t="s">
        <v>17</v>
      </c>
      <c r="G95" s="10" t="s">
        <v>18</v>
      </c>
      <c r="H95" s="11" t="s">
        <v>23</v>
      </c>
      <c r="I95" s="11" t="s">
        <v>20</v>
      </c>
      <c r="J95" s="12" t="str">
        <f ca="1">IFERROR(__xludf.DUMMYFUNCTION("FILTER('CLASFICACIÓN'!$F$3:$F2419,'CLASFICACIÓN'!$G$3:$G2419=M95)"),"SOLO 2024")</f>
        <v>SOLO 2024</v>
      </c>
      <c r="K95" s="12" t="s">
        <v>2011</v>
      </c>
      <c r="L95" s="11" t="s">
        <v>21</v>
      </c>
      <c r="M95" s="12" t="str">
        <f t="shared" ca="1" si="0"/>
        <v>14924 DANIEL ALCIDES CARRION6 Primaria</v>
      </c>
      <c r="N95" s="11"/>
      <c r="O95" s="11"/>
      <c r="P95" s="11"/>
      <c r="Q95" s="11"/>
      <c r="R95" s="11"/>
      <c r="S95" s="11"/>
      <c r="T95" s="11"/>
      <c r="U95" s="11"/>
      <c r="V95" s="11"/>
      <c r="W95" s="11"/>
      <c r="X95" s="11"/>
      <c r="Y95" s="11"/>
      <c r="Z95" s="11"/>
      <c r="AA95" s="11"/>
      <c r="AB95" s="11"/>
      <c r="AC95" s="11"/>
      <c r="AD95" s="11"/>
      <c r="AE95" s="11"/>
      <c r="AF95" s="11"/>
      <c r="AG95" s="11"/>
      <c r="AH95" s="11"/>
      <c r="AI95" s="11"/>
      <c r="AJ95" s="14"/>
    </row>
    <row r="96" spans="1:36" ht="15.75" customHeight="1" x14ac:dyDescent="0.25">
      <c r="A96" s="9">
        <v>15</v>
      </c>
      <c r="B96" s="10" t="s">
        <v>14</v>
      </c>
      <c r="C96" s="10" t="s">
        <v>15</v>
      </c>
      <c r="D96" s="10" t="s">
        <v>37</v>
      </c>
      <c r="E96" s="11" t="str">
        <f ca="1">IFERROR(__xludf.DUMMYFUNCTION("FILTER(Colegios!$B$2:$B2419,Colegios!$A$2:$A2419=L96)"),"14924 DANIEL ALCIDES CARRION")</f>
        <v>14924 DANIEL ALCIDES CARRION</v>
      </c>
      <c r="F96" s="11" t="s">
        <v>17</v>
      </c>
      <c r="G96" s="10" t="s">
        <v>24</v>
      </c>
      <c r="H96" s="11" t="s">
        <v>19</v>
      </c>
      <c r="I96" s="11" t="s">
        <v>20</v>
      </c>
      <c r="J96" s="12" t="str">
        <f ca="1">IFERROR(__xludf.DUMMYFUNCTION("FILTER('CLASFICACIÓN'!$F$3:$F2419,'CLASFICACIÓN'!$G$3:$G2419=M96)"),"SOLO 2024")</f>
        <v>SOLO 2024</v>
      </c>
      <c r="K96" s="12" t="s">
        <v>2011</v>
      </c>
      <c r="L96" s="11" t="s">
        <v>21</v>
      </c>
      <c r="M96" s="12" t="str">
        <f t="shared" ca="1" si="0"/>
        <v>14924 DANIEL ALCIDES CARRION6 Primaria</v>
      </c>
      <c r="N96" s="11"/>
      <c r="O96" s="11"/>
      <c r="P96" s="11"/>
      <c r="Q96" s="11"/>
      <c r="R96" s="11"/>
      <c r="S96" s="11"/>
      <c r="T96" s="11"/>
      <c r="U96" s="11"/>
      <c r="V96" s="11"/>
      <c r="W96" s="11"/>
      <c r="X96" s="11"/>
      <c r="Y96" s="11"/>
      <c r="Z96" s="11"/>
      <c r="AA96" s="11"/>
      <c r="AB96" s="11"/>
      <c r="AC96" s="11"/>
      <c r="AD96" s="11"/>
      <c r="AE96" s="11"/>
      <c r="AF96" s="11"/>
      <c r="AG96" s="11"/>
      <c r="AH96" s="11"/>
      <c r="AI96" s="11"/>
      <c r="AJ96" s="14"/>
    </row>
    <row r="97" spans="1:36" ht="15.75" customHeight="1" x14ac:dyDescent="0.25">
      <c r="A97" s="9">
        <v>16</v>
      </c>
      <c r="B97" s="10" t="s">
        <v>14</v>
      </c>
      <c r="C97" s="10" t="s">
        <v>15</v>
      </c>
      <c r="D97" s="10" t="s">
        <v>37</v>
      </c>
      <c r="E97" s="11" t="str">
        <f ca="1">IFERROR(__xludf.DUMMYFUNCTION("FILTER(Colegios!$B$2:$B2419,Colegios!$A$2:$A2419=L97)"),"14924 DANIEL ALCIDES CARRION")</f>
        <v>14924 DANIEL ALCIDES CARRION</v>
      </c>
      <c r="F97" s="11" t="s">
        <v>17</v>
      </c>
      <c r="G97" s="10" t="s">
        <v>24</v>
      </c>
      <c r="H97" s="11" t="s">
        <v>19</v>
      </c>
      <c r="I97" s="11" t="s">
        <v>20</v>
      </c>
      <c r="J97" s="12" t="str">
        <f ca="1">IFERROR(__xludf.DUMMYFUNCTION("FILTER('CLASFICACIÓN'!$F$3:$F2419,'CLASFICACIÓN'!$G$3:$G2419=M97)"),"SOLO 2024")</f>
        <v>SOLO 2024</v>
      </c>
      <c r="K97" s="12" t="s">
        <v>2011</v>
      </c>
      <c r="L97" s="11" t="s">
        <v>21</v>
      </c>
      <c r="M97" s="12" t="str">
        <f t="shared" ca="1" si="0"/>
        <v>14924 DANIEL ALCIDES CARRION6 Primaria</v>
      </c>
      <c r="N97" s="11"/>
      <c r="O97" s="11"/>
      <c r="P97" s="11"/>
      <c r="Q97" s="11"/>
      <c r="R97" s="11"/>
      <c r="S97" s="11"/>
      <c r="T97" s="11"/>
      <c r="U97" s="11"/>
      <c r="V97" s="11"/>
      <c r="W97" s="11"/>
      <c r="X97" s="11"/>
      <c r="Y97" s="11"/>
      <c r="Z97" s="11"/>
      <c r="AA97" s="11"/>
      <c r="AB97" s="11"/>
      <c r="AC97" s="11"/>
      <c r="AD97" s="11"/>
      <c r="AE97" s="11"/>
      <c r="AF97" s="11"/>
      <c r="AG97" s="11"/>
      <c r="AH97" s="11"/>
      <c r="AI97" s="11"/>
      <c r="AJ97" s="14"/>
    </row>
    <row r="98" spans="1:36" ht="15.75" customHeight="1" x14ac:dyDescent="0.25">
      <c r="A98" s="9">
        <v>17</v>
      </c>
      <c r="B98" s="10" t="s">
        <v>14</v>
      </c>
      <c r="C98" s="10" t="s">
        <v>15</v>
      </c>
      <c r="D98" s="10" t="s">
        <v>37</v>
      </c>
      <c r="E98" s="11" t="str">
        <f ca="1">IFERROR(__xludf.DUMMYFUNCTION("FILTER(Colegios!$B$2:$B2419,Colegios!$A$2:$A2419=L98)"),"14924 DANIEL ALCIDES CARRION")</f>
        <v>14924 DANIEL ALCIDES CARRION</v>
      </c>
      <c r="F98" s="11" t="s">
        <v>17</v>
      </c>
      <c r="G98" s="10" t="s">
        <v>24</v>
      </c>
      <c r="H98" s="11" t="s">
        <v>19</v>
      </c>
      <c r="I98" s="11" t="s">
        <v>20</v>
      </c>
      <c r="J98" s="12" t="str">
        <f ca="1">IFERROR(__xludf.DUMMYFUNCTION("FILTER('CLASFICACIÓN'!$F$3:$F2419,'CLASFICACIÓN'!$G$3:$G2419=M98)"),"SOLO 2024")</f>
        <v>SOLO 2024</v>
      </c>
      <c r="K98" s="12" t="s">
        <v>2011</v>
      </c>
      <c r="L98" s="11" t="s">
        <v>21</v>
      </c>
      <c r="M98" s="12" t="str">
        <f t="shared" ca="1" si="0"/>
        <v>14924 DANIEL ALCIDES CARRION6 Primaria</v>
      </c>
      <c r="N98" s="11"/>
      <c r="O98" s="11"/>
      <c r="P98" s="11"/>
      <c r="Q98" s="11"/>
      <c r="R98" s="11"/>
      <c r="S98" s="11"/>
      <c r="T98" s="11"/>
      <c r="U98" s="11"/>
      <c r="V98" s="11"/>
      <c r="W98" s="11"/>
      <c r="X98" s="11"/>
      <c r="Y98" s="11"/>
      <c r="Z98" s="11"/>
      <c r="AA98" s="11"/>
      <c r="AB98" s="11"/>
      <c r="AC98" s="11"/>
      <c r="AD98" s="11"/>
      <c r="AE98" s="11"/>
      <c r="AF98" s="11"/>
      <c r="AG98" s="11"/>
      <c r="AH98" s="11"/>
      <c r="AI98" s="11"/>
      <c r="AJ98" s="14"/>
    </row>
    <row r="99" spans="1:36" ht="15.75" customHeight="1" x14ac:dyDescent="0.25">
      <c r="A99" s="9">
        <v>18</v>
      </c>
      <c r="B99" s="10" t="s">
        <v>14</v>
      </c>
      <c r="C99" s="10" t="s">
        <v>15</v>
      </c>
      <c r="D99" s="10" t="s">
        <v>37</v>
      </c>
      <c r="E99" s="11" t="str">
        <f ca="1">IFERROR(__xludf.DUMMYFUNCTION("FILTER(Colegios!$B$2:$B2419,Colegios!$A$2:$A2419=L99)"),"14924 DANIEL ALCIDES CARRION")</f>
        <v>14924 DANIEL ALCIDES CARRION</v>
      </c>
      <c r="F99" s="11" t="s">
        <v>17</v>
      </c>
      <c r="G99" s="10" t="s">
        <v>24</v>
      </c>
      <c r="H99" s="11" t="s">
        <v>19</v>
      </c>
      <c r="I99" s="11" t="s">
        <v>20</v>
      </c>
      <c r="J99" s="12" t="str">
        <f ca="1">IFERROR(__xludf.DUMMYFUNCTION("FILTER('CLASFICACIÓN'!$F$3:$F2419,'CLASFICACIÓN'!$G$3:$G2419=M99)"),"SOLO 2024")</f>
        <v>SOLO 2024</v>
      </c>
      <c r="K99" s="12" t="s">
        <v>2011</v>
      </c>
      <c r="L99" s="11" t="s">
        <v>21</v>
      </c>
      <c r="M99" s="12" t="str">
        <f t="shared" ca="1" si="0"/>
        <v>14924 DANIEL ALCIDES CARRION6 Primaria</v>
      </c>
      <c r="N99" s="11"/>
      <c r="O99" s="11"/>
      <c r="P99" s="11"/>
      <c r="Q99" s="11"/>
      <c r="R99" s="11"/>
      <c r="S99" s="11"/>
      <c r="T99" s="11"/>
      <c r="U99" s="11"/>
      <c r="V99" s="11"/>
      <c r="W99" s="11"/>
      <c r="X99" s="11"/>
      <c r="Y99" s="11"/>
      <c r="Z99" s="11"/>
      <c r="AA99" s="11"/>
      <c r="AB99" s="11"/>
      <c r="AC99" s="11"/>
      <c r="AD99" s="11"/>
      <c r="AE99" s="11"/>
      <c r="AF99" s="11"/>
      <c r="AG99" s="11"/>
      <c r="AH99" s="11"/>
      <c r="AI99" s="11"/>
      <c r="AJ99" s="14"/>
    </row>
    <row r="100" spans="1:36" ht="15.75" customHeight="1" x14ac:dyDescent="0.25">
      <c r="A100" s="9">
        <v>19</v>
      </c>
      <c r="B100" s="10" t="s">
        <v>14</v>
      </c>
      <c r="C100" s="10" t="s">
        <v>15</v>
      </c>
      <c r="D100" s="10" t="s">
        <v>37</v>
      </c>
      <c r="E100" s="11" t="str">
        <f ca="1">IFERROR(__xludf.DUMMYFUNCTION("FILTER(Colegios!$B$2:$B2419,Colegios!$A$2:$A2419=L100)"),"14924 DANIEL ALCIDES CARRION")</f>
        <v>14924 DANIEL ALCIDES CARRION</v>
      </c>
      <c r="F100" s="11" t="s">
        <v>17</v>
      </c>
      <c r="G100" s="10" t="s">
        <v>24</v>
      </c>
      <c r="H100" s="11" t="s">
        <v>19</v>
      </c>
      <c r="I100" s="11" t="s">
        <v>20</v>
      </c>
      <c r="J100" s="12" t="str">
        <f ca="1">IFERROR(__xludf.DUMMYFUNCTION("FILTER('CLASFICACIÓN'!$F$3:$F2419,'CLASFICACIÓN'!$G$3:$G2419=M100)"),"SOLO 2024")</f>
        <v>SOLO 2024</v>
      </c>
      <c r="K100" s="12" t="s">
        <v>2011</v>
      </c>
      <c r="L100" s="11" t="s">
        <v>21</v>
      </c>
      <c r="M100" s="12" t="str">
        <f t="shared" ca="1" si="0"/>
        <v>14924 DANIEL ALCIDES CARRION6 Primaria</v>
      </c>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4"/>
    </row>
    <row r="101" spans="1:36" ht="15.75" customHeight="1" x14ac:dyDescent="0.25">
      <c r="A101" s="9">
        <v>20</v>
      </c>
      <c r="B101" s="10" t="s">
        <v>14</v>
      </c>
      <c r="C101" s="10" t="s">
        <v>15</v>
      </c>
      <c r="D101" s="10" t="s">
        <v>37</v>
      </c>
      <c r="E101" s="11" t="str">
        <f ca="1">IFERROR(__xludf.DUMMYFUNCTION("FILTER(Colegios!$B$2:$B2419,Colegios!$A$2:$A2419=L101)"),"14924 DANIEL ALCIDES CARRION")</f>
        <v>14924 DANIEL ALCIDES CARRION</v>
      </c>
      <c r="F101" s="11" t="s">
        <v>17</v>
      </c>
      <c r="G101" s="10" t="s">
        <v>18</v>
      </c>
      <c r="H101" s="11" t="s">
        <v>19</v>
      </c>
      <c r="I101" s="11" t="s">
        <v>20</v>
      </c>
      <c r="J101" s="12" t="str">
        <f ca="1">IFERROR(__xludf.DUMMYFUNCTION("FILTER('CLASFICACIÓN'!$F$3:$F2419,'CLASFICACIÓN'!$G$3:$G2419=M101)"),"SOLO 2024")</f>
        <v>SOLO 2024</v>
      </c>
      <c r="K101" s="12" t="s">
        <v>2011</v>
      </c>
      <c r="L101" s="11" t="s">
        <v>21</v>
      </c>
      <c r="M101" s="12" t="str">
        <f t="shared" ca="1" si="0"/>
        <v>14924 DANIEL ALCIDES CARRION6 Primaria</v>
      </c>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4"/>
    </row>
    <row r="102" spans="1:36" ht="15.75" customHeight="1" x14ac:dyDescent="0.25">
      <c r="A102" s="9">
        <v>21</v>
      </c>
      <c r="B102" s="10" t="s">
        <v>14</v>
      </c>
      <c r="C102" s="10" t="s">
        <v>15</v>
      </c>
      <c r="D102" s="10" t="s">
        <v>37</v>
      </c>
      <c r="E102" s="11" t="str">
        <f ca="1">IFERROR(__xludf.DUMMYFUNCTION("FILTER(Colegios!$B$2:$B2419,Colegios!$A$2:$A2419=L102)"),"14924 DANIEL ALCIDES CARRION")</f>
        <v>14924 DANIEL ALCIDES CARRION</v>
      </c>
      <c r="F102" s="11" t="s">
        <v>17</v>
      </c>
      <c r="G102" s="10" t="s">
        <v>18</v>
      </c>
      <c r="H102" s="11" t="s">
        <v>19</v>
      </c>
      <c r="I102" s="11" t="s">
        <v>20</v>
      </c>
      <c r="J102" s="12" t="str">
        <f ca="1">IFERROR(__xludf.DUMMYFUNCTION("FILTER('CLASFICACIÓN'!$F$3:$F2419,'CLASFICACIÓN'!$G$3:$G2419=M102)"),"SOLO 2024")</f>
        <v>SOLO 2024</v>
      </c>
      <c r="K102" s="12" t="s">
        <v>2011</v>
      </c>
      <c r="L102" s="11" t="s">
        <v>21</v>
      </c>
      <c r="M102" s="12" t="str">
        <f t="shared" ca="1" si="0"/>
        <v>14924 DANIEL ALCIDES CARRION6 Primaria</v>
      </c>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4"/>
    </row>
    <row r="103" spans="1:36" ht="15.75" customHeight="1" x14ac:dyDescent="0.25">
      <c r="A103" s="9">
        <v>22</v>
      </c>
      <c r="B103" s="10" t="s">
        <v>14</v>
      </c>
      <c r="C103" s="10" t="s">
        <v>15</v>
      </c>
      <c r="D103" s="10" t="s">
        <v>37</v>
      </c>
      <c r="E103" s="11" t="str">
        <f ca="1">IFERROR(__xludf.DUMMYFUNCTION("FILTER(Colegios!$B$2:$B2419,Colegios!$A$2:$A2419=L103)"),"14924 DANIEL ALCIDES CARRION")</f>
        <v>14924 DANIEL ALCIDES CARRION</v>
      </c>
      <c r="F103" s="11" t="s">
        <v>17</v>
      </c>
      <c r="G103" s="10" t="s">
        <v>18</v>
      </c>
      <c r="H103" s="11" t="s">
        <v>19</v>
      </c>
      <c r="I103" s="11" t="s">
        <v>20</v>
      </c>
      <c r="J103" s="12" t="str">
        <f ca="1">IFERROR(__xludf.DUMMYFUNCTION("FILTER('CLASFICACIÓN'!$F$3:$F2419,'CLASFICACIÓN'!$G$3:$G2419=M103)"),"SOLO 2024")</f>
        <v>SOLO 2024</v>
      </c>
      <c r="K103" s="12" t="s">
        <v>2011</v>
      </c>
      <c r="L103" s="11" t="s">
        <v>21</v>
      </c>
      <c r="M103" s="12" t="str">
        <f t="shared" ca="1" si="0"/>
        <v>14924 DANIEL ALCIDES CARRION6 Primaria</v>
      </c>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4"/>
    </row>
    <row r="104" spans="1:36" ht="15.75" customHeight="1" x14ac:dyDescent="0.25">
      <c r="A104" s="9">
        <v>23</v>
      </c>
      <c r="B104" s="10" t="s">
        <v>14</v>
      </c>
      <c r="C104" s="10" t="s">
        <v>15</v>
      </c>
      <c r="D104" s="10" t="s">
        <v>37</v>
      </c>
      <c r="E104" s="11" t="str">
        <f ca="1">IFERROR(__xludf.DUMMYFUNCTION("FILTER(Colegios!$B$2:$B2419,Colegios!$A$2:$A2419=L104)"),"14924 DANIEL ALCIDES CARRION")</f>
        <v>14924 DANIEL ALCIDES CARRION</v>
      </c>
      <c r="F104" s="11" t="s">
        <v>17</v>
      </c>
      <c r="G104" s="10" t="s">
        <v>18</v>
      </c>
      <c r="H104" s="11" t="s">
        <v>19</v>
      </c>
      <c r="I104" s="11" t="s">
        <v>20</v>
      </c>
      <c r="J104" s="12" t="str">
        <f ca="1">IFERROR(__xludf.DUMMYFUNCTION("FILTER('CLASFICACIÓN'!$F$3:$F2419,'CLASFICACIÓN'!$G$3:$G2419=M104)"),"SOLO 2024")</f>
        <v>SOLO 2024</v>
      </c>
      <c r="K104" s="12" t="s">
        <v>2011</v>
      </c>
      <c r="L104" s="11" t="s">
        <v>21</v>
      </c>
      <c r="M104" s="12" t="str">
        <f t="shared" ca="1" si="0"/>
        <v>14924 DANIEL ALCIDES CARRION6 Primaria</v>
      </c>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4"/>
    </row>
    <row r="105" spans="1:36" ht="15.75" customHeight="1" x14ac:dyDescent="0.25">
      <c r="A105" s="9">
        <v>24</v>
      </c>
      <c r="B105" s="10" t="s">
        <v>14</v>
      </c>
      <c r="C105" s="10" t="s">
        <v>15</v>
      </c>
      <c r="D105" s="10" t="s">
        <v>37</v>
      </c>
      <c r="E105" s="11" t="str">
        <f ca="1">IFERROR(__xludf.DUMMYFUNCTION("FILTER(Colegios!$B$2:$B2419,Colegios!$A$2:$A2419=L105)"),"14924 DANIEL ALCIDES CARRION")</f>
        <v>14924 DANIEL ALCIDES CARRION</v>
      </c>
      <c r="F105" s="11" t="s">
        <v>17</v>
      </c>
      <c r="G105" s="10" t="s">
        <v>18</v>
      </c>
      <c r="H105" s="11" t="s">
        <v>19</v>
      </c>
      <c r="I105" s="11" t="s">
        <v>20</v>
      </c>
      <c r="J105" s="12" t="str">
        <f ca="1">IFERROR(__xludf.DUMMYFUNCTION("FILTER('CLASFICACIÓN'!$F$3:$F2419,'CLASFICACIÓN'!$G$3:$G2419=M105)"),"SOLO 2024")</f>
        <v>SOLO 2024</v>
      </c>
      <c r="K105" s="12" t="s">
        <v>2011</v>
      </c>
      <c r="L105" s="11" t="s">
        <v>21</v>
      </c>
      <c r="M105" s="12" t="str">
        <f t="shared" ca="1" si="0"/>
        <v>14924 DANIEL ALCIDES CARRION6 Primaria</v>
      </c>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4"/>
    </row>
    <row r="106" spans="1:36" ht="15.75" customHeight="1" x14ac:dyDescent="0.25">
      <c r="A106" s="9">
        <v>25</v>
      </c>
      <c r="B106" s="10" t="s">
        <v>14</v>
      </c>
      <c r="C106" s="10" t="s">
        <v>15</v>
      </c>
      <c r="D106" s="10" t="s">
        <v>37</v>
      </c>
      <c r="E106" s="11" t="str">
        <f ca="1">IFERROR(__xludf.DUMMYFUNCTION("FILTER(Colegios!$B$2:$B2419,Colegios!$A$2:$A2419=L106)"),"20104")</f>
        <v>20104</v>
      </c>
      <c r="F106" s="11" t="s">
        <v>17</v>
      </c>
      <c r="G106" s="10" t="s">
        <v>18</v>
      </c>
      <c r="H106" s="11" t="s">
        <v>19</v>
      </c>
      <c r="I106" s="11" t="s">
        <v>20</v>
      </c>
      <c r="J106" s="12" t="str">
        <f ca="1">IFERROR(__xludf.DUMMYFUNCTION("FILTER('CLASFICACIÓN'!$F$3:$F2419,'CLASFICACIÓN'!$G$3:$G2419=M106)"),"2023 Y 2024")</f>
        <v>2023 Y 2024</v>
      </c>
      <c r="K106" s="12" t="s">
        <v>2011</v>
      </c>
      <c r="L106" s="11" t="s">
        <v>26</v>
      </c>
      <c r="M106" s="12" t="str">
        <f t="shared" ca="1" si="0"/>
        <v>201046 Primaria</v>
      </c>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4"/>
    </row>
    <row r="107" spans="1:36" ht="15.75" customHeight="1" x14ac:dyDescent="0.25">
      <c r="A107" s="9">
        <v>26</v>
      </c>
      <c r="B107" s="10" t="s">
        <v>14</v>
      </c>
      <c r="C107" s="10" t="s">
        <v>15</v>
      </c>
      <c r="D107" s="10" t="s">
        <v>37</v>
      </c>
      <c r="E107" s="11" t="str">
        <f ca="1">IFERROR(__xludf.DUMMYFUNCTION("FILTER(Colegios!$B$2:$B2419,Colegios!$A$2:$A2419=L107)"),"20104")</f>
        <v>20104</v>
      </c>
      <c r="F107" s="11" t="s">
        <v>17</v>
      </c>
      <c r="G107" s="10" t="s">
        <v>18</v>
      </c>
      <c r="H107" s="11" t="s">
        <v>19</v>
      </c>
      <c r="I107" s="11" t="s">
        <v>20</v>
      </c>
      <c r="J107" s="12" t="str">
        <f ca="1">IFERROR(__xludf.DUMMYFUNCTION("FILTER('CLASFICACIÓN'!$F$3:$F2419,'CLASFICACIÓN'!$G$3:$G2419=M107)"),"2023 Y 2024")</f>
        <v>2023 Y 2024</v>
      </c>
      <c r="K107" s="12" t="s">
        <v>2011</v>
      </c>
      <c r="L107" s="11" t="s">
        <v>26</v>
      </c>
      <c r="M107" s="12" t="str">
        <f t="shared" ca="1" si="0"/>
        <v>201046 Primaria</v>
      </c>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4"/>
    </row>
    <row r="108" spans="1:36" ht="15.75" customHeight="1" x14ac:dyDescent="0.25">
      <c r="A108" s="9">
        <v>27</v>
      </c>
      <c r="B108" s="10" t="s">
        <v>14</v>
      </c>
      <c r="C108" s="10" t="s">
        <v>15</v>
      </c>
      <c r="D108" s="10" t="s">
        <v>37</v>
      </c>
      <c r="E108" s="11" t="str">
        <f ca="1">IFERROR(__xludf.DUMMYFUNCTION("FILTER(Colegios!$B$2:$B2419,Colegios!$A$2:$A2419=L108)"),"20104")</f>
        <v>20104</v>
      </c>
      <c r="F108" s="11" t="s">
        <v>17</v>
      </c>
      <c r="G108" s="10" t="s">
        <v>18</v>
      </c>
      <c r="H108" s="11" t="s">
        <v>19</v>
      </c>
      <c r="I108" s="11" t="s">
        <v>20</v>
      </c>
      <c r="J108" s="12" t="str">
        <f ca="1">IFERROR(__xludf.DUMMYFUNCTION("FILTER('CLASFICACIÓN'!$F$3:$F2419,'CLASFICACIÓN'!$G$3:$G2419=M108)"),"2023 Y 2024")</f>
        <v>2023 Y 2024</v>
      </c>
      <c r="K108" s="12" t="s">
        <v>2011</v>
      </c>
      <c r="L108" s="11" t="s">
        <v>26</v>
      </c>
      <c r="M108" s="12" t="str">
        <f t="shared" ca="1" si="0"/>
        <v>201046 Primaria</v>
      </c>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4"/>
    </row>
    <row r="109" spans="1:36" ht="15.75" customHeight="1" x14ac:dyDescent="0.25">
      <c r="A109" s="9">
        <v>28</v>
      </c>
      <c r="B109" s="10" t="s">
        <v>14</v>
      </c>
      <c r="C109" s="10" t="s">
        <v>15</v>
      </c>
      <c r="D109" s="10" t="s">
        <v>37</v>
      </c>
      <c r="E109" s="11" t="str">
        <f ca="1">IFERROR(__xludf.DUMMYFUNCTION("FILTER(Colegios!$B$2:$B2419,Colegios!$A$2:$A2419=L109)"),"20104")</f>
        <v>20104</v>
      </c>
      <c r="F109" s="11" t="s">
        <v>17</v>
      </c>
      <c r="G109" s="10" t="s">
        <v>24</v>
      </c>
      <c r="H109" s="11" t="s">
        <v>19</v>
      </c>
      <c r="I109" s="11" t="s">
        <v>20</v>
      </c>
      <c r="J109" s="12" t="str">
        <f ca="1">IFERROR(__xludf.DUMMYFUNCTION("FILTER('CLASFICACIÓN'!$F$3:$F2419,'CLASFICACIÓN'!$G$3:$G2419=M109)"),"2023 Y 2024")</f>
        <v>2023 Y 2024</v>
      </c>
      <c r="K109" s="12" t="s">
        <v>2011</v>
      </c>
      <c r="L109" s="11" t="s">
        <v>26</v>
      </c>
      <c r="M109" s="12" t="str">
        <f t="shared" ca="1" si="0"/>
        <v>201046 Primaria</v>
      </c>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4"/>
    </row>
    <row r="110" spans="1:36" ht="15.75" customHeight="1" x14ac:dyDescent="0.25">
      <c r="A110" s="9">
        <v>29</v>
      </c>
      <c r="B110" s="10" t="s">
        <v>14</v>
      </c>
      <c r="C110" s="10" t="s">
        <v>15</v>
      </c>
      <c r="D110" s="10" t="s">
        <v>37</v>
      </c>
      <c r="E110" s="11" t="str">
        <f ca="1">IFERROR(__xludf.DUMMYFUNCTION("FILTER(Colegios!$B$2:$B2419,Colegios!$A$2:$A2419=L110)"),"14975")</f>
        <v>14975</v>
      </c>
      <c r="F110" s="11" t="s">
        <v>17</v>
      </c>
      <c r="G110" s="10" t="s">
        <v>18</v>
      </c>
      <c r="H110" s="11" t="s">
        <v>19</v>
      </c>
      <c r="I110" s="11" t="s">
        <v>20</v>
      </c>
      <c r="J110" s="12" t="str">
        <f ca="1">IFERROR(__xludf.DUMMYFUNCTION("FILTER('CLASFICACIÓN'!$F$3:$F2419,'CLASFICACIÓN'!$G$3:$G2419=M110)"),"2023 Y 2024")</f>
        <v>2023 Y 2024</v>
      </c>
      <c r="K110" s="12" t="s">
        <v>2011</v>
      </c>
      <c r="L110" s="11" t="s">
        <v>27</v>
      </c>
      <c r="M110" s="12" t="str">
        <f t="shared" ca="1" si="0"/>
        <v>149756 Primaria</v>
      </c>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4"/>
    </row>
    <row r="111" spans="1:36" ht="15.75" customHeight="1" x14ac:dyDescent="0.25">
      <c r="A111" s="9">
        <v>30</v>
      </c>
      <c r="B111" s="10" t="s">
        <v>14</v>
      </c>
      <c r="C111" s="10" t="s">
        <v>15</v>
      </c>
      <c r="D111" s="10" t="s">
        <v>37</v>
      </c>
      <c r="E111" s="11" t="str">
        <f ca="1">IFERROR(__xludf.DUMMYFUNCTION("FILTER(Colegios!$B$2:$B2419,Colegios!$A$2:$A2419=L111)"),"14975")</f>
        <v>14975</v>
      </c>
      <c r="F111" s="11" t="s">
        <v>17</v>
      </c>
      <c r="G111" s="10" t="s">
        <v>18</v>
      </c>
      <c r="H111" s="11" t="s">
        <v>19</v>
      </c>
      <c r="I111" s="11" t="s">
        <v>20</v>
      </c>
      <c r="J111" s="12" t="str">
        <f ca="1">IFERROR(__xludf.DUMMYFUNCTION("FILTER('CLASFICACIÓN'!$F$3:$F2419,'CLASFICACIÓN'!$G$3:$G2419=M111)"),"2023 Y 2024")</f>
        <v>2023 Y 2024</v>
      </c>
      <c r="K111" s="12" t="s">
        <v>2011</v>
      </c>
      <c r="L111" s="11" t="s">
        <v>27</v>
      </c>
      <c r="M111" s="12" t="str">
        <f t="shared" ca="1" si="0"/>
        <v>149756 Primaria</v>
      </c>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4"/>
    </row>
    <row r="112" spans="1:36" ht="15.75" customHeight="1" x14ac:dyDescent="0.25">
      <c r="A112" s="9">
        <v>31</v>
      </c>
      <c r="B112" s="10" t="s">
        <v>14</v>
      </c>
      <c r="C112" s="10" t="s">
        <v>15</v>
      </c>
      <c r="D112" s="10" t="s">
        <v>37</v>
      </c>
      <c r="E112" s="11" t="str">
        <f ca="1">IFERROR(__xludf.DUMMYFUNCTION("FILTER(Colegios!$B$2:$B2419,Colegios!$A$2:$A2419=L112)"),"14975")</f>
        <v>14975</v>
      </c>
      <c r="F112" s="11" t="s">
        <v>17</v>
      </c>
      <c r="G112" s="10" t="s">
        <v>24</v>
      </c>
      <c r="H112" s="11" t="s">
        <v>19</v>
      </c>
      <c r="I112" s="11" t="s">
        <v>20</v>
      </c>
      <c r="J112" s="12" t="str">
        <f ca="1">IFERROR(__xludf.DUMMYFUNCTION("FILTER('CLASFICACIÓN'!$F$3:$F2419,'CLASFICACIÓN'!$G$3:$G2419=M112)"),"2023 Y 2024")</f>
        <v>2023 Y 2024</v>
      </c>
      <c r="K112" s="12" t="s">
        <v>2011</v>
      </c>
      <c r="L112" s="11" t="s">
        <v>27</v>
      </c>
      <c r="M112" s="12" t="str">
        <f t="shared" ca="1" si="0"/>
        <v>149756 Primaria</v>
      </c>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4"/>
    </row>
    <row r="113" spans="1:36" ht="15.75" customHeight="1" x14ac:dyDescent="0.25">
      <c r="A113" s="9">
        <v>32</v>
      </c>
      <c r="B113" s="10" t="s">
        <v>14</v>
      </c>
      <c r="C113" s="10" t="s">
        <v>15</v>
      </c>
      <c r="D113" s="10" t="s">
        <v>37</v>
      </c>
      <c r="E113" s="11" t="str">
        <f ca="1">IFERROR(__xludf.DUMMYFUNCTION("FILTER(Colegios!$B$2:$B2419,Colegios!$A$2:$A2419=L113)"),"14975")</f>
        <v>14975</v>
      </c>
      <c r="F113" s="11" t="s">
        <v>17</v>
      </c>
      <c r="G113" s="10" t="s">
        <v>24</v>
      </c>
      <c r="H113" s="11" t="s">
        <v>19</v>
      </c>
      <c r="I113" s="11" t="s">
        <v>20</v>
      </c>
      <c r="J113" s="12" t="str">
        <f ca="1">IFERROR(__xludf.DUMMYFUNCTION("FILTER('CLASFICACIÓN'!$F$3:$F2419,'CLASFICACIÓN'!$G$3:$G2419=M113)"),"2023 Y 2024")</f>
        <v>2023 Y 2024</v>
      </c>
      <c r="K113" s="12" t="s">
        <v>2011</v>
      </c>
      <c r="L113" s="11" t="s">
        <v>27</v>
      </c>
      <c r="M113" s="12" t="str">
        <f t="shared" ca="1" si="0"/>
        <v>149756 Primaria</v>
      </c>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4"/>
    </row>
    <row r="114" spans="1:36" ht="15.75" customHeight="1" x14ac:dyDescent="0.25">
      <c r="A114" s="9">
        <v>33</v>
      </c>
      <c r="B114" s="10" t="s">
        <v>14</v>
      </c>
      <c r="C114" s="10" t="s">
        <v>15</v>
      </c>
      <c r="D114" s="10" t="s">
        <v>37</v>
      </c>
      <c r="E114" s="11" t="str">
        <f ca="1">IFERROR(__xludf.DUMMYFUNCTION("FILTER(Colegios!$B$2:$B2419,Colegios!$A$2:$A2419=L114)"),"14975")</f>
        <v>14975</v>
      </c>
      <c r="F114" s="11" t="s">
        <v>17</v>
      </c>
      <c r="G114" s="10" t="s">
        <v>24</v>
      </c>
      <c r="H114" s="11" t="s">
        <v>19</v>
      </c>
      <c r="I114" s="11" t="s">
        <v>20</v>
      </c>
      <c r="J114" s="12" t="str">
        <f ca="1">IFERROR(__xludf.DUMMYFUNCTION("FILTER('CLASFICACIÓN'!$F$3:$F2419,'CLASFICACIÓN'!$G$3:$G2419=M114)"),"2023 Y 2024")</f>
        <v>2023 Y 2024</v>
      </c>
      <c r="K114" s="12" t="s">
        <v>2011</v>
      </c>
      <c r="L114" s="11" t="s">
        <v>27</v>
      </c>
      <c r="M114" s="12" t="str">
        <f t="shared" ca="1" si="0"/>
        <v>149756 Primaria</v>
      </c>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4"/>
    </row>
    <row r="115" spans="1:36" ht="15.75" customHeight="1" x14ac:dyDescent="0.25">
      <c r="A115" s="9">
        <v>34</v>
      </c>
      <c r="B115" s="10" t="s">
        <v>14</v>
      </c>
      <c r="C115" s="10" t="s">
        <v>15</v>
      </c>
      <c r="D115" s="10" t="s">
        <v>37</v>
      </c>
      <c r="E115" s="11" t="str">
        <f ca="1">IFERROR(__xludf.DUMMYFUNCTION("FILTER(Colegios!$B$2:$B2419,Colegios!$A$2:$A2419=L115)"),"15304")</f>
        <v>15304</v>
      </c>
      <c r="F115" s="11" t="s">
        <v>17</v>
      </c>
      <c r="G115" s="10" t="s">
        <v>18</v>
      </c>
      <c r="H115" s="11" t="s">
        <v>23</v>
      </c>
      <c r="I115" s="11" t="s">
        <v>20</v>
      </c>
      <c r="J115" s="12" t="str">
        <f ca="1">IFERROR(__xludf.DUMMYFUNCTION("FILTER('CLASFICACIÓN'!$F$3:$F2419,'CLASFICACIÓN'!$G$3:$G2419=M115)"),"2023 Y 2024")</f>
        <v>2023 Y 2024</v>
      </c>
      <c r="K115" s="12" t="s">
        <v>2012</v>
      </c>
      <c r="L115" s="11" t="s">
        <v>28</v>
      </c>
      <c r="M115" s="12" t="str">
        <f t="shared" ca="1" si="0"/>
        <v>153046 Primaria</v>
      </c>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4"/>
    </row>
    <row r="116" spans="1:36" ht="15.75" customHeight="1" x14ac:dyDescent="0.25">
      <c r="A116" s="9">
        <v>35</v>
      </c>
      <c r="B116" s="10" t="s">
        <v>14</v>
      </c>
      <c r="C116" s="10" t="s">
        <v>15</v>
      </c>
      <c r="D116" s="10" t="s">
        <v>37</v>
      </c>
      <c r="E116" s="11" t="str">
        <f ca="1">IFERROR(__xludf.DUMMYFUNCTION("FILTER(Colegios!$B$2:$B2419,Colegios!$A$2:$A2419=L116)"),"15304")</f>
        <v>15304</v>
      </c>
      <c r="F116" s="11" t="s">
        <v>17</v>
      </c>
      <c r="G116" s="10" t="s">
        <v>24</v>
      </c>
      <c r="H116" s="11" t="s">
        <v>19</v>
      </c>
      <c r="I116" s="11" t="s">
        <v>20</v>
      </c>
      <c r="J116" s="12" t="str">
        <f ca="1">IFERROR(__xludf.DUMMYFUNCTION("FILTER('CLASFICACIÓN'!$F$3:$F2419,'CLASFICACIÓN'!$G$3:$G2419=M116)"),"2023 Y 2024")</f>
        <v>2023 Y 2024</v>
      </c>
      <c r="K116" s="12" t="s">
        <v>2012</v>
      </c>
      <c r="L116" s="11" t="s">
        <v>28</v>
      </c>
      <c r="M116" s="12" t="str">
        <f t="shared" ca="1" si="0"/>
        <v>153046 Primaria</v>
      </c>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4"/>
    </row>
    <row r="117" spans="1:36" ht="15.75" customHeight="1" x14ac:dyDescent="0.25">
      <c r="A117" s="9">
        <v>36</v>
      </c>
      <c r="B117" s="10" t="s">
        <v>14</v>
      </c>
      <c r="C117" s="10" t="s">
        <v>15</v>
      </c>
      <c r="D117" s="10" t="s">
        <v>37</v>
      </c>
      <c r="E117" s="11" t="str">
        <f ca="1">IFERROR(__xludf.DUMMYFUNCTION("FILTER(Colegios!$B$2:$B2419,Colegios!$A$2:$A2419=L117)"),"15304")</f>
        <v>15304</v>
      </c>
      <c r="F117" s="11" t="s">
        <v>17</v>
      </c>
      <c r="G117" s="10" t="s">
        <v>24</v>
      </c>
      <c r="H117" s="11" t="s">
        <v>19</v>
      </c>
      <c r="I117" s="11" t="s">
        <v>20</v>
      </c>
      <c r="J117" s="12" t="str">
        <f ca="1">IFERROR(__xludf.DUMMYFUNCTION("FILTER('CLASFICACIÓN'!$F$3:$F2419,'CLASFICACIÓN'!$G$3:$G2419=M117)"),"2023 Y 2024")</f>
        <v>2023 Y 2024</v>
      </c>
      <c r="K117" s="12" t="s">
        <v>2012</v>
      </c>
      <c r="L117" s="11" t="s">
        <v>28</v>
      </c>
      <c r="M117" s="12" t="str">
        <f t="shared" ca="1" si="0"/>
        <v>153046 Primaria</v>
      </c>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4"/>
    </row>
    <row r="118" spans="1:36" ht="15.75" customHeight="1" x14ac:dyDescent="0.25">
      <c r="A118" s="9">
        <v>37</v>
      </c>
      <c r="B118" s="10" t="s">
        <v>14</v>
      </c>
      <c r="C118" s="10" t="s">
        <v>15</v>
      </c>
      <c r="D118" s="10" t="s">
        <v>37</v>
      </c>
      <c r="E118" s="11" t="str">
        <f ca="1">IFERROR(__xludf.DUMMYFUNCTION("FILTER(Colegios!$B$2:$B2419,Colegios!$A$2:$A2419=L118)"),"SAGRADO CORAZON DE JESUS")</f>
        <v>SAGRADO CORAZON DE JESUS</v>
      </c>
      <c r="F118" s="11" t="s">
        <v>17</v>
      </c>
      <c r="G118" s="10" t="s">
        <v>18</v>
      </c>
      <c r="H118" s="11" t="s">
        <v>19</v>
      </c>
      <c r="I118" s="11" t="s">
        <v>20</v>
      </c>
      <c r="J118" s="12" t="str">
        <f ca="1">IFERROR(__xludf.DUMMYFUNCTION("FILTER('CLASFICACIÓN'!$F$3:$F2419,'CLASFICACIÓN'!$G$3:$G2419=M118)"),"2023 Y 2024")</f>
        <v>2023 Y 2024</v>
      </c>
      <c r="K118" s="12" t="s">
        <v>2013</v>
      </c>
      <c r="L118" s="11" t="s">
        <v>29</v>
      </c>
      <c r="M118" s="12" t="str">
        <f t="shared" ca="1" si="0"/>
        <v>SAGRADO CORAZON DE JESUS6 Primaria</v>
      </c>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4"/>
    </row>
    <row r="119" spans="1:36" ht="15.75" customHeight="1" x14ac:dyDescent="0.25">
      <c r="A119" s="9">
        <v>38</v>
      </c>
      <c r="B119" s="10" t="s">
        <v>14</v>
      </c>
      <c r="C119" s="10" t="s">
        <v>15</v>
      </c>
      <c r="D119" s="10" t="s">
        <v>37</v>
      </c>
      <c r="E119" s="11" t="str">
        <f ca="1">IFERROR(__xludf.DUMMYFUNCTION("FILTER(Colegios!$B$2:$B2419,Colegios!$A$2:$A2419=L119)"),"SAGRADO CORAZON DE JESUS")</f>
        <v>SAGRADO CORAZON DE JESUS</v>
      </c>
      <c r="F119" s="11" t="s">
        <v>17</v>
      </c>
      <c r="G119" s="10" t="s">
        <v>18</v>
      </c>
      <c r="H119" s="11" t="s">
        <v>19</v>
      </c>
      <c r="I119" s="11" t="s">
        <v>20</v>
      </c>
      <c r="J119" s="12" t="str">
        <f ca="1">IFERROR(__xludf.DUMMYFUNCTION("FILTER('CLASFICACIÓN'!$F$3:$F2419,'CLASFICACIÓN'!$G$3:$G2419=M119)"),"2023 Y 2024")</f>
        <v>2023 Y 2024</v>
      </c>
      <c r="K119" s="12" t="s">
        <v>2013</v>
      </c>
      <c r="L119" s="11" t="s">
        <v>29</v>
      </c>
      <c r="M119" s="12" t="str">
        <f t="shared" ca="1" si="0"/>
        <v>SAGRADO CORAZON DE JESUS6 Primaria</v>
      </c>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4"/>
    </row>
    <row r="120" spans="1:36" ht="15.75" customHeight="1" x14ac:dyDescent="0.25">
      <c r="A120" s="9">
        <v>39</v>
      </c>
      <c r="B120" s="10" t="s">
        <v>14</v>
      </c>
      <c r="C120" s="10" t="s">
        <v>15</v>
      </c>
      <c r="D120" s="10" t="s">
        <v>37</v>
      </c>
      <c r="E120" s="11" t="str">
        <f ca="1">IFERROR(__xludf.DUMMYFUNCTION("FILTER(Colegios!$B$2:$B2419,Colegios!$A$2:$A2419=L120)"),"SAGRADO CORAZON DE JESUS")</f>
        <v>SAGRADO CORAZON DE JESUS</v>
      </c>
      <c r="F120" s="11" t="s">
        <v>17</v>
      </c>
      <c r="G120" s="10" t="s">
        <v>18</v>
      </c>
      <c r="H120" s="11" t="s">
        <v>19</v>
      </c>
      <c r="I120" s="11" t="s">
        <v>20</v>
      </c>
      <c r="J120" s="12" t="str">
        <f ca="1">IFERROR(__xludf.DUMMYFUNCTION("FILTER('CLASFICACIÓN'!$F$3:$F2419,'CLASFICACIÓN'!$G$3:$G2419=M120)"),"2023 Y 2024")</f>
        <v>2023 Y 2024</v>
      </c>
      <c r="K120" s="12" t="s">
        <v>2013</v>
      </c>
      <c r="L120" s="11" t="s">
        <v>29</v>
      </c>
      <c r="M120" s="12" t="str">
        <f t="shared" ca="1" si="0"/>
        <v>SAGRADO CORAZON DE JESUS6 Primaria</v>
      </c>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4"/>
    </row>
    <row r="121" spans="1:36" ht="15.75" customHeight="1" x14ac:dyDescent="0.25">
      <c r="A121" s="9">
        <v>40</v>
      </c>
      <c r="B121" s="10" t="s">
        <v>14</v>
      </c>
      <c r="C121" s="10" t="s">
        <v>15</v>
      </c>
      <c r="D121" s="10" t="s">
        <v>37</v>
      </c>
      <c r="E121" s="11" t="str">
        <f ca="1">IFERROR(__xludf.DUMMYFUNCTION("FILTER(Colegios!$B$2:$B2419,Colegios!$A$2:$A2419=L121)"),"SAGRADO CORAZON DE JESUS")</f>
        <v>SAGRADO CORAZON DE JESUS</v>
      </c>
      <c r="F121" s="11" t="s">
        <v>17</v>
      </c>
      <c r="G121" s="10" t="s">
        <v>18</v>
      </c>
      <c r="H121" s="11" t="s">
        <v>19</v>
      </c>
      <c r="I121" s="11" t="s">
        <v>20</v>
      </c>
      <c r="J121" s="12" t="str">
        <f ca="1">IFERROR(__xludf.DUMMYFUNCTION("FILTER('CLASFICACIÓN'!$F$3:$F2419,'CLASFICACIÓN'!$G$3:$G2419=M121)"),"2023 Y 2024")</f>
        <v>2023 Y 2024</v>
      </c>
      <c r="K121" s="12" t="s">
        <v>2013</v>
      </c>
      <c r="L121" s="11" t="s">
        <v>29</v>
      </c>
      <c r="M121" s="12" t="str">
        <f t="shared" ca="1" si="0"/>
        <v>SAGRADO CORAZON DE JESUS6 Primaria</v>
      </c>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4"/>
    </row>
    <row r="122" spans="1:36" ht="15.75" customHeight="1" x14ac:dyDescent="0.25">
      <c r="A122" s="9">
        <v>41</v>
      </c>
      <c r="B122" s="10" t="s">
        <v>14</v>
      </c>
      <c r="C122" s="10" t="s">
        <v>15</v>
      </c>
      <c r="D122" s="10" t="s">
        <v>37</v>
      </c>
      <c r="E122" s="11" t="str">
        <f ca="1">IFERROR(__xludf.DUMMYFUNCTION("FILTER(Colegios!$B$2:$B2419,Colegios!$A$2:$A2419=L122)"),"SAGRADO CORAZON DE JESUS")</f>
        <v>SAGRADO CORAZON DE JESUS</v>
      </c>
      <c r="F122" s="11" t="s">
        <v>17</v>
      </c>
      <c r="G122" s="10" t="s">
        <v>24</v>
      </c>
      <c r="H122" s="11" t="s">
        <v>19</v>
      </c>
      <c r="I122" s="11" t="s">
        <v>20</v>
      </c>
      <c r="J122" s="12" t="str">
        <f ca="1">IFERROR(__xludf.DUMMYFUNCTION("FILTER('CLASFICACIÓN'!$F$3:$F2419,'CLASFICACIÓN'!$G$3:$G2419=M122)"),"2023 Y 2024")</f>
        <v>2023 Y 2024</v>
      </c>
      <c r="K122" s="12" t="s">
        <v>2013</v>
      </c>
      <c r="L122" s="11" t="s">
        <v>29</v>
      </c>
      <c r="M122" s="12" t="str">
        <f t="shared" ca="1" si="0"/>
        <v>SAGRADO CORAZON DE JESUS6 Primaria</v>
      </c>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4"/>
    </row>
    <row r="123" spans="1:36" ht="15.75" customHeight="1" x14ac:dyDescent="0.25">
      <c r="A123" s="9">
        <v>42</v>
      </c>
      <c r="B123" s="10" t="s">
        <v>14</v>
      </c>
      <c r="C123" s="10" t="s">
        <v>15</v>
      </c>
      <c r="D123" s="10" t="s">
        <v>37</v>
      </c>
      <c r="E123" s="11" t="str">
        <f ca="1">IFERROR(__xludf.DUMMYFUNCTION("FILTER(Colegios!$B$2:$B2419,Colegios!$A$2:$A2419=L123)"),"SAGRADO CORAZON DE JESUS")</f>
        <v>SAGRADO CORAZON DE JESUS</v>
      </c>
      <c r="F123" s="11" t="s">
        <v>17</v>
      </c>
      <c r="G123" s="10" t="s">
        <v>24</v>
      </c>
      <c r="H123" s="11" t="s">
        <v>19</v>
      </c>
      <c r="I123" s="11" t="s">
        <v>20</v>
      </c>
      <c r="J123" s="12" t="str">
        <f ca="1">IFERROR(__xludf.DUMMYFUNCTION("FILTER('CLASFICACIÓN'!$F$3:$F2419,'CLASFICACIÓN'!$G$3:$G2419=M123)"),"2023 Y 2024")</f>
        <v>2023 Y 2024</v>
      </c>
      <c r="K123" s="12" t="s">
        <v>2013</v>
      </c>
      <c r="L123" s="11" t="s">
        <v>29</v>
      </c>
      <c r="M123" s="12" t="str">
        <f t="shared" ca="1" si="0"/>
        <v>SAGRADO CORAZON DE JESUS6 Primaria</v>
      </c>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4"/>
    </row>
    <row r="124" spans="1:36" ht="15.75" customHeight="1" x14ac:dyDescent="0.25">
      <c r="A124" s="9">
        <v>43</v>
      </c>
      <c r="B124" s="10" t="s">
        <v>14</v>
      </c>
      <c r="C124" s="10" t="s">
        <v>15</v>
      </c>
      <c r="D124" s="10" t="s">
        <v>37</v>
      </c>
      <c r="E124" s="11" t="str">
        <f ca="1">IFERROR(__xludf.DUMMYFUNCTION("FILTER(Colegios!$B$2:$B2419,Colegios!$A$2:$A2419=L124)"),"SAGRADO CORAZON DE JESUS")</f>
        <v>SAGRADO CORAZON DE JESUS</v>
      </c>
      <c r="F124" s="11" t="s">
        <v>17</v>
      </c>
      <c r="G124" s="10" t="s">
        <v>24</v>
      </c>
      <c r="H124" s="11" t="s">
        <v>19</v>
      </c>
      <c r="I124" s="11" t="s">
        <v>20</v>
      </c>
      <c r="J124" s="12" t="str">
        <f ca="1">IFERROR(__xludf.DUMMYFUNCTION("FILTER('CLASFICACIÓN'!$F$3:$F2419,'CLASFICACIÓN'!$G$3:$G2419=M124)"),"2023 Y 2024")</f>
        <v>2023 Y 2024</v>
      </c>
      <c r="K124" s="12" t="s">
        <v>2013</v>
      </c>
      <c r="L124" s="11" t="s">
        <v>29</v>
      </c>
      <c r="M124" s="12" t="str">
        <f t="shared" ca="1" si="0"/>
        <v>SAGRADO CORAZON DE JESUS6 Primaria</v>
      </c>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4"/>
    </row>
    <row r="125" spans="1:36" ht="15.75" customHeight="1" x14ac:dyDescent="0.25">
      <c r="A125" s="9">
        <v>44</v>
      </c>
      <c r="B125" s="10" t="s">
        <v>14</v>
      </c>
      <c r="C125" s="10" t="s">
        <v>15</v>
      </c>
      <c r="D125" s="10" t="s">
        <v>37</v>
      </c>
      <c r="E125" s="11" t="str">
        <f ca="1">IFERROR(__xludf.DUMMYFUNCTION("FILTER(Colegios!$B$2:$B2419,Colegios!$A$2:$A2419=L125)"),"SAGRADO CORAZON DE JESUS")</f>
        <v>SAGRADO CORAZON DE JESUS</v>
      </c>
      <c r="F125" s="11" t="s">
        <v>17</v>
      </c>
      <c r="G125" s="10" t="s">
        <v>24</v>
      </c>
      <c r="H125" s="11" t="s">
        <v>19</v>
      </c>
      <c r="I125" s="11" t="s">
        <v>20</v>
      </c>
      <c r="J125" s="12" t="str">
        <f ca="1">IFERROR(__xludf.DUMMYFUNCTION("FILTER('CLASFICACIÓN'!$F$3:$F2419,'CLASFICACIÓN'!$G$3:$G2419=M125)"),"2023 Y 2024")</f>
        <v>2023 Y 2024</v>
      </c>
      <c r="K125" s="12" t="s">
        <v>2013</v>
      </c>
      <c r="L125" s="11" t="s">
        <v>29</v>
      </c>
      <c r="M125" s="12" t="str">
        <f t="shared" ca="1" si="0"/>
        <v>SAGRADO CORAZON DE JESUS6 Primaria</v>
      </c>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4"/>
    </row>
    <row r="126" spans="1:36" ht="15.75" customHeight="1" x14ac:dyDescent="0.25">
      <c r="A126" s="9">
        <v>45</v>
      </c>
      <c r="B126" s="10" t="s">
        <v>14</v>
      </c>
      <c r="C126" s="10" t="s">
        <v>15</v>
      </c>
      <c r="D126" s="10" t="s">
        <v>37</v>
      </c>
      <c r="E126" s="11" t="str">
        <f ca="1">IFERROR(__xludf.DUMMYFUNCTION("FILTER(Colegios!$B$2:$B2419,Colegios!$A$2:$A2419=L126)"),"SAGRADO CORAZON DE JESUS")</f>
        <v>SAGRADO CORAZON DE JESUS</v>
      </c>
      <c r="F126" s="11" t="s">
        <v>17</v>
      </c>
      <c r="G126" s="10" t="s">
        <v>24</v>
      </c>
      <c r="H126" s="11" t="s">
        <v>19</v>
      </c>
      <c r="I126" s="11" t="s">
        <v>20</v>
      </c>
      <c r="J126" s="12" t="str">
        <f ca="1">IFERROR(__xludf.DUMMYFUNCTION("FILTER('CLASFICACIÓN'!$F$3:$F2419,'CLASFICACIÓN'!$G$3:$G2419=M126)"),"2023 Y 2024")</f>
        <v>2023 Y 2024</v>
      </c>
      <c r="K126" s="12" t="s">
        <v>2013</v>
      </c>
      <c r="L126" s="11" t="s">
        <v>29</v>
      </c>
      <c r="M126" s="12" t="str">
        <f t="shared" ca="1" si="0"/>
        <v>SAGRADO CORAZON DE JESUS6 Primaria</v>
      </c>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4"/>
    </row>
    <row r="127" spans="1:36" ht="15.75" customHeight="1" x14ac:dyDescent="0.25">
      <c r="A127" s="9">
        <v>46</v>
      </c>
      <c r="B127" s="10" t="s">
        <v>14</v>
      </c>
      <c r="C127" s="10" t="s">
        <v>15</v>
      </c>
      <c r="D127" s="10" t="s">
        <v>37</v>
      </c>
      <c r="E127" s="11" t="str">
        <f ca="1">IFERROR(__xludf.DUMMYFUNCTION("FILTER(Colegios!$B$2:$B2419,Colegios!$A$2:$A2419=L127)"),"20123")</f>
        <v>20123</v>
      </c>
      <c r="F127" s="11" t="s">
        <v>17</v>
      </c>
      <c r="G127" s="10" t="s">
        <v>24</v>
      </c>
      <c r="H127" s="11" t="s">
        <v>23</v>
      </c>
      <c r="I127" s="11" t="s">
        <v>20</v>
      </c>
      <c r="J127" s="12" t="str">
        <f ca="1">IFERROR(__xludf.DUMMYFUNCTION("FILTER('CLASFICACIÓN'!$F$3:$F2419,'CLASFICACIÓN'!$G$3:$G2419=M127)"),"SOLO 2024")</f>
        <v>SOLO 2024</v>
      </c>
      <c r="K127" s="12" t="s">
        <v>2012</v>
      </c>
      <c r="L127" s="11" t="s">
        <v>38</v>
      </c>
      <c r="M127" s="12" t="str">
        <f t="shared" ca="1" si="0"/>
        <v>201236 Primaria</v>
      </c>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4"/>
    </row>
    <row r="128" spans="1:36" ht="15.75" customHeight="1" x14ac:dyDescent="0.25">
      <c r="A128" s="9">
        <v>47</v>
      </c>
      <c r="B128" s="10" t="s">
        <v>14</v>
      </c>
      <c r="C128" s="10" t="s">
        <v>15</v>
      </c>
      <c r="D128" s="10" t="s">
        <v>37</v>
      </c>
      <c r="E128" s="11" t="str">
        <f ca="1">IFERROR(__xludf.DUMMYFUNCTION("FILTER(Colegios!$B$2:$B2419,Colegios!$A$2:$A2419=L128)"),"20123")</f>
        <v>20123</v>
      </c>
      <c r="F128" s="11" t="s">
        <v>17</v>
      </c>
      <c r="G128" s="10" t="s">
        <v>18</v>
      </c>
      <c r="H128" s="11" t="s">
        <v>23</v>
      </c>
      <c r="I128" s="11" t="s">
        <v>20</v>
      </c>
      <c r="J128" s="12" t="str">
        <f ca="1">IFERROR(__xludf.DUMMYFUNCTION("FILTER('CLASFICACIÓN'!$F$3:$F2419,'CLASFICACIÓN'!$G$3:$G2419=M128)"),"SOLO 2024")</f>
        <v>SOLO 2024</v>
      </c>
      <c r="K128" s="12" t="s">
        <v>2012</v>
      </c>
      <c r="L128" s="11" t="s">
        <v>38</v>
      </c>
      <c r="M128" s="12" t="str">
        <f t="shared" ca="1" si="0"/>
        <v>201236 Primaria</v>
      </c>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4"/>
    </row>
    <row r="129" spans="1:36" ht="15.75" customHeight="1" x14ac:dyDescent="0.25">
      <c r="A129" s="9">
        <v>48</v>
      </c>
      <c r="B129" s="10" t="s">
        <v>14</v>
      </c>
      <c r="C129" s="10" t="s">
        <v>15</v>
      </c>
      <c r="D129" s="10" t="s">
        <v>37</v>
      </c>
      <c r="E129" s="11" t="str">
        <f ca="1">IFERROR(__xludf.DUMMYFUNCTION("FILTER(Colegios!$B$2:$B2419,Colegios!$A$2:$A2419=L129)"),"14144 SANTA ROSA")</f>
        <v>14144 SANTA ROSA</v>
      </c>
      <c r="F129" s="11" t="s">
        <v>17</v>
      </c>
      <c r="G129" s="10" t="s">
        <v>24</v>
      </c>
      <c r="H129" s="11" t="s">
        <v>19</v>
      </c>
      <c r="I129" s="11" t="s">
        <v>20</v>
      </c>
      <c r="J129" s="12" t="str">
        <f ca="1">IFERROR(__xludf.DUMMYFUNCTION("FILTER('CLASFICACIÓN'!$F$3:$F2419,'CLASFICACIÓN'!$G$3:$G2419=M129)"),"2023 Y 2024")</f>
        <v>2023 Y 2024</v>
      </c>
      <c r="K129" s="12" t="s">
        <v>2012</v>
      </c>
      <c r="L129" s="11" t="s">
        <v>30</v>
      </c>
      <c r="M129" s="12" t="str">
        <f t="shared" ca="1" si="0"/>
        <v>14144 SANTA ROSA6 Primaria</v>
      </c>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4"/>
    </row>
    <row r="130" spans="1:36" ht="15.75" customHeight="1" x14ac:dyDescent="0.25">
      <c r="A130" s="9">
        <v>49</v>
      </c>
      <c r="B130" s="10" t="s">
        <v>14</v>
      </c>
      <c r="C130" s="10" t="s">
        <v>15</v>
      </c>
      <c r="D130" s="10" t="s">
        <v>37</v>
      </c>
      <c r="E130" s="11" t="str">
        <f ca="1">IFERROR(__xludf.DUMMYFUNCTION("FILTER(Colegios!$B$2:$B2419,Colegios!$A$2:$A2419=L130)"),"14144 SANTA ROSA")</f>
        <v>14144 SANTA ROSA</v>
      </c>
      <c r="F130" s="11" t="s">
        <v>17</v>
      </c>
      <c r="G130" s="10" t="s">
        <v>24</v>
      </c>
      <c r="H130" s="11" t="s">
        <v>19</v>
      </c>
      <c r="I130" s="11" t="s">
        <v>20</v>
      </c>
      <c r="J130" s="12" t="str">
        <f ca="1">IFERROR(__xludf.DUMMYFUNCTION("FILTER('CLASFICACIÓN'!$F$3:$F2419,'CLASFICACIÓN'!$G$3:$G2419=M130)"),"2023 Y 2024")</f>
        <v>2023 Y 2024</v>
      </c>
      <c r="K130" s="12" t="s">
        <v>2012</v>
      </c>
      <c r="L130" s="11" t="s">
        <v>30</v>
      </c>
      <c r="M130" s="12" t="str">
        <f t="shared" ca="1" si="0"/>
        <v>14144 SANTA ROSA6 Primaria</v>
      </c>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4"/>
    </row>
    <row r="131" spans="1:36" ht="15.75" customHeight="1" x14ac:dyDescent="0.25">
      <c r="A131" s="9">
        <v>50</v>
      </c>
      <c r="B131" s="10" t="s">
        <v>14</v>
      </c>
      <c r="C131" s="10" t="s">
        <v>15</v>
      </c>
      <c r="D131" s="10" t="s">
        <v>37</v>
      </c>
      <c r="E131" s="11" t="str">
        <f ca="1">IFERROR(__xludf.DUMMYFUNCTION("FILTER(Colegios!$B$2:$B2419,Colegios!$A$2:$A2419=L131)"),"14144 SANTA ROSA")</f>
        <v>14144 SANTA ROSA</v>
      </c>
      <c r="F131" s="11" t="s">
        <v>17</v>
      </c>
      <c r="G131" s="10" t="s">
        <v>24</v>
      </c>
      <c r="H131" s="11" t="s">
        <v>19</v>
      </c>
      <c r="I131" s="11" t="s">
        <v>20</v>
      </c>
      <c r="J131" s="12" t="str">
        <f ca="1">IFERROR(__xludf.DUMMYFUNCTION("FILTER('CLASFICACIÓN'!$F$3:$F2419,'CLASFICACIÓN'!$G$3:$G2419=M131)"),"2023 Y 2024")</f>
        <v>2023 Y 2024</v>
      </c>
      <c r="K131" s="12" t="s">
        <v>2012</v>
      </c>
      <c r="L131" s="11" t="s">
        <v>30</v>
      </c>
      <c r="M131" s="12" t="str">
        <f t="shared" ca="1" si="0"/>
        <v>14144 SANTA ROSA6 Primaria</v>
      </c>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4"/>
    </row>
    <row r="132" spans="1:36" ht="15.75" customHeight="1" x14ac:dyDescent="0.25">
      <c r="A132" s="9">
        <v>51</v>
      </c>
      <c r="B132" s="10" t="s">
        <v>14</v>
      </c>
      <c r="C132" s="10" t="s">
        <v>15</v>
      </c>
      <c r="D132" s="10" t="s">
        <v>37</v>
      </c>
      <c r="E132" s="11" t="str">
        <f ca="1">IFERROR(__xludf.DUMMYFUNCTION("FILTER(Colegios!$B$2:$B2419,Colegios!$A$2:$A2419=L132)"),"14144 SANTA ROSA")</f>
        <v>14144 SANTA ROSA</v>
      </c>
      <c r="F132" s="11" t="s">
        <v>17</v>
      </c>
      <c r="G132" s="10" t="s">
        <v>24</v>
      </c>
      <c r="H132" s="11" t="s">
        <v>23</v>
      </c>
      <c r="I132" s="11" t="s">
        <v>20</v>
      </c>
      <c r="J132" s="12" t="str">
        <f ca="1">IFERROR(__xludf.DUMMYFUNCTION("FILTER('CLASFICACIÓN'!$F$3:$F2419,'CLASFICACIÓN'!$G$3:$G2419=M132)"),"2023 Y 2024")</f>
        <v>2023 Y 2024</v>
      </c>
      <c r="K132" s="12" t="s">
        <v>2012</v>
      </c>
      <c r="L132" s="11" t="s">
        <v>30</v>
      </c>
      <c r="M132" s="12" t="str">
        <f t="shared" ca="1" si="0"/>
        <v>14144 SANTA ROSA6 Primaria</v>
      </c>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4"/>
    </row>
    <row r="133" spans="1:36" ht="15.75" customHeight="1" x14ac:dyDescent="0.25">
      <c r="A133" s="9">
        <v>52</v>
      </c>
      <c r="B133" s="10" t="s">
        <v>14</v>
      </c>
      <c r="C133" s="10" t="s">
        <v>15</v>
      </c>
      <c r="D133" s="10" t="s">
        <v>37</v>
      </c>
      <c r="E133" s="11" t="str">
        <f ca="1">IFERROR(__xludf.DUMMYFUNCTION("FILTER(Colegios!$B$2:$B2419,Colegios!$A$2:$A2419=L133)"),"14144 SANTA ROSA")</f>
        <v>14144 SANTA ROSA</v>
      </c>
      <c r="F133" s="11" t="s">
        <v>17</v>
      </c>
      <c r="G133" s="10" t="s">
        <v>18</v>
      </c>
      <c r="H133" s="11" t="s">
        <v>19</v>
      </c>
      <c r="I133" s="11" t="s">
        <v>20</v>
      </c>
      <c r="J133" s="12" t="str">
        <f ca="1">IFERROR(__xludf.DUMMYFUNCTION("FILTER('CLASFICACIÓN'!$F$3:$F2419,'CLASFICACIÓN'!$G$3:$G2419=M133)"),"2023 Y 2024")</f>
        <v>2023 Y 2024</v>
      </c>
      <c r="K133" s="12" t="s">
        <v>2012</v>
      </c>
      <c r="L133" s="11" t="s">
        <v>30</v>
      </c>
      <c r="M133" s="12" t="str">
        <f t="shared" ca="1" si="0"/>
        <v>14144 SANTA ROSA6 Primaria</v>
      </c>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4"/>
    </row>
    <row r="134" spans="1:36" ht="15.75" customHeight="1" x14ac:dyDescent="0.25">
      <c r="A134" s="9">
        <v>53</v>
      </c>
      <c r="B134" s="10" t="s">
        <v>14</v>
      </c>
      <c r="C134" s="10" t="s">
        <v>15</v>
      </c>
      <c r="D134" s="10" t="s">
        <v>37</v>
      </c>
      <c r="E134" s="11" t="str">
        <f ca="1">IFERROR(__xludf.DUMMYFUNCTION("FILTER(Colegios!$B$2:$B2419,Colegios!$A$2:$A2419=L134)"),"14144 SANTA ROSA")</f>
        <v>14144 SANTA ROSA</v>
      </c>
      <c r="F134" s="11" t="s">
        <v>17</v>
      </c>
      <c r="G134" s="10" t="s">
        <v>18</v>
      </c>
      <c r="H134" s="11" t="s">
        <v>19</v>
      </c>
      <c r="I134" s="11" t="s">
        <v>20</v>
      </c>
      <c r="J134" s="12" t="str">
        <f ca="1">IFERROR(__xludf.DUMMYFUNCTION("FILTER('CLASFICACIÓN'!$F$3:$F2419,'CLASFICACIÓN'!$G$3:$G2419=M134)"),"2023 Y 2024")</f>
        <v>2023 Y 2024</v>
      </c>
      <c r="K134" s="12" t="s">
        <v>2012</v>
      </c>
      <c r="L134" s="11" t="s">
        <v>30</v>
      </c>
      <c r="M134" s="12" t="str">
        <f t="shared" ca="1" si="0"/>
        <v>14144 SANTA ROSA6 Primaria</v>
      </c>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4"/>
    </row>
    <row r="135" spans="1:36" ht="15.75" customHeight="1" x14ac:dyDescent="0.25">
      <c r="A135" s="9">
        <v>54</v>
      </c>
      <c r="B135" s="10" t="s">
        <v>14</v>
      </c>
      <c r="C135" s="10" t="s">
        <v>15</v>
      </c>
      <c r="D135" s="10" t="s">
        <v>37</v>
      </c>
      <c r="E135" s="11" t="str">
        <f ca="1">IFERROR(__xludf.DUMMYFUNCTION("FILTER(Colegios!$B$2:$B2419,Colegios!$A$2:$A2419=L135)"),"14144 SANTA ROSA")</f>
        <v>14144 SANTA ROSA</v>
      </c>
      <c r="F135" s="11" t="s">
        <v>17</v>
      </c>
      <c r="G135" s="10" t="s">
        <v>18</v>
      </c>
      <c r="H135" s="11" t="s">
        <v>19</v>
      </c>
      <c r="I135" s="11" t="s">
        <v>20</v>
      </c>
      <c r="J135" s="12" t="str">
        <f ca="1">IFERROR(__xludf.DUMMYFUNCTION("FILTER('CLASFICACIÓN'!$F$3:$F2419,'CLASFICACIÓN'!$G$3:$G2419=M135)"),"2023 Y 2024")</f>
        <v>2023 Y 2024</v>
      </c>
      <c r="K135" s="12" t="s">
        <v>2012</v>
      </c>
      <c r="L135" s="11" t="s">
        <v>30</v>
      </c>
      <c r="M135" s="12" t="str">
        <f t="shared" ca="1" si="0"/>
        <v>14144 SANTA ROSA6 Primaria</v>
      </c>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4"/>
    </row>
    <row r="136" spans="1:36" ht="15.75" customHeight="1" x14ac:dyDescent="0.25">
      <c r="A136" s="9">
        <v>55</v>
      </c>
      <c r="B136" s="10" t="s">
        <v>14</v>
      </c>
      <c r="C136" s="10" t="s">
        <v>15</v>
      </c>
      <c r="D136" s="10" t="s">
        <v>37</v>
      </c>
      <c r="E136" s="11" t="str">
        <f ca="1">IFERROR(__xludf.DUMMYFUNCTION("FILTER(Colegios!$B$2:$B2419,Colegios!$A$2:$A2419=L136)"),"14144 SANTA ROSA")</f>
        <v>14144 SANTA ROSA</v>
      </c>
      <c r="F136" s="11" t="s">
        <v>17</v>
      </c>
      <c r="G136" s="10" t="s">
        <v>18</v>
      </c>
      <c r="H136" s="11" t="s">
        <v>23</v>
      </c>
      <c r="I136" s="11" t="s">
        <v>20</v>
      </c>
      <c r="J136" s="12" t="str">
        <f ca="1">IFERROR(__xludf.DUMMYFUNCTION("FILTER('CLASFICACIÓN'!$F$3:$F2419,'CLASFICACIÓN'!$G$3:$G2419=M136)"),"2023 Y 2024")</f>
        <v>2023 Y 2024</v>
      </c>
      <c r="K136" s="12" t="s">
        <v>2012</v>
      </c>
      <c r="L136" s="11" t="s">
        <v>30</v>
      </c>
      <c r="M136" s="12" t="str">
        <f t="shared" ca="1" si="0"/>
        <v>14144 SANTA ROSA6 Primaria</v>
      </c>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4"/>
    </row>
    <row r="137" spans="1:36" ht="15.75" customHeight="1" x14ac:dyDescent="0.25">
      <c r="A137" s="9">
        <v>56</v>
      </c>
      <c r="B137" s="10" t="s">
        <v>14</v>
      </c>
      <c r="C137" s="10" t="s">
        <v>15</v>
      </c>
      <c r="D137" s="10" t="s">
        <v>37</v>
      </c>
      <c r="E137" s="11" t="str">
        <f ca="1">IFERROR(__xludf.DUMMYFUNCTION("FILTER(Colegios!$B$2:$B2419,Colegios!$A$2:$A2419=L137)"),"14144 SANTA ROSA")</f>
        <v>14144 SANTA ROSA</v>
      </c>
      <c r="F137" s="11" t="s">
        <v>17</v>
      </c>
      <c r="G137" s="10" t="s">
        <v>18</v>
      </c>
      <c r="H137" s="11" t="s">
        <v>19</v>
      </c>
      <c r="I137" s="11" t="s">
        <v>20</v>
      </c>
      <c r="J137" s="12" t="str">
        <f ca="1">IFERROR(__xludf.DUMMYFUNCTION("FILTER('CLASFICACIÓN'!$F$3:$F2419,'CLASFICACIÓN'!$G$3:$G2419=M137)"),"2023 Y 2024")</f>
        <v>2023 Y 2024</v>
      </c>
      <c r="K137" s="12" t="s">
        <v>2012</v>
      </c>
      <c r="L137" s="11" t="s">
        <v>30</v>
      </c>
      <c r="M137" s="12" t="str">
        <f t="shared" ca="1" si="0"/>
        <v>14144 SANTA ROSA6 Primaria</v>
      </c>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4"/>
    </row>
    <row r="138" spans="1:36" ht="15.75" customHeight="1" x14ac:dyDescent="0.25">
      <c r="A138" s="9">
        <v>57</v>
      </c>
      <c r="B138" s="10" t="s">
        <v>14</v>
      </c>
      <c r="C138" s="10" t="s">
        <v>15</v>
      </c>
      <c r="D138" s="10" t="s">
        <v>37</v>
      </c>
      <c r="E138" s="11" t="str">
        <f ca="1">IFERROR(__xludf.DUMMYFUNCTION("FILTER(Colegios!$B$2:$B2419,Colegios!$A$2:$A2419=L138)"),"14144 SANTA ROSA")</f>
        <v>14144 SANTA ROSA</v>
      </c>
      <c r="F138" s="11" t="s">
        <v>17</v>
      </c>
      <c r="G138" s="10" t="s">
        <v>18</v>
      </c>
      <c r="H138" s="11" t="s">
        <v>19</v>
      </c>
      <c r="I138" s="11" t="s">
        <v>20</v>
      </c>
      <c r="J138" s="12" t="str">
        <f ca="1">IFERROR(__xludf.DUMMYFUNCTION("FILTER('CLASFICACIÓN'!$F$3:$F2419,'CLASFICACIÓN'!$G$3:$G2419=M138)"),"2023 Y 2024")</f>
        <v>2023 Y 2024</v>
      </c>
      <c r="K138" s="12" t="s">
        <v>2012</v>
      </c>
      <c r="L138" s="11" t="s">
        <v>30</v>
      </c>
      <c r="M138" s="12" t="str">
        <f t="shared" ca="1" si="0"/>
        <v>14144 SANTA ROSA6 Primaria</v>
      </c>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4"/>
    </row>
    <row r="139" spans="1:36" ht="15.75" customHeight="1" x14ac:dyDescent="0.25">
      <c r="A139" s="9">
        <v>58</v>
      </c>
      <c r="B139" s="10" t="s">
        <v>14</v>
      </c>
      <c r="C139" s="10" t="s">
        <v>15</v>
      </c>
      <c r="D139" s="10" t="s">
        <v>37</v>
      </c>
      <c r="E139" s="11" t="str">
        <f ca="1">IFERROR(__xludf.DUMMYFUNCTION("FILTER(Colegios!$B$2:$B2419,Colegios!$A$2:$A2419=L139)"),"14144 SANTA ROSA")</f>
        <v>14144 SANTA ROSA</v>
      </c>
      <c r="F139" s="11" t="s">
        <v>17</v>
      </c>
      <c r="G139" s="10" t="s">
        <v>18</v>
      </c>
      <c r="H139" s="11" t="s">
        <v>25</v>
      </c>
      <c r="I139" s="11" t="s">
        <v>20</v>
      </c>
      <c r="J139" s="12" t="str">
        <f ca="1">IFERROR(__xludf.DUMMYFUNCTION("FILTER('CLASFICACIÓN'!$F$3:$F2419,'CLASFICACIÓN'!$G$3:$G2419=M139)"),"2023 Y 2024")</f>
        <v>2023 Y 2024</v>
      </c>
      <c r="K139" s="12" t="s">
        <v>2012</v>
      </c>
      <c r="L139" s="11" t="s">
        <v>30</v>
      </c>
      <c r="M139" s="12" t="str">
        <f t="shared" ca="1" si="0"/>
        <v>14144 SANTA ROSA6 Primaria</v>
      </c>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4"/>
    </row>
    <row r="140" spans="1:36" ht="15.75" customHeight="1" x14ac:dyDescent="0.25">
      <c r="A140" s="9">
        <v>59</v>
      </c>
      <c r="B140" s="10" t="s">
        <v>14</v>
      </c>
      <c r="C140" s="10" t="s">
        <v>15</v>
      </c>
      <c r="D140" s="10" t="s">
        <v>37</v>
      </c>
      <c r="E140" s="11" t="str">
        <f ca="1">IFERROR(__xludf.DUMMYFUNCTION("FILTER(Colegios!$B$2:$B2419,Colegios!$A$2:$A2419=L140)"),"14144 SANTA ROSA")</f>
        <v>14144 SANTA ROSA</v>
      </c>
      <c r="F140" s="11" t="s">
        <v>17</v>
      </c>
      <c r="G140" s="10" t="s">
        <v>18</v>
      </c>
      <c r="H140" s="11" t="s">
        <v>19</v>
      </c>
      <c r="I140" s="11" t="s">
        <v>20</v>
      </c>
      <c r="J140" s="12" t="str">
        <f ca="1">IFERROR(__xludf.DUMMYFUNCTION("FILTER('CLASFICACIÓN'!$F$3:$F2419,'CLASFICACIÓN'!$G$3:$G2419=M140)"),"2023 Y 2024")</f>
        <v>2023 Y 2024</v>
      </c>
      <c r="K140" s="12" t="s">
        <v>2012</v>
      </c>
      <c r="L140" s="11" t="s">
        <v>30</v>
      </c>
      <c r="M140" s="12" t="str">
        <f t="shared" ca="1" si="0"/>
        <v>14144 SANTA ROSA6 Primaria</v>
      </c>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4"/>
    </row>
    <row r="141" spans="1:36" ht="15.75" customHeight="1" x14ac:dyDescent="0.25">
      <c r="A141" s="9">
        <v>60</v>
      </c>
      <c r="B141" s="10" t="s">
        <v>14</v>
      </c>
      <c r="C141" s="10" t="s">
        <v>15</v>
      </c>
      <c r="D141" s="10" t="s">
        <v>37</v>
      </c>
      <c r="E141" s="11" t="str">
        <f ca="1">IFERROR(__xludf.DUMMYFUNCTION("FILTER(Colegios!$B$2:$B2419,Colegios!$A$2:$A2419=L141)"),"14144 SANTA ROSA")</f>
        <v>14144 SANTA ROSA</v>
      </c>
      <c r="F141" s="11" t="s">
        <v>17</v>
      </c>
      <c r="G141" s="10" t="s">
        <v>24</v>
      </c>
      <c r="H141" s="11" t="s">
        <v>19</v>
      </c>
      <c r="I141" s="11" t="s">
        <v>20</v>
      </c>
      <c r="J141" s="12" t="str">
        <f ca="1">IFERROR(__xludf.DUMMYFUNCTION("FILTER('CLASFICACIÓN'!$F$3:$F2419,'CLASFICACIÓN'!$G$3:$G2419=M141)"),"2023 Y 2024")</f>
        <v>2023 Y 2024</v>
      </c>
      <c r="K141" s="12" t="s">
        <v>2012</v>
      </c>
      <c r="L141" s="11" t="s">
        <v>30</v>
      </c>
      <c r="M141" s="12" t="str">
        <f t="shared" ca="1" si="0"/>
        <v>14144 SANTA ROSA6 Primaria</v>
      </c>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4"/>
    </row>
    <row r="142" spans="1:36" ht="15.75" customHeight="1" x14ac:dyDescent="0.25">
      <c r="A142" s="9">
        <v>61</v>
      </c>
      <c r="B142" s="10" t="s">
        <v>14</v>
      </c>
      <c r="C142" s="10" t="s">
        <v>15</v>
      </c>
      <c r="D142" s="10" t="s">
        <v>37</v>
      </c>
      <c r="E142" s="11" t="str">
        <f ca="1">IFERROR(__xludf.DUMMYFUNCTION("FILTER(Colegios!$B$2:$B2419,Colegios!$A$2:$A2419=L142)"),"14144 SANTA ROSA")</f>
        <v>14144 SANTA ROSA</v>
      </c>
      <c r="F142" s="11" t="s">
        <v>17</v>
      </c>
      <c r="G142" s="10" t="s">
        <v>24</v>
      </c>
      <c r="H142" s="11" t="s">
        <v>19</v>
      </c>
      <c r="I142" s="11" t="s">
        <v>20</v>
      </c>
      <c r="J142" s="12" t="str">
        <f ca="1">IFERROR(__xludf.DUMMYFUNCTION("FILTER('CLASFICACIÓN'!$F$3:$F2419,'CLASFICACIÓN'!$G$3:$G2419=M142)"),"2023 Y 2024")</f>
        <v>2023 Y 2024</v>
      </c>
      <c r="K142" s="12" t="s">
        <v>2012</v>
      </c>
      <c r="L142" s="11" t="s">
        <v>30</v>
      </c>
      <c r="M142" s="12" t="str">
        <f t="shared" ca="1" si="0"/>
        <v>14144 SANTA ROSA6 Primaria</v>
      </c>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4"/>
    </row>
    <row r="143" spans="1:36" ht="15.75" customHeight="1" x14ac:dyDescent="0.25">
      <c r="A143" s="9">
        <v>62</v>
      </c>
      <c r="B143" s="10" t="s">
        <v>14</v>
      </c>
      <c r="C143" s="10" t="s">
        <v>15</v>
      </c>
      <c r="D143" s="10" t="s">
        <v>37</v>
      </c>
      <c r="E143" s="11" t="str">
        <f ca="1">IFERROR(__xludf.DUMMYFUNCTION("FILTER(Colegios!$B$2:$B2419,Colegios!$A$2:$A2419=L143)"),"14144 SANTA ROSA")</f>
        <v>14144 SANTA ROSA</v>
      </c>
      <c r="F143" s="11" t="s">
        <v>17</v>
      </c>
      <c r="G143" s="10" t="s">
        <v>24</v>
      </c>
      <c r="H143" s="11" t="s">
        <v>19</v>
      </c>
      <c r="I143" s="11" t="s">
        <v>20</v>
      </c>
      <c r="J143" s="12" t="str">
        <f ca="1">IFERROR(__xludf.DUMMYFUNCTION("FILTER('CLASFICACIÓN'!$F$3:$F2419,'CLASFICACIÓN'!$G$3:$G2419=M143)"),"2023 Y 2024")</f>
        <v>2023 Y 2024</v>
      </c>
      <c r="K143" s="12" t="s">
        <v>2012</v>
      </c>
      <c r="L143" s="11" t="s">
        <v>30</v>
      </c>
      <c r="M143" s="12" t="str">
        <f t="shared" ca="1" si="0"/>
        <v>14144 SANTA ROSA6 Primaria</v>
      </c>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4"/>
    </row>
    <row r="144" spans="1:36" ht="15.75" customHeight="1" x14ac:dyDescent="0.25">
      <c r="A144" s="9">
        <v>63</v>
      </c>
      <c r="B144" s="10" t="s">
        <v>14</v>
      </c>
      <c r="C144" s="10" t="s">
        <v>15</v>
      </c>
      <c r="D144" s="10" t="s">
        <v>37</v>
      </c>
      <c r="E144" s="11" t="str">
        <f ca="1">IFERROR(__xludf.DUMMYFUNCTION("FILTER(Colegios!$B$2:$B2419,Colegios!$A$2:$A2419=L144)"),"14144 SANTA ROSA")</f>
        <v>14144 SANTA ROSA</v>
      </c>
      <c r="F144" s="11" t="s">
        <v>17</v>
      </c>
      <c r="G144" s="10" t="s">
        <v>24</v>
      </c>
      <c r="H144" s="11" t="s">
        <v>19</v>
      </c>
      <c r="I144" s="11" t="s">
        <v>20</v>
      </c>
      <c r="J144" s="12" t="str">
        <f ca="1">IFERROR(__xludf.DUMMYFUNCTION("FILTER('CLASFICACIÓN'!$F$3:$F2419,'CLASFICACIÓN'!$G$3:$G2419=M144)"),"2023 Y 2024")</f>
        <v>2023 Y 2024</v>
      </c>
      <c r="K144" s="12" t="s">
        <v>2012</v>
      </c>
      <c r="L144" s="11" t="s">
        <v>30</v>
      </c>
      <c r="M144" s="12" t="str">
        <f t="shared" ca="1" si="0"/>
        <v>14144 SANTA ROSA6 Primaria</v>
      </c>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4"/>
    </row>
    <row r="145" spans="1:36" ht="15.75" customHeight="1" x14ac:dyDescent="0.25">
      <c r="A145" s="9">
        <v>64</v>
      </c>
      <c r="B145" s="10" t="s">
        <v>14</v>
      </c>
      <c r="C145" s="10" t="s">
        <v>15</v>
      </c>
      <c r="D145" s="10" t="s">
        <v>37</v>
      </c>
      <c r="E145" s="11" t="str">
        <f ca="1">IFERROR(__xludf.DUMMYFUNCTION("FILTER(Colegios!$B$2:$B2419,Colegios!$A$2:$A2419=L145)"),"14144 SANTA ROSA")</f>
        <v>14144 SANTA ROSA</v>
      </c>
      <c r="F145" s="11" t="s">
        <v>17</v>
      </c>
      <c r="G145" s="10" t="s">
        <v>24</v>
      </c>
      <c r="H145" s="11" t="s">
        <v>25</v>
      </c>
      <c r="I145" s="11" t="s">
        <v>20</v>
      </c>
      <c r="J145" s="12" t="str">
        <f ca="1">IFERROR(__xludf.DUMMYFUNCTION("FILTER('CLASFICACIÓN'!$F$3:$F2419,'CLASFICACIÓN'!$G$3:$G2419=M145)"),"2023 Y 2024")</f>
        <v>2023 Y 2024</v>
      </c>
      <c r="K145" s="12" t="s">
        <v>2012</v>
      </c>
      <c r="L145" s="11" t="s">
        <v>30</v>
      </c>
      <c r="M145" s="12" t="str">
        <f t="shared" ca="1" si="0"/>
        <v>14144 SANTA ROSA6 Primaria</v>
      </c>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4"/>
    </row>
    <row r="146" spans="1:36" ht="15.75" customHeight="1" x14ac:dyDescent="0.25">
      <c r="A146" s="9">
        <v>65</v>
      </c>
      <c r="B146" s="10" t="s">
        <v>14</v>
      </c>
      <c r="C146" s="10" t="s">
        <v>15</v>
      </c>
      <c r="D146" s="10" t="s">
        <v>37</v>
      </c>
      <c r="E146" s="11" t="str">
        <f ca="1">IFERROR(__xludf.DUMMYFUNCTION("FILTER(Colegios!$B$2:$B2419,Colegios!$A$2:$A2419=L146)"),"14144 SANTA ROSA")</f>
        <v>14144 SANTA ROSA</v>
      </c>
      <c r="F146" s="11" t="s">
        <v>17</v>
      </c>
      <c r="G146" s="10" t="s">
        <v>24</v>
      </c>
      <c r="H146" s="11" t="s">
        <v>19</v>
      </c>
      <c r="I146" s="11" t="s">
        <v>20</v>
      </c>
      <c r="J146" s="12" t="str">
        <f ca="1">IFERROR(__xludf.DUMMYFUNCTION("FILTER('CLASFICACIÓN'!$F$3:$F2419,'CLASFICACIÓN'!$G$3:$G2419=M146)"),"2023 Y 2024")</f>
        <v>2023 Y 2024</v>
      </c>
      <c r="K146" s="12" t="s">
        <v>2012</v>
      </c>
      <c r="L146" s="11" t="s">
        <v>30</v>
      </c>
      <c r="M146" s="12" t="str">
        <f t="shared" ca="1" si="0"/>
        <v>14144 SANTA ROSA6 Primaria</v>
      </c>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4"/>
    </row>
    <row r="147" spans="1:36" ht="15.75" customHeight="1" x14ac:dyDescent="0.25">
      <c r="A147" s="9">
        <v>66</v>
      </c>
      <c r="B147" s="10" t="s">
        <v>14</v>
      </c>
      <c r="C147" s="10" t="s">
        <v>15</v>
      </c>
      <c r="D147" s="10" t="s">
        <v>37</v>
      </c>
      <c r="E147" s="11" t="str">
        <f ca="1">IFERROR(__xludf.DUMMYFUNCTION("FILTER(Colegios!$B$2:$B2419,Colegios!$A$2:$A2419=L147)"),"14144 SANTA ROSA")</f>
        <v>14144 SANTA ROSA</v>
      </c>
      <c r="F147" s="11" t="s">
        <v>17</v>
      </c>
      <c r="G147" s="10" t="s">
        <v>24</v>
      </c>
      <c r="H147" s="11" t="s">
        <v>19</v>
      </c>
      <c r="I147" s="11" t="s">
        <v>20</v>
      </c>
      <c r="J147" s="12" t="str">
        <f ca="1">IFERROR(__xludf.DUMMYFUNCTION("FILTER('CLASFICACIÓN'!$F$3:$F2419,'CLASFICACIÓN'!$G$3:$G2419=M147)"),"2023 Y 2024")</f>
        <v>2023 Y 2024</v>
      </c>
      <c r="K147" s="12" t="s">
        <v>2012</v>
      </c>
      <c r="L147" s="11" t="s">
        <v>30</v>
      </c>
      <c r="M147" s="12" t="str">
        <f t="shared" ca="1" si="0"/>
        <v>14144 SANTA ROSA6 Primaria</v>
      </c>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4"/>
    </row>
    <row r="148" spans="1:36" ht="15.75" customHeight="1" x14ac:dyDescent="0.25">
      <c r="A148" s="9">
        <v>67</v>
      </c>
      <c r="B148" s="10" t="s">
        <v>14</v>
      </c>
      <c r="C148" s="10" t="s">
        <v>15</v>
      </c>
      <c r="D148" s="10" t="s">
        <v>37</v>
      </c>
      <c r="E148" s="11" t="str">
        <f ca="1">IFERROR(__xludf.DUMMYFUNCTION("FILTER(Colegios!$B$2:$B2419,Colegios!$A$2:$A2419=L148)"),"14144 SANTA ROSA")</f>
        <v>14144 SANTA ROSA</v>
      </c>
      <c r="F148" s="11" t="s">
        <v>17</v>
      </c>
      <c r="G148" s="10" t="s">
        <v>18</v>
      </c>
      <c r="H148" s="11" t="s">
        <v>23</v>
      </c>
      <c r="I148" s="11" t="s">
        <v>20</v>
      </c>
      <c r="J148" s="12" t="str">
        <f ca="1">IFERROR(__xludf.DUMMYFUNCTION("FILTER('CLASFICACIÓN'!$F$3:$F2419,'CLASFICACIÓN'!$G$3:$G2419=M148)"),"2023 Y 2024")</f>
        <v>2023 Y 2024</v>
      </c>
      <c r="K148" s="12" t="s">
        <v>2012</v>
      </c>
      <c r="L148" s="11" t="s">
        <v>30</v>
      </c>
      <c r="M148" s="12" t="str">
        <f t="shared" ca="1" si="0"/>
        <v>14144 SANTA ROSA6 Primaria</v>
      </c>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4"/>
    </row>
    <row r="149" spans="1:36" ht="15.75" customHeight="1" x14ac:dyDescent="0.25">
      <c r="A149" s="9">
        <v>68</v>
      </c>
      <c r="B149" s="10" t="s">
        <v>14</v>
      </c>
      <c r="C149" s="10" t="s">
        <v>15</v>
      </c>
      <c r="D149" s="10" t="s">
        <v>37</v>
      </c>
      <c r="E149" s="11" t="str">
        <f ca="1">IFERROR(__xludf.DUMMYFUNCTION("FILTER(Colegios!$B$2:$B2419,Colegios!$A$2:$A2419=L149)"),"14144 SANTA ROSA")</f>
        <v>14144 SANTA ROSA</v>
      </c>
      <c r="F149" s="11" t="s">
        <v>17</v>
      </c>
      <c r="G149" s="10" t="s">
        <v>18</v>
      </c>
      <c r="H149" s="11" t="s">
        <v>19</v>
      </c>
      <c r="I149" s="11" t="s">
        <v>20</v>
      </c>
      <c r="J149" s="12" t="str">
        <f ca="1">IFERROR(__xludf.DUMMYFUNCTION("FILTER('CLASFICACIÓN'!$F$3:$F2419,'CLASFICACIÓN'!$G$3:$G2419=M149)"),"2023 Y 2024")</f>
        <v>2023 Y 2024</v>
      </c>
      <c r="K149" s="12" t="s">
        <v>2012</v>
      </c>
      <c r="L149" s="11" t="s">
        <v>30</v>
      </c>
      <c r="M149" s="12" t="str">
        <f t="shared" ca="1" si="0"/>
        <v>14144 SANTA ROSA6 Primaria</v>
      </c>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4"/>
    </row>
    <row r="150" spans="1:36" ht="15.75" customHeight="1" x14ac:dyDescent="0.25">
      <c r="A150" s="9">
        <v>69</v>
      </c>
      <c r="B150" s="10" t="s">
        <v>14</v>
      </c>
      <c r="C150" s="10" t="s">
        <v>15</v>
      </c>
      <c r="D150" s="10" t="s">
        <v>37</v>
      </c>
      <c r="E150" s="11" t="str">
        <f ca="1">IFERROR(__xludf.DUMMYFUNCTION("FILTER(Colegios!$B$2:$B2419,Colegios!$A$2:$A2419=L150)"),"14144 SANTA ROSA")</f>
        <v>14144 SANTA ROSA</v>
      </c>
      <c r="F150" s="11" t="s">
        <v>17</v>
      </c>
      <c r="G150" s="10" t="s">
        <v>18</v>
      </c>
      <c r="H150" s="11" t="s">
        <v>19</v>
      </c>
      <c r="I150" s="11" t="s">
        <v>20</v>
      </c>
      <c r="J150" s="12" t="str">
        <f ca="1">IFERROR(__xludf.DUMMYFUNCTION("FILTER('CLASFICACIÓN'!$F$3:$F2419,'CLASFICACIÓN'!$G$3:$G2419=M150)"),"2023 Y 2024")</f>
        <v>2023 Y 2024</v>
      </c>
      <c r="K150" s="12" t="s">
        <v>2012</v>
      </c>
      <c r="L150" s="11" t="s">
        <v>30</v>
      </c>
      <c r="M150" s="12" t="str">
        <f t="shared" ca="1" si="0"/>
        <v>14144 SANTA ROSA6 Primaria</v>
      </c>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4"/>
    </row>
    <row r="151" spans="1:36" ht="15.75" customHeight="1" x14ac:dyDescent="0.25">
      <c r="A151" s="9">
        <v>70</v>
      </c>
      <c r="B151" s="10" t="s">
        <v>14</v>
      </c>
      <c r="C151" s="10" t="s">
        <v>15</v>
      </c>
      <c r="D151" s="10" t="s">
        <v>37</v>
      </c>
      <c r="E151" s="11" t="str">
        <f ca="1">IFERROR(__xludf.DUMMYFUNCTION("FILTER(Colegios!$B$2:$B2419,Colegios!$A$2:$A2419=L151)"),"14144 SANTA ROSA")</f>
        <v>14144 SANTA ROSA</v>
      </c>
      <c r="F151" s="11" t="s">
        <v>17</v>
      </c>
      <c r="G151" s="10" t="s">
        <v>18</v>
      </c>
      <c r="H151" s="11" t="s">
        <v>19</v>
      </c>
      <c r="I151" s="11" t="s">
        <v>20</v>
      </c>
      <c r="J151" s="12" t="str">
        <f ca="1">IFERROR(__xludf.DUMMYFUNCTION("FILTER('CLASFICACIÓN'!$F$3:$F2419,'CLASFICACIÓN'!$G$3:$G2419=M151)"),"2023 Y 2024")</f>
        <v>2023 Y 2024</v>
      </c>
      <c r="K151" s="12" t="s">
        <v>2012</v>
      </c>
      <c r="L151" s="11" t="s">
        <v>30</v>
      </c>
      <c r="M151" s="12" t="str">
        <f t="shared" ca="1" si="0"/>
        <v>14144 SANTA ROSA6 Primaria</v>
      </c>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4"/>
    </row>
    <row r="152" spans="1:36" ht="15.75" customHeight="1" x14ac:dyDescent="0.25">
      <c r="A152" s="9">
        <v>71</v>
      </c>
      <c r="B152" s="10" t="s">
        <v>14</v>
      </c>
      <c r="C152" s="10" t="s">
        <v>15</v>
      </c>
      <c r="D152" s="10" t="s">
        <v>37</v>
      </c>
      <c r="E152" s="11" t="str">
        <f ca="1">IFERROR(__xludf.DUMMYFUNCTION("FILTER(Colegios!$B$2:$B2419,Colegios!$A$2:$A2419=L152)"),"14144 SANTA ROSA")</f>
        <v>14144 SANTA ROSA</v>
      </c>
      <c r="F152" s="11" t="s">
        <v>17</v>
      </c>
      <c r="G152" s="10" t="s">
        <v>18</v>
      </c>
      <c r="H152" s="11" t="s">
        <v>19</v>
      </c>
      <c r="I152" s="11" t="s">
        <v>20</v>
      </c>
      <c r="J152" s="12" t="str">
        <f ca="1">IFERROR(__xludf.DUMMYFUNCTION("FILTER('CLASFICACIÓN'!$F$3:$F2419,'CLASFICACIÓN'!$G$3:$G2419=M152)"),"2023 Y 2024")</f>
        <v>2023 Y 2024</v>
      </c>
      <c r="K152" s="12" t="s">
        <v>2012</v>
      </c>
      <c r="L152" s="11" t="s">
        <v>30</v>
      </c>
      <c r="M152" s="12" t="str">
        <f t="shared" ca="1" si="0"/>
        <v>14144 SANTA ROSA6 Primaria</v>
      </c>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4"/>
    </row>
    <row r="153" spans="1:36" ht="15.75" customHeight="1" x14ac:dyDescent="0.25">
      <c r="A153" s="9">
        <v>72</v>
      </c>
      <c r="B153" s="10" t="s">
        <v>14</v>
      </c>
      <c r="C153" s="10" t="s">
        <v>15</v>
      </c>
      <c r="D153" s="10" t="s">
        <v>37</v>
      </c>
      <c r="E153" s="11" t="str">
        <f ca="1">IFERROR(__xludf.DUMMYFUNCTION("FILTER(Colegios!$B$2:$B2419,Colegios!$A$2:$A2419=L153)"),"15219")</f>
        <v>15219</v>
      </c>
      <c r="F153" s="11" t="s">
        <v>17</v>
      </c>
      <c r="G153" s="10" t="s">
        <v>24</v>
      </c>
      <c r="H153" s="11" t="s">
        <v>23</v>
      </c>
      <c r="I153" s="11" t="s">
        <v>20</v>
      </c>
      <c r="J153" s="12" t="str">
        <f ca="1">IFERROR(__xludf.DUMMYFUNCTION("FILTER('CLASFICACIÓN'!$F$3:$F2419,'CLASFICACIÓN'!$G$3:$G2419=M153)"),"2023 Y 2024")</f>
        <v>2023 Y 2024</v>
      </c>
      <c r="K153" s="12" t="s">
        <v>2012</v>
      </c>
      <c r="L153" s="11" t="s">
        <v>39</v>
      </c>
      <c r="M153" s="12" t="str">
        <f t="shared" ca="1" si="0"/>
        <v>152196 Primaria</v>
      </c>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4"/>
    </row>
    <row r="154" spans="1:36" ht="15.75" customHeight="1" x14ac:dyDescent="0.25">
      <c r="A154" s="9">
        <v>73</v>
      </c>
      <c r="B154" s="10" t="s">
        <v>14</v>
      </c>
      <c r="C154" s="10" t="s">
        <v>15</v>
      </c>
      <c r="D154" s="10" t="s">
        <v>37</v>
      </c>
      <c r="E154" s="11" t="str">
        <f ca="1">IFERROR(__xludf.DUMMYFUNCTION("FILTER(Colegios!$B$2:$B2419,Colegios!$A$2:$A2419=L154)"),"14141")</f>
        <v>14141</v>
      </c>
      <c r="F154" s="11" t="s">
        <v>17</v>
      </c>
      <c r="G154" s="10" t="s">
        <v>18</v>
      </c>
      <c r="H154" s="11" t="s">
        <v>19</v>
      </c>
      <c r="I154" s="11" t="s">
        <v>20</v>
      </c>
      <c r="J154" s="12" t="str">
        <f ca="1">IFERROR(__xludf.DUMMYFUNCTION("FILTER('CLASFICACIÓN'!$F$3:$F2419,'CLASFICACIÓN'!$G$3:$G2419=M154)"),"2023 Y 2024")</f>
        <v>2023 Y 2024</v>
      </c>
      <c r="K154" s="12" t="s">
        <v>2011</v>
      </c>
      <c r="L154" s="11" t="s">
        <v>33</v>
      </c>
      <c r="M154" s="12" t="str">
        <f t="shared" ca="1" si="0"/>
        <v>141416 Primaria</v>
      </c>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4"/>
    </row>
    <row r="155" spans="1:36" ht="15.75" customHeight="1" x14ac:dyDescent="0.25">
      <c r="A155" s="9">
        <v>74</v>
      </c>
      <c r="B155" s="10" t="s">
        <v>14</v>
      </c>
      <c r="C155" s="10" t="s">
        <v>15</v>
      </c>
      <c r="D155" s="10" t="s">
        <v>37</v>
      </c>
      <c r="E155" s="11" t="str">
        <f ca="1">IFERROR(__xludf.DUMMYFUNCTION("FILTER(Colegios!$B$2:$B2419,Colegios!$A$2:$A2419=L155)"),"15478")</f>
        <v>15478</v>
      </c>
      <c r="F155" s="11" t="s">
        <v>17</v>
      </c>
      <c r="G155" s="10" t="s">
        <v>24</v>
      </c>
      <c r="H155" s="11" t="s">
        <v>23</v>
      </c>
      <c r="I155" s="11" t="s">
        <v>20</v>
      </c>
      <c r="J155" s="12" t="str">
        <f ca="1">IFERROR(__xludf.DUMMYFUNCTION("FILTER('CLASFICACIÓN'!$F$3:$F2419,'CLASFICACIÓN'!$G$3:$G2419=M155)"),"2023 Y 2024")</f>
        <v>2023 Y 2024</v>
      </c>
      <c r="K155" s="12" t="s">
        <v>2011</v>
      </c>
      <c r="L155" s="11" t="s">
        <v>34</v>
      </c>
      <c r="M155" s="12" t="str">
        <f t="shared" ca="1" si="0"/>
        <v>154786 Primaria</v>
      </c>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4"/>
    </row>
    <row r="156" spans="1:36" ht="15.75" customHeight="1" x14ac:dyDescent="0.25">
      <c r="A156" s="9">
        <v>75</v>
      </c>
      <c r="B156" s="10" t="s">
        <v>14</v>
      </c>
      <c r="C156" s="10" t="s">
        <v>15</v>
      </c>
      <c r="D156" s="10" t="s">
        <v>37</v>
      </c>
      <c r="E156" s="11" t="str">
        <f ca="1">IFERROR(__xludf.DUMMYFUNCTION("FILTER(Colegios!$B$2:$B2419,Colegios!$A$2:$A2419=L156)"),"15478")</f>
        <v>15478</v>
      </c>
      <c r="F156" s="11" t="s">
        <v>17</v>
      </c>
      <c r="G156" s="10" t="s">
        <v>24</v>
      </c>
      <c r="H156" s="11" t="s">
        <v>23</v>
      </c>
      <c r="I156" s="11" t="s">
        <v>20</v>
      </c>
      <c r="J156" s="12" t="str">
        <f ca="1">IFERROR(__xludf.DUMMYFUNCTION("FILTER('CLASFICACIÓN'!$F$3:$F2419,'CLASFICACIÓN'!$G$3:$G2419=M156)"),"2023 Y 2024")</f>
        <v>2023 Y 2024</v>
      </c>
      <c r="K156" s="12" t="s">
        <v>2011</v>
      </c>
      <c r="L156" s="11" t="s">
        <v>34</v>
      </c>
      <c r="M156" s="12" t="str">
        <f t="shared" ca="1" si="0"/>
        <v>154786 Primaria</v>
      </c>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4"/>
    </row>
    <row r="157" spans="1:36" ht="15.75" customHeight="1" x14ac:dyDescent="0.25">
      <c r="A157" s="9">
        <v>76</v>
      </c>
      <c r="B157" s="10" t="s">
        <v>14</v>
      </c>
      <c r="C157" s="10" t="s">
        <v>15</v>
      </c>
      <c r="D157" s="10" t="s">
        <v>37</v>
      </c>
      <c r="E157" s="11" t="str">
        <f ca="1">IFERROR(__xludf.DUMMYFUNCTION("FILTER(Colegios!$B$2:$B2419,Colegios!$A$2:$A2419=L157)"),"15220")</f>
        <v>15220</v>
      </c>
      <c r="F157" s="11" t="s">
        <v>17</v>
      </c>
      <c r="G157" s="10" t="s">
        <v>18</v>
      </c>
      <c r="H157" s="11" t="s">
        <v>25</v>
      </c>
      <c r="I157" s="11" t="s">
        <v>20</v>
      </c>
      <c r="J157" s="12" t="str">
        <f ca="1">IFERROR(__xludf.DUMMYFUNCTION("FILTER('CLASFICACIÓN'!$F$3:$F2419,'CLASFICACIÓN'!$G$3:$G2419=M157)"),"2023 Y 2024")</f>
        <v>2023 Y 2024</v>
      </c>
      <c r="K157" s="12" t="s">
        <v>2012</v>
      </c>
      <c r="L157" s="11" t="s">
        <v>40</v>
      </c>
      <c r="M157" s="12" t="str">
        <f t="shared" ca="1" si="0"/>
        <v>152206 Primaria</v>
      </c>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4"/>
    </row>
    <row r="158" spans="1:36" ht="15.75" customHeight="1" x14ac:dyDescent="0.25">
      <c r="A158" s="9">
        <v>77</v>
      </c>
      <c r="B158" s="10" t="s">
        <v>14</v>
      </c>
      <c r="C158" s="10" t="s">
        <v>15</v>
      </c>
      <c r="D158" s="10" t="s">
        <v>37</v>
      </c>
      <c r="E158" s="11" t="str">
        <f ca="1">IFERROR(__xludf.DUMMYFUNCTION("FILTER(Colegios!$B$2:$B2419,Colegios!$A$2:$A2419=L158)"),"14045")</f>
        <v>14045</v>
      </c>
      <c r="F158" s="11" t="s">
        <v>17</v>
      </c>
      <c r="G158" s="10" t="s">
        <v>18</v>
      </c>
      <c r="H158" s="11" t="s">
        <v>23</v>
      </c>
      <c r="I158" s="11" t="s">
        <v>20</v>
      </c>
      <c r="J158" s="12" t="str">
        <f ca="1">IFERROR(__xludf.DUMMYFUNCTION("FILTER('CLASFICACIÓN'!$F$3:$F2419,'CLASFICACIÓN'!$G$3:$G2419=M158)"),"2023 Y 2024")</f>
        <v>2023 Y 2024</v>
      </c>
      <c r="K158" s="12" t="s">
        <v>2012</v>
      </c>
      <c r="L158" s="11" t="s">
        <v>35</v>
      </c>
      <c r="M158" s="12" t="str">
        <f t="shared" ca="1" si="0"/>
        <v>140456 Primaria</v>
      </c>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4"/>
    </row>
    <row r="159" spans="1:36" ht="15.75" customHeight="1" x14ac:dyDescent="0.25">
      <c r="A159" s="9">
        <v>78</v>
      </c>
      <c r="B159" s="10" t="s">
        <v>14</v>
      </c>
      <c r="C159" s="10" t="s">
        <v>15</v>
      </c>
      <c r="D159" s="10" t="s">
        <v>37</v>
      </c>
      <c r="E159" s="11" t="str">
        <f ca="1">IFERROR(__xludf.DUMMYFUNCTION("FILTER(Colegios!$B$2:$B2419,Colegios!$A$2:$A2419=L159)"),"14145 SANTA JULIA BILLIART")</f>
        <v>14145 SANTA JULIA BILLIART</v>
      </c>
      <c r="F159" s="11" t="s">
        <v>17</v>
      </c>
      <c r="G159" s="10" t="s">
        <v>18</v>
      </c>
      <c r="H159" s="11" t="s">
        <v>23</v>
      </c>
      <c r="I159" s="11" t="s">
        <v>20</v>
      </c>
      <c r="J159" s="12" t="str">
        <f ca="1">IFERROR(__xludf.DUMMYFUNCTION("FILTER('CLASFICACIÓN'!$F$3:$F2419,'CLASFICACIÓN'!$G$3:$G2419=M159)"),"2023 Y 2024")</f>
        <v>2023 Y 2024</v>
      </c>
      <c r="K159" s="12" t="s">
        <v>2012</v>
      </c>
      <c r="L159" s="11" t="s">
        <v>36</v>
      </c>
      <c r="M159" s="12" t="str">
        <f t="shared" ca="1" si="0"/>
        <v>14145 SANTA JULIA BILLIART6 Primaria</v>
      </c>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4"/>
    </row>
    <row r="160" spans="1:36" ht="15.75" customHeight="1" x14ac:dyDescent="0.25">
      <c r="A160" s="9">
        <v>79</v>
      </c>
      <c r="B160" s="10" t="s">
        <v>14</v>
      </c>
      <c r="C160" s="10" t="s">
        <v>15</v>
      </c>
      <c r="D160" s="10" t="s">
        <v>37</v>
      </c>
      <c r="E160" s="11" t="str">
        <f ca="1">IFERROR(__xludf.DUMMYFUNCTION("FILTER(Colegios!$B$2:$B2419,Colegios!$A$2:$A2419=L160)"),"14145 SANTA JULIA BILLIART")</f>
        <v>14145 SANTA JULIA BILLIART</v>
      </c>
      <c r="F160" s="11" t="s">
        <v>17</v>
      </c>
      <c r="G160" s="10" t="s">
        <v>18</v>
      </c>
      <c r="H160" s="11" t="s">
        <v>19</v>
      </c>
      <c r="I160" s="11" t="s">
        <v>20</v>
      </c>
      <c r="J160" s="12" t="str">
        <f ca="1">IFERROR(__xludf.DUMMYFUNCTION("FILTER('CLASFICACIÓN'!$F$3:$F2419,'CLASFICACIÓN'!$G$3:$G2419=M160)"),"2023 Y 2024")</f>
        <v>2023 Y 2024</v>
      </c>
      <c r="K160" s="12" t="s">
        <v>2012</v>
      </c>
      <c r="L160" s="11" t="s">
        <v>36</v>
      </c>
      <c r="M160" s="12" t="str">
        <f t="shared" ca="1" si="0"/>
        <v>14145 SANTA JULIA BILLIART6 Primaria</v>
      </c>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4"/>
    </row>
    <row r="161" spans="1:36" ht="15.75" customHeight="1" x14ac:dyDescent="0.25">
      <c r="A161" s="9">
        <v>80</v>
      </c>
      <c r="B161" s="10" t="s">
        <v>14</v>
      </c>
      <c r="C161" s="10" t="s">
        <v>15</v>
      </c>
      <c r="D161" s="10" t="s">
        <v>37</v>
      </c>
      <c r="E161" s="11" t="str">
        <f ca="1">IFERROR(__xludf.DUMMYFUNCTION("FILTER(Colegios!$B$2:$B2419,Colegios!$A$2:$A2419=L161)"),"14145 SANTA JULIA BILLIART")</f>
        <v>14145 SANTA JULIA BILLIART</v>
      </c>
      <c r="F161" s="11" t="s">
        <v>17</v>
      </c>
      <c r="G161" s="10" t="s">
        <v>18</v>
      </c>
      <c r="H161" s="11" t="s">
        <v>19</v>
      </c>
      <c r="I161" s="11" t="s">
        <v>20</v>
      </c>
      <c r="J161" s="12" t="str">
        <f ca="1">IFERROR(__xludf.DUMMYFUNCTION("FILTER('CLASFICACIÓN'!$F$3:$F2419,'CLASFICACIÓN'!$G$3:$G2419=M161)"),"2023 Y 2024")</f>
        <v>2023 Y 2024</v>
      </c>
      <c r="K161" s="12" t="s">
        <v>2012</v>
      </c>
      <c r="L161" s="11" t="s">
        <v>36</v>
      </c>
      <c r="M161" s="12" t="str">
        <f t="shared" ca="1" si="0"/>
        <v>14145 SANTA JULIA BILLIART6 Primaria</v>
      </c>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4"/>
    </row>
    <row r="162" spans="1:36" ht="15.75" customHeight="1" x14ac:dyDescent="0.25">
      <c r="A162" s="9">
        <v>81</v>
      </c>
      <c r="B162" s="10" t="s">
        <v>14</v>
      </c>
      <c r="C162" s="10" t="s">
        <v>15</v>
      </c>
      <c r="D162" s="10" t="s">
        <v>37</v>
      </c>
      <c r="E162" s="11" t="str">
        <f ca="1">IFERROR(__xludf.DUMMYFUNCTION("FILTER(Colegios!$B$2:$B2419,Colegios!$A$2:$A2419=L162)"),"14145 SANTA JULIA BILLIART")</f>
        <v>14145 SANTA JULIA BILLIART</v>
      </c>
      <c r="F162" s="11" t="s">
        <v>17</v>
      </c>
      <c r="G162" s="10" t="s">
        <v>18</v>
      </c>
      <c r="H162" s="11" t="s">
        <v>23</v>
      </c>
      <c r="I162" s="11" t="s">
        <v>20</v>
      </c>
      <c r="J162" s="12" t="str">
        <f ca="1">IFERROR(__xludf.DUMMYFUNCTION("FILTER('CLASFICACIÓN'!$F$3:$F2419,'CLASFICACIÓN'!$G$3:$G2419=M162)"),"2023 Y 2024")</f>
        <v>2023 Y 2024</v>
      </c>
      <c r="K162" s="12" t="s">
        <v>2012</v>
      </c>
      <c r="L162" s="11" t="s">
        <v>36</v>
      </c>
      <c r="M162" s="12" t="str">
        <f t="shared" ca="1" si="0"/>
        <v>14145 SANTA JULIA BILLIART6 Primaria</v>
      </c>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4"/>
    </row>
    <row r="163" spans="1:36" ht="15.75" customHeight="1" x14ac:dyDescent="0.25">
      <c r="A163" s="9">
        <v>82</v>
      </c>
      <c r="B163" s="10" t="s">
        <v>14</v>
      </c>
      <c r="C163" s="10" t="s">
        <v>15</v>
      </c>
      <c r="D163" s="10" t="s">
        <v>37</v>
      </c>
      <c r="E163" s="11" t="str">
        <f ca="1">IFERROR(__xludf.DUMMYFUNCTION("FILTER(Colegios!$B$2:$B2419,Colegios!$A$2:$A2419=L163)"),"14145 SANTA JULIA BILLIART")</f>
        <v>14145 SANTA JULIA BILLIART</v>
      </c>
      <c r="F163" s="11" t="s">
        <v>17</v>
      </c>
      <c r="G163" s="10" t="s">
        <v>18</v>
      </c>
      <c r="H163" s="11" t="s">
        <v>19</v>
      </c>
      <c r="I163" s="11" t="s">
        <v>20</v>
      </c>
      <c r="J163" s="12" t="str">
        <f ca="1">IFERROR(__xludf.DUMMYFUNCTION("FILTER('CLASFICACIÓN'!$F$3:$F2419,'CLASFICACIÓN'!$G$3:$G2419=M163)"),"2023 Y 2024")</f>
        <v>2023 Y 2024</v>
      </c>
      <c r="K163" s="12" t="s">
        <v>2012</v>
      </c>
      <c r="L163" s="11" t="s">
        <v>36</v>
      </c>
      <c r="M163" s="12" t="str">
        <f t="shared" ca="1" si="0"/>
        <v>14145 SANTA JULIA BILLIART6 Primaria</v>
      </c>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4"/>
    </row>
    <row r="164" spans="1:36" ht="15.75" customHeight="1" x14ac:dyDescent="0.25">
      <c r="A164" s="9">
        <v>83</v>
      </c>
      <c r="B164" s="10" t="s">
        <v>14</v>
      </c>
      <c r="C164" s="10" t="s">
        <v>15</v>
      </c>
      <c r="D164" s="10" t="s">
        <v>37</v>
      </c>
      <c r="E164" s="11" t="str">
        <f ca="1">IFERROR(__xludf.DUMMYFUNCTION("FILTER(Colegios!$B$2:$B2419,Colegios!$A$2:$A2419=L164)"),"14145 SANTA JULIA BILLIART")</f>
        <v>14145 SANTA JULIA BILLIART</v>
      </c>
      <c r="F164" s="11" t="s">
        <v>17</v>
      </c>
      <c r="G164" s="10" t="s">
        <v>24</v>
      </c>
      <c r="H164" s="11" t="s">
        <v>19</v>
      </c>
      <c r="I164" s="11" t="s">
        <v>20</v>
      </c>
      <c r="J164" s="12" t="str">
        <f ca="1">IFERROR(__xludf.DUMMYFUNCTION("FILTER('CLASFICACIÓN'!$F$3:$F2419,'CLASFICACIÓN'!$G$3:$G2419=M164)"),"2023 Y 2024")</f>
        <v>2023 Y 2024</v>
      </c>
      <c r="K164" s="12" t="s">
        <v>2012</v>
      </c>
      <c r="L164" s="11" t="s">
        <v>36</v>
      </c>
      <c r="M164" s="12" t="str">
        <f t="shared" ca="1" si="0"/>
        <v>14145 SANTA JULIA BILLIART6 Primaria</v>
      </c>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4"/>
    </row>
    <row r="165" spans="1:36" ht="15.75" customHeight="1" x14ac:dyDescent="0.25">
      <c r="A165" s="9">
        <v>84</v>
      </c>
      <c r="B165" s="10" t="s">
        <v>14</v>
      </c>
      <c r="C165" s="10" t="s">
        <v>15</v>
      </c>
      <c r="D165" s="10" t="s">
        <v>37</v>
      </c>
      <c r="E165" s="11" t="str">
        <f ca="1">IFERROR(__xludf.DUMMYFUNCTION("FILTER(Colegios!$B$2:$B2419,Colegios!$A$2:$A2419=L165)"),"14145 SANTA JULIA BILLIART")</f>
        <v>14145 SANTA JULIA BILLIART</v>
      </c>
      <c r="F165" s="11" t="s">
        <v>17</v>
      </c>
      <c r="G165" s="10" t="s">
        <v>24</v>
      </c>
      <c r="H165" s="11" t="s">
        <v>19</v>
      </c>
      <c r="I165" s="11" t="s">
        <v>20</v>
      </c>
      <c r="J165" s="12" t="str">
        <f ca="1">IFERROR(__xludf.DUMMYFUNCTION("FILTER('CLASFICACIÓN'!$F$3:$F2419,'CLASFICACIÓN'!$G$3:$G2419=M165)"),"2023 Y 2024")</f>
        <v>2023 Y 2024</v>
      </c>
      <c r="K165" s="12" t="s">
        <v>2012</v>
      </c>
      <c r="L165" s="11" t="s">
        <v>36</v>
      </c>
      <c r="M165" s="12" t="str">
        <f t="shared" ca="1" si="0"/>
        <v>14145 SANTA JULIA BILLIART6 Primaria</v>
      </c>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4"/>
    </row>
    <row r="166" spans="1:36" ht="15.75" customHeight="1" x14ac:dyDescent="0.25">
      <c r="A166" s="9">
        <v>85</v>
      </c>
      <c r="B166" s="10" t="s">
        <v>14</v>
      </c>
      <c r="C166" s="10" t="s">
        <v>15</v>
      </c>
      <c r="D166" s="10" t="s">
        <v>37</v>
      </c>
      <c r="E166" s="11" t="str">
        <f ca="1">IFERROR(__xludf.DUMMYFUNCTION("FILTER(Colegios!$B$2:$B2419,Colegios!$A$2:$A2419=L166)"),"14145 SANTA JULIA BILLIART")</f>
        <v>14145 SANTA JULIA BILLIART</v>
      </c>
      <c r="F166" s="11" t="s">
        <v>17</v>
      </c>
      <c r="G166" s="10" t="s">
        <v>24</v>
      </c>
      <c r="H166" s="11" t="s">
        <v>19</v>
      </c>
      <c r="I166" s="11" t="s">
        <v>20</v>
      </c>
      <c r="J166" s="12" t="str">
        <f ca="1">IFERROR(__xludf.DUMMYFUNCTION("FILTER('CLASFICACIÓN'!$F$3:$F2419,'CLASFICACIÓN'!$G$3:$G2419=M166)"),"2023 Y 2024")</f>
        <v>2023 Y 2024</v>
      </c>
      <c r="K166" s="12" t="s">
        <v>2012</v>
      </c>
      <c r="L166" s="11" t="s">
        <v>36</v>
      </c>
      <c r="M166" s="12" t="str">
        <f t="shared" ca="1" si="0"/>
        <v>14145 SANTA JULIA BILLIART6 Primaria</v>
      </c>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4"/>
    </row>
    <row r="167" spans="1:36" ht="15.75" customHeight="1" x14ac:dyDescent="0.25">
      <c r="A167" s="9">
        <v>86</v>
      </c>
      <c r="B167" s="10" t="s">
        <v>14</v>
      </c>
      <c r="C167" s="10" t="s">
        <v>15</v>
      </c>
      <c r="D167" s="10" t="s">
        <v>37</v>
      </c>
      <c r="E167" s="11" t="str">
        <f ca="1">IFERROR(__xludf.DUMMYFUNCTION("FILTER(Colegios!$B$2:$B2419,Colegios!$A$2:$A2419=L167)"),"14145 SANTA JULIA BILLIART")</f>
        <v>14145 SANTA JULIA BILLIART</v>
      </c>
      <c r="F167" s="11" t="s">
        <v>17</v>
      </c>
      <c r="G167" s="10" t="s">
        <v>24</v>
      </c>
      <c r="H167" s="11" t="s">
        <v>19</v>
      </c>
      <c r="I167" s="11" t="s">
        <v>20</v>
      </c>
      <c r="J167" s="12" t="str">
        <f ca="1">IFERROR(__xludf.DUMMYFUNCTION("FILTER('CLASFICACIÓN'!$F$3:$F2419,'CLASFICACIÓN'!$G$3:$G2419=M167)"),"2023 Y 2024")</f>
        <v>2023 Y 2024</v>
      </c>
      <c r="K167" s="12" t="s">
        <v>2012</v>
      </c>
      <c r="L167" s="11" t="s">
        <v>36</v>
      </c>
      <c r="M167" s="12" t="str">
        <f t="shared" ca="1" si="0"/>
        <v>14145 SANTA JULIA BILLIART6 Primaria</v>
      </c>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4"/>
    </row>
    <row r="168" spans="1:36" ht="15.75" customHeight="1" x14ac:dyDescent="0.25">
      <c r="A168" s="9">
        <v>87</v>
      </c>
      <c r="B168" s="10" t="s">
        <v>14</v>
      </c>
      <c r="C168" s="10" t="s">
        <v>15</v>
      </c>
      <c r="D168" s="10" t="s">
        <v>37</v>
      </c>
      <c r="E168" s="11" t="str">
        <f ca="1">IFERROR(__xludf.DUMMYFUNCTION("FILTER(Colegios!$B$2:$B2419,Colegios!$A$2:$A2419=L168)"),"14145 SANTA JULIA BILLIART")</f>
        <v>14145 SANTA JULIA BILLIART</v>
      </c>
      <c r="F168" s="11" t="s">
        <v>17</v>
      </c>
      <c r="G168" s="10" t="s">
        <v>24</v>
      </c>
      <c r="H168" s="11" t="s">
        <v>23</v>
      </c>
      <c r="I168" s="11" t="s">
        <v>20</v>
      </c>
      <c r="J168" s="12" t="str">
        <f ca="1">IFERROR(__xludf.DUMMYFUNCTION("FILTER('CLASFICACIÓN'!$F$3:$F2419,'CLASFICACIÓN'!$G$3:$G2419=M168)"),"2023 Y 2024")</f>
        <v>2023 Y 2024</v>
      </c>
      <c r="K168" s="12" t="s">
        <v>2012</v>
      </c>
      <c r="L168" s="11" t="s">
        <v>36</v>
      </c>
      <c r="M168" s="12" t="str">
        <f t="shared" ca="1" si="0"/>
        <v>14145 SANTA JULIA BILLIART6 Primaria</v>
      </c>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4"/>
    </row>
    <row r="169" spans="1:36" ht="15.75" customHeight="1" x14ac:dyDescent="0.25">
      <c r="A169" s="9">
        <v>1</v>
      </c>
      <c r="B169" s="10" t="s">
        <v>14</v>
      </c>
      <c r="C169" s="10" t="s">
        <v>41</v>
      </c>
      <c r="D169" s="10" t="s">
        <v>42</v>
      </c>
      <c r="E169" s="11" t="str">
        <f ca="1">IFERROR(__xludf.DUMMYFUNCTION("FILTER(Colegios!$B$2:$B2419,Colegios!$A$2:$A2419=L169)"),"14144 SANTA ROSA")</f>
        <v>14144 SANTA ROSA</v>
      </c>
      <c r="F169" s="11" t="s">
        <v>17</v>
      </c>
      <c r="G169" s="10" t="s">
        <v>18</v>
      </c>
      <c r="H169" s="11" t="s">
        <v>19</v>
      </c>
      <c r="I169" s="11" t="s">
        <v>20</v>
      </c>
      <c r="J169" s="12" t="str">
        <f ca="1">IFERROR(__xludf.DUMMYFUNCTION("FILTER('CLASFICACIÓN'!$F$3:$F2419,'CLASFICACIÓN'!$G$3:$G2419=M169)"),"SOLO 2024")</f>
        <v>SOLO 2024</v>
      </c>
      <c r="K169" s="12" t="s">
        <v>2012</v>
      </c>
      <c r="L169" s="11" t="s">
        <v>30</v>
      </c>
      <c r="M169" s="12" t="str">
        <f t="shared" ca="1" si="0"/>
        <v>14144 SANTA ROSA2 Secundaria</v>
      </c>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4"/>
    </row>
    <row r="170" spans="1:36" ht="15.75" customHeight="1" x14ac:dyDescent="0.25">
      <c r="A170" s="9">
        <v>2</v>
      </c>
      <c r="B170" s="10" t="s">
        <v>14</v>
      </c>
      <c r="C170" s="10" t="s">
        <v>41</v>
      </c>
      <c r="D170" s="10" t="s">
        <v>42</v>
      </c>
      <c r="E170" s="11" t="str">
        <f ca="1">IFERROR(__xludf.DUMMYFUNCTION("FILTER(Colegios!$B$2:$B2419,Colegios!$A$2:$A2419=L170)"),"14144 SANTA ROSA")</f>
        <v>14144 SANTA ROSA</v>
      </c>
      <c r="F170" s="11" t="s">
        <v>17</v>
      </c>
      <c r="G170" s="10" t="s">
        <v>18</v>
      </c>
      <c r="H170" s="11" t="s">
        <v>23</v>
      </c>
      <c r="I170" s="11" t="s">
        <v>20</v>
      </c>
      <c r="J170" s="12" t="str">
        <f ca="1">IFERROR(__xludf.DUMMYFUNCTION("FILTER('CLASFICACIÓN'!$F$3:$F2419,'CLASFICACIÓN'!$G$3:$G2419=M170)"),"SOLO 2024")</f>
        <v>SOLO 2024</v>
      </c>
      <c r="K170" s="12" t="s">
        <v>2012</v>
      </c>
      <c r="L170" s="11" t="s">
        <v>30</v>
      </c>
      <c r="M170" s="12" t="str">
        <f t="shared" ca="1" si="0"/>
        <v>14144 SANTA ROSA2 Secundaria</v>
      </c>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4"/>
    </row>
    <row r="171" spans="1:36" ht="15.75" customHeight="1" x14ac:dyDescent="0.25">
      <c r="A171" s="9">
        <v>3</v>
      </c>
      <c r="B171" s="10" t="s">
        <v>14</v>
      </c>
      <c r="C171" s="10" t="s">
        <v>41</v>
      </c>
      <c r="D171" s="10" t="s">
        <v>42</v>
      </c>
      <c r="E171" s="11" t="str">
        <f ca="1">IFERROR(__xludf.DUMMYFUNCTION("FILTER(Colegios!$B$2:$B2419,Colegios!$A$2:$A2419=L171)"),"14144 SANTA ROSA")</f>
        <v>14144 SANTA ROSA</v>
      </c>
      <c r="F171" s="11" t="s">
        <v>17</v>
      </c>
      <c r="G171" s="10" t="s">
        <v>18</v>
      </c>
      <c r="H171" s="11" t="s">
        <v>19</v>
      </c>
      <c r="I171" s="11" t="s">
        <v>20</v>
      </c>
      <c r="J171" s="12" t="str">
        <f ca="1">IFERROR(__xludf.DUMMYFUNCTION("FILTER('CLASFICACIÓN'!$F$3:$F2419,'CLASFICACIÓN'!$G$3:$G2419=M171)"),"SOLO 2024")</f>
        <v>SOLO 2024</v>
      </c>
      <c r="K171" s="12" t="s">
        <v>2012</v>
      </c>
      <c r="L171" s="11" t="s">
        <v>30</v>
      </c>
      <c r="M171" s="12" t="str">
        <f t="shared" ca="1" si="0"/>
        <v>14144 SANTA ROSA2 Secundaria</v>
      </c>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4"/>
    </row>
    <row r="172" spans="1:36" ht="15.75" customHeight="1" x14ac:dyDescent="0.25">
      <c r="A172" s="9">
        <v>4</v>
      </c>
      <c r="B172" s="10" t="s">
        <v>14</v>
      </c>
      <c r="C172" s="10" t="s">
        <v>41</v>
      </c>
      <c r="D172" s="10" t="s">
        <v>42</v>
      </c>
      <c r="E172" s="11" t="str">
        <f ca="1">IFERROR(__xludf.DUMMYFUNCTION("FILTER(Colegios!$B$2:$B2419,Colegios!$A$2:$A2419=L172)"),"14144 SANTA ROSA")</f>
        <v>14144 SANTA ROSA</v>
      </c>
      <c r="F172" s="11" t="s">
        <v>17</v>
      </c>
      <c r="G172" s="10" t="s">
        <v>18</v>
      </c>
      <c r="H172" s="11" t="s">
        <v>19</v>
      </c>
      <c r="I172" s="11" t="s">
        <v>20</v>
      </c>
      <c r="J172" s="12" t="str">
        <f ca="1">IFERROR(__xludf.DUMMYFUNCTION("FILTER('CLASFICACIÓN'!$F$3:$F2419,'CLASFICACIÓN'!$G$3:$G2419=M172)"),"SOLO 2024")</f>
        <v>SOLO 2024</v>
      </c>
      <c r="K172" s="12" t="s">
        <v>2012</v>
      </c>
      <c r="L172" s="11" t="s">
        <v>30</v>
      </c>
      <c r="M172" s="12" t="str">
        <f t="shared" ca="1" si="0"/>
        <v>14144 SANTA ROSA2 Secundaria</v>
      </c>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4"/>
    </row>
    <row r="173" spans="1:36" ht="15.75" customHeight="1" x14ac:dyDescent="0.25">
      <c r="A173" s="9">
        <v>5</v>
      </c>
      <c r="B173" s="10" t="s">
        <v>14</v>
      </c>
      <c r="C173" s="10" t="s">
        <v>41</v>
      </c>
      <c r="D173" s="10" t="s">
        <v>42</v>
      </c>
      <c r="E173" s="11" t="str">
        <f ca="1">IFERROR(__xludf.DUMMYFUNCTION("FILTER(Colegios!$B$2:$B2419,Colegios!$A$2:$A2419=L173)"),"14144 SANTA ROSA")</f>
        <v>14144 SANTA ROSA</v>
      </c>
      <c r="F173" s="11" t="s">
        <v>17</v>
      </c>
      <c r="G173" s="10" t="s">
        <v>18</v>
      </c>
      <c r="H173" s="11" t="s">
        <v>19</v>
      </c>
      <c r="I173" s="11" t="s">
        <v>20</v>
      </c>
      <c r="J173" s="12" t="str">
        <f ca="1">IFERROR(__xludf.DUMMYFUNCTION("FILTER('CLASFICACIÓN'!$F$3:$F2419,'CLASFICACIÓN'!$G$3:$G2419=M173)"),"SOLO 2024")</f>
        <v>SOLO 2024</v>
      </c>
      <c r="K173" s="12" t="s">
        <v>2012</v>
      </c>
      <c r="L173" s="11" t="s">
        <v>30</v>
      </c>
      <c r="M173" s="12" t="str">
        <f t="shared" ca="1" si="0"/>
        <v>14144 SANTA ROSA2 Secundaria</v>
      </c>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4"/>
    </row>
    <row r="174" spans="1:36" ht="15.75" customHeight="1" x14ac:dyDescent="0.25">
      <c r="A174" s="9">
        <v>6</v>
      </c>
      <c r="B174" s="10" t="s">
        <v>14</v>
      </c>
      <c r="C174" s="10" t="s">
        <v>41</v>
      </c>
      <c r="D174" s="10" t="s">
        <v>42</v>
      </c>
      <c r="E174" s="11" t="str">
        <f ca="1">IFERROR(__xludf.DUMMYFUNCTION("FILTER(Colegios!$B$2:$B2419,Colegios!$A$2:$A2419=L174)"),"14144 SANTA ROSA")</f>
        <v>14144 SANTA ROSA</v>
      </c>
      <c r="F174" s="11" t="s">
        <v>17</v>
      </c>
      <c r="G174" s="10" t="s">
        <v>18</v>
      </c>
      <c r="H174" s="11" t="s">
        <v>19</v>
      </c>
      <c r="I174" s="11" t="s">
        <v>20</v>
      </c>
      <c r="J174" s="12" t="str">
        <f ca="1">IFERROR(__xludf.DUMMYFUNCTION("FILTER('CLASFICACIÓN'!$F$3:$F2419,'CLASFICACIÓN'!$G$3:$G2419=M174)"),"SOLO 2024")</f>
        <v>SOLO 2024</v>
      </c>
      <c r="K174" s="12" t="s">
        <v>2012</v>
      </c>
      <c r="L174" s="11" t="s">
        <v>30</v>
      </c>
      <c r="M174" s="12" t="str">
        <f t="shared" ca="1" si="0"/>
        <v>14144 SANTA ROSA2 Secundaria</v>
      </c>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4"/>
    </row>
    <row r="175" spans="1:36" ht="15.75" customHeight="1" x14ac:dyDescent="0.25">
      <c r="A175" s="9">
        <v>7</v>
      </c>
      <c r="B175" s="10" t="s">
        <v>14</v>
      </c>
      <c r="C175" s="10" t="s">
        <v>41</v>
      </c>
      <c r="D175" s="10" t="s">
        <v>42</v>
      </c>
      <c r="E175" s="11" t="str">
        <f ca="1">IFERROR(__xludf.DUMMYFUNCTION("FILTER(Colegios!$B$2:$B2419,Colegios!$A$2:$A2419=L175)"),"14144 SANTA ROSA")</f>
        <v>14144 SANTA ROSA</v>
      </c>
      <c r="F175" s="11" t="s">
        <v>17</v>
      </c>
      <c r="G175" s="10" t="s">
        <v>18</v>
      </c>
      <c r="H175" s="11" t="s">
        <v>19</v>
      </c>
      <c r="I175" s="11" t="s">
        <v>20</v>
      </c>
      <c r="J175" s="12" t="str">
        <f ca="1">IFERROR(__xludf.DUMMYFUNCTION("FILTER('CLASFICACIÓN'!$F$3:$F2419,'CLASFICACIÓN'!$G$3:$G2419=M175)"),"SOLO 2024")</f>
        <v>SOLO 2024</v>
      </c>
      <c r="K175" s="12" t="s">
        <v>2012</v>
      </c>
      <c r="L175" s="11" t="s">
        <v>30</v>
      </c>
      <c r="M175" s="12" t="str">
        <f t="shared" ca="1" si="0"/>
        <v>14144 SANTA ROSA2 Secundaria</v>
      </c>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4"/>
    </row>
    <row r="176" spans="1:36" ht="15.75" customHeight="1" x14ac:dyDescent="0.25">
      <c r="A176" s="9">
        <v>8</v>
      </c>
      <c r="B176" s="10" t="s">
        <v>14</v>
      </c>
      <c r="C176" s="10" t="s">
        <v>41</v>
      </c>
      <c r="D176" s="10" t="s">
        <v>42</v>
      </c>
      <c r="E176" s="11" t="str">
        <f ca="1">IFERROR(__xludf.DUMMYFUNCTION("FILTER(Colegios!$B$2:$B2419,Colegios!$A$2:$A2419=L176)"),"14144 SANTA ROSA")</f>
        <v>14144 SANTA ROSA</v>
      </c>
      <c r="F176" s="11" t="s">
        <v>17</v>
      </c>
      <c r="G176" s="10" t="s">
        <v>18</v>
      </c>
      <c r="H176" s="11" t="s">
        <v>19</v>
      </c>
      <c r="I176" s="11" t="s">
        <v>20</v>
      </c>
      <c r="J176" s="12" t="str">
        <f ca="1">IFERROR(__xludf.DUMMYFUNCTION("FILTER('CLASFICACIÓN'!$F$3:$F2419,'CLASFICACIÓN'!$G$3:$G2419=M176)"),"SOLO 2024")</f>
        <v>SOLO 2024</v>
      </c>
      <c r="K176" s="12" t="s">
        <v>2012</v>
      </c>
      <c r="L176" s="11" t="s">
        <v>30</v>
      </c>
      <c r="M176" s="12" t="str">
        <f t="shared" ca="1" si="0"/>
        <v>14144 SANTA ROSA2 Secundaria</v>
      </c>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4"/>
    </row>
    <row r="177" spans="1:36" ht="15.75" customHeight="1" x14ac:dyDescent="0.25">
      <c r="A177" s="9">
        <v>9</v>
      </c>
      <c r="B177" s="10" t="s">
        <v>14</v>
      </c>
      <c r="C177" s="10" t="s">
        <v>41</v>
      </c>
      <c r="D177" s="10" t="s">
        <v>42</v>
      </c>
      <c r="E177" s="11" t="str">
        <f ca="1">IFERROR(__xludf.DUMMYFUNCTION("FILTER(Colegios!$B$2:$B2419,Colegios!$A$2:$A2419=L177)"),"14144 SANTA ROSA")</f>
        <v>14144 SANTA ROSA</v>
      </c>
      <c r="F177" s="11" t="s">
        <v>17</v>
      </c>
      <c r="G177" s="10" t="s">
        <v>18</v>
      </c>
      <c r="H177" s="11" t="s">
        <v>19</v>
      </c>
      <c r="I177" s="11" t="s">
        <v>20</v>
      </c>
      <c r="J177" s="12" t="str">
        <f ca="1">IFERROR(__xludf.DUMMYFUNCTION("FILTER('CLASFICACIÓN'!$F$3:$F2419,'CLASFICACIÓN'!$G$3:$G2419=M177)"),"SOLO 2024")</f>
        <v>SOLO 2024</v>
      </c>
      <c r="K177" s="12" t="s">
        <v>2012</v>
      </c>
      <c r="L177" s="11" t="s">
        <v>30</v>
      </c>
      <c r="M177" s="12" t="str">
        <f t="shared" ca="1" si="0"/>
        <v>14144 SANTA ROSA2 Secundaria</v>
      </c>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4"/>
    </row>
    <row r="178" spans="1:36" ht="15.75" customHeight="1" x14ac:dyDescent="0.25">
      <c r="A178" s="9">
        <v>10</v>
      </c>
      <c r="B178" s="10" t="s">
        <v>14</v>
      </c>
      <c r="C178" s="10" t="s">
        <v>41</v>
      </c>
      <c r="D178" s="10" t="s">
        <v>42</v>
      </c>
      <c r="E178" s="11" t="str">
        <f ca="1">IFERROR(__xludf.DUMMYFUNCTION("FILTER(Colegios!$B$2:$B2419,Colegios!$A$2:$A2419=L178)"),"14144 SANTA ROSA")</f>
        <v>14144 SANTA ROSA</v>
      </c>
      <c r="F178" s="11" t="s">
        <v>17</v>
      </c>
      <c r="G178" s="10" t="s">
        <v>18</v>
      </c>
      <c r="H178" s="11" t="s">
        <v>19</v>
      </c>
      <c r="I178" s="11" t="s">
        <v>20</v>
      </c>
      <c r="J178" s="12" t="str">
        <f ca="1">IFERROR(__xludf.DUMMYFUNCTION("FILTER('CLASFICACIÓN'!$F$3:$F2419,'CLASFICACIÓN'!$G$3:$G2419=M178)"),"SOLO 2024")</f>
        <v>SOLO 2024</v>
      </c>
      <c r="K178" s="12" t="s">
        <v>2012</v>
      </c>
      <c r="L178" s="11" t="s">
        <v>30</v>
      </c>
      <c r="M178" s="12" t="str">
        <f t="shared" ca="1" si="0"/>
        <v>14144 SANTA ROSA2 Secundaria</v>
      </c>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4"/>
    </row>
    <row r="179" spans="1:36" ht="15.75" customHeight="1" x14ac:dyDescent="0.25">
      <c r="A179" s="9">
        <v>11</v>
      </c>
      <c r="B179" s="10" t="s">
        <v>14</v>
      </c>
      <c r="C179" s="10" t="s">
        <v>41</v>
      </c>
      <c r="D179" s="10" t="s">
        <v>42</v>
      </c>
      <c r="E179" s="11" t="str">
        <f ca="1">IFERROR(__xludf.DUMMYFUNCTION("FILTER(Colegios!$B$2:$B2419,Colegios!$A$2:$A2419=L179)"),"14144 SANTA ROSA")</f>
        <v>14144 SANTA ROSA</v>
      </c>
      <c r="F179" s="11" t="s">
        <v>17</v>
      </c>
      <c r="G179" s="10" t="s">
        <v>18</v>
      </c>
      <c r="H179" s="11" t="s">
        <v>19</v>
      </c>
      <c r="I179" s="11" t="s">
        <v>20</v>
      </c>
      <c r="J179" s="12" t="str">
        <f ca="1">IFERROR(__xludf.DUMMYFUNCTION("FILTER('CLASFICACIÓN'!$F$3:$F2419,'CLASFICACIÓN'!$G$3:$G2419=M179)"),"SOLO 2024")</f>
        <v>SOLO 2024</v>
      </c>
      <c r="K179" s="12" t="s">
        <v>2012</v>
      </c>
      <c r="L179" s="11" t="s">
        <v>30</v>
      </c>
      <c r="M179" s="12" t="str">
        <f t="shared" ca="1" si="0"/>
        <v>14144 SANTA ROSA2 Secundaria</v>
      </c>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4"/>
    </row>
    <row r="180" spans="1:36" ht="15.75" customHeight="1" x14ac:dyDescent="0.25">
      <c r="A180" s="9">
        <v>12</v>
      </c>
      <c r="B180" s="10" t="s">
        <v>14</v>
      </c>
      <c r="C180" s="10" t="s">
        <v>41</v>
      </c>
      <c r="D180" s="10" t="s">
        <v>42</v>
      </c>
      <c r="E180" s="11" t="str">
        <f ca="1">IFERROR(__xludf.DUMMYFUNCTION("FILTER(Colegios!$B$2:$B2419,Colegios!$A$2:$A2419=L180)"),"14144 SANTA ROSA")</f>
        <v>14144 SANTA ROSA</v>
      </c>
      <c r="F180" s="11" t="s">
        <v>17</v>
      </c>
      <c r="G180" s="10" t="s">
        <v>18</v>
      </c>
      <c r="H180" s="11" t="s">
        <v>19</v>
      </c>
      <c r="I180" s="11" t="s">
        <v>20</v>
      </c>
      <c r="J180" s="12" t="str">
        <f ca="1">IFERROR(__xludf.DUMMYFUNCTION("FILTER('CLASFICACIÓN'!$F$3:$F2419,'CLASFICACIÓN'!$G$3:$G2419=M180)"),"SOLO 2024")</f>
        <v>SOLO 2024</v>
      </c>
      <c r="K180" s="12" t="s">
        <v>2012</v>
      </c>
      <c r="L180" s="11" t="s">
        <v>30</v>
      </c>
      <c r="M180" s="12" t="str">
        <f t="shared" ca="1" si="0"/>
        <v>14144 SANTA ROSA2 Secundaria</v>
      </c>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4"/>
    </row>
    <row r="181" spans="1:36" ht="15.75" customHeight="1" x14ac:dyDescent="0.25">
      <c r="A181" s="9">
        <v>13</v>
      </c>
      <c r="B181" s="10" t="s">
        <v>14</v>
      </c>
      <c r="C181" s="10" t="s">
        <v>41</v>
      </c>
      <c r="D181" s="10" t="s">
        <v>42</v>
      </c>
      <c r="E181" s="11" t="str">
        <f ca="1">IFERROR(__xludf.DUMMYFUNCTION("FILTER(Colegios!$B$2:$B2419,Colegios!$A$2:$A2419=L181)"),"14144 SANTA ROSA")</f>
        <v>14144 SANTA ROSA</v>
      </c>
      <c r="F181" s="11" t="s">
        <v>17</v>
      </c>
      <c r="G181" s="10" t="s">
        <v>18</v>
      </c>
      <c r="H181" s="11" t="s">
        <v>19</v>
      </c>
      <c r="I181" s="11" t="s">
        <v>20</v>
      </c>
      <c r="J181" s="12" t="str">
        <f ca="1">IFERROR(__xludf.DUMMYFUNCTION("FILTER('CLASFICACIÓN'!$F$3:$F2419,'CLASFICACIÓN'!$G$3:$G2419=M181)"),"SOLO 2024")</f>
        <v>SOLO 2024</v>
      </c>
      <c r="K181" s="12" t="s">
        <v>2012</v>
      </c>
      <c r="L181" s="11" t="s">
        <v>30</v>
      </c>
      <c r="M181" s="12" t="str">
        <f t="shared" ca="1" si="0"/>
        <v>14144 SANTA ROSA2 Secundaria</v>
      </c>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4"/>
    </row>
    <row r="182" spans="1:36" ht="15.75" customHeight="1" x14ac:dyDescent="0.25">
      <c r="A182" s="9">
        <v>14</v>
      </c>
      <c r="B182" s="10" t="s">
        <v>14</v>
      </c>
      <c r="C182" s="10" t="s">
        <v>41</v>
      </c>
      <c r="D182" s="10" t="s">
        <v>42</v>
      </c>
      <c r="E182" s="11" t="str">
        <f ca="1">IFERROR(__xludf.DUMMYFUNCTION("FILTER(Colegios!$B$2:$B2419,Colegios!$A$2:$A2419=L182)"),"14144 SANTA ROSA")</f>
        <v>14144 SANTA ROSA</v>
      </c>
      <c r="F182" s="11" t="s">
        <v>17</v>
      </c>
      <c r="G182" s="10" t="s">
        <v>18</v>
      </c>
      <c r="H182" s="11" t="s">
        <v>19</v>
      </c>
      <c r="I182" s="11" t="s">
        <v>20</v>
      </c>
      <c r="J182" s="12" t="str">
        <f ca="1">IFERROR(__xludf.DUMMYFUNCTION("FILTER('CLASFICACIÓN'!$F$3:$F2419,'CLASFICACIÓN'!$G$3:$G2419=M182)"),"SOLO 2024")</f>
        <v>SOLO 2024</v>
      </c>
      <c r="K182" s="12" t="s">
        <v>2012</v>
      </c>
      <c r="L182" s="11" t="s">
        <v>30</v>
      </c>
      <c r="M182" s="12" t="str">
        <f t="shared" ca="1" si="0"/>
        <v>14144 SANTA ROSA2 Secundaria</v>
      </c>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4"/>
    </row>
    <row r="183" spans="1:36" ht="15.75" customHeight="1" x14ac:dyDescent="0.25">
      <c r="A183" s="9">
        <v>15</v>
      </c>
      <c r="B183" s="10" t="s">
        <v>14</v>
      </c>
      <c r="C183" s="10" t="s">
        <v>41</v>
      </c>
      <c r="D183" s="10" t="s">
        <v>42</v>
      </c>
      <c r="E183" s="11" t="str">
        <f ca="1">IFERROR(__xludf.DUMMYFUNCTION("FILTER(Colegios!$B$2:$B2419,Colegios!$A$2:$A2419=L183)"),"14144 SANTA ROSA")</f>
        <v>14144 SANTA ROSA</v>
      </c>
      <c r="F183" s="11" t="s">
        <v>17</v>
      </c>
      <c r="G183" s="10" t="s">
        <v>18</v>
      </c>
      <c r="H183" s="11" t="s">
        <v>23</v>
      </c>
      <c r="I183" s="11" t="s">
        <v>20</v>
      </c>
      <c r="J183" s="12" t="str">
        <f ca="1">IFERROR(__xludf.DUMMYFUNCTION("FILTER('CLASFICACIÓN'!$F$3:$F2419,'CLASFICACIÓN'!$G$3:$G2419=M183)"),"SOLO 2024")</f>
        <v>SOLO 2024</v>
      </c>
      <c r="K183" s="12" t="s">
        <v>2012</v>
      </c>
      <c r="L183" s="11" t="s">
        <v>30</v>
      </c>
      <c r="M183" s="12" t="str">
        <f t="shared" ca="1" si="0"/>
        <v>14144 SANTA ROSA2 Secundaria</v>
      </c>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4"/>
    </row>
    <row r="184" spans="1:36" ht="15.75" customHeight="1" x14ac:dyDescent="0.25">
      <c r="A184" s="9">
        <v>16</v>
      </c>
      <c r="B184" s="10" t="s">
        <v>14</v>
      </c>
      <c r="C184" s="10" t="s">
        <v>41</v>
      </c>
      <c r="D184" s="10" t="s">
        <v>42</v>
      </c>
      <c r="E184" s="11" t="str">
        <f ca="1">IFERROR(__xludf.DUMMYFUNCTION("FILTER(Colegios!$B$2:$B2419,Colegios!$A$2:$A2419=L184)"),"14144 SANTA ROSA")</f>
        <v>14144 SANTA ROSA</v>
      </c>
      <c r="F184" s="11" t="s">
        <v>17</v>
      </c>
      <c r="G184" s="10" t="s">
        <v>18</v>
      </c>
      <c r="H184" s="11" t="s">
        <v>19</v>
      </c>
      <c r="I184" s="11" t="s">
        <v>20</v>
      </c>
      <c r="J184" s="12" t="str">
        <f ca="1">IFERROR(__xludf.DUMMYFUNCTION("FILTER('CLASFICACIÓN'!$F$3:$F2419,'CLASFICACIÓN'!$G$3:$G2419=M184)"),"SOLO 2024")</f>
        <v>SOLO 2024</v>
      </c>
      <c r="K184" s="12" t="s">
        <v>2012</v>
      </c>
      <c r="L184" s="11" t="s">
        <v>30</v>
      </c>
      <c r="M184" s="12" t="str">
        <f t="shared" ca="1" si="0"/>
        <v>14144 SANTA ROSA2 Secundaria</v>
      </c>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4"/>
    </row>
    <row r="185" spans="1:36" ht="15.75" customHeight="1" x14ac:dyDescent="0.25">
      <c r="A185" s="9">
        <v>17</v>
      </c>
      <c r="B185" s="10" t="s">
        <v>14</v>
      </c>
      <c r="C185" s="10" t="s">
        <v>41</v>
      </c>
      <c r="D185" s="10" t="s">
        <v>42</v>
      </c>
      <c r="E185" s="11" t="str">
        <f ca="1">IFERROR(__xludf.DUMMYFUNCTION("FILTER(Colegios!$B$2:$B2419,Colegios!$A$2:$A2419=L185)"),"14144 SANTA ROSA")</f>
        <v>14144 SANTA ROSA</v>
      </c>
      <c r="F185" s="11" t="s">
        <v>17</v>
      </c>
      <c r="G185" s="10" t="s">
        <v>18</v>
      </c>
      <c r="H185" s="11" t="s">
        <v>19</v>
      </c>
      <c r="I185" s="11" t="s">
        <v>20</v>
      </c>
      <c r="J185" s="12" t="str">
        <f ca="1">IFERROR(__xludf.DUMMYFUNCTION("FILTER('CLASFICACIÓN'!$F$3:$F2419,'CLASFICACIÓN'!$G$3:$G2419=M185)"),"SOLO 2024")</f>
        <v>SOLO 2024</v>
      </c>
      <c r="K185" s="12" t="s">
        <v>2012</v>
      </c>
      <c r="L185" s="11" t="s">
        <v>30</v>
      </c>
      <c r="M185" s="12" t="str">
        <f t="shared" ca="1" si="0"/>
        <v>14144 SANTA ROSA2 Secundaria</v>
      </c>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4"/>
    </row>
    <row r="186" spans="1:36" ht="15.75" customHeight="1" x14ac:dyDescent="0.25">
      <c r="A186" s="9">
        <v>18</v>
      </c>
      <c r="B186" s="10" t="s">
        <v>14</v>
      </c>
      <c r="C186" s="10" t="s">
        <v>41</v>
      </c>
      <c r="D186" s="10" t="s">
        <v>42</v>
      </c>
      <c r="E186" s="11" t="str">
        <f ca="1">IFERROR(__xludf.DUMMYFUNCTION("FILTER(Colegios!$B$2:$B2419,Colegios!$A$2:$A2419=L186)"),"14144 SANTA ROSA")</f>
        <v>14144 SANTA ROSA</v>
      </c>
      <c r="F186" s="11" t="s">
        <v>17</v>
      </c>
      <c r="G186" s="10" t="s">
        <v>18</v>
      </c>
      <c r="H186" s="11" t="s">
        <v>19</v>
      </c>
      <c r="I186" s="11" t="s">
        <v>20</v>
      </c>
      <c r="J186" s="12" t="str">
        <f ca="1">IFERROR(__xludf.DUMMYFUNCTION("FILTER('CLASFICACIÓN'!$F$3:$F2419,'CLASFICACIÓN'!$G$3:$G2419=M186)"),"SOLO 2024")</f>
        <v>SOLO 2024</v>
      </c>
      <c r="K186" s="12" t="s">
        <v>2012</v>
      </c>
      <c r="L186" s="11" t="s">
        <v>30</v>
      </c>
      <c r="M186" s="12" t="str">
        <f t="shared" ca="1" si="0"/>
        <v>14144 SANTA ROSA2 Secundaria</v>
      </c>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4"/>
    </row>
    <row r="187" spans="1:36" ht="15.75" customHeight="1" x14ac:dyDescent="0.25">
      <c r="A187" s="9">
        <v>19</v>
      </c>
      <c r="B187" s="10" t="s">
        <v>14</v>
      </c>
      <c r="C187" s="10" t="s">
        <v>41</v>
      </c>
      <c r="D187" s="10" t="s">
        <v>42</v>
      </c>
      <c r="E187" s="11" t="str">
        <f ca="1">IFERROR(__xludf.DUMMYFUNCTION("FILTER(Colegios!$B$2:$B2419,Colegios!$A$2:$A2419=L187)"),"14144 SANTA ROSA")</f>
        <v>14144 SANTA ROSA</v>
      </c>
      <c r="F187" s="11" t="s">
        <v>17</v>
      </c>
      <c r="G187" s="10" t="s">
        <v>18</v>
      </c>
      <c r="H187" s="11" t="s">
        <v>19</v>
      </c>
      <c r="I187" s="11" t="s">
        <v>20</v>
      </c>
      <c r="J187" s="12" t="str">
        <f ca="1">IFERROR(__xludf.DUMMYFUNCTION("FILTER('CLASFICACIÓN'!$F$3:$F2419,'CLASFICACIÓN'!$G$3:$G2419=M187)"),"SOLO 2024")</f>
        <v>SOLO 2024</v>
      </c>
      <c r="K187" s="12" t="s">
        <v>2012</v>
      </c>
      <c r="L187" s="11" t="s">
        <v>30</v>
      </c>
      <c r="M187" s="12" t="str">
        <f t="shared" ca="1" si="0"/>
        <v>14144 SANTA ROSA2 Secundaria</v>
      </c>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4"/>
    </row>
    <row r="188" spans="1:36" ht="15.75" customHeight="1" x14ac:dyDescent="0.25">
      <c r="A188" s="9">
        <v>20</v>
      </c>
      <c r="B188" s="10" t="s">
        <v>14</v>
      </c>
      <c r="C188" s="10" t="s">
        <v>41</v>
      </c>
      <c r="D188" s="10" t="s">
        <v>42</v>
      </c>
      <c r="E188" s="11" t="str">
        <f ca="1">IFERROR(__xludf.DUMMYFUNCTION("FILTER(Colegios!$B$2:$B2419,Colegios!$A$2:$A2419=L188)"),"14144 SANTA ROSA")</f>
        <v>14144 SANTA ROSA</v>
      </c>
      <c r="F188" s="11" t="s">
        <v>17</v>
      </c>
      <c r="G188" s="10" t="s">
        <v>18</v>
      </c>
      <c r="H188" s="11" t="s">
        <v>19</v>
      </c>
      <c r="I188" s="11" t="s">
        <v>20</v>
      </c>
      <c r="J188" s="12" t="str">
        <f ca="1">IFERROR(__xludf.DUMMYFUNCTION("FILTER('CLASFICACIÓN'!$F$3:$F2419,'CLASFICACIÓN'!$G$3:$G2419=M188)"),"SOLO 2024")</f>
        <v>SOLO 2024</v>
      </c>
      <c r="K188" s="12" t="s">
        <v>2012</v>
      </c>
      <c r="L188" s="11" t="s">
        <v>30</v>
      </c>
      <c r="M188" s="12" t="str">
        <f t="shared" ca="1" si="0"/>
        <v>14144 SANTA ROSA2 Secundaria</v>
      </c>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4"/>
    </row>
    <row r="189" spans="1:36" ht="15.75" customHeight="1" x14ac:dyDescent="0.25">
      <c r="A189" s="9">
        <v>21</v>
      </c>
      <c r="B189" s="10" t="s">
        <v>14</v>
      </c>
      <c r="C189" s="10" t="s">
        <v>41</v>
      </c>
      <c r="D189" s="10" t="s">
        <v>42</v>
      </c>
      <c r="E189" s="11" t="str">
        <f ca="1">IFERROR(__xludf.DUMMYFUNCTION("FILTER(Colegios!$B$2:$B2419,Colegios!$A$2:$A2419=L189)"),"14144 SANTA ROSA")</f>
        <v>14144 SANTA ROSA</v>
      </c>
      <c r="F189" s="11" t="s">
        <v>17</v>
      </c>
      <c r="G189" s="10" t="s">
        <v>24</v>
      </c>
      <c r="H189" s="11" t="s">
        <v>19</v>
      </c>
      <c r="I189" s="11" t="s">
        <v>20</v>
      </c>
      <c r="J189" s="12" t="str">
        <f ca="1">IFERROR(__xludf.DUMMYFUNCTION("FILTER('CLASFICACIÓN'!$F$3:$F2419,'CLASFICACIÓN'!$G$3:$G2419=M189)"),"SOLO 2024")</f>
        <v>SOLO 2024</v>
      </c>
      <c r="K189" s="12" t="s">
        <v>2012</v>
      </c>
      <c r="L189" s="11" t="s">
        <v>30</v>
      </c>
      <c r="M189" s="12" t="str">
        <f t="shared" ca="1" si="0"/>
        <v>14144 SANTA ROSA2 Secundaria</v>
      </c>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4"/>
    </row>
    <row r="190" spans="1:36" ht="15.75" customHeight="1" x14ac:dyDescent="0.25">
      <c r="A190" s="9">
        <v>22</v>
      </c>
      <c r="B190" s="10" t="s">
        <v>14</v>
      </c>
      <c r="C190" s="10" t="s">
        <v>41</v>
      </c>
      <c r="D190" s="10" t="s">
        <v>42</v>
      </c>
      <c r="E190" s="11" t="str">
        <f ca="1">IFERROR(__xludf.DUMMYFUNCTION("FILTER(Colegios!$B$2:$B2419,Colegios!$A$2:$A2419=L190)"),"14144 SANTA ROSA")</f>
        <v>14144 SANTA ROSA</v>
      </c>
      <c r="F190" s="11" t="s">
        <v>17</v>
      </c>
      <c r="G190" s="10" t="s">
        <v>24</v>
      </c>
      <c r="H190" s="11" t="s">
        <v>19</v>
      </c>
      <c r="I190" s="11" t="s">
        <v>20</v>
      </c>
      <c r="J190" s="12" t="str">
        <f ca="1">IFERROR(__xludf.DUMMYFUNCTION("FILTER('CLASFICACIÓN'!$F$3:$F2419,'CLASFICACIÓN'!$G$3:$G2419=M190)"),"SOLO 2024")</f>
        <v>SOLO 2024</v>
      </c>
      <c r="K190" s="12" t="s">
        <v>2012</v>
      </c>
      <c r="L190" s="11" t="s">
        <v>30</v>
      </c>
      <c r="M190" s="12" t="str">
        <f t="shared" ca="1" si="0"/>
        <v>14144 SANTA ROSA2 Secundaria</v>
      </c>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4"/>
    </row>
    <row r="191" spans="1:36" ht="15.75" customHeight="1" x14ac:dyDescent="0.25">
      <c r="A191" s="9">
        <v>23</v>
      </c>
      <c r="B191" s="10" t="s">
        <v>14</v>
      </c>
      <c r="C191" s="10" t="s">
        <v>41</v>
      </c>
      <c r="D191" s="10" t="s">
        <v>42</v>
      </c>
      <c r="E191" s="11" t="str">
        <f ca="1">IFERROR(__xludf.DUMMYFUNCTION("FILTER(Colegios!$B$2:$B2419,Colegios!$A$2:$A2419=L191)"),"14144 SANTA ROSA")</f>
        <v>14144 SANTA ROSA</v>
      </c>
      <c r="F191" s="11" t="s">
        <v>17</v>
      </c>
      <c r="G191" s="10" t="s">
        <v>24</v>
      </c>
      <c r="H191" s="11" t="s">
        <v>19</v>
      </c>
      <c r="I191" s="11" t="s">
        <v>20</v>
      </c>
      <c r="J191" s="12" t="str">
        <f ca="1">IFERROR(__xludf.DUMMYFUNCTION("FILTER('CLASFICACIÓN'!$F$3:$F2419,'CLASFICACIÓN'!$G$3:$G2419=M191)"),"SOLO 2024")</f>
        <v>SOLO 2024</v>
      </c>
      <c r="K191" s="12" t="s">
        <v>2012</v>
      </c>
      <c r="L191" s="11" t="s">
        <v>30</v>
      </c>
      <c r="M191" s="12" t="str">
        <f t="shared" ca="1" si="0"/>
        <v>14144 SANTA ROSA2 Secundaria</v>
      </c>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4"/>
    </row>
    <row r="192" spans="1:36" ht="15.75" customHeight="1" x14ac:dyDescent="0.25">
      <c r="A192" s="9">
        <v>24</v>
      </c>
      <c r="B192" s="10" t="s">
        <v>14</v>
      </c>
      <c r="C192" s="10" t="s">
        <v>41</v>
      </c>
      <c r="D192" s="10" t="s">
        <v>42</v>
      </c>
      <c r="E192" s="11" t="str">
        <f ca="1">IFERROR(__xludf.DUMMYFUNCTION("FILTER(Colegios!$B$2:$B2419,Colegios!$A$2:$A2419=L192)"),"14144 SANTA ROSA")</f>
        <v>14144 SANTA ROSA</v>
      </c>
      <c r="F192" s="11" t="s">
        <v>17</v>
      </c>
      <c r="G192" s="10" t="s">
        <v>24</v>
      </c>
      <c r="H192" s="11" t="s">
        <v>23</v>
      </c>
      <c r="I192" s="11" t="s">
        <v>20</v>
      </c>
      <c r="J192" s="12" t="str">
        <f ca="1">IFERROR(__xludf.DUMMYFUNCTION("FILTER('CLASFICACIÓN'!$F$3:$F2419,'CLASFICACIÓN'!$G$3:$G2419=M192)"),"SOLO 2024")</f>
        <v>SOLO 2024</v>
      </c>
      <c r="K192" s="12" t="s">
        <v>2012</v>
      </c>
      <c r="L192" s="11" t="s">
        <v>30</v>
      </c>
      <c r="M192" s="12" t="str">
        <f t="shared" ca="1" si="0"/>
        <v>14144 SANTA ROSA2 Secundaria</v>
      </c>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4"/>
    </row>
    <row r="193" spans="1:36" ht="15.75" customHeight="1" x14ac:dyDescent="0.25">
      <c r="A193" s="9">
        <v>25</v>
      </c>
      <c r="B193" s="10" t="s">
        <v>14</v>
      </c>
      <c r="C193" s="10" t="s">
        <v>41</v>
      </c>
      <c r="D193" s="10" t="s">
        <v>42</v>
      </c>
      <c r="E193" s="11" t="str">
        <f ca="1">IFERROR(__xludf.DUMMYFUNCTION("FILTER(Colegios!$B$2:$B2419,Colegios!$A$2:$A2419=L193)"),"14144 SANTA ROSA")</f>
        <v>14144 SANTA ROSA</v>
      </c>
      <c r="F193" s="11" t="s">
        <v>17</v>
      </c>
      <c r="G193" s="10" t="s">
        <v>24</v>
      </c>
      <c r="H193" s="11" t="s">
        <v>19</v>
      </c>
      <c r="I193" s="11" t="s">
        <v>20</v>
      </c>
      <c r="J193" s="12" t="str">
        <f ca="1">IFERROR(__xludf.DUMMYFUNCTION("FILTER('CLASFICACIÓN'!$F$3:$F2419,'CLASFICACIÓN'!$G$3:$G2419=M193)"),"SOLO 2024")</f>
        <v>SOLO 2024</v>
      </c>
      <c r="K193" s="12" t="s">
        <v>2012</v>
      </c>
      <c r="L193" s="11" t="s">
        <v>30</v>
      </c>
      <c r="M193" s="12" t="str">
        <f t="shared" ca="1" si="0"/>
        <v>14144 SANTA ROSA2 Secundaria</v>
      </c>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4"/>
    </row>
    <row r="194" spans="1:36" ht="15.75" customHeight="1" x14ac:dyDescent="0.25">
      <c r="A194" s="9">
        <v>26</v>
      </c>
      <c r="B194" s="10" t="s">
        <v>14</v>
      </c>
      <c r="C194" s="10" t="s">
        <v>41</v>
      </c>
      <c r="D194" s="10" t="s">
        <v>42</v>
      </c>
      <c r="E194" s="11" t="str">
        <f ca="1">IFERROR(__xludf.DUMMYFUNCTION("FILTER(Colegios!$B$2:$B2419,Colegios!$A$2:$A2419=L194)"),"14144 SANTA ROSA")</f>
        <v>14144 SANTA ROSA</v>
      </c>
      <c r="F194" s="11" t="s">
        <v>17</v>
      </c>
      <c r="G194" s="10" t="s">
        <v>24</v>
      </c>
      <c r="H194" s="11" t="s">
        <v>19</v>
      </c>
      <c r="I194" s="11" t="s">
        <v>20</v>
      </c>
      <c r="J194" s="12" t="str">
        <f ca="1">IFERROR(__xludf.DUMMYFUNCTION("FILTER('CLASFICACIÓN'!$F$3:$F2419,'CLASFICACIÓN'!$G$3:$G2419=M194)"),"SOLO 2024")</f>
        <v>SOLO 2024</v>
      </c>
      <c r="K194" s="12" t="s">
        <v>2012</v>
      </c>
      <c r="L194" s="11" t="s">
        <v>30</v>
      </c>
      <c r="M194" s="12" t="str">
        <f t="shared" ca="1" si="0"/>
        <v>14144 SANTA ROSA2 Secundaria</v>
      </c>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4"/>
    </row>
    <row r="195" spans="1:36" ht="15.75" customHeight="1" x14ac:dyDescent="0.25">
      <c r="A195" s="9">
        <v>27</v>
      </c>
      <c r="B195" s="10" t="s">
        <v>14</v>
      </c>
      <c r="C195" s="10" t="s">
        <v>41</v>
      </c>
      <c r="D195" s="10" t="s">
        <v>42</v>
      </c>
      <c r="E195" s="11" t="str">
        <f ca="1">IFERROR(__xludf.DUMMYFUNCTION("FILTER(Colegios!$B$2:$B2419,Colegios!$A$2:$A2419=L195)"),"14144 SANTA ROSA")</f>
        <v>14144 SANTA ROSA</v>
      </c>
      <c r="F195" s="11" t="s">
        <v>17</v>
      </c>
      <c r="G195" s="10" t="s">
        <v>24</v>
      </c>
      <c r="H195" s="11" t="s">
        <v>23</v>
      </c>
      <c r="I195" s="11" t="s">
        <v>20</v>
      </c>
      <c r="J195" s="12" t="str">
        <f ca="1">IFERROR(__xludf.DUMMYFUNCTION("FILTER('CLASFICACIÓN'!$F$3:$F2419,'CLASFICACIÓN'!$G$3:$G2419=M195)"),"SOLO 2024")</f>
        <v>SOLO 2024</v>
      </c>
      <c r="K195" s="12" t="s">
        <v>2012</v>
      </c>
      <c r="L195" s="11" t="s">
        <v>30</v>
      </c>
      <c r="M195" s="12" t="str">
        <f t="shared" ca="1" si="0"/>
        <v>14144 SANTA ROSA2 Secundaria</v>
      </c>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4"/>
    </row>
    <row r="196" spans="1:36" ht="15.75" customHeight="1" x14ac:dyDescent="0.25">
      <c r="A196" s="9">
        <v>28</v>
      </c>
      <c r="B196" s="10" t="s">
        <v>14</v>
      </c>
      <c r="C196" s="10" t="s">
        <v>41</v>
      </c>
      <c r="D196" s="10" t="s">
        <v>42</v>
      </c>
      <c r="E196" s="11" t="str">
        <f ca="1">IFERROR(__xludf.DUMMYFUNCTION("FILTER(Colegios!$B$2:$B2419,Colegios!$A$2:$A2419=L196)"),"14144 SANTA ROSA")</f>
        <v>14144 SANTA ROSA</v>
      </c>
      <c r="F196" s="11" t="s">
        <v>17</v>
      </c>
      <c r="G196" s="10" t="s">
        <v>24</v>
      </c>
      <c r="H196" s="11" t="s">
        <v>23</v>
      </c>
      <c r="I196" s="11" t="s">
        <v>20</v>
      </c>
      <c r="J196" s="12" t="str">
        <f ca="1">IFERROR(__xludf.DUMMYFUNCTION("FILTER('CLASFICACIÓN'!$F$3:$F2419,'CLASFICACIÓN'!$G$3:$G2419=M196)"),"SOLO 2024")</f>
        <v>SOLO 2024</v>
      </c>
      <c r="K196" s="12" t="s">
        <v>2012</v>
      </c>
      <c r="L196" s="11" t="s">
        <v>30</v>
      </c>
      <c r="M196" s="12" t="str">
        <f t="shared" ca="1" si="0"/>
        <v>14144 SANTA ROSA2 Secundaria</v>
      </c>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4"/>
    </row>
    <row r="197" spans="1:36" ht="15.75" customHeight="1" x14ac:dyDescent="0.25">
      <c r="A197" s="9">
        <v>29</v>
      </c>
      <c r="B197" s="10" t="s">
        <v>14</v>
      </c>
      <c r="C197" s="10" t="s">
        <v>41</v>
      </c>
      <c r="D197" s="10" t="s">
        <v>42</v>
      </c>
      <c r="E197" s="11" t="str">
        <f ca="1">IFERROR(__xludf.DUMMYFUNCTION("FILTER(Colegios!$B$2:$B2419,Colegios!$A$2:$A2419=L197)"),"14144 SANTA ROSA")</f>
        <v>14144 SANTA ROSA</v>
      </c>
      <c r="F197" s="11" t="s">
        <v>17</v>
      </c>
      <c r="G197" s="10" t="s">
        <v>24</v>
      </c>
      <c r="H197" s="11" t="s">
        <v>19</v>
      </c>
      <c r="I197" s="11" t="s">
        <v>20</v>
      </c>
      <c r="J197" s="12" t="str">
        <f ca="1">IFERROR(__xludf.DUMMYFUNCTION("FILTER('CLASFICACIÓN'!$F$3:$F2419,'CLASFICACIÓN'!$G$3:$G2419=M197)"),"SOLO 2024")</f>
        <v>SOLO 2024</v>
      </c>
      <c r="K197" s="12" t="s">
        <v>2012</v>
      </c>
      <c r="L197" s="11" t="s">
        <v>30</v>
      </c>
      <c r="M197" s="12" t="str">
        <f t="shared" ca="1" si="0"/>
        <v>14144 SANTA ROSA2 Secundaria</v>
      </c>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4"/>
    </row>
    <row r="198" spans="1:36" ht="15.75" customHeight="1" x14ac:dyDescent="0.25">
      <c r="A198" s="9">
        <v>30</v>
      </c>
      <c r="B198" s="10" t="s">
        <v>14</v>
      </c>
      <c r="C198" s="10" t="s">
        <v>41</v>
      </c>
      <c r="D198" s="10" t="s">
        <v>42</v>
      </c>
      <c r="E198" s="11" t="str">
        <f ca="1">IFERROR(__xludf.DUMMYFUNCTION("FILTER(Colegios!$B$2:$B2419,Colegios!$A$2:$A2419=L198)"),"14144 SANTA ROSA")</f>
        <v>14144 SANTA ROSA</v>
      </c>
      <c r="F198" s="11" t="s">
        <v>17</v>
      </c>
      <c r="G198" s="10" t="s">
        <v>24</v>
      </c>
      <c r="H198" s="11" t="s">
        <v>23</v>
      </c>
      <c r="I198" s="11" t="s">
        <v>20</v>
      </c>
      <c r="J198" s="12" t="str">
        <f ca="1">IFERROR(__xludf.DUMMYFUNCTION("FILTER('CLASFICACIÓN'!$F$3:$F2419,'CLASFICACIÓN'!$G$3:$G2419=M198)"),"SOLO 2024")</f>
        <v>SOLO 2024</v>
      </c>
      <c r="K198" s="12" t="s">
        <v>2012</v>
      </c>
      <c r="L198" s="11" t="s">
        <v>30</v>
      </c>
      <c r="M198" s="12" t="str">
        <f t="shared" ca="1" si="0"/>
        <v>14144 SANTA ROSA2 Secundaria</v>
      </c>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4"/>
    </row>
    <row r="199" spans="1:36" ht="15.75" customHeight="1" x14ac:dyDescent="0.25">
      <c r="A199" s="9">
        <v>31</v>
      </c>
      <c r="B199" s="10" t="s">
        <v>14</v>
      </c>
      <c r="C199" s="10" t="s">
        <v>41</v>
      </c>
      <c r="D199" s="10" t="s">
        <v>42</v>
      </c>
      <c r="E199" s="11" t="str">
        <f ca="1">IFERROR(__xludf.DUMMYFUNCTION("FILTER(Colegios!$B$2:$B2419,Colegios!$A$2:$A2419=L199)"),"14144 SANTA ROSA")</f>
        <v>14144 SANTA ROSA</v>
      </c>
      <c r="F199" s="11" t="s">
        <v>17</v>
      </c>
      <c r="G199" s="10" t="s">
        <v>24</v>
      </c>
      <c r="H199" s="11" t="s">
        <v>23</v>
      </c>
      <c r="I199" s="11" t="s">
        <v>20</v>
      </c>
      <c r="J199" s="12" t="str">
        <f ca="1">IFERROR(__xludf.DUMMYFUNCTION("FILTER('CLASFICACIÓN'!$F$3:$F2419,'CLASFICACIÓN'!$G$3:$G2419=M199)"),"SOLO 2024")</f>
        <v>SOLO 2024</v>
      </c>
      <c r="K199" s="12" t="s">
        <v>2012</v>
      </c>
      <c r="L199" s="11" t="s">
        <v>30</v>
      </c>
      <c r="M199" s="12" t="str">
        <f t="shared" ca="1" si="0"/>
        <v>14144 SANTA ROSA2 Secundaria</v>
      </c>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4"/>
    </row>
    <row r="200" spans="1:36" ht="15.75" customHeight="1" x14ac:dyDescent="0.25">
      <c r="A200" s="9">
        <v>32</v>
      </c>
      <c r="B200" s="10" t="s">
        <v>14</v>
      </c>
      <c r="C200" s="10" t="s">
        <v>41</v>
      </c>
      <c r="D200" s="10" t="s">
        <v>42</v>
      </c>
      <c r="E200" s="11" t="str">
        <f ca="1">IFERROR(__xludf.DUMMYFUNCTION("FILTER(Colegios!$B$2:$B2419,Colegios!$A$2:$A2419=L200)"),"14144 SANTA ROSA")</f>
        <v>14144 SANTA ROSA</v>
      </c>
      <c r="F200" s="11" t="s">
        <v>17</v>
      </c>
      <c r="G200" s="10" t="s">
        <v>24</v>
      </c>
      <c r="H200" s="11" t="s">
        <v>19</v>
      </c>
      <c r="I200" s="11" t="s">
        <v>20</v>
      </c>
      <c r="J200" s="12" t="str">
        <f ca="1">IFERROR(__xludf.DUMMYFUNCTION("FILTER('CLASFICACIÓN'!$F$3:$F2419,'CLASFICACIÓN'!$G$3:$G2419=M200)"),"SOLO 2024")</f>
        <v>SOLO 2024</v>
      </c>
      <c r="K200" s="12" t="s">
        <v>2012</v>
      </c>
      <c r="L200" s="11" t="s">
        <v>30</v>
      </c>
      <c r="M200" s="12" t="str">
        <f t="shared" ca="1" si="0"/>
        <v>14144 SANTA ROSA2 Secundaria</v>
      </c>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4"/>
    </row>
    <row r="201" spans="1:36" ht="15.75" customHeight="1" x14ac:dyDescent="0.25">
      <c r="A201" s="9">
        <v>33</v>
      </c>
      <c r="B201" s="10" t="s">
        <v>14</v>
      </c>
      <c r="C201" s="10" t="s">
        <v>41</v>
      </c>
      <c r="D201" s="10" t="s">
        <v>42</v>
      </c>
      <c r="E201" s="11" t="str">
        <f ca="1">IFERROR(__xludf.DUMMYFUNCTION("FILTER(Colegios!$B$2:$B2419,Colegios!$A$2:$A2419=L201)"),"14144 SANTA ROSA")</f>
        <v>14144 SANTA ROSA</v>
      </c>
      <c r="F201" s="11" t="s">
        <v>17</v>
      </c>
      <c r="G201" s="10" t="s">
        <v>24</v>
      </c>
      <c r="H201" s="11" t="s">
        <v>19</v>
      </c>
      <c r="I201" s="11" t="s">
        <v>20</v>
      </c>
      <c r="J201" s="12" t="str">
        <f ca="1">IFERROR(__xludf.DUMMYFUNCTION("FILTER('CLASFICACIÓN'!$F$3:$F2419,'CLASFICACIÓN'!$G$3:$G2419=M201)"),"SOLO 2024")</f>
        <v>SOLO 2024</v>
      </c>
      <c r="K201" s="12" t="s">
        <v>2012</v>
      </c>
      <c r="L201" s="11" t="s">
        <v>30</v>
      </c>
      <c r="M201" s="12" t="str">
        <f t="shared" ca="1" si="0"/>
        <v>14144 SANTA ROSA2 Secundaria</v>
      </c>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4"/>
    </row>
    <row r="202" spans="1:36" ht="15.75" customHeight="1" x14ac:dyDescent="0.25">
      <c r="A202" s="9">
        <v>34</v>
      </c>
      <c r="B202" s="10" t="s">
        <v>14</v>
      </c>
      <c r="C202" s="10" t="s">
        <v>41</v>
      </c>
      <c r="D202" s="10" t="s">
        <v>42</v>
      </c>
      <c r="E202" s="11" t="str">
        <f ca="1">IFERROR(__xludf.DUMMYFUNCTION("FILTER(Colegios!$B$2:$B2419,Colegios!$A$2:$A2419=L202)"),"14144 SANTA ROSA")</f>
        <v>14144 SANTA ROSA</v>
      </c>
      <c r="F202" s="11" t="s">
        <v>17</v>
      </c>
      <c r="G202" s="10" t="s">
        <v>24</v>
      </c>
      <c r="H202" s="11" t="s">
        <v>19</v>
      </c>
      <c r="I202" s="11" t="s">
        <v>20</v>
      </c>
      <c r="J202" s="12" t="str">
        <f ca="1">IFERROR(__xludf.DUMMYFUNCTION("FILTER('CLASFICACIÓN'!$F$3:$F2419,'CLASFICACIÓN'!$G$3:$G2419=M202)"),"SOLO 2024")</f>
        <v>SOLO 2024</v>
      </c>
      <c r="K202" s="12" t="s">
        <v>2012</v>
      </c>
      <c r="L202" s="11" t="s">
        <v>30</v>
      </c>
      <c r="M202" s="12" t="str">
        <f t="shared" ca="1" si="0"/>
        <v>14144 SANTA ROSA2 Secundaria</v>
      </c>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4"/>
    </row>
    <row r="203" spans="1:36" ht="15.75" customHeight="1" x14ac:dyDescent="0.25">
      <c r="A203" s="9">
        <v>35</v>
      </c>
      <c r="B203" s="10" t="s">
        <v>14</v>
      </c>
      <c r="C203" s="10" t="s">
        <v>41</v>
      </c>
      <c r="D203" s="10" t="s">
        <v>42</v>
      </c>
      <c r="E203" s="11" t="str">
        <f ca="1">IFERROR(__xludf.DUMMYFUNCTION("FILTER(Colegios!$B$2:$B2419,Colegios!$A$2:$A2419=L203)"),"14144 SANTA ROSA")</f>
        <v>14144 SANTA ROSA</v>
      </c>
      <c r="F203" s="11" t="s">
        <v>17</v>
      </c>
      <c r="G203" s="10" t="s">
        <v>24</v>
      </c>
      <c r="H203" s="11" t="s">
        <v>19</v>
      </c>
      <c r="I203" s="11" t="s">
        <v>20</v>
      </c>
      <c r="J203" s="12" t="str">
        <f ca="1">IFERROR(__xludf.DUMMYFUNCTION("FILTER('CLASFICACIÓN'!$F$3:$F2419,'CLASFICACIÓN'!$G$3:$G2419=M203)"),"SOLO 2024")</f>
        <v>SOLO 2024</v>
      </c>
      <c r="K203" s="12" t="s">
        <v>2012</v>
      </c>
      <c r="L203" s="11" t="s">
        <v>30</v>
      </c>
      <c r="M203" s="12" t="str">
        <f t="shared" ca="1" si="0"/>
        <v>14144 SANTA ROSA2 Secundaria</v>
      </c>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4"/>
    </row>
    <row r="204" spans="1:36" ht="15.75" customHeight="1" x14ac:dyDescent="0.25">
      <c r="A204" s="9">
        <v>36</v>
      </c>
      <c r="B204" s="10" t="s">
        <v>14</v>
      </c>
      <c r="C204" s="10" t="s">
        <v>41</v>
      </c>
      <c r="D204" s="10" t="s">
        <v>42</v>
      </c>
      <c r="E204" s="11" t="str">
        <f ca="1">IFERROR(__xludf.DUMMYFUNCTION("FILTER(Colegios!$B$2:$B2419,Colegios!$A$2:$A2419=L204)"),"14144 SANTA ROSA")</f>
        <v>14144 SANTA ROSA</v>
      </c>
      <c r="F204" s="11" t="s">
        <v>17</v>
      </c>
      <c r="G204" s="10" t="s">
        <v>24</v>
      </c>
      <c r="H204" s="11" t="s">
        <v>19</v>
      </c>
      <c r="I204" s="11" t="s">
        <v>20</v>
      </c>
      <c r="J204" s="12" t="str">
        <f ca="1">IFERROR(__xludf.DUMMYFUNCTION("FILTER('CLASFICACIÓN'!$F$3:$F2419,'CLASFICACIÓN'!$G$3:$G2419=M204)"),"SOLO 2024")</f>
        <v>SOLO 2024</v>
      </c>
      <c r="K204" s="12" t="s">
        <v>2012</v>
      </c>
      <c r="L204" s="11" t="s">
        <v>30</v>
      </c>
      <c r="M204" s="12" t="str">
        <f t="shared" ca="1" si="0"/>
        <v>14144 SANTA ROSA2 Secundaria</v>
      </c>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4"/>
    </row>
    <row r="205" spans="1:36" ht="15.75" customHeight="1" x14ac:dyDescent="0.25">
      <c r="A205" s="9">
        <v>37</v>
      </c>
      <c r="B205" s="10" t="s">
        <v>14</v>
      </c>
      <c r="C205" s="10" t="s">
        <v>41</v>
      </c>
      <c r="D205" s="10" t="s">
        <v>42</v>
      </c>
      <c r="E205" s="11" t="str">
        <f ca="1">IFERROR(__xludf.DUMMYFUNCTION("FILTER(Colegios!$B$2:$B2419,Colegios!$A$2:$A2419=L205)"),"14144 SANTA ROSA")</f>
        <v>14144 SANTA ROSA</v>
      </c>
      <c r="F205" s="11" t="s">
        <v>17</v>
      </c>
      <c r="G205" s="10" t="s">
        <v>24</v>
      </c>
      <c r="H205" s="11" t="s">
        <v>19</v>
      </c>
      <c r="I205" s="11" t="s">
        <v>20</v>
      </c>
      <c r="J205" s="12" t="str">
        <f ca="1">IFERROR(__xludf.DUMMYFUNCTION("FILTER('CLASFICACIÓN'!$F$3:$F2419,'CLASFICACIÓN'!$G$3:$G2419=M205)"),"SOLO 2024")</f>
        <v>SOLO 2024</v>
      </c>
      <c r="K205" s="12" t="s">
        <v>2012</v>
      </c>
      <c r="L205" s="11" t="s">
        <v>30</v>
      </c>
      <c r="M205" s="12" t="str">
        <f t="shared" ca="1" si="0"/>
        <v>14144 SANTA ROSA2 Secundaria</v>
      </c>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4"/>
    </row>
    <row r="206" spans="1:36" ht="15.75" customHeight="1" x14ac:dyDescent="0.25">
      <c r="A206" s="9">
        <v>1</v>
      </c>
      <c r="B206" s="10" t="s">
        <v>14</v>
      </c>
      <c r="C206" s="10" t="s">
        <v>41</v>
      </c>
      <c r="D206" s="10" t="s">
        <v>43</v>
      </c>
      <c r="E206" s="11" t="str">
        <f ca="1">IFERROR(__xludf.DUMMYFUNCTION("FILTER(Colegios!$B$2:$B2419,Colegios!$A$2:$A2419=L206)"),"14144 SANTA ROSA")</f>
        <v>14144 SANTA ROSA</v>
      </c>
      <c r="F206" s="11" t="s">
        <v>17</v>
      </c>
      <c r="G206" s="10" t="s">
        <v>18</v>
      </c>
      <c r="H206" s="11" t="s">
        <v>19</v>
      </c>
      <c r="I206" s="11" t="s">
        <v>20</v>
      </c>
      <c r="J206" s="12" t="str">
        <f ca="1">IFERROR(__xludf.DUMMYFUNCTION("FILTER('CLASFICACIÓN'!$F$3:$F2419,'CLASFICACIÓN'!$G$3:$G2419=M206)"),"SOLO 2024")</f>
        <v>SOLO 2024</v>
      </c>
      <c r="K206" s="12" t="s">
        <v>2012</v>
      </c>
      <c r="L206" s="11" t="s">
        <v>30</v>
      </c>
      <c r="M206" s="12" t="str">
        <f t="shared" ca="1" si="0"/>
        <v>14144 SANTA ROSA4 Secundaria</v>
      </c>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4"/>
    </row>
    <row r="207" spans="1:36" ht="15.75" customHeight="1" x14ac:dyDescent="0.25">
      <c r="A207" s="9">
        <v>2</v>
      </c>
      <c r="B207" s="10" t="s">
        <v>14</v>
      </c>
      <c r="C207" s="10" t="s">
        <v>41</v>
      </c>
      <c r="D207" s="10" t="s">
        <v>43</v>
      </c>
      <c r="E207" s="11" t="str">
        <f ca="1">IFERROR(__xludf.DUMMYFUNCTION("FILTER(Colegios!$B$2:$B2419,Colegios!$A$2:$A2419=L207)"),"14144 SANTA ROSA")</f>
        <v>14144 SANTA ROSA</v>
      </c>
      <c r="F207" s="11" t="s">
        <v>17</v>
      </c>
      <c r="G207" s="10" t="s">
        <v>18</v>
      </c>
      <c r="H207" s="11" t="s">
        <v>19</v>
      </c>
      <c r="I207" s="11" t="s">
        <v>20</v>
      </c>
      <c r="J207" s="12" t="str">
        <f ca="1">IFERROR(__xludf.DUMMYFUNCTION("FILTER('CLASFICACIÓN'!$F$3:$F2419,'CLASFICACIÓN'!$G$3:$G2419=M207)"),"SOLO 2024")</f>
        <v>SOLO 2024</v>
      </c>
      <c r="K207" s="12" t="s">
        <v>2012</v>
      </c>
      <c r="L207" s="11" t="s">
        <v>30</v>
      </c>
      <c r="M207" s="12" t="str">
        <f t="shared" ca="1" si="0"/>
        <v>14144 SANTA ROSA4 Secundaria</v>
      </c>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4"/>
    </row>
    <row r="208" spans="1:36" ht="15.75" customHeight="1" x14ac:dyDescent="0.25">
      <c r="A208" s="9">
        <v>3</v>
      </c>
      <c r="B208" s="10" t="s">
        <v>14</v>
      </c>
      <c r="C208" s="10" t="s">
        <v>41</v>
      </c>
      <c r="D208" s="10" t="s">
        <v>43</v>
      </c>
      <c r="E208" s="11" t="str">
        <f ca="1">IFERROR(__xludf.DUMMYFUNCTION("FILTER(Colegios!$B$2:$B2419,Colegios!$A$2:$A2419=L208)"),"14144 SANTA ROSA")</f>
        <v>14144 SANTA ROSA</v>
      </c>
      <c r="F208" s="11" t="s">
        <v>17</v>
      </c>
      <c r="G208" s="10" t="s">
        <v>18</v>
      </c>
      <c r="H208" s="11" t="s">
        <v>19</v>
      </c>
      <c r="I208" s="11" t="s">
        <v>20</v>
      </c>
      <c r="J208" s="12" t="str">
        <f ca="1">IFERROR(__xludf.DUMMYFUNCTION("FILTER('CLASFICACIÓN'!$F$3:$F2419,'CLASFICACIÓN'!$G$3:$G2419=M208)"),"SOLO 2024")</f>
        <v>SOLO 2024</v>
      </c>
      <c r="K208" s="12" t="s">
        <v>2012</v>
      </c>
      <c r="L208" s="11" t="s">
        <v>30</v>
      </c>
      <c r="M208" s="12" t="str">
        <f t="shared" ca="1" si="0"/>
        <v>14144 SANTA ROSA4 Secundaria</v>
      </c>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4"/>
    </row>
    <row r="209" spans="1:36" ht="15.75" customHeight="1" x14ac:dyDescent="0.25">
      <c r="A209" s="9">
        <v>4</v>
      </c>
      <c r="B209" s="10" t="s">
        <v>14</v>
      </c>
      <c r="C209" s="10" t="s">
        <v>41</v>
      </c>
      <c r="D209" s="10" t="s">
        <v>43</v>
      </c>
      <c r="E209" s="11" t="str">
        <f ca="1">IFERROR(__xludf.DUMMYFUNCTION("FILTER(Colegios!$B$2:$B2419,Colegios!$A$2:$A2419=L209)"),"14144 SANTA ROSA")</f>
        <v>14144 SANTA ROSA</v>
      </c>
      <c r="F209" s="11" t="s">
        <v>17</v>
      </c>
      <c r="G209" s="10" t="s">
        <v>18</v>
      </c>
      <c r="H209" s="11" t="s">
        <v>19</v>
      </c>
      <c r="I209" s="11" t="s">
        <v>20</v>
      </c>
      <c r="J209" s="12" t="str">
        <f ca="1">IFERROR(__xludf.DUMMYFUNCTION("FILTER('CLASFICACIÓN'!$F$3:$F2419,'CLASFICACIÓN'!$G$3:$G2419=M209)"),"SOLO 2024")</f>
        <v>SOLO 2024</v>
      </c>
      <c r="K209" s="12" t="s">
        <v>2012</v>
      </c>
      <c r="L209" s="11" t="s">
        <v>30</v>
      </c>
      <c r="M209" s="12" t="str">
        <f t="shared" ca="1" si="0"/>
        <v>14144 SANTA ROSA4 Secundaria</v>
      </c>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4"/>
    </row>
    <row r="210" spans="1:36" ht="15.75" customHeight="1" x14ac:dyDescent="0.25">
      <c r="A210" s="9">
        <v>5</v>
      </c>
      <c r="B210" s="10" t="s">
        <v>14</v>
      </c>
      <c r="C210" s="10" t="s">
        <v>41</v>
      </c>
      <c r="D210" s="10" t="s">
        <v>43</v>
      </c>
      <c r="E210" s="11" t="str">
        <f ca="1">IFERROR(__xludf.DUMMYFUNCTION("FILTER(Colegios!$B$2:$B2419,Colegios!$A$2:$A2419=L210)"),"14144 SANTA ROSA")</f>
        <v>14144 SANTA ROSA</v>
      </c>
      <c r="F210" s="11" t="s">
        <v>17</v>
      </c>
      <c r="G210" s="10" t="s">
        <v>18</v>
      </c>
      <c r="H210" s="11" t="s">
        <v>19</v>
      </c>
      <c r="I210" s="11" t="s">
        <v>20</v>
      </c>
      <c r="J210" s="12" t="str">
        <f ca="1">IFERROR(__xludf.DUMMYFUNCTION("FILTER('CLASFICACIÓN'!$F$3:$F2419,'CLASFICACIÓN'!$G$3:$G2419=M210)"),"SOLO 2024")</f>
        <v>SOLO 2024</v>
      </c>
      <c r="K210" s="12" t="s">
        <v>2012</v>
      </c>
      <c r="L210" s="11" t="s">
        <v>30</v>
      </c>
      <c r="M210" s="12" t="str">
        <f t="shared" ca="1" si="0"/>
        <v>14144 SANTA ROSA4 Secundaria</v>
      </c>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4"/>
    </row>
    <row r="211" spans="1:36" ht="15.75" customHeight="1" x14ac:dyDescent="0.25">
      <c r="A211" s="9">
        <v>6</v>
      </c>
      <c r="B211" s="10" t="s">
        <v>14</v>
      </c>
      <c r="C211" s="10" t="s">
        <v>41</v>
      </c>
      <c r="D211" s="10" t="s">
        <v>43</v>
      </c>
      <c r="E211" s="11" t="str">
        <f ca="1">IFERROR(__xludf.DUMMYFUNCTION("FILTER(Colegios!$B$2:$B2419,Colegios!$A$2:$A2419=L211)"),"14144 SANTA ROSA")</f>
        <v>14144 SANTA ROSA</v>
      </c>
      <c r="F211" s="11" t="s">
        <v>17</v>
      </c>
      <c r="G211" s="10" t="s">
        <v>18</v>
      </c>
      <c r="H211" s="11" t="s">
        <v>19</v>
      </c>
      <c r="I211" s="11" t="s">
        <v>20</v>
      </c>
      <c r="J211" s="12" t="str">
        <f ca="1">IFERROR(__xludf.DUMMYFUNCTION("FILTER('CLASFICACIÓN'!$F$3:$F2419,'CLASFICACIÓN'!$G$3:$G2419=M211)"),"SOLO 2024")</f>
        <v>SOLO 2024</v>
      </c>
      <c r="K211" s="12" t="s">
        <v>2012</v>
      </c>
      <c r="L211" s="11" t="s">
        <v>30</v>
      </c>
      <c r="M211" s="12" t="str">
        <f t="shared" ca="1" si="0"/>
        <v>14144 SANTA ROSA4 Secundaria</v>
      </c>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4"/>
    </row>
    <row r="212" spans="1:36" ht="15.75" customHeight="1" x14ac:dyDescent="0.25">
      <c r="A212" s="9">
        <v>7</v>
      </c>
      <c r="B212" s="10" t="s">
        <v>14</v>
      </c>
      <c r="C212" s="10" t="s">
        <v>41</v>
      </c>
      <c r="D212" s="10" t="s">
        <v>43</v>
      </c>
      <c r="E212" s="11" t="str">
        <f ca="1">IFERROR(__xludf.DUMMYFUNCTION("FILTER(Colegios!$B$2:$B2419,Colegios!$A$2:$A2419=L212)"),"14144 SANTA ROSA")</f>
        <v>14144 SANTA ROSA</v>
      </c>
      <c r="F212" s="11" t="s">
        <v>17</v>
      </c>
      <c r="G212" s="10" t="s">
        <v>18</v>
      </c>
      <c r="H212" s="11" t="s">
        <v>19</v>
      </c>
      <c r="I212" s="11" t="s">
        <v>20</v>
      </c>
      <c r="J212" s="12" t="str">
        <f ca="1">IFERROR(__xludf.DUMMYFUNCTION("FILTER('CLASFICACIÓN'!$F$3:$F2419,'CLASFICACIÓN'!$G$3:$G2419=M212)"),"SOLO 2024")</f>
        <v>SOLO 2024</v>
      </c>
      <c r="K212" s="12" t="s">
        <v>2012</v>
      </c>
      <c r="L212" s="11" t="s">
        <v>30</v>
      </c>
      <c r="M212" s="12" t="str">
        <f t="shared" ca="1" si="0"/>
        <v>14144 SANTA ROSA4 Secundaria</v>
      </c>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4"/>
    </row>
    <row r="213" spans="1:36" ht="15.75" customHeight="1" x14ac:dyDescent="0.25">
      <c r="A213" s="9">
        <v>8</v>
      </c>
      <c r="B213" s="10" t="s">
        <v>14</v>
      </c>
      <c r="C213" s="10" t="s">
        <v>41</v>
      </c>
      <c r="D213" s="10" t="s">
        <v>43</v>
      </c>
      <c r="E213" s="11" t="str">
        <f ca="1">IFERROR(__xludf.DUMMYFUNCTION("FILTER(Colegios!$B$2:$B2419,Colegios!$A$2:$A2419=L213)"),"14144 SANTA ROSA")</f>
        <v>14144 SANTA ROSA</v>
      </c>
      <c r="F213" s="11" t="s">
        <v>17</v>
      </c>
      <c r="G213" s="10" t="s">
        <v>18</v>
      </c>
      <c r="H213" s="11" t="s">
        <v>19</v>
      </c>
      <c r="I213" s="11" t="s">
        <v>20</v>
      </c>
      <c r="J213" s="12" t="str">
        <f ca="1">IFERROR(__xludf.DUMMYFUNCTION("FILTER('CLASFICACIÓN'!$F$3:$F2419,'CLASFICACIÓN'!$G$3:$G2419=M213)"),"SOLO 2024")</f>
        <v>SOLO 2024</v>
      </c>
      <c r="K213" s="12" t="s">
        <v>2012</v>
      </c>
      <c r="L213" s="11" t="s">
        <v>30</v>
      </c>
      <c r="M213" s="12" t="str">
        <f t="shared" ca="1" si="0"/>
        <v>14144 SANTA ROSA4 Secundaria</v>
      </c>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4"/>
    </row>
    <row r="214" spans="1:36" ht="15.75" customHeight="1" x14ac:dyDescent="0.25">
      <c r="A214" s="9">
        <v>9</v>
      </c>
      <c r="B214" s="10" t="s">
        <v>14</v>
      </c>
      <c r="C214" s="10" t="s">
        <v>41</v>
      </c>
      <c r="D214" s="10" t="s">
        <v>43</v>
      </c>
      <c r="E214" s="11" t="str">
        <f ca="1">IFERROR(__xludf.DUMMYFUNCTION("FILTER(Colegios!$B$2:$B2419,Colegios!$A$2:$A2419=L214)"),"14144 SANTA ROSA")</f>
        <v>14144 SANTA ROSA</v>
      </c>
      <c r="F214" s="11" t="s">
        <v>17</v>
      </c>
      <c r="G214" s="10" t="s">
        <v>18</v>
      </c>
      <c r="H214" s="11" t="s">
        <v>23</v>
      </c>
      <c r="I214" s="11" t="s">
        <v>20</v>
      </c>
      <c r="J214" s="12" t="str">
        <f ca="1">IFERROR(__xludf.DUMMYFUNCTION("FILTER('CLASFICACIÓN'!$F$3:$F2419,'CLASFICACIÓN'!$G$3:$G2419=M214)"),"SOLO 2024")</f>
        <v>SOLO 2024</v>
      </c>
      <c r="K214" s="12" t="s">
        <v>2012</v>
      </c>
      <c r="L214" s="11" t="s">
        <v>30</v>
      </c>
      <c r="M214" s="12" t="str">
        <f t="shared" ca="1" si="0"/>
        <v>14144 SANTA ROSA4 Secundaria</v>
      </c>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4"/>
    </row>
    <row r="215" spans="1:36" ht="15.75" customHeight="1" x14ac:dyDescent="0.25">
      <c r="A215" s="9">
        <v>10</v>
      </c>
      <c r="B215" s="10" t="s">
        <v>14</v>
      </c>
      <c r="C215" s="10" t="s">
        <v>41</v>
      </c>
      <c r="D215" s="10" t="s">
        <v>43</v>
      </c>
      <c r="E215" s="11" t="str">
        <f ca="1">IFERROR(__xludf.DUMMYFUNCTION("FILTER(Colegios!$B$2:$B2419,Colegios!$A$2:$A2419=L215)"),"14144 SANTA ROSA")</f>
        <v>14144 SANTA ROSA</v>
      </c>
      <c r="F215" s="11" t="s">
        <v>17</v>
      </c>
      <c r="G215" s="10" t="s">
        <v>18</v>
      </c>
      <c r="H215" s="11" t="s">
        <v>23</v>
      </c>
      <c r="I215" s="11" t="s">
        <v>20</v>
      </c>
      <c r="J215" s="12" t="str">
        <f ca="1">IFERROR(__xludf.DUMMYFUNCTION("FILTER('CLASFICACIÓN'!$F$3:$F2419,'CLASFICACIÓN'!$G$3:$G2419=M215)"),"SOLO 2024")</f>
        <v>SOLO 2024</v>
      </c>
      <c r="K215" s="12" t="s">
        <v>2012</v>
      </c>
      <c r="L215" s="11" t="s">
        <v>30</v>
      </c>
      <c r="M215" s="12" t="str">
        <f t="shared" ca="1" si="0"/>
        <v>14144 SANTA ROSA4 Secundaria</v>
      </c>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4"/>
    </row>
    <row r="216" spans="1:36" ht="15.75" customHeight="1" x14ac:dyDescent="0.25">
      <c r="A216" s="9">
        <v>11</v>
      </c>
      <c r="B216" s="10" t="s">
        <v>14</v>
      </c>
      <c r="C216" s="10" t="s">
        <v>41</v>
      </c>
      <c r="D216" s="10" t="s">
        <v>43</v>
      </c>
      <c r="E216" s="11" t="str">
        <f ca="1">IFERROR(__xludf.DUMMYFUNCTION("FILTER(Colegios!$B$2:$B2419,Colegios!$A$2:$A2419=L216)"),"14144 SANTA ROSA")</f>
        <v>14144 SANTA ROSA</v>
      </c>
      <c r="F216" s="11" t="s">
        <v>17</v>
      </c>
      <c r="G216" s="10" t="s">
        <v>18</v>
      </c>
      <c r="H216" s="11" t="s">
        <v>23</v>
      </c>
      <c r="I216" s="11" t="s">
        <v>20</v>
      </c>
      <c r="J216" s="12" t="str">
        <f ca="1">IFERROR(__xludf.DUMMYFUNCTION("FILTER('CLASFICACIÓN'!$F$3:$F2419,'CLASFICACIÓN'!$G$3:$G2419=M216)"),"SOLO 2024")</f>
        <v>SOLO 2024</v>
      </c>
      <c r="K216" s="12" t="s">
        <v>2012</v>
      </c>
      <c r="L216" s="11" t="s">
        <v>30</v>
      </c>
      <c r="M216" s="12" t="str">
        <f t="shared" ca="1" si="0"/>
        <v>14144 SANTA ROSA4 Secundaria</v>
      </c>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4"/>
    </row>
    <row r="217" spans="1:36" ht="15.75" customHeight="1" x14ac:dyDescent="0.25">
      <c r="A217" s="9">
        <v>12</v>
      </c>
      <c r="B217" s="10" t="s">
        <v>14</v>
      </c>
      <c r="C217" s="10" t="s">
        <v>41</v>
      </c>
      <c r="D217" s="10" t="s">
        <v>43</v>
      </c>
      <c r="E217" s="11" t="str">
        <f ca="1">IFERROR(__xludf.DUMMYFUNCTION("FILTER(Colegios!$B$2:$B2419,Colegios!$A$2:$A2419=L217)"),"14144 SANTA ROSA")</f>
        <v>14144 SANTA ROSA</v>
      </c>
      <c r="F217" s="11" t="s">
        <v>17</v>
      </c>
      <c r="G217" s="10" t="s">
        <v>18</v>
      </c>
      <c r="H217" s="11" t="s">
        <v>19</v>
      </c>
      <c r="I217" s="11" t="s">
        <v>20</v>
      </c>
      <c r="J217" s="12" t="str">
        <f ca="1">IFERROR(__xludf.DUMMYFUNCTION("FILTER('CLASFICACIÓN'!$F$3:$F2419,'CLASFICACIÓN'!$G$3:$G2419=M217)"),"SOLO 2024")</f>
        <v>SOLO 2024</v>
      </c>
      <c r="K217" s="12" t="s">
        <v>2012</v>
      </c>
      <c r="L217" s="11" t="s">
        <v>30</v>
      </c>
      <c r="M217" s="12" t="str">
        <f t="shared" ca="1" si="0"/>
        <v>14144 SANTA ROSA4 Secundaria</v>
      </c>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4"/>
    </row>
    <row r="218" spans="1:36" ht="15.75" customHeight="1" x14ac:dyDescent="0.25">
      <c r="A218" s="9">
        <v>13</v>
      </c>
      <c r="B218" s="10" t="s">
        <v>14</v>
      </c>
      <c r="C218" s="10" t="s">
        <v>41</v>
      </c>
      <c r="D218" s="10" t="s">
        <v>43</v>
      </c>
      <c r="E218" s="11" t="str">
        <f ca="1">IFERROR(__xludf.DUMMYFUNCTION("FILTER(Colegios!$B$2:$B2419,Colegios!$A$2:$A2419=L218)"),"14144 SANTA ROSA")</f>
        <v>14144 SANTA ROSA</v>
      </c>
      <c r="F218" s="11" t="s">
        <v>17</v>
      </c>
      <c r="G218" s="10" t="s">
        <v>18</v>
      </c>
      <c r="H218" s="11" t="s">
        <v>19</v>
      </c>
      <c r="I218" s="11" t="s">
        <v>20</v>
      </c>
      <c r="J218" s="12" t="str">
        <f ca="1">IFERROR(__xludf.DUMMYFUNCTION("FILTER('CLASFICACIÓN'!$F$3:$F2419,'CLASFICACIÓN'!$G$3:$G2419=M218)"),"SOLO 2024")</f>
        <v>SOLO 2024</v>
      </c>
      <c r="K218" s="12" t="s">
        <v>2012</v>
      </c>
      <c r="L218" s="11" t="s">
        <v>30</v>
      </c>
      <c r="M218" s="12" t="str">
        <f t="shared" ca="1" si="0"/>
        <v>14144 SANTA ROSA4 Secundaria</v>
      </c>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4"/>
    </row>
    <row r="219" spans="1:36" ht="15.75" customHeight="1" x14ac:dyDescent="0.25">
      <c r="A219" s="9">
        <v>14</v>
      </c>
      <c r="B219" s="10" t="s">
        <v>14</v>
      </c>
      <c r="C219" s="10" t="s">
        <v>41</v>
      </c>
      <c r="D219" s="10" t="s">
        <v>43</v>
      </c>
      <c r="E219" s="11" t="str">
        <f ca="1">IFERROR(__xludf.DUMMYFUNCTION("FILTER(Colegios!$B$2:$B2419,Colegios!$A$2:$A2419=L219)"),"14144 SANTA ROSA")</f>
        <v>14144 SANTA ROSA</v>
      </c>
      <c r="F219" s="11" t="s">
        <v>17</v>
      </c>
      <c r="G219" s="10" t="s">
        <v>18</v>
      </c>
      <c r="H219" s="11" t="s">
        <v>19</v>
      </c>
      <c r="I219" s="11" t="s">
        <v>20</v>
      </c>
      <c r="J219" s="12" t="str">
        <f ca="1">IFERROR(__xludf.DUMMYFUNCTION("FILTER('CLASFICACIÓN'!$F$3:$F2419,'CLASFICACIÓN'!$G$3:$G2419=M219)"),"SOLO 2024")</f>
        <v>SOLO 2024</v>
      </c>
      <c r="K219" s="12" t="s">
        <v>2012</v>
      </c>
      <c r="L219" s="11" t="s">
        <v>30</v>
      </c>
      <c r="M219" s="12" t="str">
        <f t="shared" ca="1" si="0"/>
        <v>14144 SANTA ROSA4 Secundaria</v>
      </c>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4"/>
    </row>
    <row r="220" spans="1:36" ht="15.75" customHeight="1" x14ac:dyDescent="0.25">
      <c r="A220" s="9">
        <v>15</v>
      </c>
      <c r="B220" s="10" t="s">
        <v>14</v>
      </c>
      <c r="C220" s="10" t="s">
        <v>41</v>
      </c>
      <c r="D220" s="10" t="s">
        <v>43</v>
      </c>
      <c r="E220" s="11" t="str">
        <f ca="1">IFERROR(__xludf.DUMMYFUNCTION("FILTER(Colegios!$B$2:$B2419,Colegios!$A$2:$A2419=L220)"),"14144 SANTA ROSA")</f>
        <v>14144 SANTA ROSA</v>
      </c>
      <c r="F220" s="11" t="s">
        <v>17</v>
      </c>
      <c r="G220" s="10" t="s">
        <v>18</v>
      </c>
      <c r="H220" s="11" t="s">
        <v>19</v>
      </c>
      <c r="I220" s="11" t="s">
        <v>20</v>
      </c>
      <c r="J220" s="12" t="str">
        <f ca="1">IFERROR(__xludf.DUMMYFUNCTION("FILTER('CLASFICACIÓN'!$F$3:$F2419,'CLASFICACIÓN'!$G$3:$G2419=M220)"),"SOLO 2024")</f>
        <v>SOLO 2024</v>
      </c>
      <c r="K220" s="12" t="s">
        <v>2012</v>
      </c>
      <c r="L220" s="11" t="s">
        <v>30</v>
      </c>
      <c r="M220" s="12" t="str">
        <f t="shared" ca="1" si="0"/>
        <v>14144 SANTA ROSA4 Secundaria</v>
      </c>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4"/>
    </row>
    <row r="221" spans="1:36" ht="15.75" customHeight="1" x14ac:dyDescent="0.25">
      <c r="A221" s="9">
        <v>16</v>
      </c>
      <c r="B221" s="10" t="s">
        <v>14</v>
      </c>
      <c r="C221" s="10" t="s">
        <v>41</v>
      </c>
      <c r="D221" s="10" t="s">
        <v>43</v>
      </c>
      <c r="E221" s="11" t="str">
        <f ca="1">IFERROR(__xludf.DUMMYFUNCTION("FILTER(Colegios!$B$2:$B2419,Colegios!$A$2:$A2419=L221)"),"14144 SANTA ROSA")</f>
        <v>14144 SANTA ROSA</v>
      </c>
      <c r="F221" s="11" t="s">
        <v>17</v>
      </c>
      <c r="G221" s="10" t="s">
        <v>24</v>
      </c>
      <c r="H221" s="11" t="s">
        <v>19</v>
      </c>
      <c r="I221" s="11" t="s">
        <v>20</v>
      </c>
      <c r="J221" s="12" t="str">
        <f ca="1">IFERROR(__xludf.DUMMYFUNCTION("FILTER('CLASFICACIÓN'!$F$3:$F2419,'CLASFICACIÓN'!$G$3:$G2419=M221)"),"SOLO 2024")</f>
        <v>SOLO 2024</v>
      </c>
      <c r="K221" s="12" t="s">
        <v>2012</v>
      </c>
      <c r="L221" s="11" t="s">
        <v>30</v>
      </c>
      <c r="M221" s="12" t="str">
        <f t="shared" ca="1" si="0"/>
        <v>14144 SANTA ROSA4 Secundaria</v>
      </c>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4"/>
    </row>
    <row r="222" spans="1:36" ht="15.75" customHeight="1" x14ac:dyDescent="0.25">
      <c r="A222" s="9">
        <v>17</v>
      </c>
      <c r="B222" s="10" t="s">
        <v>14</v>
      </c>
      <c r="C222" s="10" t="s">
        <v>41</v>
      </c>
      <c r="D222" s="10" t="s">
        <v>43</v>
      </c>
      <c r="E222" s="11" t="str">
        <f ca="1">IFERROR(__xludf.DUMMYFUNCTION("FILTER(Colegios!$B$2:$B2419,Colegios!$A$2:$A2419=L222)"),"14144 SANTA ROSA")</f>
        <v>14144 SANTA ROSA</v>
      </c>
      <c r="F222" s="11" t="s">
        <v>17</v>
      </c>
      <c r="G222" s="10" t="s">
        <v>24</v>
      </c>
      <c r="H222" s="11" t="s">
        <v>19</v>
      </c>
      <c r="I222" s="11" t="s">
        <v>20</v>
      </c>
      <c r="J222" s="12" t="str">
        <f ca="1">IFERROR(__xludf.DUMMYFUNCTION("FILTER('CLASFICACIÓN'!$F$3:$F2419,'CLASFICACIÓN'!$G$3:$G2419=M222)"),"SOLO 2024")</f>
        <v>SOLO 2024</v>
      </c>
      <c r="K222" s="12" t="s">
        <v>2012</v>
      </c>
      <c r="L222" s="11" t="s">
        <v>30</v>
      </c>
      <c r="M222" s="12" t="str">
        <f t="shared" ca="1" si="0"/>
        <v>14144 SANTA ROSA4 Secundaria</v>
      </c>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4"/>
    </row>
    <row r="223" spans="1:36" ht="15.75" customHeight="1" x14ac:dyDescent="0.25">
      <c r="A223" s="9">
        <v>18</v>
      </c>
      <c r="B223" s="10" t="s">
        <v>14</v>
      </c>
      <c r="C223" s="10" t="s">
        <v>41</v>
      </c>
      <c r="D223" s="10" t="s">
        <v>43</v>
      </c>
      <c r="E223" s="11" t="str">
        <f ca="1">IFERROR(__xludf.DUMMYFUNCTION("FILTER(Colegios!$B$2:$B2419,Colegios!$A$2:$A2419=L223)"),"14144 SANTA ROSA")</f>
        <v>14144 SANTA ROSA</v>
      </c>
      <c r="F223" s="11" t="s">
        <v>17</v>
      </c>
      <c r="G223" s="10" t="s">
        <v>24</v>
      </c>
      <c r="H223" s="11" t="s">
        <v>23</v>
      </c>
      <c r="I223" s="11" t="s">
        <v>20</v>
      </c>
      <c r="J223" s="12" t="str">
        <f ca="1">IFERROR(__xludf.DUMMYFUNCTION("FILTER('CLASFICACIÓN'!$F$3:$F2419,'CLASFICACIÓN'!$G$3:$G2419=M223)"),"SOLO 2024")</f>
        <v>SOLO 2024</v>
      </c>
      <c r="K223" s="12" t="s">
        <v>2012</v>
      </c>
      <c r="L223" s="11" t="s">
        <v>30</v>
      </c>
      <c r="M223" s="12" t="str">
        <f t="shared" ca="1" si="0"/>
        <v>14144 SANTA ROSA4 Secundaria</v>
      </c>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4"/>
    </row>
    <row r="224" spans="1:36" ht="15.75" customHeight="1" x14ac:dyDescent="0.25">
      <c r="A224" s="9">
        <v>19</v>
      </c>
      <c r="B224" s="10" t="s">
        <v>14</v>
      </c>
      <c r="C224" s="10" t="s">
        <v>41</v>
      </c>
      <c r="D224" s="10" t="s">
        <v>43</v>
      </c>
      <c r="E224" s="11" t="str">
        <f ca="1">IFERROR(__xludf.DUMMYFUNCTION("FILTER(Colegios!$B$2:$B2419,Colegios!$A$2:$A2419=L224)"),"14144 SANTA ROSA")</f>
        <v>14144 SANTA ROSA</v>
      </c>
      <c r="F224" s="11" t="s">
        <v>17</v>
      </c>
      <c r="G224" s="10" t="s">
        <v>24</v>
      </c>
      <c r="H224" s="11" t="s">
        <v>19</v>
      </c>
      <c r="I224" s="11" t="s">
        <v>20</v>
      </c>
      <c r="J224" s="12" t="str">
        <f ca="1">IFERROR(__xludf.DUMMYFUNCTION("FILTER('CLASFICACIÓN'!$F$3:$F2419,'CLASFICACIÓN'!$G$3:$G2419=M224)"),"SOLO 2024")</f>
        <v>SOLO 2024</v>
      </c>
      <c r="K224" s="12" t="s">
        <v>2012</v>
      </c>
      <c r="L224" s="11" t="s">
        <v>30</v>
      </c>
      <c r="M224" s="12" t="str">
        <f t="shared" ca="1" si="0"/>
        <v>14144 SANTA ROSA4 Secundaria</v>
      </c>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4"/>
    </row>
    <row r="225" spans="1:36" ht="15.75" customHeight="1" x14ac:dyDescent="0.25">
      <c r="A225" s="9">
        <v>20</v>
      </c>
      <c r="B225" s="10" t="s">
        <v>14</v>
      </c>
      <c r="C225" s="10" t="s">
        <v>41</v>
      </c>
      <c r="D225" s="10" t="s">
        <v>43</v>
      </c>
      <c r="E225" s="11" t="str">
        <f ca="1">IFERROR(__xludf.DUMMYFUNCTION("FILTER(Colegios!$B$2:$B2419,Colegios!$A$2:$A2419=L225)"),"14144 SANTA ROSA")</f>
        <v>14144 SANTA ROSA</v>
      </c>
      <c r="F225" s="11" t="s">
        <v>17</v>
      </c>
      <c r="G225" s="10" t="s">
        <v>24</v>
      </c>
      <c r="H225" s="11" t="s">
        <v>19</v>
      </c>
      <c r="I225" s="11" t="s">
        <v>20</v>
      </c>
      <c r="J225" s="12" t="str">
        <f ca="1">IFERROR(__xludf.DUMMYFUNCTION("FILTER('CLASFICACIÓN'!$F$3:$F2419,'CLASFICACIÓN'!$G$3:$G2419=M225)"),"SOLO 2024")</f>
        <v>SOLO 2024</v>
      </c>
      <c r="K225" s="12" t="s">
        <v>2012</v>
      </c>
      <c r="L225" s="11" t="s">
        <v>30</v>
      </c>
      <c r="M225" s="12" t="str">
        <f t="shared" ca="1" si="0"/>
        <v>14144 SANTA ROSA4 Secundaria</v>
      </c>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4"/>
    </row>
    <row r="226" spans="1:36" ht="15.75" customHeight="1" x14ac:dyDescent="0.25">
      <c r="A226" s="9">
        <v>21</v>
      </c>
      <c r="B226" s="10" t="s">
        <v>14</v>
      </c>
      <c r="C226" s="10" t="s">
        <v>41</v>
      </c>
      <c r="D226" s="10" t="s">
        <v>43</v>
      </c>
      <c r="E226" s="11" t="str">
        <f ca="1">IFERROR(__xludf.DUMMYFUNCTION("FILTER(Colegios!$B$2:$B2419,Colegios!$A$2:$A2419=L226)"),"14144 SANTA ROSA")</f>
        <v>14144 SANTA ROSA</v>
      </c>
      <c r="F226" s="11" t="s">
        <v>17</v>
      </c>
      <c r="G226" s="10" t="s">
        <v>24</v>
      </c>
      <c r="H226" s="11" t="s">
        <v>19</v>
      </c>
      <c r="I226" s="11" t="s">
        <v>20</v>
      </c>
      <c r="J226" s="12" t="str">
        <f ca="1">IFERROR(__xludf.DUMMYFUNCTION("FILTER('CLASFICACIÓN'!$F$3:$F2419,'CLASFICACIÓN'!$G$3:$G2419=M226)"),"SOLO 2024")</f>
        <v>SOLO 2024</v>
      </c>
      <c r="K226" s="12" t="s">
        <v>2012</v>
      </c>
      <c r="L226" s="11" t="s">
        <v>30</v>
      </c>
      <c r="M226" s="12" t="str">
        <f t="shared" ca="1" si="0"/>
        <v>14144 SANTA ROSA4 Secundaria</v>
      </c>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4"/>
    </row>
    <row r="227" spans="1:36" ht="15.75" customHeight="1" x14ac:dyDescent="0.25">
      <c r="A227" s="9">
        <v>22</v>
      </c>
      <c r="B227" s="10" t="s">
        <v>14</v>
      </c>
      <c r="C227" s="10" t="s">
        <v>41</v>
      </c>
      <c r="D227" s="10" t="s">
        <v>43</v>
      </c>
      <c r="E227" s="11" t="str">
        <f ca="1">IFERROR(__xludf.DUMMYFUNCTION("FILTER(Colegios!$B$2:$B2419,Colegios!$A$2:$A2419=L227)"),"14144 SANTA ROSA")</f>
        <v>14144 SANTA ROSA</v>
      </c>
      <c r="F227" s="11" t="s">
        <v>17</v>
      </c>
      <c r="G227" s="10" t="s">
        <v>24</v>
      </c>
      <c r="H227" s="11" t="s">
        <v>19</v>
      </c>
      <c r="I227" s="11" t="s">
        <v>20</v>
      </c>
      <c r="J227" s="12" t="str">
        <f ca="1">IFERROR(__xludf.DUMMYFUNCTION("FILTER('CLASFICACIÓN'!$F$3:$F2419,'CLASFICACIÓN'!$G$3:$G2419=M227)"),"SOLO 2024")</f>
        <v>SOLO 2024</v>
      </c>
      <c r="K227" s="12" t="s">
        <v>2012</v>
      </c>
      <c r="L227" s="11" t="s">
        <v>30</v>
      </c>
      <c r="M227" s="12" t="str">
        <f t="shared" ca="1" si="0"/>
        <v>14144 SANTA ROSA4 Secundaria</v>
      </c>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4"/>
    </row>
    <row r="228" spans="1:36" ht="15.75" customHeight="1" x14ac:dyDescent="0.25">
      <c r="A228" s="9">
        <v>23</v>
      </c>
      <c r="B228" s="10" t="s">
        <v>14</v>
      </c>
      <c r="C228" s="10" t="s">
        <v>41</v>
      </c>
      <c r="D228" s="10" t="s">
        <v>43</v>
      </c>
      <c r="E228" s="11" t="str">
        <f ca="1">IFERROR(__xludf.DUMMYFUNCTION("FILTER(Colegios!$B$2:$B2419,Colegios!$A$2:$A2419=L228)"),"14144 SANTA ROSA")</f>
        <v>14144 SANTA ROSA</v>
      </c>
      <c r="F228" s="11" t="s">
        <v>17</v>
      </c>
      <c r="G228" s="10" t="s">
        <v>24</v>
      </c>
      <c r="H228" s="11" t="s">
        <v>23</v>
      </c>
      <c r="I228" s="11" t="s">
        <v>20</v>
      </c>
      <c r="J228" s="12" t="str">
        <f ca="1">IFERROR(__xludf.DUMMYFUNCTION("FILTER('CLASFICACIÓN'!$F$3:$F2419,'CLASFICACIÓN'!$G$3:$G2419=M228)"),"SOLO 2024")</f>
        <v>SOLO 2024</v>
      </c>
      <c r="K228" s="12" t="s">
        <v>2012</v>
      </c>
      <c r="L228" s="11" t="s">
        <v>30</v>
      </c>
      <c r="M228" s="12" t="str">
        <f t="shared" ca="1" si="0"/>
        <v>14144 SANTA ROSA4 Secundaria</v>
      </c>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4"/>
    </row>
    <row r="229" spans="1:36" ht="15.75" customHeight="1" x14ac:dyDescent="0.25">
      <c r="A229" s="9">
        <v>24</v>
      </c>
      <c r="B229" s="10" t="s">
        <v>14</v>
      </c>
      <c r="C229" s="10" t="s">
        <v>41</v>
      </c>
      <c r="D229" s="10" t="s">
        <v>43</v>
      </c>
      <c r="E229" s="11" t="str">
        <f ca="1">IFERROR(__xludf.DUMMYFUNCTION("FILTER(Colegios!$B$2:$B2419,Colegios!$A$2:$A2419=L229)"),"14144 SANTA ROSA")</f>
        <v>14144 SANTA ROSA</v>
      </c>
      <c r="F229" s="11" t="s">
        <v>17</v>
      </c>
      <c r="G229" s="10" t="s">
        <v>24</v>
      </c>
      <c r="H229" s="11" t="s">
        <v>19</v>
      </c>
      <c r="I229" s="11" t="s">
        <v>20</v>
      </c>
      <c r="J229" s="12" t="str">
        <f ca="1">IFERROR(__xludf.DUMMYFUNCTION("FILTER('CLASFICACIÓN'!$F$3:$F2419,'CLASFICACIÓN'!$G$3:$G2419=M229)"),"SOLO 2024")</f>
        <v>SOLO 2024</v>
      </c>
      <c r="K229" s="12" t="s">
        <v>2012</v>
      </c>
      <c r="L229" s="11" t="s">
        <v>30</v>
      </c>
      <c r="M229" s="12" t="str">
        <f t="shared" ca="1" si="0"/>
        <v>14144 SANTA ROSA4 Secundaria</v>
      </c>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4"/>
    </row>
    <row r="230" spans="1:36" ht="15.75" customHeight="1" x14ac:dyDescent="0.25">
      <c r="A230" s="9">
        <v>25</v>
      </c>
      <c r="B230" s="10" t="s">
        <v>14</v>
      </c>
      <c r="C230" s="10" t="s">
        <v>41</v>
      </c>
      <c r="D230" s="10" t="s">
        <v>43</v>
      </c>
      <c r="E230" s="11" t="str">
        <f ca="1">IFERROR(__xludf.DUMMYFUNCTION("FILTER(Colegios!$B$2:$B2419,Colegios!$A$2:$A2419=L230)"),"14144 SANTA ROSA")</f>
        <v>14144 SANTA ROSA</v>
      </c>
      <c r="F230" s="11" t="s">
        <v>17</v>
      </c>
      <c r="G230" s="10" t="s">
        <v>24</v>
      </c>
      <c r="H230" s="11" t="s">
        <v>23</v>
      </c>
      <c r="I230" s="11" t="s">
        <v>20</v>
      </c>
      <c r="J230" s="12" t="str">
        <f ca="1">IFERROR(__xludf.DUMMYFUNCTION("FILTER('CLASFICACIÓN'!$F$3:$F2419,'CLASFICACIÓN'!$G$3:$G2419=M230)"),"SOLO 2024")</f>
        <v>SOLO 2024</v>
      </c>
      <c r="K230" s="12" t="s">
        <v>2012</v>
      </c>
      <c r="L230" s="11" t="s">
        <v>30</v>
      </c>
      <c r="M230" s="12" t="str">
        <f t="shared" ca="1" si="0"/>
        <v>14144 SANTA ROSA4 Secundaria</v>
      </c>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4"/>
    </row>
    <row r="231" spans="1:36" ht="15.75" customHeight="1" x14ac:dyDescent="0.25">
      <c r="A231" s="9">
        <v>26</v>
      </c>
      <c r="B231" s="10" t="s">
        <v>14</v>
      </c>
      <c r="C231" s="10" t="s">
        <v>41</v>
      </c>
      <c r="D231" s="10" t="s">
        <v>43</v>
      </c>
      <c r="E231" s="11" t="str">
        <f ca="1">IFERROR(__xludf.DUMMYFUNCTION("FILTER(Colegios!$B$2:$B2419,Colegios!$A$2:$A2419=L231)"),"14144 SANTA ROSA")</f>
        <v>14144 SANTA ROSA</v>
      </c>
      <c r="F231" s="11" t="s">
        <v>17</v>
      </c>
      <c r="G231" s="10" t="s">
        <v>24</v>
      </c>
      <c r="H231" s="11" t="s">
        <v>19</v>
      </c>
      <c r="I231" s="11" t="s">
        <v>20</v>
      </c>
      <c r="J231" s="12" t="str">
        <f ca="1">IFERROR(__xludf.DUMMYFUNCTION("FILTER('CLASFICACIÓN'!$F$3:$F2419,'CLASFICACIÓN'!$G$3:$G2419=M231)"),"SOLO 2024")</f>
        <v>SOLO 2024</v>
      </c>
      <c r="K231" s="12" t="s">
        <v>2012</v>
      </c>
      <c r="L231" s="11" t="s">
        <v>30</v>
      </c>
      <c r="M231" s="12" t="str">
        <f t="shared" ca="1" si="0"/>
        <v>14144 SANTA ROSA4 Secundaria</v>
      </c>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4"/>
    </row>
    <row r="232" spans="1:36" ht="15.75" customHeight="1" x14ac:dyDescent="0.25">
      <c r="A232" s="9">
        <v>27</v>
      </c>
      <c r="B232" s="10" t="s">
        <v>14</v>
      </c>
      <c r="C232" s="10" t="s">
        <v>41</v>
      </c>
      <c r="D232" s="10" t="s">
        <v>43</v>
      </c>
      <c r="E232" s="11" t="str">
        <f ca="1">IFERROR(__xludf.DUMMYFUNCTION("FILTER(Colegios!$B$2:$B2419,Colegios!$A$2:$A2419=L232)"),"14144 SANTA ROSA")</f>
        <v>14144 SANTA ROSA</v>
      </c>
      <c r="F232" s="11" t="s">
        <v>17</v>
      </c>
      <c r="G232" s="10" t="s">
        <v>24</v>
      </c>
      <c r="H232" s="11" t="s">
        <v>19</v>
      </c>
      <c r="I232" s="11" t="s">
        <v>20</v>
      </c>
      <c r="J232" s="12" t="str">
        <f ca="1">IFERROR(__xludf.DUMMYFUNCTION("FILTER('CLASFICACIÓN'!$F$3:$F2419,'CLASFICACIÓN'!$G$3:$G2419=M232)"),"SOLO 2024")</f>
        <v>SOLO 2024</v>
      </c>
      <c r="K232" s="12" t="s">
        <v>2012</v>
      </c>
      <c r="L232" s="11" t="s">
        <v>30</v>
      </c>
      <c r="M232" s="12" t="str">
        <f t="shared" ca="1" si="0"/>
        <v>14144 SANTA ROSA4 Secundaria</v>
      </c>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4"/>
    </row>
    <row r="233" spans="1:36" ht="15.75" customHeight="1" x14ac:dyDescent="0.25">
      <c r="A233" s="9">
        <v>28</v>
      </c>
      <c r="B233" s="10" t="s">
        <v>14</v>
      </c>
      <c r="C233" s="10" t="s">
        <v>41</v>
      </c>
      <c r="D233" s="10" t="s">
        <v>43</v>
      </c>
      <c r="E233" s="11" t="str">
        <f ca="1">IFERROR(__xludf.DUMMYFUNCTION("FILTER(Colegios!$B$2:$B2419,Colegios!$A$2:$A2419=L233)"),"14144 SANTA ROSA")</f>
        <v>14144 SANTA ROSA</v>
      </c>
      <c r="F233" s="11" t="s">
        <v>17</v>
      </c>
      <c r="G233" s="10" t="s">
        <v>24</v>
      </c>
      <c r="H233" s="11" t="s">
        <v>19</v>
      </c>
      <c r="I233" s="11" t="s">
        <v>20</v>
      </c>
      <c r="J233" s="12" t="str">
        <f ca="1">IFERROR(__xludf.DUMMYFUNCTION("FILTER('CLASFICACIÓN'!$F$3:$F2419,'CLASFICACIÓN'!$G$3:$G2419=M233)"),"SOLO 2024")</f>
        <v>SOLO 2024</v>
      </c>
      <c r="K233" s="12" t="s">
        <v>2012</v>
      </c>
      <c r="L233" s="11" t="s">
        <v>30</v>
      </c>
      <c r="M233" s="12" t="str">
        <f t="shared" ca="1" si="0"/>
        <v>14144 SANTA ROSA4 Secundaria</v>
      </c>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4"/>
    </row>
    <row r="234" spans="1:36" ht="15.75" customHeight="1" x14ac:dyDescent="0.25">
      <c r="A234" s="9">
        <v>29</v>
      </c>
      <c r="B234" s="10" t="s">
        <v>14</v>
      </c>
      <c r="C234" s="10" t="s">
        <v>41</v>
      </c>
      <c r="D234" s="10" t="s">
        <v>43</v>
      </c>
      <c r="E234" s="11" t="str">
        <f ca="1">IFERROR(__xludf.DUMMYFUNCTION("FILTER(Colegios!$B$2:$B2419,Colegios!$A$2:$A2419=L234)"),"14144 SANTA ROSA")</f>
        <v>14144 SANTA ROSA</v>
      </c>
      <c r="F234" s="11" t="s">
        <v>17</v>
      </c>
      <c r="G234" s="10" t="s">
        <v>24</v>
      </c>
      <c r="H234" s="11" t="s">
        <v>19</v>
      </c>
      <c r="I234" s="11" t="s">
        <v>20</v>
      </c>
      <c r="J234" s="12" t="str">
        <f ca="1">IFERROR(__xludf.DUMMYFUNCTION("FILTER('CLASFICACIÓN'!$F$3:$F2419,'CLASFICACIÓN'!$G$3:$G2419=M234)"),"SOLO 2024")</f>
        <v>SOLO 2024</v>
      </c>
      <c r="K234" s="12" t="s">
        <v>2012</v>
      </c>
      <c r="L234" s="11" t="s">
        <v>30</v>
      </c>
      <c r="M234" s="12" t="str">
        <f t="shared" ca="1" si="0"/>
        <v>14144 SANTA ROSA4 Secundaria</v>
      </c>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4"/>
    </row>
    <row r="235" spans="1:36" ht="15.75" customHeight="1" x14ac:dyDescent="0.25">
      <c r="A235" s="9">
        <v>1</v>
      </c>
      <c r="B235" s="10" t="s">
        <v>44</v>
      </c>
      <c r="C235" s="10" t="s">
        <v>15</v>
      </c>
      <c r="D235" s="10" t="s">
        <v>45</v>
      </c>
      <c r="E235" s="11" t="str">
        <f ca="1">IFERROR(__xludf.DUMMYFUNCTION("FILTER(Colegios!$B$2:$B2419,Colegios!$A$2:$A2419=L235)"),"64048")</f>
        <v>64048</v>
      </c>
      <c r="F235" s="11" t="s">
        <v>17</v>
      </c>
      <c r="G235" s="10" t="s">
        <v>18</v>
      </c>
      <c r="H235" s="11" t="s">
        <v>23</v>
      </c>
      <c r="I235" s="11" t="s">
        <v>20</v>
      </c>
      <c r="J235" s="12" t="str">
        <f ca="1">IFERROR(__xludf.DUMMYFUNCTION("FILTER('CLASFICACIÓN'!$F$3:$F2419,'CLASFICACIÓN'!$G$3:$G2419=M235)"),"SOLO 2024")</f>
        <v>SOLO 2024</v>
      </c>
      <c r="K235" s="12" t="s">
        <v>2014</v>
      </c>
      <c r="L235" s="11" t="s">
        <v>46</v>
      </c>
      <c r="M235" s="12" t="str">
        <f t="shared" ca="1" si="0"/>
        <v>640482 Primaria</v>
      </c>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4"/>
    </row>
    <row r="236" spans="1:36" ht="15.75" customHeight="1" x14ac:dyDescent="0.25">
      <c r="A236" s="9">
        <v>2</v>
      </c>
      <c r="B236" s="10" t="s">
        <v>44</v>
      </c>
      <c r="C236" s="10" t="s">
        <v>15</v>
      </c>
      <c r="D236" s="10" t="s">
        <v>45</v>
      </c>
      <c r="E236" s="11" t="str">
        <f ca="1">IFERROR(__xludf.DUMMYFUNCTION("FILTER(Colegios!$B$2:$B2419,Colegios!$A$2:$A2419=L236)"),"64048")</f>
        <v>64048</v>
      </c>
      <c r="F236" s="11" t="s">
        <v>17</v>
      </c>
      <c r="G236" s="10" t="s">
        <v>24</v>
      </c>
      <c r="H236" s="11" t="s">
        <v>19</v>
      </c>
      <c r="I236" s="11" t="s">
        <v>20</v>
      </c>
      <c r="J236" s="12" t="str">
        <f ca="1">IFERROR(__xludf.DUMMYFUNCTION("FILTER('CLASFICACIÓN'!$F$3:$F2419,'CLASFICACIÓN'!$G$3:$G2419=M236)"),"SOLO 2024")</f>
        <v>SOLO 2024</v>
      </c>
      <c r="K236" s="12" t="s">
        <v>2014</v>
      </c>
      <c r="L236" s="11" t="s">
        <v>46</v>
      </c>
      <c r="M236" s="12" t="str">
        <f t="shared" ca="1" si="0"/>
        <v>640482 Primaria</v>
      </c>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4"/>
    </row>
    <row r="237" spans="1:36" ht="15.75" customHeight="1" x14ac:dyDescent="0.25">
      <c r="A237" s="9">
        <v>3</v>
      </c>
      <c r="B237" s="10" t="s">
        <v>44</v>
      </c>
      <c r="C237" s="10" t="s">
        <v>15</v>
      </c>
      <c r="D237" s="10" t="s">
        <v>16</v>
      </c>
      <c r="E237" s="11" t="str">
        <f ca="1">IFERROR(__xludf.DUMMYFUNCTION("FILTER(Colegios!$B$2:$B2419,Colegios!$A$2:$A2419=L237)"),"64048")</f>
        <v>64048</v>
      </c>
      <c r="F237" s="11" t="s">
        <v>17</v>
      </c>
      <c r="G237" s="10" t="s">
        <v>18</v>
      </c>
      <c r="H237" s="11" t="s">
        <v>19</v>
      </c>
      <c r="I237" s="11" t="s">
        <v>20</v>
      </c>
      <c r="J237" s="12" t="str">
        <f ca="1">IFERROR(__xludf.DUMMYFUNCTION("FILTER('CLASFICACIÓN'!$F$3:$F2419,'CLASFICACIÓN'!$G$3:$G2419=M237)"),"SOLO 2022 Y 2024")</f>
        <v>SOLO 2022 Y 2024</v>
      </c>
      <c r="K237" s="12" t="s">
        <v>2014</v>
      </c>
      <c r="L237" s="11" t="s">
        <v>46</v>
      </c>
      <c r="M237" s="12" t="str">
        <f t="shared" ca="1" si="0"/>
        <v>640484 Primaria</v>
      </c>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4"/>
    </row>
    <row r="238" spans="1:36" ht="15.75" customHeight="1" x14ac:dyDescent="0.25">
      <c r="A238" s="9">
        <v>4</v>
      </c>
      <c r="B238" s="10" t="s">
        <v>44</v>
      </c>
      <c r="C238" s="10" t="s">
        <v>15</v>
      </c>
      <c r="D238" s="10" t="s">
        <v>16</v>
      </c>
      <c r="E238" s="11" t="str">
        <f ca="1">IFERROR(__xludf.DUMMYFUNCTION("FILTER(Colegios!$B$2:$B2419,Colegios!$A$2:$A2419=L238)"),"64048")</f>
        <v>64048</v>
      </c>
      <c r="F238" s="11" t="s">
        <v>17</v>
      </c>
      <c r="G238" s="10" t="s">
        <v>24</v>
      </c>
      <c r="H238" s="11" t="s">
        <v>19</v>
      </c>
      <c r="I238" s="11" t="s">
        <v>20</v>
      </c>
      <c r="J238" s="12" t="str">
        <f ca="1">IFERROR(__xludf.DUMMYFUNCTION("FILTER('CLASFICACIÓN'!$F$3:$F2419,'CLASFICACIÓN'!$G$3:$G2419=M238)"),"SOLO 2022 Y 2024")</f>
        <v>SOLO 2022 Y 2024</v>
      </c>
      <c r="K238" s="12" t="s">
        <v>2014</v>
      </c>
      <c r="L238" s="11" t="s">
        <v>46</v>
      </c>
      <c r="M238" s="12" t="str">
        <f t="shared" ca="1" si="0"/>
        <v>640484 Primaria</v>
      </c>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4"/>
    </row>
    <row r="239" spans="1:36" ht="15.75" customHeight="1" x14ac:dyDescent="0.25">
      <c r="A239" s="9">
        <v>5</v>
      </c>
      <c r="B239" s="10" t="s">
        <v>44</v>
      </c>
      <c r="C239" s="10" t="s">
        <v>15</v>
      </c>
      <c r="D239" s="10" t="s">
        <v>37</v>
      </c>
      <c r="E239" s="11" t="str">
        <f ca="1">IFERROR(__xludf.DUMMYFUNCTION("FILTER(Colegios!$B$2:$B2419,Colegios!$A$2:$A2419=L239)"),"64048")</f>
        <v>64048</v>
      </c>
      <c r="F239" s="11" t="s">
        <v>17</v>
      </c>
      <c r="G239" s="10" t="s">
        <v>18</v>
      </c>
      <c r="H239" s="11" t="s">
        <v>19</v>
      </c>
      <c r="I239" s="11" t="s">
        <v>20</v>
      </c>
      <c r="J239" s="12" t="str">
        <f ca="1">IFERROR(__xludf.DUMMYFUNCTION("FILTER('CLASFICACIÓN'!$F$3:$F2419,'CLASFICACIÓN'!$G$3:$G2419=M239)"),"SOLO 2022 Y 2024")</f>
        <v>SOLO 2022 Y 2024</v>
      </c>
      <c r="K239" s="12" t="s">
        <v>2014</v>
      </c>
      <c r="L239" s="11" t="s">
        <v>46</v>
      </c>
      <c r="M239" s="12" t="str">
        <f t="shared" ca="1" si="0"/>
        <v>640486 Primaria</v>
      </c>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4"/>
    </row>
    <row r="240" spans="1:36" ht="15.75" customHeight="1" x14ac:dyDescent="0.25">
      <c r="A240" s="9">
        <v>6</v>
      </c>
      <c r="B240" s="10" t="s">
        <v>44</v>
      </c>
      <c r="C240" s="10" t="s">
        <v>15</v>
      </c>
      <c r="D240" s="10" t="s">
        <v>37</v>
      </c>
      <c r="E240" s="11" t="str">
        <f ca="1">IFERROR(__xludf.DUMMYFUNCTION("FILTER(Colegios!$B$2:$B2419,Colegios!$A$2:$A2419=L240)"),"64048")</f>
        <v>64048</v>
      </c>
      <c r="F240" s="11" t="s">
        <v>17</v>
      </c>
      <c r="G240" s="10" t="s">
        <v>24</v>
      </c>
      <c r="H240" s="11" t="s">
        <v>19</v>
      </c>
      <c r="I240" s="11" t="s">
        <v>20</v>
      </c>
      <c r="J240" s="12" t="str">
        <f ca="1">IFERROR(__xludf.DUMMYFUNCTION("FILTER('CLASFICACIÓN'!$F$3:$F2419,'CLASFICACIÓN'!$G$3:$G2419=M240)"),"SOLO 2022 Y 2024")</f>
        <v>SOLO 2022 Y 2024</v>
      </c>
      <c r="K240" s="12" t="s">
        <v>2014</v>
      </c>
      <c r="L240" s="11" t="s">
        <v>46</v>
      </c>
      <c r="M240" s="12" t="str">
        <f t="shared" ca="1" si="0"/>
        <v>640486 Primaria</v>
      </c>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4"/>
    </row>
    <row r="241" spans="1:36" ht="15.75" customHeight="1" x14ac:dyDescent="0.25">
      <c r="A241" s="9">
        <v>7</v>
      </c>
      <c r="B241" s="10" t="s">
        <v>44</v>
      </c>
      <c r="C241" s="10" t="s">
        <v>15</v>
      </c>
      <c r="D241" s="10" t="s">
        <v>37</v>
      </c>
      <c r="E241" s="11" t="str">
        <f ca="1">IFERROR(__xludf.DUMMYFUNCTION("FILTER(Colegios!$B$2:$B2419,Colegios!$A$2:$A2419=L241)"),"64048")</f>
        <v>64048</v>
      </c>
      <c r="F241" s="11" t="s">
        <v>17</v>
      </c>
      <c r="G241" s="10" t="s">
        <v>24</v>
      </c>
      <c r="H241" s="11" t="s">
        <v>19</v>
      </c>
      <c r="I241" s="11" t="s">
        <v>20</v>
      </c>
      <c r="J241" s="12" t="str">
        <f ca="1">IFERROR(__xludf.DUMMYFUNCTION("FILTER('CLASFICACIÓN'!$F$3:$F2419,'CLASFICACIÓN'!$G$3:$G2419=M241)"),"SOLO 2022 Y 2024")</f>
        <v>SOLO 2022 Y 2024</v>
      </c>
      <c r="K241" s="12" t="s">
        <v>2014</v>
      </c>
      <c r="L241" s="11" t="s">
        <v>46</v>
      </c>
      <c r="M241" s="12" t="str">
        <f t="shared" ca="1" si="0"/>
        <v>640486 Primaria</v>
      </c>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4"/>
    </row>
    <row r="242" spans="1:36" ht="15.75" customHeight="1" x14ac:dyDescent="0.25">
      <c r="A242" s="9">
        <v>1</v>
      </c>
      <c r="B242" s="10" t="s">
        <v>44</v>
      </c>
      <c r="C242" s="10" t="s">
        <v>15</v>
      </c>
      <c r="D242" s="10" t="s">
        <v>45</v>
      </c>
      <c r="E242" s="11" t="str">
        <f ca="1">IFERROR(__xludf.DUMMYFUNCTION("FILTER(Colegios!$B$2:$B2419,Colegios!$A$2:$A2419=L242)"),"64115")</f>
        <v>64115</v>
      </c>
      <c r="F242" s="11" t="s">
        <v>17</v>
      </c>
      <c r="G242" s="10" t="s">
        <v>18</v>
      </c>
      <c r="H242" s="11" t="s">
        <v>19</v>
      </c>
      <c r="I242" s="11" t="s">
        <v>20</v>
      </c>
      <c r="J242" s="12" t="str">
        <f ca="1">IFERROR(__xludf.DUMMYFUNCTION("FILTER('CLASFICACIÓN'!$F$3:$F2419,'CLASFICACIÓN'!$G$3:$G2419=M242)"),"SOLO 2022 Y 2024")</f>
        <v>SOLO 2022 Y 2024</v>
      </c>
      <c r="K242" s="12" t="s">
        <v>2012</v>
      </c>
      <c r="L242" s="11" t="s">
        <v>47</v>
      </c>
      <c r="M242" s="12" t="str">
        <f t="shared" ca="1" si="0"/>
        <v>641152 Primaria</v>
      </c>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4"/>
    </row>
    <row r="243" spans="1:36" ht="15.75" customHeight="1" x14ac:dyDescent="0.25">
      <c r="A243" s="9">
        <v>2</v>
      </c>
      <c r="B243" s="10" t="s">
        <v>44</v>
      </c>
      <c r="C243" s="10" t="s">
        <v>15</v>
      </c>
      <c r="D243" s="10" t="s">
        <v>45</v>
      </c>
      <c r="E243" s="11" t="str">
        <f ca="1">IFERROR(__xludf.DUMMYFUNCTION("FILTER(Colegios!$B$2:$B2419,Colegios!$A$2:$A2419=L243)"),"64115")</f>
        <v>64115</v>
      </c>
      <c r="F243" s="11" t="s">
        <v>17</v>
      </c>
      <c r="G243" s="10" t="s">
        <v>18</v>
      </c>
      <c r="H243" s="11" t="s">
        <v>19</v>
      </c>
      <c r="I243" s="11" t="s">
        <v>20</v>
      </c>
      <c r="J243" s="12" t="str">
        <f ca="1">IFERROR(__xludf.DUMMYFUNCTION("FILTER('CLASFICACIÓN'!$F$3:$F2419,'CLASFICACIÓN'!$G$3:$G2419=M243)"),"SOLO 2022 Y 2024")</f>
        <v>SOLO 2022 Y 2024</v>
      </c>
      <c r="K243" s="12" t="s">
        <v>2012</v>
      </c>
      <c r="L243" s="11" t="s">
        <v>47</v>
      </c>
      <c r="M243" s="12" t="str">
        <f t="shared" ca="1" si="0"/>
        <v>641152 Primaria</v>
      </c>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4"/>
    </row>
    <row r="244" spans="1:36" ht="15.75" customHeight="1" x14ac:dyDescent="0.25">
      <c r="A244" s="9">
        <v>3</v>
      </c>
      <c r="B244" s="10" t="s">
        <v>44</v>
      </c>
      <c r="C244" s="10" t="s">
        <v>15</v>
      </c>
      <c r="D244" s="10" t="s">
        <v>45</v>
      </c>
      <c r="E244" s="11" t="str">
        <f ca="1">IFERROR(__xludf.DUMMYFUNCTION("FILTER(Colegios!$B$2:$B2419,Colegios!$A$2:$A2419=L244)"),"64115")</f>
        <v>64115</v>
      </c>
      <c r="F244" s="11" t="s">
        <v>17</v>
      </c>
      <c r="G244" s="10" t="s">
        <v>24</v>
      </c>
      <c r="H244" s="11" t="s">
        <v>23</v>
      </c>
      <c r="I244" s="11" t="s">
        <v>20</v>
      </c>
      <c r="J244" s="12" t="str">
        <f ca="1">IFERROR(__xludf.DUMMYFUNCTION("FILTER('CLASFICACIÓN'!$F$3:$F2419,'CLASFICACIÓN'!$G$3:$G2419=M244)"),"SOLO 2022 Y 2024")</f>
        <v>SOLO 2022 Y 2024</v>
      </c>
      <c r="K244" s="12" t="s">
        <v>2012</v>
      </c>
      <c r="L244" s="11" t="s">
        <v>47</v>
      </c>
      <c r="M244" s="12" t="str">
        <f t="shared" ca="1" si="0"/>
        <v>641152 Primaria</v>
      </c>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4"/>
    </row>
    <row r="245" spans="1:36" ht="15.75" customHeight="1" x14ac:dyDescent="0.25">
      <c r="A245" s="9">
        <v>4</v>
      </c>
      <c r="B245" s="10" t="s">
        <v>44</v>
      </c>
      <c r="C245" s="10" t="s">
        <v>15</v>
      </c>
      <c r="D245" s="10" t="s">
        <v>16</v>
      </c>
      <c r="E245" s="11" t="str">
        <f ca="1">IFERROR(__xludf.DUMMYFUNCTION("FILTER(Colegios!$B$2:$B2419,Colegios!$A$2:$A2419=L245)"),"64115")</f>
        <v>64115</v>
      </c>
      <c r="F245" s="11" t="s">
        <v>17</v>
      </c>
      <c r="G245" s="10" t="s">
        <v>18</v>
      </c>
      <c r="H245" s="11" t="s">
        <v>19</v>
      </c>
      <c r="I245" s="11" t="s">
        <v>20</v>
      </c>
      <c r="J245" s="12" t="str">
        <f ca="1">IFERROR(__xludf.DUMMYFUNCTION("FILTER('CLASFICACIÓN'!$F$3:$F2419,'CLASFICACIÓN'!$G$3:$G2419=M245)"),"SOLO 2022 Y 2024")</f>
        <v>SOLO 2022 Y 2024</v>
      </c>
      <c r="K245" s="12" t="s">
        <v>2012</v>
      </c>
      <c r="L245" s="11" t="s">
        <v>47</v>
      </c>
      <c r="M245" s="12" t="str">
        <f t="shared" ca="1" si="0"/>
        <v>641154 Primaria</v>
      </c>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4"/>
    </row>
    <row r="246" spans="1:36" ht="15.75" customHeight="1" x14ac:dyDescent="0.25">
      <c r="A246" s="9">
        <v>5</v>
      </c>
      <c r="B246" s="10" t="s">
        <v>44</v>
      </c>
      <c r="C246" s="10" t="s">
        <v>15</v>
      </c>
      <c r="D246" s="10" t="s">
        <v>16</v>
      </c>
      <c r="E246" s="11" t="str">
        <f ca="1">IFERROR(__xludf.DUMMYFUNCTION("FILTER(Colegios!$B$2:$B2419,Colegios!$A$2:$A2419=L246)"),"64115")</f>
        <v>64115</v>
      </c>
      <c r="F246" s="11" t="s">
        <v>17</v>
      </c>
      <c r="G246" s="10" t="s">
        <v>18</v>
      </c>
      <c r="H246" s="11" t="s">
        <v>23</v>
      </c>
      <c r="I246" s="11" t="s">
        <v>20</v>
      </c>
      <c r="J246" s="12" t="str">
        <f ca="1">IFERROR(__xludf.DUMMYFUNCTION("FILTER('CLASFICACIÓN'!$F$3:$F2419,'CLASFICACIÓN'!$G$3:$G2419=M246)"),"SOLO 2022 Y 2024")</f>
        <v>SOLO 2022 Y 2024</v>
      </c>
      <c r="K246" s="12" t="s">
        <v>2012</v>
      </c>
      <c r="L246" s="11" t="s">
        <v>47</v>
      </c>
      <c r="M246" s="12" t="str">
        <f t="shared" ca="1" si="0"/>
        <v>641154 Primaria</v>
      </c>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4"/>
    </row>
    <row r="247" spans="1:36" ht="15.75" customHeight="1" x14ac:dyDescent="0.25">
      <c r="A247" s="9">
        <v>6</v>
      </c>
      <c r="B247" s="10" t="s">
        <v>44</v>
      </c>
      <c r="C247" s="10" t="s">
        <v>15</v>
      </c>
      <c r="D247" s="10" t="s">
        <v>37</v>
      </c>
      <c r="E247" s="11" t="str">
        <f ca="1">IFERROR(__xludf.DUMMYFUNCTION("FILTER(Colegios!$B$2:$B2419,Colegios!$A$2:$A2419=L247)"),"64115")</f>
        <v>64115</v>
      </c>
      <c r="F247" s="11" t="s">
        <v>17</v>
      </c>
      <c r="G247" s="10" t="s">
        <v>18</v>
      </c>
      <c r="H247" s="11" t="s">
        <v>19</v>
      </c>
      <c r="I247" s="11" t="s">
        <v>20</v>
      </c>
      <c r="J247" s="12" t="str">
        <f ca="1">IFERROR(__xludf.DUMMYFUNCTION("FILTER('CLASFICACIÓN'!$F$3:$F2419,'CLASFICACIÓN'!$G$3:$G2419=M247)"),"SOLO 2022 Y 2024")</f>
        <v>SOLO 2022 Y 2024</v>
      </c>
      <c r="K247" s="12" t="s">
        <v>2012</v>
      </c>
      <c r="L247" s="11" t="s">
        <v>47</v>
      </c>
      <c r="M247" s="12" t="str">
        <f t="shared" ca="1" si="0"/>
        <v>641156 Primaria</v>
      </c>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4"/>
    </row>
    <row r="248" spans="1:36" ht="15.75" customHeight="1" x14ac:dyDescent="0.25">
      <c r="A248" s="9">
        <v>7</v>
      </c>
      <c r="B248" s="10" t="s">
        <v>44</v>
      </c>
      <c r="C248" s="10" t="s">
        <v>15</v>
      </c>
      <c r="D248" s="10" t="s">
        <v>37</v>
      </c>
      <c r="E248" s="11" t="str">
        <f ca="1">IFERROR(__xludf.DUMMYFUNCTION("FILTER(Colegios!$B$2:$B2419,Colegios!$A$2:$A2419=L248)"),"64115")</f>
        <v>64115</v>
      </c>
      <c r="F248" s="11" t="s">
        <v>17</v>
      </c>
      <c r="G248" s="10" t="s">
        <v>24</v>
      </c>
      <c r="H248" s="11" t="s">
        <v>19</v>
      </c>
      <c r="I248" s="11" t="s">
        <v>20</v>
      </c>
      <c r="J248" s="12" t="str">
        <f ca="1">IFERROR(__xludf.DUMMYFUNCTION("FILTER('CLASFICACIÓN'!$F$3:$F2419,'CLASFICACIÓN'!$G$3:$G2419=M248)"),"SOLO 2022 Y 2024")</f>
        <v>SOLO 2022 Y 2024</v>
      </c>
      <c r="K248" s="12" t="s">
        <v>2012</v>
      </c>
      <c r="L248" s="11" t="s">
        <v>47</v>
      </c>
      <c r="M248" s="12" t="str">
        <f t="shared" ca="1" si="0"/>
        <v>641156 Primaria</v>
      </c>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4"/>
    </row>
    <row r="249" spans="1:36" ht="15.75" customHeight="1" x14ac:dyDescent="0.25">
      <c r="A249" s="9">
        <v>1</v>
      </c>
      <c r="B249" s="10" t="s">
        <v>44</v>
      </c>
      <c r="C249" s="10" t="s">
        <v>15</v>
      </c>
      <c r="D249" s="10" t="s">
        <v>45</v>
      </c>
      <c r="E249" s="11" t="str">
        <f ca="1">IFERROR(__xludf.DUMMYFUNCTION("FILTER(Colegios!$B$2:$B2419,Colegios!$A$2:$A2419=L249)"),"64508-B")</f>
        <v>64508-B</v>
      </c>
      <c r="F249" s="11" t="s">
        <v>17</v>
      </c>
      <c r="G249" s="10" t="s">
        <v>18</v>
      </c>
      <c r="H249" s="11" t="s">
        <v>19</v>
      </c>
      <c r="I249" s="11" t="s">
        <v>20</v>
      </c>
      <c r="J249" s="12" t="str">
        <f ca="1">IFERROR(__xludf.DUMMYFUNCTION("FILTER('CLASFICACIÓN'!$F$3:$F2419,'CLASFICACIÓN'!$G$3:$G2419=M249)"),"SOLO 2024")</f>
        <v>SOLO 2024</v>
      </c>
      <c r="K249" s="12" t="s">
        <v>2011</v>
      </c>
      <c r="L249" s="11" t="s">
        <v>48</v>
      </c>
      <c r="M249" s="12" t="str">
        <f t="shared" ca="1" si="0"/>
        <v>64508-B2 Primaria</v>
      </c>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4"/>
    </row>
    <row r="250" spans="1:36" ht="15.75" customHeight="1" x14ac:dyDescent="0.25">
      <c r="A250" s="9">
        <v>2</v>
      </c>
      <c r="B250" s="10" t="s">
        <v>44</v>
      </c>
      <c r="C250" s="10" t="s">
        <v>15</v>
      </c>
      <c r="D250" s="10" t="s">
        <v>45</v>
      </c>
      <c r="E250" s="11" t="str">
        <f ca="1">IFERROR(__xludf.DUMMYFUNCTION("FILTER(Colegios!$B$2:$B2419,Colegios!$A$2:$A2419=L250)"),"64508-B")</f>
        <v>64508-B</v>
      </c>
      <c r="F250" s="11" t="s">
        <v>17</v>
      </c>
      <c r="G250" s="10" t="s">
        <v>18</v>
      </c>
      <c r="H250" s="11" t="s">
        <v>19</v>
      </c>
      <c r="I250" s="11" t="s">
        <v>20</v>
      </c>
      <c r="J250" s="12" t="str">
        <f ca="1">IFERROR(__xludf.DUMMYFUNCTION("FILTER('CLASFICACIÓN'!$F$3:$F2419,'CLASFICACIÓN'!$G$3:$G2419=M250)"),"SOLO 2024")</f>
        <v>SOLO 2024</v>
      </c>
      <c r="K250" s="12" t="s">
        <v>2011</v>
      </c>
      <c r="L250" s="11" t="s">
        <v>48</v>
      </c>
      <c r="M250" s="12" t="str">
        <f t="shared" ca="1" si="0"/>
        <v>64508-B2 Primaria</v>
      </c>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4"/>
    </row>
    <row r="251" spans="1:36" ht="15.75" customHeight="1" x14ac:dyDescent="0.25">
      <c r="A251" s="9">
        <v>3</v>
      </c>
      <c r="B251" s="10" t="s">
        <v>44</v>
      </c>
      <c r="C251" s="10" t="s">
        <v>15</v>
      </c>
      <c r="D251" s="10" t="s">
        <v>45</v>
      </c>
      <c r="E251" s="11" t="str">
        <f ca="1">IFERROR(__xludf.DUMMYFUNCTION("FILTER(Colegios!$B$2:$B2419,Colegios!$A$2:$A2419=L251)"),"64508-B")</f>
        <v>64508-B</v>
      </c>
      <c r="F251" s="11" t="s">
        <v>17</v>
      </c>
      <c r="G251" s="10" t="s">
        <v>18</v>
      </c>
      <c r="H251" s="11" t="s">
        <v>19</v>
      </c>
      <c r="I251" s="11" t="s">
        <v>20</v>
      </c>
      <c r="J251" s="12" t="str">
        <f ca="1">IFERROR(__xludf.DUMMYFUNCTION("FILTER('CLASFICACIÓN'!$F$3:$F2419,'CLASFICACIÓN'!$G$3:$G2419=M251)"),"SOLO 2024")</f>
        <v>SOLO 2024</v>
      </c>
      <c r="K251" s="12" t="s">
        <v>2011</v>
      </c>
      <c r="L251" s="11" t="s">
        <v>48</v>
      </c>
      <c r="M251" s="12" t="str">
        <f t="shared" ca="1" si="0"/>
        <v>64508-B2 Primaria</v>
      </c>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4"/>
    </row>
    <row r="252" spans="1:36" ht="15.75" customHeight="1" x14ac:dyDescent="0.25">
      <c r="A252" s="9">
        <v>4</v>
      </c>
      <c r="B252" s="10" t="s">
        <v>44</v>
      </c>
      <c r="C252" s="10" t="s">
        <v>15</v>
      </c>
      <c r="D252" s="10" t="s">
        <v>45</v>
      </c>
      <c r="E252" s="11" t="str">
        <f ca="1">IFERROR(__xludf.DUMMYFUNCTION("FILTER(Colegios!$B$2:$B2419,Colegios!$A$2:$A2419=L252)"),"64508-B")</f>
        <v>64508-B</v>
      </c>
      <c r="F252" s="11" t="s">
        <v>17</v>
      </c>
      <c r="G252" s="10" t="s">
        <v>18</v>
      </c>
      <c r="H252" s="11" t="s">
        <v>19</v>
      </c>
      <c r="I252" s="11" t="s">
        <v>20</v>
      </c>
      <c r="J252" s="12" t="str">
        <f ca="1">IFERROR(__xludf.DUMMYFUNCTION("FILTER('CLASFICACIÓN'!$F$3:$F2419,'CLASFICACIÓN'!$G$3:$G2419=M252)"),"SOLO 2024")</f>
        <v>SOLO 2024</v>
      </c>
      <c r="K252" s="12" t="s">
        <v>2011</v>
      </c>
      <c r="L252" s="11" t="s">
        <v>48</v>
      </c>
      <c r="M252" s="12" t="str">
        <f t="shared" ca="1" si="0"/>
        <v>64508-B2 Primaria</v>
      </c>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4"/>
    </row>
    <row r="253" spans="1:36" ht="15.75" customHeight="1" x14ac:dyDescent="0.25">
      <c r="A253" s="9">
        <v>5</v>
      </c>
      <c r="B253" s="10" t="s">
        <v>44</v>
      </c>
      <c r="C253" s="10" t="s">
        <v>15</v>
      </c>
      <c r="D253" s="10" t="s">
        <v>45</v>
      </c>
      <c r="E253" s="11" t="str">
        <f ca="1">IFERROR(__xludf.DUMMYFUNCTION("FILTER(Colegios!$B$2:$B2419,Colegios!$A$2:$A2419=L253)"),"64508-B")</f>
        <v>64508-B</v>
      </c>
      <c r="F253" s="11" t="s">
        <v>17</v>
      </c>
      <c r="G253" s="10" t="s">
        <v>18</v>
      </c>
      <c r="H253" s="11" t="s">
        <v>19</v>
      </c>
      <c r="I253" s="11" t="s">
        <v>20</v>
      </c>
      <c r="J253" s="12" t="str">
        <f ca="1">IFERROR(__xludf.DUMMYFUNCTION("FILTER('CLASFICACIÓN'!$F$3:$F2419,'CLASFICACIÓN'!$G$3:$G2419=M253)"),"SOLO 2024")</f>
        <v>SOLO 2024</v>
      </c>
      <c r="K253" s="12" t="s">
        <v>2011</v>
      </c>
      <c r="L253" s="11" t="s">
        <v>48</v>
      </c>
      <c r="M253" s="12" t="str">
        <f t="shared" ca="1" si="0"/>
        <v>64508-B2 Primaria</v>
      </c>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4"/>
    </row>
    <row r="254" spans="1:36" ht="15.75" customHeight="1" x14ac:dyDescent="0.25">
      <c r="A254" s="9">
        <v>6</v>
      </c>
      <c r="B254" s="10" t="s">
        <v>44</v>
      </c>
      <c r="C254" s="10" t="s">
        <v>15</v>
      </c>
      <c r="D254" s="10" t="s">
        <v>45</v>
      </c>
      <c r="E254" s="11" t="str">
        <f ca="1">IFERROR(__xludf.DUMMYFUNCTION("FILTER(Colegios!$B$2:$B2419,Colegios!$A$2:$A2419=L254)"),"64508-B")</f>
        <v>64508-B</v>
      </c>
      <c r="F254" s="11" t="s">
        <v>17</v>
      </c>
      <c r="G254" s="10" t="s">
        <v>24</v>
      </c>
      <c r="H254" s="11" t="s">
        <v>19</v>
      </c>
      <c r="I254" s="11" t="s">
        <v>20</v>
      </c>
      <c r="J254" s="12" t="str">
        <f ca="1">IFERROR(__xludf.DUMMYFUNCTION("FILTER('CLASFICACIÓN'!$F$3:$F2419,'CLASFICACIÓN'!$G$3:$G2419=M254)"),"SOLO 2024")</f>
        <v>SOLO 2024</v>
      </c>
      <c r="K254" s="12" t="s">
        <v>2011</v>
      </c>
      <c r="L254" s="11" t="s">
        <v>48</v>
      </c>
      <c r="M254" s="12" t="str">
        <f t="shared" ca="1" si="0"/>
        <v>64508-B2 Primaria</v>
      </c>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4"/>
    </row>
    <row r="255" spans="1:36" ht="15.75" customHeight="1" x14ac:dyDescent="0.25">
      <c r="A255" s="9">
        <v>7</v>
      </c>
      <c r="B255" s="10" t="s">
        <v>44</v>
      </c>
      <c r="C255" s="10" t="s">
        <v>15</v>
      </c>
      <c r="D255" s="10" t="s">
        <v>45</v>
      </c>
      <c r="E255" s="11" t="str">
        <f ca="1">IFERROR(__xludf.DUMMYFUNCTION("FILTER(Colegios!$B$2:$B2419,Colegios!$A$2:$A2419=L255)"),"64508-B")</f>
        <v>64508-B</v>
      </c>
      <c r="F255" s="11" t="s">
        <v>17</v>
      </c>
      <c r="G255" s="10" t="s">
        <v>24</v>
      </c>
      <c r="H255" s="11" t="s">
        <v>19</v>
      </c>
      <c r="I255" s="11" t="s">
        <v>20</v>
      </c>
      <c r="J255" s="12" t="str">
        <f ca="1">IFERROR(__xludf.DUMMYFUNCTION("FILTER('CLASFICACIÓN'!$F$3:$F2419,'CLASFICACIÓN'!$G$3:$G2419=M255)"),"SOLO 2024")</f>
        <v>SOLO 2024</v>
      </c>
      <c r="K255" s="12" t="s">
        <v>2011</v>
      </c>
      <c r="L255" s="11" t="s">
        <v>48</v>
      </c>
      <c r="M255" s="12" t="str">
        <f t="shared" ca="1" si="0"/>
        <v>64508-B2 Primaria</v>
      </c>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4"/>
    </row>
    <row r="256" spans="1:36" ht="15.75" customHeight="1" x14ac:dyDescent="0.25">
      <c r="A256" s="9">
        <v>8</v>
      </c>
      <c r="B256" s="10" t="s">
        <v>44</v>
      </c>
      <c r="C256" s="10" t="s">
        <v>15</v>
      </c>
      <c r="D256" s="10" t="s">
        <v>45</v>
      </c>
      <c r="E256" s="11" t="str">
        <f ca="1">IFERROR(__xludf.DUMMYFUNCTION("FILTER(Colegios!$B$2:$B2419,Colegios!$A$2:$A2419=L256)"),"64508-B")</f>
        <v>64508-B</v>
      </c>
      <c r="F256" s="11" t="s">
        <v>17</v>
      </c>
      <c r="G256" s="10" t="s">
        <v>24</v>
      </c>
      <c r="H256" s="11" t="s">
        <v>19</v>
      </c>
      <c r="I256" s="11" t="s">
        <v>20</v>
      </c>
      <c r="J256" s="12" t="str">
        <f ca="1">IFERROR(__xludf.DUMMYFUNCTION("FILTER('CLASFICACIÓN'!$F$3:$F2419,'CLASFICACIÓN'!$G$3:$G2419=M256)"),"SOLO 2024")</f>
        <v>SOLO 2024</v>
      </c>
      <c r="K256" s="12" t="s">
        <v>2011</v>
      </c>
      <c r="L256" s="11" t="s">
        <v>48</v>
      </c>
      <c r="M256" s="12" t="str">
        <f t="shared" ca="1" si="0"/>
        <v>64508-B2 Primaria</v>
      </c>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4"/>
    </row>
    <row r="257" spans="1:36" ht="15.75" customHeight="1" x14ac:dyDescent="0.25">
      <c r="A257" s="9">
        <v>9</v>
      </c>
      <c r="B257" s="10" t="s">
        <v>44</v>
      </c>
      <c r="C257" s="10" t="s">
        <v>15</v>
      </c>
      <c r="D257" s="10" t="s">
        <v>16</v>
      </c>
      <c r="E257" s="11" t="str">
        <f ca="1">IFERROR(__xludf.DUMMYFUNCTION("FILTER(Colegios!$B$2:$B2419,Colegios!$A$2:$A2419=L257)"),"64508-B")</f>
        <v>64508-B</v>
      </c>
      <c r="F257" s="11" t="s">
        <v>17</v>
      </c>
      <c r="G257" s="10" t="s">
        <v>18</v>
      </c>
      <c r="H257" s="11" t="s">
        <v>19</v>
      </c>
      <c r="I257" s="11" t="s">
        <v>20</v>
      </c>
      <c r="J257" s="12" t="str">
        <f ca="1">IFERROR(__xludf.DUMMYFUNCTION("FILTER('CLASFICACIÓN'!$F$3:$F2419,'CLASFICACIÓN'!$G$3:$G2419=M257)"),"SOLO 2024")</f>
        <v>SOLO 2024</v>
      </c>
      <c r="K257" s="12" t="s">
        <v>2011</v>
      </c>
      <c r="L257" s="11" t="s">
        <v>48</v>
      </c>
      <c r="M257" s="12" t="str">
        <f t="shared" ref="M257:M511" ca="1" si="1">E257&amp;D257</f>
        <v>64508-B4 Primaria</v>
      </c>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4"/>
    </row>
    <row r="258" spans="1:36" ht="15.75" customHeight="1" x14ac:dyDescent="0.25">
      <c r="A258" s="9">
        <v>10</v>
      </c>
      <c r="B258" s="10" t="s">
        <v>44</v>
      </c>
      <c r="C258" s="10" t="s">
        <v>15</v>
      </c>
      <c r="D258" s="10" t="s">
        <v>16</v>
      </c>
      <c r="E258" s="11" t="str">
        <f ca="1">IFERROR(__xludf.DUMMYFUNCTION("FILTER(Colegios!$B$2:$B2419,Colegios!$A$2:$A2419=L258)"),"64508-B")</f>
        <v>64508-B</v>
      </c>
      <c r="F258" s="11" t="s">
        <v>17</v>
      </c>
      <c r="G258" s="10" t="s">
        <v>18</v>
      </c>
      <c r="H258" s="11" t="s">
        <v>19</v>
      </c>
      <c r="I258" s="11" t="s">
        <v>20</v>
      </c>
      <c r="J258" s="12" t="str">
        <f ca="1">IFERROR(__xludf.DUMMYFUNCTION("FILTER('CLASFICACIÓN'!$F$3:$F2419,'CLASFICACIÓN'!$G$3:$G2419=M258)"),"SOLO 2024")</f>
        <v>SOLO 2024</v>
      </c>
      <c r="K258" s="12" t="s">
        <v>2011</v>
      </c>
      <c r="L258" s="11" t="s">
        <v>48</v>
      </c>
      <c r="M258" s="12" t="str">
        <f t="shared" ca="1" si="1"/>
        <v>64508-B4 Primaria</v>
      </c>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4"/>
    </row>
    <row r="259" spans="1:36" ht="15.75" customHeight="1" x14ac:dyDescent="0.25">
      <c r="A259" s="9">
        <v>11</v>
      </c>
      <c r="B259" s="10" t="s">
        <v>44</v>
      </c>
      <c r="C259" s="10" t="s">
        <v>15</v>
      </c>
      <c r="D259" s="10" t="s">
        <v>16</v>
      </c>
      <c r="E259" s="11" t="str">
        <f ca="1">IFERROR(__xludf.DUMMYFUNCTION("FILTER(Colegios!$B$2:$B2419,Colegios!$A$2:$A2419=L259)"),"64508-B")</f>
        <v>64508-B</v>
      </c>
      <c r="F259" s="11" t="s">
        <v>17</v>
      </c>
      <c r="G259" s="10" t="s">
        <v>18</v>
      </c>
      <c r="H259" s="11" t="s">
        <v>19</v>
      </c>
      <c r="I259" s="11" t="s">
        <v>20</v>
      </c>
      <c r="J259" s="12" t="str">
        <f ca="1">IFERROR(__xludf.DUMMYFUNCTION("FILTER('CLASFICACIÓN'!$F$3:$F2419,'CLASFICACIÓN'!$G$3:$G2419=M259)"),"SOLO 2024")</f>
        <v>SOLO 2024</v>
      </c>
      <c r="K259" s="12" t="s">
        <v>2011</v>
      </c>
      <c r="L259" s="11" t="s">
        <v>48</v>
      </c>
      <c r="M259" s="12" t="str">
        <f t="shared" ca="1" si="1"/>
        <v>64508-B4 Primaria</v>
      </c>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4"/>
    </row>
    <row r="260" spans="1:36" ht="15.75" customHeight="1" x14ac:dyDescent="0.25">
      <c r="A260" s="9">
        <v>12</v>
      </c>
      <c r="B260" s="10" t="s">
        <v>44</v>
      </c>
      <c r="C260" s="10" t="s">
        <v>15</v>
      </c>
      <c r="D260" s="10" t="s">
        <v>16</v>
      </c>
      <c r="E260" s="11" t="str">
        <f ca="1">IFERROR(__xludf.DUMMYFUNCTION("FILTER(Colegios!$B$2:$B2419,Colegios!$A$2:$A2419=L260)"),"64508-B")</f>
        <v>64508-B</v>
      </c>
      <c r="F260" s="11" t="s">
        <v>17</v>
      </c>
      <c r="G260" s="10" t="s">
        <v>18</v>
      </c>
      <c r="H260" s="11" t="s">
        <v>19</v>
      </c>
      <c r="I260" s="11" t="s">
        <v>20</v>
      </c>
      <c r="J260" s="12" t="str">
        <f ca="1">IFERROR(__xludf.DUMMYFUNCTION("FILTER('CLASFICACIÓN'!$F$3:$F2419,'CLASFICACIÓN'!$G$3:$G2419=M260)"),"SOLO 2024")</f>
        <v>SOLO 2024</v>
      </c>
      <c r="K260" s="12" t="s">
        <v>2011</v>
      </c>
      <c r="L260" s="11" t="s">
        <v>48</v>
      </c>
      <c r="M260" s="12" t="str">
        <f t="shared" ca="1" si="1"/>
        <v>64508-B4 Primaria</v>
      </c>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4"/>
    </row>
    <row r="261" spans="1:36" ht="15.75" customHeight="1" x14ac:dyDescent="0.25">
      <c r="A261" s="9">
        <v>13</v>
      </c>
      <c r="B261" s="10" t="s">
        <v>44</v>
      </c>
      <c r="C261" s="10" t="s">
        <v>15</v>
      </c>
      <c r="D261" s="10" t="s">
        <v>16</v>
      </c>
      <c r="E261" s="11" t="str">
        <f ca="1">IFERROR(__xludf.DUMMYFUNCTION("FILTER(Colegios!$B$2:$B2419,Colegios!$A$2:$A2419=L261)"),"64508-B")</f>
        <v>64508-B</v>
      </c>
      <c r="F261" s="11" t="s">
        <v>17</v>
      </c>
      <c r="G261" s="10" t="s">
        <v>24</v>
      </c>
      <c r="H261" s="11" t="s">
        <v>19</v>
      </c>
      <c r="I261" s="11" t="s">
        <v>20</v>
      </c>
      <c r="J261" s="12" t="str">
        <f ca="1">IFERROR(__xludf.DUMMYFUNCTION("FILTER('CLASFICACIÓN'!$F$3:$F2419,'CLASFICACIÓN'!$G$3:$G2419=M261)"),"SOLO 2024")</f>
        <v>SOLO 2024</v>
      </c>
      <c r="K261" s="12" t="s">
        <v>2011</v>
      </c>
      <c r="L261" s="11" t="s">
        <v>48</v>
      </c>
      <c r="M261" s="12" t="str">
        <f t="shared" ca="1" si="1"/>
        <v>64508-B4 Primaria</v>
      </c>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4"/>
    </row>
    <row r="262" spans="1:36" ht="15.75" customHeight="1" x14ac:dyDescent="0.25">
      <c r="A262" s="9">
        <v>14</v>
      </c>
      <c r="B262" s="10" t="s">
        <v>44</v>
      </c>
      <c r="C262" s="10" t="s">
        <v>15</v>
      </c>
      <c r="D262" s="10" t="s">
        <v>16</v>
      </c>
      <c r="E262" s="11" t="str">
        <f ca="1">IFERROR(__xludf.DUMMYFUNCTION("FILTER(Colegios!$B$2:$B2419,Colegios!$A$2:$A2419=L262)"),"64508-B")</f>
        <v>64508-B</v>
      </c>
      <c r="F262" s="11" t="s">
        <v>17</v>
      </c>
      <c r="G262" s="10" t="s">
        <v>24</v>
      </c>
      <c r="H262" s="11" t="s">
        <v>19</v>
      </c>
      <c r="I262" s="11" t="s">
        <v>20</v>
      </c>
      <c r="J262" s="12" t="str">
        <f ca="1">IFERROR(__xludf.DUMMYFUNCTION("FILTER('CLASFICACIÓN'!$F$3:$F2419,'CLASFICACIÓN'!$G$3:$G2419=M262)"),"SOLO 2024")</f>
        <v>SOLO 2024</v>
      </c>
      <c r="K262" s="12" t="s">
        <v>2011</v>
      </c>
      <c r="L262" s="11" t="s">
        <v>48</v>
      </c>
      <c r="M262" s="12" t="str">
        <f t="shared" ca="1" si="1"/>
        <v>64508-B4 Primaria</v>
      </c>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4"/>
    </row>
    <row r="263" spans="1:36" ht="15.75" customHeight="1" x14ac:dyDescent="0.25">
      <c r="A263" s="9">
        <v>15</v>
      </c>
      <c r="B263" s="10" t="s">
        <v>44</v>
      </c>
      <c r="C263" s="10" t="s">
        <v>15</v>
      </c>
      <c r="D263" s="10" t="s">
        <v>16</v>
      </c>
      <c r="E263" s="11" t="str">
        <f ca="1">IFERROR(__xludf.DUMMYFUNCTION("FILTER(Colegios!$B$2:$B2419,Colegios!$A$2:$A2419=L263)"),"64508-B")</f>
        <v>64508-B</v>
      </c>
      <c r="F263" s="11" t="s">
        <v>17</v>
      </c>
      <c r="G263" s="10" t="s">
        <v>24</v>
      </c>
      <c r="H263" s="11" t="s">
        <v>19</v>
      </c>
      <c r="I263" s="11" t="s">
        <v>20</v>
      </c>
      <c r="J263" s="12" t="str">
        <f ca="1">IFERROR(__xludf.DUMMYFUNCTION("FILTER('CLASFICACIÓN'!$F$3:$F2419,'CLASFICACIÓN'!$G$3:$G2419=M263)"),"SOLO 2024")</f>
        <v>SOLO 2024</v>
      </c>
      <c r="K263" s="12" t="s">
        <v>2011</v>
      </c>
      <c r="L263" s="11" t="s">
        <v>48</v>
      </c>
      <c r="M263" s="12" t="str">
        <f t="shared" ca="1" si="1"/>
        <v>64508-B4 Primaria</v>
      </c>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4"/>
    </row>
    <row r="264" spans="1:36" ht="15.75" customHeight="1" x14ac:dyDescent="0.25">
      <c r="A264" s="9">
        <v>16</v>
      </c>
      <c r="B264" s="10" t="s">
        <v>44</v>
      </c>
      <c r="C264" s="10" t="s">
        <v>15</v>
      </c>
      <c r="D264" s="10" t="s">
        <v>16</v>
      </c>
      <c r="E264" s="11" t="str">
        <f ca="1">IFERROR(__xludf.DUMMYFUNCTION("FILTER(Colegios!$B$2:$B2419,Colegios!$A$2:$A2419=L264)"),"64508-B")</f>
        <v>64508-B</v>
      </c>
      <c r="F264" s="11" t="s">
        <v>17</v>
      </c>
      <c r="G264" s="10" t="s">
        <v>24</v>
      </c>
      <c r="H264" s="11" t="s">
        <v>19</v>
      </c>
      <c r="I264" s="11" t="s">
        <v>20</v>
      </c>
      <c r="J264" s="12" t="str">
        <f ca="1">IFERROR(__xludf.DUMMYFUNCTION("FILTER('CLASFICACIÓN'!$F$3:$F2419,'CLASFICACIÓN'!$G$3:$G2419=M264)"),"SOLO 2024")</f>
        <v>SOLO 2024</v>
      </c>
      <c r="K264" s="12" t="s">
        <v>2011</v>
      </c>
      <c r="L264" s="11" t="s">
        <v>48</v>
      </c>
      <c r="M264" s="12" t="str">
        <f t="shared" ca="1" si="1"/>
        <v>64508-B4 Primaria</v>
      </c>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4"/>
    </row>
    <row r="265" spans="1:36" ht="15.75" customHeight="1" x14ac:dyDescent="0.25">
      <c r="A265" s="9">
        <v>17</v>
      </c>
      <c r="B265" s="10" t="s">
        <v>44</v>
      </c>
      <c r="C265" s="10" t="s">
        <v>15</v>
      </c>
      <c r="D265" s="10" t="s">
        <v>16</v>
      </c>
      <c r="E265" s="11" t="str">
        <f ca="1">IFERROR(__xludf.DUMMYFUNCTION("FILTER(Colegios!$B$2:$B2419,Colegios!$A$2:$A2419=L265)"),"64508-B")</f>
        <v>64508-B</v>
      </c>
      <c r="F265" s="11" t="s">
        <v>17</v>
      </c>
      <c r="G265" s="10" t="s">
        <v>24</v>
      </c>
      <c r="H265" s="11" t="s">
        <v>19</v>
      </c>
      <c r="I265" s="11" t="s">
        <v>20</v>
      </c>
      <c r="J265" s="12" t="str">
        <f ca="1">IFERROR(__xludf.DUMMYFUNCTION("FILTER('CLASFICACIÓN'!$F$3:$F2419,'CLASFICACIÓN'!$G$3:$G2419=M265)"),"SOLO 2024")</f>
        <v>SOLO 2024</v>
      </c>
      <c r="K265" s="12" t="s">
        <v>2011</v>
      </c>
      <c r="L265" s="11" t="s">
        <v>48</v>
      </c>
      <c r="M265" s="12" t="str">
        <f t="shared" ca="1" si="1"/>
        <v>64508-B4 Primaria</v>
      </c>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4"/>
    </row>
    <row r="266" spans="1:36" ht="15.75" customHeight="1" x14ac:dyDescent="0.25">
      <c r="A266" s="9">
        <v>18</v>
      </c>
      <c r="B266" s="10" t="s">
        <v>44</v>
      </c>
      <c r="C266" s="10" t="s">
        <v>15</v>
      </c>
      <c r="D266" s="10" t="s">
        <v>37</v>
      </c>
      <c r="E266" s="11" t="str">
        <f ca="1">IFERROR(__xludf.DUMMYFUNCTION("FILTER(Colegios!$B$2:$B2419,Colegios!$A$2:$A2419=L266)"),"64508-B")</f>
        <v>64508-B</v>
      </c>
      <c r="F266" s="11" t="s">
        <v>17</v>
      </c>
      <c r="G266" s="10" t="s">
        <v>18</v>
      </c>
      <c r="H266" s="11" t="s">
        <v>19</v>
      </c>
      <c r="I266" s="11" t="s">
        <v>20</v>
      </c>
      <c r="J266" s="12" t="str">
        <f ca="1">IFERROR(__xludf.DUMMYFUNCTION("FILTER('CLASFICACIÓN'!$F$3:$F2419,'CLASFICACIÓN'!$G$3:$G2419=M266)"),"SOLO 2024")</f>
        <v>SOLO 2024</v>
      </c>
      <c r="K266" s="12" t="s">
        <v>2011</v>
      </c>
      <c r="L266" s="11" t="s">
        <v>48</v>
      </c>
      <c r="M266" s="12" t="str">
        <f t="shared" ca="1" si="1"/>
        <v>64508-B6 Primaria</v>
      </c>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4"/>
    </row>
    <row r="267" spans="1:36" ht="15.75" customHeight="1" x14ac:dyDescent="0.25">
      <c r="A267" s="9">
        <v>19</v>
      </c>
      <c r="B267" s="10" t="s">
        <v>44</v>
      </c>
      <c r="C267" s="10" t="s">
        <v>15</v>
      </c>
      <c r="D267" s="10" t="s">
        <v>37</v>
      </c>
      <c r="E267" s="11" t="str">
        <f ca="1">IFERROR(__xludf.DUMMYFUNCTION("FILTER(Colegios!$B$2:$B2419,Colegios!$A$2:$A2419=L267)"),"64508-B")</f>
        <v>64508-B</v>
      </c>
      <c r="F267" s="11" t="s">
        <v>17</v>
      </c>
      <c r="G267" s="10" t="s">
        <v>18</v>
      </c>
      <c r="H267" s="11" t="s">
        <v>19</v>
      </c>
      <c r="I267" s="11" t="s">
        <v>20</v>
      </c>
      <c r="J267" s="12" t="str">
        <f ca="1">IFERROR(__xludf.DUMMYFUNCTION("FILTER('CLASFICACIÓN'!$F$3:$F2419,'CLASFICACIÓN'!$G$3:$G2419=M267)"),"SOLO 2024")</f>
        <v>SOLO 2024</v>
      </c>
      <c r="K267" s="12" t="s">
        <v>2011</v>
      </c>
      <c r="L267" s="11" t="s">
        <v>48</v>
      </c>
      <c r="M267" s="12" t="str">
        <f t="shared" ca="1" si="1"/>
        <v>64508-B6 Primaria</v>
      </c>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4"/>
    </row>
    <row r="268" spans="1:36" ht="15.75" customHeight="1" x14ac:dyDescent="0.25">
      <c r="A268" s="9">
        <v>20</v>
      </c>
      <c r="B268" s="10" t="s">
        <v>44</v>
      </c>
      <c r="C268" s="10" t="s">
        <v>15</v>
      </c>
      <c r="D268" s="10" t="s">
        <v>37</v>
      </c>
      <c r="E268" s="11" t="str">
        <f ca="1">IFERROR(__xludf.DUMMYFUNCTION("FILTER(Colegios!$B$2:$B2419,Colegios!$A$2:$A2419=L268)"),"64508-B")</f>
        <v>64508-B</v>
      </c>
      <c r="F268" s="11" t="s">
        <v>17</v>
      </c>
      <c r="G268" s="10" t="s">
        <v>18</v>
      </c>
      <c r="H268" s="11" t="s">
        <v>19</v>
      </c>
      <c r="I268" s="11" t="s">
        <v>20</v>
      </c>
      <c r="J268" s="12" t="str">
        <f ca="1">IFERROR(__xludf.DUMMYFUNCTION("FILTER('CLASFICACIÓN'!$F$3:$F2419,'CLASFICACIÓN'!$G$3:$G2419=M268)"),"SOLO 2024")</f>
        <v>SOLO 2024</v>
      </c>
      <c r="K268" s="12" t="s">
        <v>2011</v>
      </c>
      <c r="L268" s="11" t="s">
        <v>48</v>
      </c>
      <c r="M268" s="12" t="str">
        <f t="shared" ca="1" si="1"/>
        <v>64508-B6 Primaria</v>
      </c>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4"/>
    </row>
    <row r="269" spans="1:36" ht="15.75" customHeight="1" x14ac:dyDescent="0.25">
      <c r="A269" s="9">
        <v>21</v>
      </c>
      <c r="B269" s="10" t="s">
        <v>44</v>
      </c>
      <c r="C269" s="10" t="s">
        <v>15</v>
      </c>
      <c r="D269" s="10" t="s">
        <v>37</v>
      </c>
      <c r="E269" s="11" t="str">
        <f ca="1">IFERROR(__xludf.DUMMYFUNCTION("FILTER(Colegios!$B$2:$B2419,Colegios!$A$2:$A2419=L269)"),"64508-B")</f>
        <v>64508-B</v>
      </c>
      <c r="F269" s="11" t="s">
        <v>17</v>
      </c>
      <c r="G269" s="10" t="s">
        <v>18</v>
      </c>
      <c r="H269" s="11" t="s">
        <v>19</v>
      </c>
      <c r="I269" s="11" t="s">
        <v>20</v>
      </c>
      <c r="J269" s="12" t="str">
        <f ca="1">IFERROR(__xludf.DUMMYFUNCTION("FILTER('CLASFICACIÓN'!$F$3:$F2419,'CLASFICACIÓN'!$G$3:$G2419=M269)"),"SOLO 2024")</f>
        <v>SOLO 2024</v>
      </c>
      <c r="K269" s="12" t="s">
        <v>2011</v>
      </c>
      <c r="L269" s="11" t="s">
        <v>48</v>
      </c>
      <c r="M269" s="12" t="str">
        <f t="shared" ca="1" si="1"/>
        <v>64508-B6 Primaria</v>
      </c>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4"/>
    </row>
    <row r="270" spans="1:36" ht="15.75" customHeight="1" x14ac:dyDescent="0.25">
      <c r="A270" s="9">
        <v>22</v>
      </c>
      <c r="B270" s="10" t="s">
        <v>44</v>
      </c>
      <c r="C270" s="10" t="s">
        <v>15</v>
      </c>
      <c r="D270" s="10" t="s">
        <v>37</v>
      </c>
      <c r="E270" s="11" t="str">
        <f ca="1">IFERROR(__xludf.DUMMYFUNCTION("FILTER(Colegios!$B$2:$B2419,Colegios!$A$2:$A2419=L270)"),"64508-B")</f>
        <v>64508-B</v>
      </c>
      <c r="F270" s="11" t="s">
        <v>17</v>
      </c>
      <c r="G270" s="10" t="s">
        <v>24</v>
      </c>
      <c r="H270" s="11" t="s">
        <v>19</v>
      </c>
      <c r="I270" s="11" t="s">
        <v>20</v>
      </c>
      <c r="J270" s="12" t="str">
        <f ca="1">IFERROR(__xludf.DUMMYFUNCTION("FILTER('CLASFICACIÓN'!$F$3:$F2419,'CLASFICACIÓN'!$G$3:$G2419=M270)"),"SOLO 2024")</f>
        <v>SOLO 2024</v>
      </c>
      <c r="K270" s="12" t="s">
        <v>2011</v>
      </c>
      <c r="L270" s="11" t="s">
        <v>48</v>
      </c>
      <c r="M270" s="12" t="str">
        <f t="shared" ca="1" si="1"/>
        <v>64508-B6 Primaria</v>
      </c>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4"/>
    </row>
    <row r="271" spans="1:36" ht="15.75" customHeight="1" x14ac:dyDescent="0.25">
      <c r="A271" s="9">
        <v>23</v>
      </c>
      <c r="B271" s="10" t="s">
        <v>44</v>
      </c>
      <c r="C271" s="10" t="s">
        <v>15</v>
      </c>
      <c r="D271" s="10" t="s">
        <v>37</v>
      </c>
      <c r="E271" s="11" t="str">
        <f ca="1">IFERROR(__xludf.DUMMYFUNCTION("FILTER(Colegios!$B$2:$B2419,Colegios!$A$2:$A2419=L271)"),"64508-B")</f>
        <v>64508-B</v>
      </c>
      <c r="F271" s="11" t="s">
        <v>17</v>
      </c>
      <c r="G271" s="10" t="s">
        <v>24</v>
      </c>
      <c r="H271" s="11" t="s">
        <v>19</v>
      </c>
      <c r="I271" s="11" t="s">
        <v>20</v>
      </c>
      <c r="J271" s="12" t="str">
        <f ca="1">IFERROR(__xludf.DUMMYFUNCTION("FILTER('CLASFICACIÓN'!$F$3:$F2419,'CLASFICACIÓN'!$G$3:$G2419=M271)"),"SOLO 2024")</f>
        <v>SOLO 2024</v>
      </c>
      <c r="K271" s="12" t="s">
        <v>2011</v>
      </c>
      <c r="L271" s="11" t="s">
        <v>48</v>
      </c>
      <c r="M271" s="12" t="str">
        <f t="shared" ca="1" si="1"/>
        <v>64508-B6 Primaria</v>
      </c>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4"/>
    </row>
    <row r="272" spans="1:36" ht="15.75" customHeight="1" x14ac:dyDescent="0.25">
      <c r="A272" s="9">
        <v>24</v>
      </c>
      <c r="B272" s="10" t="s">
        <v>44</v>
      </c>
      <c r="C272" s="10" t="s">
        <v>15</v>
      </c>
      <c r="D272" s="10" t="s">
        <v>37</v>
      </c>
      <c r="E272" s="11" t="str">
        <f ca="1">IFERROR(__xludf.DUMMYFUNCTION("FILTER(Colegios!$B$2:$B2419,Colegios!$A$2:$A2419=L272)"),"64508-B")</f>
        <v>64508-B</v>
      </c>
      <c r="F272" s="11" t="s">
        <v>17</v>
      </c>
      <c r="G272" s="10" t="s">
        <v>24</v>
      </c>
      <c r="H272" s="11" t="s">
        <v>19</v>
      </c>
      <c r="I272" s="11" t="s">
        <v>20</v>
      </c>
      <c r="J272" s="12" t="str">
        <f ca="1">IFERROR(__xludf.DUMMYFUNCTION("FILTER('CLASFICACIÓN'!$F$3:$F2419,'CLASFICACIÓN'!$G$3:$G2419=M272)"),"SOLO 2024")</f>
        <v>SOLO 2024</v>
      </c>
      <c r="K272" s="12" t="s">
        <v>2011</v>
      </c>
      <c r="L272" s="11" t="s">
        <v>48</v>
      </c>
      <c r="M272" s="12" t="str">
        <f t="shared" ca="1" si="1"/>
        <v>64508-B6 Primaria</v>
      </c>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4"/>
    </row>
    <row r="273" spans="1:36" ht="15.75" customHeight="1" x14ac:dyDescent="0.25">
      <c r="A273" s="9">
        <v>25</v>
      </c>
      <c r="B273" s="10" t="s">
        <v>44</v>
      </c>
      <c r="C273" s="10" t="s">
        <v>15</v>
      </c>
      <c r="D273" s="10" t="s">
        <v>37</v>
      </c>
      <c r="E273" s="11" t="str">
        <f ca="1">IFERROR(__xludf.DUMMYFUNCTION("FILTER(Colegios!$B$2:$B2419,Colegios!$A$2:$A2419=L273)"),"64508-B")</f>
        <v>64508-B</v>
      </c>
      <c r="F273" s="11" t="s">
        <v>17</v>
      </c>
      <c r="G273" s="10" t="s">
        <v>24</v>
      </c>
      <c r="H273" s="11" t="s">
        <v>19</v>
      </c>
      <c r="I273" s="11" t="s">
        <v>20</v>
      </c>
      <c r="J273" s="12" t="str">
        <f ca="1">IFERROR(__xludf.DUMMYFUNCTION("FILTER('CLASFICACIÓN'!$F$3:$F2419,'CLASFICACIÓN'!$G$3:$G2419=M273)"),"SOLO 2024")</f>
        <v>SOLO 2024</v>
      </c>
      <c r="K273" s="12" t="s">
        <v>2011</v>
      </c>
      <c r="L273" s="11" t="s">
        <v>48</v>
      </c>
      <c r="M273" s="12" t="str">
        <f t="shared" ca="1" si="1"/>
        <v>64508-B6 Primaria</v>
      </c>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4"/>
    </row>
    <row r="274" spans="1:36" ht="15.75" customHeight="1" x14ac:dyDescent="0.25">
      <c r="A274" s="9">
        <v>1</v>
      </c>
      <c r="B274" s="10" t="s">
        <v>44</v>
      </c>
      <c r="C274" s="10" t="s">
        <v>15</v>
      </c>
      <c r="D274" s="10" t="s">
        <v>45</v>
      </c>
      <c r="E274" s="11" t="str">
        <f ca="1">IFERROR(__xludf.DUMMYFUNCTION("FILTER(Colegios!$B$2:$B2419,Colegios!$A$2:$A2419=L274)"),"64873-B")</f>
        <v>64873-B</v>
      </c>
      <c r="F274" s="11" t="s">
        <v>17</v>
      </c>
      <c r="G274" s="10" t="s">
        <v>18</v>
      </c>
      <c r="H274" s="11" t="s">
        <v>19</v>
      </c>
      <c r="I274" s="11" t="s">
        <v>20</v>
      </c>
      <c r="J274" s="12" t="str">
        <f ca="1">IFERROR(__xludf.DUMMYFUNCTION("FILTER('CLASFICACIÓN'!$F$3:$F2419,'CLASFICACIÓN'!$G$3:$G2419=M274)"),"SOLO 2024")</f>
        <v>SOLO 2024</v>
      </c>
      <c r="K274" s="12" t="s">
        <v>2011</v>
      </c>
      <c r="L274" s="11" t="s">
        <v>49</v>
      </c>
      <c r="M274" s="12" t="str">
        <f t="shared" ca="1" si="1"/>
        <v>64873-B2 Primaria</v>
      </c>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4"/>
    </row>
    <row r="275" spans="1:36" ht="15.75" customHeight="1" x14ac:dyDescent="0.25">
      <c r="A275" s="9">
        <v>2</v>
      </c>
      <c r="B275" s="10" t="s">
        <v>44</v>
      </c>
      <c r="C275" s="10" t="s">
        <v>15</v>
      </c>
      <c r="D275" s="10" t="s">
        <v>45</v>
      </c>
      <c r="E275" s="11" t="str">
        <f ca="1">IFERROR(__xludf.DUMMYFUNCTION("FILTER(Colegios!$B$2:$B2419,Colegios!$A$2:$A2419=L275)"),"64873-B")</f>
        <v>64873-B</v>
      </c>
      <c r="F275" s="11" t="s">
        <v>17</v>
      </c>
      <c r="G275" s="10" t="s">
        <v>18</v>
      </c>
      <c r="H275" s="11" t="s">
        <v>19</v>
      </c>
      <c r="I275" s="11" t="s">
        <v>20</v>
      </c>
      <c r="J275" s="12" t="str">
        <f ca="1">IFERROR(__xludf.DUMMYFUNCTION("FILTER('CLASFICACIÓN'!$F$3:$F2419,'CLASFICACIÓN'!$G$3:$G2419=M275)"),"SOLO 2024")</f>
        <v>SOLO 2024</v>
      </c>
      <c r="K275" s="12" t="s">
        <v>2011</v>
      </c>
      <c r="L275" s="11" t="s">
        <v>49</v>
      </c>
      <c r="M275" s="12" t="str">
        <f t="shared" ca="1" si="1"/>
        <v>64873-B2 Primaria</v>
      </c>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4"/>
    </row>
    <row r="276" spans="1:36" ht="15.75" customHeight="1" x14ac:dyDescent="0.25">
      <c r="A276" s="9">
        <v>3</v>
      </c>
      <c r="B276" s="10" t="s">
        <v>44</v>
      </c>
      <c r="C276" s="10" t="s">
        <v>15</v>
      </c>
      <c r="D276" s="10" t="s">
        <v>45</v>
      </c>
      <c r="E276" s="11" t="str">
        <f ca="1">IFERROR(__xludf.DUMMYFUNCTION("FILTER(Colegios!$B$2:$B2419,Colegios!$A$2:$A2419=L276)"),"64873-B")</f>
        <v>64873-B</v>
      </c>
      <c r="F276" s="11" t="s">
        <v>17</v>
      </c>
      <c r="G276" s="10" t="s">
        <v>18</v>
      </c>
      <c r="H276" s="11" t="s">
        <v>19</v>
      </c>
      <c r="I276" s="11" t="s">
        <v>20</v>
      </c>
      <c r="J276" s="12" t="str">
        <f ca="1">IFERROR(__xludf.DUMMYFUNCTION("FILTER('CLASFICACIÓN'!$F$3:$F2419,'CLASFICACIÓN'!$G$3:$G2419=M276)"),"SOLO 2024")</f>
        <v>SOLO 2024</v>
      </c>
      <c r="K276" s="12" t="s">
        <v>2011</v>
      </c>
      <c r="L276" s="11" t="s">
        <v>49</v>
      </c>
      <c r="M276" s="12" t="str">
        <f t="shared" ca="1" si="1"/>
        <v>64873-B2 Primaria</v>
      </c>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4"/>
    </row>
    <row r="277" spans="1:36" ht="15.75" customHeight="1" x14ac:dyDescent="0.25">
      <c r="A277" s="9">
        <v>4</v>
      </c>
      <c r="B277" s="10" t="s">
        <v>44</v>
      </c>
      <c r="C277" s="10" t="s">
        <v>15</v>
      </c>
      <c r="D277" s="10" t="s">
        <v>45</v>
      </c>
      <c r="E277" s="11" t="str">
        <f ca="1">IFERROR(__xludf.DUMMYFUNCTION("FILTER(Colegios!$B$2:$B2419,Colegios!$A$2:$A2419=L277)"),"64873-B")</f>
        <v>64873-B</v>
      </c>
      <c r="F277" s="11" t="s">
        <v>17</v>
      </c>
      <c r="G277" s="10" t="s">
        <v>18</v>
      </c>
      <c r="H277" s="11" t="s">
        <v>19</v>
      </c>
      <c r="I277" s="11" t="s">
        <v>20</v>
      </c>
      <c r="J277" s="12" t="str">
        <f ca="1">IFERROR(__xludf.DUMMYFUNCTION("FILTER('CLASFICACIÓN'!$F$3:$F2419,'CLASFICACIÓN'!$G$3:$G2419=M277)"),"SOLO 2024")</f>
        <v>SOLO 2024</v>
      </c>
      <c r="K277" s="12" t="s">
        <v>2011</v>
      </c>
      <c r="L277" s="11" t="s">
        <v>49</v>
      </c>
      <c r="M277" s="12" t="str">
        <f t="shared" ca="1" si="1"/>
        <v>64873-B2 Primaria</v>
      </c>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4"/>
    </row>
    <row r="278" spans="1:36" ht="15.75" customHeight="1" x14ac:dyDescent="0.25">
      <c r="A278" s="9">
        <v>5</v>
      </c>
      <c r="B278" s="10" t="s">
        <v>44</v>
      </c>
      <c r="C278" s="10" t="s">
        <v>15</v>
      </c>
      <c r="D278" s="10" t="s">
        <v>45</v>
      </c>
      <c r="E278" s="11" t="str">
        <f ca="1">IFERROR(__xludf.DUMMYFUNCTION("FILTER(Colegios!$B$2:$B2419,Colegios!$A$2:$A2419=L278)"),"64873-B")</f>
        <v>64873-B</v>
      </c>
      <c r="F278" s="11" t="s">
        <v>17</v>
      </c>
      <c r="G278" s="10" t="s">
        <v>24</v>
      </c>
      <c r="H278" s="11" t="s">
        <v>19</v>
      </c>
      <c r="I278" s="11" t="s">
        <v>20</v>
      </c>
      <c r="J278" s="12" t="str">
        <f ca="1">IFERROR(__xludf.DUMMYFUNCTION("FILTER('CLASFICACIÓN'!$F$3:$F2419,'CLASFICACIÓN'!$G$3:$G2419=M278)"),"SOLO 2024")</f>
        <v>SOLO 2024</v>
      </c>
      <c r="K278" s="12" t="s">
        <v>2011</v>
      </c>
      <c r="L278" s="11" t="s">
        <v>49</v>
      </c>
      <c r="M278" s="12" t="str">
        <f t="shared" ca="1" si="1"/>
        <v>64873-B2 Primaria</v>
      </c>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4"/>
    </row>
    <row r="279" spans="1:36" ht="15.75" customHeight="1" x14ac:dyDescent="0.25">
      <c r="A279" s="9">
        <v>6</v>
      </c>
      <c r="B279" s="10" t="s">
        <v>44</v>
      </c>
      <c r="C279" s="10" t="s">
        <v>15</v>
      </c>
      <c r="D279" s="10" t="s">
        <v>45</v>
      </c>
      <c r="E279" s="11" t="str">
        <f ca="1">IFERROR(__xludf.DUMMYFUNCTION("FILTER(Colegios!$B$2:$B2419,Colegios!$A$2:$A2419=L279)"),"64873-B")</f>
        <v>64873-B</v>
      </c>
      <c r="F279" s="11" t="s">
        <v>17</v>
      </c>
      <c r="G279" s="10" t="s">
        <v>24</v>
      </c>
      <c r="H279" s="11" t="s">
        <v>19</v>
      </c>
      <c r="I279" s="11" t="s">
        <v>20</v>
      </c>
      <c r="J279" s="12" t="str">
        <f ca="1">IFERROR(__xludf.DUMMYFUNCTION("FILTER('CLASFICACIÓN'!$F$3:$F2419,'CLASFICACIÓN'!$G$3:$G2419=M279)"),"SOLO 2024")</f>
        <v>SOLO 2024</v>
      </c>
      <c r="K279" s="12" t="s">
        <v>2011</v>
      </c>
      <c r="L279" s="11" t="s">
        <v>49</v>
      </c>
      <c r="M279" s="12" t="str">
        <f t="shared" ca="1" si="1"/>
        <v>64873-B2 Primaria</v>
      </c>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4"/>
    </row>
    <row r="280" spans="1:36" ht="15.75" customHeight="1" x14ac:dyDescent="0.25">
      <c r="A280" s="9">
        <v>7</v>
      </c>
      <c r="B280" s="10" t="s">
        <v>44</v>
      </c>
      <c r="C280" s="10" t="s">
        <v>15</v>
      </c>
      <c r="D280" s="10" t="s">
        <v>45</v>
      </c>
      <c r="E280" s="11" t="str">
        <f ca="1">IFERROR(__xludf.DUMMYFUNCTION("FILTER(Colegios!$B$2:$B2419,Colegios!$A$2:$A2419=L280)"),"64873-B")</f>
        <v>64873-B</v>
      </c>
      <c r="F280" s="11" t="s">
        <v>17</v>
      </c>
      <c r="G280" s="10" t="s">
        <v>24</v>
      </c>
      <c r="H280" s="11" t="s">
        <v>19</v>
      </c>
      <c r="I280" s="11" t="s">
        <v>20</v>
      </c>
      <c r="J280" s="12" t="str">
        <f ca="1">IFERROR(__xludf.DUMMYFUNCTION("FILTER('CLASFICACIÓN'!$F$3:$F2419,'CLASFICACIÓN'!$G$3:$G2419=M280)"),"SOLO 2024")</f>
        <v>SOLO 2024</v>
      </c>
      <c r="K280" s="12" t="s">
        <v>2011</v>
      </c>
      <c r="L280" s="11" t="s">
        <v>49</v>
      </c>
      <c r="M280" s="12" t="str">
        <f t="shared" ca="1" si="1"/>
        <v>64873-B2 Primaria</v>
      </c>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4"/>
    </row>
    <row r="281" spans="1:36" ht="15.75" customHeight="1" x14ac:dyDescent="0.25">
      <c r="A281" s="9">
        <v>8</v>
      </c>
      <c r="B281" s="10" t="s">
        <v>44</v>
      </c>
      <c r="C281" s="10" t="s">
        <v>15</v>
      </c>
      <c r="D281" s="10" t="s">
        <v>16</v>
      </c>
      <c r="E281" s="11" t="str">
        <f ca="1">IFERROR(__xludf.DUMMYFUNCTION("FILTER(Colegios!$B$2:$B2419,Colegios!$A$2:$A2419=L281)"),"64873-B")</f>
        <v>64873-B</v>
      </c>
      <c r="F281" s="11" t="s">
        <v>17</v>
      </c>
      <c r="G281" s="10" t="s">
        <v>18</v>
      </c>
      <c r="H281" s="11" t="s">
        <v>19</v>
      </c>
      <c r="I281" s="11" t="s">
        <v>20</v>
      </c>
      <c r="J281" s="12" t="str">
        <f ca="1">IFERROR(__xludf.DUMMYFUNCTION("FILTER('CLASFICACIÓN'!$F$3:$F2419,'CLASFICACIÓN'!$G$3:$G2419=M281)"),"SOLO 2024")</f>
        <v>SOLO 2024</v>
      </c>
      <c r="K281" s="12" t="s">
        <v>2011</v>
      </c>
      <c r="L281" s="11" t="s">
        <v>49</v>
      </c>
      <c r="M281" s="12" t="str">
        <f t="shared" ca="1" si="1"/>
        <v>64873-B4 Primaria</v>
      </c>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4"/>
    </row>
    <row r="282" spans="1:36" ht="15.75" customHeight="1" x14ac:dyDescent="0.25">
      <c r="A282" s="9">
        <v>9</v>
      </c>
      <c r="B282" s="10" t="s">
        <v>44</v>
      </c>
      <c r="C282" s="10" t="s">
        <v>15</v>
      </c>
      <c r="D282" s="10" t="s">
        <v>16</v>
      </c>
      <c r="E282" s="11" t="str">
        <f ca="1">IFERROR(__xludf.DUMMYFUNCTION("FILTER(Colegios!$B$2:$B2419,Colegios!$A$2:$A2419=L282)"),"64873-B")</f>
        <v>64873-B</v>
      </c>
      <c r="F282" s="11" t="s">
        <v>17</v>
      </c>
      <c r="G282" s="10" t="s">
        <v>18</v>
      </c>
      <c r="H282" s="11" t="s">
        <v>19</v>
      </c>
      <c r="I282" s="11" t="s">
        <v>20</v>
      </c>
      <c r="J282" s="12" t="str">
        <f ca="1">IFERROR(__xludf.DUMMYFUNCTION("FILTER('CLASFICACIÓN'!$F$3:$F2419,'CLASFICACIÓN'!$G$3:$G2419=M282)"),"SOLO 2024")</f>
        <v>SOLO 2024</v>
      </c>
      <c r="K282" s="12" t="s">
        <v>2011</v>
      </c>
      <c r="L282" s="11" t="s">
        <v>49</v>
      </c>
      <c r="M282" s="12" t="str">
        <f t="shared" ca="1" si="1"/>
        <v>64873-B4 Primaria</v>
      </c>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4"/>
    </row>
    <row r="283" spans="1:36" ht="15.75" customHeight="1" x14ac:dyDescent="0.25">
      <c r="A283" s="9">
        <v>10</v>
      </c>
      <c r="B283" s="10" t="s">
        <v>44</v>
      </c>
      <c r="C283" s="10" t="s">
        <v>15</v>
      </c>
      <c r="D283" s="10" t="s">
        <v>16</v>
      </c>
      <c r="E283" s="11" t="str">
        <f ca="1">IFERROR(__xludf.DUMMYFUNCTION("FILTER(Colegios!$B$2:$B2419,Colegios!$A$2:$A2419=L283)"),"64873-B")</f>
        <v>64873-B</v>
      </c>
      <c r="F283" s="11" t="s">
        <v>17</v>
      </c>
      <c r="G283" s="10" t="s">
        <v>24</v>
      </c>
      <c r="H283" s="11" t="s">
        <v>19</v>
      </c>
      <c r="I283" s="11" t="s">
        <v>20</v>
      </c>
      <c r="J283" s="12" t="str">
        <f ca="1">IFERROR(__xludf.DUMMYFUNCTION("FILTER('CLASFICACIÓN'!$F$3:$F2419,'CLASFICACIÓN'!$G$3:$G2419=M283)"),"SOLO 2024")</f>
        <v>SOLO 2024</v>
      </c>
      <c r="K283" s="12" t="s">
        <v>2011</v>
      </c>
      <c r="L283" s="11" t="s">
        <v>49</v>
      </c>
      <c r="M283" s="12" t="str">
        <f t="shared" ca="1" si="1"/>
        <v>64873-B4 Primaria</v>
      </c>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4"/>
    </row>
    <row r="284" spans="1:36" ht="15.75" customHeight="1" x14ac:dyDescent="0.25">
      <c r="A284" s="9">
        <v>11</v>
      </c>
      <c r="B284" s="10" t="s">
        <v>44</v>
      </c>
      <c r="C284" s="10" t="s">
        <v>15</v>
      </c>
      <c r="D284" s="10" t="s">
        <v>16</v>
      </c>
      <c r="E284" s="11" t="str">
        <f ca="1">IFERROR(__xludf.DUMMYFUNCTION("FILTER(Colegios!$B$2:$B2419,Colegios!$A$2:$A2419=L284)"),"64873-B")</f>
        <v>64873-B</v>
      </c>
      <c r="F284" s="11" t="s">
        <v>17</v>
      </c>
      <c r="G284" s="10" t="s">
        <v>24</v>
      </c>
      <c r="H284" s="11" t="s">
        <v>19</v>
      </c>
      <c r="I284" s="11" t="s">
        <v>20</v>
      </c>
      <c r="J284" s="12" t="str">
        <f ca="1">IFERROR(__xludf.DUMMYFUNCTION("FILTER('CLASFICACIÓN'!$F$3:$F2419,'CLASFICACIÓN'!$G$3:$G2419=M284)"),"SOLO 2024")</f>
        <v>SOLO 2024</v>
      </c>
      <c r="K284" s="12" t="s">
        <v>2011</v>
      </c>
      <c r="L284" s="11" t="s">
        <v>49</v>
      </c>
      <c r="M284" s="12" t="str">
        <f t="shared" ca="1" si="1"/>
        <v>64873-B4 Primaria</v>
      </c>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4"/>
    </row>
    <row r="285" spans="1:36" ht="15.75" customHeight="1" x14ac:dyDescent="0.25">
      <c r="A285" s="9">
        <v>12</v>
      </c>
      <c r="B285" s="10" t="s">
        <v>44</v>
      </c>
      <c r="C285" s="10" t="s">
        <v>15</v>
      </c>
      <c r="D285" s="10" t="s">
        <v>37</v>
      </c>
      <c r="E285" s="11" t="str">
        <f ca="1">IFERROR(__xludf.DUMMYFUNCTION("FILTER(Colegios!$B$2:$B2419,Colegios!$A$2:$A2419=L285)"),"64873-B")</f>
        <v>64873-B</v>
      </c>
      <c r="F285" s="11" t="s">
        <v>17</v>
      </c>
      <c r="G285" s="10" t="s">
        <v>18</v>
      </c>
      <c r="H285" s="11" t="s">
        <v>19</v>
      </c>
      <c r="I285" s="11" t="s">
        <v>20</v>
      </c>
      <c r="J285" s="12" t="str">
        <f ca="1">IFERROR(__xludf.DUMMYFUNCTION("FILTER('CLASFICACIÓN'!$F$3:$F2419,'CLASFICACIÓN'!$G$3:$G2419=M285)"),"SOLO 2024")</f>
        <v>SOLO 2024</v>
      </c>
      <c r="K285" s="12" t="s">
        <v>2011</v>
      </c>
      <c r="L285" s="11" t="s">
        <v>49</v>
      </c>
      <c r="M285" s="12" t="str">
        <f t="shared" ca="1" si="1"/>
        <v>64873-B6 Primaria</v>
      </c>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4"/>
    </row>
    <row r="286" spans="1:36" ht="15.75" customHeight="1" x14ac:dyDescent="0.25">
      <c r="A286" s="9">
        <v>13</v>
      </c>
      <c r="B286" s="10" t="s">
        <v>44</v>
      </c>
      <c r="C286" s="10" t="s">
        <v>15</v>
      </c>
      <c r="D286" s="10" t="s">
        <v>37</v>
      </c>
      <c r="E286" s="11" t="str">
        <f ca="1">IFERROR(__xludf.DUMMYFUNCTION("FILTER(Colegios!$B$2:$B2419,Colegios!$A$2:$A2419=L286)"),"64873-B")</f>
        <v>64873-B</v>
      </c>
      <c r="F286" s="11" t="s">
        <v>17</v>
      </c>
      <c r="G286" s="10" t="s">
        <v>18</v>
      </c>
      <c r="H286" s="11" t="s">
        <v>19</v>
      </c>
      <c r="I286" s="11" t="s">
        <v>20</v>
      </c>
      <c r="J286" s="12" t="str">
        <f ca="1">IFERROR(__xludf.DUMMYFUNCTION("FILTER('CLASFICACIÓN'!$F$3:$F2419,'CLASFICACIÓN'!$G$3:$G2419=M286)"),"SOLO 2024")</f>
        <v>SOLO 2024</v>
      </c>
      <c r="K286" s="12" t="s">
        <v>2011</v>
      </c>
      <c r="L286" s="11" t="s">
        <v>49</v>
      </c>
      <c r="M286" s="12" t="str">
        <f t="shared" ca="1" si="1"/>
        <v>64873-B6 Primaria</v>
      </c>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4"/>
    </row>
    <row r="287" spans="1:36" ht="15.75" customHeight="1" x14ac:dyDescent="0.25">
      <c r="A287" s="9">
        <v>14</v>
      </c>
      <c r="B287" s="10" t="s">
        <v>44</v>
      </c>
      <c r="C287" s="10" t="s">
        <v>15</v>
      </c>
      <c r="D287" s="10" t="s">
        <v>37</v>
      </c>
      <c r="E287" s="11" t="str">
        <f ca="1">IFERROR(__xludf.DUMMYFUNCTION("FILTER(Colegios!$B$2:$B2419,Colegios!$A$2:$A2419=L287)"),"64873-B")</f>
        <v>64873-B</v>
      </c>
      <c r="F287" s="11" t="s">
        <v>17</v>
      </c>
      <c r="G287" s="10" t="s">
        <v>24</v>
      </c>
      <c r="H287" s="11" t="s">
        <v>19</v>
      </c>
      <c r="I287" s="11" t="s">
        <v>20</v>
      </c>
      <c r="J287" s="12" t="str">
        <f ca="1">IFERROR(__xludf.DUMMYFUNCTION("FILTER('CLASFICACIÓN'!$F$3:$F2419,'CLASFICACIÓN'!$G$3:$G2419=M287)"),"SOLO 2024")</f>
        <v>SOLO 2024</v>
      </c>
      <c r="K287" s="12" t="s">
        <v>2011</v>
      </c>
      <c r="L287" s="11" t="s">
        <v>49</v>
      </c>
      <c r="M287" s="12" t="str">
        <f t="shared" ca="1" si="1"/>
        <v>64873-B6 Primaria</v>
      </c>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4"/>
    </row>
    <row r="288" spans="1:36" ht="15.75" customHeight="1" x14ac:dyDescent="0.25">
      <c r="A288" s="9">
        <v>15</v>
      </c>
      <c r="B288" s="10" t="s">
        <v>44</v>
      </c>
      <c r="C288" s="10" t="s">
        <v>15</v>
      </c>
      <c r="D288" s="10" t="s">
        <v>37</v>
      </c>
      <c r="E288" s="11" t="str">
        <f ca="1">IFERROR(__xludf.DUMMYFUNCTION("FILTER(Colegios!$B$2:$B2419,Colegios!$A$2:$A2419=L288)"),"64873-B")</f>
        <v>64873-B</v>
      </c>
      <c r="F288" s="11" t="s">
        <v>17</v>
      </c>
      <c r="G288" s="10" t="s">
        <v>24</v>
      </c>
      <c r="H288" s="11" t="s">
        <v>19</v>
      </c>
      <c r="I288" s="11" t="s">
        <v>20</v>
      </c>
      <c r="J288" s="12" t="str">
        <f ca="1">IFERROR(__xludf.DUMMYFUNCTION("FILTER('CLASFICACIÓN'!$F$3:$F2419,'CLASFICACIÓN'!$G$3:$G2419=M288)"),"SOLO 2024")</f>
        <v>SOLO 2024</v>
      </c>
      <c r="K288" s="12" t="s">
        <v>2011</v>
      </c>
      <c r="L288" s="11" t="s">
        <v>49</v>
      </c>
      <c r="M288" s="12" t="str">
        <f t="shared" ca="1" si="1"/>
        <v>64873-B6 Primaria</v>
      </c>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4"/>
    </row>
    <row r="289" spans="1:36" ht="15.75" customHeight="1" x14ac:dyDescent="0.25">
      <c r="A289" s="9">
        <v>1</v>
      </c>
      <c r="B289" s="10" t="s">
        <v>44</v>
      </c>
      <c r="C289" s="10" t="s">
        <v>15</v>
      </c>
      <c r="D289" s="10" t="s">
        <v>45</v>
      </c>
      <c r="E289" s="11" t="str">
        <f ca="1">IFERROR(__xludf.DUMMYFUNCTION("FILTER(Colegios!$B$2:$B2419,Colegios!$A$2:$A2419=L289)"),"64545-B")</f>
        <v>64545-B</v>
      </c>
      <c r="F289" s="11" t="s">
        <v>17</v>
      </c>
      <c r="G289" s="10" t="s">
        <v>18</v>
      </c>
      <c r="H289" s="11" t="s">
        <v>19</v>
      </c>
      <c r="I289" s="11" t="s">
        <v>20</v>
      </c>
      <c r="J289" s="12" t="str">
        <f ca="1">IFERROR(__xludf.DUMMYFUNCTION("FILTER('CLASFICACIÓN'!$F$3:$F2419,'CLASFICACIÓN'!$G$3:$G2419=M289)"),"SOLO 2024")</f>
        <v>SOLO 2024</v>
      </c>
      <c r="K289" s="12" t="s">
        <v>2014</v>
      </c>
      <c r="L289" s="11" t="s">
        <v>50</v>
      </c>
      <c r="M289" s="12" t="str">
        <f t="shared" ca="1" si="1"/>
        <v>64545-B2 Primaria</v>
      </c>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4"/>
    </row>
    <row r="290" spans="1:36" ht="15.75" customHeight="1" x14ac:dyDescent="0.25">
      <c r="A290" s="9">
        <v>2</v>
      </c>
      <c r="B290" s="10" t="s">
        <v>44</v>
      </c>
      <c r="C290" s="10" t="s">
        <v>15</v>
      </c>
      <c r="D290" s="10" t="s">
        <v>45</v>
      </c>
      <c r="E290" s="11" t="str">
        <f ca="1">IFERROR(__xludf.DUMMYFUNCTION("FILTER(Colegios!$B$2:$B2419,Colegios!$A$2:$A2419=L290)"),"64545-B")</f>
        <v>64545-B</v>
      </c>
      <c r="F290" s="11" t="s">
        <v>17</v>
      </c>
      <c r="G290" s="10" t="s">
        <v>18</v>
      </c>
      <c r="H290" s="11" t="s">
        <v>19</v>
      </c>
      <c r="I290" s="11" t="s">
        <v>20</v>
      </c>
      <c r="J290" s="12" t="str">
        <f ca="1">IFERROR(__xludf.DUMMYFUNCTION("FILTER('CLASFICACIÓN'!$F$3:$F2419,'CLASFICACIÓN'!$G$3:$G2419=M290)"),"SOLO 2024")</f>
        <v>SOLO 2024</v>
      </c>
      <c r="K290" s="12" t="s">
        <v>2014</v>
      </c>
      <c r="L290" s="11" t="s">
        <v>50</v>
      </c>
      <c r="M290" s="12" t="str">
        <f t="shared" ca="1" si="1"/>
        <v>64545-B2 Primaria</v>
      </c>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4"/>
    </row>
    <row r="291" spans="1:36" ht="15.75" customHeight="1" x14ac:dyDescent="0.25">
      <c r="A291" s="9">
        <v>3</v>
      </c>
      <c r="B291" s="10" t="s">
        <v>44</v>
      </c>
      <c r="C291" s="10" t="s">
        <v>15</v>
      </c>
      <c r="D291" s="10" t="s">
        <v>16</v>
      </c>
      <c r="E291" s="11" t="str">
        <f ca="1">IFERROR(__xludf.DUMMYFUNCTION("FILTER(Colegios!$B$2:$B2419,Colegios!$A$2:$A2419=L291)"),"64545-B")</f>
        <v>64545-B</v>
      </c>
      <c r="F291" s="11" t="s">
        <v>17</v>
      </c>
      <c r="G291" s="10" t="s">
        <v>24</v>
      </c>
      <c r="H291" s="11" t="s">
        <v>19</v>
      </c>
      <c r="I291" s="11" t="s">
        <v>20</v>
      </c>
      <c r="J291" s="12" t="str">
        <f ca="1">IFERROR(__xludf.DUMMYFUNCTION("FILTER('CLASFICACIÓN'!$F$3:$F2419,'CLASFICACIÓN'!$G$3:$G2419=M291)"),"SOLO 2024")</f>
        <v>SOLO 2024</v>
      </c>
      <c r="K291" s="12" t="s">
        <v>2014</v>
      </c>
      <c r="L291" s="11" t="s">
        <v>50</v>
      </c>
      <c r="M291" s="12" t="str">
        <f t="shared" ca="1" si="1"/>
        <v>64545-B4 Primaria</v>
      </c>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4"/>
    </row>
    <row r="292" spans="1:36" ht="15.75" customHeight="1" x14ac:dyDescent="0.25">
      <c r="A292" s="9">
        <v>4</v>
      </c>
      <c r="B292" s="10" t="s">
        <v>44</v>
      </c>
      <c r="C292" s="10" t="s">
        <v>15</v>
      </c>
      <c r="D292" s="10" t="s">
        <v>37</v>
      </c>
      <c r="E292" s="11" t="str">
        <f ca="1">IFERROR(__xludf.DUMMYFUNCTION("FILTER(Colegios!$B$2:$B2419,Colegios!$A$2:$A2419=L292)"),"64545-B")</f>
        <v>64545-B</v>
      </c>
      <c r="F292" s="11" t="s">
        <v>17</v>
      </c>
      <c r="G292" s="10" t="s">
        <v>24</v>
      </c>
      <c r="H292" s="11" t="s">
        <v>19</v>
      </c>
      <c r="I292" s="11" t="s">
        <v>20</v>
      </c>
      <c r="J292" s="12" t="str">
        <f ca="1">IFERROR(__xludf.DUMMYFUNCTION("FILTER('CLASFICACIÓN'!$F$3:$F2419,'CLASFICACIÓN'!$G$3:$G2419=M292)"),"SOLO 2024")</f>
        <v>SOLO 2024</v>
      </c>
      <c r="K292" s="12" t="s">
        <v>2014</v>
      </c>
      <c r="L292" s="11" t="s">
        <v>50</v>
      </c>
      <c r="M292" s="12" t="str">
        <f t="shared" ca="1" si="1"/>
        <v>64545-B6 Primaria</v>
      </c>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4"/>
    </row>
    <row r="293" spans="1:36" ht="15.75" customHeight="1" x14ac:dyDescent="0.25">
      <c r="A293" s="9">
        <v>1</v>
      </c>
      <c r="B293" s="10" t="s">
        <v>44</v>
      </c>
      <c r="C293" s="10" t="s">
        <v>15</v>
      </c>
      <c r="D293" s="10" t="s">
        <v>45</v>
      </c>
      <c r="E293" s="11" t="str">
        <f ca="1">IFERROR(__xludf.DUMMYFUNCTION("FILTER(Colegios!$B$2:$B2419,Colegios!$A$2:$A2419=L293)"),"64949")</f>
        <v>64949</v>
      </c>
      <c r="F293" s="11" t="s">
        <v>17</v>
      </c>
      <c r="G293" s="10" t="s">
        <v>24</v>
      </c>
      <c r="H293" s="11" t="s">
        <v>19</v>
      </c>
      <c r="I293" s="11" t="s">
        <v>20</v>
      </c>
      <c r="J293" s="12" t="str">
        <f ca="1">IFERROR(__xludf.DUMMYFUNCTION("FILTER('CLASFICACIÓN'!$F$3:$F2419,'CLASFICACIÓN'!$G$3:$G2419=M293)"),"SOLO 2024")</f>
        <v>SOLO 2024</v>
      </c>
      <c r="K293" s="12" t="s">
        <v>2014</v>
      </c>
      <c r="L293" s="11" t="s">
        <v>51</v>
      </c>
      <c r="M293" s="12" t="str">
        <f t="shared" ca="1" si="1"/>
        <v>649492 Primaria</v>
      </c>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4"/>
    </row>
    <row r="294" spans="1:36" ht="15.75" customHeight="1" x14ac:dyDescent="0.25">
      <c r="A294" s="9">
        <v>3</v>
      </c>
      <c r="B294" s="10" t="s">
        <v>44</v>
      </c>
      <c r="C294" s="10" t="s">
        <v>15</v>
      </c>
      <c r="D294" s="10" t="s">
        <v>37</v>
      </c>
      <c r="E294" s="11" t="str">
        <f ca="1">IFERROR(__xludf.DUMMYFUNCTION("FILTER(Colegios!$B$2:$B2419,Colegios!$A$2:$A2419=L294)"),"64949")</f>
        <v>64949</v>
      </c>
      <c r="F294" s="11" t="s">
        <v>17</v>
      </c>
      <c r="G294" s="10" t="s">
        <v>18</v>
      </c>
      <c r="H294" s="11" t="s">
        <v>23</v>
      </c>
      <c r="I294" s="11" t="s">
        <v>20</v>
      </c>
      <c r="J294" s="12" t="str">
        <f ca="1">IFERROR(__xludf.DUMMYFUNCTION("FILTER('CLASFICACIÓN'!$F$3:$F2419,'CLASFICACIÓN'!$G$3:$G2419=M294)"),"SOLO 2024")</f>
        <v>SOLO 2024</v>
      </c>
      <c r="K294" s="12" t="s">
        <v>2014</v>
      </c>
      <c r="L294" s="11" t="s">
        <v>51</v>
      </c>
      <c r="M294" s="12" t="str">
        <f t="shared" ca="1" si="1"/>
        <v>649496 Primaria</v>
      </c>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4"/>
    </row>
    <row r="295" spans="1:36" ht="15.75" customHeight="1" x14ac:dyDescent="0.25">
      <c r="A295" s="9">
        <v>1</v>
      </c>
      <c r="B295" s="10" t="s">
        <v>44</v>
      </c>
      <c r="C295" s="10" t="s">
        <v>15</v>
      </c>
      <c r="D295" s="10" t="s">
        <v>45</v>
      </c>
      <c r="E295" s="11" t="str">
        <f ca="1">IFERROR(__xludf.DUMMYFUNCTION("FILTER(Colegios!$B$2:$B2419,Colegios!$A$2:$A2419=L295)"),"64871-B")</f>
        <v>64871-B</v>
      </c>
      <c r="F295" s="11" t="s">
        <v>17</v>
      </c>
      <c r="G295" s="10" t="s">
        <v>18</v>
      </c>
      <c r="H295" s="11" t="s">
        <v>19</v>
      </c>
      <c r="I295" s="11" t="s">
        <v>20</v>
      </c>
      <c r="J295" s="12" t="str">
        <f ca="1">IFERROR(__xludf.DUMMYFUNCTION("FILTER('CLASFICACIÓN'!$F$3:$F2419,'CLASFICACIÓN'!$G$3:$G2419=M295)"),"SOLO 2024")</f>
        <v>SOLO 2024</v>
      </c>
      <c r="K295" s="12" t="s">
        <v>2011</v>
      </c>
      <c r="L295" s="11" t="s">
        <v>52</v>
      </c>
      <c r="M295" s="12" t="str">
        <f t="shared" ca="1" si="1"/>
        <v>64871-B2 Primaria</v>
      </c>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4"/>
    </row>
    <row r="296" spans="1:36" ht="15.75" customHeight="1" x14ac:dyDescent="0.25">
      <c r="A296" s="9">
        <v>2</v>
      </c>
      <c r="B296" s="10" t="s">
        <v>44</v>
      </c>
      <c r="C296" s="10" t="s">
        <v>15</v>
      </c>
      <c r="D296" s="10" t="s">
        <v>45</v>
      </c>
      <c r="E296" s="11" t="str">
        <f ca="1">IFERROR(__xludf.DUMMYFUNCTION("FILTER(Colegios!$B$2:$B2419,Colegios!$A$2:$A2419=L296)"),"64871-B")</f>
        <v>64871-B</v>
      </c>
      <c r="F296" s="11" t="s">
        <v>17</v>
      </c>
      <c r="G296" s="10" t="s">
        <v>18</v>
      </c>
      <c r="H296" s="11" t="s">
        <v>19</v>
      </c>
      <c r="I296" s="11" t="s">
        <v>20</v>
      </c>
      <c r="J296" s="12" t="str">
        <f ca="1">IFERROR(__xludf.DUMMYFUNCTION("FILTER('CLASFICACIÓN'!$F$3:$F2419,'CLASFICACIÓN'!$G$3:$G2419=M296)"),"SOLO 2024")</f>
        <v>SOLO 2024</v>
      </c>
      <c r="K296" s="12" t="s">
        <v>2011</v>
      </c>
      <c r="L296" s="11" t="s">
        <v>52</v>
      </c>
      <c r="M296" s="12" t="str">
        <f t="shared" ca="1" si="1"/>
        <v>64871-B2 Primaria</v>
      </c>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4"/>
    </row>
    <row r="297" spans="1:36" ht="15.75" customHeight="1" x14ac:dyDescent="0.25">
      <c r="A297" s="9">
        <v>3</v>
      </c>
      <c r="B297" s="10" t="s">
        <v>44</v>
      </c>
      <c r="C297" s="10" t="s">
        <v>15</v>
      </c>
      <c r="D297" s="10" t="s">
        <v>45</v>
      </c>
      <c r="E297" s="11" t="str">
        <f ca="1">IFERROR(__xludf.DUMMYFUNCTION("FILTER(Colegios!$B$2:$B2419,Colegios!$A$2:$A2419=L297)"),"64871-B")</f>
        <v>64871-B</v>
      </c>
      <c r="F297" s="11" t="s">
        <v>17</v>
      </c>
      <c r="G297" s="10" t="s">
        <v>18</v>
      </c>
      <c r="H297" s="11" t="s">
        <v>19</v>
      </c>
      <c r="I297" s="11" t="s">
        <v>20</v>
      </c>
      <c r="J297" s="12" t="str">
        <f ca="1">IFERROR(__xludf.DUMMYFUNCTION("FILTER('CLASFICACIÓN'!$F$3:$F2419,'CLASFICACIÓN'!$G$3:$G2419=M297)"),"SOLO 2024")</f>
        <v>SOLO 2024</v>
      </c>
      <c r="K297" s="12" t="s">
        <v>2011</v>
      </c>
      <c r="L297" s="11" t="s">
        <v>52</v>
      </c>
      <c r="M297" s="12" t="str">
        <f t="shared" ca="1" si="1"/>
        <v>64871-B2 Primaria</v>
      </c>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4"/>
    </row>
    <row r="298" spans="1:36" ht="15.75" customHeight="1" x14ac:dyDescent="0.25">
      <c r="A298" s="9">
        <v>4</v>
      </c>
      <c r="B298" s="10" t="s">
        <v>44</v>
      </c>
      <c r="C298" s="10" t="s">
        <v>15</v>
      </c>
      <c r="D298" s="10" t="s">
        <v>45</v>
      </c>
      <c r="E298" s="11" t="str">
        <f ca="1">IFERROR(__xludf.DUMMYFUNCTION("FILTER(Colegios!$B$2:$B2419,Colegios!$A$2:$A2419=L298)"),"64871-B")</f>
        <v>64871-B</v>
      </c>
      <c r="F298" s="11" t="s">
        <v>17</v>
      </c>
      <c r="G298" s="10" t="s">
        <v>18</v>
      </c>
      <c r="H298" s="11" t="s">
        <v>19</v>
      </c>
      <c r="I298" s="11" t="s">
        <v>20</v>
      </c>
      <c r="J298" s="12" t="str">
        <f ca="1">IFERROR(__xludf.DUMMYFUNCTION("FILTER('CLASFICACIÓN'!$F$3:$F2419,'CLASFICACIÓN'!$G$3:$G2419=M298)"),"SOLO 2024")</f>
        <v>SOLO 2024</v>
      </c>
      <c r="K298" s="12" t="s">
        <v>2011</v>
      </c>
      <c r="L298" s="11" t="s">
        <v>52</v>
      </c>
      <c r="M298" s="12" t="str">
        <f t="shared" ca="1" si="1"/>
        <v>64871-B2 Primaria</v>
      </c>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4"/>
    </row>
    <row r="299" spans="1:36" ht="15.75" customHeight="1" x14ac:dyDescent="0.25">
      <c r="A299" s="9">
        <v>5</v>
      </c>
      <c r="B299" s="10" t="s">
        <v>44</v>
      </c>
      <c r="C299" s="10" t="s">
        <v>15</v>
      </c>
      <c r="D299" s="10" t="s">
        <v>45</v>
      </c>
      <c r="E299" s="11" t="str">
        <f ca="1">IFERROR(__xludf.DUMMYFUNCTION("FILTER(Colegios!$B$2:$B2419,Colegios!$A$2:$A2419=L299)"),"64871-B")</f>
        <v>64871-B</v>
      </c>
      <c r="F299" s="11" t="s">
        <v>17</v>
      </c>
      <c r="G299" s="10" t="s">
        <v>18</v>
      </c>
      <c r="H299" s="11" t="s">
        <v>19</v>
      </c>
      <c r="I299" s="11" t="s">
        <v>20</v>
      </c>
      <c r="J299" s="12" t="str">
        <f ca="1">IFERROR(__xludf.DUMMYFUNCTION("FILTER('CLASFICACIÓN'!$F$3:$F2419,'CLASFICACIÓN'!$G$3:$G2419=M299)"),"SOLO 2024")</f>
        <v>SOLO 2024</v>
      </c>
      <c r="K299" s="12" t="s">
        <v>2011</v>
      </c>
      <c r="L299" s="11" t="s">
        <v>52</v>
      </c>
      <c r="M299" s="12" t="str">
        <f t="shared" ca="1" si="1"/>
        <v>64871-B2 Primaria</v>
      </c>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4"/>
    </row>
    <row r="300" spans="1:36" ht="15.75" customHeight="1" x14ac:dyDescent="0.25">
      <c r="A300" s="9">
        <v>6</v>
      </c>
      <c r="B300" s="10" t="s">
        <v>44</v>
      </c>
      <c r="C300" s="10" t="s">
        <v>15</v>
      </c>
      <c r="D300" s="10" t="s">
        <v>45</v>
      </c>
      <c r="E300" s="11" t="str">
        <f ca="1">IFERROR(__xludf.DUMMYFUNCTION("FILTER(Colegios!$B$2:$B2419,Colegios!$A$2:$A2419=L300)"),"64871-B")</f>
        <v>64871-B</v>
      </c>
      <c r="F300" s="11" t="s">
        <v>17</v>
      </c>
      <c r="G300" s="10" t="s">
        <v>24</v>
      </c>
      <c r="H300" s="11" t="s">
        <v>19</v>
      </c>
      <c r="I300" s="11" t="s">
        <v>20</v>
      </c>
      <c r="J300" s="12" t="str">
        <f ca="1">IFERROR(__xludf.DUMMYFUNCTION("FILTER('CLASFICACIÓN'!$F$3:$F2419,'CLASFICACIÓN'!$G$3:$G2419=M300)"),"SOLO 2024")</f>
        <v>SOLO 2024</v>
      </c>
      <c r="K300" s="12" t="s">
        <v>2011</v>
      </c>
      <c r="L300" s="11" t="s">
        <v>52</v>
      </c>
      <c r="M300" s="12" t="str">
        <f t="shared" ca="1" si="1"/>
        <v>64871-B2 Primaria</v>
      </c>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4"/>
    </row>
    <row r="301" spans="1:36" ht="15.75" customHeight="1" x14ac:dyDescent="0.25">
      <c r="A301" s="9">
        <v>7</v>
      </c>
      <c r="B301" s="10" t="s">
        <v>44</v>
      </c>
      <c r="C301" s="10" t="s">
        <v>15</v>
      </c>
      <c r="D301" s="10" t="s">
        <v>45</v>
      </c>
      <c r="E301" s="11" t="str">
        <f ca="1">IFERROR(__xludf.DUMMYFUNCTION("FILTER(Colegios!$B$2:$B2419,Colegios!$A$2:$A2419=L301)"),"64871-B")</f>
        <v>64871-B</v>
      </c>
      <c r="F301" s="11" t="s">
        <v>17</v>
      </c>
      <c r="G301" s="10" t="s">
        <v>24</v>
      </c>
      <c r="H301" s="11" t="s">
        <v>19</v>
      </c>
      <c r="I301" s="11" t="s">
        <v>20</v>
      </c>
      <c r="J301" s="12" t="str">
        <f ca="1">IFERROR(__xludf.DUMMYFUNCTION("FILTER('CLASFICACIÓN'!$F$3:$F2419,'CLASFICACIÓN'!$G$3:$G2419=M301)"),"SOLO 2024")</f>
        <v>SOLO 2024</v>
      </c>
      <c r="K301" s="12" t="s">
        <v>2011</v>
      </c>
      <c r="L301" s="11" t="s">
        <v>52</v>
      </c>
      <c r="M301" s="12" t="str">
        <f t="shared" ca="1" si="1"/>
        <v>64871-B2 Primaria</v>
      </c>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4"/>
    </row>
    <row r="302" spans="1:36" ht="15.75" customHeight="1" x14ac:dyDescent="0.25">
      <c r="A302" s="9">
        <v>8</v>
      </c>
      <c r="B302" s="10" t="s">
        <v>44</v>
      </c>
      <c r="C302" s="10" t="s">
        <v>15</v>
      </c>
      <c r="D302" s="10" t="s">
        <v>45</v>
      </c>
      <c r="E302" s="11" t="str">
        <f ca="1">IFERROR(__xludf.DUMMYFUNCTION("FILTER(Colegios!$B$2:$B2419,Colegios!$A$2:$A2419=L302)"),"64871-B")</f>
        <v>64871-B</v>
      </c>
      <c r="F302" s="11" t="s">
        <v>17</v>
      </c>
      <c r="G302" s="10" t="s">
        <v>24</v>
      </c>
      <c r="H302" s="11" t="s">
        <v>19</v>
      </c>
      <c r="I302" s="11" t="s">
        <v>20</v>
      </c>
      <c r="J302" s="12" t="str">
        <f ca="1">IFERROR(__xludf.DUMMYFUNCTION("FILTER('CLASFICACIÓN'!$F$3:$F2419,'CLASFICACIÓN'!$G$3:$G2419=M302)"),"SOLO 2024")</f>
        <v>SOLO 2024</v>
      </c>
      <c r="K302" s="12" t="s">
        <v>2011</v>
      </c>
      <c r="L302" s="11" t="s">
        <v>52</v>
      </c>
      <c r="M302" s="12" t="str">
        <f t="shared" ca="1" si="1"/>
        <v>64871-B2 Primaria</v>
      </c>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4"/>
    </row>
    <row r="303" spans="1:36" ht="15.75" customHeight="1" x14ac:dyDescent="0.25">
      <c r="A303" s="9">
        <v>9</v>
      </c>
      <c r="B303" s="10" t="s">
        <v>44</v>
      </c>
      <c r="C303" s="10" t="s">
        <v>15</v>
      </c>
      <c r="D303" s="10" t="s">
        <v>45</v>
      </c>
      <c r="E303" s="11" t="str">
        <f ca="1">IFERROR(__xludf.DUMMYFUNCTION("FILTER(Colegios!$B$2:$B2419,Colegios!$A$2:$A2419=L303)"),"64871-B")</f>
        <v>64871-B</v>
      </c>
      <c r="F303" s="11" t="s">
        <v>17</v>
      </c>
      <c r="G303" s="10" t="s">
        <v>24</v>
      </c>
      <c r="H303" s="11" t="s">
        <v>19</v>
      </c>
      <c r="I303" s="11" t="s">
        <v>20</v>
      </c>
      <c r="J303" s="12" t="str">
        <f ca="1">IFERROR(__xludf.DUMMYFUNCTION("FILTER('CLASFICACIÓN'!$F$3:$F2419,'CLASFICACIÓN'!$G$3:$G2419=M303)"),"SOLO 2024")</f>
        <v>SOLO 2024</v>
      </c>
      <c r="K303" s="12" t="s">
        <v>2011</v>
      </c>
      <c r="L303" s="11" t="s">
        <v>52</v>
      </c>
      <c r="M303" s="12" t="str">
        <f t="shared" ca="1" si="1"/>
        <v>64871-B2 Primaria</v>
      </c>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4"/>
    </row>
    <row r="304" spans="1:36" ht="15.75" customHeight="1" x14ac:dyDescent="0.25">
      <c r="A304" s="9">
        <v>10</v>
      </c>
      <c r="B304" s="10" t="s">
        <v>44</v>
      </c>
      <c r="C304" s="10" t="s">
        <v>15</v>
      </c>
      <c r="D304" s="10" t="s">
        <v>16</v>
      </c>
      <c r="E304" s="11" t="str">
        <f ca="1">IFERROR(__xludf.DUMMYFUNCTION("FILTER(Colegios!$B$2:$B2419,Colegios!$A$2:$A2419=L304)"),"64871-B")</f>
        <v>64871-B</v>
      </c>
      <c r="F304" s="11" t="s">
        <v>17</v>
      </c>
      <c r="G304" s="10" t="s">
        <v>18</v>
      </c>
      <c r="H304" s="11" t="s">
        <v>19</v>
      </c>
      <c r="I304" s="11" t="s">
        <v>20</v>
      </c>
      <c r="J304" s="12" t="str">
        <f ca="1">IFERROR(__xludf.DUMMYFUNCTION("FILTER('CLASFICACIÓN'!$F$3:$F2419,'CLASFICACIÓN'!$G$3:$G2419=M304)"),"2023 Y 2024")</f>
        <v>2023 Y 2024</v>
      </c>
      <c r="K304" s="12" t="s">
        <v>2011</v>
      </c>
      <c r="L304" s="11" t="s">
        <v>52</v>
      </c>
      <c r="M304" s="12" t="str">
        <f t="shared" ca="1" si="1"/>
        <v>64871-B4 Primaria</v>
      </c>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4"/>
    </row>
    <row r="305" spans="1:36" ht="15.75" customHeight="1" x14ac:dyDescent="0.25">
      <c r="A305" s="9">
        <v>11</v>
      </c>
      <c r="B305" s="10" t="s">
        <v>44</v>
      </c>
      <c r="C305" s="10" t="s">
        <v>15</v>
      </c>
      <c r="D305" s="10" t="s">
        <v>16</v>
      </c>
      <c r="E305" s="11" t="str">
        <f ca="1">IFERROR(__xludf.DUMMYFUNCTION("FILTER(Colegios!$B$2:$B2419,Colegios!$A$2:$A2419=L305)"),"64871-B")</f>
        <v>64871-B</v>
      </c>
      <c r="F305" s="11" t="s">
        <v>17</v>
      </c>
      <c r="G305" s="10" t="s">
        <v>18</v>
      </c>
      <c r="H305" s="11" t="s">
        <v>19</v>
      </c>
      <c r="I305" s="11" t="s">
        <v>20</v>
      </c>
      <c r="J305" s="12" t="str">
        <f ca="1">IFERROR(__xludf.DUMMYFUNCTION("FILTER('CLASFICACIÓN'!$F$3:$F2419,'CLASFICACIÓN'!$G$3:$G2419=M305)"),"2023 Y 2024")</f>
        <v>2023 Y 2024</v>
      </c>
      <c r="K305" s="12" t="s">
        <v>2011</v>
      </c>
      <c r="L305" s="11" t="s">
        <v>52</v>
      </c>
      <c r="M305" s="12" t="str">
        <f t="shared" ca="1" si="1"/>
        <v>64871-B4 Primaria</v>
      </c>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4"/>
    </row>
    <row r="306" spans="1:36" ht="15.75" customHeight="1" x14ac:dyDescent="0.25">
      <c r="A306" s="9">
        <v>12</v>
      </c>
      <c r="B306" s="10" t="s">
        <v>44</v>
      </c>
      <c r="C306" s="10" t="s">
        <v>15</v>
      </c>
      <c r="D306" s="10" t="s">
        <v>16</v>
      </c>
      <c r="E306" s="11" t="str">
        <f ca="1">IFERROR(__xludf.DUMMYFUNCTION("FILTER(Colegios!$B$2:$B2419,Colegios!$A$2:$A2419=L306)"),"64871-B")</f>
        <v>64871-B</v>
      </c>
      <c r="F306" s="11" t="s">
        <v>17</v>
      </c>
      <c r="G306" s="10" t="s">
        <v>18</v>
      </c>
      <c r="H306" s="11" t="s">
        <v>19</v>
      </c>
      <c r="I306" s="11" t="s">
        <v>20</v>
      </c>
      <c r="J306" s="12" t="str">
        <f ca="1">IFERROR(__xludf.DUMMYFUNCTION("FILTER('CLASFICACIÓN'!$F$3:$F2419,'CLASFICACIÓN'!$G$3:$G2419=M306)"),"2023 Y 2024")</f>
        <v>2023 Y 2024</v>
      </c>
      <c r="K306" s="12" t="s">
        <v>2011</v>
      </c>
      <c r="L306" s="11" t="s">
        <v>52</v>
      </c>
      <c r="M306" s="12" t="str">
        <f t="shared" ca="1" si="1"/>
        <v>64871-B4 Primaria</v>
      </c>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4"/>
    </row>
    <row r="307" spans="1:36" ht="15.75" customHeight="1" x14ac:dyDescent="0.25">
      <c r="A307" s="9">
        <v>13</v>
      </c>
      <c r="B307" s="10" t="s">
        <v>44</v>
      </c>
      <c r="C307" s="10" t="s">
        <v>15</v>
      </c>
      <c r="D307" s="10" t="s">
        <v>16</v>
      </c>
      <c r="E307" s="11" t="str">
        <f ca="1">IFERROR(__xludf.DUMMYFUNCTION("FILTER(Colegios!$B$2:$B2419,Colegios!$A$2:$A2419=L307)"),"64871-B")</f>
        <v>64871-B</v>
      </c>
      <c r="F307" s="11" t="s">
        <v>17</v>
      </c>
      <c r="G307" s="10" t="s">
        <v>18</v>
      </c>
      <c r="H307" s="11" t="s">
        <v>19</v>
      </c>
      <c r="I307" s="11" t="s">
        <v>20</v>
      </c>
      <c r="J307" s="12" t="str">
        <f ca="1">IFERROR(__xludf.DUMMYFUNCTION("FILTER('CLASFICACIÓN'!$F$3:$F2419,'CLASFICACIÓN'!$G$3:$G2419=M307)"),"2023 Y 2024")</f>
        <v>2023 Y 2024</v>
      </c>
      <c r="K307" s="12" t="s">
        <v>2011</v>
      </c>
      <c r="L307" s="11" t="s">
        <v>52</v>
      </c>
      <c r="M307" s="12" t="str">
        <f t="shared" ca="1" si="1"/>
        <v>64871-B4 Primaria</v>
      </c>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4"/>
    </row>
    <row r="308" spans="1:36" ht="15.75" customHeight="1" x14ac:dyDescent="0.25">
      <c r="A308" s="9">
        <v>14</v>
      </c>
      <c r="B308" s="10" t="s">
        <v>44</v>
      </c>
      <c r="C308" s="10" t="s">
        <v>15</v>
      </c>
      <c r="D308" s="10" t="s">
        <v>16</v>
      </c>
      <c r="E308" s="11" t="str">
        <f ca="1">IFERROR(__xludf.DUMMYFUNCTION("FILTER(Colegios!$B$2:$B2419,Colegios!$A$2:$A2419=L308)"),"64871-B")</f>
        <v>64871-B</v>
      </c>
      <c r="F308" s="11" t="s">
        <v>17</v>
      </c>
      <c r="G308" s="10" t="s">
        <v>18</v>
      </c>
      <c r="H308" s="11" t="s">
        <v>19</v>
      </c>
      <c r="I308" s="11" t="s">
        <v>20</v>
      </c>
      <c r="J308" s="12" t="str">
        <f ca="1">IFERROR(__xludf.DUMMYFUNCTION("FILTER('CLASFICACIÓN'!$F$3:$F2419,'CLASFICACIÓN'!$G$3:$G2419=M308)"),"2023 Y 2024")</f>
        <v>2023 Y 2024</v>
      </c>
      <c r="K308" s="12" t="s">
        <v>2011</v>
      </c>
      <c r="L308" s="11" t="s">
        <v>52</v>
      </c>
      <c r="M308" s="12" t="str">
        <f t="shared" ca="1" si="1"/>
        <v>64871-B4 Primaria</v>
      </c>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4"/>
    </row>
    <row r="309" spans="1:36" ht="15.75" customHeight="1" x14ac:dyDescent="0.25">
      <c r="A309" s="9">
        <v>15</v>
      </c>
      <c r="B309" s="10" t="s">
        <v>44</v>
      </c>
      <c r="C309" s="10" t="s">
        <v>15</v>
      </c>
      <c r="D309" s="10" t="s">
        <v>16</v>
      </c>
      <c r="E309" s="11" t="str">
        <f ca="1">IFERROR(__xludf.DUMMYFUNCTION("FILTER(Colegios!$B$2:$B2419,Colegios!$A$2:$A2419=L309)"),"64871-B")</f>
        <v>64871-B</v>
      </c>
      <c r="F309" s="11" t="s">
        <v>17</v>
      </c>
      <c r="G309" s="10" t="s">
        <v>18</v>
      </c>
      <c r="H309" s="11" t="s">
        <v>19</v>
      </c>
      <c r="I309" s="11" t="s">
        <v>20</v>
      </c>
      <c r="J309" s="12" t="str">
        <f ca="1">IFERROR(__xludf.DUMMYFUNCTION("FILTER('CLASFICACIÓN'!$F$3:$F2419,'CLASFICACIÓN'!$G$3:$G2419=M309)"),"2023 Y 2024")</f>
        <v>2023 Y 2024</v>
      </c>
      <c r="K309" s="12" t="s">
        <v>2011</v>
      </c>
      <c r="L309" s="11" t="s">
        <v>52</v>
      </c>
      <c r="M309" s="12" t="str">
        <f t="shared" ca="1" si="1"/>
        <v>64871-B4 Primaria</v>
      </c>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4"/>
    </row>
    <row r="310" spans="1:36" ht="15.75" customHeight="1" x14ac:dyDescent="0.25">
      <c r="A310" s="9">
        <v>16</v>
      </c>
      <c r="B310" s="10" t="s">
        <v>44</v>
      </c>
      <c r="C310" s="10" t="s">
        <v>15</v>
      </c>
      <c r="D310" s="10" t="s">
        <v>16</v>
      </c>
      <c r="E310" s="11" t="str">
        <f ca="1">IFERROR(__xludf.DUMMYFUNCTION("FILTER(Colegios!$B$2:$B2419,Colegios!$A$2:$A2419=L310)"),"64871-B")</f>
        <v>64871-B</v>
      </c>
      <c r="F310" s="11" t="s">
        <v>17</v>
      </c>
      <c r="G310" s="10" t="s">
        <v>24</v>
      </c>
      <c r="H310" s="11" t="s">
        <v>19</v>
      </c>
      <c r="I310" s="11" t="s">
        <v>20</v>
      </c>
      <c r="J310" s="12" t="str">
        <f ca="1">IFERROR(__xludf.DUMMYFUNCTION("FILTER('CLASFICACIÓN'!$F$3:$F2419,'CLASFICACIÓN'!$G$3:$G2419=M310)"),"2023 Y 2024")</f>
        <v>2023 Y 2024</v>
      </c>
      <c r="K310" s="12" t="s">
        <v>2011</v>
      </c>
      <c r="L310" s="11" t="s">
        <v>52</v>
      </c>
      <c r="M310" s="12" t="str">
        <f t="shared" ca="1" si="1"/>
        <v>64871-B4 Primaria</v>
      </c>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4"/>
    </row>
    <row r="311" spans="1:36" ht="15.75" customHeight="1" x14ac:dyDescent="0.25">
      <c r="A311" s="9">
        <v>17</v>
      </c>
      <c r="B311" s="10" t="s">
        <v>44</v>
      </c>
      <c r="C311" s="10" t="s">
        <v>15</v>
      </c>
      <c r="D311" s="10" t="s">
        <v>16</v>
      </c>
      <c r="E311" s="11" t="str">
        <f ca="1">IFERROR(__xludf.DUMMYFUNCTION("FILTER(Colegios!$B$2:$B2419,Colegios!$A$2:$A2419=L311)"),"64871-B")</f>
        <v>64871-B</v>
      </c>
      <c r="F311" s="11" t="s">
        <v>17</v>
      </c>
      <c r="G311" s="10" t="s">
        <v>24</v>
      </c>
      <c r="H311" s="11" t="s">
        <v>19</v>
      </c>
      <c r="I311" s="11" t="s">
        <v>20</v>
      </c>
      <c r="J311" s="12" t="str">
        <f ca="1">IFERROR(__xludf.DUMMYFUNCTION("FILTER('CLASFICACIÓN'!$F$3:$F2419,'CLASFICACIÓN'!$G$3:$G2419=M311)"),"2023 Y 2024")</f>
        <v>2023 Y 2024</v>
      </c>
      <c r="K311" s="12" t="s">
        <v>2011</v>
      </c>
      <c r="L311" s="11" t="s">
        <v>52</v>
      </c>
      <c r="M311" s="12" t="str">
        <f t="shared" ca="1" si="1"/>
        <v>64871-B4 Primaria</v>
      </c>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4"/>
    </row>
    <row r="312" spans="1:36" ht="15.75" customHeight="1" x14ac:dyDescent="0.25">
      <c r="A312" s="9">
        <v>18</v>
      </c>
      <c r="B312" s="10" t="s">
        <v>44</v>
      </c>
      <c r="C312" s="10" t="s">
        <v>15</v>
      </c>
      <c r="D312" s="10" t="s">
        <v>16</v>
      </c>
      <c r="E312" s="11" t="str">
        <f ca="1">IFERROR(__xludf.DUMMYFUNCTION("FILTER(Colegios!$B$2:$B2419,Colegios!$A$2:$A2419=L312)"),"64871-B")</f>
        <v>64871-B</v>
      </c>
      <c r="F312" s="11" t="s">
        <v>17</v>
      </c>
      <c r="G312" s="10" t="s">
        <v>24</v>
      </c>
      <c r="H312" s="11" t="s">
        <v>19</v>
      </c>
      <c r="I312" s="11" t="s">
        <v>20</v>
      </c>
      <c r="J312" s="12" t="str">
        <f ca="1">IFERROR(__xludf.DUMMYFUNCTION("FILTER('CLASFICACIÓN'!$F$3:$F2419,'CLASFICACIÓN'!$G$3:$G2419=M312)"),"2023 Y 2024")</f>
        <v>2023 Y 2024</v>
      </c>
      <c r="K312" s="12" t="s">
        <v>2011</v>
      </c>
      <c r="L312" s="11" t="s">
        <v>52</v>
      </c>
      <c r="M312" s="12" t="str">
        <f t="shared" ca="1" si="1"/>
        <v>64871-B4 Primaria</v>
      </c>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4"/>
    </row>
    <row r="313" spans="1:36" ht="15.75" customHeight="1" x14ac:dyDescent="0.25">
      <c r="A313" s="9">
        <v>19</v>
      </c>
      <c r="B313" s="10" t="s">
        <v>44</v>
      </c>
      <c r="C313" s="10" t="s">
        <v>15</v>
      </c>
      <c r="D313" s="10" t="s">
        <v>16</v>
      </c>
      <c r="E313" s="11" t="str">
        <f ca="1">IFERROR(__xludf.DUMMYFUNCTION("FILTER(Colegios!$B$2:$B2419,Colegios!$A$2:$A2419=L313)"),"64871-B")</f>
        <v>64871-B</v>
      </c>
      <c r="F313" s="11" t="s">
        <v>17</v>
      </c>
      <c r="G313" s="10" t="s">
        <v>24</v>
      </c>
      <c r="H313" s="11" t="s">
        <v>19</v>
      </c>
      <c r="I313" s="11" t="s">
        <v>20</v>
      </c>
      <c r="J313" s="12" t="str">
        <f ca="1">IFERROR(__xludf.DUMMYFUNCTION("FILTER('CLASFICACIÓN'!$F$3:$F2419,'CLASFICACIÓN'!$G$3:$G2419=M313)"),"2023 Y 2024")</f>
        <v>2023 Y 2024</v>
      </c>
      <c r="K313" s="12" t="s">
        <v>2011</v>
      </c>
      <c r="L313" s="11" t="s">
        <v>52</v>
      </c>
      <c r="M313" s="12" t="str">
        <f t="shared" ca="1" si="1"/>
        <v>64871-B4 Primaria</v>
      </c>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4"/>
    </row>
    <row r="314" spans="1:36" ht="15.75" customHeight="1" x14ac:dyDescent="0.25">
      <c r="A314" s="9">
        <v>20</v>
      </c>
      <c r="B314" s="10" t="s">
        <v>44</v>
      </c>
      <c r="C314" s="10" t="s">
        <v>15</v>
      </c>
      <c r="D314" s="10" t="s">
        <v>37</v>
      </c>
      <c r="E314" s="11" t="str">
        <f ca="1">IFERROR(__xludf.DUMMYFUNCTION("FILTER(Colegios!$B$2:$B2419,Colegios!$A$2:$A2419=L314)"),"64871-B")</f>
        <v>64871-B</v>
      </c>
      <c r="F314" s="11" t="s">
        <v>17</v>
      </c>
      <c r="G314" s="10" t="s">
        <v>18</v>
      </c>
      <c r="H314" s="11" t="s">
        <v>19</v>
      </c>
      <c r="I314" s="11" t="s">
        <v>20</v>
      </c>
      <c r="J314" s="12" t="str">
        <f ca="1">IFERROR(__xludf.DUMMYFUNCTION("FILTER('CLASFICACIÓN'!$F$3:$F2419,'CLASFICACIÓN'!$G$3:$G2419=M314)"),"SOLO 2024")</f>
        <v>SOLO 2024</v>
      </c>
      <c r="K314" s="12" t="s">
        <v>2011</v>
      </c>
      <c r="L314" s="11" t="s">
        <v>52</v>
      </c>
      <c r="M314" s="12" t="str">
        <f t="shared" ca="1" si="1"/>
        <v>64871-B6 Primaria</v>
      </c>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4"/>
    </row>
    <row r="315" spans="1:36" ht="15.75" customHeight="1" x14ac:dyDescent="0.25">
      <c r="A315" s="9">
        <v>21</v>
      </c>
      <c r="B315" s="10" t="s">
        <v>44</v>
      </c>
      <c r="C315" s="10" t="s">
        <v>15</v>
      </c>
      <c r="D315" s="10" t="s">
        <v>37</v>
      </c>
      <c r="E315" s="11" t="str">
        <f ca="1">IFERROR(__xludf.DUMMYFUNCTION("FILTER(Colegios!$B$2:$B2419,Colegios!$A$2:$A2419=L315)"),"64871-B")</f>
        <v>64871-B</v>
      </c>
      <c r="F315" s="11" t="s">
        <v>17</v>
      </c>
      <c r="G315" s="10" t="s">
        <v>18</v>
      </c>
      <c r="H315" s="11" t="s">
        <v>19</v>
      </c>
      <c r="I315" s="11" t="s">
        <v>20</v>
      </c>
      <c r="J315" s="12" t="str">
        <f ca="1">IFERROR(__xludf.DUMMYFUNCTION("FILTER('CLASFICACIÓN'!$F$3:$F2419,'CLASFICACIÓN'!$G$3:$G2419=M315)"),"SOLO 2024")</f>
        <v>SOLO 2024</v>
      </c>
      <c r="K315" s="12" t="s">
        <v>2011</v>
      </c>
      <c r="L315" s="11" t="s">
        <v>52</v>
      </c>
      <c r="M315" s="12" t="str">
        <f t="shared" ca="1" si="1"/>
        <v>64871-B6 Primaria</v>
      </c>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4"/>
    </row>
    <row r="316" spans="1:36" ht="15.75" customHeight="1" x14ac:dyDescent="0.25">
      <c r="A316" s="9">
        <v>22</v>
      </c>
      <c r="B316" s="10" t="s">
        <v>44</v>
      </c>
      <c r="C316" s="10" t="s">
        <v>15</v>
      </c>
      <c r="D316" s="10" t="s">
        <v>37</v>
      </c>
      <c r="E316" s="11" t="str">
        <f ca="1">IFERROR(__xludf.DUMMYFUNCTION("FILTER(Colegios!$B$2:$B2419,Colegios!$A$2:$A2419=L316)"),"64871-B")</f>
        <v>64871-B</v>
      </c>
      <c r="F316" s="11" t="s">
        <v>17</v>
      </c>
      <c r="G316" s="10" t="s">
        <v>18</v>
      </c>
      <c r="H316" s="11" t="s">
        <v>19</v>
      </c>
      <c r="I316" s="11" t="s">
        <v>20</v>
      </c>
      <c r="J316" s="12" t="str">
        <f ca="1">IFERROR(__xludf.DUMMYFUNCTION("FILTER('CLASFICACIÓN'!$F$3:$F2419,'CLASFICACIÓN'!$G$3:$G2419=M316)"),"SOLO 2024")</f>
        <v>SOLO 2024</v>
      </c>
      <c r="K316" s="12" t="s">
        <v>2011</v>
      </c>
      <c r="L316" s="11" t="s">
        <v>52</v>
      </c>
      <c r="M316" s="12" t="str">
        <f t="shared" ca="1" si="1"/>
        <v>64871-B6 Primaria</v>
      </c>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4"/>
    </row>
    <row r="317" spans="1:36" ht="15.75" customHeight="1" x14ac:dyDescent="0.25">
      <c r="A317" s="9">
        <v>23</v>
      </c>
      <c r="B317" s="10" t="s">
        <v>44</v>
      </c>
      <c r="C317" s="10" t="s">
        <v>15</v>
      </c>
      <c r="D317" s="10" t="s">
        <v>37</v>
      </c>
      <c r="E317" s="11" t="str">
        <f ca="1">IFERROR(__xludf.DUMMYFUNCTION("FILTER(Colegios!$B$2:$B2419,Colegios!$A$2:$A2419=L317)"),"64871-B")</f>
        <v>64871-B</v>
      </c>
      <c r="F317" s="11" t="s">
        <v>17</v>
      </c>
      <c r="G317" s="10" t="s">
        <v>18</v>
      </c>
      <c r="H317" s="11" t="s">
        <v>19</v>
      </c>
      <c r="I317" s="11" t="s">
        <v>20</v>
      </c>
      <c r="J317" s="12" t="str">
        <f ca="1">IFERROR(__xludf.DUMMYFUNCTION("FILTER('CLASFICACIÓN'!$F$3:$F2419,'CLASFICACIÓN'!$G$3:$G2419=M317)"),"SOLO 2024")</f>
        <v>SOLO 2024</v>
      </c>
      <c r="K317" s="12" t="s">
        <v>2011</v>
      </c>
      <c r="L317" s="11" t="s">
        <v>52</v>
      </c>
      <c r="M317" s="12" t="str">
        <f t="shared" ca="1" si="1"/>
        <v>64871-B6 Primaria</v>
      </c>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4"/>
    </row>
    <row r="318" spans="1:36" ht="15.75" customHeight="1" x14ac:dyDescent="0.25">
      <c r="A318" s="9">
        <v>24</v>
      </c>
      <c r="B318" s="10" t="s">
        <v>44</v>
      </c>
      <c r="C318" s="10" t="s">
        <v>15</v>
      </c>
      <c r="D318" s="10" t="s">
        <v>37</v>
      </c>
      <c r="E318" s="11" t="str">
        <f ca="1">IFERROR(__xludf.DUMMYFUNCTION("FILTER(Colegios!$B$2:$B2419,Colegios!$A$2:$A2419=L318)"),"64871-B")</f>
        <v>64871-B</v>
      </c>
      <c r="F318" s="11" t="s">
        <v>17</v>
      </c>
      <c r="G318" s="10" t="s">
        <v>24</v>
      </c>
      <c r="H318" s="11" t="s">
        <v>19</v>
      </c>
      <c r="I318" s="11" t="s">
        <v>20</v>
      </c>
      <c r="J318" s="12" t="str">
        <f ca="1">IFERROR(__xludf.DUMMYFUNCTION("FILTER('CLASFICACIÓN'!$F$3:$F2419,'CLASFICACIÓN'!$G$3:$G2419=M318)"),"SOLO 2024")</f>
        <v>SOLO 2024</v>
      </c>
      <c r="K318" s="12" t="s">
        <v>2011</v>
      </c>
      <c r="L318" s="11" t="s">
        <v>52</v>
      </c>
      <c r="M318" s="12" t="str">
        <f t="shared" ca="1" si="1"/>
        <v>64871-B6 Primaria</v>
      </c>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4"/>
    </row>
    <row r="319" spans="1:36" ht="15.75" customHeight="1" x14ac:dyDescent="0.25">
      <c r="A319" s="9">
        <v>25</v>
      </c>
      <c r="B319" s="10" t="s">
        <v>44</v>
      </c>
      <c r="C319" s="10" t="s">
        <v>15</v>
      </c>
      <c r="D319" s="10" t="s">
        <v>37</v>
      </c>
      <c r="E319" s="11" t="str">
        <f ca="1">IFERROR(__xludf.DUMMYFUNCTION("FILTER(Colegios!$B$2:$B2419,Colegios!$A$2:$A2419=L319)"),"64871-B")</f>
        <v>64871-B</v>
      </c>
      <c r="F319" s="11" t="s">
        <v>17</v>
      </c>
      <c r="G319" s="10" t="s">
        <v>24</v>
      </c>
      <c r="H319" s="11" t="s">
        <v>19</v>
      </c>
      <c r="I319" s="11" t="s">
        <v>20</v>
      </c>
      <c r="J319" s="12" t="str">
        <f ca="1">IFERROR(__xludf.DUMMYFUNCTION("FILTER('CLASFICACIÓN'!$F$3:$F2419,'CLASFICACIÓN'!$G$3:$G2419=M319)"),"SOLO 2024")</f>
        <v>SOLO 2024</v>
      </c>
      <c r="K319" s="12" t="s">
        <v>2011</v>
      </c>
      <c r="L319" s="11" t="s">
        <v>52</v>
      </c>
      <c r="M319" s="12" t="str">
        <f t="shared" ca="1" si="1"/>
        <v>64871-B6 Primaria</v>
      </c>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4"/>
    </row>
    <row r="320" spans="1:36" ht="15.75" customHeight="1" x14ac:dyDescent="0.25">
      <c r="A320" s="9">
        <v>26</v>
      </c>
      <c r="B320" s="10" t="s">
        <v>44</v>
      </c>
      <c r="C320" s="10" t="s">
        <v>15</v>
      </c>
      <c r="D320" s="10" t="s">
        <v>37</v>
      </c>
      <c r="E320" s="11" t="str">
        <f ca="1">IFERROR(__xludf.DUMMYFUNCTION("FILTER(Colegios!$B$2:$B2419,Colegios!$A$2:$A2419=L320)"),"64871-B")</f>
        <v>64871-B</v>
      </c>
      <c r="F320" s="11" t="s">
        <v>17</v>
      </c>
      <c r="G320" s="10" t="s">
        <v>24</v>
      </c>
      <c r="H320" s="11" t="s">
        <v>19</v>
      </c>
      <c r="I320" s="11" t="s">
        <v>20</v>
      </c>
      <c r="J320" s="12" t="str">
        <f ca="1">IFERROR(__xludf.DUMMYFUNCTION("FILTER('CLASFICACIÓN'!$F$3:$F2419,'CLASFICACIÓN'!$G$3:$G2419=M320)"),"SOLO 2024")</f>
        <v>SOLO 2024</v>
      </c>
      <c r="K320" s="12" t="s">
        <v>2011</v>
      </c>
      <c r="L320" s="11" t="s">
        <v>52</v>
      </c>
      <c r="M320" s="12" t="str">
        <f t="shared" ca="1" si="1"/>
        <v>64871-B6 Primaria</v>
      </c>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4"/>
    </row>
    <row r="321" spans="1:36" ht="15.75" customHeight="1" x14ac:dyDescent="0.25">
      <c r="A321" s="9">
        <v>27</v>
      </c>
      <c r="B321" s="10" t="s">
        <v>44</v>
      </c>
      <c r="C321" s="10" t="s">
        <v>15</v>
      </c>
      <c r="D321" s="10" t="s">
        <v>37</v>
      </c>
      <c r="E321" s="11" t="str">
        <f ca="1">IFERROR(__xludf.DUMMYFUNCTION("FILTER(Colegios!$B$2:$B2419,Colegios!$A$2:$A2419=L321)"),"64871-B")</f>
        <v>64871-B</v>
      </c>
      <c r="F321" s="11" t="s">
        <v>17</v>
      </c>
      <c r="G321" s="10" t="s">
        <v>24</v>
      </c>
      <c r="H321" s="11" t="s">
        <v>19</v>
      </c>
      <c r="I321" s="11" t="s">
        <v>20</v>
      </c>
      <c r="J321" s="12" t="str">
        <f ca="1">IFERROR(__xludf.DUMMYFUNCTION("FILTER('CLASFICACIÓN'!$F$3:$F2419,'CLASFICACIÓN'!$G$3:$G2419=M321)"),"SOLO 2024")</f>
        <v>SOLO 2024</v>
      </c>
      <c r="K321" s="12" t="s">
        <v>2011</v>
      </c>
      <c r="L321" s="11" t="s">
        <v>52</v>
      </c>
      <c r="M321" s="12" t="str">
        <f t="shared" ca="1" si="1"/>
        <v>64871-B6 Primaria</v>
      </c>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4"/>
    </row>
    <row r="322" spans="1:36" ht="15.75" customHeight="1" x14ac:dyDescent="0.25">
      <c r="A322" s="9">
        <v>28</v>
      </c>
      <c r="B322" s="10" t="s">
        <v>44</v>
      </c>
      <c r="C322" s="10" t="s">
        <v>15</v>
      </c>
      <c r="D322" s="10" t="s">
        <v>37</v>
      </c>
      <c r="E322" s="11" t="str">
        <f ca="1">IFERROR(__xludf.DUMMYFUNCTION("FILTER(Colegios!$B$2:$B2419,Colegios!$A$2:$A2419=L322)"),"64871-B")</f>
        <v>64871-B</v>
      </c>
      <c r="F322" s="11" t="s">
        <v>17</v>
      </c>
      <c r="G322" s="10" t="s">
        <v>24</v>
      </c>
      <c r="H322" s="11" t="s">
        <v>19</v>
      </c>
      <c r="I322" s="11" t="s">
        <v>20</v>
      </c>
      <c r="J322" s="12" t="str">
        <f ca="1">IFERROR(__xludf.DUMMYFUNCTION("FILTER('CLASFICACIÓN'!$F$3:$F2419,'CLASFICACIÓN'!$G$3:$G2419=M322)"),"SOLO 2024")</f>
        <v>SOLO 2024</v>
      </c>
      <c r="K322" s="12" t="s">
        <v>2011</v>
      </c>
      <c r="L322" s="11" t="s">
        <v>52</v>
      </c>
      <c r="M322" s="12" t="str">
        <f t="shared" ca="1" si="1"/>
        <v>64871-B6 Primaria</v>
      </c>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4"/>
    </row>
    <row r="323" spans="1:36" ht="15.75" customHeight="1" x14ac:dyDescent="0.25">
      <c r="A323" s="9">
        <v>29</v>
      </c>
      <c r="B323" s="10" t="s">
        <v>44</v>
      </c>
      <c r="C323" s="10" t="s">
        <v>15</v>
      </c>
      <c r="D323" s="10" t="s">
        <v>37</v>
      </c>
      <c r="E323" s="11" t="str">
        <f ca="1">IFERROR(__xludf.DUMMYFUNCTION("FILTER(Colegios!$B$2:$B2419,Colegios!$A$2:$A2419=L323)"),"64871-B")</f>
        <v>64871-B</v>
      </c>
      <c r="F323" s="11" t="s">
        <v>17</v>
      </c>
      <c r="G323" s="10" t="s">
        <v>24</v>
      </c>
      <c r="H323" s="11" t="s">
        <v>19</v>
      </c>
      <c r="I323" s="11" t="s">
        <v>20</v>
      </c>
      <c r="J323" s="12" t="str">
        <f ca="1">IFERROR(__xludf.DUMMYFUNCTION("FILTER('CLASFICACIÓN'!$F$3:$F2419,'CLASFICACIÓN'!$G$3:$G2419=M323)"),"SOLO 2024")</f>
        <v>SOLO 2024</v>
      </c>
      <c r="K323" s="12" t="s">
        <v>2011</v>
      </c>
      <c r="L323" s="11" t="s">
        <v>52</v>
      </c>
      <c r="M323" s="12" t="str">
        <f t="shared" ca="1" si="1"/>
        <v>64871-B6 Primaria</v>
      </c>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4"/>
    </row>
    <row r="324" spans="1:36" ht="15.75" customHeight="1" x14ac:dyDescent="0.25">
      <c r="A324" s="9">
        <v>1</v>
      </c>
      <c r="B324" s="10" t="s">
        <v>44</v>
      </c>
      <c r="C324" s="10" t="s">
        <v>15</v>
      </c>
      <c r="D324" s="10" t="s">
        <v>45</v>
      </c>
      <c r="E324" s="11" t="str">
        <f ca="1">IFERROR(__xludf.DUMMYFUNCTION("FILTER(Colegios!$B$2:$B2419,Colegios!$A$2:$A2419=L324)"),"64028")</f>
        <v>64028</v>
      </c>
      <c r="F324" s="11" t="s">
        <v>17</v>
      </c>
      <c r="G324" s="10" t="s">
        <v>18</v>
      </c>
      <c r="H324" s="11" t="s">
        <v>19</v>
      </c>
      <c r="I324" s="11" t="s">
        <v>20</v>
      </c>
      <c r="J324" s="12" t="str">
        <f ca="1">IFERROR(__xludf.DUMMYFUNCTION("FILTER('CLASFICACIÓN'!$F$3:$F2419,'CLASFICACIÓN'!$G$3:$G2419=M324)"),"LOS 3 AÑOS")</f>
        <v>LOS 3 AÑOS</v>
      </c>
      <c r="K324" s="12" t="s">
        <v>2011</v>
      </c>
      <c r="L324" s="11" t="s">
        <v>53</v>
      </c>
      <c r="M324" s="12" t="str">
        <f t="shared" ca="1" si="1"/>
        <v>640282 Primaria</v>
      </c>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4"/>
    </row>
    <row r="325" spans="1:36" ht="15.75" customHeight="1" x14ac:dyDescent="0.25">
      <c r="A325" s="9">
        <v>2</v>
      </c>
      <c r="B325" s="10" t="s">
        <v>44</v>
      </c>
      <c r="C325" s="10" t="s">
        <v>15</v>
      </c>
      <c r="D325" s="10" t="s">
        <v>45</v>
      </c>
      <c r="E325" s="11" t="str">
        <f ca="1">IFERROR(__xludf.DUMMYFUNCTION("FILTER(Colegios!$B$2:$B2419,Colegios!$A$2:$A2419=L325)"),"64028")</f>
        <v>64028</v>
      </c>
      <c r="F325" s="11" t="s">
        <v>17</v>
      </c>
      <c r="G325" s="10" t="s">
        <v>24</v>
      </c>
      <c r="H325" s="11" t="s">
        <v>19</v>
      </c>
      <c r="I325" s="11" t="s">
        <v>20</v>
      </c>
      <c r="J325" s="12" t="str">
        <f ca="1">IFERROR(__xludf.DUMMYFUNCTION("FILTER('CLASFICACIÓN'!$F$3:$F2419,'CLASFICACIÓN'!$G$3:$G2419=M325)"),"LOS 3 AÑOS")</f>
        <v>LOS 3 AÑOS</v>
      </c>
      <c r="K325" s="12" t="s">
        <v>2011</v>
      </c>
      <c r="L325" s="11" t="s">
        <v>53</v>
      </c>
      <c r="M325" s="12" t="str">
        <f t="shared" ca="1" si="1"/>
        <v>640282 Primaria</v>
      </c>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4"/>
    </row>
    <row r="326" spans="1:36" ht="15.75" customHeight="1" x14ac:dyDescent="0.25">
      <c r="A326" s="9">
        <v>3</v>
      </c>
      <c r="B326" s="10" t="s">
        <v>44</v>
      </c>
      <c r="C326" s="10" t="s">
        <v>15</v>
      </c>
      <c r="D326" s="10" t="s">
        <v>45</v>
      </c>
      <c r="E326" s="11" t="str">
        <f ca="1">IFERROR(__xludf.DUMMYFUNCTION("FILTER(Colegios!$B$2:$B2419,Colegios!$A$2:$A2419=L326)"),"64028")</f>
        <v>64028</v>
      </c>
      <c r="F326" s="11" t="s">
        <v>17</v>
      </c>
      <c r="G326" s="10" t="s">
        <v>24</v>
      </c>
      <c r="H326" s="11" t="s">
        <v>19</v>
      </c>
      <c r="I326" s="11" t="s">
        <v>20</v>
      </c>
      <c r="J326" s="12" t="str">
        <f ca="1">IFERROR(__xludf.DUMMYFUNCTION("FILTER('CLASFICACIÓN'!$F$3:$F2419,'CLASFICACIÓN'!$G$3:$G2419=M326)"),"LOS 3 AÑOS")</f>
        <v>LOS 3 AÑOS</v>
      </c>
      <c r="K326" s="12" t="s">
        <v>2011</v>
      </c>
      <c r="L326" s="11" t="s">
        <v>53</v>
      </c>
      <c r="M326" s="12" t="str">
        <f t="shared" ca="1" si="1"/>
        <v>640282 Primaria</v>
      </c>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4"/>
    </row>
    <row r="327" spans="1:36" ht="15.75" customHeight="1" x14ac:dyDescent="0.25">
      <c r="A327" s="9">
        <v>4</v>
      </c>
      <c r="B327" s="10" t="s">
        <v>44</v>
      </c>
      <c r="C327" s="10" t="s">
        <v>15</v>
      </c>
      <c r="D327" s="10" t="s">
        <v>16</v>
      </c>
      <c r="E327" s="11" t="str">
        <f ca="1">IFERROR(__xludf.DUMMYFUNCTION("FILTER(Colegios!$B$2:$B2419,Colegios!$A$2:$A2419=L327)"),"64028")</f>
        <v>64028</v>
      </c>
      <c r="F327" s="11" t="s">
        <v>17</v>
      </c>
      <c r="G327" s="10" t="s">
        <v>18</v>
      </c>
      <c r="H327" s="11" t="s">
        <v>19</v>
      </c>
      <c r="I327" s="11" t="s">
        <v>20</v>
      </c>
      <c r="J327" s="12" t="str">
        <f ca="1">IFERROR(__xludf.DUMMYFUNCTION("FILTER('CLASFICACIÓN'!$F$3:$F2419,'CLASFICACIÓN'!$G$3:$G2419=M327)"),"LOS 3 AÑOS")</f>
        <v>LOS 3 AÑOS</v>
      </c>
      <c r="K327" s="12" t="s">
        <v>2011</v>
      </c>
      <c r="L327" s="11" t="s">
        <v>53</v>
      </c>
      <c r="M327" s="12" t="str">
        <f t="shared" ca="1" si="1"/>
        <v>640284 Primaria</v>
      </c>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4"/>
    </row>
    <row r="328" spans="1:36" ht="15.75" customHeight="1" x14ac:dyDescent="0.25">
      <c r="A328" s="9">
        <v>5</v>
      </c>
      <c r="B328" s="10" t="s">
        <v>44</v>
      </c>
      <c r="C328" s="10" t="s">
        <v>15</v>
      </c>
      <c r="D328" s="10" t="s">
        <v>16</v>
      </c>
      <c r="E328" s="11" t="str">
        <f ca="1">IFERROR(__xludf.DUMMYFUNCTION("FILTER(Colegios!$B$2:$B2419,Colegios!$A$2:$A2419=L328)"),"64028")</f>
        <v>64028</v>
      </c>
      <c r="F328" s="11" t="s">
        <v>17</v>
      </c>
      <c r="G328" s="10" t="s">
        <v>18</v>
      </c>
      <c r="H328" s="11" t="s">
        <v>19</v>
      </c>
      <c r="I328" s="11" t="s">
        <v>20</v>
      </c>
      <c r="J328" s="12" t="str">
        <f ca="1">IFERROR(__xludf.DUMMYFUNCTION("FILTER('CLASFICACIÓN'!$F$3:$F2419,'CLASFICACIÓN'!$G$3:$G2419=M328)"),"LOS 3 AÑOS")</f>
        <v>LOS 3 AÑOS</v>
      </c>
      <c r="K328" s="12" t="s">
        <v>2011</v>
      </c>
      <c r="L328" s="11" t="s">
        <v>53</v>
      </c>
      <c r="M328" s="12" t="str">
        <f t="shared" ca="1" si="1"/>
        <v>640284 Primaria</v>
      </c>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4"/>
    </row>
    <row r="329" spans="1:36" ht="15.75" customHeight="1" x14ac:dyDescent="0.25">
      <c r="A329" s="9">
        <v>6</v>
      </c>
      <c r="B329" s="10" t="s">
        <v>44</v>
      </c>
      <c r="C329" s="10" t="s">
        <v>15</v>
      </c>
      <c r="D329" s="10" t="s">
        <v>16</v>
      </c>
      <c r="E329" s="11" t="str">
        <f ca="1">IFERROR(__xludf.DUMMYFUNCTION("FILTER(Colegios!$B$2:$B2419,Colegios!$A$2:$A2419=L329)"),"64028")</f>
        <v>64028</v>
      </c>
      <c r="F329" s="11" t="s">
        <v>17</v>
      </c>
      <c r="G329" s="10" t="s">
        <v>24</v>
      </c>
      <c r="H329" s="11" t="s">
        <v>23</v>
      </c>
      <c r="I329" s="11" t="s">
        <v>20</v>
      </c>
      <c r="J329" s="12" t="str">
        <f ca="1">IFERROR(__xludf.DUMMYFUNCTION("FILTER('CLASFICACIÓN'!$F$3:$F2419,'CLASFICACIÓN'!$G$3:$G2419=M329)"),"LOS 3 AÑOS")</f>
        <v>LOS 3 AÑOS</v>
      </c>
      <c r="K329" s="12" t="s">
        <v>2011</v>
      </c>
      <c r="L329" s="11" t="s">
        <v>53</v>
      </c>
      <c r="M329" s="12" t="str">
        <f t="shared" ca="1" si="1"/>
        <v>640284 Primaria</v>
      </c>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4"/>
    </row>
    <row r="330" spans="1:36" ht="15.75" customHeight="1" x14ac:dyDescent="0.25">
      <c r="A330" s="9">
        <v>7</v>
      </c>
      <c r="B330" s="10" t="s">
        <v>44</v>
      </c>
      <c r="C330" s="10" t="s">
        <v>15</v>
      </c>
      <c r="D330" s="10" t="s">
        <v>16</v>
      </c>
      <c r="E330" s="11" t="str">
        <f ca="1">IFERROR(__xludf.DUMMYFUNCTION("FILTER(Colegios!$B$2:$B2419,Colegios!$A$2:$A2419=L330)"),"64028")</f>
        <v>64028</v>
      </c>
      <c r="F330" s="11" t="s">
        <v>17</v>
      </c>
      <c r="G330" s="10" t="s">
        <v>24</v>
      </c>
      <c r="H330" s="11" t="s">
        <v>23</v>
      </c>
      <c r="I330" s="11" t="s">
        <v>20</v>
      </c>
      <c r="J330" s="12" t="str">
        <f ca="1">IFERROR(__xludf.DUMMYFUNCTION("FILTER('CLASFICACIÓN'!$F$3:$F2419,'CLASFICACIÓN'!$G$3:$G2419=M330)"),"LOS 3 AÑOS")</f>
        <v>LOS 3 AÑOS</v>
      </c>
      <c r="K330" s="12" t="s">
        <v>2011</v>
      </c>
      <c r="L330" s="11" t="s">
        <v>53</v>
      </c>
      <c r="M330" s="12" t="str">
        <f t="shared" ca="1" si="1"/>
        <v>640284 Primaria</v>
      </c>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4"/>
    </row>
    <row r="331" spans="1:36" ht="15.75" customHeight="1" x14ac:dyDescent="0.25">
      <c r="A331" s="9">
        <v>8</v>
      </c>
      <c r="B331" s="10" t="s">
        <v>44</v>
      </c>
      <c r="C331" s="10" t="s">
        <v>15</v>
      </c>
      <c r="D331" s="10" t="s">
        <v>37</v>
      </c>
      <c r="E331" s="11" t="str">
        <f ca="1">IFERROR(__xludf.DUMMYFUNCTION("FILTER(Colegios!$B$2:$B2419,Colegios!$A$2:$A2419=L331)"),"64028")</f>
        <v>64028</v>
      </c>
      <c r="F331" s="11" t="s">
        <v>17</v>
      </c>
      <c r="G331" s="10" t="s">
        <v>18</v>
      </c>
      <c r="H331" s="11" t="s">
        <v>23</v>
      </c>
      <c r="I331" s="11" t="s">
        <v>20</v>
      </c>
      <c r="J331" s="12" t="str">
        <f ca="1">IFERROR(__xludf.DUMMYFUNCTION("FILTER('CLASFICACIÓN'!$F$3:$F2419,'CLASFICACIÓN'!$G$3:$G2419=M331)"),"SOLO 2022 Y 2024")</f>
        <v>SOLO 2022 Y 2024</v>
      </c>
      <c r="K331" s="12" t="s">
        <v>2011</v>
      </c>
      <c r="L331" s="11" t="s">
        <v>53</v>
      </c>
      <c r="M331" s="12" t="str">
        <f t="shared" ca="1" si="1"/>
        <v>640286 Primaria</v>
      </c>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4"/>
    </row>
    <row r="332" spans="1:36" ht="15.75" customHeight="1" x14ac:dyDescent="0.25">
      <c r="A332" s="9">
        <v>9</v>
      </c>
      <c r="B332" s="10" t="s">
        <v>44</v>
      </c>
      <c r="C332" s="10" t="s">
        <v>15</v>
      </c>
      <c r="D332" s="10" t="s">
        <v>37</v>
      </c>
      <c r="E332" s="11" t="str">
        <f ca="1">IFERROR(__xludf.DUMMYFUNCTION("FILTER(Colegios!$B$2:$B2419,Colegios!$A$2:$A2419=L332)"),"64028")</f>
        <v>64028</v>
      </c>
      <c r="F332" s="11" t="s">
        <v>17</v>
      </c>
      <c r="G332" s="10" t="s">
        <v>18</v>
      </c>
      <c r="H332" s="11" t="s">
        <v>23</v>
      </c>
      <c r="I332" s="11" t="s">
        <v>20</v>
      </c>
      <c r="J332" s="12" t="str">
        <f ca="1">IFERROR(__xludf.DUMMYFUNCTION("FILTER('CLASFICACIÓN'!$F$3:$F2419,'CLASFICACIÓN'!$G$3:$G2419=M332)"),"SOLO 2022 Y 2024")</f>
        <v>SOLO 2022 Y 2024</v>
      </c>
      <c r="K332" s="12" t="s">
        <v>2011</v>
      </c>
      <c r="L332" s="11" t="s">
        <v>53</v>
      </c>
      <c r="M332" s="12" t="str">
        <f t="shared" ca="1" si="1"/>
        <v>640286 Primaria</v>
      </c>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4"/>
    </row>
    <row r="333" spans="1:36" ht="15.75" customHeight="1" x14ac:dyDescent="0.25">
      <c r="A333" s="9">
        <v>10</v>
      </c>
      <c r="B333" s="10" t="s">
        <v>44</v>
      </c>
      <c r="C333" s="10" t="s">
        <v>15</v>
      </c>
      <c r="D333" s="10" t="s">
        <v>37</v>
      </c>
      <c r="E333" s="11" t="str">
        <f ca="1">IFERROR(__xludf.DUMMYFUNCTION("FILTER(Colegios!$B$2:$B2419,Colegios!$A$2:$A2419=L333)"),"64028")</f>
        <v>64028</v>
      </c>
      <c r="F333" s="11" t="s">
        <v>17</v>
      </c>
      <c r="G333" s="10" t="s">
        <v>24</v>
      </c>
      <c r="H333" s="11" t="s">
        <v>23</v>
      </c>
      <c r="I333" s="11" t="s">
        <v>20</v>
      </c>
      <c r="J333" s="12" t="str">
        <f ca="1">IFERROR(__xludf.DUMMYFUNCTION("FILTER('CLASFICACIÓN'!$F$3:$F2419,'CLASFICACIÓN'!$G$3:$G2419=M333)"),"SOLO 2022 Y 2024")</f>
        <v>SOLO 2022 Y 2024</v>
      </c>
      <c r="K333" s="12" t="s">
        <v>2011</v>
      </c>
      <c r="L333" s="11" t="s">
        <v>53</v>
      </c>
      <c r="M333" s="12" t="str">
        <f t="shared" ca="1" si="1"/>
        <v>640286 Primaria</v>
      </c>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4"/>
    </row>
    <row r="334" spans="1:36" ht="15.75" customHeight="1" x14ac:dyDescent="0.25">
      <c r="A334" s="9">
        <v>11</v>
      </c>
      <c r="B334" s="10" t="s">
        <v>44</v>
      </c>
      <c r="C334" s="10" t="s">
        <v>15</v>
      </c>
      <c r="D334" s="10" t="s">
        <v>37</v>
      </c>
      <c r="E334" s="11" t="str">
        <f ca="1">IFERROR(__xludf.DUMMYFUNCTION("FILTER(Colegios!$B$2:$B2419,Colegios!$A$2:$A2419=L334)"),"64028")</f>
        <v>64028</v>
      </c>
      <c r="F334" s="11" t="s">
        <v>17</v>
      </c>
      <c r="G334" s="10" t="s">
        <v>24</v>
      </c>
      <c r="H334" s="11" t="s">
        <v>19</v>
      </c>
      <c r="I334" s="11" t="s">
        <v>20</v>
      </c>
      <c r="J334" s="12" t="str">
        <f ca="1">IFERROR(__xludf.DUMMYFUNCTION("FILTER('CLASFICACIÓN'!$F$3:$F2419,'CLASFICACIÓN'!$G$3:$G2419=M334)"),"SOLO 2022 Y 2024")</f>
        <v>SOLO 2022 Y 2024</v>
      </c>
      <c r="K334" s="12" t="s">
        <v>2011</v>
      </c>
      <c r="L334" s="11" t="s">
        <v>53</v>
      </c>
      <c r="M334" s="12" t="str">
        <f t="shared" ca="1" si="1"/>
        <v>640286 Primaria</v>
      </c>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4"/>
    </row>
    <row r="335" spans="1:36" ht="15.75" customHeight="1" x14ac:dyDescent="0.25">
      <c r="A335" s="9">
        <v>1</v>
      </c>
      <c r="B335" s="10" t="s">
        <v>54</v>
      </c>
      <c r="C335" s="10" t="s">
        <v>41</v>
      </c>
      <c r="D335" s="10" t="s">
        <v>42</v>
      </c>
      <c r="E335" s="11" t="str">
        <f ca="1">IFERROR(__xludf.DUMMYFUNCTION("FILTER(Colegios!$B$2:$B2419,Colegios!$A$2:$A2419=L335)"),"NUESTRA SEÑORA DE LA CANDELARIA")</f>
        <v>NUESTRA SEÑORA DE LA CANDELARIA</v>
      </c>
      <c r="F335" s="11" t="s">
        <v>17</v>
      </c>
      <c r="G335" s="10" t="s">
        <v>24</v>
      </c>
      <c r="H335" s="11" t="s">
        <v>19</v>
      </c>
      <c r="I335" s="11" t="s">
        <v>20</v>
      </c>
      <c r="J335" s="12" t="str">
        <f ca="1">IFERROR(__xludf.DUMMYFUNCTION("FILTER('CLASFICACIÓN'!$F$3:$F2419,'CLASFICACIÓN'!$G$3:$G2419=M335)"),"2023 Y 2024")</f>
        <v>2023 Y 2024</v>
      </c>
      <c r="K335" s="12" t="s">
        <v>2011</v>
      </c>
      <c r="L335" s="11" t="s">
        <v>55</v>
      </c>
      <c r="M335" s="12" t="str">
        <f t="shared" ca="1" si="1"/>
        <v>NUESTRA SEÑORA DE LA CANDELARIA2 Secundaria</v>
      </c>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4"/>
    </row>
    <row r="336" spans="1:36" ht="15.75" customHeight="1" x14ac:dyDescent="0.25">
      <c r="A336" s="9">
        <v>5</v>
      </c>
      <c r="B336" s="10" t="s">
        <v>54</v>
      </c>
      <c r="C336" s="10" t="s">
        <v>41</v>
      </c>
      <c r="D336" s="10" t="s">
        <v>42</v>
      </c>
      <c r="E336" s="11" t="str">
        <f ca="1">IFERROR(__xludf.DUMMYFUNCTION("FILTER(Colegios!$B$2:$B2419,Colegios!$A$2:$A2419=L336)"),"NUESTRA SEÑORA DE LA CANDELARIA")</f>
        <v>NUESTRA SEÑORA DE LA CANDELARIA</v>
      </c>
      <c r="F336" s="11" t="s">
        <v>17</v>
      </c>
      <c r="G336" s="10" t="s">
        <v>24</v>
      </c>
      <c r="H336" s="11" t="s">
        <v>19</v>
      </c>
      <c r="I336" s="11" t="s">
        <v>20</v>
      </c>
      <c r="J336" s="12" t="str">
        <f ca="1">IFERROR(__xludf.DUMMYFUNCTION("FILTER('CLASFICACIÓN'!$F$3:$F2419,'CLASFICACIÓN'!$G$3:$G2419=M336)"),"2023 Y 2024")</f>
        <v>2023 Y 2024</v>
      </c>
      <c r="K336" s="12" t="s">
        <v>2011</v>
      </c>
      <c r="L336" s="11" t="s">
        <v>55</v>
      </c>
      <c r="M336" s="12" t="str">
        <f t="shared" ca="1" si="1"/>
        <v>NUESTRA SEÑORA DE LA CANDELARIA2 Secundaria</v>
      </c>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4"/>
    </row>
    <row r="337" spans="1:36" ht="15.75" customHeight="1" x14ac:dyDescent="0.25">
      <c r="A337" s="9">
        <v>6</v>
      </c>
      <c r="B337" s="10" t="s">
        <v>54</v>
      </c>
      <c r="C337" s="10" t="s">
        <v>41</v>
      </c>
      <c r="D337" s="10" t="s">
        <v>42</v>
      </c>
      <c r="E337" s="11" t="str">
        <f ca="1">IFERROR(__xludf.DUMMYFUNCTION("FILTER(Colegios!$B$2:$B2419,Colegios!$A$2:$A2419=L337)"),"NUESTRA SEÑORA DE LA CANDELARIA")</f>
        <v>NUESTRA SEÑORA DE LA CANDELARIA</v>
      </c>
      <c r="F337" s="11" t="s">
        <v>17</v>
      </c>
      <c r="G337" s="10" t="s">
        <v>18</v>
      </c>
      <c r="H337" s="11" t="s">
        <v>19</v>
      </c>
      <c r="I337" s="11" t="s">
        <v>20</v>
      </c>
      <c r="J337" s="12" t="str">
        <f ca="1">IFERROR(__xludf.DUMMYFUNCTION("FILTER('CLASFICACIÓN'!$F$3:$F2419,'CLASFICACIÓN'!$G$3:$G2419=M337)"),"2023 Y 2024")</f>
        <v>2023 Y 2024</v>
      </c>
      <c r="K337" s="12" t="s">
        <v>2011</v>
      </c>
      <c r="L337" s="11" t="s">
        <v>55</v>
      </c>
      <c r="M337" s="12" t="str">
        <f t="shared" ca="1" si="1"/>
        <v>NUESTRA SEÑORA DE LA CANDELARIA2 Secundaria</v>
      </c>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4"/>
    </row>
    <row r="338" spans="1:36" ht="15.75" customHeight="1" x14ac:dyDescent="0.25">
      <c r="A338" s="9">
        <v>7</v>
      </c>
      <c r="B338" s="10" t="s">
        <v>54</v>
      </c>
      <c r="C338" s="10" t="s">
        <v>41</v>
      </c>
      <c r="D338" s="10" t="s">
        <v>42</v>
      </c>
      <c r="E338" s="11" t="str">
        <f ca="1">IFERROR(__xludf.DUMMYFUNCTION("FILTER(Colegios!$B$2:$B2419,Colegios!$A$2:$A2419=L338)"),"NUESTRA SEÑORA DE LA CANDELARIA")</f>
        <v>NUESTRA SEÑORA DE LA CANDELARIA</v>
      </c>
      <c r="F338" s="11" t="s">
        <v>17</v>
      </c>
      <c r="G338" s="10" t="s">
        <v>24</v>
      </c>
      <c r="H338" s="11" t="s">
        <v>19</v>
      </c>
      <c r="I338" s="11" t="s">
        <v>20</v>
      </c>
      <c r="J338" s="12" t="str">
        <f ca="1">IFERROR(__xludf.DUMMYFUNCTION("FILTER('CLASFICACIÓN'!$F$3:$F2419,'CLASFICACIÓN'!$G$3:$G2419=M338)"),"2023 Y 2024")</f>
        <v>2023 Y 2024</v>
      </c>
      <c r="K338" s="12" t="s">
        <v>2011</v>
      </c>
      <c r="L338" s="11" t="s">
        <v>55</v>
      </c>
      <c r="M338" s="12" t="str">
        <f t="shared" ca="1" si="1"/>
        <v>NUESTRA SEÑORA DE LA CANDELARIA2 Secundaria</v>
      </c>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4"/>
    </row>
    <row r="339" spans="1:36" ht="15.75" customHeight="1" x14ac:dyDescent="0.25">
      <c r="A339" s="9">
        <v>8</v>
      </c>
      <c r="B339" s="10" t="s">
        <v>54</v>
      </c>
      <c r="C339" s="10" t="s">
        <v>41</v>
      </c>
      <c r="D339" s="10" t="s">
        <v>42</v>
      </c>
      <c r="E339" s="11" t="str">
        <f ca="1">IFERROR(__xludf.DUMMYFUNCTION("FILTER(Colegios!$B$2:$B2419,Colegios!$A$2:$A2419=L339)"),"NUESTRA SEÑORA DE LA CANDELARIA")</f>
        <v>NUESTRA SEÑORA DE LA CANDELARIA</v>
      </c>
      <c r="F339" s="11" t="s">
        <v>17</v>
      </c>
      <c r="G339" s="10" t="s">
        <v>24</v>
      </c>
      <c r="H339" s="11" t="s">
        <v>19</v>
      </c>
      <c r="I339" s="11" t="s">
        <v>20</v>
      </c>
      <c r="J339" s="12" t="str">
        <f ca="1">IFERROR(__xludf.DUMMYFUNCTION("FILTER('CLASFICACIÓN'!$F$3:$F2419,'CLASFICACIÓN'!$G$3:$G2419=M339)"),"2023 Y 2024")</f>
        <v>2023 Y 2024</v>
      </c>
      <c r="K339" s="12" t="s">
        <v>2011</v>
      </c>
      <c r="L339" s="11" t="s">
        <v>55</v>
      </c>
      <c r="M339" s="12" t="str">
        <f t="shared" ca="1" si="1"/>
        <v>NUESTRA SEÑORA DE LA CANDELARIA2 Secundaria</v>
      </c>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4"/>
    </row>
    <row r="340" spans="1:36" ht="15.75" customHeight="1" x14ac:dyDescent="0.25">
      <c r="A340" s="9">
        <v>9</v>
      </c>
      <c r="B340" s="10" t="s">
        <v>54</v>
      </c>
      <c r="C340" s="10" t="s">
        <v>41</v>
      </c>
      <c r="D340" s="10" t="s">
        <v>42</v>
      </c>
      <c r="E340" s="11" t="str">
        <f ca="1">IFERROR(__xludf.DUMMYFUNCTION("FILTER(Colegios!$B$2:$B2419,Colegios!$A$2:$A2419=L340)"),"NUESTRA SEÑORA DE LA CANDELARIA")</f>
        <v>NUESTRA SEÑORA DE LA CANDELARIA</v>
      </c>
      <c r="F340" s="11" t="s">
        <v>17</v>
      </c>
      <c r="G340" s="10" t="s">
        <v>18</v>
      </c>
      <c r="H340" s="11" t="s">
        <v>19</v>
      </c>
      <c r="I340" s="11" t="s">
        <v>20</v>
      </c>
      <c r="J340" s="12" t="str">
        <f ca="1">IFERROR(__xludf.DUMMYFUNCTION("FILTER('CLASFICACIÓN'!$F$3:$F2419,'CLASFICACIÓN'!$G$3:$G2419=M340)"),"2023 Y 2024")</f>
        <v>2023 Y 2024</v>
      </c>
      <c r="K340" s="12" t="s">
        <v>2011</v>
      </c>
      <c r="L340" s="11" t="s">
        <v>55</v>
      </c>
      <c r="M340" s="12" t="str">
        <f t="shared" ca="1" si="1"/>
        <v>NUESTRA SEÑORA DE LA CANDELARIA2 Secundaria</v>
      </c>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4"/>
    </row>
    <row r="341" spans="1:36" ht="15.75" customHeight="1" x14ac:dyDescent="0.25">
      <c r="A341" s="9">
        <v>10</v>
      </c>
      <c r="B341" s="10" t="s">
        <v>54</v>
      </c>
      <c r="C341" s="10" t="s">
        <v>41</v>
      </c>
      <c r="D341" s="10" t="s">
        <v>42</v>
      </c>
      <c r="E341" s="11" t="str">
        <f ca="1">IFERROR(__xludf.DUMMYFUNCTION("FILTER(Colegios!$B$2:$B2419,Colegios!$A$2:$A2419=L341)"),"NUESTRA SEÑORA DE LA CANDELARIA")</f>
        <v>NUESTRA SEÑORA DE LA CANDELARIA</v>
      </c>
      <c r="F341" s="11" t="s">
        <v>17</v>
      </c>
      <c r="G341" s="10" t="s">
        <v>24</v>
      </c>
      <c r="H341" s="11" t="s">
        <v>19</v>
      </c>
      <c r="I341" s="11" t="s">
        <v>20</v>
      </c>
      <c r="J341" s="12" t="str">
        <f ca="1">IFERROR(__xludf.DUMMYFUNCTION("FILTER('CLASFICACIÓN'!$F$3:$F2419,'CLASFICACIÓN'!$G$3:$G2419=M341)"),"2023 Y 2024")</f>
        <v>2023 Y 2024</v>
      </c>
      <c r="K341" s="12" t="s">
        <v>2011</v>
      </c>
      <c r="L341" s="11" t="s">
        <v>55</v>
      </c>
      <c r="M341" s="12" t="str">
        <f t="shared" ca="1" si="1"/>
        <v>NUESTRA SEÑORA DE LA CANDELARIA2 Secundaria</v>
      </c>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4"/>
    </row>
    <row r="342" spans="1:36" ht="15.75" customHeight="1" x14ac:dyDescent="0.25">
      <c r="A342" s="9">
        <v>11</v>
      </c>
      <c r="B342" s="10" t="s">
        <v>54</v>
      </c>
      <c r="C342" s="10" t="s">
        <v>41</v>
      </c>
      <c r="D342" s="10" t="s">
        <v>42</v>
      </c>
      <c r="E342" s="11" t="str">
        <f ca="1">IFERROR(__xludf.DUMMYFUNCTION("FILTER(Colegios!$B$2:$B2419,Colegios!$A$2:$A2419=L342)"),"NUESTRA SEÑORA DE LA CANDELARIA")</f>
        <v>NUESTRA SEÑORA DE LA CANDELARIA</v>
      </c>
      <c r="F342" s="11" t="s">
        <v>17</v>
      </c>
      <c r="G342" s="10" t="s">
        <v>18</v>
      </c>
      <c r="H342" s="11" t="s">
        <v>19</v>
      </c>
      <c r="I342" s="11" t="s">
        <v>20</v>
      </c>
      <c r="J342" s="12" t="str">
        <f ca="1">IFERROR(__xludf.DUMMYFUNCTION("FILTER('CLASFICACIÓN'!$F$3:$F2419,'CLASFICACIÓN'!$G$3:$G2419=M342)"),"2023 Y 2024")</f>
        <v>2023 Y 2024</v>
      </c>
      <c r="K342" s="12" t="s">
        <v>2011</v>
      </c>
      <c r="L342" s="11" t="s">
        <v>55</v>
      </c>
      <c r="M342" s="12" t="str">
        <f t="shared" ca="1" si="1"/>
        <v>NUESTRA SEÑORA DE LA CANDELARIA2 Secundaria</v>
      </c>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4"/>
    </row>
    <row r="343" spans="1:36" ht="15.75" customHeight="1" x14ac:dyDescent="0.25">
      <c r="A343" s="9">
        <v>12</v>
      </c>
      <c r="B343" s="10" t="s">
        <v>54</v>
      </c>
      <c r="C343" s="10" t="s">
        <v>41</v>
      </c>
      <c r="D343" s="10" t="s">
        <v>42</v>
      </c>
      <c r="E343" s="11" t="str">
        <f ca="1">IFERROR(__xludf.DUMMYFUNCTION("FILTER(Colegios!$B$2:$B2419,Colegios!$A$2:$A2419=L343)"),"NUESTRA SEÑORA DE LA CANDELARIA")</f>
        <v>NUESTRA SEÑORA DE LA CANDELARIA</v>
      </c>
      <c r="F343" s="11" t="s">
        <v>17</v>
      </c>
      <c r="G343" s="10" t="s">
        <v>18</v>
      </c>
      <c r="H343" s="11" t="s">
        <v>19</v>
      </c>
      <c r="I343" s="11" t="s">
        <v>20</v>
      </c>
      <c r="J343" s="12" t="str">
        <f ca="1">IFERROR(__xludf.DUMMYFUNCTION("FILTER('CLASFICACIÓN'!$F$3:$F2419,'CLASFICACIÓN'!$G$3:$G2419=M343)"),"2023 Y 2024")</f>
        <v>2023 Y 2024</v>
      </c>
      <c r="K343" s="12" t="s">
        <v>2011</v>
      </c>
      <c r="L343" s="11" t="s">
        <v>55</v>
      </c>
      <c r="M343" s="12" t="str">
        <f t="shared" ca="1" si="1"/>
        <v>NUESTRA SEÑORA DE LA CANDELARIA2 Secundaria</v>
      </c>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4"/>
    </row>
    <row r="344" spans="1:36" ht="15.75" customHeight="1" x14ac:dyDescent="0.25">
      <c r="A344" s="9">
        <v>13</v>
      </c>
      <c r="B344" s="10" t="s">
        <v>54</v>
      </c>
      <c r="C344" s="10" t="s">
        <v>41</v>
      </c>
      <c r="D344" s="10" t="s">
        <v>42</v>
      </c>
      <c r="E344" s="11" t="str">
        <f ca="1">IFERROR(__xludf.DUMMYFUNCTION("FILTER(Colegios!$B$2:$B2419,Colegios!$A$2:$A2419=L344)"),"NUESTRA SEÑORA DE LA CANDELARIA")</f>
        <v>NUESTRA SEÑORA DE LA CANDELARIA</v>
      </c>
      <c r="F344" s="11" t="s">
        <v>17</v>
      </c>
      <c r="G344" s="10" t="s">
        <v>24</v>
      </c>
      <c r="H344" s="11" t="s">
        <v>19</v>
      </c>
      <c r="I344" s="11" t="s">
        <v>20</v>
      </c>
      <c r="J344" s="12" t="str">
        <f ca="1">IFERROR(__xludf.DUMMYFUNCTION("FILTER('CLASFICACIÓN'!$F$3:$F2419,'CLASFICACIÓN'!$G$3:$G2419=M344)"),"2023 Y 2024")</f>
        <v>2023 Y 2024</v>
      </c>
      <c r="K344" s="12" t="s">
        <v>2011</v>
      </c>
      <c r="L344" s="11" t="s">
        <v>55</v>
      </c>
      <c r="M344" s="12" t="str">
        <f t="shared" ca="1" si="1"/>
        <v>NUESTRA SEÑORA DE LA CANDELARIA2 Secundaria</v>
      </c>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4"/>
    </row>
    <row r="345" spans="1:36" ht="15.75" customHeight="1" x14ac:dyDescent="0.25">
      <c r="A345" s="9">
        <v>14</v>
      </c>
      <c r="B345" s="10" t="s">
        <v>54</v>
      </c>
      <c r="C345" s="10" t="s">
        <v>41</v>
      </c>
      <c r="D345" s="10" t="s">
        <v>42</v>
      </c>
      <c r="E345" s="11" t="str">
        <f ca="1">IFERROR(__xludf.DUMMYFUNCTION("FILTER(Colegios!$B$2:$B2419,Colegios!$A$2:$A2419=L345)"),"NUESTRA SEÑORA DE LA CANDELARIA")</f>
        <v>NUESTRA SEÑORA DE LA CANDELARIA</v>
      </c>
      <c r="F345" s="11" t="s">
        <v>17</v>
      </c>
      <c r="G345" s="10" t="s">
        <v>18</v>
      </c>
      <c r="H345" s="11" t="s">
        <v>23</v>
      </c>
      <c r="I345" s="11" t="s">
        <v>20</v>
      </c>
      <c r="J345" s="12" t="str">
        <f ca="1">IFERROR(__xludf.DUMMYFUNCTION("FILTER('CLASFICACIÓN'!$F$3:$F2419,'CLASFICACIÓN'!$G$3:$G2419=M345)"),"2023 Y 2024")</f>
        <v>2023 Y 2024</v>
      </c>
      <c r="K345" s="12" t="s">
        <v>2011</v>
      </c>
      <c r="L345" s="11" t="s">
        <v>55</v>
      </c>
      <c r="M345" s="12" t="str">
        <f t="shared" ca="1" si="1"/>
        <v>NUESTRA SEÑORA DE LA CANDELARIA2 Secundaria</v>
      </c>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4"/>
    </row>
    <row r="346" spans="1:36" ht="15.75" customHeight="1" x14ac:dyDescent="0.25">
      <c r="A346" s="9">
        <v>15</v>
      </c>
      <c r="B346" s="10" t="s">
        <v>54</v>
      </c>
      <c r="C346" s="10" t="s">
        <v>41</v>
      </c>
      <c r="D346" s="10" t="s">
        <v>42</v>
      </c>
      <c r="E346" s="11" t="str">
        <f ca="1">IFERROR(__xludf.DUMMYFUNCTION("FILTER(Colegios!$B$2:$B2419,Colegios!$A$2:$A2419=L346)"),"NUESTRA SEÑORA DE LA CANDELARIA")</f>
        <v>NUESTRA SEÑORA DE LA CANDELARIA</v>
      </c>
      <c r="F346" s="11" t="s">
        <v>17</v>
      </c>
      <c r="G346" s="10" t="s">
        <v>18</v>
      </c>
      <c r="H346" s="11" t="s">
        <v>19</v>
      </c>
      <c r="I346" s="11" t="s">
        <v>20</v>
      </c>
      <c r="J346" s="12" t="str">
        <f ca="1">IFERROR(__xludf.DUMMYFUNCTION("FILTER('CLASFICACIÓN'!$F$3:$F2419,'CLASFICACIÓN'!$G$3:$G2419=M346)"),"2023 Y 2024")</f>
        <v>2023 Y 2024</v>
      </c>
      <c r="K346" s="12" t="s">
        <v>2011</v>
      </c>
      <c r="L346" s="11" t="s">
        <v>55</v>
      </c>
      <c r="M346" s="12" t="str">
        <f t="shared" ca="1" si="1"/>
        <v>NUESTRA SEÑORA DE LA CANDELARIA2 Secundaria</v>
      </c>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4"/>
    </row>
    <row r="347" spans="1:36" ht="15.75" customHeight="1" x14ac:dyDescent="0.25">
      <c r="A347" s="9">
        <v>16</v>
      </c>
      <c r="B347" s="10" t="s">
        <v>54</v>
      </c>
      <c r="C347" s="10" t="s">
        <v>41</v>
      </c>
      <c r="D347" s="10" t="s">
        <v>42</v>
      </c>
      <c r="E347" s="11" t="str">
        <f ca="1">IFERROR(__xludf.DUMMYFUNCTION("FILTER(Colegios!$B$2:$B2419,Colegios!$A$2:$A2419=L347)"),"NUESTRA SEÑORA DE LA CANDELARIA")</f>
        <v>NUESTRA SEÑORA DE LA CANDELARIA</v>
      </c>
      <c r="F347" s="11" t="s">
        <v>17</v>
      </c>
      <c r="G347" s="10" t="s">
        <v>18</v>
      </c>
      <c r="H347" s="11" t="s">
        <v>19</v>
      </c>
      <c r="I347" s="11" t="s">
        <v>20</v>
      </c>
      <c r="J347" s="12" t="str">
        <f ca="1">IFERROR(__xludf.DUMMYFUNCTION("FILTER('CLASFICACIÓN'!$F$3:$F2419,'CLASFICACIÓN'!$G$3:$G2419=M347)"),"2023 Y 2024")</f>
        <v>2023 Y 2024</v>
      </c>
      <c r="K347" s="12" t="s">
        <v>2011</v>
      </c>
      <c r="L347" s="11" t="s">
        <v>55</v>
      </c>
      <c r="M347" s="12" t="str">
        <f t="shared" ca="1" si="1"/>
        <v>NUESTRA SEÑORA DE LA CANDELARIA2 Secundaria</v>
      </c>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4"/>
    </row>
    <row r="348" spans="1:36" ht="15.75" customHeight="1" x14ac:dyDescent="0.25">
      <c r="A348" s="9">
        <v>17</v>
      </c>
      <c r="B348" s="10" t="s">
        <v>54</v>
      </c>
      <c r="C348" s="10" t="s">
        <v>41</v>
      </c>
      <c r="D348" s="10" t="s">
        <v>42</v>
      </c>
      <c r="E348" s="11" t="str">
        <f ca="1">IFERROR(__xludf.DUMMYFUNCTION("FILTER(Colegios!$B$2:$B2419,Colegios!$A$2:$A2419=L348)"),"NUESTRA SEÑORA DE LA CANDELARIA")</f>
        <v>NUESTRA SEÑORA DE LA CANDELARIA</v>
      </c>
      <c r="F348" s="11" t="s">
        <v>17</v>
      </c>
      <c r="G348" s="10" t="s">
        <v>24</v>
      </c>
      <c r="H348" s="11" t="s">
        <v>19</v>
      </c>
      <c r="I348" s="11" t="s">
        <v>20</v>
      </c>
      <c r="J348" s="12" t="str">
        <f ca="1">IFERROR(__xludf.DUMMYFUNCTION("FILTER('CLASFICACIÓN'!$F$3:$F2419,'CLASFICACIÓN'!$G$3:$G2419=M348)"),"2023 Y 2024")</f>
        <v>2023 Y 2024</v>
      </c>
      <c r="K348" s="12" t="s">
        <v>2011</v>
      </c>
      <c r="L348" s="11" t="s">
        <v>55</v>
      </c>
      <c r="M348" s="12" t="str">
        <f t="shared" ca="1" si="1"/>
        <v>NUESTRA SEÑORA DE LA CANDELARIA2 Secundaria</v>
      </c>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4"/>
    </row>
    <row r="349" spans="1:36" ht="15.75" customHeight="1" x14ac:dyDescent="0.25">
      <c r="A349" s="9">
        <v>18</v>
      </c>
      <c r="B349" s="10" t="s">
        <v>54</v>
      </c>
      <c r="C349" s="10" t="s">
        <v>41</v>
      </c>
      <c r="D349" s="10" t="s">
        <v>42</v>
      </c>
      <c r="E349" s="11" t="str">
        <f ca="1">IFERROR(__xludf.DUMMYFUNCTION("FILTER(Colegios!$B$2:$B2419,Colegios!$A$2:$A2419=L349)"),"NUESTRA SEÑORA DE LA CANDELARIA")</f>
        <v>NUESTRA SEÑORA DE LA CANDELARIA</v>
      </c>
      <c r="F349" s="11" t="s">
        <v>17</v>
      </c>
      <c r="G349" s="10" t="s">
        <v>18</v>
      </c>
      <c r="H349" s="11" t="s">
        <v>19</v>
      </c>
      <c r="I349" s="11" t="s">
        <v>20</v>
      </c>
      <c r="J349" s="12" t="str">
        <f ca="1">IFERROR(__xludf.DUMMYFUNCTION("FILTER('CLASFICACIÓN'!$F$3:$F2419,'CLASFICACIÓN'!$G$3:$G2419=M349)"),"2023 Y 2024")</f>
        <v>2023 Y 2024</v>
      </c>
      <c r="K349" s="12" t="s">
        <v>2011</v>
      </c>
      <c r="L349" s="11" t="s">
        <v>55</v>
      </c>
      <c r="M349" s="12" t="str">
        <f t="shared" ca="1" si="1"/>
        <v>NUESTRA SEÑORA DE LA CANDELARIA2 Secundaria</v>
      </c>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4"/>
    </row>
    <row r="350" spans="1:36" ht="15.75" customHeight="1" x14ac:dyDescent="0.25">
      <c r="A350" s="9">
        <v>19</v>
      </c>
      <c r="B350" s="10" t="s">
        <v>54</v>
      </c>
      <c r="C350" s="10" t="s">
        <v>41</v>
      </c>
      <c r="D350" s="10" t="s">
        <v>42</v>
      </c>
      <c r="E350" s="11" t="str">
        <f ca="1">IFERROR(__xludf.DUMMYFUNCTION("FILTER(Colegios!$B$2:$B2419,Colegios!$A$2:$A2419=L350)"),"NUESTRA SEÑORA DE LA CANDELARIA")</f>
        <v>NUESTRA SEÑORA DE LA CANDELARIA</v>
      </c>
      <c r="F350" s="11" t="s">
        <v>17</v>
      </c>
      <c r="G350" s="10" t="s">
        <v>18</v>
      </c>
      <c r="H350" s="11" t="s">
        <v>19</v>
      </c>
      <c r="I350" s="11" t="s">
        <v>20</v>
      </c>
      <c r="J350" s="12" t="str">
        <f ca="1">IFERROR(__xludf.DUMMYFUNCTION("FILTER('CLASFICACIÓN'!$F$3:$F2419,'CLASFICACIÓN'!$G$3:$G2419=M350)"),"2023 Y 2024")</f>
        <v>2023 Y 2024</v>
      </c>
      <c r="K350" s="12" t="s">
        <v>2011</v>
      </c>
      <c r="L350" s="11" t="s">
        <v>55</v>
      </c>
      <c r="M350" s="12" t="str">
        <f t="shared" ca="1" si="1"/>
        <v>NUESTRA SEÑORA DE LA CANDELARIA2 Secundaria</v>
      </c>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4"/>
    </row>
    <row r="351" spans="1:36" ht="15.75" customHeight="1" x14ac:dyDescent="0.25">
      <c r="A351" s="9">
        <v>20</v>
      </c>
      <c r="B351" s="10" t="s">
        <v>54</v>
      </c>
      <c r="C351" s="10" t="s">
        <v>41</v>
      </c>
      <c r="D351" s="10" t="s">
        <v>42</v>
      </c>
      <c r="E351" s="11" t="str">
        <f ca="1">IFERROR(__xludf.DUMMYFUNCTION("FILTER(Colegios!$B$2:$B2419,Colegios!$A$2:$A2419=L351)"),"NUESTRA SEÑORA DE LA CANDELARIA")</f>
        <v>NUESTRA SEÑORA DE LA CANDELARIA</v>
      </c>
      <c r="F351" s="11" t="s">
        <v>17</v>
      </c>
      <c r="G351" s="10" t="s">
        <v>24</v>
      </c>
      <c r="H351" s="11" t="s">
        <v>19</v>
      </c>
      <c r="I351" s="11" t="s">
        <v>20</v>
      </c>
      <c r="J351" s="12" t="str">
        <f ca="1">IFERROR(__xludf.DUMMYFUNCTION("FILTER('CLASFICACIÓN'!$F$3:$F2419,'CLASFICACIÓN'!$G$3:$G2419=M351)"),"2023 Y 2024")</f>
        <v>2023 Y 2024</v>
      </c>
      <c r="K351" s="12" t="s">
        <v>2011</v>
      </c>
      <c r="L351" s="11" t="s">
        <v>55</v>
      </c>
      <c r="M351" s="12" t="str">
        <f t="shared" ca="1" si="1"/>
        <v>NUESTRA SEÑORA DE LA CANDELARIA2 Secundaria</v>
      </c>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4"/>
    </row>
    <row r="352" spans="1:36" ht="15.75" customHeight="1" x14ac:dyDescent="0.25">
      <c r="A352" s="9">
        <v>21</v>
      </c>
      <c r="B352" s="10" t="s">
        <v>54</v>
      </c>
      <c r="C352" s="10" t="s">
        <v>41</v>
      </c>
      <c r="D352" s="10" t="s">
        <v>42</v>
      </c>
      <c r="E352" s="11" t="str">
        <f ca="1">IFERROR(__xludf.DUMMYFUNCTION("FILTER(Colegios!$B$2:$B2419,Colegios!$A$2:$A2419=L352)"),"NUESTRA SEÑORA DE LA CANDELARIA")</f>
        <v>NUESTRA SEÑORA DE LA CANDELARIA</v>
      </c>
      <c r="F352" s="11" t="s">
        <v>17</v>
      </c>
      <c r="G352" s="10" t="s">
        <v>18</v>
      </c>
      <c r="H352" s="11" t="s">
        <v>19</v>
      </c>
      <c r="I352" s="11" t="s">
        <v>20</v>
      </c>
      <c r="J352" s="12" t="str">
        <f ca="1">IFERROR(__xludf.DUMMYFUNCTION("FILTER('CLASFICACIÓN'!$F$3:$F2419,'CLASFICACIÓN'!$G$3:$G2419=M352)"),"2023 Y 2024")</f>
        <v>2023 Y 2024</v>
      </c>
      <c r="K352" s="12" t="s">
        <v>2011</v>
      </c>
      <c r="L352" s="11" t="s">
        <v>55</v>
      </c>
      <c r="M352" s="12" t="str">
        <f t="shared" ca="1" si="1"/>
        <v>NUESTRA SEÑORA DE LA CANDELARIA2 Secundaria</v>
      </c>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4"/>
    </row>
    <row r="353" spans="1:36" ht="15.75" customHeight="1" x14ac:dyDescent="0.25">
      <c r="A353" s="9">
        <v>22</v>
      </c>
      <c r="B353" s="10" t="s">
        <v>54</v>
      </c>
      <c r="C353" s="10" t="s">
        <v>41</v>
      </c>
      <c r="D353" s="10" t="s">
        <v>42</v>
      </c>
      <c r="E353" s="11" t="str">
        <f ca="1">IFERROR(__xludf.DUMMYFUNCTION("FILTER(Colegios!$B$2:$B2419,Colegios!$A$2:$A2419=L353)"),"NUESTRA SEÑORA DE LA CANDELARIA")</f>
        <v>NUESTRA SEÑORA DE LA CANDELARIA</v>
      </c>
      <c r="F353" s="11" t="s">
        <v>17</v>
      </c>
      <c r="G353" s="10" t="s">
        <v>24</v>
      </c>
      <c r="H353" s="11" t="s">
        <v>19</v>
      </c>
      <c r="I353" s="11" t="s">
        <v>20</v>
      </c>
      <c r="J353" s="12" t="str">
        <f ca="1">IFERROR(__xludf.DUMMYFUNCTION("FILTER('CLASFICACIÓN'!$F$3:$F2419,'CLASFICACIÓN'!$G$3:$G2419=M353)"),"2023 Y 2024")</f>
        <v>2023 Y 2024</v>
      </c>
      <c r="K353" s="12" t="s">
        <v>2011</v>
      </c>
      <c r="L353" s="11" t="s">
        <v>55</v>
      </c>
      <c r="M353" s="12" t="str">
        <f t="shared" ca="1" si="1"/>
        <v>NUESTRA SEÑORA DE LA CANDELARIA2 Secundaria</v>
      </c>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4"/>
    </row>
    <row r="354" spans="1:36" ht="15.75" customHeight="1" x14ac:dyDescent="0.25">
      <c r="A354" s="9">
        <v>23</v>
      </c>
      <c r="B354" s="10" t="s">
        <v>54</v>
      </c>
      <c r="C354" s="10" t="s">
        <v>41</v>
      </c>
      <c r="D354" s="10" t="s">
        <v>42</v>
      </c>
      <c r="E354" s="11" t="str">
        <f ca="1">IFERROR(__xludf.DUMMYFUNCTION("FILTER(Colegios!$B$2:$B2419,Colegios!$A$2:$A2419=L354)"),"NUESTRA SEÑORA DE LA CANDELARIA")</f>
        <v>NUESTRA SEÑORA DE LA CANDELARIA</v>
      </c>
      <c r="F354" s="11" t="s">
        <v>17</v>
      </c>
      <c r="G354" s="10" t="s">
        <v>24</v>
      </c>
      <c r="H354" s="11" t="s">
        <v>23</v>
      </c>
      <c r="I354" s="11" t="s">
        <v>20</v>
      </c>
      <c r="J354" s="12" t="str">
        <f ca="1">IFERROR(__xludf.DUMMYFUNCTION("FILTER('CLASFICACIÓN'!$F$3:$F2419,'CLASFICACIÓN'!$G$3:$G2419=M354)"),"2023 Y 2024")</f>
        <v>2023 Y 2024</v>
      </c>
      <c r="K354" s="12" t="s">
        <v>2011</v>
      </c>
      <c r="L354" s="11" t="s">
        <v>55</v>
      </c>
      <c r="M354" s="12" t="str">
        <f t="shared" ca="1" si="1"/>
        <v>NUESTRA SEÑORA DE LA CANDELARIA2 Secundaria</v>
      </c>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4"/>
    </row>
    <row r="355" spans="1:36" ht="15.75" customHeight="1" x14ac:dyDescent="0.25">
      <c r="A355" s="9">
        <v>24</v>
      </c>
      <c r="B355" s="10" t="s">
        <v>54</v>
      </c>
      <c r="C355" s="10" t="s">
        <v>41</v>
      </c>
      <c r="D355" s="10" t="s">
        <v>42</v>
      </c>
      <c r="E355" s="11" t="str">
        <f ca="1">IFERROR(__xludf.DUMMYFUNCTION("FILTER(Colegios!$B$2:$B2419,Colegios!$A$2:$A2419=L355)"),"NUESTRA SEÑORA DE LA CANDELARIA")</f>
        <v>NUESTRA SEÑORA DE LA CANDELARIA</v>
      </c>
      <c r="F355" s="11" t="s">
        <v>17</v>
      </c>
      <c r="G355" s="10" t="s">
        <v>24</v>
      </c>
      <c r="H355" s="11" t="s">
        <v>19</v>
      </c>
      <c r="I355" s="11" t="s">
        <v>20</v>
      </c>
      <c r="J355" s="12" t="str">
        <f ca="1">IFERROR(__xludf.DUMMYFUNCTION("FILTER('CLASFICACIÓN'!$F$3:$F2419,'CLASFICACIÓN'!$G$3:$G2419=M355)"),"2023 Y 2024")</f>
        <v>2023 Y 2024</v>
      </c>
      <c r="K355" s="12" t="s">
        <v>2011</v>
      </c>
      <c r="L355" s="11" t="s">
        <v>55</v>
      </c>
      <c r="M355" s="12" t="str">
        <f t="shared" ca="1" si="1"/>
        <v>NUESTRA SEÑORA DE LA CANDELARIA2 Secundaria</v>
      </c>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4"/>
    </row>
    <row r="356" spans="1:36" ht="15.75" customHeight="1" x14ac:dyDescent="0.25">
      <c r="A356" s="9">
        <v>25</v>
      </c>
      <c r="B356" s="10" t="s">
        <v>54</v>
      </c>
      <c r="C356" s="10" t="s">
        <v>41</v>
      </c>
      <c r="D356" s="10" t="s">
        <v>42</v>
      </c>
      <c r="E356" s="11" t="str">
        <f ca="1">IFERROR(__xludf.DUMMYFUNCTION("FILTER(Colegios!$B$2:$B2419,Colegios!$A$2:$A2419=L356)"),"NUESTRA SEÑORA DE LA CANDELARIA")</f>
        <v>NUESTRA SEÑORA DE LA CANDELARIA</v>
      </c>
      <c r="F356" s="11" t="s">
        <v>17</v>
      </c>
      <c r="G356" s="10" t="s">
        <v>24</v>
      </c>
      <c r="H356" s="11" t="s">
        <v>19</v>
      </c>
      <c r="I356" s="11" t="s">
        <v>20</v>
      </c>
      <c r="J356" s="12" t="str">
        <f ca="1">IFERROR(__xludf.DUMMYFUNCTION("FILTER('CLASFICACIÓN'!$F$3:$F2419,'CLASFICACIÓN'!$G$3:$G2419=M356)"),"2023 Y 2024")</f>
        <v>2023 Y 2024</v>
      </c>
      <c r="K356" s="12" t="s">
        <v>2011</v>
      </c>
      <c r="L356" s="11" t="s">
        <v>55</v>
      </c>
      <c r="M356" s="12" t="str">
        <f t="shared" ca="1" si="1"/>
        <v>NUESTRA SEÑORA DE LA CANDELARIA2 Secundaria</v>
      </c>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4"/>
    </row>
    <row r="357" spans="1:36" ht="15.75" customHeight="1" x14ac:dyDescent="0.25">
      <c r="A357" s="9">
        <v>26</v>
      </c>
      <c r="B357" s="10" t="s">
        <v>54</v>
      </c>
      <c r="C357" s="10" t="s">
        <v>41</v>
      </c>
      <c r="D357" s="10" t="s">
        <v>42</v>
      </c>
      <c r="E357" s="11" t="str">
        <f ca="1">IFERROR(__xludf.DUMMYFUNCTION("FILTER(Colegios!$B$2:$B2419,Colegios!$A$2:$A2419=L357)"),"NUESTRA SEÑORA DE LA CANDELARIA")</f>
        <v>NUESTRA SEÑORA DE LA CANDELARIA</v>
      </c>
      <c r="F357" s="11" t="s">
        <v>17</v>
      </c>
      <c r="G357" s="10" t="s">
        <v>24</v>
      </c>
      <c r="H357" s="11" t="s">
        <v>19</v>
      </c>
      <c r="I357" s="11" t="s">
        <v>20</v>
      </c>
      <c r="J357" s="12" t="str">
        <f ca="1">IFERROR(__xludf.DUMMYFUNCTION("FILTER('CLASFICACIÓN'!$F$3:$F2419,'CLASFICACIÓN'!$G$3:$G2419=M357)"),"2023 Y 2024")</f>
        <v>2023 Y 2024</v>
      </c>
      <c r="K357" s="12" t="s">
        <v>2011</v>
      </c>
      <c r="L357" s="11" t="s">
        <v>55</v>
      </c>
      <c r="M357" s="12" t="str">
        <f t="shared" ca="1" si="1"/>
        <v>NUESTRA SEÑORA DE LA CANDELARIA2 Secundaria</v>
      </c>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4"/>
    </row>
    <row r="358" spans="1:36" ht="15.75" customHeight="1" x14ac:dyDescent="0.25">
      <c r="A358" s="9">
        <v>27</v>
      </c>
      <c r="B358" s="10" t="s">
        <v>54</v>
      </c>
      <c r="C358" s="10" t="s">
        <v>41</v>
      </c>
      <c r="D358" s="10" t="s">
        <v>42</v>
      </c>
      <c r="E358" s="11" t="str">
        <f ca="1">IFERROR(__xludf.DUMMYFUNCTION("FILTER(Colegios!$B$2:$B2419,Colegios!$A$2:$A2419=L358)"),"NUESTRA SEÑORA DE LA CANDELARIA")</f>
        <v>NUESTRA SEÑORA DE LA CANDELARIA</v>
      </c>
      <c r="F358" s="11" t="s">
        <v>17</v>
      </c>
      <c r="G358" s="10" t="s">
        <v>24</v>
      </c>
      <c r="H358" s="11" t="s">
        <v>19</v>
      </c>
      <c r="I358" s="11" t="s">
        <v>20</v>
      </c>
      <c r="J358" s="12" t="str">
        <f ca="1">IFERROR(__xludf.DUMMYFUNCTION("FILTER('CLASFICACIÓN'!$F$3:$F2419,'CLASFICACIÓN'!$G$3:$G2419=M358)"),"2023 Y 2024")</f>
        <v>2023 Y 2024</v>
      </c>
      <c r="K358" s="12" t="s">
        <v>2011</v>
      </c>
      <c r="L358" s="11" t="s">
        <v>55</v>
      </c>
      <c r="M358" s="12" t="str">
        <f t="shared" ca="1" si="1"/>
        <v>NUESTRA SEÑORA DE LA CANDELARIA2 Secundaria</v>
      </c>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4"/>
    </row>
    <row r="359" spans="1:36" ht="15.75" customHeight="1" x14ac:dyDescent="0.25">
      <c r="A359" s="9">
        <v>28</v>
      </c>
      <c r="B359" s="10" t="s">
        <v>54</v>
      </c>
      <c r="C359" s="10" t="s">
        <v>41</v>
      </c>
      <c r="D359" s="10" t="s">
        <v>42</v>
      </c>
      <c r="E359" s="11" t="str">
        <f ca="1">IFERROR(__xludf.DUMMYFUNCTION("FILTER(Colegios!$B$2:$B2419,Colegios!$A$2:$A2419=L359)"),"NUESTRA SEÑORA DE LA CANDELARIA")</f>
        <v>NUESTRA SEÑORA DE LA CANDELARIA</v>
      </c>
      <c r="F359" s="11" t="s">
        <v>17</v>
      </c>
      <c r="G359" s="10" t="s">
        <v>24</v>
      </c>
      <c r="H359" s="11" t="s">
        <v>23</v>
      </c>
      <c r="I359" s="11" t="s">
        <v>20</v>
      </c>
      <c r="J359" s="12" t="str">
        <f ca="1">IFERROR(__xludf.DUMMYFUNCTION("FILTER('CLASFICACIÓN'!$F$3:$F2419,'CLASFICACIÓN'!$G$3:$G2419=M359)"),"2023 Y 2024")</f>
        <v>2023 Y 2024</v>
      </c>
      <c r="K359" s="12" t="s">
        <v>2011</v>
      </c>
      <c r="L359" s="11" t="s">
        <v>55</v>
      </c>
      <c r="M359" s="12" t="str">
        <f t="shared" ca="1" si="1"/>
        <v>NUESTRA SEÑORA DE LA CANDELARIA2 Secundaria</v>
      </c>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4"/>
    </row>
    <row r="360" spans="1:36" ht="15.75" customHeight="1" x14ac:dyDescent="0.25">
      <c r="A360" s="9">
        <v>29</v>
      </c>
      <c r="B360" s="10" t="s">
        <v>54</v>
      </c>
      <c r="C360" s="10" t="s">
        <v>41</v>
      </c>
      <c r="D360" s="10" t="s">
        <v>42</v>
      </c>
      <c r="E360" s="11" t="str">
        <f ca="1">IFERROR(__xludf.DUMMYFUNCTION("FILTER(Colegios!$B$2:$B2419,Colegios!$A$2:$A2419=L360)"),"NUESTRA SEÑORA DE LA CANDELARIA")</f>
        <v>NUESTRA SEÑORA DE LA CANDELARIA</v>
      </c>
      <c r="F360" s="11" t="s">
        <v>17</v>
      </c>
      <c r="G360" s="10" t="s">
        <v>24</v>
      </c>
      <c r="H360" s="11" t="s">
        <v>23</v>
      </c>
      <c r="I360" s="11" t="s">
        <v>20</v>
      </c>
      <c r="J360" s="12" t="str">
        <f ca="1">IFERROR(__xludf.DUMMYFUNCTION("FILTER('CLASFICACIÓN'!$F$3:$F2419,'CLASFICACIÓN'!$G$3:$G2419=M360)"),"2023 Y 2024")</f>
        <v>2023 Y 2024</v>
      </c>
      <c r="K360" s="12" t="s">
        <v>2011</v>
      </c>
      <c r="L360" s="11" t="s">
        <v>55</v>
      </c>
      <c r="M360" s="12" t="str">
        <f t="shared" ca="1" si="1"/>
        <v>NUESTRA SEÑORA DE LA CANDELARIA2 Secundaria</v>
      </c>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4"/>
    </row>
    <row r="361" spans="1:36" ht="15.75" customHeight="1" x14ac:dyDescent="0.25">
      <c r="A361" s="9">
        <v>30</v>
      </c>
      <c r="B361" s="10" t="s">
        <v>54</v>
      </c>
      <c r="C361" s="10" t="s">
        <v>41</v>
      </c>
      <c r="D361" s="10" t="s">
        <v>42</v>
      </c>
      <c r="E361" s="11" t="str">
        <f ca="1">IFERROR(__xludf.DUMMYFUNCTION("FILTER(Colegios!$B$2:$B2419,Colegios!$A$2:$A2419=L361)"),"NUESTRA SEÑORA DE LA CANDELARIA")</f>
        <v>NUESTRA SEÑORA DE LA CANDELARIA</v>
      </c>
      <c r="F361" s="11" t="s">
        <v>17</v>
      </c>
      <c r="G361" s="10" t="s">
        <v>18</v>
      </c>
      <c r="H361" s="11" t="s">
        <v>19</v>
      </c>
      <c r="I361" s="11" t="s">
        <v>20</v>
      </c>
      <c r="J361" s="12" t="str">
        <f ca="1">IFERROR(__xludf.DUMMYFUNCTION("FILTER('CLASFICACIÓN'!$F$3:$F2419,'CLASFICACIÓN'!$G$3:$G2419=M361)"),"2023 Y 2024")</f>
        <v>2023 Y 2024</v>
      </c>
      <c r="K361" s="12" t="s">
        <v>2011</v>
      </c>
      <c r="L361" s="11" t="s">
        <v>55</v>
      </c>
      <c r="M361" s="12" t="str">
        <f t="shared" ca="1" si="1"/>
        <v>NUESTRA SEÑORA DE LA CANDELARIA2 Secundaria</v>
      </c>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4"/>
    </row>
    <row r="362" spans="1:36" ht="15.75" customHeight="1" x14ac:dyDescent="0.25">
      <c r="A362" s="9">
        <v>31</v>
      </c>
      <c r="B362" s="10" t="s">
        <v>54</v>
      </c>
      <c r="C362" s="10" t="s">
        <v>41</v>
      </c>
      <c r="D362" s="10" t="s">
        <v>42</v>
      </c>
      <c r="E362" s="11" t="str">
        <f ca="1">IFERROR(__xludf.DUMMYFUNCTION("FILTER(Colegios!$B$2:$B2419,Colegios!$A$2:$A2419=L362)"),"NUESTRA SEÑORA DE LA CANDELARIA")</f>
        <v>NUESTRA SEÑORA DE LA CANDELARIA</v>
      </c>
      <c r="F362" s="11" t="s">
        <v>17</v>
      </c>
      <c r="G362" s="10" t="s">
        <v>24</v>
      </c>
      <c r="H362" s="11" t="s">
        <v>19</v>
      </c>
      <c r="I362" s="11" t="s">
        <v>20</v>
      </c>
      <c r="J362" s="12" t="str">
        <f ca="1">IFERROR(__xludf.DUMMYFUNCTION("FILTER('CLASFICACIÓN'!$F$3:$F2419,'CLASFICACIÓN'!$G$3:$G2419=M362)"),"2023 Y 2024")</f>
        <v>2023 Y 2024</v>
      </c>
      <c r="K362" s="12" t="s">
        <v>2011</v>
      </c>
      <c r="L362" s="11" t="s">
        <v>55</v>
      </c>
      <c r="M362" s="12" t="str">
        <f t="shared" ca="1" si="1"/>
        <v>NUESTRA SEÑORA DE LA CANDELARIA2 Secundaria</v>
      </c>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4"/>
    </row>
    <row r="363" spans="1:36" ht="15.75" customHeight="1" x14ac:dyDescent="0.25">
      <c r="A363" s="9">
        <v>32</v>
      </c>
      <c r="B363" s="10" t="s">
        <v>54</v>
      </c>
      <c r="C363" s="10" t="s">
        <v>41</v>
      </c>
      <c r="D363" s="10" t="s">
        <v>42</v>
      </c>
      <c r="E363" s="11" t="str">
        <f ca="1">IFERROR(__xludf.DUMMYFUNCTION("FILTER(Colegios!$B$2:$B2419,Colegios!$A$2:$A2419=L363)"),"NUESTRA SEÑORA DE LA CANDELARIA")</f>
        <v>NUESTRA SEÑORA DE LA CANDELARIA</v>
      </c>
      <c r="F363" s="11" t="s">
        <v>17</v>
      </c>
      <c r="G363" s="10" t="s">
        <v>24</v>
      </c>
      <c r="H363" s="11" t="s">
        <v>19</v>
      </c>
      <c r="I363" s="11" t="s">
        <v>20</v>
      </c>
      <c r="J363" s="12" t="str">
        <f ca="1">IFERROR(__xludf.DUMMYFUNCTION("FILTER('CLASFICACIÓN'!$F$3:$F2419,'CLASFICACIÓN'!$G$3:$G2419=M363)"),"2023 Y 2024")</f>
        <v>2023 Y 2024</v>
      </c>
      <c r="K363" s="12" t="s">
        <v>2011</v>
      </c>
      <c r="L363" s="11" t="s">
        <v>55</v>
      </c>
      <c r="M363" s="12" t="str">
        <f t="shared" ca="1" si="1"/>
        <v>NUESTRA SEÑORA DE LA CANDELARIA2 Secundaria</v>
      </c>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4"/>
    </row>
    <row r="364" spans="1:36" ht="15.75" customHeight="1" x14ac:dyDescent="0.25">
      <c r="A364" s="9">
        <v>33</v>
      </c>
      <c r="B364" s="10" t="s">
        <v>54</v>
      </c>
      <c r="C364" s="10" t="s">
        <v>41</v>
      </c>
      <c r="D364" s="10" t="s">
        <v>42</v>
      </c>
      <c r="E364" s="11" t="str">
        <f ca="1">IFERROR(__xludf.DUMMYFUNCTION("FILTER(Colegios!$B$2:$B2419,Colegios!$A$2:$A2419=L364)"),"NUESTRA SEÑORA DE LA CANDELARIA")</f>
        <v>NUESTRA SEÑORA DE LA CANDELARIA</v>
      </c>
      <c r="F364" s="11" t="s">
        <v>17</v>
      </c>
      <c r="G364" s="10" t="s">
        <v>24</v>
      </c>
      <c r="H364" s="11" t="s">
        <v>19</v>
      </c>
      <c r="I364" s="11" t="s">
        <v>20</v>
      </c>
      <c r="J364" s="12" t="str">
        <f ca="1">IFERROR(__xludf.DUMMYFUNCTION("FILTER('CLASFICACIÓN'!$F$3:$F2419,'CLASFICACIÓN'!$G$3:$G2419=M364)"),"2023 Y 2024")</f>
        <v>2023 Y 2024</v>
      </c>
      <c r="K364" s="12" t="s">
        <v>2011</v>
      </c>
      <c r="L364" s="11" t="s">
        <v>55</v>
      </c>
      <c r="M364" s="12" t="str">
        <f t="shared" ca="1" si="1"/>
        <v>NUESTRA SEÑORA DE LA CANDELARIA2 Secundaria</v>
      </c>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4"/>
    </row>
    <row r="365" spans="1:36" ht="15.75" customHeight="1" x14ac:dyDescent="0.25">
      <c r="A365" s="9">
        <v>34</v>
      </c>
      <c r="B365" s="10" t="s">
        <v>54</v>
      </c>
      <c r="C365" s="10" t="s">
        <v>41</v>
      </c>
      <c r="D365" s="10" t="s">
        <v>42</v>
      </c>
      <c r="E365" s="11" t="str">
        <f ca="1">IFERROR(__xludf.DUMMYFUNCTION("FILTER(Colegios!$B$2:$B2419,Colegios!$A$2:$A2419=L365)"),"NUESTRA SEÑORA DE LA CANDELARIA")</f>
        <v>NUESTRA SEÑORA DE LA CANDELARIA</v>
      </c>
      <c r="F365" s="11" t="s">
        <v>17</v>
      </c>
      <c r="G365" s="10" t="s">
        <v>24</v>
      </c>
      <c r="H365" s="11" t="s">
        <v>19</v>
      </c>
      <c r="I365" s="11" t="s">
        <v>20</v>
      </c>
      <c r="J365" s="12" t="str">
        <f ca="1">IFERROR(__xludf.DUMMYFUNCTION("FILTER('CLASFICACIÓN'!$F$3:$F2419,'CLASFICACIÓN'!$G$3:$G2419=M365)"),"2023 Y 2024")</f>
        <v>2023 Y 2024</v>
      </c>
      <c r="K365" s="12" t="s">
        <v>2011</v>
      </c>
      <c r="L365" s="11" t="s">
        <v>55</v>
      </c>
      <c r="M365" s="12" t="str">
        <f t="shared" ca="1" si="1"/>
        <v>NUESTRA SEÑORA DE LA CANDELARIA2 Secundaria</v>
      </c>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4"/>
    </row>
    <row r="366" spans="1:36" ht="15.75" customHeight="1" x14ac:dyDescent="0.25">
      <c r="A366" s="9">
        <v>36</v>
      </c>
      <c r="B366" s="10" t="s">
        <v>54</v>
      </c>
      <c r="C366" s="10" t="s">
        <v>41</v>
      </c>
      <c r="D366" s="10" t="s">
        <v>42</v>
      </c>
      <c r="E366" s="11" t="str">
        <f ca="1">IFERROR(__xludf.DUMMYFUNCTION("FILTER(Colegios!$B$2:$B2419,Colegios!$A$2:$A2419=L366)"),"NUESTRA SEÑORA DE LA CANDELARIA")</f>
        <v>NUESTRA SEÑORA DE LA CANDELARIA</v>
      </c>
      <c r="F366" s="11" t="s">
        <v>17</v>
      </c>
      <c r="G366" s="10" t="s">
        <v>24</v>
      </c>
      <c r="H366" s="11" t="s">
        <v>23</v>
      </c>
      <c r="I366" s="11" t="s">
        <v>20</v>
      </c>
      <c r="J366" s="12" t="str">
        <f ca="1">IFERROR(__xludf.DUMMYFUNCTION("FILTER('CLASFICACIÓN'!$F$3:$F2419,'CLASFICACIÓN'!$G$3:$G2419=M366)"),"2023 Y 2024")</f>
        <v>2023 Y 2024</v>
      </c>
      <c r="K366" s="12" t="s">
        <v>2011</v>
      </c>
      <c r="L366" s="11" t="s">
        <v>55</v>
      </c>
      <c r="M366" s="12" t="str">
        <f t="shared" ca="1" si="1"/>
        <v>NUESTRA SEÑORA DE LA CANDELARIA2 Secundaria</v>
      </c>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4"/>
    </row>
    <row r="367" spans="1:36" ht="15.75" customHeight="1" x14ac:dyDescent="0.25">
      <c r="A367" s="9">
        <v>37</v>
      </c>
      <c r="B367" s="10" t="s">
        <v>54</v>
      </c>
      <c r="C367" s="10" t="s">
        <v>41</v>
      </c>
      <c r="D367" s="10" t="s">
        <v>42</v>
      </c>
      <c r="E367" s="11" t="str">
        <f ca="1">IFERROR(__xludf.DUMMYFUNCTION("FILTER(Colegios!$B$2:$B2419,Colegios!$A$2:$A2419=L367)"),"NUESTRA SEÑORA DE LA CANDELARIA")</f>
        <v>NUESTRA SEÑORA DE LA CANDELARIA</v>
      </c>
      <c r="F367" s="11" t="s">
        <v>17</v>
      </c>
      <c r="G367" s="10" t="s">
        <v>24</v>
      </c>
      <c r="H367" s="11" t="s">
        <v>23</v>
      </c>
      <c r="I367" s="11" t="s">
        <v>20</v>
      </c>
      <c r="J367" s="12" t="str">
        <f ca="1">IFERROR(__xludf.DUMMYFUNCTION("FILTER('CLASFICACIÓN'!$F$3:$F2419,'CLASFICACIÓN'!$G$3:$G2419=M367)"),"2023 Y 2024")</f>
        <v>2023 Y 2024</v>
      </c>
      <c r="K367" s="12" t="s">
        <v>2011</v>
      </c>
      <c r="L367" s="11" t="s">
        <v>55</v>
      </c>
      <c r="M367" s="12" t="str">
        <f t="shared" ca="1" si="1"/>
        <v>NUESTRA SEÑORA DE LA CANDELARIA2 Secundaria</v>
      </c>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4"/>
    </row>
    <row r="368" spans="1:36" ht="15.75" customHeight="1" x14ac:dyDescent="0.25">
      <c r="A368" s="9">
        <v>38</v>
      </c>
      <c r="B368" s="10" t="s">
        <v>54</v>
      </c>
      <c r="C368" s="10" t="s">
        <v>41</v>
      </c>
      <c r="D368" s="10" t="s">
        <v>42</v>
      </c>
      <c r="E368" s="11" t="str">
        <f ca="1">IFERROR(__xludf.DUMMYFUNCTION("FILTER(Colegios!$B$2:$B2419,Colegios!$A$2:$A2419=L368)"),"NUESTRA SEÑORA DE LA CANDELARIA")</f>
        <v>NUESTRA SEÑORA DE LA CANDELARIA</v>
      </c>
      <c r="F368" s="11" t="s">
        <v>17</v>
      </c>
      <c r="G368" s="10" t="s">
        <v>24</v>
      </c>
      <c r="H368" s="11" t="s">
        <v>19</v>
      </c>
      <c r="I368" s="11" t="s">
        <v>20</v>
      </c>
      <c r="J368" s="12" t="str">
        <f ca="1">IFERROR(__xludf.DUMMYFUNCTION("FILTER('CLASFICACIÓN'!$F$3:$F2419,'CLASFICACIÓN'!$G$3:$G2419=M368)"),"2023 Y 2024")</f>
        <v>2023 Y 2024</v>
      </c>
      <c r="K368" s="12" t="s">
        <v>2011</v>
      </c>
      <c r="L368" s="11" t="s">
        <v>55</v>
      </c>
      <c r="M368" s="12" t="str">
        <f t="shared" ca="1" si="1"/>
        <v>NUESTRA SEÑORA DE LA CANDELARIA2 Secundaria</v>
      </c>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4"/>
    </row>
    <row r="369" spans="1:36" ht="15.75" customHeight="1" x14ac:dyDescent="0.25">
      <c r="A369" s="9">
        <v>39</v>
      </c>
      <c r="B369" s="10" t="s">
        <v>54</v>
      </c>
      <c r="C369" s="10" t="s">
        <v>41</v>
      </c>
      <c r="D369" s="10" t="s">
        <v>42</v>
      </c>
      <c r="E369" s="11" t="str">
        <f ca="1">IFERROR(__xludf.DUMMYFUNCTION("FILTER(Colegios!$B$2:$B2419,Colegios!$A$2:$A2419=L369)"),"NUESTRA SEÑORA DE LA CANDELARIA")</f>
        <v>NUESTRA SEÑORA DE LA CANDELARIA</v>
      </c>
      <c r="F369" s="11" t="s">
        <v>17</v>
      </c>
      <c r="G369" s="10" t="s">
        <v>24</v>
      </c>
      <c r="H369" s="11" t="s">
        <v>23</v>
      </c>
      <c r="I369" s="11" t="s">
        <v>20</v>
      </c>
      <c r="J369" s="12" t="str">
        <f ca="1">IFERROR(__xludf.DUMMYFUNCTION("FILTER('CLASFICACIÓN'!$F$3:$F2419,'CLASFICACIÓN'!$G$3:$G2419=M369)"),"2023 Y 2024")</f>
        <v>2023 Y 2024</v>
      </c>
      <c r="K369" s="12" t="s">
        <v>2011</v>
      </c>
      <c r="L369" s="11" t="s">
        <v>55</v>
      </c>
      <c r="M369" s="12" t="str">
        <f t="shared" ca="1" si="1"/>
        <v>NUESTRA SEÑORA DE LA CANDELARIA2 Secundaria</v>
      </c>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4"/>
    </row>
    <row r="370" spans="1:36" ht="15.75" customHeight="1" x14ac:dyDescent="0.25">
      <c r="A370" s="9">
        <v>40</v>
      </c>
      <c r="B370" s="10" t="s">
        <v>54</v>
      </c>
      <c r="C370" s="10" t="s">
        <v>41</v>
      </c>
      <c r="D370" s="10" t="s">
        <v>42</v>
      </c>
      <c r="E370" s="11" t="str">
        <f ca="1">IFERROR(__xludf.DUMMYFUNCTION("FILTER(Colegios!$B$2:$B2419,Colegios!$A$2:$A2419=L370)"),"NUESTRA SEÑORA DE LA CANDELARIA")</f>
        <v>NUESTRA SEÑORA DE LA CANDELARIA</v>
      </c>
      <c r="F370" s="11" t="s">
        <v>17</v>
      </c>
      <c r="G370" s="10" t="s">
        <v>24</v>
      </c>
      <c r="H370" s="11" t="s">
        <v>19</v>
      </c>
      <c r="I370" s="11" t="s">
        <v>20</v>
      </c>
      <c r="J370" s="12" t="str">
        <f ca="1">IFERROR(__xludf.DUMMYFUNCTION("FILTER('CLASFICACIÓN'!$F$3:$F2419,'CLASFICACIÓN'!$G$3:$G2419=M370)"),"2023 Y 2024")</f>
        <v>2023 Y 2024</v>
      </c>
      <c r="K370" s="12" t="s">
        <v>2011</v>
      </c>
      <c r="L370" s="11" t="s">
        <v>55</v>
      </c>
      <c r="M370" s="12" t="str">
        <f t="shared" ca="1" si="1"/>
        <v>NUESTRA SEÑORA DE LA CANDELARIA2 Secundaria</v>
      </c>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4"/>
    </row>
    <row r="371" spans="1:36" ht="15.75" customHeight="1" x14ac:dyDescent="0.25">
      <c r="A371" s="9">
        <v>41</v>
      </c>
      <c r="B371" s="10" t="s">
        <v>54</v>
      </c>
      <c r="C371" s="10" t="s">
        <v>41</v>
      </c>
      <c r="D371" s="10" t="s">
        <v>42</v>
      </c>
      <c r="E371" s="11" t="str">
        <f ca="1">IFERROR(__xludf.DUMMYFUNCTION("FILTER(Colegios!$B$2:$B2419,Colegios!$A$2:$A2419=L371)"),"NUESTRA SEÑORA DE LA CANDELARIA")</f>
        <v>NUESTRA SEÑORA DE LA CANDELARIA</v>
      </c>
      <c r="F371" s="11" t="s">
        <v>17</v>
      </c>
      <c r="G371" s="10" t="s">
        <v>24</v>
      </c>
      <c r="H371" s="11" t="s">
        <v>23</v>
      </c>
      <c r="I371" s="11" t="s">
        <v>20</v>
      </c>
      <c r="J371" s="12" t="str">
        <f ca="1">IFERROR(__xludf.DUMMYFUNCTION("FILTER('CLASFICACIÓN'!$F$3:$F2419,'CLASFICACIÓN'!$G$3:$G2419=M371)"),"2023 Y 2024")</f>
        <v>2023 Y 2024</v>
      </c>
      <c r="K371" s="12" t="s">
        <v>2011</v>
      </c>
      <c r="L371" s="11" t="s">
        <v>55</v>
      </c>
      <c r="M371" s="12" t="str">
        <f t="shared" ca="1" si="1"/>
        <v>NUESTRA SEÑORA DE LA CANDELARIA2 Secundaria</v>
      </c>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4"/>
    </row>
    <row r="372" spans="1:36" ht="15.75" customHeight="1" x14ac:dyDescent="0.25">
      <c r="A372" s="9">
        <v>42</v>
      </c>
      <c r="B372" s="10" t="s">
        <v>54</v>
      </c>
      <c r="C372" s="10" t="s">
        <v>41</v>
      </c>
      <c r="D372" s="10" t="s">
        <v>42</v>
      </c>
      <c r="E372" s="11" t="str">
        <f ca="1">IFERROR(__xludf.DUMMYFUNCTION("FILTER(Colegios!$B$2:$B2419,Colegios!$A$2:$A2419=L372)"),"NUESTRA SEÑORA DE LA CANDELARIA")</f>
        <v>NUESTRA SEÑORA DE LA CANDELARIA</v>
      </c>
      <c r="F372" s="11" t="s">
        <v>17</v>
      </c>
      <c r="G372" s="10" t="s">
        <v>24</v>
      </c>
      <c r="H372" s="11" t="s">
        <v>19</v>
      </c>
      <c r="I372" s="11" t="s">
        <v>20</v>
      </c>
      <c r="J372" s="12" t="str">
        <f ca="1">IFERROR(__xludf.DUMMYFUNCTION("FILTER('CLASFICACIÓN'!$F$3:$F2419,'CLASFICACIÓN'!$G$3:$G2419=M372)"),"2023 Y 2024")</f>
        <v>2023 Y 2024</v>
      </c>
      <c r="K372" s="12" t="s">
        <v>2011</v>
      </c>
      <c r="L372" s="11" t="s">
        <v>55</v>
      </c>
      <c r="M372" s="12" t="str">
        <f t="shared" ca="1" si="1"/>
        <v>NUESTRA SEÑORA DE LA CANDELARIA2 Secundaria</v>
      </c>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4"/>
    </row>
    <row r="373" spans="1:36" ht="15.75" customHeight="1" x14ac:dyDescent="0.25">
      <c r="A373" s="9">
        <v>43</v>
      </c>
      <c r="B373" s="10" t="s">
        <v>54</v>
      </c>
      <c r="C373" s="10" t="s">
        <v>41</v>
      </c>
      <c r="D373" s="10" t="s">
        <v>42</v>
      </c>
      <c r="E373" s="11" t="str">
        <f ca="1">IFERROR(__xludf.DUMMYFUNCTION("FILTER(Colegios!$B$2:$B2419,Colegios!$A$2:$A2419=L373)"),"NUESTRA SEÑORA DE LA CANDELARIA")</f>
        <v>NUESTRA SEÑORA DE LA CANDELARIA</v>
      </c>
      <c r="F373" s="11" t="s">
        <v>17</v>
      </c>
      <c r="G373" s="10" t="s">
        <v>24</v>
      </c>
      <c r="H373" s="11" t="s">
        <v>19</v>
      </c>
      <c r="I373" s="11" t="s">
        <v>20</v>
      </c>
      <c r="J373" s="12" t="str">
        <f ca="1">IFERROR(__xludf.DUMMYFUNCTION("FILTER('CLASFICACIÓN'!$F$3:$F2419,'CLASFICACIÓN'!$G$3:$G2419=M373)"),"2023 Y 2024")</f>
        <v>2023 Y 2024</v>
      </c>
      <c r="K373" s="12" t="s">
        <v>2011</v>
      </c>
      <c r="L373" s="11" t="s">
        <v>55</v>
      </c>
      <c r="M373" s="12" t="str">
        <f t="shared" ca="1" si="1"/>
        <v>NUESTRA SEÑORA DE LA CANDELARIA2 Secundaria</v>
      </c>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4"/>
    </row>
    <row r="374" spans="1:36" ht="15.75" customHeight="1" x14ac:dyDescent="0.25">
      <c r="A374" s="9">
        <v>1</v>
      </c>
      <c r="B374" s="10" t="s">
        <v>54</v>
      </c>
      <c r="C374" s="10" t="s">
        <v>41</v>
      </c>
      <c r="D374" s="10" t="s">
        <v>43</v>
      </c>
      <c r="E374" s="11" t="str">
        <f ca="1">IFERROR(__xludf.DUMMYFUNCTION("FILTER(Colegios!$B$2:$B2419,Colegios!$A$2:$A2419=L374)"),"NUESTRA SEÑORA DE LA CANDELARIA")</f>
        <v>NUESTRA SEÑORA DE LA CANDELARIA</v>
      </c>
      <c r="F374" s="11" t="s">
        <v>17</v>
      </c>
      <c r="G374" s="10" t="s">
        <v>24</v>
      </c>
      <c r="H374" s="11" t="s">
        <v>19</v>
      </c>
      <c r="I374" s="11" t="s">
        <v>20</v>
      </c>
      <c r="J374" s="12" t="str">
        <f ca="1">IFERROR(__xludf.DUMMYFUNCTION("FILTER('CLASFICACIÓN'!$F$3:$F2419,'CLASFICACIÓN'!$G$3:$G2419=M374)"),"2023 Y 2024")</f>
        <v>2023 Y 2024</v>
      </c>
      <c r="K374" s="12" t="s">
        <v>2011</v>
      </c>
      <c r="L374" s="11" t="s">
        <v>55</v>
      </c>
      <c r="M374" s="12" t="str">
        <f t="shared" ca="1" si="1"/>
        <v>NUESTRA SEÑORA DE LA CANDELARIA4 Secundaria</v>
      </c>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4"/>
    </row>
    <row r="375" spans="1:36" ht="15.75" customHeight="1" x14ac:dyDescent="0.25">
      <c r="A375" s="9">
        <v>2</v>
      </c>
      <c r="B375" s="10" t="s">
        <v>54</v>
      </c>
      <c r="C375" s="10" t="s">
        <v>41</v>
      </c>
      <c r="D375" s="10" t="s">
        <v>43</v>
      </c>
      <c r="E375" s="11" t="str">
        <f ca="1">IFERROR(__xludf.DUMMYFUNCTION("FILTER(Colegios!$B$2:$B2419,Colegios!$A$2:$A2419=L375)"),"NUESTRA SEÑORA DE LA CANDELARIA")</f>
        <v>NUESTRA SEÑORA DE LA CANDELARIA</v>
      </c>
      <c r="F375" s="11" t="s">
        <v>17</v>
      </c>
      <c r="G375" s="10" t="s">
        <v>24</v>
      </c>
      <c r="H375" s="11" t="s">
        <v>23</v>
      </c>
      <c r="I375" s="11" t="s">
        <v>20</v>
      </c>
      <c r="J375" s="12" t="str">
        <f ca="1">IFERROR(__xludf.DUMMYFUNCTION("FILTER('CLASFICACIÓN'!$F$3:$F2419,'CLASFICACIÓN'!$G$3:$G2419=M375)"),"2023 Y 2024")</f>
        <v>2023 Y 2024</v>
      </c>
      <c r="K375" s="12" t="s">
        <v>2011</v>
      </c>
      <c r="L375" s="11" t="s">
        <v>55</v>
      </c>
      <c r="M375" s="12" t="str">
        <f t="shared" ca="1" si="1"/>
        <v>NUESTRA SEÑORA DE LA CANDELARIA4 Secundaria</v>
      </c>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4"/>
    </row>
    <row r="376" spans="1:36" ht="15.75" customHeight="1" x14ac:dyDescent="0.25">
      <c r="A376" s="9">
        <v>3</v>
      </c>
      <c r="B376" s="10" t="s">
        <v>54</v>
      </c>
      <c r="C376" s="10" t="s">
        <v>41</v>
      </c>
      <c r="D376" s="10" t="s">
        <v>43</v>
      </c>
      <c r="E376" s="11" t="str">
        <f ca="1">IFERROR(__xludf.DUMMYFUNCTION("FILTER(Colegios!$B$2:$B2419,Colegios!$A$2:$A2419=L376)"),"NUESTRA SEÑORA DE LA CANDELARIA")</f>
        <v>NUESTRA SEÑORA DE LA CANDELARIA</v>
      </c>
      <c r="F376" s="11" t="s">
        <v>17</v>
      </c>
      <c r="G376" s="10" t="s">
        <v>18</v>
      </c>
      <c r="H376" s="11" t="s">
        <v>19</v>
      </c>
      <c r="I376" s="11" t="s">
        <v>20</v>
      </c>
      <c r="J376" s="12" t="str">
        <f ca="1">IFERROR(__xludf.DUMMYFUNCTION("FILTER('CLASFICACIÓN'!$F$3:$F2419,'CLASFICACIÓN'!$G$3:$G2419=M376)"),"2023 Y 2024")</f>
        <v>2023 Y 2024</v>
      </c>
      <c r="K376" s="12" t="s">
        <v>2011</v>
      </c>
      <c r="L376" s="11" t="s">
        <v>55</v>
      </c>
      <c r="M376" s="12" t="str">
        <f t="shared" ca="1" si="1"/>
        <v>NUESTRA SEÑORA DE LA CANDELARIA4 Secundaria</v>
      </c>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4"/>
    </row>
    <row r="377" spans="1:36" ht="15.75" customHeight="1" x14ac:dyDescent="0.25">
      <c r="A377" s="9">
        <v>4</v>
      </c>
      <c r="B377" s="10" t="s">
        <v>54</v>
      </c>
      <c r="C377" s="10" t="s">
        <v>41</v>
      </c>
      <c r="D377" s="10" t="s">
        <v>43</v>
      </c>
      <c r="E377" s="11" t="str">
        <f ca="1">IFERROR(__xludf.DUMMYFUNCTION("FILTER(Colegios!$B$2:$B2419,Colegios!$A$2:$A2419=L377)"),"NUESTRA SEÑORA DE LA CANDELARIA")</f>
        <v>NUESTRA SEÑORA DE LA CANDELARIA</v>
      </c>
      <c r="F377" s="11" t="s">
        <v>17</v>
      </c>
      <c r="G377" s="10" t="s">
        <v>18</v>
      </c>
      <c r="H377" s="11" t="s">
        <v>19</v>
      </c>
      <c r="I377" s="11" t="s">
        <v>20</v>
      </c>
      <c r="J377" s="12" t="str">
        <f ca="1">IFERROR(__xludf.DUMMYFUNCTION("FILTER('CLASFICACIÓN'!$F$3:$F2419,'CLASFICACIÓN'!$G$3:$G2419=M377)"),"2023 Y 2024")</f>
        <v>2023 Y 2024</v>
      </c>
      <c r="K377" s="12" t="s">
        <v>2011</v>
      </c>
      <c r="L377" s="11" t="s">
        <v>55</v>
      </c>
      <c r="M377" s="12" t="str">
        <f t="shared" ca="1" si="1"/>
        <v>NUESTRA SEÑORA DE LA CANDELARIA4 Secundaria</v>
      </c>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4"/>
    </row>
    <row r="378" spans="1:36" ht="15.75" customHeight="1" x14ac:dyDescent="0.25">
      <c r="A378" s="9">
        <v>5</v>
      </c>
      <c r="B378" s="10" t="s">
        <v>54</v>
      </c>
      <c r="C378" s="10" t="s">
        <v>41</v>
      </c>
      <c r="D378" s="10" t="s">
        <v>43</v>
      </c>
      <c r="E378" s="11" t="str">
        <f ca="1">IFERROR(__xludf.DUMMYFUNCTION("FILTER(Colegios!$B$2:$B2419,Colegios!$A$2:$A2419=L378)"),"NUESTRA SEÑORA DE LA CANDELARIA")</f>
        <v>NUESTRA SEÑORA DE LA CANDELARIA</v>
      </c>
      <c r="F378" s="11" t="s">
        <v>17</v>
      </c>
      <c r="G378" s="10" t="s">
        <v>18</v>
      </c>
      <c r="H378" s="11" t="s">
        <v>19</v>
      </c>
      <c r="I378" s="11" t="s">
        <v>20</v>
      </c>
      <c r="J378" s="12" t="str">
        <f ca="1">IFERROR(__xludf.DUMMYFUNCTION("FILTER('CLASFICACIÓN'!$F$3:$F2419,'CLASFICACIÓN'!$G$3:$G2419=M378)"),"2023 Y 2024")</f>
        <v>2023 Y 2024</v>
      </c>
      <c r="K378" s="12" t="s">
        <v>2011</v>
      </c>
      <c r="L378" s="11" t="s">
        <v>55</v>
      </c>
      <c r="M378" s="12" t="str">
        <f t="shared" ca="1" si="1"/>
        <v>NUESTRA SEÑORA DE LA CANDELARIA4 Secundaria</v>
      </c>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4"/>
    </row>
    <row r="379" spans="1:36" ht="15.75" customHeight="1" x14ac:dyDescent="0.25">
      <c r="A379" s="9">
        <v>6</v>
      </c>
      <c r="B379" s="10" t="s">
        <v>54</v>
      </c>
      <c r="C379" s="10" t="s">
        <v>41</v>
      </c>
      <c r="D379" s="10" t="s">
        <v>43</v>
      </c>
      <c r="E379" s="11" t="str">
        <f ca="1">IFERROR(__xludf.DUMMYFUNCTION("FILTER(Colegios!$B$2:$B2419,Colegios!$A$2:$A2419=L379)"),"NUESTRA SEÑORA DE LA CANDELARIA")</f>
        <v>NUESTRA SEÑORA DE LA CANDELARIA</v>
      </c>
      <c r="F379" s="11" t="s">
        <v>17</v>
      </c>
      <c r="G379" s="10" t="s">
        <v>18</v>
      </c>
      <c r="H379" s="11" t="s">
        <v>19</v>
      </c>
      <c r="I379" s="11" t="s">
        <v>20</v>
      </c>
      <c r="J379" s="12" t="str">
        <f ca="1">IFERROR(__xludf.DUMMYFUNCTION("FILTER('CLASFICACIÓN'!$F$3:$F2419,'CLASFICACIÓN'!$G$3:$G2419=M379)"),"2023 Y 2024")</f>
        <v>2023 Y 2024</v>
      </c>
      <c r="K379" s="12" t="s">
        <v>2011</v>
      </c>
      <c r="L379" s="11" t="s">
        <v>55</v>
      </c>
      <c r="M379" s="12" t="str">
        <f t="shared" ca="1" si="1"/>
        <v>NUESTRA SEÑORA DE LA CANDELARIA4 Secundaria</v>
      </c>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4"/>
    </row>
    <row r="380" spans="1:36" ht="15.75" customHeight="1" x14ac:dyDescent="0.25">
      <c r="A380" s="9">
        <v>7</v>
      </c>
      <c r="B380" s="10" t="s">
        <v>54</v>
      </c>
      <c r="C380" s="10" t="s">
        <v>41</v>
      </c>
      <c r="D380" s="10" t="s">
        <v>43</v>
      </c>
      <c r="E380" s="11" t="str">
        <f ca="1">IFERROR(__xludf.DUMMYFUNCTION("FILTER(Colegios!$B$2:$B2419,Colegios!$A$2:$A2419=L380)"),"NUESTRA SEÑORA DE LA CANDELARIA")</f>
        <v>NUESTRA SEÑORA DE LA CANDELARIA</v>
      </c>
      <c r="F380" s="11" t="s">
        <v>17</v>
      </c>
      <c r="G380" s="10" t="s">
        <v>18</v>
      </c>
      <c r="H380" s="11" t="s">
        <v>19</v>
      </c>
      <c r="I380" s="11" t="s">
        <v>20</v>
      </c>
      <c r="J380" s="12" t="str">
        <f ca="1">IFERROR(__xludf.DUMMYFUNCTION("FILTER('CLASFICACIÓN'!$F$3:$F2419,'CLASFICACIÓN'!$G$3:$G2419=M380)"),"2023 Y 2024")</f>
        <v>2023 Y 2024</v>
      </c>
      <c r="K380" s="12" t="s">
        <v>2011</v>
      </c>
      <c r="L380" s="11" t="s">
        <v>55</v>
      </c>
      <c r="M380" s="12" t="str">
        <f t="shared" ca="1" si="1"/>
        <v>NUESTRA SEÑORA DE LA CANDELARIA4 Secundaria</v>
      </c>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4"/>
    </row>
    <row r="381" spans="1:36" ht="15.75" customHeight="1" x14ac:dyDescent="0.25">
      <c r="A381" s="9">
        <v>8</v>
      </c>
      <c r="B381" s="10" t="s">
        <v>54</v>
      </c>
      <c r="C381" s="10" t="s">
        <v>41</v>
      </c>
      <c r="D381" s="10" t="s">
        <v>43</v>
      </c>
      <c r="E381" s="11" t="str">
        <f ca="1">IFERROR(__xludf.DUMMYFUNCTION("FILTER(Colegios!$B$2:$B2419,Colegios!$A$2:$A2419=L381)"),"NUESTRA SEÑORA DE LA CANDELARIA")</f>
        <v>NUESTRA SEÑORA DE LA CANDELARIA</v>
      </c>
      <c r="F381" s="11" t="s">
        <v>17</v>
      </c>
      <c r="G381" s="10" t="s">
        <v>24</v>
      </c>
      <c r="H381" s="11" t="s">
        <v>19</v>
      </c>
      <c r="I381" s="11" t="s">
        <v>20</v>
      </c>
      <c r="J381" s="12" t="str">
        <f ca="1">IFERROR(__xludf.DUMMYFUNCTION("FILTER('CLASFICACIÓN'!$F$3:$F2419,'CLASFICACIÓN'!$G$3:$G2419=M381)"),"2023 Y 2024")</f>
        <v>2023 Y 2024</v>
      </c>
      <c r="K381" s="12" t="s">
        <v>2011</v>
      </c>
      <c r="L381" s="11" t="s">
        <v>55</v>
      </c>
      <c r="M381" s="12" t="str">
        <f t="shared" ca="1" si="1"/>
        <v>NUESTRA SEÑORA DE LA CANDELARIA4 Secundaria</v>
      </c>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4"/>
    </row>
    <row r="382" spans="1:36" ht="15.75" customHeight="1" x14ac:dyDescent="0.25">
      <c r="A382" s="9">
        <v>9</v>
      </c>
      <c r="B382" s="10" t="s">
        <v>54</v>
      </c>
      <c r="C382" s="10" t="s">
        <v>41</v>
      </c>
      <c r="D382" s="10" t="s">
        <v>43</v>
      </c>
      <c r="E382" s="11" t="str">
        <f ca="1">IFERROR(__xludf.DUMMYFUNCTION("FILTER(Colegios!$B$2:$B2419,Colegios!$A$2:$A2419=L382)"),"NUESTRA SEÑORA DE LA CANDELARIA")</f>
        <v>NUESTRA SEÑORA DE LA CANDELARIA</v>
      </c>
      <c r="F382" s="11" t="s">
        <v>17</v>
      </c>
      <c r="G382" s="10" t="s">
        <v>24</v>
      </c>
      <c r="H382" s="11" t="s">
        <v>19</v>
      </c>
      <c r="I382" s="11" t="s">
        <v>20</v>
      </c>
      <c r="J382" s="12" t="str">
        <f ca="1">IFERROR(__xludf.DUMMYFUNCTION("FILTER('CLASFICACIÓN'!$F$3:$F2419,'CLASFICACIÓN'!$G$3:$G2419=M382)"),"2023 Y 2024")</f>
        <v>2023 Y 2024</v>
      </c>
      <c r="K382" s="12" t="s">
        <v>2011</v>
      </c>
      <c r="L382" s="11" t="s">
        <v>55</v>
      </c>
      <c r="M382" s="12" t="str">
        <f t="shared" ca="1" si="1"/>
        <v>NUESTRA SEÑORA DE LA CANDELARIA4 Secundaria</v>
      </c>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4"/>
    </row>
    <row r="383" spans="1:36" ht="15.75" customHeight="1" x14ac:dyDescent="0.25">
      <c r="A383" s="9">
        <v>10</v>
      </c>
      <c r="B383" s="10" t="s">
        <v>54</v>
      </c>
      <c r="C383" s="10" t="s">
        <v>41</v>
      </c>
      <c r="D383" s="10" t="s">
        <v>43</v>
      </c>
      <c r="E383" s="11" t="str">
        <f ca="1">IFERROR(__xludf.DUMMYFUNCTION("FILTER(Colegios!$B$2:$B2419,Colegios!$A$2:$A2419=L383)"),"NUESTRA SEÑORA DE LA CANDELARIA")</f>
        <v>NUESTRA SEÑORA DE LA CANDELARIA</v>
      </c>
      <c r="F383" s="11" t="s">
        <v>17</v>
      </c>
      <c r="G383" s="10" t="s">
        <v>18</v>
      </c>
      <c r="H383" s="11" t="s">
        <v>19</v>
      </c>
      <c r="I383" s="11" t="s">
        <v>20</v>
      </c>
      <c r="J383" s="12" t="str">
        <f ca="1">IFERROR(__xludf.DUMMYFUNCTION("FILTER('CLASFICACIÓN'!$F$3:$F2419,'CLASFICACIÓN'!$G$3:$G2419=M383)"),"2023 Y 2024")</f>
        <v>2023 Y 2024</v>
      </c>
      <c r="K383" s="12" t="s">
        <v>2011</v>
      </c>
      <c r="L383" s="11" t="s">
        <v>55</v>
      </c>
      <c r="M383" s="12" t="str">
        <f t="shared" ca="1" si="1"/>
        <v>NUESTRA SEÑORA DE LA CANDELARIA4 Secundaria</v>
      </c>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4"/>
    </row>
    <row r="384" spans="1:36" ht="15.75" customHeight="1" x14ac:dyDescent="0.25">
      <c r="A384" s="9">
        <v>13</v>
      </c>
      <c r="B384" s="10" t="s">
        <v>54</v>
      </c>
      <c r="C384" s="10" t="s">
        <v>41</v>
      </c>
      <c r="D384" s="10" t="s">
        <v>43</v>
      </c>
      <c r="E384" s="11" t="str">
        <f ca="1">IFERROR(__xludf.DUMMYFUNCTION("FILTER(Colegios!$B$2:$B2419,Colegios!$A$2:$A2419=L384)"),"NUESTRA SEÑORA DE LA CANDELARIA")</f>
        <v>NUESTRA SEÑORA DE LA CANDELARIA</v>
      </c>
      <c r="F384" s="11" t="s">
        <v>17</v>
      </c>
      <c r="G384" s="10" t="s">
        <v>24</v>
      </c>
      <c r="H384" s="11" t="s">
        <v>19</v>
      </c>
      <c r="I384" s="11" t="s">
        <v>20</v>
      </c>
      <c r="J384" s="12" t="str">
        <f ca="1">IFERROR(__xludf.DUMMYFUNCTION("FILTER('CLASFICACIÓN'!$F$3:$F2419,'CLASFICACIÓN'!$G$3:$G2419=M384)"),"2023 Y 2024")</f>
        <v>2023 Y 2024</v>
      </c>
      <c r="K384" s="12" t="s">
        <v>2011</v>
      </c>
      <c r="L384" s="11" t="s">
        <v>55</v>
      </c>
      <c r="M384" s="12" t="str">
        <f t="shared" ca="1" si="1"/>
        <v>NUESTRA SEÑORA DE LA CANDELARIA4 Secundaria</v>
      </c>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4"/>
    </row>
    <row r="385" spans="1:36" ht="15.75" customHeight="1" x14ac:dyDescent="0.25">
      <c r="A385" s="9">
        <v>14</v>
      </c>
      <c r="B385" s="10" t="s">
        <v>54</v>
      </c>
      <c r="C385" s="10" t="s">
        <v>41</v>
      </c>
      <c r="D385" s="10" t="s">
        <v>43</v>
      </c>
      <c r="E385" s="11" t="str">
        <f ca="1">IFERROR(__xludf.DUMMYFUNCTION("FILTER(Colegios!$B$2:$B2419,Colegios!$A$2:$A2419=L385)"),"NUESTRA SEÑORA DE LA CANDELARIA")</f>
        <v>NUESTRA SEÑORA DE LA CANDELARIA</v>
      </c>
      <c r="F385" s="11" t="s">
        <v>17</v>
      </c>
      <c r="G385" s="10" t="s">
        <v>24</v>
      </c>
      <c r="H385" s="11" t="s">
        <v>19</v>
      </c>
      <c r="I385" s="11" t="s">
        <v>20</v>
      </c>
      <c r="J385" s="12" t="str">
        <f ca="1">IFERROR(__xludf.DUMMYFUNCTION("FILTER('CLASFICACIÓN'!$F$3:$F2419,'CLASFICACIÓN'!$G$3:$G2419=M385)"),"2023 Y 2024")</f>
        <v>2023 Y 2024</v>
      </c>
      <c r="K385" s="12" t="s">
        <v>2011</v>
      </c>
      <c r="L385" s="11" t="s">
        <v>55</v>
      </c>
      <c r="M385" s="12" t="str">
        <f t="shared" ca="1" si="1"/>
        <v>NUESTRA SEÑORA DE LA CANDELARIA4 Secundaria</v>
      </c>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4"/>
    </row>
    <row r="386" spans="1:36" ht="15.75" customHeight="1" x14ac:dyDescent="0.25">
      <c r="A386" s="9">
        <v>17</v>
      </c>
      <c r="B386" s="10" t="s">
        <v>54</v>
      </c>
      <c r="C386" s="10" t="s">
        <v>41</v>
      </c>
      <c r="D386" s="10" t="s">
        <v>43</v>
      </c>
      <c r="E386" s="11" t="str">
        <f ca="1">IFERROR(__xludf.DUMMYFUNCTION("FILTER(Colegios!$B$2:$B2419,Colegios!$A$2:$A2419=L386)"),"NUESTRA SEÑORA DE LA CANDELARIA")</f>
        <v>NUESTRA SEÑORA DE LA CANDELARIA</v>
      </c>
      <c r="F386" s="11" t="s">
        <v>17</v>
      </c>
      <c r="G386" s="10" t="s">
        <v>24</v>
      </c>
      <c r="H386" s="11" t="s">
        <v>19</v>
      </c>
      <c r="I386" s="11" t="s">
        <v>20</v>
      </c>
      <c r="J386" s="12" t="str">
        <f ca="1">IFERROR(__xludf.DUMMYFUNCTION("FILTER('CLASFICACIÓN'!$F$3:$F2419,'CLASFICACIÓN'!$G$3:$G2419=M386)"),"2023 Y 2024")</f>
        <v>2023 Y 2024</v>
      </c>
      <c r="K386" s="12" t="s">
        <v>2011</v>
      </c>
      <c r="L386" s="11" t="s">
        <v>55</v>
      </c>
      <c r="M386" s="12" t="str">
        <f t="shared" ca="1" si="1"/>
        <v>NUESTRA SEÑORA DE LA CANDELARIA4 Secundaria</v>
      </c>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4"/>
    </row>
    <row r="387" spans="1:36" ht="15.75" customHeight="1" x14ac:dyDescent="0.25">
      <c r="A387" s="9">
        <v>18</v>
      </c>
      <c r="B387" s="10" t="s">
        <v>54</v>
      </c>
      <c r="C387" s="10" t="s">
        <v>41</v>
      </c>
      <c r="D387" s="10" t="s">
        <v>43</v>
      </c>
      <c r="E387" s="11" t="str">
        <f ca="1">IFERROR(__xludf.DUMMYFUNCTION("FILTER(Colegios!$B$2:$B2419,Colegios!$A$2:$A2419=L387)"),"NUESTRA SEÑORA DE LA CANDELARIA")</f>
        <v>NUESTRA SEÑORA DE LA CANDELARIA</v>
      </c>
      <c r="F387" s="11" t="s">
        <v>17</v>
      </c>
      <c r="G387" s="10" t="s">
        <v>18</v>
      </c>
      <c r="H387" s="11" t="s">
        <v>19</v>
      </c>
      <c r="I387" s="11" t="s">
        <v>20</v>
      </c>
      <c r="J387" s="12" t="str">
        <f ca="1">IFERROR(__xludf.DUMMYFUNCTION("FILTER('CLASFICACIÓN'!$F$3:$F2419,'CLASFICACIÓN'!$G$3:$G2419=M387)"),"2023 Y 2024")</f>
        <v>2023 Y 2024</v>
      </c>
      <c r="K387" s="12" t="s">
        <v>2011</v>
      </c>
      <c r="L387" s="11" t="s">
        <v>55</v>
      </c>
      <c r="M387" s="12" t="str">
        <f t="shared" ca="1" si="1"/>
        <v>NUESTRA SEÑORA DE LA CANDELARIA4 Secundaria</v>
      </c>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4"/>
    </row>
    <row r="388" spans="1:36" ht="15.75" customHeight="1" x14ac:dyDescent="0.25">
      <c r="A388" s="9">
        <v>20</v>
      </c>
      <c r="B388" s="10" t="s">
        <v>54</v>
      </c>
      <c r="C388" s="10" t="s">
        <v>41</v>
      </c>
      <c r="D388" s="10" t="s">
        <v>43</v>
      </c>
      <c r="E388" s="11" t="str">
        <f ca="1">IFERROR(__xludf.DUMMYFUNCTION("FILTER(Colegios!$B$2:$B2419,Colegios!$A$2:$A2419=L388)"),"NUESTRA SEÑORA DE LA CANDELARIA")</f>
        <v>NUESTRA SEÑORA DE LA CANDELARIA</v>
      </c>
      <c r="F388" s="11" t="s">
        <v>17</v>
      </c>
      <c r="G388" s="10" t="s">
        <v>24</v>
      </c>
      <c r="H388" s="11" t="s">
        <v>19</v>
      </c>
      <c r="I388" s="11" t="s">
        <v>20</v>
      </c>
      <c r="J388" s="12" t="str">
        <f ca="1">IFERROR(__xludf.DUMMYFUNCTION("FILTER('CLASFICACIÓN'!$F$3:$F2419,'CLASFICACIÓN'!$G$3:$G2419=M388)"),"2023 Y 2024")</f>
        <v>2023 Y 2024</v>
      </c>
      <c r="K388" s="12" t="s">
        <v>2011</v>
      </c>
      <c r="L388" s="11" t="s">
        <v>55</v>
      </c>
      <c r="M388" s="12" t="str">
        <f t="shared" ca="1" si="1"/>
        <v>NUESTRA SEÑORA DE LA CANDELARIA4 Secundaria</v>
      </c>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4"/>
    </row>
    <row r="389" spans="1:36" ht="15.75" customHeight="1" x14ac:dyDescent="0.25">
      <c r="A389" s="9">
        <v>21</v>
      </c>
      <c r="B389" s="10" t="s">
        <v>54</v>
      </c>
      <c r="C389" s="10" t="s">
        <v>41</v>
      </c>
      <c r="D389" s="10" t="s">
        <v>43</v>
      </c>
      <c r="E389" s="11" t="str">
        <f ca="1">IFERROR(__xludf.DUMMYFUNCTION("FILTER(Colegios!$B$2:$B2419,Colegios!$A$2:$A2419=L389)"),"NUESTRA SEÑORA DE LA CANDELARIA")</f>
        <v>NUESTRA SEÑORA DE LA CANDELARIA</v>
      </c>
      <c r="F389" s="11" t="s">
        <v>17</v>
      </c>
      <c r="G389" s="10" t="s">
        <v>18</v>
      </c>
      <c r="H389" s="11" t="s">
        <v>19</v>
      </c>
      <c r="I389" s="11" t="s">
        <v>20</v>
      </c>
      <c r="J389" s="12" t="str">
        <f ca="1">IFERROR(__xludf.DUMMYFUNCTION("FILTER('CLASFICACIÓN'!$F$3:$F2419,'CLASFICACIÓN'!$G$3:$G2419=M389)"),"2023 Y 2024")</f>
        <v>2023 Y 2024</v>
      </c>
      <c r="K389" s="12" t="s">
        <v>2011</v>
      </c>
      <c r="L389" s="11" t="s">
        <v>55</v>
      </c>
      <c r="M389" s="12" t="str">
        <f t="shared" ca="1" si="1"/>
        <v>NUESTRA SEÑORA DE LA CANDELARIA4 Secundaria</v>
      </c>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4"/>
    </row>
    <row r="390" spans="1:36" ht="15.75" customHeight="1" x14ac:dyDescent="0.25">
      <c r="A390" s="9">
        <v>23</v>
      </c>
      <c r="B390" s="10" t="s">
        <v>54</v>
      </c>
      <c r="C390" s="10" t="s">
        <v>41</v>
      </c>
      <c r="D390" s="10" t="s">
        <v>43</v>
      </c>
      <c r="E390" s="11" t="str">
        <f ca="1">IFERROR(__xludf.DUMMYFUNCTION("FILTER(Colegios!$B$2:$B2419,Colegios!$A$2:$A2419=L390)"),"NUESTRA SEÑORA DE LA CANDELARIA")</f>
        <v>NUESTRA SEÑORA DE LA CANDELARIA</v>
      </c>
      <c r="F390" s="11" t="s">
        <v>17</v>
      </c>
      <c r="G390" s="10" t="s">
        <v>18</v>
      </c>
      <c r="H390" s="11" t="s">
        <v>19</v>
      </c>
      <c r="I390" s="11" t="s">
        <v>20</v>
      </c>
      <c r="J390" s="12" t="str">
        <f ca="1">IFERROR(__xludf.DUMMYFUNCTION("FILTER('CLASFICACIÓN'!$F$3:$F2419,'CLASFICACIÓN'!$G$3:$G2419=M390)"),"2023 Y 2024")</f>
        <v>2023 Y 2024</v>
      </c>
      <c r="K390" s="12" t="s">
        <v>2011</v>
      </c>
      <c r="L390" s="11" t="s">
        <v>55</v>
      </c>
      <c r="M390" s="12" t="str">
        <f t="shared" ca="1" si="1"/>
        <v>NUESTRA SEÑORA DE LA CANDELARIA4 Secundaria</v>
      </c>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4"/>
    </row>
    <row r="391" spans="1:36" ht="15.75" customHeight="1" x14ac:dyDescent="0.25">
      <c r="A391" s="9">
        <v>24</v>
      </c>
      <c r="B391" s="10" t="s">
        <v>54</v>
      </c>
      <c r="C391" s="10" t="s">
        <v>41</v>
      </c>
      <c r="D391" s="10" t="s">
        <v>43</v>
      </c>
      <c r="E391" s="11" t="str">
        <f ca="1">IFERROR(__xludf.DUMMYFUNCTION("FILTER(Colegios!$B$2:$B2419,Colegios!$A$2:$A2419=L391)"),"NUESTRA SEÑORA DE LA CANDELARIA")</f>
        <v>NUESTRA SEÑORA DE LA CANDELARIA</v>
      </c>
      <c r="F391" s="11" t="s">
        <v>17</v>
      </c>
      <c r="G391" s="10" t="s">
        <v>24</v>
      </c>
      <c r="H391" s="11" t="s">
        <v>23</v>
      </c>
      <c r="I391" s="11" t="s">
        <v>20</v>
      </c>
      <c r="J391" s="12" t="str">
        <f ca="1">IFERROR(__xludf.DUMMYFUNCTION("FILTER('CLASFICACIÓN'!$F$3:$F2419,'CLASFICACIÓN'!$G$3:$G2419=M391)"),"2023 Y 2024")</f>
        <v>2023 Y 2024</v>
      </c>
      <c r="K391" s="12" t="s">
        <v>2011</v>
      </c>
      <c r="L391" s="11" t="s">
        <v>55</v>
      </c>
      <c r="M391" s="12" t="str">
        <f t="shared" ca="1" si="1"/>
        <v>NUESTRA SEÑORA DE LA CANDELARIA4 Secundaria</v>
      </c>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4"/>
    </row>
    <row r="392" spans="1:36" ht="15.75" customHeight="1" x14ac:dyDescent="0.25">
      <c r="A392" s="9">
        <v>26</v>
      </c>
      <c r="B392" s="10" t="s">
        <v>54</v>
      </c>
      <c r="C392" s="10" t="s">
        <v>41</v>
      </c>
      <c r="D392" s="10" t="s">
        <v>43</v>
      </c>
      <c r="E392" s="11" t="str">
        <f ca="1">IFERROR(__xludf.DUMMYFUNCTION("FILTER(Colegios!$B$2:$B2419,Colegios!$A$2:$A2419=L392)"),"NUESTRA SEÑORA DE LA CANDELARIA")</f>
        <v>NUESTRA SEÑORA DE LA CANDELARIA</v>
      </c>
      <c r="F392" s="11" t="s">
        <v>17</v>
      </c>
      <c r="G392" s="10" t="s">
        <v>18</v>
      </c>
      <c r="H392" s="11" t="s">
        <v>23</v>
      </c>
      <c r="I392" s="11" t="s">
        <v>20</v>
      </c>
      <c r="J392" s="12" t="str">
        <f ca="1">IFERROR(__xludf.DUMMYFUNCTION("FILTER('CLASFICACIÓN'!$F$3:$F2419,'CLASFICACIÓN'!$G$3:$G2419=M392)"),"2023 Y 2024")</f>
        <v>2023 Y 2024</v>
      </c>
      <c r="K392" s="12" t="s">
        <v>2011</v>
      </c>
      <c r="L392" s="11" t="s">
        <v>55</v>
      </c>
      <c r="M392" s="12" t="str">
        <f t="shared" ca="1" si="1"/>
        <v>NUESTRA SEÑORA DE LA CANDELARIA4 Secundaria</v>
      </c>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4"/>
    </row>
    <row r="393" spans="1:36" ht="15.75" customHeight="1" x14ac:dyDescent="0.25">
      <c r="A393" s="9">
        <v>27</v>
      </c>
      <c r="B393" s="10" t="s">
        <v>54</v>
      </c>
      <c r="C393" s="10" t="s">
        <v>41</v>
      </c>
      <c r="D393" s="10" t="s">
        <v>43</v>
      </c>
      <c r="E393" s="11" t="str">
        <f ca="1">IFERROR(__xludf.DUMMYFUNCTION("FILTER(Colegios!$B$2:$B2419,Colegios!$A$2:$A2419=L393)"),"NUESTRA SEÑORA DE LA CANDELARIA")</f>
        <v>NUESTRA SEÑORA DE LA CANDELARIA</v>
      </c>
      <c r="F393" s="11" t="s">
        <v>17</v>
      </c>
      <c r="G393" s="10" t="s">
        <v>24</v>
      </c>
      <c r="H393" s="11" t="s">
        <v>19</v>
      </c>
      <c r="I393" s="11" t="s">
        <v>20</v>
      </c>
      <c r="J393" s="12" t="str">
        <f ca="1">IFERROR(__xludf.DUMMYFUNCTION("FILTER('CLASFICACIÓN'!$F$3:$F2419,'CLASFICACIÓN'!$G$3:$G2419=M393)"),"2023 Y 2024")</f>
        <v>2023 Y 2024</v>
      </c>
      <c r="K393" s="12" t="s">
        <v>2011</v>
      </c>
      <c r="L393" s="11" t="s">
        <v>55</v>
      </c>
      <c r="M393" s="12" t="str">
        <f t="shared" ca="1" si="1"/>
        <v>NUESTRA SEÑORA DE LA CANDELARIA4 Secundaria</v>
      </c>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4"/>
    </row>
    <row r="394" spans="1:36" ht="15.75" customHeight="1" x14ac:dyDescent="0.25">
      <c r="A394" s="9">
        <v>28</v>
      </c>
      <c r="B394" s="10" t="s">
        <v>54</v>
      </c>
      <c r="C394" s="10" t="s">
        <v>41</v>
      </c>
      <c r="D394" s="10" t="s">
        <v>43</v>
      </c>
      <c r="E394" s="11" t="str">
        <f ca="1">IFERROR(__xludf.DUMMYFUNCTION("FILTER(Colegios!$B$2:$B2419,Colegios!$A$2:$A2419=L394)"),"NUESTRA SEÑORA DE LA CANDELARIA")</f>
        <v>NUESTRA SEÑORA DE LA CANDELARIA</v>
      </c>
      <c r="F394" s="11" t="s">
        <v>17</v>
      </c>
      <c r="G394" s="10" t="s">
        <v>18</v>
      </c>
      <c r="H394" s="11" t="s">
        <v>19</v>
      </c>
      <c r="I394" s="11" t="s">
        <v>20</v>
      </c>
      <c r="J394" s="12" t="str">
        <f ca="1">IFERROR(__xludf.DUMMYFUNCTION("FILTER('CLASFICACIÓN'!$F$3:$F2419,'CLASFICACIÓN'!$G$3:$G2419=M394)"),"2023 Y 2024")</f>
        <v>2023 Y 2024</v>
      </c>
      <c r="K394" s="12" t="s">
        <v>2011</v>
      </c>
      <c r="L394" s="11" t="s">
        <v>55</v>
      </c>
      <c r="M394" s="12" t="str">
        <f t="shared" ca="1" si="1"/>
        <v>NUESTRA SEÑORA DE LA CANDELARIA4 Secundaria</v>
      </c>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4"/>
    </row>
    <row r="395" spans="1:36" ht="15.75" customHeight="1" x14ac:dyDescent="0.25">
      <c r="A395" s="9">
        <v>32</v>
      </c>
      <c r="B395" s="10" t="s">
        <v>54</v>
      </c>
      <c r="C395" s="10" t="s">
        <v>41</v>
      </c>
      <c r="D395" s="10" t="s">
        <v>43</v>
      </c>
      <c r="E395" s="11" t="str">
        <f ca="1">IFERROR(__xludf.DUMMYFUNCTION("FILTER(Colegios!$B$2:$B2419,Colegios!$A$2:$A2419=L395)"),"NUESTRA SEÑORA DE LA CANDELARIA")</f>
        <v>NUESTRA SEÑORA DE LA CANDELARIA</v>
      </c>
      <c r="F395" s="11" t="s">
        <v>17</v>
      </c>
      <c r="G395" s="10" t="s">
        <v>18</v>
      </c>
      <c r="H395" s="11" t="s">
        <v>19</v>
      </c>
      <c r="I395" s="11" t="s">
        <v>20</v>
      </c>
      <c r="J395" s="12" t="str">
        <f ca="1">IFERROR(__xludf.DUMMYFUNCTION("FILTER('CLASFICACIÓN'!$F$3:$F2419,'CLASFICACIÓN'!$G$3:$G2419=M395)"),"2023 Y 2024")</f>
        <v>2023 Y 2024</v>
      </c>
      <c r="K395" s="12" t="s">
        <v>2011</v>
      </c>
      <c r="L395" s="11" t="s">
        <v>55</v>
      </c>
      <c r="M395" s="12" t="str">
        <f t="shared" ca="1" si="1"/>
        <v>NUESTRA SEÑORA DE LA CANDELARIA4 Secundaria</v>
      </c>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4"/>
    </row>
    <row r="396" spans="1:36" ht="15.75" customHeight="1" x14ac:dyDescent="0.25">
      <c r="A396" s="9">
        <v>33</v>
      </c>
      <c r="B396" s="10" t="s">
        <v>54</v>
      </c>
      <c r="C396" s="10" t="s">
        <v>41</v>
      </c>
      <c r="D396" s="10" t="s">
        <v>43</v>
      </c>
      <c r="E396" s="11" t="str">
        <f ca="1">IFERROR(__xludf.DUMMYFUNCTION("FILTER(Colegios!$B$2:$B2419,Colegios!$A$2:$A2419=L396)"),"NUESTRA SEÑORA DE LA CANDELARIA")</f>
        <v>NUESTRA SEÑORA DE LA CANDELARIA</v>
      </c>
      <c r="F396" s="11" t="s">
        <v>17</v>
      </c>
      <c r="G396" s="10" t="s">
        <v>24</v>
      </c>
      <c r="H396" s="11" t="s">
        <v>23</v>
      </c>
      <c r="I396" s="11" t="s">
        <v>20</v>
      </c>
      <c r="J396" s="12" t="str">
        <f ca="1">IFERROR(__xludf.DUMMYFUNCTION("FILTER('CLASFICACIÓN'!$F$3:$F2419,'CLASFICACIÓN'!$G$3:$G2419=M396)"),"2023 Y 2024")</f>
        <v>2023 Y 2024</v>
      </c>
      <c r="K396" s="12" t="s">
        <v>2011</v>
      </c>
      <c r="L396" s="11" t="s">
        <v>55</v>
      </c>
      <c r="M396" s="12" t="str">
        <f t="shared" ca="1" si="1"/>
        <v>NUESTRA SEÑORA DE LA CANDELARIA4 Secundaria</v>
      </c>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4"/>
    </row>
    <row r="397" spans="1:36" ht="15.75" customHeight="1" x14ac:dyDescent="0.25">
      <c r="A397" s="9">
        <v>34</v>
      </c>
      <c r="B397" s="10" t="s">
        <v>54</v>
      </c>
      <c r="C397" s="10" t="s">
        <v>41</v>
      </c>
      <c r="D397" s="10" t="s">
        <v>43</v>
      </c>
      <c r="E397" s="11" t="str">
        <f ca="1">IFERROR(__xludf.DUMMYFUNCTION("FILTER(Colegios!$B$2:$B2419,Colegios!$A$2:$A2419=L397)"),"NUESTRA SEÑORA DE LA CANDELARIA")</f>
        <v>NUESTRA SEÑORA DE LA CANDELARIA</v>
      </c>
      <c r="F397" s="11" t="s">
        <v>17</v>
      </c>
      <c r="G397" s="10" t="s">
        <v>18</v>
      </c>
      <c r="H397" s="11" t="s">
        <v>19</v>
      </c>
      <c r="I397" s="11" t="s">
        <v>20</v>
      </c>
      <c r="J397" s="12" t="str">
        <f ca="1">IFERROR(__xludf.DUMMYFUNCTION("FILTER('CLASFICACIÓN'!$F$3:$F2419,'CLASFICACIÓN'!$G$3:$G2419=M397)"),"2023 Y 2024")</f>
        <v>2023 Y 2024</v>
      </c>
      <c r="K397" s="12" t="s">
        <v>2011</v>
      </c>
      <c r="L397" s="11" t="s">
        <v>55</v>
      </c>
      <c r="M397" s="12" t="str">
        <f t="shared" ca="1" si="1"/>
        <v>NUESTRA SEÑORA DE LA CANDELARIA4 Secundaria</v>
      </c>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4"/>
    </row>
    <row r="398" spans="1:36" ht="15.75" customHeight="1" x14ac:dyDescent="0.25">
      <c r="A398" s="9">
        <v>37</v>
      </c>
      <c r="B398" s="10" t="s">
        <v>54</v>
      </c>
      <c r="C398" s="10" t="s">
        <v>41</v>
      </c>
      <c r="D398" s="10" t="s">
        <v>43</v>
      </c>
      <c r="E398" s="11" t="str">
        <f ca="1">IFERROR(__xludf.DUMMYFUNCTION("FILTER(Colegios!$B$2:$B2419,Colegios!$A$2:$A2419=L398)"),"NUESTRA SEÑORA DE LA CANDELARIA")</f>
        <v>NUESTRA SEÑORA DE LA CANDELARIA</v>
      </c>
      <c r="F398" s="11" t="s">
        <v>17</v>
      </c>
      <c r="G398" s="10" t="s">
        <v>18</v>
      </c>
      <c r="H398" s="11" t="s">
        <v>19</v>
      </c>
      <c r="I398" s="11" t="s">
        <v>20</v>
      </c>
      <c r="J398" s="12" t="str">
        <f ca="1">IFERROR(__xludf.DUMMYFUNCTION("FILTER('CLASFICACIÓN'!$F$3:$F2419,'CLASFICACIÓN'!$G$3:$G2419=M398)"),"2023 Y 2024")</f>
        <v>2023 Y 2024</v>
      </c>
      <c r="K398" s="12" t="s">
        <v>2011</v>
      </c>
      <c r="L398" s="11" t="s">
        <v>55</v>
      </c>
      <c r="M398" s="12" t="str">
        <f t="shared" ca="1" si="1"/>
        <v>NUESTRA SEÑORA DE LA CANDELARIA4 Secundaria</v>
      </c>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4"/>
    </row>
    <row r="399" spans="1:36" ht="15.75" customHeight="1" x14ac:dyDescent="0.25">
      <c r="A399" s="9">
        <v>38</v>
      </c>
      <c r="B399" s="10" t="s">
        <v>54</v>
      </c>
      <c r="C399" s="10" t="s">
        <v>41</v>
      </c>
      <c r="D399" s="10" t="s">
        <v>43</v>
      </c>
      <c r="E399" s="11" t="str">
        <f ca="1">IFERROR(__xludf.DUMMYFUNCTION("FILTER(Colegios!$B$2:$B2419,Colegios!$A$2:$A2419=L399)"),"NUESTRA SEÑORA DE LA CANDELARIA")</f>
        <v>NUESTRA SEÑORA DE LA CANDELARIA</v>
      </c>
      <c r="F399" s="11" t="s">
        <v>17</v>
      </c>
      <c r="G399" s="10" t="s">
        <v>18</v>
      </c>
      <c r="H399" s="11" t="s">
        <v>19</v>
      </c>
      <c r="I399" s="11" t="s">
        <v>20</v>
      </c>
      <c r="J399" s="12" t="str">
        <f ca="1">IFERROR(__xludf.DUMMYFUNCTION("FILTER('CLASFICACIÓN'!$F$3:$F2419,'CLASFICACIÓN'!$G$3:$G2419=M399)"),"2023 Y 2024")</f>
        <v>2023 Y 2024</v>
      </c>
      <c r="K399" s="12" t="s">
        <v>2011</v>
      </c>
      <c r="L399" s="11" t="s">
        <v>55</v>
      </c>
      <c r="M399" s="12" t="str">
        <f t="shared" ca="1" si="1"/>
        <v>NUESTRA SEÑORA DE LA CANDELARIA4 Secundaria</v>
      </c>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4"/>
    </row>
    <row r="400" spans="1:36" ht="15.75" customHeight="1" x14ac:dyDescent="0.25">
      <c r="A400" s="9">
        <v>39</v>
      </c>
      <c r="B400" s="10" t="s">
        <v>54</v>
      </c>
      <c r="C400" s="10" t="s">
        <v>41</v>
      </c>
      <c r="D400" s="10" t="s">
        <v>43</v>
      </c>
      <c r="E400" s="11" t="str">
        <f ca="1">IFERROR(__xludf.DUMMYFUNCTION("FILTER(Colegios!$B$2:$B2419,Colegios!$A$2:$A2419=L400)"),"NUESTRA SEÑORA DE LA CANDELARIA")</f>
        <v>NUESTRA SEÑORA DE LA CANDELARIA</v>
      </c>
      <c r="F400" s="11" t="s">
        <v>17</v>
      </c>
      <c r="G400" s="10" t="s">
        <v>24</v>
      </c>
      <c r="H400" s="11" t="s">
        <v>23</v>
      </c>
      <c r="I400" s="11" t="s">
        <v>20</v>
      </c>
      <c r="J400" s="12" t="str">
        <f ca="1">IFERROR(__xludf.DUMMYFUNCTION("FILTER('CLASFICACIÓN'!$F$3:$F2419,'CLASFICACIÓN'!$G$3:$G2419=M400)"),"2023 Y 2024")</f>
        <v>2023 Y 2024</v>
      </c>
      <c r="K400" s="12" t="s">
        <v>2011</v>
      </c>
      <c r="L400" s="11" t="s">
        <v>55</v>
      </c>
      <c r="M400" s="12" t="str">
        <f t="shared" ca="1" si="1"/>
        <v>NUESTRA SEÑORA DE LA CANDELARIA4 Secundaria</v>
      </c>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4"/>
    </row>
    <row r="401" spans="1:36" ht="15.75" customHeight="1" x14ac:dyDescent="0.25">
      <c r="A401" s="9">
        <v>40</v>
      </c>
      <c r="B401" s="10" t="s">
        <v>54</v>
      </c>
      <c r="C401" s="10" t="s">
        <v>41</v>
      </c>
      <c r="D401" s="10" t="s">
        <v>43</v>
      </c>
      <c r="E401" s="11" t="str">
        <f ca="1">IFERROR(__xludf.DUMMYFUNCTION("FILTER(Colegios!$B$2:$B2419,Colegios!$A$2:$A2419=L401)"),"NUESTRA SEÑORA DE LA CANDELARIA")</f>
        <v>NUESTRA SEÑORA DE LA CANDELARIA</v>
      </c>
      <c r="F401" s="11" t="s">
        <v>17</v>
      </c>
      <c r="G401" s="10" t="s">
        <v>18</v>
      </c>
      <c r="H401" s="11" t="s">
        <v>19</v>
      </c>
      <c r="I401" s="11" t="s">
        <v>20</v>
      </c>
      <c r="J401" s="12" t="str">
        <f ca="1">IFERROR(__xludf.DUMMYFUNCTION("FILTER('CLASFICACIÓN'!$F$3:$F2419,'CLASFICACIÓN'!$G$3:$G2419=M401)"),"2023 Y 2024")</f>
        <v>2023 Y 2024</v>
      </c>
      <c r="K401" s="12" t="s">
        <v>2011</v>
      </c>
      <c r="L401" s="11" t="s">
        <v>55</v>
      </c>
      <c r="M401" s="12" t="str">
        <f t="shared" ca="1" si="1"/>
        <v>NUESTRA SEÑORA DE LA CANDELARIA4 Secundaria</v>
      </c>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4"/>
    </row>
    <row r="402" spans="1:36" ht="15.75" customHeight="1" x14ac:dyDescent="0.25">
      <c r="A402" s="9">
        <v>41</v>
      </c>
      <c r="B402" s="10" t="s">
        <v>54</v>
      </c>
      <c r="C402" s="10" t="s">
        <v>41</v>
      </c>
      <c r="D402" s="10" t="s">
        <v>43</v>
      </c>
      <c r="E402" s="11" t="str">
        <f ca="1">IFERROR(__xludf.DUMMYFUNCTION("FILTER(Colegios!$B$2:$B2419,Colegios!$A$2:$A2419=L402)"),"NUESTRA SEÑORA DE LA CANDELARIA")</f>
        <v>NUESTRA SEÑORA DE LA CANDELARIA</v>
      </c>
      <c r="F402" s="11" t="s">
        <v>17</v>
      </c>
      <c r="G402" s="10" t="s">
        <v>18</v>
      </c>
      <c r="H402" s="11" t="s">
        <v>19</v>
      </c>
      <c r="I402" s="11" t="s">
        <v>20</v>
      </c>
      <c r="J402" s="12" t="str">
        <f ca="1">IFERROR(__xludf.DUMMYFUNCTION("FILTER('CLASFICACIÓN'!$F$3:$F2419,'CLASFICACIÓN'!$G$3:$G2419=M402)"),"2023 Y 2024")</f>
        <v>2023 Y 2024</v>
      </c>
      <c r="K402" s="12" t="s">
        <v>2011</v>
      </c>
      <c r="L402" s="11" t="s">
        <v>55</v>
      </c>
      <c r="M402" s="12" t="str">
        <f t="shared" ca="1" si="1"/>
        <v>NUESTRA SEÑORA DE LA CANDELARIA4 Secundaria</v>
      </c>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4"/>
    </row>
    <row r="403" spans="1:36" ht="15.75" customHeight="1" x14ac:dyDescent="0.25">
      <c r="A403" s="9">
        <v>42</v>
      </c>
      <c r="B403" s="10" t="s">
        <v>54</v>
      </c>
      <c r="C403" s="10" t="s">
        <v>41</v>
      </c>
      <c r="D403" s="10" t="s">
        <v>43</v>
      </c>
      <c r="E403" s="11" t="str">
        <f ca="1">IFERROR(__xludf.DUMMYFUNCTION("FILTER(Colegios!$B$2:$B2419,Colegios!$A$2:$A2419=L403)"),"NUESTRA SEÑORA DE LA CANDELARIA")</f>
        <v>NUESTRA SEÑORA DE LA CANDELARIA</v>
      </c>
      <c r="F403" s="11" t="s">
        <v>17</v>
      </c>
      <c r="G403" s="10" t="s">
        <v>18</v>
      </c>
      <c r="H403" s="11" t="s">
        <v>19</v>
      </c>
      <c r="I403" s="11" t="s">
        <v>20</v>
      </c>
      <c r="J403" s="12" t="str">
        <f ca="1">IFERROR(__xludf.DUMMYFUNCTION("FILTER('CLASFICACIÓN'!$F$3:$F2419,'CLASFICACIÓN'!$G$3:$G2419=M403)"),"2023 Y 2024")</f>
        <v>2023 Y 2024</v>
      </c>
      <c r="K403" s="12" t="s">
        <v>2011</v>
      </c>
      <c r="L403" s="11" t="s">
        <v>55</v>
      </c>
      <c r="M403" s="12" t="str">
        <f t="shared" ca="1" si="1"/>
        <v>NUESTRA SEÑORA DE LA CANDELARIA4 Secundaria</v>
      </c>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4"/>
    </row>
    <row r="404" spans="1:36" ht="15.75" customHeight="1" x14ac:dyDescent="0.25">
      <c r="A404" s="9">
        <v>43</v>
      </c>
      <c r="B404" s="10" t="s">
        <v>54</v>
      </c>
      <c r="C404" s="10" t="s">
        <v>41</v>
      </c>
      <c r="D404" s="10" t="s">
        <v>43</v>
      </c>
      <c r="E404" s="11" t="str">
        <f ca="1">IFERROR(__xludf.DUMMYFUNCTION("FILTER(Colegios!$B$2:$B2419,Colegios!$A$2:$A2419=L404)"),"NUESTRA SEÑORA DE LA CANDELARIA")</f>
        <v>NUESTRA SEÑORA DE LA CANDELARIA</v>
      </c>
      <c r="F404" s="11" t="s">
        <v>17</v>
      </c>
      <c r="G404" s="10" t="s">
        <v>18</v>
      </c>
      <c r="H404" s="11" t="s">
        <v>19</v>
      </c>
      <c r="I404" s="11" t="s">
        <v>20</v>
      </c>
      <c r="J404" s="12" t="str">
        <f ca="1">IFERROR(__xludf.DUMMYFUNCTION("FILTER('CLASFICACIÓN'!$F$3:$F2419,'CLASFICACIÓN'!$G$3:$G2419=M404)"),"2023 Y 2024")</f>
        <v>2023 Y 2024</v>
      </c>
      <c r="K404" s="12" t="s">
        <v>2011</v>
      </c>
      <c r="L404" s="11" t="s">
        <v>55</v>
      </c>
      <c r="M404" s="12" t="str">
        <f t="shared" ca="1" si="1"/>
        <v>NUESTRA SEÑORA DE LA CANDELARIA4 Secundaria</v>
      </c>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4"/>
    </row>
    <row r="405" spans="1:36" ht="15.75" customHeight="1" x14ac:dyDescent="0.25">
      <c r="A405" s="9">
        <v>45</v>
      </c>
      <c r="B405" s="10" t="s">
        <v>54</v>
      </c>
      <c r="C405" s="10" t="s">
        <v>41</v>
      </c>
      <c r="D405" s="10" t="s">
        <v>43</v>
      </c>
      <c r="E405" s="11" t="str">
        <f ca="1">IFERROR(__xludf.DUMMYFUNCTION("FILTER(Colegios!$B$2:$B2419,Colegios!$A$2:$A2419=L405)"),"NUESTRA SEÑORA DE LA CANDELARIA")</f>
        <v>NUESTRA SEÑORA DE LA CANDELARIA</v>
      </c>
      <c r="F405" s="11" t="s">
        <v>17</v>
      </c>
      <c r="G405" s="10" t="s">
        <v>24</v>
      </c>
      <c r="H405" s="11" t="s">
        <v>23</v>
      </c>
      <c r="I405" s="11" t="s">
        <v>20</v>
      </c>
      <c r="J405" s="12" t="str">
        <f ca="1">IFERROR(__xludf.DUMMYFUNCTION("FILTER('CLASFICACIÓN'!$F$3:$F2419,'CLASFICACIÓN'!$G$3:$G2419=M405)"),"2023 Y 2024")</f>
        <v>2023 Y 2024</v>
      </c>
      <c r="K405" s="12" t="s">
        <v>2011</v>
      </c>
      <c r="L405" s="11" t="s">
        <v>55</v>
      </c>
      <c r="M405" s="12" t="str">
        <f t="shared" ca="1" si="1"/>
        <v>NUESTRA SEÑORA DE LA CANDELARIA4 Secundaria</v>
      </c>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4"/>
    </row>
    <row r="406" spans="1:36" ht="15.75" customHeight="1" x14ac:dyDescent="0.25">
      <c r="A406" s="9">
        <v>46</v>
      </c>
      <c r="B406" s="10" t="s">
        <v>54</v>
      </c>
      <c r="C406" s="10" t="s">
        <v>41</v>
      </c>
      <c r="D406" s="10" t="s">
        <v>43</v>
      </c>
      <c r="E406" s="11" t="str">
        <f ca="1">IFERROR(__xludf.DUMMYFUNCTION("FILTER(Colegios!$B$2:$B2419,Colegios!$A$2:$A2419=L406)"),"NUESTRA SEÑORA DE LA CANDELARIA")</f>
        <v>NUESTRA SEÑORA DE LA CANDELARIA</v>
      </c>
      <c r="F406" s="11" t="s">
        <v>17</v>
      </c>
      <c r="G406" s="10" t="s">
        <v>18</v>
      </c>
      <c r="H406" s="11" t="s">
        <v>19</v>
      </c>
      <c r="I406" s="11" t="s">
        <v>20</v>
      </c>
      <c r="J406" s="12" t="str">
        <f ca="1">IFERROR(__xludf.DUMMYFUNCTION("FILTER('CLASFICACIÓN'!$F$3:$F2419,'CLASFICACIÓN'!$G$3:$G2419=M406)"),"2023 Y 2024")</f>
        <v>2023 Y 2024</v>
      </c>
      <c r="K406" s="12" t="s">
        <v>2011</v>
      </c>
      <c r="L406" s="11" t="s">
        <v>55</v>
      </c>
      <c r="M406" s="12" t="str">
        <f t="shared" ca="1" si="1"/>
        <v>NUESTRA SEÑORA DE LA CANDELARIA4 Secundaria</v>
      </c>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4"/>
    </row>
    <row r="407" spans="1:36" ht="15.75" customHeight="1" x14ac:dyDescent="0.25">
      <c r="A407" s="9">
        <v>47</v>
      </c>
      <c r="B407" s="10" t="s">
        <v>54</v>
      </c>
      <c r="C407" s="10" t="s">
        <v>41</v>
      </c>
      <c r="D407" s="10" t="s">
        <v>43</v>
      </c>
      <c r="E407" s="11" t="str">
        <f ca="1">IFERROR(__xludf.DUMMYFUNCTION("FILTER(Colegios!$B$2:$B2419,Colegios!$A$2:$A2419=L407)"),"NUESTRA SEÑORA DE LA CANDELARIA")</f>
        <v>NUESTRA SEÑORA DE LA CANDELARIA</v>
      </c>
      <c r="F407" s="11" t="s">
        <v>17</v>
      </c>
      <c r="G407" s="10" t="s">
        <v>24</v>
      </c>
      <c r="H407" s="11" t="s">
        <v>19</v>
      </c>
      <c r="I407" s="11" t="s">
        <v>20</v>
      </c>
      <c r="J407" s="12" t="str">
        <f ca="1">IFERROR(__xludf.DUMMYFUNCTION("FILTER('CLASFICACIÓN'!$F$3:$F2419,'CLASFICACIÓN'!$G$3:$G2419=M407)"),"2023 Y 2024")</f>
        <v>2023 Y 2024</v>
      </c>
      <c r="K407" s="12" t="s">
        <v>2011</v>
      </c>
      <c r="L407" s="11" t="s">
        <v>55</v>
      </c>
      <c r="M407" s="12" t="str">
        <f t="shared" ca="1" si="1"/>
        <v>NUESTRA SEÑORA DE LA CANDELARIA4 Secundaria</v>
      </c>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4"/>
    </row>
    <row r="408" spans="1:36" ht="15.75" customHeight="1" x14ac:dyDescent="0.25">
      <c r="A408" s="9">
        <v>49</v>
      </c>
      <c r="B408" s="10" t="s">
        <v>54</v>
      </c>
      <c r="C408" s="10" t="s">
        <v>41</v>
      </c>
      <c r="D408" s="10" t="s">
        <v>43</v>
      </c>
      <c r="E408" s="11" t="str">
        <f ca="1">IFERROR(__xludf.DUMMYFUNCTION("FILTER(Colegios!$B$2:$B2419,Colegios!$A$2:$A2419=L408)"),"NUESTRA SEÑORA DE LA CANDELARIA")</f>
        <v>NUESTRA SEÑORA DE LA CANDELARIA</v>
      </c>
      <c r="F408" s="11" t="s">
        <v>17</v>
      </c>
      <c r="G408" s="10" t="s">
        <v>24</v>
      </c>
      <c r="H408" s="11" t="s">
        <v>19</v>
      </c>
      <c r="I408" s="11" t="s">
        <v>20</v>
      </c>
      <c r="J408" s="12" t="str">
        <f ca="1">IFERROR(__xludf.DUMMYFUNCTION("FILTER('CLASFICACIÓN'!$F$3:$F2419,'CLASFICACIÓN'!$G$3:$G2419=M408)"),"2023 Y 2024")</f>
        <v>2023 Y 2024</v>
      </c>
      <c r="K408" s="12" t="s">
        <v>2011</v>
      </c>
      <c r="L408" s="11" t="s">
        <v>55</v>
      </c>
      <c r="M408" s="12" t="str">
        <f t="shared" ca="1" si="1"/>
        <v>NUESTRA SEÑORA DE LA CANDELARIA4 Secundaria</v>
      </c>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4"/>
    </row>
    <row r="409" spans="1:36" ht="15.75" customHeight="1" x14ac:dyDescent="0.25">
      <c r="A409" s="9">
        <v>50</v>
      </c>
      <c r="B409" s="10" t="s">
        <v>54</v>
      </c>
      <c r="C409" s="10" t="s">
        <v>41</v>
      </c>
      <c r="D409" s="10" t="s">
        <v>43</v>
      </c>
      <c r="E409" s="11" t="str">
        <f ca="1">IFERROR(__xludf.DUMMYFUNCTION("FILTER(Colegios!$B$2:$B2419,Colegios!$A$2:$A2419=L409)"),"NUESTRA SEÑORA DE LA CANDELARIA")</f>
        <v>NUESTRA SEÑORA DE LA CANDELARIA</v>
      </c>
      <c r="F409" s="11" t="s">
        <v>17</v>
      </c>
      <c r="G409" s="10" t="s">
        <v>18</v>
      </c>
      <c r="H409" s="11" t="s">
        <v>19</v>
      </c>
      <c r="I409" s="11" t="s">
        <v>20</v>
      </c>
      <c r="J409" s="12" t="str">
        <f ca="1">IFERROR(__xludf.DUMMYFUNCTION("FILTER('CLASFICACIÓN'!$F$3:$F2419,'CLASFICACIÓN'!$G$3:$G2419=M409)"),"2023 Y 2024")</f>
        <v>2023 Y 2024</v>
      </c>
      <c r="K409" s="12" t="s">
        <v>2011</v>
      </c>
      <c r="L409" s="11" t="s">
        <v>55</v>
      </c>
      <c r="M409" s="12" t="str">
        <f t="shared" ca="1" si="1"/>
        <v>NUESTRA SEÑORA DE LA CANDELARIA4 Secundaria</v>
      </c>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4"/>
    </row>
    <row r="410" spans="1:36" ht="15.75" customHeight="1" x14ac:dyDescent="0.25">
      <c r="A410" s="9">
        <v>51</v>
      </c>
      <c r="B410" s="10" t="s">
        <v>54</v>
      </c>
      <c r="C410" s="10" t="s">
        <v>41</v>
      </c>
      <c r="D410" s="10" t="s">
        <v>43</v>
      </c>
      <c r="E410" s="11" t="str">
        <f ca="1">IFERROR(__xludf.DUMMYFUNCTION("FILTER(Colegios!$B$2:$B2419,Colegios!$A$2:$A2419=L410)"),"NUESTRA SEÑORA DE LA CANDELARIA")</f>
        <v>NUESTRA SEÑORA DE LA CANDELARIA</v>
      </c>
      <c r="F410" s="11" t="s">
        <v>17</v>
      </c>
      <c r="G410" s="10" t="s">
        <v>24</v>
      </c>
      <c r="H410" s="11" t="s">
        <v>19</v>
      </c>
      <c r="I410" s="11" t="s">
        <v>20</v>
      </c>
      <c r="J410" s="12" t="str">
        <f ca="1">IFERROR(__xludf.DUMMYFUNCTION("FILTER('CLASFICACIÓN'!$F$3:$F2419,'CLASFICACIÓN'!$G$3:$G2419=M410)"),"2023 Y 2024")</f>
        <v>2023 Y 2024</v>
      </c>
      <c r="K410" s="12" t="s">
        <v>2011</v>
      </c>
      <c r="L410" s="11" t="s">
        <v>55</v>
      </c>
      <c r="M410" s="12" t="str">
        <f t="shared" ca="1" si="1"/>
        <v>NUESTRA SEÑORA DE LA CANDELARIA4 Secundaria</v>
      </c>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4"/>
    </row>
    <row r="411" spans="1:36" ht="15.75" customHeight="1" x14ac:dyDescent="0.25">
      <c r="A411" s="9">
        <v>52</v>
      </c>
      <c r="B411" s="10" t="s">
        <v>54</v>
      </c>
      <c r="C411" s="10" t="s">
        <v>41</v>
      </c>
      <c r="D411" s="10" t="s">
        <v>43</v>
      </c>
      <c r="E411" s="11" t="str">
        <f ca="1">IFERROR(__xludf.DUMMYFUNCTION("FILTER(Colegios!$B$2:$B2419,Colegios!$A$2:$A2419=L411)"),"NUESTRA SEÑORA DE LA CANDELARIA")</f>
        <v>NUESTRA SEÑORA DE LA CANDELARIA</v>
      </c>
      <c r="F411" s="11" t="s">
        <v>17</v>
      </c>
      <c r="G411" s="10" t="s">
        <v>18</v>
      </c>
      <c r="H411" s="11" t="s">
        <v>23</v>
      </c>
      <c r="I411" s="11" t="s">
        <v>20</v>
      </c>
      <c r="J411" s="12" t="str">
        <f ca="1">IFERROR(__xludf.DUMMYFUNCTION("FILTER('CLASFICACIÓN'!$F$3:$F2419,'CLASFICACIÓN'!$G$3:$G2419=M411)"),"2023 Y 2024")</f>
        <v>2023 Y 2024</v>
      </c>
      <c r="K411" s="12" t="s">
        <v>2011</v>
      </c>
      <c r="L411" s="11" t="s">
        <v>55</v>
      </c>
      <c r="M411" s="12" t="str">
        <f t="shared" ca="1" si="1"/>
        <v>NUESTRA SEÑORA DE LA CANDELARIA4 Secundaria</v>
      </c>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4"/>
    </row>
    <row r="412" spans="1:36" ht="15.75" customHeight="1" x14ac:dyDescent="0.25">
      <c r="A412" s="9">
        <v>54</v>
      </c>
      <c r="B412" s="10" t="s">
        <v>54</v>
      </c>
      <c r="C412" s="10" t="s">
        <v>41</v>
      </c>
      <c r="D412" s="10" t="s">
        <v>43</v>
      </c>
      <c r="E412" s="11" t="str">
        <f ca="1">IFERROR(__xludf.DUMMYFUNCTION("FILTER(Colegios!$B$2:$B2419,Colegios!$A$2:$A2419=L412)"),"NUESTRA SEÑORA DE LA CANDELARIA")</f>
        <v>NUESTRA SEÑORA DE LA CANDELARIA</v>
      </c>
      <c r="F412" s="11" t="s">
        <v>17</v>
      </c>
      <c r="G412" s="10" t="s">
        <v>24</v>
      </c>
      <c r="H412" s="11" t="s">
        <v>19</v>
      </c>
      <c r="I412" s="11" t="s">
        <v>20</v>
      </c>
      <c r="J412" s="12" t="str">
        <f ca="1">IFERROR(__xludf.DUMMYFUNCTION("FILTER('CLASFICACIÓN'!$F$3:$F2419,'CLASFICACIÓN'!$G$3:$G2419=M412)"),"2023 Y 2024")</f>
        <v>2023 Y 2024</v>
      </c>
      <c r="K412" s="12" t="s">
        <v>2011</v>
      </c>
      <c r="L412" s="11" t="s">
        <v>55</v>
      </c>
      <c r="M412" s="12" t="str">
        <f t="shared" ca="1" si="1"/>
        <v>NUESTRA SEÑORA DE LA CANDELARIA4 Secundaria</v>
      </c>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4"/>
    </row>
    <row r="413" spans="1:36" ht="15.75" customHeight="1" x14ac:dyDescent="0.25">
      <c r="A413" s="9">
        <v>57</v>
      </c>
      <c r="B413" s="10" t="s">
        <v>54</v>
      </c>
      <c r="C413" s="10" t="s">
        <v>41</v>
      </c>
      <c r="D413" s="10" t="s">
        <v>43</v>
      </c>
      <c r="E413" s="11" t="str">
        <f ca="1">IFERROR(__xludf.DUMMYFUNCTION("FILTER(Colegios!$B$2:$B2419,Colegios!$A$2:$A2419=L413)"),"NUESTRA SEÑORA DE LA CANDELARIA")</f>
        <v>NUESTRA SEÑORA DE LA CANDELARIA</v>
      </c>
      <c r="F413" s="11" t="s">
        <v>17</v>
      </c>
      <c r="G413" s="10" t="s">
        <v>24</v>
      </c>
      <c r="H413" s="11" t="s">
        <v>19</v>
      </c>
      <c r="I413" s="11" t="s">
        <v>20</v>
      </c>
      <c r="J413" s="12" t="str">
        <f ca="1">IFERROR(__xludf.DUMMYFUNCTION("FILTER('CLASFICACIÓN'!$F$3:$F2419,'CLASFICACIÓN'!$G$3:$G2419=M413)"),"2023 Y 2024")</f>
        <v>2023 Y 2024</v>
      </c>
      <c r="K413" s="12" t="s">
        <v>2011</v>
      </c>
      <c r="L413" s="11" t="s">
        <v>55</v>
      </c>
      <c r="M413" s="12" t="str">
        <f t="shared" ca="1" si="1"/>
        <v>NUESTRA SEÑORA DE LA CANDELARIA4 Secundaria</v>
      </c>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4"/>
    </row>
    <row r="414" spans="1:36" ht="15.75" customHeight="1" x14ac:dyDescent="0.25">
      <c r="A414" s="9">
        <v>58</v>
      </c>
      <c r="B414" s="10" t="s">
        <v>54</v>
      </c>
      <c r="C414" s="10" t="s">
        <v>41</v>
      </c>
      <c r="D414" s="10" t="s">
        <v>43</v>
      </c>
      <c r="E414" s="11" t="str">
        <f ca="1">IFERROR(__xludf.DUMMYFUNCTION("FILTER(Colegios!$B$2:$B2419,Colegios!$A$2:$A2419=L414)"),"NUESTRA SEÑORA DE LA CANDELARIA")</f>
        <v>NUESTRA SEÑORA DE LA CANDELARIA</v>
      </c>
      <c r="F414" s="11" t="s">
        <v>17</v>
      </c>
      <c r="G414" s="10" t="s">
        <v>24</v>
      </c>
      <c r="H414" s="11" t="s">
        <v>23</v>
      </c>
      <c r="I414" s="11" t="s">
        <v>20</v>
      </c>
      <c r="J414" s="12" t="str">
        <f ca="1">IFERROR(__xludf.DUMMYFUNCTION("FILTER('CLASFICACIÓN'!$F$3:$F2419,'CLASFICACIÓN'!$G$3:$G2419=M414)"),"2023 Y 2024")</f>
        <v>2023 Y 2024</v>
      </c>
      <c r="K414" s="12" t="s">
        <v>2011</v>
      </c>
      <c r="L414" s="11" t="s">
        <v>55</v>
      </c>
      <c r="M414" s="12" t="str">
        <f t="shared" ca="1" si="1"/>
        <v>NUESTRA SEÑORA DE LA CANDELARIA4 Secundaria</v>
      </c>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4"/>
    </row>
    <row r="415" spans="1:36" ht="15.75" customHeight="1" x14ac:dyDescent="0.25">
      <c r="A415" s="9">
        <v>61</v>
      </c>
      <c r="B415" s="10" t="s">
        <v>54</v>
      </c>
      <c r="C415" s="10" t="s">
        <v>41</v>
      </c>
      <c r="D415" s="10" t="s">
        <v>43</v>
      </c>
      <c r="E415" s="11" t="str">
        <f ca="1">IFERROR(__xludf.DUMMYFUNCTION("FILTER(Colegios!$B$2:$B2419,Colegios!$A$2:$A2419=L415)"),"NUESTRA SEÑORA DE LA CANDELARIA")</f>
        <v>NUESTRA SEÑORA DE LA CANDELARIA</v>
      </c>
      <c r="F415" s="11" t="s">
        <v>17</v>
      </c>
      <c r="G415" s="10" t="s">
        <v>24</v>
      </c>
      <c r="H415" s="11" t="s">
        <v>19</v>
      </c>
      <c r="I415" s="11" t="s">
        <v>20</v>
      </c>
      <c r="J415" s="12" t="str">
        <f ca="1">IFERROR(__xludf.DUMMYFUNCTION("FILTER('CLASFICACIÓN'!$F$3:$F2419,'CLASFICACIÓN'!$G$3:$G2419=M415)"),"2023 Y 2024")</f>
        <v>2023 Y 2024</v>
      </c>
      <c r="K415" s="12" t="s">
        <v>2011</v>
      </c>
      <c r="L415" s="11" t="s">
        <v>55</v>
      </c>
      <c r="M415" s="12" t="str">
        <f t="shared" ca="1" si="1"/>
        <v>NUESTRA SEÑORA DE LA CANDELARIA4 Secundaria</v>
      </c>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4"/>
    </row>
    <row r="416" spans="1:36" ht="15.75" customHeight="1" x14ac:dyDescent="0.25">
      <c r="A416" s="9">
        <v>62</v>
      </c>
      <c r="B416" s="10" t="s">
        <v>54</v>
      </c>
      <c r="C416" s="10" t="s">
        <v>41</v>
      </c>
      <c r="D416" s="10" t="s">
        <v>43</v>
      </c>
      <c r="E416" s="11" t="str">
        <f ca="1">IFERROR(__xludf.DUMMYFUNCTION("FILTER(Colegios!$B$2:$B2419,Colegios!$A$2:$A2419=L416)"),"NUESTRA SEÑORA DE LA CANDELARIA")</f>
        <v>NUESTRA SEÑORA DE LA CANDELARIA</v>
      </c>
      <c r="F416" s="11" t="s">
        <v>17</v>
      </c>
      <c r="G416" s="10" t="s">
        <v>24</v>
      </c>
      <c r="H416" s="11" t="s">
        <v>19</v>
      </c>
      <c r="I416" s="11" t="s">
        <v>20</v>
      </c>
      <c r="J416" s="12" t="str">
        <f ca="1">IFERROR(__xludf.DUMMYFUNCTION("FILTER('CLASFICACIÓN'!$F$3:$F2419,'CLASFICACIÓN'!$G$3:$G2419=M416)"),"2023 Y 2024")</f>
        <v>2023 Y 2024</v>
      </c>
      <c r="K416" s="12" t="s">
        <v>2011</v>
      </c>
      <c r="L416" s="11" t="s">
        <v>55</v>
      </c>
      <c r="M416" s="12" t="str">
        <f t="shared" ca="1" si="1"/>
        <v>NUESTRA SEÑORA DE LA CANDELARIA4 Secundaria</v>
      </c>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4"/>
    </row>
    <row r="417" spans="1:36" ht="15.75" customHeight="1" x14ac:dyDescent="0.25">
      <c r="A417" s="9">
        <v>63</v>
      </c>
      <c r="B417" s="10" t="s">
        <v>54</v>
      </c>
      <c r="C417" s="10" t="s">
        <v>41</v>
      </c>
      <c r="D417" s="10" t="s">
        <v>43</v>
      </c>
      <c r="E417" s="11" t="str">
        <f ca="1">IFERROR(__xludf.DUMMYFUNCTION("FILTER(Colegios!$B$2:$B2419,Colegios!$A$2:$A2419=L417)"),"NUESTRA SEÑORA DE LA CANDELARIA")</f>
        <v>NUESTRA SEÑORA DE LA CANDELARIA</v>
      </c>
      <c r="F417" s="11" t="s">
        <v>17</v>
      </c>
      <c r="G417" s="10" t="s">
        <v>24</v>
      </c>
      <c r="H417" s="11" t="s">
        <v>19</v>
      </c>
      <c r="I417" s="11" t="s">
        <v>20</v>
      </c>
      <c r="J417" s="12" t="str">
        <f ca="1">IFERROR(__xludf.DUMMYFUNCTION("FILTER('CLASFICACIÓN'!$F$3:$F2419,'CLASFICACIÓN'!$G$3:$G2419=M417)"),"2023 Y 2024")</f>
        <v>2023 Y 2024</v>
      </c>
      <c r="K417" s="12" t="s">
        <v>2011</v>
      </c>
      <c r="L417" s="11" t="s">
        <v>55</v>
      </c>
      <c r="M417" s="12" t="str">
        <f t="shared" ca="1" si="1"/>
        <v>NUESTRA SEÑORA DE LA CANDELARIA4 Secundaria</v>
      </c>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4"/>
    </row>
    <row r="418" spans="1:36" ht="15.75" customHeight="1" x14ac:dyDescent="0.25">
      <c r="A418" s="9">
        <v>64</v>
      </c>
      <c r="B418" s="10" t="s">
        <v>54</v>
      </c>
      <c r="C418" s="10" t="s">
        <v>41</v>
      </c>
      <c r="D418" s="10" t="s">
        <v>43</v>
      </c>
      <c r="E418" s="11" t="str">
        <f ca="1">IFERROR(__xludf.DUMMYFUNCTION("FILTER(Colegios!$B$2:$B2419,Colegios!$A$2:$A2419=L418)"),"NUESTRA SEÑORA DE LA CANDELARIA")</f>
        <v>NUESTRA SEÑORA DE LA CANDELARIA</v>
      </c>
      <c r="F418" s="11" t="s">
        <v>17</v>
      </c>
      <c r="G418" s="10" t="s">
        <v>24</v>
      </c>
      <c r="H418" s="11" t="s">
        <v>19</v>
      </c>
      <c r="I418" s="11" t="s">
        <v>20</v>
      </c>
      <c r="J418" s="12" t="str">
        <f ca="1">IFERROR(__xludf.DUMMYFUNCTION("FILTER('CLASFICACIÓN'!$F$3:$F2419,'CLASFICACIÓN'!$G$3:$G2419=M418)"),"2023 Y 2024")</f>
        <v>2023 Y 2024</v>
      </c>
      <c r="K418" s="12" t="s">
        <v>2011</v>
      </c>
      <c r="L418" s="11" t="s">
        <v>55</v>
      </c>
      <c r="M418" s="12" t="str">
        <f t="shared" ca="1" si="1"/>
        <v>NUESTRA SEÑORA DE LA CANDELARIA4 Secundaria</v>
      </c>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4"/>
    </row>
    <row r="419" spans="1:36" ht="15.75" customHeight="1" x14ac:dyDescent="0.25">
      <c r="A419" s="9">
        <v>65</v>
      </c>
      <c r="B419" s="10" t="s">
        <v>54</v>
      </c>
      <c r="C419" s="10" t="s">
        <v>41</v>
      </c>
      <c r="D419" s="10" t="s">
        <v>43</v>
      </c>
      <c r="E419" s="11" t="str">
        <f ca="1">IFERROR(__xludf.DUMMYFUNCTION("FILTER(Colegios!$B$2:$B2419,Colegios!$A$2:$A2419=L419)"),"NUESTRA SEÑORA DE LA CANDELARIA")</f>
        <v>NUESTRA SEÑORA DE LA CANDELARIA</v>
      </c>
      <c r="F419" s="11" t="s">
        <v>17</v>
      </c>
      <c r="G419" s="10" t="s">
        <v>24</v>
      </c>
      <c r="H419" s="11" t="s">
        <v>19</v>
      </c>
      <c r="I419" s="11" t="s">
        <v>20</v>
      </c>
      <c r="J419" s="12" t="str">
        <f ca="1">IFERROR(__xludf.DUMMYFUNCTION("FILTER('CLASFICACIÓN'!$F$3:$F2419,'CLASFICACIÓN'!$G$3:$G2419=M419)"),"2023 Y 2024")</f>
        <v>2023 Y 2024</v>
      </c>
      <c r="K419" s="12" t="s">
        <v>2011</v>
      </c>
      <c r="L419" s="11" t="s">
        <v>55</v>
      </c>
      <c r="M419" s="12" t="str">
        <f t="shared" ca="1" si="1"/>
        <v>NUESTRA SEÑORA DE LA CANDELARIA4 Secundaria</v>
      </c>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4"/>
    </row>
    <row r="420" spans="1:36" ht="15.75" customHeight="1" x14ac:dyDescent="0.25">
      <c r="A420" s="9">
        <v>1</v>
      </c>
      <c r="B420" s="10" t="s">
        <v>54</v>
      </c>
      <c r="C420" s="10" t="s">
        <v>15</v>
      </c>
      <c r="D420" s="10" t="s">
        <v>45</v>
      </c>
      <c r="E420" s="11" t="str">
        <f ca="1">IFERROR(__xludf.DUMMYFUNCTION("FILTER(Colegios!$B$2:$B2419,Colegios!$A$2:$A2419=L420)"),"36789 NUESTRA SEÑORA DEL CARMEN")</f>
        <v>36789 NUESTRA SEÑORA DEL CARMEN</v>
      </c>
      <c r="F420" s="11" t="s">
        <v>17</v>
      </c>
      <c r="G420" s="10" t="s">
        <v>18</v>
      </c>
      <c r="H420" s="11" t="s">
        <v>19</v>
      </c>
      <c r="I420" s="11" t="s">
        <v>20</v>
      </c>
      <c r="J420" s="12" t="str">
        <f ca="1">IFERROR(__xludf.DUMMYFUNCTION("FILTER('CLASFICACIÓN'!$F$3:$F2419,'CLASFICACIÓN'!$G$3:$G2419=M420)"),"SOLO 2024")</f>
        <v>SOLO 2024</v>
      </c>
      <c r="K420" s="12" t="s">
        <v>2014</v>
      </c>
      <c r="L420" s="11" t="s">
        <v>56</v>
      </c>
      <c r="M420" s="12" t="str">
        <f t="shared" ca="1" si="1"/>
        <v>36789 NUESTRA SEÑORA DEL CARMEN2 Primaria</v>
      </c>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4"/>
    </row>
    <row r="421" spans="1:36" ht="15.75" customHeight="1" x14ac:dyDescent="0.25">
      <c r="A421" s="9">
        <v>2</v>
      </c>
      <c r="B421" s="10" t="s">
        <v>54</v>
      </c>
      <c r="C421" s="10" t="s">
        <v>15</v>
      </c>
      <c r="D421" s="10" t="s">
        <v>45</v>
      </c>
      <c r="E421" s="11" t="str">
        <f ca="1">IFERROR(__xludf.DUMMYFUNCTION("FILTER(Colegios!$B$2:$B2419,Colegios!$A$2:$A2419=L421)"),"36789 NUESTRA SEÑORA DEL CARMEN")</f>
        <v>36789 NUESTRA SEÑORA DEL CARMEN</v>
      </c>
      <c r="F421" s="11" t="s">
        <v>17</v>
      </c>
      <c r="G421" s="10" t="s">
        <v>24</v>
      </c>
      <c r="H421" s="11" t="s">
        <v>19</v>
      </c>
      <c r="I421" s="11" t="s">
        <v>20</v>
      </c>
      <c r="J421" s="12" t="str">
        <f ca="1">IFERROR(__xludf.DUMMYFUNCTION("FILTER('CLASFICACIÓN'!$F$3:$F2419,'CLASFICACIÓN'!$G$3:$G2419=M421)"),"SOLO 2024")</f>
        <v>SOLO 2024</v>
      </c>
      <c r="K421" s="12" t="s">
        <v>2014</v>
      </c>
      <c r="L421" s="11" t="s">
        <v>56</v>
      </c>
      <c r="M421" s="12" t="str">
        <f t="shared" ca="1" si="1"/>
        <v>36789 NUESTRA SEÑORA DEL CARMEN2 Primaria</v>
      </c>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4"/>
    </row>
    <row r="422" spans="1:36" ht="15.75" customHeight="1" x14ac:dyDescent="0.25">
      <c r="A422" s="9">
        <v>3</v>
      </c>
      <c r="B422" s="10" t="s">
        <v>54</v>
      </c>
      <c r="C422" s="10" t="s">
        <v>15</v>
      </c>
      <c r="D422" s="10" t="s">
        <v>16</v>
      </c>
      <c r="E422" s="11" t="str">
        <f ca="1">IFERROR(__xludf.DUMMYFUNCTION("FILTER(Colegios!$B$2:$B2419,Colegios!$A$2:$A2419=L422)"),"36789 NUESTRA SEÑORA DEL CARMEN")</f>
        <v>36789 NUESTRA SEÑORA DEL CARMEN</v>
      </c>
      <c r="F422" s="11" t="s">
        <v>17</v>
      </c>
      <c r="G422" s="10" t="s">
        <v>24</v>
      </c>
      <c r="H422" s="11" t="s">
        <v>19</v>
      </c>
      <c r="I422" s="11" t="s">
        <v>20</v>
      </c>
      <c r="J422" s="12" t="str">
        <f ca="1">IFERROR(__xludf.DUMMYFUNCTION("FILTER('CLASFICACIÓN'!$F$3:$F2419,'CLASFICACIÓN'!$G$3:$G2419=M422)"),"SOLO 2024")</f>
        <v>SOLO 2024</v>
      </c>
      <c r="K422" s="12" t="s">
        <v>2014</v>
      </c>
      <c r="L422" s="11" t="s">
        <v>56</v>
      </c>
      <c r="M422" s="12" t="str">
        <f t="shared" ca="1" si="1"/>
        <v>36789 NUESTRA SEÑORA DEL CARMEN4 Primaria</v>
      </c>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4"/>
    </row>
    <row r="423" spans="1:36" ht="15.75" customHeight="1" x14ac:dyDescent="0.25">
      <c r="A423" s="9">
        <v>4</v>
      </c>
      <c r="B423" s="10" t="s">
        <v>54</v>
      </c>
      <c r="C423" s="10" t="s">
        <v>15</v>
      </c>
      <c r="D423" s="10" t="s">
        <v>37</v>
      </c>
      <c r="E423" s="11" t="str">
        <f ca="1">IFERROR(__xludf.DUMMYFUNCTION("FILTER(Colegios!$B$2:$B2419,Colegios!$A$2:$A2419=L423)"),"36789 NUESTRA SEÑORA DEL CARMEN")</f>
        <v>36789 NUESTRA SEÑORA DEL CARMEN</v>
      </c>
      <c r="F423" s="11" t="s">
        <v>17</v>
      </c>
      <c r="G423" s="10" t="s">
        <v>18</v>
      </c>
      <c r="H423" s="11" t="s">
        <v>19</v>
      </c>
      <c r="I423" s="11" t="s">
        <v>20</v>
      </c>
      <c r="J423" s="12" t="str">
        <f ca="1">IFERROR(__xludf.DUMMYFUNCTION("FILTER('CLASFICACIÓN'!$F$3:$F2419,'CLASFICACIÓN'!$G$3:$G2419=M423)"),"SOLO 2024")</f>
        <v>SOLO 2024</v>
      </c>
      <c r="K423" s="12" t="s">
        <v>2014</v>
      </c>
      <c r="L423" s="11" t="s">
        <v>56</v>
      </c>
      <c r="M423" s="12" t="str">
        <f t="shared" ca="1" si="1"/>
        <v>36789 NUESTRA SEÑORA DEL CARMEN6 Primaria</v>
      </c>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4"/>
    </row>
    <row r="424" spans="1:36" ht="15.75" customHeight="1" x14ac:dyDescent="0.25">
      <c r="A424" s="9">
        <v>5</v>
      </c>
      <c r="B424" s="10" t="s">
        <v>54</v>
      </c>
      <c r="C424" s="10" t="s">
        <v>15</v>
      </c>
      <c r="D424" s="10" t="s">
        <v>37</v>
      </c>
      <c r="E424" s="11" t="str">
        <f ca="1">IFERROR(__xludf.DUMMYFUNCTION("FILTER(Colegios!$B$2:$B2419,Colegios!$A$2:$A2419=L424)"),"36789 NUESTRA SEÑORA DEL CARMEN")</f>
        <v>36789 NUESTRA SEÑORA DEL CARMEN</v>
      </c>
      <c r="F424" s="11" t="s">
        <v>17</v>
      </c>
      <c r="G424" s="10" t="s">
        <v>18</v>
      </c>
      <c r="H424" s="11" t="s">
        <v>19</v>
      </c>
      <c r="I424" s="11" t="s">
        <v>20</v>
      </c>
      <c r="J424" s="12" t="str">
        <f ca="1">IFERROR(__xludf.DUMMYFUNCTION("FILTER('CLASFICACIÓN'!$F$3:$F2419,'CLASFICACIÓN'!$G$3:$G2419=M424)"),"SOLO 2024")</f>
        <v>SOLO 2024</v>
      </c>
      <c r="K424" s="12" t="s">
        <v>2014</v>
      </c>
      <c r="L424" s="11" t="s">
        <v>56</v>
      </c>
      <c r="M424" s="12" t="str">
        <f t="shared" ca="1" si="1"/>
        <v>36789 NUESTRA SEÑORA DEL CARMEN6 Primaria</v>
      </c>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4"/>
    </row>
    <row r="425" spans="1:36" ht="15.75" customHeight="1" x14ac:dyDescent="0.25">
      <c r="A425" s="9">
        <v>6</v>
      </c>
      <c r="B425" s="10" t="s">
        <v>54</v>
      </c>
      <c r="C425" s="10" t="s">
        <v>15</v>
      </c>
      <c r="D425" s="10" t="s">
        <v>37</v>
      </c>
      <c r="E425" s="11" t="str">
        <f ca="1">IFERROR(__xludf.DUMMYFUNCTION("FILTER(Colegios!$B$2:$B2419,Colegios!$A$2:$A2419=L425)"),"36789 NUESTRA SEÑORA DEL CARMEN")</f>
        <v>36789 NUESTRA SEÑORA DEL CARMEN</v>
      </c>
      <c r="F425" s="11" t="s">
        <v>17</v>
      </c>
      <c r="G425" s="10" t="s">
        <v>18</v>
      </c>
      <c r="H425" s="11" t="s">
        <v>19</v>
      </c>
      <c r="I425" s="11" t="s">
        <v>20</v>
      </c>
      <c r="J425" s="12" t="str">
        <f ca="1">IFERROR(__xludf.DUMMYFUNCTION("FILTER('CLASFICACIÓN'!$F$3:$F2419,'CLASFICACIÓN'!$G$3:$G2419=M425)"),"SOLO 2024")</f>
        <v>SOLO 2024</v>
      </c>
      <c r="K425" s="12" t="s">
        <v>2014</v>
      </c>
      <c r="L425" s="11" t="s">
        <v>56</v>
      </c>
      <c r="M425" s="12" t="str">
        <f t="shared" ca="1" si="1"/>
        <v>36789 NUESTRA SEÑORA DEL CARMEN6 Primaria</v>
      </c>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4"/>
    </row>
    <row r="426" spans="1:36" ht="15.75" customHeight="1" x14ac:dyDescent="0.25">
      <c r="A426" s="9">
        <v>7</v>
      </c>
      <c r="B426" s="10" t="s">
        <v>54</v>
      </c>
      <c r="C426" s="10" t="s">
        <v>15</v>
      </c>
      <c r="D426" s="10" t="s">
        <v>37</v>
      </c>
      <c r="E426" s="11" t="str">
        <f ca="1">IFERROR(__xludf.DUMMYFUNCTION("FILTER(Colegios!$B$2:$B2419,Colegios!$A$2:$A2419=L426)"),"36789 NUESTRA SEÑORA DEL CARMEN")</f>
        <v>36789 NUESTRA SEÑORA DEL CARMEN</v>
      </c>
      <c r="F426" s="11" t="s">
        <v>17</v>
      </c>
      <c r="G426" s="10" t="s">
        <v>18</v>
      </c>
      <c r="H426" s="11" t="s">
        <v>19</v>
      </c>
      <c r="I426" s="11" t="s">
        <v>20</v>
      </c>
      <c r="J426" s="12" t="str">
        <f ca="1">IFERROR(__xludf.DUMMYFUNCTION("FILTER('CLASFICACIÓN'!$F$3:$F2419,'CLASFICACIÓN'!$G$3:$G2419=M426)"),"SOLO 2024")</f>
        <v>SOLO 2024</v>
      </c>
      <c r="K426" s="12" t="s">
        <v>2014</v>
      </c>
      <c r="L426" s="11" t="s">
        <v>56</v>
      </c>
      <c r="M426" s="12" t="str">
        <f t="shared" ca="1" si="1"/>
        <v>36789 NUESTRA SEÑORA DEL CARMEN6 Primaria</v>
      </c>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4"/>
    </row>
    <row r="427" spans="1:36" ht="15.75" customHeight="1" x14ac:dyDescent="0.25">
      <c r="A427" s="9">
        <v>9</v>
      </c>
      <c r="B427" s="10" t="s">
        <v>54</v>
      </c>
      <c r="C427" s="10" t="s">
        <v>15</v>
      </c>
      <c r="D427" s="10" t="s">
        <v>45</v>
      </c>
      <c r="E427" s="11" t="str">
        <f ca="1">IFERROR(__xludf.DUMMYFUNCTION("FILTER(Colegios!$B$2:$B2419,Colegios!$A$2:$A2419=L427)"),"36207")</f>
        <v>36207</v>
      </c>
      <c r="F427" s="11" t="s">
        <v>17</v>
      </c>
      <c r="G427" s="10" t="s">
        <v>24</v>
      </c>
      <c r="H427" s="11" t="s">
        <v>23</v>
      </c>
      <c r="I427" s="11" t="s">
        <v>20</v>
      </c>
      <c r="J427" s="12" t="str">
        <f ca="1">IFERROR(__xludf.DUMMYFUNCTION("FILTER('CLASFICACIÓN'!$F$3:$F2419,'CLASFICACIÓN'!$G$3:$G2419=M427)"),"SOLO 2022 Y 2024")</f>
        <v>SOLO 2022 Y 2024</v>
      </c>
      <c r="K427" s="12" t="s">
        <v>2011</v>
      </c>
      <c r="L427" s="11" t="s">
        <v>57</v>
      </c>
      <c r="M427" s="12" t="str">
        <f t="shared" ca="1" si="1"/>
        <v>362072 Primaria</v>
      </c>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4"/>
    </row>
    <row r="428" spans="1:36" ht="15.75" customHeight="1" x14ac:dyDescent="0.25">
      <c r="A428" s="9">
        <v>10</v>
      </c>
      <c r="B428" s="10" t="s">
        <v>54</v>
      </c>
      <c r="C428" s="10" t="s">
        <v>15</v>
      </c>
      <c r="D428" s="10" t="s">
        <v>45</v>
      </c>
      <c r="E428" s="11" t="str">
        <f ca="1">IFERROR(__xludf.DUMMYFUNCTION("FILTER(Colegios!$B$2:$B2419,Colegios!$A$2:$A2419=L428)"),"36207")</f>
        <v>36207</v>
      </c>
      <c r="F428" s="11" t="s">
        <v>17</v>
      </c>
      <c r="G428" s="10" t="s">
        <v>18</v>
      </c>
      <c r="H428" s="11" t="s">
        <v>19</v>
      </c>
      <c r="I428" s="11" t="s">
        <v>20</v>
      </c>
      <c r="J428" s="12" t="str">
        <f ca="1">IFERROR(__xludf.DUMMYFUNCTION("FILTER('CLASFICACIÓN'!$F$3:$F2419,'CLASFICACIÓN'!$G$3:$G2419=M428)"),"SOLO 2022 Y 2024")</f>
        <v>SOLO 2022 Y 2024</v>
      </c>
      <c r="K428" s="12" t="s">
        <v>2011</v>
      </c>
      <c r="L428" s="11" t="s">
        <v>57</v>
      </c>
      <c r="M428" s="12" t="str">
        <f t="shared" ca="1" si="1"/>
        <v>362072 Primaria</v>
      </c>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4"/>
    </row>
    <row r="429" spans="1:36" ht="15.75" customHeight="1" x14ac:dyDescent="0.25">
      <c r="A429" s="9">
        <v>11</v>
      </c>
      <c r="B429" s="10" t="s">
        <v>54</v>
      </c>
      <c r="C429" s="10" t="s">
        <v>15</v>
      </c>
      <c r="D429" s="10" t="s">
        <v>45</v>
      </c>
      <c r="E429" s="11" t="str">
        <f ca="1">IFERROR(__xludf.DUMMYFUNCTION("FILTER(Colegios!$B$2:$B2419,Colegios!$A$2:$A2419=L429)"),"36207")</f>
        <v>36207</v>
      </c>
      <c r="F429" s="11" t="s">
        <v>17</v>
      </c>
      <c r="G429" s="10" t="s">
        <v>24</v>
      </c>
      <c r="H429" s="11" t="s">
        <v>23</v>
      </c>
      <c r="I429" s="11" t="s">
        <v>20</v>
      </c>
      <c r="J429" s="12" t="str">
        <f ca="1">IFERROR(__xludf.DUMMYFUNCTION("FILTER('CLASFICACIÓN'!$F$3:$F2419,'CLASFICACIÓN'!$G$3:$G2419=M429)"),"SOLO 2022 Y 2024")</f>
        <v>SOLO 2022 Y 2024</v>
      </c>
      <c r="K429" s="12" t="s">
        <v>2011</v>
      </c>
      <c r="L429" s="11" t="s">
        <v>57</v>
      </c>
      <c r="M429" s="12" t="str">
        <f t="shared" ca="1" si="1"/>
        <v>362072 Primaria</v>
      </c>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4"/>
    </row>
    <row r="430" spans="1:36" ht="15.75" customHeight="1" x14ac:dyDescent="0.25">
      <c r="A430" s="9">
        <v>12</v>
      </c>
      <c r="B430" s="10" t="s">
        <v>54</v>
      </c>
      <c r="C430" s="10" t="s">
        <v>15</v>
      </c>
      <c r="D430" s="10" t="s">
        <v>45</v>
      </c>
      <c r="E430" s="11" t="str">
        <f ca="1">IFERROR(__xludf.DUMMYFUNCTION("FILTER(Colegios!$B$2:$B2419,Colegios!$A$2:$A2419=L430)"),"36207")</f>
        <v>36207</v>
      </c>
      <c r="F430" s="11" t="s">
        <v>17</v>
      </c>
      <c r="G430" s="10" t="s">
        <v>18</v>
      </c>
      <c r="H430" s="11" t="s">
        <v>23</v>
      </c>
      <c r="I430" s="11" t="s">
        <v>20</v>
      </c>
      <c r="J430" s="12" t="str">
        <f ca="1">IFERROR(__xludf.DUMMYFUNCTION("FILTER('CLASFICACIÓN'!$F$3:$F2419,'CLASFICACIÓN'!$G$3:$G2419=M430)"),"SOLO 2022 Y 2024")</f>
        <v>SOLO 2022 Y 2024</v>
      </c>
      <c r="K430" s="12" t="s">
        <v>2011</v>
      </c>
      <c r="L430" s="11" t="s">
        <v>57</v>
      </c>
      <c r="M430" s="12" t="str">
        <f t="shared" ca="1" si="1"/>
        <v>362072 Primaria</v>
      </c>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4"/>
    </row>
    <row r="431" spans="1:36" ht="15.75" customHeight="1" x14ac:dyDescent="0.25">
      <c r="A431" s="9">
        <v>13</v>
      </c>
      <c r="B431" s="10" t="s">
        <v>54</v>
      </c>
      <c r="C431" s="10" t="s">
        <v>15</v>
      </c>
      <c r="D431" s="10" t="s">
        <v>45</v>
      </c>
      <c r="E431" s="11" t="str">
        <f ca="1">IFERROR(__xludf.DUMMYFUNCTION("FILTER(Colegios!$B$2:$B2419,Colegios!$A$2:$A2419=L431)"),"36207")</f>
        <v>36207</v>
      </c>
      <c r="F431" s="11" t="s">
        <v>17</v>
      </c>
      <c r="G431" s="10" t="s">
        <v>24</v>
      </c>
      <c r="H431" s="11" t="s">
        <v>23</v>
      </c>
      <c r="I431" s="11" t="s">
        <v>20</v>
      </c>
      <c r="J431" s="12" t="str">
        <f ca="1">IFERROR(__xludf.DUMMYFUNCTION("FILTER('CLASFICACIÓN'!$F$3:$F2419,'CLASFICACIÓN'!$G$3:$G2419=M431)"),"SOLO 2022 Y 2024")</f>
        <v>SOLO 2022 Y 2024</v>
      </c>
      <c r="K431" s="12" t="s">
        <v>2011</v>
      </c>
      <c r="L431" s="11" t="s">
        <v>57</v>
      </c>
      <c r="M431" s="12" t="str">
        <f t="shared" ca="1" si="1"/>
        <v>362072 Primaria</v>
      </c>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4"/>
    </row>
    <row r="432" spans="1:36" ht="15.75" customHeight="1" x14ac:dyDescent="0.25">
      <c r="A432" s="9">
        <v>14</v>
      </c>
      <c r="B432" s="10" t="s">
        <v>54</v>
      </c>
      <c r="C432" s="10" t="s">
        <v>15</v>
      </c>
      <c r="D432" s="10" t="s">
        <v>45</v>
      </c>
      <c r="E432" s="11" t="str">
        <f ca="1">IFERROR(__xludf.DUMMYFUNCTION("FILTER(Colegios!$B$2:$B2419,Colegios!$A$2:$A2419=L432)"),"36207")</f>
        <v>36207</v>
      </c>
      <c r="F432" s="11" t="s">
        <v>17</v>
      </c>
      <c r="G432" s="10" t="s">
        <v>18</v>
      </c>
      <c r="H432" s="11" t="s">
        <v>19</v>
      </c>
      <c r="I432" s="11" t="s">
        <v>20</v>
      </c>
      <c r="J432" s="12" t="str">
        <f ca="1">IFERROR(__xludf.DUMMYFUNCTION("FILTER('CLASFICACIÓN'!$F$3:$F2419,'CLASFICACIÓN'!$G$3:$G2419=M432)"),"SOLO 2022 Y 2024")</f>
        <v>SOLO 2022 Y 2024</v>
      </c>
      <c r="K432" s="12" t="s">
        <v>2011</v>
      </c>
      <c r="L432" s="11" t="s">
        <v>57</v>
      </c>
      <c r="M432" s="12" t="str">
        <f t="shared" ca="1" si="1"/>
        <v>362072 Primaria</v>
      </c>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4"/>
    </row>
    <row r="433" spans="1:36" ht="15.75" customHeight="1" x14ac:dyDescent="0.25">
      <c r="A433" s="9">
        <v>15</v>
      </c>
      <c r="B433" s="10" t="s">
        <v>54</v>
      </c>
      <c r="C433" s="10" t="s">
        <v>15</v>
      </c>
      <c r="D433" s="10" t="s">
        <v>45</v>
      </c>
      <c r="E433" s="11" t="str">
        <f ca="1">IFERROR(__xludf.DUMMYFUNCTION("FILTER(Colegios!$B$2:$B2419,Colegios!$A$2:$A2419=L433)"),"36207")</f>
        <v>36207</v>
      </c>
      <c r="F433" s="11" t="s">
        <v>17</v>
      </c>
      <c r="G433" s="10" t="s">
        <v>18</v>
      </c>
      <c r="H433" s="11" t="s">
        <v>19</v>
      </c>
      <c r="I433" s="11" t="s">
        <v>20</v>
      </c>
      <c r="J433" s="12" t="str">
        <f ca="1">IFERROR(__xludf.DUMMYFUNCTION("FILTER('CLASFICACIÓN'!$F$3:$F2419,'CLASFICACIÓN'!$G$3:$G2419=M433)"),"SOLO 2022 Y 2024")</f>
        <v>SOLO 2022 Y 2024</v>
      </c>
      <c r="K433" s="12" t="s">
        <v>2011</v>
      </c>
      <c r="L433" s="11" t="s">
        <v>57</v>
      </c>
      <c r="M433" s="12" t="str">
        <f t="shared" ca="1" si="1"/>
        <v>362072 Primaria</v>
      </c>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4"/>
    </row>
    <row r="434" spans="1:36" ht="15.75" customHeight="1" x14ac:dyDescent="0.25">
      <c r="A434" s="9">
        <v>16</v>
      </c>
      <c r="B434" s="10" t="s">
        <v>54</v>
      </c>
      <c r="C434" s="10" t="s">
        <v>15</v>
      </c>
      <c r="D434" s="10" t="s">
        <v>45</v>
      </c>
      <c r="E434" s="11" t="str">
        <f ca="1">IFERROR(__xludf.DUMMYFUNCTION("FILTER(Colegios!$B$2:$B2419,Colegios!$A$2:$A2419=L434)"),"36207")</f>
        <v>36207</v>
      </c>
      <c r="F434" s="11" t="s">
        <v>17</v>
      </c>
      <c r="G434" s="10" t="s">
        <v>18</v>
      </c>
      <c r="H434" s="11" t="s">
        <v>19</v>
      </c>
      <c r="I434" s="11" t="s">
        <v>20</v>
      </c>
      <c r="J434" s="12" t="str">
        <f ca="1">IFERROR(__xludf.DUMMYFUNCTION("FILTER('CLASFICACIÓN'!$F$3:$F2419,'CLASFICACIÓN'!$G$3:$G2419=M434)"),"SOLO 2022 Y 2024")</f>
        <v>SOLO 2022 Y 2024</v>
      </c>
      <c r="K434" s="12" t="s">
        <v>2011</v>
      </c>
      <c r="L434" s="11" t="s">
        <v>57</v>
      </c>
      <c r="M434" s="12" t="str">
        <f t="shared" ca="1" si="1"/>
        <v>362072 Primaria</v>
      </c>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4"/>
    </row>
    <row r="435" spans="1:36" ht="15.75" customHeight="1" x14ac:dyDescent="0.25">
      <c r="A435" s="9">
        <v>17</v>
      </c>
      <c r="B435" s="10" t="s">
        <v>54</v>
      </c>
      <c r="C435" s="10" t="s">
        <v>15</v>
      </c>
      <c r="D435" s="10" t="s">
        <v>16</v>
      </c>
      <c r="E435" s="11" t="str">
        <f ca="1">IFERROR(__xludf.DUMMYFUNCTION("FILTER(Colegios!$B$2:$B2419,Colegios!$A$2:$A2419=L435)"),"36207")</f>
        <v>36207</v>
      </c>
      <c r="F435" s="11" t="s">
        <v>17</v>
      </c>
      <c r="G435" s="10" t="s">
        <v>24</v>
      </c>
      <c r="H435" s="11" t="s">
        <v>23</v>
      </c>
      <c r="I435" s="11" t="s">
        <v>20</v>
      </c>
      <c r="J435" s="12" t="str">
        <f ca="1">IFERROR(__xludf.DUMMYFUNCTION("FILTER('CLASFICACIÓN'!$F$3:$F2419,'CLASFICACIÓN'!$G$3:$G2419=M435)"),"SOLO 2022 Y 2024")</f>
        <v>SOLO 2022 Y 2024</v>
      </c>
      <c r="K435" s="12" t="s">
        <v>2011</v>
      </c>
      <c r="L435" s="11" t="s">
        <v>57</v>
      </c>
      <c r="M435" s="12" t="str">
        <f t="shared" ca="1" si="1"/>
        <v>362074 Primaria</v>
      </c>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4"/>
    </row>
    <row r="436" spans="1:36" ht="15.75" customHeight="1" x14ac:dyDescent="0.25">
      <c r="A436" s="9">
        <v>18</v>
      </c>
      <c r="B436" s="10" t="s">
        <v>54</v>
      </c>
      <c r="C436" s="10" t="s">
        <v>15</v>
      </c>
      <c r="D436" s="10" t="s">
        <v>16</v>
      </c>
      <c r="E436" s="11" t="str">
        <f ca="1">IFERROR(__xludf.DUMMYFUNCTION("FILTER(Colegios!$B$2:$B2419,Colegios!$A$2:$A2419=L436)"),"36207")</f>
        <v>36207</v>
      </c>
      <c r="F436" s="11" t="s">
        <v>17</v>
      </c>
      <c r="G436" s="10" t="s">
        <v>18</v>
      </c>
      <c r="H436" s="11" t="s">
        <v>25</v>
      </c>
      <c r="I436" s="11" t="s">
        <v>20</v>
      </c>
      <c r="J436" s="12" t="str">
        <f ca="1">IFERROR(__xludf.DUMMYFUNCTION("FILTER('CLASFICACIÓN'!$F$3:$F2419,'CLASFICACIÓN'!$G$3:$G2419=M436)"),"SOLO 2022 Y 2024")</f>
        <v>SOLO 2022 Y 2024</v>
      </c>
      <c r="K436" s="12" t="s">
        <v>2011</v>
      </c>
      <c r="L436" s="11" t="s">
        <v>57</v>
      </c>
      <c r="M436" s="12" t="str">
        <f t="shared" ca="1" si="1"/>
        <v>362074 Primaria</v>
      </c>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4"/>
    </row>
    <row r="437" spans="1:36" ht="15.75" customHeight="1" x14ac:dyDescent="0.25">
      <c r="A437" s="9">
        <v>19</v>
      </c>
      <c r="B437" s="10" t="s">
        <v>54</v>
      </c>
      <c r="C437" s="10" t="s">
        <v>15</v>
      </c>
      <c r="D437" s="10" t="s">
        <v>16</v>
      </c>
      <c r="E437" s="11" t="str">
        <f ca="1">IFERROR(__xludf.DUMMYFUNCTION("FILTER(Colegios!$B$2:$B2419,Colegios!$A$2:$A2419=L437)"),"36207")</f>
        <v>36207</v>
      </c>
      <c r="F437" s="11" t="s">
        <v>17</v>
      </c>
      <c r="G437" s="10" t="s">
        <v>24</v>
      </c>
      <c r="H437" s="11" t="s">
        <v>23</v>
      </c>
      <c r="I437" s="11" t="s">
        <v>20</v>
      </c>
      <c r="J437" s="12" t="str">
        <f ca="1">IFERROR(__xludf.DUMMYFUNCTION("FILTER('CLASFICACIÓN'!$F$3:$F2419,'CLASFICACIÓN'!$G$3:$G2419=M437)"),"SOLO 2022 Y 2024")</f>
        <v>SOLO 2022 Y 2024</v>
      </c>
      <c r="K437" s="12" t="s">
        <v>2011</v>
      </c>
      <c r="L437" s="11" t="s">
        <v>57</v>
      </c>
      <c r="M437" s="12" t="str">
        <f t="shared" ca="1" si="1"/>
        <v>362074 Primaria</v>
      </c>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4"/>
    </row>
    <row r="438" spans="1:36" ht="15.75" customHeight="1" x14ac:dyDescent="0.25">
      <c r="A438" s="9">
        <v>20</v>
      </c>
      <c r="B438" s="10" t="s">
        <v>54</v>
      </c>
      <c r="C438" s="10" t="s">
        <v>15</v>
      </c>
      <c r="D438" s="10" t="s">
        <v>16</v>
      </c>
      <c r="E438" s="11" t="str">
        <f ca="1">IFERROR(__xludf.DUMMYFUNCTION("FILTER(Colegios!$B$2:$B2419,Colegios!$A$2:$A2419=L438)"),"36207")</f>
        <v>36207</v>
      </c>
      <c r="F438" s="11" t="s">
        <v>17</v>
      </c>
      <c r="G438" s="10" t="s">
        <v>24</v>
      </c>
      <c r="H438" s="11" t="s">
        <v>23</v>
      </c>
      <c r="I438" s="11" t="s">
        <v>20</v>
      </c>
      <c r="J438" s="12" t="str">
        <f ca="1">IFERROR(__xludf.DUMMYFUNCTION("FILTER('CLASFICACIÓN'!$F$3:$F2419,'CLASFICACIÓN'!$G$3:$G2419=M438)"),"SOLO 2022 Y 2024")</f>
        <v>SOLO 2022 Y 2024</v>
      </c>
      <c r="K438" s="12" t="s">
        <v>2011</v>
      </c>
      <c r="L438" s="11" t="s">
        <v>57</v>
      </c>
      <c r="M438" s="12" t="str">
        <f t="shared" ca="1" si="1"/>
        <v>362074 Primaria</v>
      </c>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4"/>
    </row>
    <row r="439" spans="1:36" ht="15.75" customHeight="1" x14ac:dyDescent="0.25">
      <c r="A439" s="9">
        <v>21</v>
      </c>
      <c r="B439" s="10" t="s">
        <v>54</v>
      </c>
      <c r="C439" s="10" t="s">
        <v>15</v>
      </c>
      <c r="D439" s="10" t="s">
        <v>37</v>
      </c>
      <c r="E439" s="11" t="str">
        <f ca="1">IFERROR(__xludf.DUMMYFUNCTION("FILTER(Colegios!$B$2:$B2419,Colegios!$A$2:$A2419=L439)"),"36207")</f>
        <v>36207</v>
      </c>
      <c r="F439" s="11" t="s">
        <v>17</v>
      </c>
      <c r="G439" s="10" t="s">
        <v>24</v>
      </c>
      <c r="H439" s="11" t="s">
        <v>23</v>
      </c>
      <c r="I439" s="11" t="s">
        <v>20</v>
      </c>
      <c r="J439" s="12" t="str">
        <f ca="1">IFERROR(__xludf.DUMMYFUNCTION("FILTER('CLASFICACIÓN'!$F$3:$F2419,'CLASFICACIÓN'!$G$3:$G2419=M439)"),"SOLO 2022 Y 2024")</f>
        <v>SOLO 2022 Y 2024</v>
      </c>
      <c r="K439" s="12" t="s">
        <v>2011</v>
      </c>
      <c r="L439" s="11" t="s">
        <v>57</v>
      </c>
      <c r="M439" s="12" t="str">
        <f t="shared" ca="1" si="1"/>
        <v>362076 Primaria</v>
      </c>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4"/>
    </row>
    <row r="440" spans="1:36" ht="15.75" customHeight="1" x14ac:dyDescent="0.25">
      <c r="A440" s="9">
        <v>22</v>
      </c>
      <c r="B440" s="10" t="s">
        <v>54</v>
      </c>
      <c r="C440" s="10" t="s">
        <v>15</v>
      </c>
      <c r="D440" s="10" t="s">
        <v>37</v>
      </c>
      <c r="E440" s="11" t="str">
        <f ca="1">IFERROR(__xludf.DUMMYFUNCTION("FILTER(Colegios!$B$2:$B2419,Colegios!$A$2:$A2419=L440)"),"36207")</f>
        <v>36207</v>
      </c>
      <c r="F440" s="11" t="s">
        <v>17</v>
      </c>
      <c r="G440" s="10" t="s">
        <v>24</v>
      </c>
      <c r="H440" s="11" t="s">
        <v>25</v>
      </c>
      <c r="I440" s="11" t="s">
        <v>20</v>
      </c>
      <c r="J440" s="12" t="str">
        <f ca="1">IFERROR(__xludf.DUMMYFUNCTION("FILTER('CLASFICACIÓN'!$F$3:$F2419,'CLASFICACIÓN'!$G$3:$G2419=M440)"),"SOLO 2022 Y 2024")</f>
        <v>SOLO 2022 Y 2024</v>
      </c>
      <c r="K440" s="12" t="s">
        <v>2011</v>
      </c>
      <c r="L440" s="11" t="s">
        <v>57</v>
      </c>
      <c r="M440" s="12" t="str">
        <f t="shared" ca="1" si="1"/>
        <v>362076 Primaria</v>
      </c>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4"/>
    </row>
    <row r="441" spans="1:36" ht="15.75" customHeight="1" x14ac:dyDescent="0.25">
      <c r="A441" s="9">
        <v>23</v>
      </c>
      <c r="B441" s="10" t="s">
        <v>54</v>
      </c>
      <c r="C441" s="10" t="s">
        <v>15</v>
      </c>
      <c r="D441" s="10" t="s">
        <v>37</v>
      </c>
      <c r="E441" s="11" t="str">
        <f ca="1">IFERROR(__xludf.DUMMYFUNCTION("FILTER(Colegios!$B$2:$B2419,Colegios!$A$2:$A2419=L441)"),"36207")</f>
        <v>36207</v>
      </c>
      <c r="F441" s="11" t="s">
        <v>17</v>
      </c>
      <c r="G441" s="10" t="s">
        <v>18</v>
      </c>
      <c r="H441" s="11" t="s">
        <v>25</v>
      </c>
      <c r="I441" s="11" t="s">
        <v>20</v>
      </c>
      <c r="J441" s="12" t="str">
        <f ca="1">IFERROR(__xludf.DUMMYFUNCTION("FILTER('CLASFICACIÓN'!$F$3:$F2419,'CLASFICACIÓN'!$G$3:$G2419=M441)"),"SOLO 2022 Y 2024")</f>
        <v>SOLO 2022 Y 2024</v>
      </c>
      <c r="K441" s="12" t="s">
        <v>2011</v>
      </c>
      <c r="L441" s="11" t="s">
        <v>57</v>
      </c>
      <c r="M441" s="12" t="str">
        <f t="shared" ca="1" si="1"/>
        <v>362076 Primaria</v>
      </c>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4"/>
    </row>
    <row r="442" spans="1:36" ht="15.75" customHeight="1" x14ac:dyDescent="0.25">
      <c r="A442" s="9">
        <v>24</v>
      </c>
      <c r="B442" s="10" t="s">
        <v>54</v>
      </c>
      <c r="C442" s="10" t="s">
        <v>15</v>
      </c>
      <c r="D442" s="10" t="s">
        <v>37</v>
      </c>
      <c r="E442" s="11" t="str">
        <f ca="1">IFERROR(__xludf.DUMMYFUNCTION("FILTER(Colegios!$B$2:$B2419,Colegios!$A$2:$A2419=L442)"),"36207")</f>
        <v>36207</v>
      </c>
      <c r="F442" s="11" t="s">
        <v>17</v>
      </c>
      <c r="G442" s="10" t="s">
        <v>24</v>
      </c>
      <c r="H442" s="11" t="s">
        <v>25</v>
      </c>
      <c r="I442" s="11" t="s">
        <v>20</v>
      </c>
      <c r="J442" s="12" t="str">
        <f ca="1">IFERROR(__xludf.DUMMYFUNCTION("FILTER('CLASFICACIÓN'!$F$3:$F2419,'CLASFICACIÓN'!$G$3:$G2419=M442)"),"SOLO 2022 Y 2024")</f>
        <v>SOLO 2022 Y 2024</v>
      </c>
      <c r="K442" s="12" t="s">
        <v>2011</v>
      </c>
      <c r="L442" s="11" t="s">
        <v>57</v>
      </c>
      <c r="M442" s="12" t="str">
        <f t="shared" ca="1" si="1"/>
        <v>362076 Primaria</v>
      </c>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4"/>
    </row>
    <row r="443" spans="1:36" ht="15.75" customHeight="1" x14ac:dyDescent="0.25">
      <c r="A443" s="9">
        <v>1</v>
      </c>
      <c r="B443" s="10" t="s">
        <v>54</v>
      </c>
      <c r="C443" s="10" t="s">
        <v>41</v>
      </c>
      <c r="D443" s="10" t="s">
        <v>42</v>
      </c>
      <c r="E443" s="11" t="str">
        <f ca="1">IFERROR(__xludf.DUMMYFUNCTION("FILTER(Colegios!$B$2:$B2419,Colegios!$A$2:$A2419=L443)"),"CORAS")</f>
        <v>CORAS</v>
      </c>
      <c r="F443" s="11" t="s">
        <v>17</v>
      </c>
      <c r="G443" s="10" t="s">
        <v>18</v>
      </c>
      <c r="H443" s="11" t="s">
        <v>23</v>
      </c>
      <c r="I443" s="11" t="s">
        <v>20</v>
      </c>
      <c r="J443" s="12" t="str">
        <f ca="1">IFERROR(__xludf.DUMMYFUNCTION("FILTER('CLASFICACIÓN'!$F$3:$F2419,'CLASFICACIÓN'!$G$3:$G2419=M443)"),"SOLO 2024")</f>
        <v>SOLO 2024</v>
      </c>
      <c r="K443" s="12" t="s">
        <v>2011</v>
      </c>
      <c r="L443" s="11" t="s">
        <v>58</v>
      </c>
      <c r="M443" s="12" t="str">
        <f t="shared" ca="1" si="1"/>
        <v>CORAS2 Secundaria</v>
      </c>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4"/>
    </row>
    <row r="444" spans="1:36" ht="15.75" customHeight="1" x14ac:dyDescent="0.25">
      <c r="A444" s="9">
        <v>2</v>
      </c>
      <c r="B444" s="10" t="s">
        <v>54</v>
      </c>
      <c r="C444" s="10" t="s">
        <v>41</v>
      </c>
      <c r="D444" s="10" t="s">
        <v>42</v>
      </c>
      <c r="E444" s="11" t="str">
        <f ca="1">IFERROR(__xludf.DUMMYFUNCTION("FILTER(Colegios!$B$2:$B2419,Colegios!$A$2:$A2419=L444)"),"CORAS")</f>
        <v>CORAS</v>
      </c>
      <c r="F444" s="11" t="s">
        <v>17</v>
      </c>
      <c r="G444" s="10" t="s">
        <v>24</v>
      </c>
      <c r="H444" s="11" t="s">
        <v>19</v>
      </c>
      <c r="I444" s="11" t="s">
        <v>20</v>
      </c>
      <c r="J444" s="12" t="str">
        <f ca="1">IFERROR(__xludf.DUMMYFUNCTION("FILTER('CLASFICACIÓN'!$F$3:$F2419,'CLASFICACIÓN'!$G$3:$G2419=M444)"),"SOLO 2024")</f>
        <v>SOLO 2024</v>
      </c>
      <c r="K444" s="12" t="s">
        <v>2011</v>
      </c>
      <c r="L444" s="11" t="s">
        <v>58</v>
      </c>
      <c r="M444" s="12" t="str">
        <f t="shared" ca="1" si="1"/>
        <v>CORAS2 Secundaria</v>
      </c>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4"/>
    </row>
    <row r="445" spans="1:36" ht="15.75" customHeight="1" x14ac:dyDescent="0.25">
      <c r="A445" s="9">
        <v>3</v>
      </c>
      <c r="B445" s="10" t="s">
        <v>54</v>
      </c>
      <c r="C445" s="10" t="s">
        <v>41</v>
      </c>
      <c r="D445" s="10" t="s">
        <v>42</v>
      </c>
      <c r="E445" s="11" t="str">
        <f ca="1">IFERROR(__xludf.DUMMYFUNCTION("FILTER(Colegios!$B$2:$B2419,Colegios!$A$2:$A2419=L445)"),"CORAS")</f>
        <v>CORAS</v>
      </c>
      <c r="F445" s="11" t="s">
        <v>17</v>
      </c>
      <c r="G445" s="10" t="s">
        <v>24</v>
      </c>
      <c r="H445" s="11" t="s">
        <v>19</v>
      </c>
      <c r="I445" s="11" t="s">
        <v>20</v>
      </c>
      <c r="J445" s="12" t="str">
        <f ca="1">IFERROR(__xludf.DUMMYFUNCTION("FILTER('CLASFICACIÓN'!$F$3:$F2419,'CLASFICACIÓN'!$G$3:$G2419=M445)"),"SOLO 2024")</f>
        <v>SOLO 2024</v>
      </c>
      <c r="K445" s="12" t="s">
        <v>2011</v>
      </c>
      <c r="L445" s="11" t="s">
        <v>58</v>
      </c>
      <c r="M445" s="12" t="str">
        <f t="shared" ca="1" si="1"/>
        <v>CORAS2 Secundaria</v>
      </c>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4"/>
    </row>
    <row r="446" spans="1:36" ht="15.75" customHeight="1" x14ac:dyDescent="0.25">
      <c r="A446" s="9">
        <v>4</v>
      </c>
      <c r="B446" s="10" t="s">
        <v>54</v>
      </c>
      <c r="C446" s="10" t="s">
        <v>41</v>
      </c>
      <c r="D446" s="10" t="s">
        <v>42</v>
      </c>
      <c r="E446" s="11" t="str">
        <f ca="1">IFERROR(__xludf.DUMMYFUNCTION("FILTER(Colegios!$B$2:$B2419,Colegios!$A$2:$A2419=L446)"),"CORAS")</f>
        <v>CORAS</v>
      </c>
      <c r="F446" s="11" t="s">
        <v>17</v>
      </c>
      <c r="G446" s="10" t="s">
        <v>18</v>
      </c>
      <c r="H446" s="11" t="s">
        <v>19</v>
      </c>
      <c r="I446" s="11" t="s">
        <v>20</v>
      </c>
      <c r="J446" s="12" t="str">
        <f ca="1">IFERROR(__xludf.DUMMYFUNCTION("FILTER('CLASFICACIÓN'!$F$3:$F2419,'CLASFICACIÓN'!$G$3:$G2419=M446)"),"SOLO 2024")</f>
        <v>SOLO 2024</v>
      </c>
      <c r="K446" s="12" t="s">
        <v>2011</v>
      </c>
      <c r="L446" s="11" t="s">
        <v>58</v>
      </c>
      <c r="M446" s="12" t="str">
        <f t="shared" ca="1" si="1"/>
        <v>CORAS2 Secundaria</v>
      </c>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4"/>
    </row>
    <row r="447" spans="1:36" ht="15.75" customHeight="1" x14ac:dyDescent="0.25">
      <c r="A447" s="9">
        <v>5</v>
      </c>
      <c r="B447" s="10" t="s">
        <v>54</v>
      </c>
      <c r="C447" s="10" t="s">
        <v>41</v>
      </c>
      <c r="D447" s="10" t="s">
        <v>42</v>
      </c>
      <c r="E447" s="11" t="str">
        <f ca="1">IFERROR(__xludf.DUMMYFUNCTION("FILTER(Colegios!$B$2:$B2419,Colegios!$A$2:$A2419=L447)"),"CORAS")</f>
        <v>CORAS</v>
      </c>
      <c r="F447" s="11" t="s">
        <v>17</v>
      </c>
      <c r="G447" s="10" t="s">
        <v>24</v>
      </c>
      <c r="H447" s="11" t="s">
        <v>19</v>
      </c>
      <c r="I447" s="11" t="s">
        <v>20</v>
      </c>
      <c r="J447" s="12" t="str">
        <f ca="1">IFERROR(__xludf.DUMMYFUNCTION("FILTER('CLASFICACIÓN'!$F$3:$F2419,'CLASFICACIÓN'!$G$3:$G2419=M447)"),"SOLO 2024")</f>
        <v>SOLO 2024</v>
      </c>
      <c r="K447" s="12" t="s">
        <v>2011</v>
      </c>
      <c r="L447" s="11" t="s">
        <v>58</v>
      </c>
      <c r="M447" s="12" t="str">
        <f t="shared" ca="1" si="1"/>
        <v>CORAS2 Secundaria</v>
      </c>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4"/>
    </row>
    <row r="448" spans="1:36" ht="15.75" customHeight="1" x14ac:dyDescent="0.25">
      <c r="A448" s="9">
        <v>6</v>
      </c>
      <c r="B448" s="10" t="s">
        <v>54</v>
      </c>
      <c r="C448" s="10" t="s">
        <v>41</v>
      </c>
      <c r="D448" s="10" t="s">
        <v>42</v>
      </c>
      <c r="E448" s="11" t="str">
        <f ca="1">IFERROR(__xludf.DUMMYFUNCTION("FILTER(Colegios!$B$2:$B2419,Colegios!$A$2:$A2419=L448)"),"CORAS")</f>
        <v>CORAS</v>
      </c>
      <c r="F448" s="11" t="s">
        <v>17</v>
      </c>
      <c r="G448" s="10" t="s">
        <v>18</v>
      </c>
      <c r="H448" s="11" t="s">
        <v>19</v>
      </c>
      <c r="I448" s="11" t="s">
        <v>20</v>
      </c>
      <c r="J448" s="12" t="str">
        <f ca="1">IFERROR(__xludf.DUMMYFUNCTION("FILTER('CLASFICACIÓN'!$F$3:$F2419,'CLASFICACIÓN'!$G$3:$G2419=M448)"),"SOLO 2024")</f>
        <v>SOLO 2024</v>
      </c>
      <c r="K448" s="12" t="s">
        <v>2011</v>
      </c>
      <c r="L448" s="11" t="s">
        <v>58</v>
      </c>
      <c r="M448" s="12" t="str">
        <f t="shared" ca="1" si="1"/>
        <v>CORAS2 Secundaria</v>
      </c>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4"/>
    </row>
    <row r="449" spans="1:36" ht="15.75" customHeight="1" x14ac:dyDescent="0.25">
      <c r="A449" s="9">
        <v>7</v>
      </c>
      <c r="B449" s="10" t="s">
        <v>54</v>
      </c>
      <c r="C449" s="10" t="s">
        <v>41</v>
      </c>
      <c r="D449" s="10" t="s">
        <v>42</v>
      </c>
      <c r="E449" s="11" t="str">
        <f ca="1">IFERROR(__xludf.DUMMYFUNCTION("FILTER(Colegios!$B$2:$B2419,Colegios!$A$2:$A2419=L449)"),"CORAS")</f>
        <v>CORAS</v>
      </c>
      <c r="F449" s="11" t="s">
        <v>17</v>
      </c>
      <c r="G449" s="10" t="s">
        <v>24</v>
      </c>
      <c r="H449" s="11" t="s">
        <v>19</v>
      </c>
      <c r="I449" s="11" t="s">
        <v>20</v>
      </c>
      <c r="J449" s="12" t="str">
        <f ca="1">IFERROR(__xludf.DUMMYFUNCTION("FILTER('CLASFICACIÓN'!$F$3:$F2419,'CLASFICACIÓN'!$G$3:$G2419=M449)"),"SOLO 2024")</f>
        <v>SOLO 2024</v>
      </c>
      <c r="K449" s="12" t="s">
        <v>2011</v>
      </c>
      <c r="L449" s="11" t="s">
        <v>58</v>
      </c>
      <c r="M449" s="12" t="str">
        <f t="shared" ca="1" si="1"/>
        <v>CORAS2 Secundaria</v>
      </c>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4"/>
    </row>
    <row r="450" spans="1:36" ht="15.75" customHeight="1" x14ac:dyDescent="0.25">
      <c r="A450" s="9">
        <v>8</v>
      </c>
      <c r="B450" s="10" t="s">
        <v>54</v>
      </c>
      <c r="C450" s="10" t="s">
        <v>41</v>
      </c>
      <c r="D450" s="10" t="s">
        <v>42</v>
      </c>
      <c r="E450" s="11" t="str">
        <f ca="1">IFERROR(__xludf.DUMMYFUNCTION("FILTER(Colegios!$B$2:$B2419,Colegios!$A$2:$A2419=L450)"),"CORAS")</f>
        <v>CORAS</v>
      </c>
      <c r="F450" s="11" t="s">
        <v>17</v>
      </c>
      <c r="G450" s="10" t="s">
        <v>18</v>
      </c>
      <c r="H450" s="11" t="s">
        <v>19</v>
      </c>
      <c r="I450" s="11" t="s">
        <v>20</v>
      </c>
      <c r="J450" s="12" t="str">
        <f ca="1">IFERROR(__xludf.DUMMYFUNCTION("FILTER('CLASFICACIÓN'!$F$3:$F2419,'CLASFICACIÓN'!$G$3:$G2419=M450)"),"SOLO 2024")</f>
        <v>SOLO 2024</v>
      </c>
      <c r="K450" s="12" t="s">
        <v>2011</v>
      </c>
      <c r="L450" s="11" t="s">
        <v>58</v>
      </c>
      <c r="M450" s="12" t="str">
        <f t="shared" ca="1" si="1"/>
        <v>CORAS2 Secundaria</v>
      </c>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4"/>
    </row>
    <row r="451" spans="1:36" ht="15.75" customHeight="1" x14ac:dyDescent="0.25">
      <c r="A451" s="9">
        <v>9</v>
      </c>
      <c r="B451" s="10" t="s">
        <v>54</v>
      </c>
      <c r="C451" s="10" t="s">
        <v>41</v>
      </c>
      <c r="D451" s="10" t="s">
        <v>42</v>
      </c>
      <c r="E451" s="11" t="str">
        <f ca="1">IFERROR(__xludf.DUMMYFUNCTION("FILTER(Colegios!$B$2:$B2419,Colegios!$A$2:$A2419=L451)"),"CORAS")</f>
        <v>CORAS</v>
      </c>
      <c r="F451" s="11" t="s">
        <v>17</v>
      </c>
      <c r="G451" s="10" t="s">
        <v>18</v>
      </c>
      <c r="H451" s="11" t="s">
        <v>19</v>
      </c>
      <c r="I451" s="11" t="s">
        <v>20</v>
      </c>
      <c r="J451" s="12" t="str">
        <f ca="1">IFERROR(__xludf.DUMMYFUNCTION("FILTER('CLASFICACIÓN'!$F$3:$F2419,'CLASFICACIÓN'!$G$3:$G2419=M451)"),"SOLO 2024")</f>
        <v>SOLO 2024</v>
      </c>
      <c r="K451" s="12" t="s">
        <v>2011</v>
      </c>
      <c r="L451" s="11" t="s">
        <v>58</v>
      </c>
      <c r="M451" s="12" t="str">
        <f t="shared" ca="1" si="1"/>
        <v>CORAS2 Secundaria</v>
      </c>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4"/>
    </row>
    <row r="452" spans="1:36" ht="15.75" customHeight="1" x14ac:dyDescent="0.25">
      <c r="A452" s="9">
        <v>10</v>
      </c>
      <c r="B452" s="10" t="s">
        <v>54</v>
      </c>
      <c r="C452" s="10" t="s">
        <v>41</v>
      </c>
      <c r="D452" s="10" t="s">
        <v>42</v>
      </c>
      <c r="E452" s="11" t="str">
        <f ca="1">IFERROR(__xludf.DUMMYFUNCTION("FILTER(Colegios!$B$2:$B2419,Colegios!$A$2:$A2419=L452)"),"CORAS")</f>
        <v>CORAS</v>
      </c>
      <c r="F452" s="11" t="s">
        <v>17</v>
      </c>
      <c r="G452" s="10" t="s">
        <v>24</v>
      </c>
      <c r="H452" s="11" t="s">
        <v>19</v>
      </c>
      <c r="I452" s="11" t="s">
        <v>20</v>
      </c>
      <c r="J452" s="12" t="str">
        <f ca="1">IFERROR(__xludf.DUMMYFUNCTION("FILTER('CLASFICACIÓN'!$F$3:$F2419,'CLASFICACIÓN'!$G$3:$G2419=M452)"),"SOLO 2024")</f>
        <v>SOLO 2024</v>
      </c>
      <c r="K452" s="12" t="s">
        <v>2011</v>
      </c>
      <c r="L452" s="11" t="s">
        <v>58</v>
      </c>
      <c r="M452" s="12" t="str">
        <f t="shared" ca="1" si="1"/>
        <v>CORAS2 Secundaria</v>
      </c>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4"/>
    </row>
    <row r="453" spans="1:36" ht="15.75" customHeight="1" x14ac:dyDescent="0.25">
      <c r="A453" s="9">
        <v>11</v>
      </c>
      <c r="B453" s="10" t="s">
        <v>54</v>
      </c>
      <c r="C453" s="10" t="s">
        <v>41</v>
      </c>
      <c r="D453" s="10" t="s">
        <v>42</v>
      </c>
      <c r="E453" s="11" t="str">
        <f ca="1">IFERROR(__xludf.DUMMYFUNCTION("FILTER(Colegios!$B$2:$B2419,Colegios!$A$2:$A2419=L453)"),"CORAS")</f>
        <v>CORAS</v>
      </c>
      <c r="F453" s="11" t="s">
        <v>17</v>
      </c>
      <c r="G453" s="10" t="s">
        <v>18</v>
      </c>
      <c r="H453" s="11" t="s">
        <v>19</v>
      </c>
      <c r="I453" s="11" t="s">
        <v>20</v>
      </c>
      <c r="J453" s="12" t="str">
        <f ca="1">IFERROR(__xludf.DUMMYFUNCTION("FILTER('CLASFICACIÓN'!$F$3:$F2419,'CLASFICACIÓN'!$G$3:$G2419=M453)"),"SOLO 2024")</f>
        <v>SOLO 2024</v>
      </c>
      <c r="K453" s="12" t="s">
        <v>2011</v>
      </c>
      <c r="L453" s="11" t="s">
        <v>58</v>
      </c>
      <c r="M453" s="12" t="str">
        <f t="shared" ca="1" si="1"/>
        <v>CORAS2 Secundaria</v>
      </c>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4"/>
    </row>
    <row r="454" spans="1:36" ht="15.75" customHeight="1" x14ac:dyDescent="0.25">
      <c r="A454" s="9">
        <v>12</v>
      </c>
      <c r="B454" s="10" t="s">
        <v>54</v>
      </c>
      <c r="C454" s="10" t="s">
        <v>41</v>
      </c>
      <c r="D454" s="10" t="s">
        <v>42</v>
      </c>
      <c r="E454" s="11" t="str">
        <f ca="1">IFERROR(__xludf.DUMMYFUNCTION("FILTER(Colegios!$B$2:$B2419,Colegios!$A$2:$A2419=L454)"),"CORAS")</f>
        <v>CORAS</v>
      </c>
      <c r="F454" s="11" t="s">
        <v>17</v>
      </c>
      <c r="G454" s="10" t="s">
        <v>24</v>
      </c>
      <c r="H454" s="11" t="s">
        <v>19</v>
      </c>
      <c r="I454" s="11" t="s">
        <v>20</v>
      </c>
      <c r="J454" s="12" t="str">
        <f ca="1">IFERROR(__xludf.DUMMYFUNCTION("FILTER('CLASFICACIÓN'!$F$3:$F2419,'CLASFICACIÓN'!$G$3:$G2419=M454)"),"SOLO 2024")</f>
        <v>SOLO 2024</v>
      </c>
      <c r="K454" s="12" t="s">
        <v>2011</v>
      </c>
      <c r="L454" s="11" t="s">
        <v>58</v>
      </c>
      <c r="M454" s="12" t="str">
        <f t="shared" ca="1" si="1"/>
        <v>CORAS2 Secundaria</v>
      </c>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4"/>
    </row>
    <row r="455" spans="1:36" ht="15.75" customHeight="1" x14ac:dyDescent="0.25">
      <c r="A455" s="9">
        <v>13</v>
      </c>
      <c r="B455" s="10" t="s">
        <v>54</v>
      </c>
      <c r="C455" s="10" t="s">
        <v>41</v>
      </c>
      <c r="D455" s="10" t="s">
        <v>42</v>
      </c>
      <c r="E455" s="11" t="str">
        <f ca="1">IFERROR(__xludf.DUMMYFUNCTION("FILTER(Colegios!$B$2:$B2419,Colegios!$A$2:$A2419=L455)"),"CORAS")</f>
        <v>CORAS</v>
      </c>
      <c r="F455" s="11" t="s">
        <v>17</v>
      </c>
      <c r="G455" s="10" t="s">
        <v>24</v>
      </c>
      <c r="H455" s="11" t="s">
        <v>19</v>
      </c>
      <c r="I455" s="11" t="s">
        <v>20</v>
      </c>
      <c r="J455" s="12" t="str">
        <f ca="1">IFERROR(__xludf.DUMMYFUNCTION("FILTER('CLASFICACIÓN'!$F$3:$F2419,'CLASFICACIÓN'!$G$3:$G2419=M455)"),"SOLO 2024")</f>
        <v>SOLO 2024</v>
      </c>
      <c r="K455" s="12" t="s">
        <v>2011</v>
      </c>
      <c r="L455" s="11" t="s">
        <v>58</v>
      </c>
      <c r="M455" s="12" t="str">
        <f t="shared" ca="1" si="1"/>
        <v>CORAS2 Secundaria</v>
      </c>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4"/>
    </row>
    <row r="456" spans="1:36" ht="15.75" customHeight="1" x14ac:dyDescent="0.25">
      <c r="A456" s="9">
        <v>14</v>
      </c>
      <c r="B456" s="10" t="s">
        <v>54</v>
      </c>
      <c r="C456" s="10" t="s">
        <v>41</v>
      </c>
      <c r="D456" s="10" t="s">
        <v>42</v>
      </c>
      <c r="E456" s="11" t="str">
        <f ca="1">IFERROR(__xludf.DUMMYFUNCTION("FILTER(Colegios!$B$2:$B2419,Colegios!$A$2:$A2419=L456)"),"CORAS")</f>
        <v>CORAS</v>
      </c>
      <c r="F456" s="11" t="s">
        <v>17</v>
      </c>
      <c r="G456" s="10" t="s">
        <v>24</v>
      </c>
      <c r="H456" s="11" t="s">
        <v>19</v>
      </c>
      <c r="I456" s="11" t="s">
        <v>20</v>
      </c>
      <c r="J456" s="12" t="str">
        <f ca="1">IFERROR(__xludf.DUMMYFUNCTION("FILTER('CLASFICACIÓN'!$F$3:$F2419,'CLASFICACIÓN'!$G$3:$G2419=M456)"),"SOLO 2024")</f>
        <v>SOLO 2024</v>
      </c>
      <c r="K456" s="12" t="s">
        <v>2011</v>
      </c>
      <c r="L456" s="11" t="s">
        <v>58</v>
      </c>
      <c r="M456" s="12" t="str">
        <f t="shared" ca="1" si="1"/>
        <v>CORAS2 Secundaria</v>
      </c>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4"/>
    </row>
    <row r="457" spans="1:36" ht="15.75" customHeight="1" x14ac:dyDescent="0.25">
      <c r="A457" s="9">
        <v>15</v>
      </c>
      <c r="B457" s="10" t="s">
        <v>54</v>
      </c>
      <c r="C457" s="10" t="s">
        <v>41</v>
      </c>
      <c r="D457" s="10" t="s">
        <v>42</v>
      </c>
      <c r="E457" s="11" t="str">
        <f ca="1">IFERROR(__xludf.DUMMYFUNCTION("FILTER(Colegios!$B$2:$B2419,Colegios!$A$2:$A2419=L457)"),"CORAS")</f>
        <v>CORAS</v>
      </c>
      <c r="F457" s="11" t="s">
        <v>17</v>
      </c>
      <c r="G457" s="10" t="s">
        <v>18</v>
      </c>
      <c r="H457" s="11" t="s">
        <v>19</v>
      </c>
      <c r="I457" s="11" t="s">
        <v>20</v>
      </c>
      <c r="J457" s="12" t="str">
        <f ca="1">IFERROR(__xludf.DUMMYFUNCTION("FILTER('CLASFICACIÓN'!$F$3:$F2419,'CLASFICACIÓN'!$G$3:$G2419=M457)"),"SOLO 2024")</f>
        <v>SOLO 2024</v>
      </c>
      <c r="K457" s="12" t="s">
        <v>2011</v>
      </c>
      <c r="L457" s="11" t="s">
        <v>58</v>
      </c>
      <c r="M457" s="12" t="str">
        <f t="shared" ca="1" si="1"/>
        <v>CORAS2 Secundaria</v>
      </c>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4"/>
    </row>
    <row r="458" spans="1:36" ht="15.75" customHeight="1" x14ac:dyDescent="0.25">
      <c r="A458" s="9">
        <v>16</v>
      </c>
      <c r="B458" s="10" t="s">
        <v>54</v>
      </c>
      <c r="C458" s="10" t="s">
        <v>41</v>
      </c>
      <c r="D458" s="10" t="s">
        <v>42</v>
      </c>
      <c r="E458" s="11" t="str">
        <f ca="1">IFERROR(__xludf.DUMMYFUNCTION("FILTER(Colegios!$B$2:$B2419,Colegios!$A$2:$A2419=L458)"),"CORAS")</f>
        <v>CORAS</v>
      </c>
      <c r="F458" s="11" t="s">
        <v>17</v>
      </c>
      <c r="G458" s="10" t="s">
        <v>18</v>
      </c>
      <c r="H458" s="11" t="s">
        <v>19</v>
      </c>
      <c r="I458" s="11" t="s">
        <v>20</v>
      </c>
      <c r="J458" s="12" t="str">
        <f ca="1">IFERROR(__xludf.DUMMYFUNCTION("FILTER('CLASFICACIÓN'!$F$3:$F2419,'CLASFICACIÓN'!$G$3:$G2419=M458)"),"SOLO 2024")</f>
        <v>SOLO 2024</v>
      </c>
      <c r="K458" s="12" t="s">
        <v>2011</v>
      </c>
      <c r="L458" s="11" t="s">
        <v>58</v>
      </c>
      <c r="M458" s="12" t="str">
        <f t="shared" ca="1" si="1"/>
        <v>CORAS2 Secundaria</v>
      </c>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4"/>
    </row>
    <row r="459" spans="1:36" ht="15.75" customHeight="1" x14ac:dyDescent="0.25">
      <c r="A459" s="9">
        <v>17</v>
      </c>
      <c r="B459" s="10" t="s">
        <v>54</v>
      </c>
      <c r="C459" s="10" t="s">
        <v>41</v>
      </c>
      <c r="D459" s="10" t="s">
        <v>42</v>
      </c>
      <c r="E459" s="11" t="str">
        <f ca="1">IFERROR(__xludf.DUMMYFUNCTION("FILTER(Colegios!$B$2:$B2419,Colegios!$A$2:$A2419=L459)"),"CORAS")</f>
        <v>CORAS</v>
      </c>
      <c r="F459" s="11" t="s">
        <v>17</v>
      </c>
      <c r="G459" s="10" t="s">
        <v>24</v>
      </c>
      <c r="H459" s="11" t="s">
        <v>19</v>
      </c>
      <c r="I459" s="11" t="s">
        <v>20</v>
      </c>
      <c r="J459" s="12" t="str">
        <f ca="1">IFERROR(__xludf.DUMMYFUNCTION("FILTER('CLASFICACIÓN'!$F$3:$F2419,'CLASFICACIÓN'!$G$3:$G2419=M459)"),"SOLO 2024")</f>
        <v>SOLO 2024</v>
      </c>
      <c r="K459" s="12" t="s">
        <v>2011</v>
      </c>
      <c r="L459" s="11" t="s">
        <v>58</v>
      </c>
      <c r="M459" s="12" t="str">
        <f t="shared" ca="1" si="1"/>
        <v>CORAS2 Secundaria</v>
      </c>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4"/>
    </row>
    <row r="460" spans="1:36" ht="15.75" customHeight="1" x14ac:dyDescent="0.25">
      <c r="A460" s="9">
        <v>18</v>
      </c>
      <c r="B460" s="10" t="s">
        <v>54</v>
      </c>
      <c r="C460" s="10" t="s">
        <v>41</v>
      </c>
      <c r="D460" s="10" t="s">
        <v>42</v>
      </c>
      <c r="E460" s="11" t="str">
        <f ca="1">IFERROR(__xludf.DUMMYFUNCTION("FILTER(Colegios!$B$2:$B2419,Colegios!$A$2:$A2419=L460)"),"CORAS")</f>
        <v>CORAS</v>
      </c>
      <c r="F460" s="11" t="s">
        <v>17</v>
      </c>
      <c r="G460" s="10" t="s">
        <v>24</v>
      </c>
      <c r="H460" s="11" t="s">
        <v>19</v>
      </c>
      <c r="I460" s="11" t="s">
        <v>20</v>
      </c>
      <c r="J460" s="12" t="str">
        <f ca="1">IFERROR(__xludf.DUMMYFUNCTION("FILTER('CLASFICACIÓN'!$F$3:$F2419,'CLASFICACIÓN'!$G$3:$G2419=M460)"),"SOLO 2024")</f>
        <v>SOLO 2024</v>
      </c>
      <c r="K460" s="12" t="s">
        <v>2011</v>
      </c>
      <c r="L460" s="11" t="s">
        <v>58</v>
      </c>
      <c r="M460" s="12" t="str">
        <f t="shared" ca="1" si="1"/>
        <v>CORAS2 Secundaria</v>
      </c>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4"/>
    </row>
    <row r="461" spans="1:36" ht="15.75" customHeight="1" x14ac:dyDescent="0.25">
      <c r="A461" s="9">
        <v>19</v>
      </c>
      <c r="B461" s="10" t="s">
        <v>54</v>
      </c>
      <c r="C461" s="10" t="s">
        <v>41</v>
      </c>
      <c r="D461" s="10" t="s">
        <v>42</v>
      </c>
      <c r="E461" s="11" t="str">
        <f ca="1">IFERROR(__xludf.DUMMYFUNCTION("FILTER(Colegios!$B$2:$B2419,Colegios!$A$2:$A2419=L461)"),"CORAS")</f>
        <v>CORAS</v>
      </c>
      <c r="F461" s="11" t="s">
        <v>17</v>
      </c>
      <c r="G461" s="10" t="s">
        <v>24</v>
      </c>
      <c r="H461" s="11" t="s">
        <v>19</v>
      </c>
      <c r="I461" s="11" t="s">
        <v>20</v>
      </c>
      <c r="J461" s="12" t="str">
        <f ca="1">IFERROR(__xludf.DUMMYFUNCTION("FILTER('CLASFICACIÓN'!$F$3:$F2419,'CLASFICACIÓN'!$G$3:$G2419=M461)"),"SOLO 2024")</f>
        <v>SOLO 2024</v>
      </c>
      <c r="K461" s="12" t="s">
        <v>2011</v>
      </c>
      <c r="L461" s="11" t="s">
        <v>58</v>
      </c>
      <c r="M461" s="12" t="str">
        <f t="shared" ca="1" si="1"/>
        <v>CORAS2 Secundaria</v>
      </c>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4"/>
    </row>
    <row r="462" spans="1:36" ht="15.75" customHeight="1" x14ac:dyDescent="0.25">
      <c r="A462" s="9">
        <v>20</v>
      </c>
      <c r="B462" s="10" t="s">
        <v>54</v>
      </c>
      <c r="C462" s="10" t="s">
        <v>41</v>
      </c>
      <c r="D462" s="10" t="s">
        <v>42</v>
      </c>
      <c r="E462" s="11" t="str">
        <f ca="1">IFERROR(__xludf.DUMMYFUNCTION("FILTER(Colegios!$B$2:$B2419,Colegios!$A$2:$A2419=L462)"),"CORAS")</f>
        <v>CORAS</v>
      </c>
      <c r="F462" s="11" t="s">
        <v>17</v>
      </c>
      <c r="G462" s="10" t="s">
        <v>18</v>
      </c>
      <c r="H462" s="11" t="s">
        <v>19</v>
      </c>
      <c r="I462" s="11" t="s">
        <v>20</v>
      </c>
      <c r="J462" s="12" t="str">
        <f ca="1">IFERROR(__xludf.DUMMYFUNCTION("FILTER('CLASFICACIÓN'!$F$3:$F2419,'CLASFICACIÓN'!$G$3:$G2419=M462)"),"SOLO 2024")</f>
        <v>SOLO 2024</v>
      </c>
      <c r="K462" s="12" t="s">
        <v>2011</v>
      </c>
      <c r="L462" s="11" t="s">
        <v>58</v>
      </c>
      <c r="M462" s="12" t="str">
        <f t="shared" ca="1" si="1"/>
        <v>CORAS2 Secundaria</v>
      </c>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4"/>
    </row>
    <row r="463" spans="1:36" ht="15.75" customHeight="1" x14ac:dyDescent="0.25">
      <c r="A463" s="9">
        <v>21</v>
      </c>
      <c r="B463" s="10" t="s">
        <v>54</v>
      </c>
      <c r="C463" s="10" t="s">
        <v>41</v>
      </c>
      <c r="D463" s="10" t="s">
        <v>42</v>
      </c>
      <c r="E463" s="11" t="str">
        <f ca="1">IFERROR(__xludf.DUMMYFUNCTION("FILTER(Colegios!$B$2:$B2419,Colegios!$A$2:$A2419=L463)"),"CORAS")</f>
        <v>CORAS</v>
      </c>
      <c r="F463" s="11" t="s">
        <v>17</v>
      </c>
      <c r="G463" s="10" t="s">
        <v>24</v>
      </c>
      <c r="H463" s="11" t="s">
        <v>19</v>
      </c>
      <c r="I463" s="11" t="s">
        <v>20</v>
      </c>
      <c r="J463" s="12" t="str">
        <f ca="1">IFERROR(__xludf.DUMMYFUNCTION("FILTER('CLASFICACIÓN'!$F$3:$F2419,'CLASFICACIÓN'!$G$3:$G2419=M463)"),"SOLO 2024")</f>
        <v>SOLO 2024</v>
      </c>
      <c r="K463" s="12" t="s">
        <v>2011</v>
      </c>
      <c r="L463" s="11" t="s">
        <v>58</v>
      </c>
      <c r="M463" s="12" t="str">
        <f t="shared" ca="1" si="1"/>
        <v>CORAS2 Secundaria</v>
      </c>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4"/>
    </row>
    <row r="464" spans="1:36" ht="15.75" customHeight="1" x14ac:dyDescent="0.25">
      <c r="A464" s="9">
        <v>22</v>
      </c>
      <c r="B464" s="10" t="s">
        <v>54</v>
      </c>
      <c r="C464" s="10" t="s">
        <v>41</v>
      </c>
      <c r="D464" s="10" t="s">
        <v>42</v>
      </c>
      <c r="E464" s="11" t="str">
        <f ca="1">IFERROR(__xludf.DUMMYFUNCTION("FILTER(Colegios!$B$2:$B2419,Colegios!$A$2:$A2419=L464)"),"CORAS")</f>
        <v>CORAS</v>
      </c>
      <c r="F464" s="11" t="s">
        <v>17</v>
      </c>
      <c r="G464" s="10" t="s">
        <v>24</v>
      </c>
      <c r="H464" s="11" t="s">
        <v>19</v>
      </c>
      <c r="I464" s="11" t="s">
        <v>20</v>
      </c>
      <c r="J464" s="12" t="str">
        <f ca="1">IFERROR(__xludf.DUMMYFUNCTION("FILTER('CLASFICACIÓN'!$F$3:$F2419,'CLASFICACIÓN'!$G$3:$G2419=M464)"),"SOLO 2024")</f>
        <v>SOLO 2024</v>
      </c>
      <c r="K464" s="12" t="s">
        <v>2011</v>
      </c>
      <c r="L464" s="11" t="s">
        <v>58</v>
      </c>
      <c r="M464" s="12" t="str">
        <f t="shared" ca="1" si="1"/>
        <v>CORAS2 Secundaria</v>
      </c>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4"/>
    </row>
    <row r="465" spans="1:36" ht="15.75" customHeight="1" x14ac:dyDescent="0.25">
      <c r="A465" s="9">
        <v>23</v>
      </c>
      <c r="B465" s="10" t="s">
        <v>54</v>
      </c>
      <c r="C465" s="10" t="s">
        <v>41</v>
      </c>
      <c r="D465" s="10" t="s">
        <v>42</v>
      </c>
      <c r="E465" s="11" t="str">
        <f ca="1">IFERROR(__xludf.DUMMYFUNCTION("FILTER(Colegios!$B$2:$B2419,Colegios!$A$2:$A2419=L465)"),"CORAS")</f>
        <v>CORAS</v>
      </c>
      <c r="F465" s="11" t="s">
        <v>17</v>
      </c>
      <c r="G465" s="10" t="s">
        <v>24</v>
      </c>
      <c r="H465" s="11" t="s">
        <v>19</v>
      </c>
      <c r="I465" s="11" t="s">
        <v>20</v>
      </c>
      <c r="J465" s="12" t="str">
        <f ca="1">IFERROR(__xludf.DUMMYFUNCTION("FILTER('CLASFICACIÓN'!$F$3:$F2419,'CLASFICACIÓN'!$G$3:$G2419=M465)"),"SOLO 2024")</f>
        <v>SOLO 2024</v>
      </c>
      <c r="K465" s="12" t="s">
        <v>2011</v>
      </c>
      <c r="L465" s="11" t="s">
        <v>58</v>
      </c>
      <c r="M465" s="12" t="str">
        <f t="shared" ca="1" si="1"/>
        <v>CORAS2 Secundaria</v>
      </c>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4"/>
    </row>
    <row r="466" spans="1:36" ht="15.75" customHeight="1" x14ac:dyDescent="0.25">
      <c r="A466" s="9">
        <v>24</v>
      </c>
      <c r="B466" s="10" t="s">
        <v>54</v>
      </c>
      <c r="C466" s="10" t="s">
        <v>41</v>
      </c>
      <c r="D466" s="10" t="s">
        <v>42</v>
      </c>
      <c r="E466" s="11" t="str">
        <f ca="1">IFERROR(__xludf.DUMMYFUNCTION("FILTER(Colegios!$B$2:$B2419,Colegios!$A$2:$A2419=L466)"),"CORAS")</f>
        <v>CORAS</v>
      </c>
      <c r="F466" s="11" t="s">
        <v>17</v>
      </c>
      <c r="G466" s="10" t="s">
        <v>18</v>
      </c>
      <c r="H466" s="11" t="s">
        <v>19</v>
      </c>
      <c r="I466" s="11" t="s">
        <v>20</v>
      </c>
      <c r="J466" s="12" t="str">
        <f ca="1">IFERROR(__xludf.DUMMYFUNCTION("FILTER('CLASFICACIÓN'!$F$3:$F2419,'CLASFICACIÓN'!$G$3:$G2419=M466)"),"SOLO 2024")</f>
        <v>SOLO 2024</v>
      </c>
      <c r="K466" s="12" t="s">
        <v>2011</v>
      </c>
      <c r="L466" s="11" t="s">
        <v>58</v>
      </c>
      <c r="M466" s="12" t="str">
        <f t="shared" ca="1" si="1"/>
        <v>CORAS2 Secundaria</v>
      </c>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4"/>
    </row>
    <row r="467" spans="1:36" ht="15.75" customHeight="1" x14ac:dyDescent="0.25">
      <c r="A467" s="9">
        <v>25</v>
      </c>
      <c r="B467" s="10" t="s">
        <v>54</v>
      </c>
      <c r="C467" s="10" t="s">
        <v>41</v>
      </c>
      <c r="D467" s="10" t="s">
        <v>42</v>
      </c>
      <c r="E467" s="11" t="str">
        <f ca="1">IFERROR(__xludf.DUMMYFUNCTION("FILTER(Colegios!$B$2:$B2419,Colegios!$A$2:$A2419=L467)"),"CORAS")</f>
        <v>CORAS</v>
      </c>
      <c r="F467" s="11" t="s">
        <v>17</v>
      </c>
      <c r="G467" s="10" t="s">
        <v>18</v>
      </c>
      <c r="H467" s="11" t="s">
        <v>19</v>
      </c>
      <c r="I467" s="11" t="s">
        <v>20</v>
      </c>
      <c r="J467" s="12" t="str">
        <f ca="1">IFERROR(__xludf.DUMMYFUNCTION("FILTER('CLASFICACIÓN'!$F$3:$F2419,'CLASFICACIÓN'!$G$3:$G2419=M467)"),"SOLO 2024")</f>
        <v>SOLO 2024</v>
      </c>
      <c r="K467" s="12" t="s">
        <v>2011</v>
      </c>
      <c r="L467" s="11" t="s">
        <v>58</v>
      </c>
      <c r="M467" s="12" t="str">
        <f t="shared" ca="1" si="1"/>
        <v>CORAS2 Secundaria</v>
      </c>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4"/>
    </row>
    <row r="468" spans="1:36" ht="15.75" customHeight="1" x14ac:dyDescent="0.25">
      <c r="A468" s="9">
        <v>26</v>
      </c>
      <c r="B468" s="10" t="s">
        <v>54</v>
      </c>
      <c r="C468" s="10" t="s">
        <v>41</v>
      </c>
      <c r="D468" s="10" t="s">
        <v>43</v>
      </c>
      <c r="E468" s="11" t="str">
        <f ca="1">IFERROR(__xludf.DUMMYFUNCTION("FILTER(Colegios!$B$2:$B2419,Colegios!$A$2:$A2419=L468)"),"CORAS")</f>
        <v>CORAS</v>
      </c>
      <c r="F468" s="11" t="s">
        <v>17</v>
      </c>
      <c r="G468" s="10" t="s">
        <v>24</v>
      </c>
      <c r="H468" s="11" t="s">
        <v>23</v>
      </c>
      <c r="I468" s="11" t="s">
        <v>20</v>
      </c>
      <c r="J468" s="12" t="str">
        <f ca="1">IFERROR(__xludf.DUMMYFUNCTION("FILTER('CLASFICACIÓN'!$F$3:$F2419,'CLASFICACIÓN'!$G$3:$G2419=M468)"),"SOLO 2024")</f>
        <v>SOLO 2024</v>
      </c>
      <c r="K468" s="12" t="s">
        <v>2011</v>
      </c>
      <c r="L468" s="11" t="s">
        <v>58</v>
      </c>
      <c r="M468" s="12" t="str">
        <f t="shared" ca="1" si="1"/>
        <v>CORAS4 Secundaria</v>
      </c>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4"/>
    </row>
    <row r="469" spans="1:36" ht="15.75" customHeight="1" x14ac:dyDescent="0.25">
      <c r="A469" s="9">
        <v>27</v>
      </c>
      <c r="B469" s="10" t="s">
        <v>54</v>
      </c>
      <c r="C469" s="10" t="s">
        <v>41</v>
      </c>
      <c r="D469" s="10" t="s">
        <v>43</v>
      </c>
      <c r="E469" s="11" t="str">
        <f ca="1">IFERROR(__xludf.DUMMYFUNCTION("FILTER(Colegios!$B$2:$B2419,Colegios!$A$2:$A2419=L469)"),"CORAS")</f>
        <v>CORAS</v>
      </c>
      <c r="F469" s="11" t="s">
        <v>17</v>
      </c>
      <c r="G469" s="10" t="s">
        <v>18</v>
      </c>
      <c r="H469" s="11" t="s">
        <v>19</v>
      </c>
      <c r="I469" s="11" t="s">
        <v>20</v>
      </c>
      <c r="J469" s="12" t="str">
        <f ca="1">IFERROR(__xludf.DUMMYFUNCTION("FILTER('CLASFICACIÓN'!$F$3:$F2419,'CLASFICACIÓN'!$G$3:$G2419=M469)"),"SOLO 2024")</f>
        <v>SOLO 2024</v>
      </c>
      <c r="K469" s="12" t="s">
        <v>2011</v>
      </c>
      <c r="L469" s="11" t="s">
        <v>58</v>
      </c>
      <c r="M469" s="12" t="str">
        <f t="shared" ca="1" si="1"/>
        <v>CORAS4 Secundaria</v>
      </c>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4"/>
    </row>
    <row r="470" spans="1:36" ht="15.75" customHeight="1" x14ac:dyDescent="0.25">
      <c r="A470" s="9">
        <v>28</v>
      </c>
      <c r="B470" s="10" t="s">
        <v>54</v>
      </c>
      <c r="C470" s="10" t="s">
        <v>41</v>
      </c>
      <c r="D470" s="10" t="s">
        <v>43</v>
      </c>
      <c r="E470" s="11" t="str">
        <f ca="1">IFERROR(__xludf.DUMMYFUNCTION("FILTER(Colegios!$B$2:$B2419,Colegios!$A$2:$A2419=L470)"),"CORAS")</f>
        <v>CORAS</v>
      </c>
      <c r="F470" s="11" t="s">
        <v>17</v>
      </c>
      <c r="G470" s="10" t="s">
        <v>24</v>
      </c>
      <c r="H470" s="11" t="s">
        <v>23</v>
      </c>
      <c r="I470" s="11" t="s">
        <v>20</v>
      </c>
      <c r="J470" s="12" t="str">
        <f ca="1">IFERROR(__xludf.DUMMYFUNCTION("FILTER('CLASFICACIÓN'!$F$3:$F2419,'CLASFICACIÓN'!$G$3:$G2419=M470)"),"SOLO 2024")</f>
        <v>SOLO 2024</v>
      </c>
      <c r="K470" s="12" t="s">
        <v>2011</v>
      </c>
      <c r="L470" s="11" t="s">
        <v>58</v>
      </c>
      <c r="M470" s="12" t="str">
        <f t="shared" ca="1" si="1"/>
        <v>CORAS4 Secundaria</v>
      </c>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4"/>
    </row>
    <row r="471" spans="1:36" ht="15.75" customHeight="1" x14ac:dyDescent="0.25">
      <c r="A471" s="9">
        <v>29</v>
      </c>
      <c r="B471" s="10" t="s">
        <v>54</v>
      </c>
      <c r="C471" s="10" t="s">
        <v>41</v>
      </c>
      <c r="D471" s="10" t="s">
        <v>43</v>
      </c>
      <c r="E471" s="11" t="str">
        <f ca="1">IFERROR(__xludf.DUMMYFUNCTION("FILTER(Colegios!$B$2:$B2419,Colegios!$A$2:$A2419=L471)"),"CORAS")</f>
        <v>CORAS</v>
      </c>
      <c r="F471" s="11" t="s">
        <v>17</v>
      </c>
      <c r="G471" s="10" t="s">
        <v>24</v>
      </c>
      <c r="H471" s="11" t="s">
        <v>25</v>
      </c>
      <c r="I471" s="11" t="s">
        <v>20</v>
      </c>
      <c r="J471" s="12" t="str">
        <f ca="1">IFERROR(__xludf.DUMMYFUNCTION("FILTER('CLASFICACIÓN'!$F$3:$F2419,'CLASFICACIÓN'!$G$3:$G2419=M471)"),"SOLO 2024")</f>
        <v>SOLO 2024</v>
      </c>
      <c r="K471" s="12" t="s">
        <v>2011</v>
      </c>
      <c r="L471" s="11" t="s">
        <v>58</v>
      </c>
      <c r="M471" s="12" t="str">
        <f t="shared" ca="1" si="1"/>
        <v>CORAS4 Secundaria</v>
      </c>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4"/>
    </row>
    <row r="472" spans="1:36" ht="15.75" customHeight="1" x14ac:dyDescent="0.25">
      <c r="A472" s="9">
        <v>30</v>
      </c>
      <c r="B472" s="10" t="s">
        <v>54</v>
      </c>
      <c r="C472" s="10" t="s">
        <v>41</v>
      </c>
      <c r="D472" s="10" t="s">
        <v>43</v>
      </c>
      <c r="E472" s="11" t="str">
        <f ca="1">IFERROR(__xludf.DUMMYFUNCTION("FILTER(Colegios!$B$2:$B2419,Colegios!$A$2:$A2419=L472)"),"CORAS")</f>
        <v>CORAS</v>
      </c>
      <c r="F472" s="11" t="s">
        <v>17</v>
      </c>
      <c r="G472" s="10" t="s">
        <v>24</v>
      </c>
      <c r="H472" s="11" t="s">
        <v>19</v>
      </c>
      <c r="I472" s="11" t="s">
        <v>20</v>
      </c>
      <c r="J472" s="12" t="str">
        <f ca="1">IFERROR(__xludf.DUMMYFUNCTION("FILTER('CLASFICACIÓN'!$F$3:$F2419,'CLASFICACIÓN'!$G$3:$G2419=M472)"),"SOLO 2024")</f>
        <v>SOLO 2024</v>
      </c>
      <c r="K472" s="12" t="s">
        <v>2011</v>
      </c>
      <c r="L472" s="11" t="s">
        <v>58</v>
      </c>
      <c r="M472" s="12" t="str">
        <f t="shared" ca="1" si="1"/>
        <v>CORAS4 Secundaria</v>
      </c>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4"/>
    </row>
    <row r="473" spans="1:36" ht="15.75" customHeight="1" x14ac:dyDescent="0.25">
      <c r="A473" s="9">
        <v>31</v>
      </c>
      <c r="B473" s="10" t="s">
        <v>54</v>
      </c>
      <c r="C473" s="10" t="s">
        <v>41</v>
      </c>
      <c r="D473" s="10" t="s">
        <v>43</v>
      </c>
      <c r="E473" s="11" t="str">
        <f ca="1">IFERROR(__xludf.DUMMYFUNCTION("FILTER(Colegios!$B$2:$B2419,Colegios!$A$2:$A2419=L473)"),"CORAS")</f>
        <v>CORAS</v>
      </c>
      <c r="F473" s="11" t="s">
        <v>17</v>
      </c>
      <c r="G473" s="10" t="s">
        <v>18</v>
      </c>
      <c r="H473" s="11" t="s">
        <v>19</v>
      </c>
      <c r="I473" s="11" t="s">
        <v>20</v>
      </c>
      <c r="J473" s="12" t="str">
        <f ca="1">IFERROR(__xludf.DUMMYFUNCTION("FILTER('CLASFICACIÓN'!$F$3:$F2419,'CLASFICACIÓN'!$G$3:$G2419=M473)"),"SOLO 2024")</f>
        <v>SOLO 2024</v>
      </c>
      <c r="K473" s="12" t="s">
        <v>2011</v>
      </c>
      <c r="L473" s="11" t="s">
        <v>58</v>
      </c>
      <c r="M473" s="12" t="str">
        <f t="shared" ca="1" si="1"/>
        <v>CORAS4 Secundaria</v>
      </c>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4"/>
    </row>
    <row r="474" spans="1:36" ht="15.75" customHeight="1" x14ac:dyDescent="0.25">
      <c r="A474" s="9">
        <v>32</v>
      </c>
      <c r="B474" s="10" t="s">
        <v>54</v>
      </c>
      <c r="C474" s="10" t="s">
        <v>41</v>
      </c>
      <c r="D474" s="10" t="s">
        <v>43</v>
      </c>
      <c r="E474" s="11" t="str">
        <f ca="1">IFERROR(__xludf.DUMMYFUNCTION("FILTER(Colegios!$B$2:$B2419,Colegios!$A$2:$A2419=L474)"),"CORAS")</f>
        <v>CORAS</v>
      </c>
      <c r="F474" s="11" t="s">
        <v>17</v>
      </c>
      <c r="G474" s="10" t="s">
        <v>18</v>
      </c>
      <c r="H474" s="11" t="s">
        <v>19</v>
      </c>
      <c r="I474" s="11" t="s">
        <v>20</v>
      </c>
      <c r="J474" s="12" t="str">
        <f ca="1">IFERROR(__xludf.DUMMYFUNCTION("FILTER('CLASFICACIÓN'!$F$3:$F2419,'CLASFICACIÓN'!$G$3:$G2419=M474)"),"SOLO 2024")</f>
        <v>SOLO 2024</v>
      </c>
      <c r="K474" s="12" t="s">
        <v>2011</v>
      </c>
      <c r="L474" s="11" t="s">
        <v>58</v>
      </c>
      <c r="M474" s="12" t="str">
        <f t="shared" ca="1" si="1"/>
        <v>CORAS4 Secundaria</v>
      </c>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4"/>
    </row>
    <row r="475" spans="1:36" ht="15.75" customHeight="1" x14ac:dyDescent="0.25">
      <c r="A475" s="9">
        <v>33</v>
      </c>
      <c r="B475" s="10" t="s">
        <v>54</v>
      </c>
      <c r="C475" s="10" t="s">
        <v>41</v>
      </c>
      <c r="D475" s="10" t="s">
        <v>43</v>
      </c>
      <c r="E475" s="11" t="str">
        <f ca="1">IFERROR(__xludf.DUMMYFUNCTION("FILTER(Colegios!$B$2:$B2419,Colegios!$A$2:$A2419=L475)"),"CORAS")</f>
        <v>CORAS</v>
      </c>
      <c r="F475" s="11" t="s">
        <v>17</v>
      </c>
      <c r="G475" s="10" t="s">
        <v>18</v>
      </c>
      <c r="H475" s="11" t="s">
        <v>19</v>
      </c>
      <c r="I475" s="11" t="s">
        <v>20</v>
      </c>
      <c r="J475" s="12" t="str">
        <f ca="1">IFERROR(__xludf.DUMMYFUNCTION("FILTER('CLASFICACIÓN'!$F$3:$F2419,'CLASFICACIÓN'!$G$3:$G2419=M475)"),"SOLO 2024")</f>
        <v>SOLO 2024</v>
      </c>
      <c r="K475" s="12" t="s">
        <v>2011</v>
      </c>
      <c r="L475" s="11" t="s">
        <v>58</v>
      </c>
      <c r="M475" s="12" t="str">
        <f t="shared" ca="1" si="1"/>
        <v>CORAS4 Secundaria</v>
      </c>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4"/>
    </row>
    <row r="476" spans="1:36" ht="15.75" customHeight="1" x14ac:dyDescent="0.25">
      <c r="A476" s="9">
        <v>34</v>
      </c>
      <c r="B476" s="10" t="s">
        <v>54</v>
      </c>
      <c r="C476" s="10" t="s">
        <v>41</v>
      </c>
      <c r="D476" s="10" t="s">
        <v>43</v>
      </c>
      <c r="E476" s="11" t="str">
        <f ca="1">IFERROR(__xludf.DUMMYFUNCTION("FILTER(Colegios!$B$2:$B2419,Colegios!$A$2:$A2419=L476)"),"CORAS")</f>
        <v>CORAS</v>
      </c>
      <c r="F476" s="11" t="s">
        <v>17</v>
      </c>
      <c r="G476" s="10" t="s">
        <v>18</v>
      </c>
      <c r="H476" s="11" t="s">
        <v>19</v>
      </c>
      <c r="I476" s="11" t="s">
        <v>20</v>
      </c>
      <c r="J476" s="12" t="str">
        <f ca="1">IFERROR(__xludf.DUMMYFUNCTION("FILTER('CLASFICACIÓN'!$F$3:$F2419,'CLASFICACIÓN'!$G$3:$G2419=M476)"),"SOLO 2024")</f>
        <v>SOLO 2024</v>
      </c>
      <c r="K476" s="12" t="s">
        <v>2011</v>
      </c>
      <c r="L476" s="11" t="s">
        <v>58</v>
      </c>
      <c r="M476" s="12" t="str">
        <f t="shared" ca="1" si="1"/>
        <v>CORAS4 Secundaria</v>
      </c>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4"/>
    </row>
    <row r="477" spans="1:36" ht="15.75" customHeight="1" x14ac:dyDescent="0.25">
      <c r="A477" s="9">
        <v>35</v>
      </c>
      <c r="B477" s="10" t="s">
        <v>54</v>
      </c>
      <c r="C477" s="10" t="s">
        <v>41</v>
      </c>
      <c r="D477" s="10" t="s">
        <v>43</v>
      </c>
      <c r="E477" s="11" t="str">
        <f ca="1">IFERROR(__xludf.DUMMYFUNCTION("FILTER(Colegios!$B$2:$B2419,Colegios!$A$2:$A2419=L477)"),"CORAS")</f>
        <v>CORAS</v>
      </c>
      <c r="F477" s="11" t="s">
        <v>17</v>
      </c>
      <c r="G477" s="10" t="s">
        <v>18</v>
      </c>
      <c r="H477" s="11" t="s">
        <v>19</v>
      </c>
      <c r="I477" s="11" t="s">
        <v>20</v>
      </c>
      <c r="J477" s="12" t="str">
        <f ca="1">IFERROR(__xludf.DUMMYFUNCTION("FILTER('CLASFICACIÓN'!$F$3:$F2419,'CLASFICACIÓN'!$G$3:$G2419=M477)"),"SOLO 2024")</f>
        <v>SOLO 2024</v>
      </c>
      <c r="K477" s="12" t="s">
        <v>2011</v>
      </c>
      <c r="L477" s="11" t="s">
        <v>58</v>
      </c>
      <c r="M477" s="12" t="str">
        <f t="shared" ca="1" si="1"/>
        <v>CORAS4 Secundaria</v>
      </c>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4"/>
    </row>
    <row r="478" spans="1:36" ht="15.75" customHeight="1" x14ac:dyDescent="0.25">
      <c r="A478" s="9">
        <v>36</v>
      </c>
      <c r="B478" s="10" t="s">
        <v>54</v>
      </c>
      <c r="C478" s="10" t="s">
        <v>41</v>
      </c>
      <c r="D478" s="10" t="s">
        <v>43</v>
      </c>
      <c r="E478" s="11" t="str">
        <f ca="1">IFERROR(__xludf.DUMMYFUNCTION("FILTER(Colegios!$B$2:$B2419,Colegios!$A$2:$A2419=L478)"),"CORAS")</f>
        <v>CORAS</v>
      </c>
      <c r="F478" s="11" t="s">
        <v>17</v>
      </c>
      <c r="G478" s="10" t="s">
        <v>18</v>
      </c>
      <c r="H478" s="11" t="s">
        <v>19</v>
      </c>
      <c r="I478" s="11" t="s">
        <v>20</v>
      </c>
      <c r="J478" s="12" t="str">
        <f ca="1">IFERROR(__xludf.DUMMYFUNCTION("FILTER('CLASFICACIÓN'!$F$3:$F2419,'CLASFICACIÓN'!$G$3:$G2419=M478)"),"SOLO 2024")</f>
        <v>SOLO 2024</v>
      </c>
      <c r="K478" s="12" t="s">
        <v>2011</v>
      </c>
      <c r="L478" s="11" t="s">
        <v>58</v>
      </c>
      <c r="M478" s="12" t="str">
        <f t="shared" ca="1" si="1"/>
        <v>CORAS4 Secundaria</v>
      </c>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4"/>
    </row>
    <row r="479" spans="1:36" ht="15.75" customHeight="1" x14ac:dyDescent="0.25">
      <c r="A479" s="9">
        <v>37</v>
      </c>
      <c r="B479" s="10" t="s">
        <v>54</v>
      </c>
      <c r="C479" s="10" t="s">
        <v>41</v>
      </c>
      <c r="D479" s="10" t="s">
        <v>43</v>
      </c>
      <c r="E479" s="11" t="str">
        <f ca="1">IFERROR(__xludf.DUMMYFUNCTION("FILTER(Colegios!$B$2:$B2419,Colegios!$A$2:$A2419=L479)"),"CORAS")</f>
        <v>CORAS</v>
      </c>
      <c r="F479" s="11" t="s">
        <v>17</v>
      </c>
      <c r="G479" s="10" t="s">
        <v>24</v>
      </c>
      <c r="H479" s="11" t="s">
        <v>19</v>
      </c>
      <c r="I479" s="11" t="s">
        <v>20</v>
      </c>
      <c r="J479" s="12" t="str">
        <f ca="1">IFERROR(__xludf.DUMMYFUNCTION("FILTER('CLASFICACIÓN'!$F$3:$F2419,'CLASFICACIÓN'!$G$3:$G2419=M479)"),"SOLO 2024")</f>
        <v>SOLO 2024</v>
      </c>
      <c r="K479" s="12" t="s">
        <v>2011</v>
      </c>
      <c r="L479" s="11" t="s">
        <v>58</v>
      </c>
      <c r="M479" s="12" t="str">
        <f t="shared" ca="1" si="1"/>
        <v>CORAS4 Secundaria</v>
      </c>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4"/>
    </row>
    <row r="480" spans="1:36" ht="15.75" customHeight="1" x14ac:dyDescent="0.25">
      <c r="A480" s="9">
        <v>38</v>
      </c>
      <c r="B480" s="10" t="s">
        <v>54</v>
      </c>
      <c r="C480" s="10" t="s">
        <v>41</v>
      </c>
      <c r="D480" s="10" t="s">
        <v>43</v>
      </c>
      <c r="E480" s="11" t="str">
        <f ca="1">IFERROR(__xludf.DUMMYFUNCTION("FILTER(Colegios!$B$2:$B2419,Colegios!$A$2:$A2419=L480)"),"CORAS")</f>
        <v>CORAS</v>
      </c>
      <c r="F480" s="11" t="s">
        <v>17</v>
      </c>
      <c r="G480" s="10" t="s">
        <v>24</v>
      </c>
      <c r="H480" s="11" t="s">
        <v>19</v>
      </c>
      <c r="I480" s="11" t="s">
        <v>20</v>
      </c>
      <c r="J480" s="12" t="str">
        <f ca="1">IFERROR(__xludf.DUMMYFUNCTION("FILTER('CLASFICACIÓN'!$F$3:$F2419,'CLASFICACIÓN'!$G$3:$G2419=M480)"),"SOLO 2024")</f>
        <v>SOLO 2024</v>
      </c>
      <c r="K480" s="12" t="s">
        <v>2011</v>
      </c>
      <c r="L480" s="11" t="s">
        <v>58</v>
      </c>
      <c r="M480" s="12" t="str">
        <f t="shared" ca="1" si="1"/>
        <v>CORAS4 Secundaria</v>
      </c>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4"/>
    </row>
    <row r="481" spans="1:36" ht="15.75" customHeight="1" x14ac:dyDescent="0.25">
      <c r="A481" s="9">
        <v>39</v>
      </c>
      <c r="B481" s="10" t="s">
        <v>54</v>
      </c>
      <c r="C481" s="10" t="s">
        <v>41</v>
      </c>
      <c r="D481" s="10" t="s">
        <v>43</v>
      </c>
      <c r="E481" s="11" t="str">
        <f ca="1">IFERROR(__xludf.DUMMYFUNCTION("FILTER(Colegios!$B$2:$B2419,Colegios!$A$2:$A2419=L481)"),"CORAS")</f>
        <v>CORAS</v>
      </c>
      <c r="F481" s="11" t="s">
        <v>17</v>
      </c>
      <c r="G481" s="10" t="s">
        <v>18</v>
      </c>
      <c r="H481" s="11" t="s">
        <v>19</v>
      </c>
      <c r="I481" s="11" t="s">
        <v>20</v>
      </c>
      <c r="J481" s="12" t="str">
        <f ca="1">IFERROR(__xludf.DUMMYFUNCTION("FILTER('CLASFICACIÓN'!$F$3:$F2419,'CLASFICACIÓN'!$G$3:$G2419=M481)"),"SOLO 2024")</f>
        <v>SOLO 2024</v>
      </c>
      <c r="K481" s="12" t="s">
        <v>2011</v>
      </c>
      <c r="L481" s="11" t="s">
        <v>58</v>
      </c>
      <c r="M481" s="12" t="str">
        <f t="shared" ca="1" si="1"/>
        <v>CORAS4 Secundaria</v>
      </c>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4"/>
    </row>
    <row r="482" spans="1:36" ht="15.75" customHeight="1" x14ac:dyDescent="0.25">
      <c r="A482" s="9">
        <v>40</v>
      </c>
      <c r="B482" s="10" t="s">
        <v>54</v>
      </c>
      <c r="C482" s="10" t="s">
        <v>41</v>
      </c>
      <c r="D482" s="10" t="s">
        <v>43</v>
      </c>
      <c r="E482" s="11" t="str">
        <f ca="1">IFERROR(__xludf.DUMMYFUNCTION("FILTER(Colegios!$B$2:$B2419,Colegios!$A$2:$A2419=L482)"),"CORAS")</f>
        <v>CORAS</v>
      </c>
      <c r="F482" s="11" t="s">
        <v>17</v>
      </c>
      <c r="G482" s="10" t="s">
        <v>24</v>
      </c>
      <c r="H482" s="11" t="s">
        <v>19</v>
      </c>
      <c r="I482" s="11" t="s">
        <v>20</v>
      </c>
      <c r="J482" s="12" t="str">
        <f ca="1">IFERROR(__xludf.DUMMYFUNCTION("FILTER('CLASFICACIÓN'!$F$3:$F2419,'CLASFICACIÓN'!$G$3:$G2419=M482)"),"SOLO 2024")</f>
        <v>SOLO 2024</v>
      </c>
      <c r="K482" s="12" t="s">
        <v>2011</v>
      </c>
      <c r="L482" s="11" t="s">
        <v>58</v>
      </c>
      <c r="M482" s="12" t="str">
        <f t="shared" ca="1" si="1"/>
        <v>CORAS4 Secundaria</v>
      </c>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4"/>
    </row>
    <row r="483" spans="1:36" ht="15.75" customHeight="1" x14ac:dyDescent="0.25">
      <c r="A483" s="9">
        <v>41</v>
      </c>
      <c r="B483" s="10" t="s">
        <v>54</v>
      </c>
      <c r="C483" s="10" t="s">
        <v>41</v>
      </c>
      <c r="D483" s="10" t="s">
        <v>43</v>
      </c>
      <c r="E483" s="11" t="str">
        <f ca="1">IFERROR(__xludf.DUMMYFUNCTION("FILTER(Colegios!$B$2:$B2419,Colegios!$A$2:$A2419=L483)"),"CORAS")</f>
        <v>CORAS</v>
      </c>
      <c r="F483" s="11" t="s">
        <v>17</v>
      </c>
      <c r="G483" s="10" t="s">
        <v>24</v>
      </c>
      <c r="H483" s="11" t="s">
        <v>19</v>
      </c>
      <c r="I483" s="11" t="s">
        <v>20</v>
      </c>
      <c r="J483" s="12" t="str">
        <f ca="1">IFERROR(__xludf.DUMMYFUNCTION("FILTER('CLASFICACIÓN'!$F$3:$F2419,'CLASFICACIÓN'!$G$3:$G2419=M483)"),"SOLO 2024")</f>
        <v>SOLO 2024</v>
      </c>
      <c r="K483" s="12" t="s">
        <v>2011</v>
      </c>
      <c r="L483" s="11" t="s">
        <v>58</v>
      </c>
      <c r="M483" s="12" t="str">
        <f t="shared" ca="1" si="1"/>
        <v>CORAS4 Secundaria</v>
      </c>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4"/>
    </row>
    <row r="484" spans="1:36" ht="15.75" customHeight="1" x14ac:dyDescent="0.25">
      <c r="A484" s="9">
        <v>42</v>
      </c>
      <c r="B484" s="10" t="s">
        <v>54</v>
      </c>
      <c r="C484" s="10" t="s">
        <v>41</v>
      </c>
      <c r="D484" s="10" t="s">
        <v>43</v>
      </c>
      <c r="E484" s="11" t="str">
        <f ca="1">IFERROR(__xludf.DUMMYFUNCTION("FILTER(Colegios!$B$2:$B2419,Colegios!$A$2:$A2419=L484)"),"CORAS")</f>
        <v>CORAS</v>
      </c>
      <c r="F484" s="11" t="s">
        <v>17</v>
      </c>
      <c r="G484" s="10" t="s">
        <v>18</v>
      </c>
      <c r="H484" s="11" t="s">
        <v>19</v>
      </c>
      <c r="I484" s="11" t="s">
        <v>20</v>
      </c>
      <c r="J484" s="12" t="str">
        <f ca="1">IFERROR(__xludf.DUMMYFUNCTION("FILTER('CLASFICACIÓN'!$F$3:$F2419,'CLASFICACIÓN'!$G$3:$G2419=M484)"),"SOLO 2024")</f>
        <v>SOLO 2024</v>
      </c>
      <c r="K484" s="12" t="s">
        <v>2011</v>
      </c>
      <c r="L484" s="11" t="s">
        <v>58</v>
      </c>
      <c r="M484" s="12" t="str">
        <f t="shared" ca="1" si="1"/>
        <v>CORAS4 Secundaria</v>
      </c>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4"/>
    </row>
    <row r="485" spans="1:36" ht="15.75" customHeight="1" x14ac:dyDescent="0.25">
      <c r="A485" s="9">
        <v>43</v>
      </c>
      <c r="B485" s="10" t="s">
        <v>54</v>
      </c>
      <c r="C485" s="10" t="s">
        <v>41</v>
      </c>
      <c r="D485" s="10" t="s">
        <v>43</v>
      </c>
      <c r="E485" s="11" t="str">
        <f ca="1">IFERROR(__xludf.DUMMYFUNCTION("FILTER(Colegios!$B$2:$B2419,Colegios!$A$2:$A2419=L485)"),"CORAS")</f>
        <v>CORAS</v>
      </c>
      <c r="F485" s="11" t="s">
        <v>17</v>
      </c>
      <c r="G485" s="10" t="s">
        <v>24</v>
      </c>
      <c r="H485" s="11" t="s">
        <v>19</v>
      </c>
      <c r="I485" s="11" t="s">
        <v>20</v>
      </c>
      <c r="J485" s="12" t="str">
        <f ca="1">IFERROR(__xludf.DUMMYFUNCTION("FILTER('CLASFICACIÓN'!$F$3:$F2419,'CLASFICACIÓN'!$G$3:$G2419=M485)"),"SOLO 2024")</f>
        <v>SOLO 2024</v>
      </c>
      <c r="K485" s="12" t="s">
        <v>2011</v>
      </c>
      <c r="L485" s="11" t="s">
        <v>58</v>
      </c>
      <c r="M485" s="12" t="str">
        <f t="shared" ca="1" si="1"/>
        <v>CORAS4 Secundaria</v>
      </c>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4"/>
    </row>
    <row r="486" spans="1:36" ht="15.75" customHeight="1" x14ac:dyDescent="0.25">
      <c r="A486" s="9">
        <v>44</v>
      </c>
      <c r="B486" s="10" t="s">
        <v>54</v>
      </c>
      <c r="C486" s="10" t="s">
        <v>41</v>
      </c>
      <c r="D486" s="10" t="s">
        <v>43</v>
      </c>
      <c r="E486" s="11" t="str">
        <f ca="1">IFERROR(__xludf.DUMMYFUNCTION("FILTER(Colegios!$B$2:$B2419,Colegios!$A$2:$A2419=L486)"),"CORAS")</f>
        <v>CORAS</v>
      </c>
      <c r="F486" s="11" t="s">
        <v>17</v>
      </c>
      <c r="G486" s="10" t="s">
        <v>18</v>
      </c>
      <c r="H486" s="11" t="s">
        <v>19</v>
      </c>
      <c r="I486" s="11" t="s">
        <v>20</v>
      </c>
      <c r="J486" s="12" t="str">
        <f ca="1">IFERROR(__xludf.DUMMYFUNCTION("FILTER('CLASFICACIÓN'!$F$3:$F2419,'CLASFICACIÓN'!$G$3:$G2419=M486)"),"SOLO 2024")</f>
        <v>SOLO 2024</v>
      </c>
      <c r="K486" s="12" t="s">
        <v>2011</v>
      </c>
      <c r="L486" s="11" t="s">
        <v>58</v>
      </c>
      <c r="M486" s="12" t="str">
        <f t="shared" ca="1" si="1"/>
        <v>CORAS4 Secundaria</v>
      </c>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4"/>
    </row>
    <row r="487" spans="1:36" ht="15.75" customHeight="1" x14ac:dyDescent="0.25">
      <c r="A487" s="9">
        <v>45</v>
      </c>
      <c r="B487" s="10" t="s">
        <v>54</v>
      </c>
      <c r="C487" s="10" t="s">
        <v>41</v>
      </c>
      <c r="D487" s="10" t="s">
        <v>43</v>
      </c>
      <c r="E487" s="11" t="str">
        <f ca="1">IFERROR(__xludf.DUMMYFUNCTION("FILTER(Colegios!$B$2:$B2419,Colegios!$A$2:$A2419=L487)"),"CORAS")</f>
        <v>CORAS</v>
      </c>
      <c r="F487" s="11" t="s">
        <v>17</v>
      </c>
      <c r="G487" s="10" t="s">
        <v>24</v>
      </c>
      <c r="H487" s="11" t="s">
        <v>19</v>
      </c>
      <c r="I487" s="11" t="s">
        <v>20</v>
      </c>
      <c r="J487" s="12" t="str">
        <f ca="1">IFERROR(__xludf.DUMMYFUNCTION("FILTER('CLASFICACIÓN'!$F$3:$F2419,'CLASFICACIÓN'!$G$3:$G2419=M487)"),"SOLO 2024")</f>
        <v>SOLO 2024</v>
      </c>
      <c r="K487" s="12" t="s">
        <v>2011</v>
      </c>
      <c r="L487" s="11" t="s">
        <v>58</v>
      </c>
      <c r="M487" s="12" t="str">
        <f t="shared" ca="1" si="1"/>
        <v>CORAS4 Secundaria</v>
      </c>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4"/>
    </row>
    <row r="488" spans="1:36" ht="15.75" customHeight="1" x14ac:dyDescent="0.25">
      <c r="A488" s="9">
        <v>46</v>
      </c>
      <c r="B488" s="10" t="s">
        <v>54</v>
      </c>
      <c r="C488" s="10" t="s">
        <v>41</v>
      </c>
      <c r="D488" s="10" t="s">
        <v>43</v>
      </c>
      <c r="E488" s="11" t="str">
        <f ca="1">IFERROR(__xludf.DUMMYFUNCTION("FILTER(Colegios!$B$2:$B2419,Colegios!$A$2:$A2419=L488)"),"CORAS")</f>
        <v>CORAS</v>
      </c>
      <c r="F488" s="11" t="s">
        <v>17</v>
      </c>
      <c r="G488" s="10" t="s">
        <v>18</v>
      </c>
      <c r="H488" s="11" t="s">
        <v>19</v>
      </c>
      <c r="I488" s="11" t="s">
        <v>20</v>
      </c>
      <c r="J488" s="12" t="str">
        <f ca="1">IFERROR(__xludf.DUMMYFUNCTION("FILTER('CLASFICACIÓN'!$F$3:$F2419,'CLASFICACIÓN'!$G$3:$G2419=M488)"),"SOLO 2024")</f>
        <v>SOLO 2024</v>
      </c>
      <c r="K488" s="12" t="s">
        <v>2011</v>
      </c>
      <c r="L488" s="11" t="s">
        <v>58</v>
      </c>
      <c r="M488" s="12" t="str">
        <f t="shared" ca="1" si="1"/>
        <v>CORAS4 Secundaria</v>
      </c>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4"/>
    </row>
    <row r="489" spans="1:36" ht="15.75" customHeight="1" x14ac:dyDescent="0.25">
      <c r="A489" s="9">
        <v>47</v>
      </c>
      <c r="B489" s="10" t="s">
        <v>54</v>
      </c>
      <c r="C489" s="10" t="s">
        <v>41</v>
      </c>
      <c r="D489" s="10" t="s">
        <v>43</v>
      </c>
      <c r="E489" s="11" t="str">
        <f ca="1">IFERROR(__xludf.DUMMYFUNCTION("FILTER(Colegios!$B$2:$B2419,Colegios!$A$2:$A2419=L489)"),"CORAS")</f>
        <v>CORAS</v>
      </c>
      <c r="F489" s="11" t="s">
        <v>17</v>
      </c>
      <c r="G489" s="10" t="s">
        <v>24</v>
      </c>
      <c r="H489" s="11" t="s">
        <v>19</v>
      </c>
      <c r="I489" s="11" t="s">
        <v>20</v>
      </c>
      <c r="J489" s="12" t="str">
        <f ca="1">IFERROR(__xludf.DUMMYFUNCTION("FILTER('CLASFICACIÓN'!$F$3:$F2419,'CLASFICACIÓN'!$G$3:$G2419=M489)"),"SOLO 2024")</f>
        <v>SOLO 2024</v>
      </c>
      <c r="K489" s="12" t="s">
        <v>2011</v>
      </c>
      <c r="L489" s="11" t="s">
        <v>58</v>
      </c>
      <c r="M489" s="12" t="str">
        <f t="shared" ca="1" si="1"/>
        <v>CORAS4 Secundaria</v>
      </c>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4"/>
    </row>
    <row r="490" spans="1:36" ht="15.75" customHeight="1" x14ac:dyDescent="0.25">
      <c r="A490" s="9">
        <v>48</v>
      </c>
      <c r="B490" s="10" t="s">
        <v>54</v>
      </c>
      <c r="C490" s="10" t="s">
        <v>41</v>
      </c>
      <c r="D490" s="10" t="s">
        <v>43</v>
      </c>
      <c r="E490" s="11" t="str">
        <f ca="1">IFERROR(__xludf.DUMMYFUNCTION("FILTER(Colegios!$B$2:$B2419,Colegios!$A$2:$A2419=L490)"),"CORAS")</f>
        <v>CORAS</v>
      </c>
      <c r="F490" s="11" t="s">
        <v>17</v>
      </c>
      <c r="G490" s="10" t="s">
        <v>24</v>
      </c>
      <c r="H490" s="11" t="s">
        <v>19</v>
      </c>
      <c r="I490" s="11" t="s">
        <v>20</v>
      </c>
      <c r="J490" s="12" t="str">
        <f ca="1">IFERROR(__xludf.DUMMYFUNCTION("FILTER('CLASFICACIÓN'!$F$3:$F2419,'CLASFICACIÓN'!$G$3:$G2419=M490)"),"SOLO 2024")</f>
        <v>SOLO 2024</v>
      </c>
      <c r="K490" s="12" t="s">
        <v>2011</v>
      </c>
      <c r="L490" s="11" t="s">
        <v>58</v>
      </c>
      <c r="M490" s="12" t="str">
        <f t="shared" ca="1" si="1"/>
        <v>CORAS4 Secundaria</v>
      </c>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4"/>
    </row>
    <row r="491" spans="1:36" ht="15.75" customHeight="1" x14ac:dyDescent="0.25">
      <c r="A491" s="9">
        <v>49</v>
      </c>
      <c r="B491" s="10" t="s">
        <v>54</v>
      </c>
      <c r="C491" s="10" t="s">
        <v>41</v>
      </c>
      <c r="D491" s="10" t="s">
        <v>43</v>
      </c>
      <c r="E491" s="11" t="str">
        <f ca="1">IFERROR(__xludf.DUMMYFUNCTION("FILTER(Colegios!$B$2:$B2419,Colegios!$A$2:$A2419=L491)"),"CORAS")</f>
        <v>CORAS</v>
      </c>
      <c r="F491" s="11" t="s">
        <v>17</v>
      </c>
      <c r="G491" s="10" t="s">
        <v>24</v>
      </c>
      <c r="H491" s="11" t="s">
        <v>19</v>
      </c>
      <c r="I491" s="11" t="s">
        <v>20</v>
      </c>
      <c r="J491" s="12" t="str">
        <f ca="1">IFERROR(__xludf.DUMMYFUNCTION("FILTER('CLASFICACIÓN'!$F$3:$F2419,'CLASFICACIÓN'!$G$3:$G2419=M491)"),"SOLO 2024")</f>
        <v>SOLO 2024</v>
      </c>
      <c r="K491" s="12" t="s">
        <v>2011</v>
      </c>
      <c r="L491" s="11" t="s">
        <v>58</v>
      </c>
      <c r="M491" s="12" t="str">
        <f t="shared" ca="1" si="1"/>
        <v>CORAS4 Secundaria</v>
      </c>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4"/>
    </row>
    <row r="492" spans="1:36" ht="15.75" customHeight="1" x14ac:dyDescent="0.25">
      <c r="A492" s="9">
        <v>50</v>
      </c>
      <c r="B492" s="10" t="s">
        <v>54</v>
      </c>
      <c r="C492" s="10" t="s">
        <v>41</v>
      </c>
      <c r="D492" s="10" t="s">
        <v>43</v>
      </c>
      <c r="E492" s="11" t="str">
        <f ca="1">IFERROR(__xludf.DUMMYFUNCTION("FILTER(Colegios!$B$2:$B2419,Colegios!$A$2:$A2419=L492)"),"CORAS")</f>
        <v>CORAS</v>
      </c>
      <c r="F492" s="11" t="s">
        <v>17</v>
      </c>
      <c r="G492" s="10" t="s">
        <v>18</v>
      </c>
      <c r="H492" s="11" t="s">
        <v>19</v>
      </c>
      <c r="I492" s="11" t="s">
        <v>20</v>
      </c>
      <c r="J492" s="12" t="str">
        <f ca="1">IFERROR(__xludf.DUMMYFUNCTION("FILTER('CLASFICACIÓN'!$F$3:$F2419,'CLASFICACIÓN'!$G$3:$G2419=M492)"),"SOLO 2024")</f>
        <v>SOLO 2024</v>
      </c>
      <c r="K492" s="12" t="s">
        <v>2011</v>
      </c>
      <c r="L492" s="11" t="s">
        <v>58</v>
      </c>
      <c r="M492" s="12" t="str">
        <f t="shared" ca="1" si="1"/>
        <v>CORAS4 Secundaria</v>
      </c>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4"/>
    </row>
    <row r="493" spans="1:36" ht="15.75" customHeight="1" x14ac:dyDescent="0.25">
      <c r="A493" s="9">
        <v>51</v>
      </c>
      <c r="B493" s="10" t="s">
        <v>54</v>
      </c>
      <c r="C493" s="10" t="s">
        <v>41</v>
      </c>
      <c r="D493" s="10" t="s">
        <v>43</v>
      </c>
      <c r="E493" s="11" t="str">
        <f ca="1">IFERROR(__xludf.DUMMYFUNCTION("FILTER(Colegios!$B$2:$B2419,Colegios!$A$2:$A2419=L493)"),"CORAS")</f>
        <v>CORAS</v>
      </c>
      <c r="F493" s="11" t="s">
        <v>17</v>
      </c>
      <c r="G493" s="10" t="s">
        <v>18</v>
      </c>
      <c r="H493" s="11" t="s">
        <v>19</v>
      </c>
      <c r="I493" s="11" t="s">
        <v>20</v>
      </c>
      <c r="J493" s="12" t="str">
        <f ca="1">IFERROR(__xludf.DUMMYFUNCTION("FILTER('CLASFICACIÓN'!$F$3:$F2419,'CLASFICACIÓN'!$G$3:$G2419=M493)"),"SOLO 2024")</f>
        <v>SOLO 2024</v>
      </c>
      <c r="K493" s="12" t="s">
        <v>2011</v>
      </c>
      <c r="L493" s="11" t="s">
        <v>58</v>
      </c>
      <c r="M493" s="12" t="str">
        <f t="shared" ca="1" si="1"/>
        <v>CORAS4 Secundaria</v>
      </c>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4"/>
    </row>
    <row r="494" spans="1:36" ht="15.75" customHeight="1" x14ac:dyDescent="0.25">
      <c r="A494" s="9">
        <v>11</v>
      </c>
      <c r="B494" s="10" t="s">
        <v>54</v>
      </c>
      <c r="C494" s="10" t="s">
        <v>15</v>
      </c>
      <c r="D494" s="10" t="s">
        <v>45</v>
      </c>
      <c r="E494" s="11" t="str">
        <f ca="1">IFERROR(__xludf.DUMMYFUNCTION("FILTER(Colegios!$B$2:$B2419,Colegios!$A$2:$A2419=L494)"),"36173")</f>
        <v>36173</v>
      </c>
      <c r="F494" s="11" t="s">
        <v>17</v>
      </c>
      <c r="G494" s="10" t="s">
        <v>24</v>
      </c>
      <c r="H494" s="11" t="s">
        <v>19</v>
      </c>
      <c r="I494" s="11" t="s">
        <v>20</v>
      </c>
      <c r="J494" s="12" t="str">
        <f ca="1">IFERROR(__xludf.DUMMYFUNCTION("FILTER('CLASFICACIÓN'!$F$3:$F2419,'CLASFICACIÓN'!$G$3:$G2419=M494)"),"SOLO 2024")</f>
        <v>SOLO 2024</v>
      </c>
      <c r="K494" s="12" t="s">
        <v>2011</v>
      </c>
      <c r="L494" s="11" t="s">
        <v>59</v>
      </c>
      <c r="M494" s="12" t="str">
        <f t="shared" ca="1" si="1"/>
        <v>361732 Primaria</v>
      </c>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4"/>
    </row>
    <row r="495" spans="1:36" ht="15.75" customHeight="1" x14ac:dyDescent="0.25">
      <c r="A495" s="9">
        <v>12</v>
      </c>
      <c r="B495" s="10" t="s">
        <v>54</v>
      </c>
      <c r="C495" s="10" t="s">
        <v>15</v>
      </c>
      <c r="D495" s="10" t="s">
        <v>45</v>
      </c>
      <c r="E495" s="11" t="str">
        <f ca="1">IFERROR(__xludf.DUMMYFUNCTION("FILTER(Colegios!$B$2:$B2419,Colegios!$A$2:$A2419=L495)"),"36173")</f>
        <v>36173</v>
      </c>
      <c r="F495" s="11" t="s">
        <v>17</v>
      </c>
      <c r="G495" s="10" t="s">
        <v>18</v>
      </c>
      <c r="H495" s="11" t="s">
        <v>19</v>
      </c>
      <c r="I495" s="11" t="s">
        <v>20</v>
      </c>
      <c r="J495" s="12" t="str">
        <f ca="1">IFERROR(__xludf.DUMMYFUNCTION("FILTER('CLASFICACIÓN'!$F$3:$F2419,'CLASFICACIÓN'!$G$3:$G2419=M495)"),"SOLO 2024")</f>
        <v>SOLO 2024</v>
      </c>
      <c r="K495" s="12" t="s">
        <v>2011</v>
      </c>
      <c r="L495" s="11" t="s">
        <v>59</v>
      </c>
      <c r="M495" s="12" t="str">
        <f t="shared" ca="1" si="1"/>
        <v>361732 Primaria</v>
      </c>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4"/>
    </row>
    <row r="496" spans="1:36" ht="15.75" customHeight="1" x14ac:dyDescent="0.25">
      <c r="A496" s="9">
        <v>13</v>
      </c>
      <c r="B496" s="10" t="s">
        <v>54</v>
      </c>
      <c r="C496" s="10" t="s">
        <v>15</v>
      </c>
      <c r="D496" s="10" t="s">
        <v>45</v>
      </c>
      <c r="E496" s="11" t="str">
        <f ca="1">IFERROR(__xludf.DUMMYFUNCTION("FILTER(Colegios!$B$2:$B2419,Colegios!$A$2:$A2419=L496)"),"36173")</f>
        <v>36173</v>
      </c>
      <c r="F496" s="11" t="s">
        <v>17</v>
      </c>
      <c r="G496" s="10" t="s">
        <v>24</v>
      </c>
      <c r="H496" s="11" t="s">
        <v>19</v>
      </c>
      <c r="I496" s="11" t="s">
        <v>20</v>
      </c>
      <c r="J496" s="12" t="str">
        <f ca="1">IFERROR(__xludf.DUMMYFUNCTION("FILTER('CLASFICACIÓN'!$F$3:$F2419,'CLASFICACIÓN'!$G$3:$G2419=M496)"),"SOLO 2024")</f>
        <v>SOLO 2024</v>
      </c>
      <c r="K496" s="12" t="s">
        <v>2011</v>
      </c>
      <c r="L496" s="11" t="s">
        <v>59</v>
      </c>
      <c r="M496" s="12" t="str">
        <f t="shared" ca="1" si="1"/>
        <v>361732 Primaria</v>
      </c>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4"/>
    </row>
    <row r="497" spans="1:36" ht="15.75" customHeight="1" x14ac:dyDescent="0.25">
      <c r="A497" s="9">
        <v>14</v>
      </c>
      <c r="B497" s="10" t="s">
        <v>54</v>
      </c>
      <c r="C497" s="10" t="s">
        <v>15</v>
      </c>
      <c r="D497" s="10" t="s">
        <v>45</v>
      </c>
      <c r="E497" s="11" t="str">
        <f ca="1">IFERROR(__xludf.DUMMYFUNCTION("FILTER(Colegios!$B$2:$B2419,Colegios!$A$2:$A2419=L497)"),"36173")</f>
        <v>36173</v>
      </c>
      <c r="F497" s="11" t="s">
        <v>17</v>
      </c>
      <c r="G497" s="10" t="s">
        <v>18</v>
      </c>
      <c r="H497" s="11" t="s">
        <v>23</v>
      </c>
      <c r="I497" s="11" t="s">
        <v>20</v>
      </c>
      <c r="J497" s="12" t="str">
        <f ca="1">IFERROR(__xludf.DUMMYFUNCTION("FILTER('CLASFICACIÓN'!$F$3:$F2419,'CLASFICACIÓN'!$G$3:$G2419=M497)"),"SOLO 2024")</f>
        <v>SOLO 2024</v>
      </c>
      <c r="K497" s="12" t="s">
        <v>2011</v>
      </c>
      <c r="L497" s="11" t="s">
        <v>59</v>
      </c>
      <c r="M497" s="12" t="str">
        <f t="shared" ca="1" si="1"/>
        <v>361732 Primaria</v>
      </c>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4"/>
    </row>
    <row r="498" spans="1:36" ht="15.75" customHeight="1" x14ac:dyDescent="0.25">
      <c r="A498" s="9">
        <v>15</v>
      </c>
      <c r="B498" s="10" t="s">
        <v>54</v>
      </c>
      <c r="C498" s="10" t="s">
        <v>15</v>
      </c>
      <c r="D498" s="10" t="s">
        <v>45</v>
      </c>
      <c r="E498" s="11" t="str">
        <f ca="1">IFERROR(__xludf.DUMMYFUNCTION("FILTER(Colegios!$B$2:$B2419,Colegios!$A$2:$A2419=L498)"),"36173")</f>
        <v>36173</v>
      </c>
      <c r="F498" s="11" t="s">
        <v>17</v>
      </c>
      <c r="G498" s="10" t="s">
        <v>18</v>
      </c>
      <c r="H498" s="11" t="s">
        <v>23</v>
      </c>
      <c r="I498" s="11" t="s">
        <v>20</v>
      </c>
      <c r="J498" s="12" t="str">
        <f ca="1">IFERROR(__xludf.DUMMYFUNCTION("FILTER('CLASFICACIÓN'!$F$3:$F2419,'CLASFICACIÓN'!$G$3:$G2419=M498)"),"SOLO 2024")</f>
        <v>SOLO 2024</v>
      </c>
      <c r="K498" s="12" t="s">
        <v>2011</v>
      </c>
      <c r="L498" s="11" t="s">
        <v>59</v>
      </c>
      <c r="M498" s="12" t="str">
        <f t="shared" ca="1" si="1"/>
        <v>361732 Primaria</v>
      </c>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4"/>
    </row>
    <row r="499" spans="1:36" ht="15.75" customHeight="1" x14ac:dyDescent="0.25">
      <c r="A499" s="9">
        <v>16</v>
      </c>
      <c r="B499" s="10" t="s">
        <v>54</v>
      </c>
      <c r="C499" s="10" t="s">
        <v>15</v>
      </c>
      <c r="D499" s="10" t="s">
        <v>45</v>
      </c>
      <c r="E499" s="11" t="str">
        <f ca="1">IFERROR(__xludf.DUMMYFUNCTION("FILTER(Colegios!$B$2:$B2419,Colegios!$A$2:$A2419=L499)"),"36173")</f>
        <v>36173</v>
      </c>
      <c r="F499" s="11" t="s">
        <v>17</v>
      </c>
      <c r="G499" s="10" t="s">
        <v>18</v>
      </c>
      <c r="H499" s="11" t="s">
        <v>23</v>
      </c>
      <c r="I499" s="11" t="s">
        <v>20</v>
      </c>
      <c r="J499" s="12" t="str">
        <f ca="1">IFERROR(__xludf.DUMMYFUNCTION("FILTER('CLASFICACIÓN'!$F$3:$F2419,'CLASFICACIÓN'!$G$3:$G2419=M499)"),"SOLO 2024")</f>
        <v>SOLO 2024</v>
      </c>
      <c r="K499" s="12" t="s">
        <v>2011</v>
      </c>
      <c r="L499" s="11" t="s">
        <v>59</v>
      </c>
      <c r="M499" s="12" t="str">
        <f t="shared" ca="1" si="1"/>
        <v>361732 Primaria</v>
      </c>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4"/>
    </row>
    <row r="500" spans="1:36" ht="15.75" customHeight="1" x14ac:dyDescent="0.25">
      <c r="A500" s="9">
        <v>17</v>
      </c>
      <c r="B500" s="10" t="s">
        <v>54</v>
      </c>
      <c r="C500" s="10" t="s">
        <v>15</v>
      </c>
      <c r="D500" s="10" t="s">
        <v>45</v>
      </c>
      <c r="E500" s="11" t="str">
        <f ca="1">IFERROR(__xludf.DUMMYFUNCTION("FILTER(Colegios!$B$2:$B2419,Colegios!$A$2:$A2419=L500)"),"36173")</f>
        <v>36173</v>
      </c>
      <c r="F500" s="11" t="s">
        <v>17</v>
      </c>
      <c r="G500" s="10" t="s">
        <v>18</v>
      </c>
      <c r="H500" s="11" t="s">
        <v>23</v>
      </c>
      <c r="I500" s="11" t="s">
        <v>20</v>
      </c>
      <c r="J500" s="12" t="str">
        <f ca="1">IFERROR(__xludf.DUMMYFUNCTION("FILTER('CLASFICACIÓN'!$F$3:$F2419,'CLASFICACIÓN'!$G$3:$G2419=M500)"),"SOLO 2024")</f>
        <v>SOLO 2024</v>
      </c>
      <c r="K500" s="12" t="s">
        <v>2011</v>
      </c>
      <c r="L500" s="11" t="s">
        <v>59</v>
      </c>
      <c r="M500" s="12" t="str">
        <f t="shared" ca="1" si="1"/>
        <v>361732 Primaria</v>
      </c>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4"/>
    </row>
    <row r="501" spans="1:36" ht="15.75" customHeight="1" x14ac:dyDescent="0.25">
      <c r="A501" s="9">
        <v>18</v>
      </c>
      <c r="B501" s="10" t="s">
        <v>54</v>
      </c>
      <c r="C501" s="10" t="s">
        <v>15</v>
      </c>
      <c r="D501" s="10" t="s">
        <v>45</v>
      </c>
      <c r="E501" s="11" t="str">
        <f ca="1">IFERROR(__xludf.DUMMYFUNCTION("FILTER(Colegios!$B$2:$B2419,Colegios!$A$2:$A2419=L501)"),"36173")</f>
        <v>36173</v>
      </c>
      <c r="F501" s="11" t="s">
        <v>17</v>
      </c>
      <c r="G501" s="10" t="s">
        <v>18</v>
      </c>
      <c r="H501" s="11" t="s">
        <v>23</v>
      </c>
      <c r="I501" s="11" t="s">
        <v>20</v>
      </c>
      <c r="J501" s="12" t="str">
        <f ca="1">IFERROR(__xludf.DUMMYFUNCTION("FILTER('CLASFICACIÓN'!$F$3:$F2419,'CLASFICACIÓN'!$G$3:$G2419=M501)"),"SOLO 2024")</f>
        <v>SOLO 2024</v>
      </c>
      <c r="K501" s="12" t="s">
        <v>2011</v>
      </c>
      <c r="L501" s="11" t="s">
        <v>59</v>
      </c>
      <c r="M501" s="12" t="str">
        <f t="shared" ca="1" si="1"/>
        <v>361732 Primaria</v>
      </c>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4"/>
    </row>
    <row r="502" spans="1:36" ht="15.75" customHeight="1" x14ac:dyDescent="0.25">
      <c r="A502" s="9">
        <v>19</v>
      </c>
      <c r="B502" s="10" t="s">
        <v>54</v>
      </c>
      <c r="C502" s="10" t="s">
        <v>15</v>
      </c>
      <c r="D502" s="10" t="s">
        <v>45</v>
      </c>
      <c r="E502" s="11" t="str">
        <f ca="1">IFERROR(__xludf.DUMMYFUNCTION("FILTER(Colegios!$B$2:$B2419,Colegios!$A$2:$A2419=L502)"),"36173")</f>
        <v>36173</v>
      </c>
      <c r="F502" s="11" t="s">
        <v>17</v>
      </c>
      <c r="G502" s="10" t="s">
        <v>24</v>
      </c>
      <c r="H502" s="11" t="s">
        <v>23</v>
      </c>
      <c r="I502" s="11" t="s">
        <v>20</v>
      </c>
      <c r="J502" s="12" t="str">
        <f ca="1">IFERROR(__xludf.DUMMYFUNCTION("FILTER('CLASFICACIÓN'!$F$3:$F2419,'CLASFICACIÓN'!$G$3:$G2419=M502)"),"SOLO 2024")</f>
        <v>SOLO 2024</v>
      </c>
      <c r="K502" s="12" t="s">
        <v>2011</v>
      </c>
      <c r="L502" s="11" t="s">
        <v>59</v>
      </c>
      <c r="M502" s="12" t="str">
        <f t="shared" ca="1" si="1"/>
        <v>361732 Primaria</v>
      </c>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4"/>
    </row>
    <row r="503" spans="1:36" ht="15.75" customHeight="1" x14ac:dyDescent="0.25">
      <c r="A503" s="9">
        <v>20</v>
      </c>
      <c r="B503" s="10" t="s">
        <v>54</v>
      </c>
      <c r="C503" s="10" t="s">
        <v>15</v>
      </c>
      <c r="D503" s="10" t="s">
        <v>45</v>
      </c>
      <c r="E503" s="11" t="str">
        <f ca="1">IFERROR(__xludf.DUMMYFUNCTION("FILTER(Colegios!$B$2:$B2419,Colegios!$A$2:$A2419=L503)"),"36173")</f>
        <v>36173</v>
      </c>
      <c r="F503" s="11" t="s">
        <v>17</v>
      </c>
      <c r="G503" s="10" t="s">
        <v>24</v>
      </c>
      <c r="H503" s="11" t="s">
        <v>23</v>
      </c>
      <c r="I503" s="11" t="s">
        <v>20</v>
      </c>
      <c r="J503" s="12" t="str">
        <f ca="1">IFERROR(__xludf.DUMMYFUNCTION("FILTER('CLASFICACIÓN'!$F$3:$F2419,'CLASFICACIÓN'!$G$3:$G2419=M503)"),"SOLO 2024")</f>
        <v>SOLO 2024</v>
      </c>
      <c r="K503" s="12" t="s">
        <v>2011</v>
      </c>
      <c r="L503" s="11" t="s">
        <v>59</v>
      </c>
      <c r="M503" s="12" t="str">
        <f t="shared" ca="1" si="1"/>
        <v>361732 Primaria</v>
      </c>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4"/>
    </row>
    <row r="504" spans="1:36" ht="15.75" customHeight="1" x14ac:dyDescent="0.25">
      <c r="A504" s="9">
        <v>21</v>
      </c>
      <c r="B504" s="10" t="s">
        <v>54</v>
      </c>
      <c r="C504" s="10" t="s">
        <v>15</v>
      </c>
      <c r="D504" s="10" t="s">
        <v>45</v>
      </c>
      <c r="E504" s="11" t="str">
        <f ca="1">IFERROR(__xludf.DUMMYFUNCTION("FILTER(Colegios!$B$2:$B2419,Colegios!$A$2:$A2419=L504)"),"36173")</f>
        <v>36173</v>
      </c>
      <c r="F504" s="11" t="s">
        <v>17</v>
      </c>
      <c r="G504" s="10" t="s">
        <v>24</v>
      </c>
      <c r="H504" s="11" t="s">
        <v>19</v>
      </c>
      <c r="I504" s="11" t="s">
        <v>20</v>
      </c>
      <c r="J504" s="12" t="str">
        <f ca="1">IFERROR(__xludf.DUMMYFUNCTION("FILTER('CLASFICACIÓN'!$F$3:$F2419,'CLASFICACIÓN'!$G$3:$G2419=M504)"),"SOLO 2024")</f>
        <v>SOLO 2024</v>
      </c>
      <c r="K504" s="12" t="s">
        <v>2011</v>
      </c>
      <c r="L504" s="11" t="s">
        <v>59</v>
      </c>
      <c r="M504" s="12" t="str">
        <f t="shared" ca="1" si="1"/>
        <v>361732 Primaria</v>
      </c>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4"/>
    </row>
    <row r="505" spans="1:36" ht="15.75" customHeight="1" x14ac:dyDescent="0.25">
      <c r="A505" s="9">
        <v>22</v>
      </c>
      <c r="B505" s="10" t="s">
        <v>54</v>
      </c>
      <c r="C505" s="10" t="s">
        <v>15</v>
      </c>
      <c r="D505" s="10" t="s">
        <v>45</v>
      </c>
      <c r="E505" s="11" t="str">
        <f ca="1">IFERROR(__xludf.DUMMYFUNCTION("FILTER(Colegios!$B$2:$B2419,Colegios!$A$2:$A2419=L505)"),"36173")</f>
        <v>36173</v>
      </c>
      <c r="F505" s="11" t="s">
        <v>17</v>
      </c>
      <c r="G505" s="10" t="s">
        <v>24</v>
      </c>
      <c r="H505" s="11" t="s">
        <v>23</v>
      </c>
      <c r="I505" s="11" t="s">
        <v>20</v>
      </c>
      <c r="J505" s="12" t="str">
        <f ca="1">IFERROR(__xludf.DUMMYFUNCTION("FILTER('CLASFICACIÓN'!$F$3:$F2419,'CLASFICACIÓN'!$G$3:$G2419=M505)"),"SOLO 2024")</f>
        <v>SOLO 2024</v>
      </c>
      <c r="K505" s="12" t="s">
        <v>2011</v>
      </c>
      <c r="L505" s="11" t="s">
        <v>59</v>
      </c>
      <c r="M505" s="12" t="str">
        <f t="shared" ca="1" si="1"/>
        <v>361732 Primaria</v>
      </c>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4"/>
    </row>
    <row r="506" spans="1:36" ht="15.75" customHeight="1" x14ac:dyDescent="0.25">
      <c r="A506" s="9">
        <v>23</v>
      </c>
      <c r="B506" s="10" t="s">
        <v>54</v>
      </c>
      <c r="C506" s="10" t="s">
        <v>15</v>
      </c>
      <c r="D506" s="10" t="s">
        <v>16</v>
      </c>
      <c r="E506" s="11" t="str">
        <f ca="1">IFERROR(__xludf.DUMMYFUNCTION("FILTER(Colegios!$B$2:$B2419,Colegios!$A$2:$A2419=L506)"),"36173")</f>
        <v>36173</v>
      </c>
      <c r="F506" s="11" t="s">
        <v>17</v>
      </c>
      <c r="G506" s="10" t="s">
        <v>18</v>
      </c>
      <c r="H506" s="11" t="s">
        <v>23</v>
      </c>
      <c r="I506" s="11" t="s">
        <v>20</v>
      </c>
      <c r="J506" s="12" t="str">
        <f ca="1">IFERROR(__xludf.DUMMYFUNCTION("FILTER('CLASFICACIÓN'!$F$3:$F2419,'CLASFICACIÓN'!$G$3:$G2419=M506)"),"SOLO 2024")</f>
        <v>SOLO 2024</v>
      </c>
      <c r="K506" s="12" t="s">
        <v>2011</v>
      </c>
      <c r="L506" s="11" t="s">
        <v>59</v>
      </c>
      <c r="M506" s="12" t="str">
        <f t="shared" ca="1" si="1"/>
        <v>361734 Primaria</v>
      </c>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4"/>
    </row>
    <row r="507" spans="1:36" ht="15.75" customHeight="1" x14ac:dyDescent="0.25">
      <c r="A507" s="9">
        <v>24</v>
      </c>
      <c r="B507" s="10" t="s">
        <v>54</v>
      </c>
      <c r="C507" s="10" t="s">
        <v>15</v>
      </c>
      <c r="D507" s="10" t="s">
        <v>16</v>
      </c>
      <c r="E507" s="11" t="str">
        <f ca="1">IFERROR(__xludf.DUMMYFUNCTION("FILTER(Colegios!$B$2:$B2419,Colegios!$A$2:$A2419=L507)"),"36173")</f>
        <v>36173</v>
      </c>
      <c r="F507" s="11" t="s">
        <v>17</v>
      </c>
      <c r="G507" s="10" t="s">
        <v>24</v>
      </c>
      <c r="H507" s="11" t="s">
        <v>23</v>
      </c>
      <c r="I507" s="11" t="s">
        <v>20</v>
      </c>
      <c r="J507" s="12" t="str">
        <f ca="1">IFERROR(__xludf.DUMMYFUNCTION("FILTER('CLASFICACIÓN'!$F$3:$F2419,'CLASFICACIÓN'!$G$3:$G2419=M507)"),"SOLO 2024")</f>
        <v>SOLO 2024</v>
      </c>
      <c r="K507" s="12" t="s">
        <v>2011</v>
      </c>
      <c r="L507" s="11" t="s">
        <v>59</v>
      </c>
      <c r="M507" s="12" t="str">
        <f t="shared" ca="1" si="1"/>
        <v>361734 Primaria</v>
      </c>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4"/>
    </row>
    <row r="508" spans="1:36" ht="15.75" customHeight="1" x14ac:dyDescent="0.25">
      <c r="A508" s="9">
        <v>25</v>
      </c>
      <c r="B508" s="10" t="s">
        <v>54</v>
      </c>
      <c r="C508" s="10" t="s">
        <v>15</v>
      </c>
      <c r="D508" s="10" t="s">
        <v>16</v>
      </c>
      <c r="E508" s="11" t="str">
        <f ca="1">IFERROR(__xludf.DUMMYFUNCTION("FILTER(Colegios!$B$2:$B2419,Colegios!$A$2:$A2419=L508)"),"36173")</f>
        <v>36173</v>
      </c>
      <c r="F508" s="11" t="s">
        <v>17</v>
      </c>
      <c r="G508" s="10" t="s">
        <v>18</v>
      </c>
      <c r="H508" s="11" t="s">
        <v>19</v>
      </c>
      <c r="I508" s="11" t="s">
        <v>20</v>
      </c>
      <c r="J508" s="12" t="str">
        <f ca="1">IFERROR(__xludf.DUMMYFUNCTION("FILTER('CLASFICACIÓN'!$F$3:$F2419,'CLASFICACIÓN'!$G$3:$G2419=M508)"),"SOLO 2024")</f>
        <v>SOLO 2024</v>
      </c>
      <c r="K508" s="12" t="s">
        <v>2011</v>
      </c>
      <c r="L508" s="11" t="s">
        <v>59</v>
      </c>
      <c r="M508" s="12" t="str">
        <f t="shared" ca="1" si="1"/>
        <v>361734 Primaria</v>
      </c>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4"/>
    </row>
    <row r="509" spans="1:36" ht="15.75" customHeight="1" x14ac:dyDescent="0.25">
      <c r="A509" s="9">
        <v>26</v>
      </c>
      <c r="B509" s="10" t="s">
        <v>54</v>
      </c>
      <c r="C509" s="10" t="s">
        <v>15</v>
      </c>
      <c r="D509" s="10" t="s">
        <v>16</v>
      </c>
      <c r="E509" s="11" t="str">
        <f ca="1">IFERROR(__xludf.DUMMYFUNCTION("FILTER(Colegios!$B$2:$B2419,Colegios!$A$2:$A2419=L509)"),"36173")</f>
        <v>36173</v>
      </c>
      <c r="F509" s="11" t="s">
        <v>17</v>
      </c>
      <c r="G509" s="10" t="s">
        <v>18</v>
      </c>
      <c r="H509" s="11" t="s">
        <v>19</v>
      </c>
      <c r="I509" s="11" t="s">
        <v>20</v>
      </c>
      <c r="J509" s="12" t="str">
        <f ca="1">IFERROR(__xludf.DUMMYFUNCTION("FILTER('CLASFICACIÓN'!$F$3:$F2419,'CLASFICACIÓN'!$G$3:$G2419=M509)"),"SOLO 2024")</f>
        <v>SOLO 2024</v>
      </c>
      <c r="K509" s="12" t="s">
        <v>2011</v>
      </c>
      <c r="L509" s="11" t="s">
        <v>59</v>
      </c>
      <c r="M509" s="12" t="str">
        <f t="shared" ca="1" si="1"/>
        <v>361734 Primaria</v>
      </c>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4"/>
    </row>
    <row r="510" spans="1:36" ht="15.75" customHeight="1" x14ac:dyDescent="0.25">
      <c r="A510" s="9">
        <v>27</v>
      </c>
      <c r="B510" s="10" t="s">
        <v>54</v>
      </c>
      <c r="C510" s="10" t="s">
        <v>15</v>
      </c>
      <c r="D510" s="10" t="s">
        <v>16</v>
      </c>
      <c r="E510" s="11" t="str">
        <f ca="1">IFERROR(__xludf.DUMMYFUNCTION("FILTER(Colegios!$B$2:$B2419,Colegios!$A$2:$A2419=L510)"),"36173")</f>
        <v>36173</v>
      </c>
      <c r="F510" s="11" t="s">
        <v>17</v>
      </c>
      <c r="G510" s="10" t="s">
        <v>18</v>
      </c>
      <c r="H510" s="11" t="s">
        <v>23</v>
      </c>
      <c r="I510" s="11" t="s">
        <v>20</v>
      </c>
      <c r="J510" s="12" t="str">
        <f ca="1">IFERROR(__xludf.DUMMYFUNCTION("FILTER('CLASFICACIÓN'!$F$3:$F2419,'CLASFICACIÓN'!$G$3:$G2419=M510)"),"SOLO 2024")</f>
        <v>SOLO 2024</v>
      </c>
      <c r="K510" s="12" t="s">
        <v>2011</v>
      </c>
      <c r="L510" s="11" t="s">
        <v>59</v>
      </c>
      <c r="M510" s="12" t="str">
        <f t="shared" ca="1" si="1"/>
        <v>361734 Primaria</v>
      </c>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4"/>
    </row>
    <row r="511" spans="1:36" ht="15.75" customHeight="1" x14ac:dyDescent="0.25">
      <c r="A511" s="9">
        <v>28</v>
      </c>
      <c r="B511" s="10" t="s">
        <v>54</v>
      </c>
      <c r="C511" s="10" t="s">
        <v>15</v>
      </c>
      <c r="D511" s="10" t="s">
        <v>16</v>
      </c>
      <c r="E511" s="11" t="str">
        <f ca="1">IFERROR(__xludf.DUMMYFUNCTION("FILTER(Colegios!$B$2:$B2419,Colegios!$A$2:$A2419=L511)"),"36173")</f>
        <v>36173</v>
      </c>
      <c r="F511" s="11" t="s">
        <v>17</v>
      </c>
      <c r="G511" s="10" t="s">
        <v>24</v>
      </c>
      <c r="H511" s="11" t="s">
        <v>19</v>
      </c>
      <c r="I511" s="11" t="s">
        <v>20</v>
      </c>
      <c r="J511" s="12" t="str">
        <f ca="1">IFERROR(__xludf.DUMMYFUNCTION("FILTER('CLASFICACIÓN'!$F$3:$F2419,'CLASFICACIÓN'!$G$3:$G2419=M511)"),"SOLO 2024")</f>
        <v>SOLO 2024</v>
      </c>
      <c r="K511" s="12" t="s">
        <v>2011</v>
      </c>
      <c r="L511" s="11" t="s">
        <v>59</v>
      </c>
      <c r="M511" s="12" t="str">
        <f t="shared" ca="1" si="1"/>
        <v>361734 Primaria</v>
      </c>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4"/>
    </row>
    <row r="512" spans="1:36" ht="15.75" customHeight="1" x14ac:dyDescent="0.25">
      <c r="A512" s="9">
        <v>29</v>
      </c>
      <c r="B512" s="10" t="s">
        <v>54</v>
      </c>
      <c r="C512" s="10" t="s">
        <v>15</v>
      </c>
      <c r="D512" s="10" t="s">
        <v>16</v>
      </c>
      <c r="E512" s="11" t="str">
        <f ca="1">IFERROR(__xludf.DUMMYFUNCTION("FILTER(Colegios!$B$2:$B2419,Colegios!$A$2:$A2419=L512)"),"36173")</f>
        <v>36173</v>
      </c>
      <c r="F512" s="11" t="s">
        <v>17</v>
      </c>
      <c r="G512" s="10" t="s">
        <v>24</v>
      </c>
      <c r="H512" s="11" t="s">
        <v>23</v>
      </c>
      <c r="I512" s="11" t="s">
        <v>20</v>
      </c>
      <c r="J512" s="12" t="str">
        <f ca="1">IFERROR(__xludf.DUMMYFUNCTION("FILTER('CLASFICACIÓN'!$F$3:$F2419,'CLASFICACIÓN'!$G$3:$G2419=M512)"),"SOLO 2024")</f>
        <v>SOLO 2024</v>
      </c>
      <c r="K512" s="12" t="s">
        <v>2011</v>
      </c>
      <c r="L512" s="11" t="s">
        <v>59</v>
      </c>
      <c r="M512" s="12" t="str">
        <f t="shared" ref="M512:M766" ca="1" si="2">E512&amp;D512</f>
        <v>361734 Primaria</v>
      </c>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4"/>
    </row>
    <row r="513" spans="1:36" ht="15.75" customHeight="1" x14ac:dyDescent="0.25">
      <c r="A513" s="9">
        <v>30</v>
      </c>
      <c r="B513" s="10" t="s">
        <v>54</v>
      </c>
      <c r="C513" s="10" t="s">
        <v>15</v>
      </c>
      <c r="D513" s="10" t="s">
        <v>37</v>
      </c>
      <c r="E513" s="11" t="str">
        <f ca="1">IFERROR(__xludf.DUMMYFUNCTION("FILTER(Colegios!$B$2:$B2419,Colegios!$A$2:$A2419=L513)"),"36173")</f>
        <v>36173</v>
      </c>
      <c r="F513" s="11" t="s">
        <v>17</v>
      </c>
      <c r="G513" s="10" t="s">
        <v>18</v>
      </c>
      <c r="H513" s="11" t="s">
        <v>23</v>
      </c>
      <c r="I513" s="11" t="s">
        <v>20</v>
      </c>
      <c r="J513" s="12" t="str">
        <f ca="1">IFERROR(__xludf.DUMMYFUNCTION("FILTER('CLASFICACIÓN'!$F$3:$F2419,'CLASFICACIÓN'!$G$3:$G2419=M513)"),"SOLO 2024")</f>
        <v>SOLO 2024</v>
      </c>
      <c r="K513" s="12" t="s">
        <v>2011</v>
      </c>
      <c r="L513" s="11" t="s">
        <v>59</v>
      </c>
      <c r="M513" s="12" t="str">
        <f t="shared" ca="1" si="2"/>
        <v>361736 Primaria</v>
      </c>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4"/>
    </row>
    <row r="514" spans="1:36" ht="15.75" customHeight="1" x14ac:dyDescent="0.25">
      <c r="A514" s="9">
        <v>31</v>
      </c>
      <c r="B514" s="10" t="s">
        <v>54</v>
      </c>
      <c r="C514" s="10" t="s">
        <v>15</v>
      </c>
      <c r="D514" s="10" t="s">
        <v>37</v>
      </c>
      <c r="E514" s="11" t="str">
        <f ca="1">IFERROR(__xludf.DUMMYFUNCTION("FILTER(Colegios!$B$2:$B2419,Colegios!$A$2:$A2419=L514)"),"36173")</f>
        <v>36173</v>
      </c>
      <c r="F514" s="11" t="s">
        <v>17</v>
      </c>
      <c r="G514" s="10" t="s">
        <v>24</v>
      </c>
      <c r="H514" s="11" t="s">
        <v>23</v>
      </c>
      <c r="I514" s="11" t="s">
        <v>20</v>
      </c>
      <c r="J514" s="12" t="str">
        <f ca="1">IFERROR(__xludf.DUMMYFUNCTION("FILTER('CLASFICACIÓN'!$F$3:$F2419,'CLASFICACIÓN'!$G$3:$G2419=M514)"),"SOLO 2024")</f>
        <v>SOLO 2024</v>
      </c>
      <c r="K514" s="12" t="s">
        <v>2011</v>
      </c>
      <c r="L514" s="11" t="s">
        <v>59</v>
      </c>
      <c r="M514" s="12" t="str">
        <f t="shared" ca="1" si="2"/>
        <v>361736 Primaria</v>
      </c>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4"/>
    </row>
    <row r="515" spans="1:36" ht="15.75" customHeight="1" x14ac:dyDescent="0.25">
      <c r="A515" s="9">
        <v>32</v>
      </c>
      <c r="B515" s="10" t="s">
        <v>54</v>
      </c>
      <c r="C515" s="10" t="s">
        <v>15</v>
      </c>
      <c r="D515" s="10" t="s">
        <v>37</v>
      </c>
      <c r="E515" s="11" t="str">
        <f ca="1">IFERROR(__xludf.DUMMYFUNCTION("FILTER(Colegios!$B$2:$B2419,Colegios!$A$2:$A2419=L515)"),"36173")</f>
        <v>36173</v>
      </c>
      <c r="F515" s="11" t="s">
        <v>17</v>
      </c>
      <c r="G515" s="10" t="s">
        <v>18</v>
      </c>
      <c r="H515" s="11" t="s">
        <v>23</v>
      </c>
      <c r="I515" s="11" t="s">
        <v>20</v>
      </c>
      <c r="J515" s="12" t="str">
        <f ca="1">IFERROR(__xludf.DUMMYFUNCTION("FILTER('CLASFICACIÓN'!$F$3:$F2419,'CLASFICACIÓN'!$G$3:$G2419=M515)"),"SOLO 2024")</f>
        <v>SOLO 2024</v>
      </c>
      <c r="K515" s="12" t="s">
        <v>2011</v>
      </c>
      <c r="L515" s="11" t="s">
        <v>59</v>
      </c>
      <c r="M515" s="12" t="str">
        <f t="shared" ca="1" si="2"/>
        <v>361736 Primaria</v>
      </c>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4"/>
    </row>
    <row r="516" spans="1:36" ht="15.75" customHeight="1" x14ac:dyDescent="0.25">
      <c r="A516" s="9">
        <v>33</v>
      </c>
      <c r="B516" s="10" t="s">
        <v>54</v>
      </c>
      <c r="C516" s="10" t="s">
        <v>15</v>
      </c>
      <c r="D516" s="10" t="s">
        <v>37</v>
      </c>
      <c r="E516" s="11" t="str">
        <f ca="1">IFERROR(__xludf.DUMMYFUNCTION("FILTER(Colegios!$B$2:$B2419,Colegios!$A$2:$A2419=L516)"),"36173")</f>
        <v>36173</v>
      </c>
      <c r="F516" s="11" t="s">
        <v>17</v>
      </c>
      <c r="G516" s="10" t="s">
        <v>24</v>
      </c>
      <c r="H516" s="11" t="s">
        <v>23</v>
      </c>
      <c r="I516" s="11" t="s">
        <v>20</v>
      </c>
      <c r="J516" s="12" t="str">
        <f ca="1">IFERROR(__xludf.DUMMYFUNCTION("FILTER('CLASFICACIÓN'!$F$3:$F2419,'CLASFICACIÓN'!$G$3:$G2419=M516)"),"SOLO 2024")</f>
        <v>SOLO 2024</v>
      </c>
      <c r="K516" s="12" t="s">
        <v>2011</v>
      </c>
      <c r="L516" s="11" t="s">
        <v>59</v>
      </c>
      <c r="M516" s="12" t="str">
        <f t="shared" ca="1" si="2"/>
        <v>361736 Primaria</v>
      </c>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4"/>
    </row>
    <row r="517" spans="1:36" ht="15.75" customHeight="1" x14ac:dyDescent="0.25">
      <c r="A517" s="9">
        <v>34</v>
      </c>
      <c r="B517" s="10" t="s">
        <v>54</v>
      </c>
      <c r="C517" s="10" t="s">
        <v>15</v>
      </c>
      <c r="D517" s="10" t="s">
        <v>37</v>
      </c>
      <c r="E517" s="11" t="str">
        <f ca="1">IFERROR(__xludf.DUMMYFUNCTION("FILTER(Colegios!$B$2:$B2419,Colegios!$A$2:$A2419=L517)"),"36173")</f>
        <v>36173</v>
      </c>
      <c r="F517" s="11" t="s">
        <v>17</v>
      </c>
      <c r="G517" s="10" t="s">
        <v>24</v>
      </c>
      <c r="H517" s="11" t="s">
        <v>23</v>
      </c>
      <c r="I517" s="11" t="s">
        <v>20</v>
      </c>
      <c r="J517" s="12" t="str">
        <f ca="1">IFERROR(__xludf.DUMMYFUNCTION("FILTER('CLASFICACIÓN'!$F$3:$F2419,'CLASFICACIÓN'!$G$3:$G2419=M517)"),"SOLO 2024")</f>
        <v>SOLO 2024</v>
      </c>
      <c r="K517" s="12" t="s">
        <v>2011</v>
      </c>
      <c r="L517" s="11" t="s">
        <v>59</v>
      </c>
      <c r="M517" s="12" t="str">
        <f t="shared" ca="1" si="2"/>
        <v>361736 Primaria</v>
      </c>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4"/>
    </row>
    <row r="518" spans="1:36" ht="15.75" customHeight="1" x14ac:dyDescent="0.25">
      <c r="A518" s="9">
        <v>35</v>
      </c>
      <c r="B518" s="10" t="s">
        <v>54</v>
      </c>
      <c r="C518" s="10" t="s">
        <v>15</v>
      </c>
      <c r="D518" s="10" t="s">
        <v>37</v>
      </c>
      <c r="E518" s="11" t="str">
        <f ca="1">IFERROR(__xludf.DUMMYFUNCTION("FILTER(Colegios!$B$2:$B2419,Colegios!$A$2:$A2419=L518)"),"36173")</f>
        <v>36173</v>
      </c>
      <c r="F518" s="11" t="s">
        <v>17</v>
      </c>
      <c r="G518" s="10" t="s">
        <v>24</v>
      </c>
      <c r="H518" s="11" t="s">
        <v>23</v>
      </c>
      <c r="I518" s="11" t="s">
        <v>20</v>
      </c>
      <c r="J518" s="12" t="str">
        <f ca="1">IFERROR(__xludf.DUMMYFUNCTION("FILTER('CLASFICACIÓN'!$F$3:$F2419,'CLASFICACIÓN'!$G$3:$G2419=M518)"),"SOLO 2024")</f>
        <v>SOLO 2024</v>
      </c>
      <c r="K518" s="12" t="s">
        <v>2011</v>
      </c>
      <c r="L518" s="11" t="s">
        <v>59</v>
      </c>
      <c r="M518" s="12" t="str">
        <f t="shared" ca="1" si="2"/>
        <v>361736 Primaria</v>
      </c>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4"/>
    </row>
    <row r="519" spans="1:36" ht="15.75" customHeight="1" x14ac:dyDescent="0.25">
      <c r="A519" s="9">
        <v>36</v>
      </c>
      <c r="B519" s="10" t="s">
        <v>54</v>
      </c>
      <c r="C519" s="10" t="s">
        <v>15</v>
      </c>
      <c r="D519" s="10" t="s">
        <v>37</v>
      </c>
      <c r="E519" s="11" t="str">
        <f ca="1">IFERROR(__xludf.DUMMYFUNCTION("FILTER(Colegios!$B$2:$B2419,Colegios!$A$2:$A2419=L519)"),"36173")</f>
        <v>36173</v>
      </c>
      <c r="F519" s="11" t="s">
        <v>17</v>
      </c>
      <c r="G519" s="10" t="s">
        <v>18</v>
      </c>
      <c r="H519" s="11" t="s">
        <v>23</v>
      </c>
      <c r="I519" s="11" t="s">
        <v>20</v>
      </c>
      <c r="J519" s="12" t="str">
        <f ca="1">IFERROR(__xludf.DUMMYFUNCTION("FILTER('CLASFICACIÓN'!$F$3:$F2419,'CLASFICACIÓN'!$G$3:$G2419=M519)"),"SOLO 2024")</f>
        <v>SOLO 2024</v>
      </c>
      <c r="K519" s="12" t="s">
        <v>2011</v>
      </c>
      <c r="L519" s="11" t="s">
        <v>59</v>
      </c>
      <c r="M519" s="12" t="str">
        <f t="shared" ca="1" si="2"/>
        <v>361736 Primaria</v>
      </c>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4"/>
    </row>
    <row r="520" spans="1:36" ht="15.75" customHeight="1" x14ac:dyDescent="0.25">
      <c r="A520" s="9">
        <v>37</v>
      </c>
      <c r="B520" s="10" t="s">
        <v>54</v>
      </c>
      <c r="C520" s="10" t="s">
        <v>15</v>
      </c>
      <c r="D520" s="10" t="s">
        <v>37</v>
      </c>
      <c r="E520" s="11" t="str">
        <f ca="1">IFERROR(__xludf.DUMMYFUNCTION("FILTER(Colegios!$B$2:$B2419,Colegios!$A$2:$A2419=L520)"),"36173")</f>
        <v>36173</v>
      </c>
      <c r="F520" s="11" t="s">
        <v>17</v>
      </c>
      <c r="G520" s="10" t="s">
        <v>18</v>
      </c>
      <c r="H520" s="11" t="s">
        <v>23</v>
      </c>
      <c r="I520" s="11" t="s">
        <v>20</v>
      </c>
      <c r="J520" s="12" t="str">
        <f ca="1">IFERROR(__xludf.DUMMYFUNCTION("FILTER('CLASFICACIÓN'!$F$3:$F2419,'CLASFICACIÓN'!$G$3:$G2419=M520)"),"SOLO 2024")</f>
        <v>SOLO 2024</v>
      </c>
      <c r="K520" s="12" t="s">
        <v>2011</v>
      </c>
      <c r="L520" s="11" t="s">
        <v>59</v>
      </c>
      <c r="M520" s="12" t="str">
        <f t="shared" ca="1" si="2"/>
        <v>361736 Primaria</v>
      </c>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4"/>
    </row>
    <row r="521" spans="1:36" ht="15.75" customHeight="1" x14ac:dyDescent="0.25">
      <c r="A521" s="9">
        <v>1</v>
      </c>
      <c r="B521" s="10" t="s">
        <v>60</v>
      </c>
      <c r="C521" s="10" t="s">
        <v>15</v>
      </c>
      <c r="D521" s="10" t="s">
        <v>45</v>
      </c>
      <c r="E521" s="11" t="str">
        <f ca="1">IFERROR(__xludf.DUMMYFUNCTION("FILTER(Colegios!$B$2:$B2419,Colegios!$A$2:$A2419=L521)"),"60136")</f>
        <v>60136</v>
      </c>
      <c r="F521" s="11" t="s">
        <v>17</v>
      </c>
      <c r="G521" s="10" t="s">
        <v>24</v>
      </c>
      <c r="H521" s="11" t="s">
        <v>19</v>
      </c>
      <c r="I521" s="11" t="s">
        <v>20</v>
      </c>
      <c r="J521" s="12" t="str">
        <f ca="1">IFERROR(__xludf.DUMMYFUNCTION("FILTER('CLASFICACIÓN'!$F$3:$F2419,'CLASFICACIÓN'!$G$3:$G2419=M521)"),"SOLO 2024")</f>
        <v>SOLO 2024</v>
      </c>
      <c r="K521" s="12" t="s">
        <v>2014</v>
      </c>
      <c r="L521" s="11" t="s">
        <v>61</v>
      </c>
      <c r="M521" s="12" t="str">
        <f t="shared" ca="1" si="2"/>
        <v>601362 Primaria</v>
      </c>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4"/>
    </row>
    <row r="522" spans="1:36" ht="15.75" customHeight="1" x14ac:dyDescent="0.25">
      <c r="A522" s="9">
        <v>2</v>
      </c>
      <c r="B522" s="10" t="s">
        <v>60</v>
      </c>
      <c r="C522" s="10" t="s">
        <v>15</v>
      </c>
      <c r="D522" s="10" t="s">
        <v>16</v>
      </c>
      <c r="E522" s="11" t="str">
        <f ca="1">IFERROR(__xludf.DUMMYFUNCTION("FILTER(Colegios!$B$2:$B2419,Colegios!$A$2:$A2419=L522)"),"60136")</f>
        <v>60136</v>
      </c>
      <c r="F522" s="11" t="s">
        <v>17</v>
      </c>
      <c r="G522" s="10" t="s">
        <v>18</v>
      </c>
      <c r="H522" s="11" t="s">
        <v>19</v>
      </c>
      <c r="I522" s="11" t="s">
        <v>20</v>
      </c>
      <c r="J522" s="12" t="str">
        <f ca="1">IFERROR(__xludf.DUMMYFUNCTION("FILTER('CLASFICACIÓN'!$F$3:$F2419,'CLASFICACIÓN'!$G$3:$G2419=M522)"),"SOLO 2024")</f>
        <v>SOLO 2024</v>
      </c>
      <c r="K522" s="12" t="s">
        <v>2014</v>
      </c>
      <c r="L522" s="11" t="s">
        <v>61</v>
      </c>
      <c r="M522" s="12" t="str">
        <f t="shared" ca="1" si="2"/>
        <v>601364 Primaria</v>
      </c>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4"/>
    </row>
    <row r="523" spans="1:36" ht="15.75" customHeight="1" x14ac:dyDescent="0.25">
      <c r="A523" s="9">
        <v>3</v>
      </c>
      <c r="B523" s="10" t="s">
        <v>60</v>
      </c>
      <c r="C523" s="10" t="s">
        <v>15</v>
      </c>
      <c r="D523" s="10" t="s">
        <v>16</v>
      </c>
      <c r="E523" s="11" t="str">
        <f ca="1">IFERROR(__xludf.DUMMYFUNCTION("FILTER(Colegios!$B$2:$B2419,Colegios!$A$2:$A2419=L523)"),"60136")</f>
        <v>60136</v>
      </c>
      <c r="F523" s="11" t="s">
        <v>17</v>
      </c>
      <c r="G523" s="10" t="s">
        <v>24</v>
      </c>
      <c r="H523" s="11" t="s">
        <v>19</v>
      </c>
      <c r="I523" s="11" t="s">
        <v>20</v>
      </c>
      <c r="J523" s="12" t="str">
        <f ca="1">IFERROR(__xludf.DUMMYFUNCTION("FILTER('CLASFICACIÓN'!$F$3:$F2419,'CLASFICACIÓN'!$G$3:$G2419=M523)"),"SOLO 2024")</f>
        <v>SOLO 2024</v>
      </c>
      <c r="K523" s="12" t="s">
        <v>2014</v>
      </c>
      <c r="L523" s="11" t="s">
        <v>61</v>
      </c>
      <c r="M523" s="12" t="str">
        <f t="shared" ca="1" si="2"/>
        <v>601364 Primaria</v>
      </c>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4"/>
    </row>
    <row r="524" spans="1:36" ht="15.75" customHeight="1" x14ac:dyDescent="0.25">
      <c r="A524" s="9">
        <v>4</v>
      </c>
      <c r="B524" s="10" t="s">
        <v>60</v>
      </c>
      <c r="C524" s="10" t="s">
        <v>15</v>
      </c>
      <c r="D524" s="10" t="s">
        <v>37</v>
      </c>
      <c r="E524" s="11" t="str">
        <f ca="1">IFERROR(__xludf.DUMMYFUNCTION("FILTER(Colegios!$B$2:$B2419,Colegios!$A$2:$A2419=L524)"),"60136")</f>
        <v>60136</v>
      </c>
      <c r="F524" s="11" t="s">
        <v>17</v>
      </c>
      <c r="G524" s="10" t="s">
        <v>18</v>
      </c>
      <c r="H524" s="11" t="s">
        <v>19</v>
      </c>
      <c r="I524" s="11" t="s">
        <v>20</v>
      </c>
      <c r="J524" s="12" t="str">
        <f ca="1">IFERROR(__xludf.DUMMYFUNCTION("FILTER('CLASFICACIÓN'!$F$3:$F2419,'CLASFICACIÓN'!$G$3:$G2419=M524)"),"SOLO 2024")</f>
        <v>SOLO 2024</v>
      </c>
      <c r="K524" s="12" t="s">
        <v>2014</v>
      </c>
      <c r="L524" s="11" t="s">
        <v>62</v>
      </c>
      <c r="M524" s="12" t="str">
        <f t="shared" ca="1" si="2"/>
        <v>601366 Primaria</v>
      </c>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4"/>
    </row>
    <row r="525" spans="1:36" ht="15.75" customHeight="1" x14ac:dyDescent="0.25">
      <c r="A525" s="9">
        <v>5</v>
      </c>
      <c r="B525" s="10" t="s">
        <v>60</v>
      </c>
      <c r="C525" s="10" t="s">
        <v>15</v>
      </c>
      <c r="D525" s="10" t="s">
        <v>37</v>
      </c>
      <c r="E525" s="11" t="str">
        <f ca="1">IFERROR(__xludf.DUMMYFUNCTION("FILTER(Colegios!$B$2:$B2419,Colegios!$A$2:$A2419=L525)"),"60136")</f>
        <v>60136</v>
      </c>
      <c r="F525" s="11" t="s">
        <v>17</v>
      </c>
      <c r="G525" s="10" t="s">
        <v>24</v>
      </c>
      <c r="H525" s="11" t="s">
        <v>23</v>
      </c>
      <c r="I525" s="11" t="s">
        <v>20</v>
      </c>
      <c r="J525" s="12" t="str">
        <f ca="1">IFERROR(__xludf.DUMMYFUNCTION("FILTER('CLASFICACIÓN'!$F$3:$F2419,'CLASFICACIÓN'!$G$3:$G2419=M525)"),"SOLO 2024")</f>
        <v>SOLO 2024</v>
      </c>
      <c r="K525" s="12" t="s">
        <v>2014</v>
      </c>
      <c r="L525" s="11" t="s">
        <v>61</v>
      </c>
      <c r="M525" s="12" t="str">
        <f t="shared" ca="1" si="2"/>
        <v>601366 Primaria</v>
      </c>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4"/>
    </row>
    <row r="526" spans="1:36" ht="15.75" customHeight="1" x14ac:dyDescent="0.25">
      <c r="A526" s="9">
        <v>6</v>
      </c>
      <c r="B526" s="10" t="s">
        <v>60</v>
      </c>
      <c r="C526" s="10" t="s">
        <v>15</v>
      </c>
      <c r="D526" s="10" t="s">
        <v>45</v>
      </c>
      <c r="E526" s="11" t="str">
        <f ca="1">IFERROR(__xludf.DUMMYFUNCTION("FILTER(Colegios!$B$2:$B2419,Colegios!$A$2:$A2419=L526)"),"6010102")</f>
        <v>6010102</v>
      </c>
      <c r="F526" s="11" t="s">
        <v>17</v>
      </c>
      <c r="G526" s="10" t="s">
        <v>18</v>
      </c>
      <c r="H526" s="11" t="s">
        <v>23</v>
      </c>
      <c r="I526" s="11" t="s">
        <v>20</v>
      </c>
      <c r="J526" s="12" t="str">
        <f ca="1">IFERROR(__xludf.DUMMYFUNCTION("FILTER('CLASFICACIÓN'!$F$3:$F2419,'CLASFICACIÓN'!$G$3:$G2419=M526)"),"SOLO 2024")</f>
        <v>SOLO 2024</v>
      </c>
      <c r="K526" s="12" t="s">
        <v>2014</v>
      </c>
      <c r="L526" s="11" t="s">
        <v>63</v>
      </c>
      <c r="M526" s="12" t="str">
        <f t="shared" ca="1" si="2"/>
        <v>60101022 Primaria</v>
      </c>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4"/>
    </row>
    <row r="527" spans="1:36" ht="15.75" customHeight="1" x14ac:dyDescent="0.25">
      <c r="A527" s="9">
        <v>7</v>
      </c>
      <c r="B527" s="10" t="s">
        <v>60</v>
      </c>
      <c r="C527" s="10" t="s">
        <v>15</v>
      </c>
      <c r="D527" s="10" t="s">
        <v>45</v>
      </c>
      <c r="E527" s="11" t="str">
        <f ca="1">IFERROR(__xludf.DUMMYFUNCTION("FILTER(Colegios!$B$2:$B2419,Colegios!$A$2:$A2419=L527)"),"6010102")</f>
        <v>6010102</v>
      </c>
      <c r="F527" s="11" t="s">
        <v>17</v>
      </c>
      <c r="G527" s="10" t="s">
        <v>24</v>
      </c>
      <c r="H527" s="11" t="s">
        <v>23</v>
      </c>
      <c r="I527" s="11" t="s">
        <v>20</v>
      </c>
      <c r="J527" s="12" t="str">
        <f ca="1">IFERROR(__xludf.DUMMYFUNCTION("FILTER('CLASFICACIÓN'!$F$3:$F2419,'CLASFICACIÓN'!$G$3:$G2419=M527)"),"SOLO 2024")</f>
        <v>SOLO 2024</v>
      </c>
      <c r="K527" s="12" t="s">
        <v>2014</v>
      </c>
      <c r="L527" s="11" t="s">
        <v>63</v>
      </c>
      <c r="M527" s="12" t="str">
        <f t="shared" ca="1" si="2"/>
        <v>60101022 Primaria</v>
      </c>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4"/>
    </row>
    <row r="528" spans="1:36" ht="15.75" customHeight="1" x14ac:dyDescent="0.25">
      <c r="A528" s="9">
        <v>8</v>
      </c>
      <c r="B528" s="10" t="s">
        <v>60</v>
      </c>
      <c r="C528" s="10" t="s">
        <v>15</v>
      </c>
      <c r="D528" s="10" t="s">
        <v>45</v>
      </c>
      <c r="E528" s="11" t="str">
        <f ca="1">IFERROR(__xludf.DUMMYFUNCTION("FILTER(Colegios!$B$2:$B2419,Colegios!$A$2:$A2419=L528)"),"6010102")</f>
        <v>6010102</v>
      </c>
      <c r="F528" s="11" t="s">
        <v>17</v>
      </c>
      <c r="G528" s="10" t="s">
        <v>18</v>
      </c>
      <c r="H528" s="11" t="s">
        <v>19</v>
      </c>
      <c r="I528" s="11" t="s">
        <v>20</v>
      </c>
      <c r="J528" s="12" t="str">
        <f ca="1">IFERROR(__xludf.DUMMYFUNCTION("FILTER('CLASFICACIÓN'!$F$3:$F2419,'CLASFICACIÓN'!$G$3:$G2419=M528)"),"SOLO 2024")</f>
        <v>SOLO 2024</v>
      </c>
      <c r="K528" s="12" t="s">
        <v>2014</v>
      </c>
      <c r="L528" s="11" t="s">
        <v>63</v>
      </c>
      <c r="M528" s="12" t="str">
        <f t="shared" ca="1" si="2"/>
        <v>60101022 Primaria</v>
      </c>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4"/>
    </row>
    <row r="529" spans="1:36" ht="15.75" customHeight="1" x14ac:dyDescent="0.25">
      <c r="A529" s="9">
        <v>9</v>
      </c>
      <c r="B529" s="10" t="s">
        <v>60</v>
      </c>
      <c r="C529" s="10" t="s">
        <v>15</v>
      </c>
      <c r="D529" s="10" t="s">
        <v>16</v>
      </c>
      <c r="E529" s="11" t="str">
        <f ca="1">IFERROR(__xludf.DUMMYFUNCTION("FILTER(Colegios!$B$2:$B2419,Colegios!$A$2:$A2419=L529)"),"6010102")</f>
        <v>6010102</v>
      </c>
      <c r="F529" s="11" t="s">
        <v>17</v>
      </c>
      <c r="G529" s="10" t="s">
        <v>18</v>
      </c>
      <c r="H529" s="11" t="s">
        <v>19</v>
      </c>
      <c r="I529" s="11" t="s">
        <v>20</v>
      </c>
      <c r="J529" s="12" t="str">
        <f ca="1">IFERROR(__xludf.DUMMYFUNCTION("FILTER('CLASFICACIÓN'!$F$3:$F2419,'CLASFICACIÓN'!$G$3:$G2419=M529)"),"SOLO 2024")</f>
        <v>SOLO 2024</v>
      </c>
      <c r="K529" s="12" t="s">
        <v>2014</v>
      </c>
      <c r="L529" s="11" t="s">
        <v>63</v>
      </c>
      <c r="M529" s="12" t="str">
        <f t="shared" ca="1" si="2"/>
        <v>60101024 Primaria</v>
      </c>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4"/>
    </row>
    <row r="530" spans="1:36" ht="15.75" customHeight="1" x14ac:dyDescent="0.25">
      <c r="A530" s="9">
        <v>10</v>
      </c>
      <c r="B530" s="10" t="s">
        <v>60</v>
      </c>
      <c r="C530" s="10" t="s">
        <v>15</v>
      </c>
      <c r="D530" s="10" t="s">
        <v>16</v>
      </c>
      <c r="E530" s="11" t="str">
        <f ca="1">IFERROR(__xludf.DUMMYFUNCTION("FILTER(Colegios!$B$2:$B2419,Colegios!$A$2:$A2419=L530)"),"6010102")</f>
        <v>6010102</v>
      </c>
      <c r="F530" s="11" t="s">
        <v>17</v>
      </c>
      <c r="G530" s="10" t="s">
        <v>24</v>
      </c>
      <c r="H530" s="11" t="s">
        <v>19</v>
      </c>
      <c r="I530" s="11" t="s">
        <v>20</v>
      </c>
      <c r="J530" s="12" t="str">
        <f ca="1">IFERROR(__xludf.DUMMYFUNCTION("FILTER('CLASFICACIÓN'!$F$3:$F2419,'CLASFICACIÓN'!$G$3:$G2419=M530)"),"SOLO 2024")</f>
        <v>SOLO 2024</v>
      </c>
      <c r="K530" s="12" t="s">
        <v>2014</v>
      </c>
      <c r="L530" s="11" t="s">
        <v>63</v>
      </c>
      <c r="M530" s="12" t="str">
        <f t="shared" ca="1" si="2"/>
        <v>60101024 Primaria</v>
      </c>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4"/>
    </row>
    <row r="531" spans="1:36" ht="15.75" customHeight="1" x14ac:dyDescent="0.25">
      <c r="A531" s="9">
        <v>11</v>
      </c>
      <c r="B531" s="10" t="s">
        <v>60</v>
      </c>
      <c r="C531" s="10" t="s">
        <v>15</v>
      </c>
      <c r="D531" s="10" t="s">
        <v>16</v>
      </c>
      <c r="E531" s="11" t="str">
        <f ca="1">IFERROR(__xludf.DUMMYFUNCTION("FILTER(Colegios!$B$2:$B2419,Colegios!$A$2:$A2419=L531)"),"6010102")</f>
        <v>6010102</v>
      </c>
      <c r="F531" s="11" t="s">
        <v>17</v>
      </c>
      <c r="G531" s="10" t="s">
        <v>24</v>
      </c>
      <c r="H531" s="11" t="s">
        <v>19</v>
      </c>
      <c r="I531" s="11" t="s">
        <v>20</v>
      </c>
      <c r="J531" s="12" t="str">
        <f ca="1">IFERROR(__xludf.DUMMYFUNCTION("FILTER('CLASFICACIÓN'!$F$3:$F2419,'CLASFICACIÓN'!$G$3:$G2419=M531)"),"SOLO 2024")</f>
        <v>SOLO 2024</v>
      </c>
      <c r="K531" s="12" t="s">
        <v>2014</v>
      </c>
      <c r="L531" s="11" t="s">
        <v>63</v>
      </c>
      <c r="M531" s="12" t="str">
        <f t="shared" ca="1" si="2"/>
        <v>60101024 Primaria</v>
      </c>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4"/>
    </row>
    <row r="532" spans="1:36" ht="15.75" customHeight="1" x14ac:dyDescent="0.25">
      <c r="A532" s="9">
        <v>12</v>
      </c>
      <c r="B532" s="10" t="s">
        <v>60</v>
      </c>
      <c r="C532" s="10" t="s">
        <v>15</v>
      </c>
      <c r="D532" s="10" t="s">
        <v>16</v>
      </c>
      <c r="E532" s="11" t="str">
        <f ca="1">IFERROR(__xludf.DUMMYFUNCTION("FILTER(Colegios!$B$2:$B2419,Colegios!$A$2:$A2419=L532)"),"6010102")</f>
        <v>6010102</v>
      </c>
      <c r="F532" s="11" t="s">
        <v>17</v>
      </c>
      <c r="G532" s="10" t="s">
        <v>18</v>
      </c>
      <c r="H532" s="11" t="s">
        <v>23</v>
      </c>
      <c r="I532" s="11" t="s">
        <v>20</v>
      </c>
      <c r="J532" s="12" t="str">
        <f ca="1">IFERROR(__xludf.DUMMYFUNCTION("FILTER('CLASFICACIÓN'!$F$3:$F2419,'CLASFICACIÓN'!$G$3:$G2419=M532)"),"SOLO 2024")</f>
        <v>SOLO 2024</v>
      </c>
      <c r="K532" s="12" t="s">
        <v>2014</v>
      </c>
      <c r="L532" s="11" t="s">
        <v>63</v>
      </c>
      <c r="M532" s="12" t="str">
        <f t="shared" ca="1" si="2"/>
        <v>60101024 Primaria</v>
      </c>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4"/>
    </row>
    <row r="533" spans="1:36" ht="15.75" customHeight="1" x14ac:dyDescent="0.25">
      <c r="A533" s="9">
        <v>13</v>
      </c>
      <c r="B533" s="10" t="s">
        <v>60</v>
      </c>
      <c r="C533" s="10" t="s">
        <v>15</v>
      </c>
      <c r="D533" s="10" t="s">
        <v>16</v>
      </c>
      <c r="E533" s="11" t="str">
        <f ca="1">IFERROR(__xludf.DUMMYFUNCTION("FILTER(Colegios!$B$2:$B2419,Colegios!$A$2:$A2419=L533)"),"6010102")</f>
        <v>6010102</v>
      </c>
      <c r="F533" s="11" t="s">
        <v>17</v>
      </c>
      <c r="G533" s="10" t="s">
        <v>18</v>
      </c>
      <c r="H533" s="11" t="s">
        <v>19</v>
      </c>
      <c r="I533" s="11" t="s">
        <v>20</v>
      </c>
      <c r="J533" s="12" t="str">
        <f ca="1">IFERROR(__xludf.DUMMYFUNCTION("FILTER('CLASFICACIÓN'!$F$3:$F2419,'CLASFICACIÓN'!$G$3:$G2419=M533)"),"SOLO 2024")</f>
        <v>SOLO 2024</v>
      </c>
      <c r="K533" s="12" t="s">
        <v>2014</v>
      </c>
      <c r="L533" s="11" t="s">
        <v>63</v>
      </c>
      <c r="M533" s="12" t="str">
        <f t="shared" ca="1" si="2"/>
        <v>60101024 Primaria</v>
      </c>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4"/>
    </row>
    <row r="534" spans="1:36" ht="15.75" customHeight="1" x14ac:dyDescent="0.25">
      <c r="A534" s="9">
        <v>14</v>
      </c>
      <c r="B534" s="10" t="s">
        <v>60</v>
      </c>
      <c r="C534" s="10" t="s">
        <v>15</v>
      </c>
      <c r="D534" s="10" t="s">
        <v>37</v>
      </c>
      <c r="E534" s="11" t="str">
        <f ca="1">IFERROR(__xludf.DUMMYFUNCTION("FILTER(Colegios!$B$2:$B2419,Colegios!$A$2:$A2419=L534)"),"6010102")</f>
        <v>6010102</v>
      </c>
      <c r="F534" s="11" t="s">
        <v>17</v>
      </c>
      <c r="G534" s="10" t="s">
        <v>24</v>
      </c>
      <c r="H534" s="11" t="s">
        <v>19</v>
      </c>
      <c r="I534" s="11" t="s">
        <v>20</v>
      </c>
      <c r="J534" s="12" t="str">
        <f ca="1">IFERROR(__xludf.DUMMYFUNCTION("FILTER('CLASFICACIÓN'!$F$3:$F2419,'CLASFICACIÓN'!$G$3:$G2419=M534)"),"SOLO 2024")</f>
        <v>SOLO 2024</v>
      </c>
      <c r="K534" s="12" t="s">
        <v>2014</v>
      </c>
      <c r="L534" s="11" t="s">
        <v>63</v>
      </c>
      <c r="M534" s="12" t="str">
        <f t="shared" ca="1" si="2"/>
        <v>60101026 Primaria</v>
      </c>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4"/>
    </row>
    <row r="535" spans="1:36" ht="15.75" customHeight="1" x14ac:dyDescent="0.25">
      <c r="A535" s="9">
        <v>15</v>
      </c>
      <c r="B535" s="10" t="s">
        <v>60</v>
      </c>
      <c r="C535" s="10" t="s">
        <v>15</v>
      </c>
      <c r="D535" s="10" t="s">
        <v>37</v>
      </c>
      <c r="E535" s="11" t="str">
        <f ca="1">IFERROR(__xludf.DUMMYFUNCTION("FILTER(Colegios!$B$2:$B2419,Colegios!$A$2:$A2419=L535)"),"6010102")</f>
        <v>6010102</v>
      </c>
      <c r="F535" s="11" t="s">
        <v>17</v>
      </c>
      <c r="G535" s="10" t="s">
        <v>24</v>
      </c>
      <c r="H535" s="11" t="s">
        <v>23</v>
      </c>
      <c r="I535" s="11" t="s">
        <v>20</v>
      </c>
      <c r="J535" s="12" t="str">
        <f ca="1">IFERROR(__xludf.DUMMYFUNCTION("FILTER('CLASFICACIÓN'!$F$3:$F2419,'CLASFICACIÓN'!$G$3:$G2419=M535)"),"SOLO 2024")</f>
        <v>SOLO 2024</v>
      </c>
      <c r="K535" s="12" t="s">
        <v>2014</v>
      </c>
      <c r="L535" s="11" t="s">
        <v>63</v>
      </c>
      <c r="M535" s="12" t="str">
        <f t="shared" ca="1" si="2"/>
        <v>60101026 Primaria</v>
      </c>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4"/>
    </row>
    <row r="536" spans="1:36" ht="15.75" customHeight="1" x14ac:dyDescent="0.25">
      <c r="A536" s="9">
        <v>16</v>
      </c>
      <c r="B536" s="10" t="s">
        <v>60</v>
      </c>
      <c r="C536" s="10" t="s">
        <v>15</v>
      </c>
      <c r="D536" s="10" t="s">
        <v>45</v>
      </c>
      <c r="E536" s="11" t="str">
        <f ca="1">IFERROR(__xludf.DUMMYFUNCTION("FILTER(Colegios!$B$2:$B2419,Colegios!$A$2:$A2419=L536)"),"601448")</f>
        <v>601448</v>
      </c>
      <c r="F536" s="11" t="s">
        <v>17</v>
      </c>
      <c r="G536" s="10" t="s">
        <v>24</v>
      </c>
      <c r="H536" s="11" t="s">
        <v>23</v>
      </c>
      <c r="I536" s="11" t="s">
        <v>20</v>
      </c>
      <c r="J536" s="12" t="str">
        <f ca="1">IFERROR(__xludf.DUMMYFUNCTION("FILTER('CLASFICACIÓN'!$F$3:$F2419,'CLASFICACIÓN'!$G$3:$G2419=M536)"),"2023 Y 2024")</f>
        <v>2023 Y 2024</v>
      </c>
      <c r="K536" s="12" t="s">
        <v>2011</v>
      </c>
      <c r="L536" s="11" t="s">
        <v>64</v>
      </c>
      <c r="M536" s="12" t="str">
        <f t="shared" ca="1" si="2"/>
        <v>6014482 Primaria</v>
      </c>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4"/>
    </row>
    <row r="537" spans="1:36" ht="15.75" customHeight="1" x14ac:dyDescent="0.25">
      <c r="A537" s="9">
        <v>17</v>
      </c>
      <c r="B537" s="10" t="s">
        <v>60</v>
      </c>
      <c r="C537" s="10" t="s">
        <v>15</v>
      </c>
      <c r="D537" s="10" t="s">
        <v>45</v>
      </c>
      <c r="E537" s="11" t="str">
        <f ca="1">IFERROR(__xludf.DUMMYFUNCTION("FILTER(Colegios!$B$2:$B2419,Colegios!$A$2:$A2419=L537)"),"601448")</f>
        <v>601448</v>
      </c>
      <c r="F537" s="11" t="s">
        <v>17</v>
      </c>
      <c r="G537" s="10" t="s">
        <v>18</v>
      </c>
      <c r="H537" s="11" t="s">
        <v>19</v>
      </c>
      <c r="I537" s="11" t="s">
        <v>20</v>
      </c>
      <c r="J537" s="12" t="str">
        <f ca="1">IFERROR(__xludf.DUMMYFUNCTION("FILTER('CLASFICACIÓN'!$F$3:$F2419,'CLASFICACIÓN'!$G$3:$G2419=M537)"),"2023 Y 2024")</f>
        <v>2023 Y 2024</v>
      </c>
      <c r="K537" s="12" t="s">
        <v>2011</v>
      </c>
      <c r="L537" s="11" t="s">
        <v>64</v>
      </c>
      <c r="M537" s="12" t="str">
        <f t="shared" ca="1" si="2"/>
        <v>6014482 Primaria</v>
      </c>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4"/>
    </row>
    <row r="538" spans="1:36" ht="15.75" customHeight="1" x14ac:dyDescent="0.25">
      <c r="A538" s="9">
        <v>18</v>
      </c>
      <c r="B538" s="10" t="s">
        <v>60</v>
      </c>
      <c r="C538" s="10" t="s">
        <v>15</v>
      </c>
      <c r="D538" s="10" t="s">
        <v>45</v>
      </c>
      <c r="E538" s="11" t="str">
        <f ca="1">IFERROR(__xludf.DUMMYFUNCTION("FILTER(Colegios!$B$2:$B2419,Colegios!$A$2:$A2419=L538)"),"601448")</f>
        <v>601448</v>
      </c>
      <c r="F538" s="11" t="s">
        <v>17</v>
      </c>
      <c r="G538" s="10" t="s">
        <v>18</v>
      </c>
      <c r="H538" s="11" t="s">
        <v>19</v>
      </c>
      <c r="I538" s="11" t="s">
        <v>20</v>
      </c>
      <c r="J538" s="12" t="str">
        <f ca="1">IFERROR(__xludf.DUMMYFUNCTION("FILTER('CLASFICACIÓN'!$F$3:$F2419,'CLASFICACIÓN'!$G$3:$G2419=M538)"),"2023 Y 2024")</f>
        <v>2023 Y 2024</v>
      </c>
      <c r="K538" s="12" t="s">
        <v>2011</v>
      </c>
      <c r="L538" s="11" t="s">
        <v>64</v>
      </c>
      <c r="M538" s="12" t="str">
        <f t="shared" ca="1" si="2"/>
        <v>6014482 Primaria</v>
      </c>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4"/>
    </row>
    <row r="539" spans="1:36" ht="15.75" customHeight="1" x14ac:dyDescent="0.25">
      <c r="A539" s="9">
        <v>19</v>
      </c>
      <c r="B539" s="10" t="s">
        <v>60</v>
      </c>
      <c r="C539" s="10" t="s">
        <v>15</v>
      </c>
      <c r="D539" s="10" t="s">
        <v>16</v>
      </c>
      <c r="E539" s="11" t="str">
        <f ca="1">IFERROR(__xludf.DUMMYFUNCTION("FILTER(Colegios!$B$2:$B2419,Colegios!$A$2:$A2419=L539)"),"601448")</f>
        <v>601448</v>
      </c>
      <c r="F539" s="11" t="s">
        <v>17</v>
      </c>
      <c r="G539" s="10" t="s">
        <v>18</v>
      </c>
      <c r="H539" s="11" t="s">
        <v>19</v>
      </c>
      <c r="I539" s="11" t="s">
        <v>20</v>
      </c>
      <c r="J539" s="12" t="str">
        <f ca="1">IFERROR(__xludf.DUMMYFUNCTION("FILTER('CLASFICACIÓN'!$F$3:$F2419,'CLASFICACIÓN'!$G$3:$G2419=M539)"),"LOS 3 AÑOS")</f>
        <v>LOS 3 AÑOS</v>
      </c>
      <c r="K539" s="12" t="s">
        <v>2011</v>
      </c>
      <c r="L539" s="11" t="s">
        <v>64</v>
      </c>
      <c r="M539" s="12" t="str">
        <f t="shared" ca="1" si="2"/>
        <v>6014484 Primaria</v>
      </c>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4"/>
    </row>
    <row r="540" spans="1:36" ht="15.75" customHeight="1" x14ac:dyDescent="0.25">
      <c r="A540" s="9">
        <v>20</v>
      </c>
      <c r="B540" s="10" t="s">
        <v>60</v>
      </c>
      <c r="C540" s="10" t="s">
        <v>15</v>
      </c>
      <c r="D540" s="10" t="s">
        <v>16</v>
      </c>
      <c r="E540" s="11" t="str">
        <f ca="1">IFERROR(__xludf.DUMMYFUNCTION("FILTER(Colegios!$B$2:$B2419,Colegios!$A$2:$A2419=L540)"),"601448")</f>
        <v>601448</v>
      </c>
      <c r="F540" s="11" t="s">
        <v>17</v>
      </c>
      <c r="G540" s="10" t="s">
        <v>24</v>
      </c>
      <c r="H540" s="11" t="s">
        <v>19</v>
      </c>
      <c r="I540" s="11" t="s">
        <v>20</v>
      </c>
      <c r="J540" s="12" t="str">
        <f ca="1">IFERROR(__xludf.DUMMYFUNCTION("FILTER('CLASFICACIÓN'!$F$3:$F2419,'CLASFICACIÓN'!$G$3:$G2419=M540)"),"LOS 3 AÑOS")</f>
        <v>LOS 3 AÑOS</v>
      </c>
      <c r="K540" s="12" t="s">
        <v>2011</v>
      </c>
      <c r="L540" s="11" t="s">
        <v>64</v>
      </c>
      <c r="M540" s="12" t="str">
        <f t="shared" ca="1" si="2"/>
        <v>6014484 Primaria</v>
      </c>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4"/>
    </row>
    <row r="541" spans="1:36" ht="15.75" customHeight="1" x14ac:dyDescent="0.25">
      <c r="A541" s="9">
        <v>21</v>
      </c>
      <c r="B541" s="10" t="s">
        <v>60</v>
      </c>
      <c r="C541" s="10" t="s">
        <v>15</v>
      </c>
      <c r="D541" s="10" t="s">
        <v>37</v>
      </c>
      <c r="E541" s="11" t="str">
        <f ca="1">IFERROR(__xludf.DUMMYFUNCTION("FILTER(Colegios!$B$2:$B2419,Colegios!$A$2:$A2419=L541)"),"601448")</f>
        <v>601448</v>
      </c>
      <c r="F541" s="11" t="s">
        <v>17</v>
      </c>
      <c r="G541" s="10" t="s">
        <v>18</v>
      </c>
      <c r="H541" s="11" t="s">
        <v>19</v>
      </c>
      <c r="I541" s="11" t="s">
        <v>20</v>
      </c>
      <c r="J541" s="12" t="str">
        <f ca="1">IFERROR(__xludf.DUMMYFUNCTION("FILTER('CLASFICACIÓN'!$F$3:$F2419,'CLASFICACIÓN'!$G$3:$G2419=M541)"),"2023 Y 2024")</f>
        <v>2023 Y 2024</v>
      </c>
      <c r="K541" s="12" t="s">
        <v>2011</v>
      </c>
      <c r="L541" s="11" t="s">
        <v>64</v>
      </c>
      <c r="M541" s="12" t="str">
        <f t="shared" ca="1" si="2"/>
        <v>6014486 Primaria</v>
      </c>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4"/>
    </row>
    <row r="542" spans="1:36" ht="15.75" customHeight="1" x14ac:dyDescent="0.25">
      <c r="A542" s="9">
        <v>22</v>
      </c>
      <c r="B542" s="10" t="s">
        <v>60</v>
      </c>
      <c r="C542" s="10" t="s">
        <v>15</v>
      </c>
      <c r="D542" s="10" t="s">
        <v>37</v>
      </c>
      <c r="E542" s="11" t="str">
        <f ca="1">IFERROR(__xludf.DUMMYFUNCTION("FILTER(Colegios!$B$2:$B2419,Colegios!$A$2:$A2419=L542)"),"601448")</f>
        <v>601448</v>
      </c>
      <c r="F542" s="11" t="s">
        <v>17</v>
      </c>
      <c r="G542" s="10" t="s">
        <v>24</v>
      </c>
      <c r="H542" s="11" t="s">
        <v>19</v>
      </c>
      <c r="I542" s="11" t="s">
        <v>20</v>
      </c>
      <c r="J542" s="12" t="str">
        <f ca="1">IFERROR(__xludf.DUMMYFUNCTION("FILTER('CLASFICACIÓN'!$F$3:$F2419,'CLASFICACIÓN'!$G$3:$G2419=M542)"),"2023 Y 2024")</f>
        <v>2023 Y 2024</v>
      </c>
      <c r="K542" s="12" t="s">
        <v>2011</v>
      </c>
      <c r="L542" s="11" t="s">
        <v>64</v>
      </c>
      <c r="M542" s="12" t="str">
        <f t="shared" ca="1" si="2"/>
        <v>6014486 Primaria</v>
      </c>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4"/>
    </row>
    <row r="543" spans="1:36" ht="15.75" customHeight="1" x14ac:dyDescent="0.25">
      <c r="A543" s="9">
        <v>23</v>
      </c>
      <c r="B543" s="10" t="s">
        <v>60</v>
      </c>
      <c r="C543" s="10" t="s">
        <v>41</v>
      </c>
      <c r="D543" s="10" t="s">
        <v>42</v>
      </c>
      <c r="E543" s="11" t="str">
        <f ca="1">IFERROR(__xludf.DUMMYFUNCTION("FILTER(Colegios!$B$2:$B2419,Colegios!$A$2:$A2419=L543)"),"EL MILAGRO")</f>
        <v>EL MILAGRO</v>
      </c>
      <c r="F543" s="11" t="s">
        <v>17</v>
      </c>
      <c r="G543" s="10" t="s">
        <v>18</v>
      </c>
      <c r="H543" s="11" t="s">
        <v>23</v>
      </c>
      <c r="I543" s="11" t="s">
        <v>20</v>
      </c>
      <c r="J543" s="12" t="str">
        <f ca="1">IFERROR(__xludf.DUMMYFUNCTION("FILTER('CLASFICACIÓN'!$F$3:$F2419,'CLASFICACIÓN'!$G$3:$G2419=M543)"),"LOS 3 AÑOS")</f>
        <v>LOS 3 AÑOS</v>
      </c>
      <c r="K543" s="12" t="s">
        <v>2013</v>
      </c>
      <c r="L543" s="11" t="s">
        <v>65</v>
      </c>
      <c r="M543" s="12" t="str">
        <f t="shared" ca="1" si="2"/>
        <v>EL MILAGRO2 Secundaria</v>
      </c>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4"/>
    </row>
    <row r="544" spans="1:36" ht="15.75" customHeight="1" x14ac:dyDescent="0.25">
      <c r="A544" s="9">
        <v>24</v>
      </c>
      <c r="B544" s="10" t="s">
        <v>60</v>
      </c>
      <c r="C544" s="10" t="s">
        <v>41</v>
      </c>
      <c r="D544" s="10" t="s">
        <v>42</v>
      </c>
      <c r="E544" s="11" t="str">
        <f ca="1">IFERROR(__xludf.DUMMYFUNCTION("FILTER(Colegios!$B$2:$B2419,Colegios!$A$2:$A2419=L544)"),"EL MILAGRO")</f>
        <v>EL MILAGRO</v>
      </c>
      <c r="F544" s="11" t="s">
        <v>17</v>
      </c>
      <c r="G544" s="10" t="s">
        <v>24</v>
      </c>
      <c r="H544" s="11" t="s">
        <v>19</v>
      </c>
      <c r="I544" s="11" t="s">
        <v>20</v>
      </c>
      <c r="J544" s="12" t="str">
        <f ca="1">IFERROR(__xludf.DUMMYFUNCTION("FILTER('CLASFICACIÓN'!$F$3:$F2419,'CLASFICACIÓN'!$G$3:$G2419=M544)"),"LOS 3 AÑOS")</f>
        <v>LOS 3 AÑOS</v>
      </c>
      <c r="K544" s="12" t="s">
        <v>2013</v>
      </c>
      <c r="L544" s="11" t="s">
        <v>65</v>
      </c>
      <c r="M544" s="12" t="str">
        <f t="shared" ca="1" si="2"/>
        <v>EL MILAGRO2 Secundaria</v>
      </c>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4"/>
    </row>
    <row r="545" spans="1:36" ht="15.75" customHeight="1" x14ac:dyDescent="0.25">
      <c r="A545" s="9">
        <v>25</v>
      </c>
      <c r="B545" s="10" t="s">
        <v>60</v>
      </c>
      <c r="C545" s="10" t="s">
        <v>41</v>
      </c>
      <c r="D545" s="10" t="s">
        <v>42</v>
      </c>
      <c r="E545" s="11" t="str">
        <f ca="1">IFERROR(__xludf.DUMMYFUNCTION("FILTER(Colegios!$B$2:$B2419,Colegios!$A$2:$A2419=L545)"),"EL MILAGRO")</f>
        <v>EL MILAGRO</v>
      </c>
      <c r="F545" s="11" t="s">
        <v>17</v>
      </c>
      <c r="G545" s="10" t="s">
        <v>24</v>
      </c>
      <c r="H545" s="11" t="s">
        <v>19</v>
      </c>
      <c r="I545" s="11" t="s">
        <v>20</v>
      </c>
      <c r="J545" s="12" t="str">
        <f ca="1">IFERROR(__xludf.DUMMYFUNCTION("FILTER('CLASFICACIÓN'!$F$3:$F2419,'CLASFICACIÓN'!$G$3:$G2419=M545)"),"LOS 3 AÑOS")</f>
        <v>LOS 3 AÑOS</v>
      </c>
      <c r="K545" s="12" t="s">
        <v>2013</v>
      </c>
      <c r="L545" s="11" t="s">
        <v>65</v>
      </c>
      <c r="M545" s="12" t="str">
        <f t="shared" ca="1" si="2"/>
        <v>EL MILAGRO2 Secundaria</v>
      </c>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4"/>
    </row>
    <row r="546" spans="1:36" ht="15.75" customHeight="1" x14ac:dyDescent="0.25">
      <c r="A546" s="9">
        <v>26</v>
      </c>
      <c r="B546" s="10" t="s">
        <v>60</v>
      </c>
      <c r="C546" s="10" t="s">
        <v>41</v>
      </c>
      <c r="D546" s="10" t="s">
        <v>42</v>
      </c>
      <c r="E546" s="11" t="str">
        <f ca="1">IFERROR(__xludf.DUMMYFUNCTION("FILTER(Colegios!$B$2:$B2419,Colegios!$A$2:$A2419=L546)"),"EL MILAGRO")</f>
        <v>EL MILAGRO</v>
      </c>
      <c r="F546" s="11" t="s">
        <v>17</v>
      </c>
      <c r="G546" s="10" t="s">
        <v>24</v>
      </c>
      <c r="H546" s="11" t="s">
        <v>19</v>
      </c>
      <c r="I546" s="11" t="s">
        <v>20</v>
      </c>
      <c r="J546" s="12" t="str">
        <f ca="1">IFERROR(__xludf.DUMMYFUNCTION("FILTER('CLASFICACIÓN'!$F$3:$F2419,'CLASFICACIÓN'!$G$3:$G2419=M546)"),"LOS 3 AÑOS")</f>
        <v>LOS 3 AÑOS</v>
      </c>
      <c r="K546" s="12" t="s">
        <v>2013</v>
      </c>
      <c r="L546" s="11" t="s">
        <v>65</v>
      </c>
      <c r="M546" s="12" t="str">
        <f t="shared" ca="1" si="2"/>
        <v>EL MILAGRO2 Secundaria</v>
      </c>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4"/>
    </row>
    <row r="547" spans="1:36" ht="15.75" customHeight="1" x14ac:dyDescent="0.25">
      <c r="A547" s="9">
        <v>27</v>
      </c>
      <c r="B547" s="10" t="s">
        <v>60</v>
      </c>
      <c r="C547" s="10" t="s">
        <v>41</v>
      </c>
      <c r="D547" s="10" t="s">
        <v>42</v>
      </c>
      <c r="E547" s="11" t="str">
        <f ca="1">IFERROR(__xludf.DUMMYFUNCTION("FILTER(Colegios!$B$2:$B2419,Colegios!$A$2:$A2419=L547)"),"EL MILAGRO")</f>
        <v>EL MILAGRO</v>
      </c>
      <c r="F547" s="11" t="s">
        <v>17</v>
      </c>
      <c r="G547" s="10" t="s">
        <v>18</v>
      </c>
      <c r="H547" s="11" t="s">
        <v>19</v>
      </c>
      <c r="I547" s="11" t="s">
        <v>20</v>
      </c>
      <c r="J547" s="12" t="str">
        <f ca="1">IFERROR(__xludf.DUMMYFUNCTION("FILTER('CLASFICACIÓN'!$F$3:$F2419,'CLASFICACIÓN'!$G$3:$G2419=M547)"),"LOS 3 AÑOS")</f>
        <v>LOS 3 AÑOS</v>
      </c>
      <c r="K547" s="12" t="s">
        <v>2013</v>
      </c>
      <c r="L547" s="11" t="s">
        <v>65</v>
      </c>
      <c r="M547" s="12" t="str">
        <f t="shared" ca="1" si="2"/>
        <v>EL MILAGRO2 Secundaria</v>
      </c>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4"/>
    </row>
    <row r="548" spans="1:36" ht="15.75" customHeight="1" x14ac:dyDescent="0.25">
      <c r="A548" s="9">
        <v>28</v>
      </c>
      <c r="B548" s="10" t="s">
        <v>60</v>
      </c>
      <c r="C548" s="10" t="s">
        <v>41</v>
      </c>
      <c r="D548" s="10" t="s">
        <v>42</v>
      </c>
      <c r="E548" s="11" t="str">
        <f ca="1">IFERROR(__xludf.DUMMYFUNCTION("FILTER(Colegios!$B$2:$B2419,Colegios!$A$2:$A2419=L548)"),"EL MILAGRO")</f>
        <v>EL MILAGRO</v>
      </c>
      <c r="F548" s="11" t="s">
        <v>17</v>
      </c>
      <c r="G548" s="10" t="s">
        <v>24</v>
      </c>
      <c r="H548" s="11" t="s">
        <v>19</v>
      </c>
      <c r="I548" s="11" t="s">
        <v>20</v>
      </c>
      <c r="J548" s="12" t="str">
        <f ca="1">IFERROR(__xludf.DUMMYFUNCTION("FILTER('CLASFICACIÓN'!$F$3:$F2419,'CLASFICACIÓN'!$G$3:$G2419=M548)"),"LOS 3 AÑOS")</f>
        <v>LOS 3 AÑOS</v>
      </c>
      <c r="K548" s="12" t="s">
        <v>2013</v>
      </c>
      <c r="L548" s="11" t="s">
        <v>65</v>
      </c>
      <c r="M548" s="12" t="str">
        <f t="shared" ca="1" si="2"/>
        <v>EL MILAGRO2 Secundaria</v>
      </c>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4"/>
    </row>
    <row r="549" spans="1:36" ht="15.75" customHeight="1" x14ac:dyDescent="0.25">
      <c r="A549" s="9">
        <v>29</v>
      </c>
      <c r="B549" s="10" t="s">
        <v>60</v>
      </c>
      <c r="C549" s="10" t="s">
        <v>41</v>
      </c>
      <c r="D549" s="10" t="s">
        <v>42</v>
      </c>
      <c r="E549" s="11" t="str">
        <f ca="1">IFERROR(__xludf.DUMMYFUNCTION("FILTER(Colegios!$B$2:$B2419,Colegios!$A$2:$A2419=L549)"),"EL MILAGRO")</f>
        <v>EL MILAGRO</v>
      </c>
      <c r="F549" s="11" t="s">
        <v>17</v>
      </c>
      <c r="G549" s="10" t="s">
        <v>18</v>
      </c>
      <c r="H549" s="11" t="s">
        <v>23</v>
      </c>
      <c r="I549" s="11" t="s">
        <v>20</v>
      </c>
      <c r="J549" s="12" t="str">
        <f ca="1">IFERROR(__xludf.DUMMYFUNCTION("FILTER('CLASFICACIÓN'!$F$3:$F2419,'CLASFICACIÓN'!$G$3:$G2419=M549)"),"LOS 3 AÑOS")</f>
        <v>LOS 3 AÑOS</v>
      </c>
      <c r="K549" s="12" t="s">
        <v>2013</v>
      </c>
      <c r="L549" s="11" t="s">
        <v>65</v>
      </c>
      <c r="M549" s="12" t="str">
        <f t="shared" ca="1" si="2"/>
        <v>EL MILAGRO2 Secundaria</v>
      </c>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4"/>
    </row>
    <row r="550" spans="1:36" ht="15.75" customHeight="1" x14ac:dyDescent="0.25">
      <c r="A550" s="9">
        <v>30</v>
      </c>
      <c r="B550" s="10" t="s">
        <v>60</v>
      </c>
      <c r="C550" s="10" t="s">
        <v>41</v>
      </c>
      <c r="D550" s="10" t="s">
        <v>42</v>
      </c>
      <c r="E550" s="11" t="str">
        <f ca="1">IFERROR(__xludf.DUMMYFUNCTION("FILTER(Colegios!$B$2:$B2419,Colegios!$A$2:$A2419=L550)"),"EL MILAGRO")</f>
        <v>EL MILAGRO</v>
      </c>
      <c r="F550" s="11" t="s">
        <v>17</v>
      </c>
      <c r="G550" s="10" t="s">
        <v>24</v>
      </c>
      <c r="H550" s="11" t="s">
        <v>19</v>
      </c>
      <c r="I550" s="11" t="s">
        <v>20</v>
      </c>
      <c r="J550" s="12" t="str">
        <f ca="1">IFERROR(__xludf.DUMMYFUNCTION("FILTER('CLASFICACIÓN'!$F$3:$F2419,'CLASFICACIÓN'!$G$3:$G2419=M550)"),"LOS 3 AÑOS")</f>
        <v>LOS 3 AÑOS</v>
      </c>
      <c r="K550" s="12" t="s">
        <v>2013</v>
      </c>
      <c r="L550" s="11" t="s">
        <v>65</v>
      </c>
      <c r="M550" s="12" t="str">
        <f t="shared" ca="1" si="2"/>
        <v>EL MILAGRO2 Secundaria</v>
      </c>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4"/>
    </row>
    <row r="551" spans="1:36" ht="15.75" customHeight="1" x14ac:dyDescent="0.25">
      <c r="A551" s="9">
        <v>31</v>
      </c>
      <c r="B551" s="10" t="s">
        <v>60</v>
      </c>
      <c r="C551" s="10" t="s">
        <v>41</v>
      </c>
      <c r="D551" s="10" t="s">
        <v>42</v>
      </c>
      <c r="E551" s="11" t="str">
        <f ca="1">IFERROR(__xludf.DUMMYFUNCTION("FILTER(Colegios!$B$2:$B2419,Colegios!$A$2:$A2419=L551)"),"EL MILAGRO")</f>
        <v>EL MILAGRO</v>
      </c>
      <c r="F551" s="11" t="s">
        <v>17</v>
      </c>
      <c r="G551" s="10" t="s">
        <v>24</v>
      </c>
      <c r="H551" s="11" t="s">
        <v>19</v>
      </c>
      <c r="I551" s="11" t="s">
        <v>20</v>
      </c>
      <c r="J551" s="12" t="str">
        <f ca="1">IFERROR(__xludf.DUMMYFUNCTION("FILTER('CLASFICACIÓN'!$F$3:$F2419,'CLASFICACIÓN'!$G$3:$G2419=M551)"),"LOS 3 AÑOS")</f>
        <v>LOS 3 AÑOS</v>
      </c>
      <c r="K551" s="12" t="s">
        <v>2013</v>
      </c>
      <c r="L551" s="11" t="s">
        <v>65</v>
      </c>
      <c r="M551" s="12" t="str">
        <f t="shared" ca="1" si="2"/>
        <v>EL MILAGRO2 Secundaria</v>
      </c>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4"/>
    </row>
    <row r="552" spans="1:36" ht="15.75" customHeight="1" x14ac:dyDescent="0.25">
      <c r="A552" s="9">
        <v>32</v>
      </c>
      <c r="B552" s="10" t="s">
        <v>60</v>
      </c>
      <c r="C552" s="10" t="s">
        <v>41</v>
      </c>
      <c r="D552" s="10" t="s">
        <v>42</v>
      </c>
      <c r="E552" s="11" t="str">
        <f ca="1">IFERROR(__xludf.DUMMYFUNCTION("FILTER(Colegios!$B$2:$B2419,Colegios!$A$2:$A2419=L552)"),"EL MILAGRO")</f>
        <v>EL MILAGRO</v>
      </c>
      <c r="F552" s="11" t="s">
        <v>17</v>
      </c>
      <c r="G552" s="10" t="s">
        <v>24</v>
      </c>
      <c r="H552" s="11" t="s">
        <v>19</v>
      </c>
      <c r="I552" s="11" t="s">
        <v>20</v>
      </c>
      <c r="J552" s="12" t="str">
        <f ca="1">IFERROR(__xludf.DUMMYFUNCTION("FILTER('CLASFICACIÓN'!$F$3:$F2419,'CLASFICACIÓN'!$G$3:$G2419=M552)"),"LOS 3 AÑOS")</f>
        <v>LOS 3 AÑOS</v>
      </c>
      <c r="K552" s="12" t="s">
        <v>2013</v>
      </c>
      <c r="L552" s="11" t="s">
        <v>65</v>
      </c>
      <c r="M552" s="12" t="str">
        <f t="shared" ca="1" si="2"/>
        <v>EL MILAGRO2 Secundaria</v>
      </c>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4"/>
    </row>
    <row r="553" spans="1:36" ht="15.75" customHeight="1" x14ac:dyDescent="0.25">
      <c r="A553" s="9">
        <v>33</v>
      </c>
      <c r="B553" s="10" t="s">
        <v>60</v>
      </c>
      <c r="C553" s="10" t="s">
        <v>41</v>
      </c>
      <c r="D553" s="10" t="s">
        <v>42</v>
      </c>
      <c r="E553" s="11" t="str">
        <f ca="1">IFERROR(__xludf.DUMMYFUNCTION("FILTER(Colegios!$B$2:$B2419,Colegios!$A$2:$A2419=L553)"),"EL MILAGRO")</f>
        <v>EL MILAGRO</v>
      </c>
      <c r="F553" s="11" t="s">
        <v>17</v>
      </c>
      <c r="G553" s="10" t="s">
        <v>24</v>
      </c>
      <c r="H553" s="11" t="s">
        <v>19</v>
      </c>
      <c r="I553" s="11" t="s">
        <v>20</v>
      </c>
      <c r="J553" s="12" t="str">
        <f ca="1">IFERROR(__xludf.DUMMYFUNCTION("FILTER('CLASFICACIÓN'!$F$3:$F2419,'CLASFICACIÓN'!$G$3:$G2419=M553)"),"LOS 3 AÑOS")</f>
        <v>LOS 3 AÑOS</v>
      </c>
      <c r="K553" s="12" t="s">
        <v>2013</v>
      </c>
      <c r="L553" s="11" t="s">
        <v>65</v>
      </c>
      <c r="M553" s="12" t="str">
        <f t="shared" ca="1" si="2"/>
        <v>EL MILAGRO2 Secundaria</v>
      </c>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4"/>
    </row>
    <row r="554" spans="1:36" ht="15.75" customHeight="1" x14ac:dyDescent="0.25">
      <c r="A554" s="9">
        <v>34</v>
      </c>
      <c r="B554" s="10" t="s">
        <v>60</v>
      </c>
      <c r="C554" s="10" t="s">
        <v>41</v>
      </c>
      <c r="D554" s="10" t="s">
        <v>42</v>
      </c>
      <c r="E554" s="11" t="str">
        <f ca="1">IFERROR(__xludf.DUMMYFUNCTION("FILTER(Colegios!$B$2:$B2419,Colegios!$A$2:$A2419=L554)"),"EL MILAGRO")</f>
        <v>EL MILAGRO</v>
      </c>
      <c r="F554" s="11" t="s">
        <v>17</v>
      </c>
      <c r="G554" s="10" t="s">
        <v>24</v>
      </c>
      <c r="H554" s="11" t="s">
        <v>19</v>
      </c>
      <c r="I554" s="11" t="s">
        <v>20</v>
      </c>
      <c r="J554" s="12" t="str">
        <f ca="1">IFERROR(__xludf.DUMMYFUNCTION("FILTER('CLASFICACIÓN'!$F$3:$F2419,'CLASFICACIÓN'!$G$3:$G2419=M554)"),"LOS 3 AÑOS")</f>
        <v>LOS 3 AÑOS</v>
      </c>
      <c r="K554" s="12" t="s">
        <v>2013</v>
      </c>
      <c r="L554" s="11" t="s">
        <v>65</v>
      </c>
      <c r="M554" s="12" t="str">
        <f t="shared" ca="1" si="2"/>
        <v>EL MILAGRO2 Secundaria</v>
      </c>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4"/>
    </row>
    <row r="555" spans="1:36" ht="15.75" customHeight="1" x14ac:dyDescent="0.25">
      <c r="A555" s="9">
        <v>35</v>
      </c>
      <c r="B555" s="10" t="s">
        <v>60</v>
      </c>
      <c r="C555" s="10" t="s">
        <v>41</v>
      </c>
      <c r="D555" s="10" t="s">
        <v>42</v>
      </c>
      <c r="E555" s="11" t="str">
        <f ca="1">IFERROR(__xludf.DUMMYFUNCTION("FILTER(Colegios!$B$2:$B2419,Colegios!$A$2:$A2419=L555)"),"EL MILAGRO")</f>
        <v>EL MILAGRO</v>
      </c>
      <c r="F555" s="11" t="s">
        <v>17</v>
      </c>
      <c r="G555" s="10" t="s">
        <v>24</v>
      </c>
      <c r="H555" s="11" t="s">
        <v>19</v>
      </c>
      <c r="I555" s="11" t="s">
        <v>20</v>
      </c>
      <c r="J555" s="12" t="str">
        <f ca="1">IFERROR(__xludf.DUMMYFUNCTION("FILTER('CLASFICACIÓN'!$F$3:$F2419,'CLASFICACIÓN'!$G$3:$G2419=M555)"),"LOS 3 AÑOS")</f>
        <v>LOS 3 AÑOS</v>
      </c>
      <c r="K555" s="12" t="s">
        <v>2013</v>
      </c>
      <c r="L555" s="11" t="s">
        <v>65</v>
      </c>
      <c r="M555" s="12" t="str">
        <f t="shared" ca="1" si="2"/>
        <v>EL MILAGRO2 Secundaria</v>
      </c>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4"/>
    </row>
    <row r="556" spans="1:36" ht="15.75" customHeight="1" x14ac:dyDescent="0.25">
      <c r="A556" s="9">
        <v>36</v>
      </c>
      <c r="B556" s="10" t="s">
        <v>60</v>
      </c>
      <c r="C556" s="10" t="s">
        <v>41</v>
      </c>
      <c r="D556" s="10" t="s">
        <v>42</v>
      </c>
      <c r="E556" s="11" t="str">
        <f ca="1">IFERROR(__xludf.DUMMYFUNCTION("FILTER(Colegios!$B$2:$B2419,Colegios!$A$2:$A2419=L556)"),"EL MILAGRO")</f>
        <v>EL MILAGRO</v>
      </c>
      <c r="F556" s="11" t="s">
        <v>17</v>
      </c>
      <c r="G556" s="10" t="s">
        <v>18</v>
      </c>
      <c r="H556" s="11" t="s">
        <v>19</v>
      </c>
      <c r="I556" s="11" t="s">
        <v>20</v>
      </c>
      <c r="J556" s="12" t="str">
        <f ca="1">IFERROR(__xludf.DUMMYFUNCTION("FILTER('CLASFICACIÓN'!$F$3:$F2419,'CLASFICACIÓN'!$G$3:$G2419=M556)"),"LOS 3 AÑOS")</f>
        <v>LOS 3 AÑOS</v>
      </c>
      <c r="K556" s="12" t="s">
        <v>2013</v>
      </c>
      <c r="L556" s="11" t="s">
        <v>65</v>
      </c>
      <c r="M556" s="12" t="str">
        <f t="shared" ca="1" si="2"/>
        <v>EL MILAGRO2 Secundaria</v>
      </c>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4"/>
    </row>
    <row r="557" spans="1:36" ht="15.75" customHeight="1" x14ac:dyDescent="0.25">
      <c r="A557" s="9">
        <v>37</v>
      </c>
      <c r="B557" s="10" t="s">
        <v>60</v>
      </c>
      <c r="C557" s="10" t="s">
        <v>41</v>
      </c>
      <c r="D557" s="10" t="s">
        <v>42</v>
      </c>
      <c r="E557" s="11" t="str">
        <f ca="1">IFERROR(__xludf.DUMMYFUNCTION("FILTER(Colegios!$B$2:$B2419,Colegios!$A$2:$A2419=L557)"),"EL MILAGRO")</f>
        <v>EL MILAGRO</v>
      </c>
      <c r="F557" s="11" t="s">
        <v>17</v>
      </c>
      <c r="G557" s="10" t="s">
        <v>24</v>
      </c>
      <c r="H557" s="11" t="s">
        <v>23</v>
      </c>
      <c r="I557" s="11" t="s">
        <v>20</v>
      </c>
      <c r="J557" s="12" t="str">
        <f ca="1">IFERROR(__xludf.DUMMYFUNCTION("FILTER('CLASFICACIÓN'!$F$3:$F2419,'CLASFICACIÓN'!$G$3:$G2419=M557)"),"LOS 3 AÑOS")</f>
        <v>LOS 3 AÑOS</v>
      </c>
      <c r="K557" s="12" t="s">
        <v>2013</v>
      </c>
      <c r="L557" s="11" t="s">
        <v>65</v>
      </c>
      <c r="M557" s="12" t="str">
        <f t="shared" ca="1" si="2"/>
        <v>EL MILAGRO2 Secundaria</v>
      </c>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4"/>
    </row>
    <row r="558" spans="1:36" ht="15.75" customHeight="1" x14ac:dyDescent="0.25">
      <c r="A558" s="9">
        <v>38</v>
      </c>
      <c r="B558" s="10" t="s">
        <v>60</v>
      </c>
      <c r="C558" s="10" t="s">
        <v>41</v>
      </c>
      <c r="D558" s="10" t="s">
        <v>42</v>
      </c>
      <c r="E558" s="11" t="str">
        <f ca="1">IFERROR(__xludf.DUMMYFUNCTION("FILTER(Colegios!$B$2:$B2419,Colegios!$A$2:$A2419=L558)"),"EL MILAGRO")</f>
        <v>EL MILAGRO</v>
      </c>
      <c r="F558" s="11" t="s">
        <v>17</v>
      </c>
      <c r="G558" s="10" t="s">
        <v>24</v>
      </c>
      <c r="H558" s="11" t="s">
        <v>19</v>
      </c>
      <c r="I558" s="11" t="s">
        <v>20</v>
      </c>
      <c r="J558" s="12" t="str">
        <f ca="1">IFERROR(__xludf.DUMMYFUNCTION("FILTER('CLASFICACIÓN'!$F$3:$F2419,'CLASFICACIÓN'!$G$3:$G2419=M558)"),"LOS 3 AÑOS")</f>
        <v>LOS 3 AÑOS</v>
      </c>
      <c r="K558" s="12" t="s">
        <v>2013</v>
      </c>
      <c r="L558" s="11" t="s">
        <v>65</v>
      </c>
      <c r="M558" s="12" t="str">
        <f t="shared" ca="1" si="2"/>
        <v>EL MILAGRO2 Secundaria</v>
      </c>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4"/>
    </row>
    <row r="559" spans="1:36" ht="15.75" customHeight="1" x14ac:dyDescent="0.25">
      <c r="A559" s="9">
        <v>39</v>
      </c>
      <c r="B559" s="10" t="s">
        <v>60</v>
      </c>
      <c r="C559" s="10" t="s">
        <v>41</v>
      </c>
      <c r="D559" s="10" t="s">
        <v>42</v>
      </c>
      <c r="E559" s="11" t="str">
        <f ca="1">IFERROR(__xludf.DUMMYFUNCTION("FILTER(Colegios!$B$2:$B2419,Colegios!$A$2:$A2419=L559)"),"EL MILAGRO")</f>
        <v>EL MILAGRO</v>
      </c>
      <c r="F559" s="11" t="s">
        <v>17</v>
      </c>
      <c r="G559" s="10" t="s">
        <v>18</v>
      </c>
      <c r="H559" s="11" t="s">
        <v>19</v>
      </c>
      <c r="I559" s="11" t="s">
        <v>20</v>
      </c>
      <c r="J559" s="12" t="str">
        <f ca="1">IFERROR(__xludf.DUMMYFUNCTION("FILTER('CLASFICACIÓN'!$F$3:$F2419,'CLASFICACIÓN'!$G$3:$G2419=M559)"),"LOS 3 AÑOS")</f>
        <v>LOS 3 AÑOS</v>
      </c>
      <c r="K559" s="12" t="s">
        <v>2013</v>
      </c>
      <c r="L559" s="11" t="s">
        <v>65</v>
      </c>
      <c r="M559" s="12" t="str">
        <f t="shared" ca="1" si="2"/>
        <v>EL MILAGRO2 Secundaria</v>
      </c>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4"/>
    </row>
    <row r="560" spans="1:36" ht="15.75" customHeight="1" x14ac:dyDescent="0.25">
      <c r="A560" s="9">
        <v>40</v>
      </c>
      <c r="B560" s="10" t="s">
        <v>60</v>
      </c>
      <c r="C560" s="10" t="s">
        <v>41</v>
      </c>
      <c r="D560" s="10" t="s">
        <v>42</v>
      </c>
      <c r="E560" s="11" t="str">
        <f ca="1">IFERROR(__xludf.DUMMYFUNCTION("FILTER(Colegios!$B$2:$B2419,Colegios!$A$2:$A2419=L560)"),"EL MILAGRO")</f>
        <v>EL MILAGRO</v>
      </c>
      <c r="F560" s="11" t="s">
        <v>17</v>
      </c>
      <c r="G560" s="10" t="s">
        <v>18</v>
      </c>
      <c r="H560" s="11" t="s">
        <v>19</v>
      </c>
      <c r="I560" s="11" t="s">
        <v>20</v>
      </c>
      <c r="J560" s="12" t="str">
        <f ca="1">IFERROR(__xludf.DUMMYFUNCTION("FILTER('CLASFICACIÓN'!$F$3:$F2419,'CLASFICACIÓN'!$G$3:$G2419=M560)"),"LOS 3 AÑOS")</f>
        <v>LOS 3 AÑOS</v>
      </c>
      <c r="K560" s="12" t="s">
        <v>2013</v>
      </c>
      <c r="L560" s="11" t="s">
        <v>65</v>
      </c>
      <c r="M560" s="12" t="str">
        <f t="shared" ca="1" si="2"/>
        <v>EL MILAGRO2 Secundaria</v>
      </c>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4"/>
    </row>
    <row r="561" spans="1:36" ht="15.75" customHeight="1" x14ac:dyDescent="0.25">
      <c r="A561" s="9">
        <v>41</v>
      </c>
      <c r="B561" s="10" t="s">
        <v>60</v>
      </c>
      <c r="C561" s="10" t="s">
        <v>41</v>
      </c>
      <c r="D561" s="10" t="s">
        <v>42</v>
      </c>
      <c r="E561" s="11" t="str">
        <f ca="1">IFERROR(__xludf.DUMMYFUNCTION("FILTER(Colegios!$B$2:$B2419,Colegios!$A$2:$A2419=L561)"),"EL MILAGRO")</f>
        <v>EL MILAGRO</v>
      </c>
      <c r="F561" s="11" t="s">
        <v>17</v>
      </c>
      <c r="G561" s="10" t="s">
        <v>24</v>
      </c>
      <c r="H561" s="11" t="s">
        <v>19</v>
      </c>
      <c r="I561" s="11" t="s">
        <v>20</v>
      </c>
      <c r="J561" s="12" t="str">
        <f ca="1">IFERROR(__xludf.DUMMYFUNCTION("FILTER('CLASFICACIÓN'!$F$3:$F2419,'CLASFICACIÓN'!$G$3:$G2419=M561)"),"LOS 3 AÑOS")</f>
        <v>LOS 3 AÑOS</v>
      </c>
      <c r="K561" s="12" t="s">
        <v>2013</v>
      </c>
      <c r="L561" s="11" t="s">
        <v>65</v>
      </c>
      <c r="M561" s="12" t="str">
        <f t="shared" ca="1" si="2"/>
        <v>EL MILAGRO2 Secundaria</v>
      </c>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4"/>
    </row>
    <row r="562" spans="1:36" ht="15.75" customHeight="1" x14ac:dyDescent="0.25">
      <c r="A562" s="9">
        <v>42</v>
      </c>
      <c r="B562" s="10" t="s">
        <v>60</v>
      </c>
      <c r="C562" s="10" t="s">
        <v>41</v>
      </c>
      <c r="D562" s="10" t="s">
        <v>42</v>
      </c>
      <c r="E562" s="11" t="str">
        <f ca="1">IFERROR(__xludf.DUMMYFUNCTION("FILTER(Colegios!$B$2:$B2419,Colegios!$A$2:$A2419=L562)"),"EL MILAGRO")</f>
        <v>EL MILAGRO</v>
      </c>
      <c r="F562" s="11" t="s">
        <v>17</v>
      </c>
      <c r="G562" s="10" t="s">
        <v>18</v>
      </c>
      <c r="H562" s="11" t="s">
        <v>19</v>
      </c>
      <c r="I562" s="11" t="s">
        <v>20</v>
      </c>
      <c r="J562" s="12" t="str">
        <f ca="1">IFERROR(__xludf.DUMMYFUNCTION("FILTER('CLASFICACIÓN'!$F$3:$F2419,'CLASFICACIÓN'!$G$3:$G2419=M562)"),"LOS 3 AÑOS")</f>
        <v>LOS 3 AÑOS</v>
      </c>
      <c r="K562" s="12" t="s">
        <v>2013</v>
      </c>
      <c r="L562" s="11" t="s">
        <v>65</v>
      </c>
      <c r="M562" s="12" t="str">
        <f t="shared" ca="1" si="2"/>
        <v>EL MILAGRO2 Secundaria</v>
      </c>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4"/>
    </row>
    <row r="563" spans="1:36" ht="15.75" customHeight="1" x14ac:dyDescent="0.25">
      <c r="A563" s="9">
        <v>43</v>
      </c>
      <c r="B563" s="10" t="s">
        <v>60</v>
      </c>
      <c r="C563" s="10" t="s">
        <v>41</v>
      </c>
      <c r="D563" s="10" t="s">
        <v>42</v>
      </c>
      <c r="E563" s="11" t="str">
        <f ca="1">IFERROR(__xludf.DUMMYFUNCTION("FILTER(Colegios!$B$2:$B2419,Colegios!$A$2:$A2419=L563)"),"EL MILAGRO")</f>
        <v>EL MILAGRO</v>
      </c>
      <c r="F563" s="11" t="s">
        <v>17</v>
      </c>
      <c r="G563" s="10" t="s">
        <v>24</v>
      </c>
      <c r="H563" s="11" t="s">
        <v>19</v>
      </c>
      <c r="I563" s="11" t="s">
        <v>20</v>
      </c>
      <c r="J563" s="12" t="str">
        <f ca="1">IFERROR(__xludf.DUMMYFUNCTION("FILTER('CLASFICACIÓN'!$F$3:$F2419,'CLASFICACIÓN'!$G$3:$G2419=M563)"),"LOS 3 AÑOS")</f>
        <v>LOS 3 AÑOS</v>
      </c>
      <c r="K563" s="12" t="s">
        <v>2013</v>
      </c>
      <c r="L563" s="11" t="s">
        <v>65</v>
      </c>
      <c r="M563" s="12" t="str">
        <f t="shared" ca="1" si="2"/>
        <v>EL MILAGRO2 Secundaria</v>
      </c>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4"/>
    </row>
    <row r="564" spans="1:36" ht="15.75" customHeight="1" x14ac:dyDescent="0.25">
      <c r="A564" s="9">
        <v>44</v>
      </c>
      <c r="B564" s="10" t="s">
        <v>60</v>
      </c>
      <c r="C564" s="10" t="s">
        <v>41</v>
      </c>
      <c r="D564" s="10" t="s">
        <v>42</v>
      </c>
      <c r="E564" s="11" t="str">
        <f ca="1">IFERROR(__xludf.DUMMYFUNCTION("FILTER(Colegios!$B$2:$B2419,Colegios!$A$2:$A2419=L564)"),"EL MILAGRO")</f>
        <v>EL MILAGRO</v>
      </c>
      <c r="F564" s="11" t="s">
        <v>17</v>
      </c>
      <c r="G564" s="10" t="s">
        <v>24</v>
      </c>
      <c r="H564" s="11" t="s">
        <v>19</v>
      </c>
      <c r="I564" s="11" t="s">
        <v>20</v>
      </c>
      <c r="J564" s="12" t="str">
        <f ca="1">IFERROR(__xludf.DUMMYFUNCTION("FILTER('CLASFICACIÓN'!$F$3:$F2419,'CLASFICACIÓN'!$G$3:$G2419=M564)"),"LOS 3 AÑOS")</f>
        <v>LOS 3 AÑOS</v>
      </c>
      <c r="K564" s="12" t="s">
        <v>2013</v>
      </c>
      <c r="L564" s="11" t="s">
        <v>65</v>
      </c>
      <c r="M564" s="12" t="str">
        <f t="shared" ca="1" si="2"/>
        <v>EL MILAGRO2 Secundaria</v>
      </c>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4"/>
    </row>
    <row r="565" spans="1:36" ht="15.75" customHeight="1" x14ac:dyDescent="0.25">
      <c r="A565" s="9">
        <v>45</v>
      </c>
      <c r="B565" s="10" t="s">
        <v>60</v>
      </c>
      <c r="C565" s="10" t="s">
        <v>41</v>
      </c>
      <c r="D565" s="10" t="s">
        <v>42</v>
      </c>
      <c r="E565" s="11" t="str">
        <f ca="1">IFERROR(__xludf.DUMMYFUNCTION("FILTER(Colegios!$B$2:$B2419,Colegios!$A$2:$A2419=L565)"),"EL MILAGRO")</f>
        <v>EL MILAGRO</v>
      </c>
      <c r="F565" s="11" t="s">
        <v>17</v>
      </c>
      <c r="G565" s="10" t="s">
        <v>24</v>
      </c>
      <c r="H565" s="11" t="s">
        <v>19</v>
      </c>
      <c r="I565" s="11" t="s">
        <v>20</v>
      </c>
      <c r="J565" s="12" t="str">
        <f ca="1">IFERROR(__xludf.DUMMYFUNCTION("FILTER('CLASFICACIÓN'!$F$3:$F2419,'CLASFICACIÓN'!$G$3:$G2419=M565)"),"LOS 3 AÑOS")</f>
        <v>LOS 3 AÑOS</v>
      </c>
      <c r="K565" s="12" t="s">
        <v>2013</v>
      </c>
      <c r="L565" s="11" t="s">
        <v>65</v>
      </c>
      <c r="M565" s="12" t="str">
        <f t="shared" ca="1" si="2"/>
        <v>EL MILAGRO2 Secundaria</v>
      </c>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4"/>
    </row>
    <row r="566" spans="1:36" ht="15.75" customHeight="1" x14ac:dyDescent="0.25">
      <c r="A566" s="9">
        <v>46</v>
      </c>
      <c r="B566" s="10" t="s">
        <v>60</v>
      </c>
      <c r="C566" s="10" t="s">
        <v>41</v>
      </c>
      <c r="D566" s="10" t="s">
        <v>42</v>
      </c>
      <c r="E566" s="11" t="str">
        <f ca="1">IFERROR(__xludf.DUMMYFUNCTION("FILTER(Colegios!$B$2:$B2419,Colegios!$A$2:$A2419=L566)"),"EL MILAGRO")</f>
        <v>EL MILAGRO</v>
      </c>
      <c r="F566" s="11" t="s">
        <v>17</v>
      </c>
      <c r="G566" s="10" t="s">
        <v>18</v>
      </c>
      <c r="H566" s="11" t="s">
        <v>19</v>
      </c>
      <c r="I566" s="11" t="s">
        <v>20</v>
      </c>
      <c r="J566" s="12" t="str">
        <f ca="1">IFERROR(__xludf.DUMMYFUNCTION("FILTER('CLASFICACIÓN'!$F$3:$F2419,'CLASFICACIÓN'!$G$3:$G2419=M566)"),"LOS 3 AÑOS")</f>
        <v>LOS 3 AÑOS</v>
      </c>
      <c r="K566" s="12" t="s">
        <v>2013</v>
      </c>
      <c r="L566" s="11" t="s">
        <v>65</v>
      </c>
      <c r="M566" s="12" t="str">
        <f t="shared" ca="1" si="2"/>
        <v>EL MILAGRO2 Secundaria</v>
      </c>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4"/>
    </row>
    <row r="567" spans="1:36" ht="15.75" customHeight="1" x14ac:dyDescent="0.25">
      <c r="A567" s="9">
        <v>47</v>
      </c>
      <c r="B567" s="10" t="s">
        <v>60</v>
      </c>
      <c r="C567" s="10" t="s">
        <v>41</v>
      </c>
      <c r="D567" s="10" t="s">
        <v>42</v>
      </c>
      <c r="E567" s="11" t="str">
        <f ca="1">IFERROR(__xludf.DUMMYFUNCTION("FILTER(Colegios!$B$2:$B2419,Colegios!$A$2:$A2419=L567)"),"EL MILAGRO")</f>
        <v>EL MILAGRO</v>
      </c>
      <c r="F567" s="11" t="s">
        <v>17</v>
      </c>
      <c r="G567" s="10" t="s">
        <v>18</v>
      </c>
      <c r="H567" s="11" t="s">
        <v>19</v>
      </c>
      <c r="I567" s="11" t="s">
        <v>20</v>
      </c>
      <c r="J567" s="12" t="str">
        <f ca="1">IFERROR(__xludf.DUMMYFUNCTION("FILTER('CLASFICACIÓN'!$F$3:$F2419,'CLASFICACIÓN'!$G$3:$G2419=M567)"),"LOS 3 AÑOS")</f>
        <v>LOS 3 AÑOS</v>
      </c>
      <c r="K567" s="12" t="s">
        <v>2013</v>
      </c>
      <c r="L567" s="11" t="s">
        <v>65</v>
      </c>
      <c r="M567" s="12" t="str">
        <f t="shared" ca="1" si="2"/>
        <v>EL MILAGRO2 Secundaria</v>
      </c>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4"/>
    </row>
    <row r="568" spans="1:36" ht="15.75" customHeight="1" x14ac:dyDescent="0.25">
      <c r="A568" s="9">
        <v>48</v>
      </c>
      <c r="B568" s="10" t="s">
        <v>60</v>
      </c>
      <c r="C568" s="10" t="s">
        <v>41</v>
      </c>
      <c r="D568" s="10" t="s">
        <v>42</v>
      </c>
      <c r="E568" s="11" t="str">
        <f ca="1">IFERROR(__xludf.DUMMYFUNCTION("FILTER(Colegios!$B$2:$B2419,Colegios!$A$2:$A2419=L568)"),"EL MILAGRO")</f>
        <v>EL MILAGRO</v>
      </c>
      <c r="F568" s="11" t="s">
        <v>17</v>
      </c>
      <c r="G568" s="10" t="s">
        <v>24</v>
      </c>
      <c r="H568" s="11" t="s">
        <v>23</v>
      </c>
      <c r="I568" s="11" t="s">
        <v>20</v>
      </c>
      <c r="J568" s="12" t="str">
        <f ca="1">IFERROR(__xludf.DUMMYFUNCTION("FILTER('CLASFICACIÓN'!$F$3:$F2419,'CLASFICACIÓN'!$G$3:$G2419=M568)"),"LOS 3 AÑOS")</f>
        <v>LOS 3 AÑOS</v>
      </c>
      <c r="K568" s="12" t="s">
        <v>2013</v>
      </c>
      <c r="L568" s="11" t="s">
        <v>65</v>
      </c>
      <c r="M568" s="12" t="str">
        <f t="shared" ca="1" si="2"/>
        <v>EL MILAGRO2 Secundaria</v>
      </c>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4"/>
    </row>
    <row r="569" spans="1:36" ht="15.75" customHeight="1" x14ac:dyDescent="0.25">
      <c r="A569" s="9">
        <v>49</v>
      </c>
      <c r="B569" s="10" t="s">
        <v>60</v>
      </c>
      <c r="C569" s="10" t="s">
        <v>41</v>
      </c>
      <c r="D569" s="10" t="s">
        <v>43</v>
      </c>
      <c r="E569" s="11" t="str">
        <f ca="1">IFERROR(__xludf.DUMMYFUNCTION("FILTER(Colegios!$B$2:$B2419,Colegios!$A$2:$A2419=L569)"),"EL MILAGRO")</f>
        <v>EL MILAGRO</v>
      </c>
      <c r="F569" s="11" t="s">
        <v>17</v>
      </c>
      <c r="G569" s="10" t="s">
        <v>18</v>
      </c>
      <c r="H569" s="11" t="s">
        <v>19</v>
      </c>
      <c r="I569" s="11" t="s">
        <v>20</v>
      </c>
      <c r="J569" s="12" t="str">
        <f ca="1">IFERROR(__xludf.DUMMYFUNCTION("FILTER('CLASFICACIÓN'!$F$3:$F2419,'CLASFICACIÓN'!$G$3:$G2419=M569)"),"LOS 3 AÑOS")</f>
        <v>LOS 3 AÑOS</v>
      </c>
      <c r="K569" s="12" t="s">
        <v>2013</v>
      </c>
      <c r="L569" s="11" t="s">
        <v>65</v>
      </c>
      <c r="M569" s="12" t="str">
        <f t="shared" ca="1" si="2"/>
        <v>EL MILAGRO4 Secundaria</v>
      </c>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4"/>
    </row>
    <row r="570" spans="1:36" ht="15.75" customHeight="1" x14ac:dyDescent="0.25">
      <c r="A570" s="9">
        <v>50</v>
      </c>
      <c r="B570" s="10" t="s">
        <v>60</v>
      </c>
      <c r="C570" s="10" t="s">
        <v>41</v>
      </c>
      <c r="D570" s="10" t="s">
        <v>43</v>
      </c>
      <c r="E570" s="11" t="str">
        <f ca="1">IFERROR(__xludf.DUMMYFUNCTION("FILTER(Colegios!$B$2:$B2419,Colegios!$A$2:$A2419=L570)"),"EL MILAGRO")</f>
        <v>EL MILAGRO</v>
      </c>
      <c r="F570" s="11" t="s">
        <v>17</v>
      </c>
      <c r="G570" s="10" t="s">
        <v>18</v>
      </c>
      <c r="H570" s="11" t="s">
        <v>19</v>
      </c>
      <c r="I570" s="11" t="s">
        <v>20</v>
      </c>
      <c r="J570" s="12" t="str">
        <f ca="1">IFERROR(__xludf.DUMMYFUNCTION("FILTER('CLASFICACIÓN'!$F$3:$F2419,'CLASFICACIÓN'!$G$3:$G2419=M570)"),"LOS 3 AÑOS")</f>
        <v>LOS 3 AÑOS</v>
      </c>
      <c r="K570" s="12" t="s">
        <v>2013</v>
      </c>
      <c r="L570" s="11" t="s">
        <v>65</v>
      </c>
      <c r="M570" s="12" t="str">
        <f t="shared" ca="1" si="2"/>
        <v>EL MILAGRO4 Secundaria</v>
      </c>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4"/>
    </row>
    <row r="571" spans="1:36" ht="15.75" customHeight="1" x14ac:dyDescent="0.25">
      <c r="A571" s="9">
        <v>51</v>
      </c>
      <c r="B571" s="10" t="s">
        <v>60</v>
      </c>
      <c r="C571" s="10" t="s">
        <v>41</v>
      </c>
      <c r="D571" s="10" t="s">
        <v>43</v>
      </c>
      <c r="E571" s="11" t="str">
        <f ca="1">IFERROR(__xludf.DUMMYFUNCTION("FILTER(Colegios!$B$2:$B2419,Colegios!$A$2:$A2419=L571)"),"EL MILAGRO")</f>
        <v>EL MILAGRO</v>
      </c>
      <c r="F571" s="11" t="s">
        <v>17</v>
      </c>
      <c r="G571" s="10" t="s">
        <v>24</v>
      </c>
      <c r="H571" s="11" t="s">
        <v>19</v>
      </c>
      <c r="I571" s="11" t="s">
        <v>20</v>
      </c>
      <c r="J571" s="12" t="str">
        <f ca="1">IFERROR(__xludf.DUMMYFUNCTION("FILTER('CLASFICACIÓN'!$F$3:$F2419,'CLASFICACIÓN'!$G$3:$G2419=M571)"),"LOS 3 AÑOS")</f>
        <v>LOS 3 AÑOS</v>
      </c>
      <c r="K571" s="12" t="s">
        <v>2013</v>
      </c>
      <c r="L571" s="11" t="s">
        <v>65</v>
      </c>
      <c r="M571" s="12" t="str">
        <f t="shared" ca="1" si="2"/>
        <v>EL MILAGRO4 Secundaria</v>
      </c>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4"/>
    </row>
    <row r="572" spans="1:36" ht="15.75" customHeight="1" x14ac:dyDescent="0.25">
      <c r="A572" s="9">
        <v>52</v>
      </c>
      <c r="B572" s="10" t="s">
        <v>60</v>
      </c>
      <c r="C572" s="10" t="s">
        <v>41</v>
      </c>
      <c r="D572" s="10" t="s">
        <v>43</v>
      </c>
      <c r="E572" s="11" t="str">
        <f ca="1">IFERROR(__xludf.DUMMYFUNCTION("FILTER(Colegios!$B$2:$B2419,Colegios!$A$2:$A2419=L572)"),"EL MILAGRO")</f>
        <v>EL MILAGRO</v>
      </c>
      <c r="F572" s="11" t="s">
        <v>17</v>
      </c>
      <c r="G572" s="10" t="s">
        <v>18</v>
      </c>
      <c r="H572" s="11" t="s">
        <v>19</v>
      </c>
      <c r="I572" s="11" t="s">
        <v>20</v>
      </c>
      <c r="J572" s="12" t="str">
        <f ca="1">IFERROR(__xludf.DUMMYFUNCTION("FILTER('CLASFICACIÓN'!$F$3:$F2419,'CLASFICACIÓN'!$G$3:$G2419=M572)"),"LOS 3 AÑOS")</f>
        <v>LOS 3 AÑOS</v>
      </c>
      <c r="K572" s="12" t="s">
        <v>2013</v>
      </c>
      <c r="L572" s="11" t="s">
        <v>65</v>
      </c>
      <c r="M572" s="12" t="str">
        <f t="shared" ca="1" si="2"/>
        <v>EL MILAGRO4 Secundaria</v>
      </c>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4"/>
    </row>
    <row r="573" spans="1:36" ht="15.75" customHeight="1" x14ac:dyDescent="0.25">
      <c r="A573" s="9">
        <v>53</v>
      </c>
      <c r="B573" s="10" t="s">
        <v>60</v>
      </c>
      <c r="C573" s="10" t="s">
        <v>41</v>
      </c>
      <c r="D573" s="10" t="s">
        <v>43</v>
      </c>
      <c r="E573" s="11" t="str">
        <f ca="1">IFERROR(__xludf.DUMMYFUNCTION("FILTER(Colegios!$B$2:$B2419,Colegios!$A$2:$A2419=L573)"),"EL MILAGRO")</f>
        <v>EL MILAGRO</v>
      </c>
      <c r="F573" s="11" t="s">
        <v>17</v>
      </c>
      <c r="G573" s="10" t="s">
        <v>18</v>
      </c>
      <c r="H573" s="11" t="s">
        <v>19</v>
      </c>
      <c r="I573" s="11" t="s">
        <v>20</v>
      </c>
      <c r="J573" s="12" t="str">
        <f ca="1">IFERROR(__xludf.DUMMYFUNCTION("FILTER('CLASFICACIÓN'!$F$3:$F2419,'CLASFICACIÓN'!$G$3:$G2419=M573)"),"LOS 3 AÑOS")</f>
        <v>LOS 3 AÑOS</v>
      </c>
      <c r="K573" s="12" t="s">
        <v>2013</v>
      </c>
      <c r="L573" s="11" t="s">
        <v>65</v>
      </c>
      <c r="M573" s="12" t="str">
        <f t="shared" ca="1" si="2"/>
        <v>EL MILAGRO4 Secundaria</v>
      </c>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4"/>
    </row>
    <row r="574" spans="1:36" ht="15.75" customHeight="1" x14ac:dyDescent="0.25">
      <c r="A574" s="9">
        <v>54</v>
      </c>
      <c r="B574" s="10" t="s">
        <v>60</v>
      </c>
      <c r="C574" s="10" t="s">
        <v>41</v>
      </c>
      <c r="D574" s="10" t="s">
        <v>43</v>
      </c>
      <c r="E574" s="11" t="str">
        <f ca="1">IFERROR(__xludf.DUMMYFUNCTION("FILTER(Colegios!$B$2:$B2419,Colegios!$A$2:$A2419=L574)"),"EL MILAGRO")</f>
        <v>EL MILAGRO</v>
      </c>
      <c r="F574" s="11" t="s">
        <v>17</v>
      </c>
      <c r="G574" s="10" t="s">
        <v>18</v>
      </c>
      <c r="H574" s="11" t="s">
        <v>19</v>
      </c>
      <c r="I574" s="11" t="s">
        <v>20</v>
      </c>
      <c r="J574" s="12" t="str">
        <f ca="1">IFERROR(__xludf.DUMMYFUNCTION("FILTER('CLASFICACIÓN'!$F$3:$F2419,'CLASFICACIÓN'!$G$3:$G2419=M574)"),"LOS 3 AÑOS")</f>
        <v>LOS 3 AÑOS</v>
      </c>
      <c r="K574" s="12" t="s">
        <v>2013</v>
      </c>
      <c r="L574" s="11" t="s">
        <v>65</v>
      </c>
      <c r="M574" s="12" t="str">
        <f t="shared" ca="1" si="2"/>
        <v>EL MILAGRO4 Secundaria</v>
      </c>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4"/>
    </row>
    <row r="575" spans="1:36" ht="15.75" customHeight="1" x14ac:dyDescent="0.25">
      <c r="A575" s="9">
        <v>55</v>
      </c>
      <c r="B575" s="10" t="s">
        <v>60</v>
      </c>
      <c r="C575" s="10" t="s">
        <v>41</v>
      </c>
      <c r="D575" s="10" t="s">
        <v>43</v>
      </c>
      <c r="E575" s="11" t="str">
        <f ca="1">IFERROR(__xludf.DUMMYFUNCTION("FILTER(Colegios!$B$2:$B2419,Colegios!$A$2:$A2419=L575)"),"EL MILAGRO")</f>
        <v>EL MILAGRO</v>
      </c>
      <c r="F575" s="11" t="s">
        <v>17</v>
      </c>
      <c r="G575" s="10" t="s">
        <v>18</v>
      </c>
      <c r="H575" s="11" t="s">
        <v>23</v>
      </c>
      <c r="I575" s="11" t="s">
        <v>20</v>
      </c>
      <c r="J575" s="12" t="str">
        <f ca="1">IFERROR(__xludf.DUMMYFUNCTION("FILTER('CLASFICACIÓN'!$F$3:$F2419,'CLASFICACIÓN'!$G$3:$G2419=M575)"),"LOS 3 AÑOS")</f>
        <v>LOS 3 AÑOS</v>
      </c>
      <c r="K575" s="12" t="s">
        <v>2013</v>
      </c>
      <c r="L575" s="11" t="s">
        <v>65</v>
      </c>
      <c r="M575" s="12" t="str">
        <f t="shared" ca="1" si="2"/>
        <v>EL MILAGRO4 Secundaria</v>
      </c>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4"/>
    </row>
    <row r="576" spans="1:36" ht="15.75" customHeight="1" x14ac:dyDescent="0.25">
      <c r="A576" s="9">
        <v>56</v>
      </c>
      <c r="B576" s="10" t="s">
        <v>60</v>
      </c>
      <c r="C576" s="10" t="s">
        <v>41</v>
      </c>
      <c r="D576" s="10" t="s">
        <v>43</v>
      </c>
      <c r="E576" s="11" t="str">
        <f ca="1">IFERROR(__xludf.DUMMYFUNCTION("FILTER(Colegios!$B$2:$B2419,Colegios!$A$2:$A2419=L576)"),"EL MILAGRO")</f>
        <v>EL MILAGRO</v>
      </c>
      <c r="F576" s="11" t="s">
        <v>17</v>
      </c>
      <c r="G576" s="10" t="s">
        <v>18</v>
      </c>
      <c r="H576" s="11" t="s">
        <v>19</v>
      </c>
      <c r="I576" s="11" t="s">
        <v>20</v>
      </c>
      <c r="J576" s="12" t="str">
        <f ca="1">IFERROR(__xludf.DUMMYFUNCTION("FILTER('CLASFICACIÓN'!$F$3:$F2419,'CLASFICACIÓN'!$G$3:$G2419=M576)"),"LOS 3 AÑOS")</f>
        <v>LOS 3 AÑOS</v>
      </c>
      <c r="K576" s="12" t="s">
        <v>2013</v>
      </c>
      <c r="L576" s="11" t="s">
        <v>65</v>
      </c>
      <c r="M576" s="12" t="str">
        <f t="shared" ca="1" si="2"/>
        <v>EL MILAGRO4 Secundaria</v>
      </c>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4"/>
    </row>
    <row r="577" spans="1:36" ht="15.75" customHeight="1" x14ac:dyDescent="0.25">
      <c r="A577" s="9">
        <v>57</v>
      </c>
      <c r="B577" s="10" t="s">
        <v>60</v>
      </c>
      <c r="C577" s="10" t="s">
        <v>41</v>
      </c>
      <c r="D577" s="10" t="s">
        <v>43</v>
      </c>
      <c r="E577" s="11" t="str">
        <f ca="1">IFERROR(__xludf.DUMMYFUNCTION("FILTER(Colegios!$B$2:$B2419,Colegios!$A$2:$A2419=L577)"),"EL MILAGRO")</f>
        <v>EL MILAGRO</v>
      </c>
      <c r="F577" s="11" t="s">
        <v>17</v>
      </c>
      <c r="G577" s="10" t="s">
        <v>18</v>
      </c>
      <c r="H577" s="11" t="s">
        <v>19</v>
      </c>
      <c r="I577" s="11" t="s">
        <v>20</v>
      </c>
      <c r="J577" s="12" t="str">
        <f ca="1">IFERROR(__xludf.DUMMYFUNCTION("FILTER('CLASFICACIÓN'!$F$3:$F2419,'CLASFICACIÓN'!$G$3:$G2419=M577)"),"LOS 3 AÑOS")</f>
        <v>LOS 3 AÑOS</v>
      </c>
      <c r="K577" s="12" t="s">
        <v>2013</v>
      </c>
      <c r="L577" s="11" t="s">
        <v>65</v>
      </c>
      <c r="M577" s="12" t="str">
        <f t="shared" ca="1" si="2"/>
        <v>EL MILAGRO4 Secundaria</v>
      </c>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4"/>
    </row>
    <row r="578" spans="1:36" ht="15.75" customHeight="1" x14ac:dyDescent="0.25">
      <c r="A578" s="9">
        <v>58</v>
      </c>
      <c r="B578" s="10" t="s">
        <v>60</v>
      </c>
      <c r="C578" s="10" t="s">
        <v>41</v>
      </c>
      <c r="D578" s="10" t="s">
        <v>43</v>
      </c>
      <c r="E578" s="11" t="str">
        <f ca="1">IFERROR(__xludf.DUMMYFUNCTION("FILTER(Colegios!$B$2:$B2419,Colegios!$A$2:$A2419=L578)"),"EL MILAGRO")</f>
        <v>EL MILAGRO</v>
      </c>
      <c r="F578" s="11" t="s">
        <v>17</v>
      </c>
      <c r="G578" s="10" t="s">
        <v>24</v>
      </c>
      <c r="H578" s="11" t="s">
        <v>19</v>
      </c>
      <c r="I578" s="11" t="s">
        <v>20</v>
      </c>
      <c r="J578" s="12" t="str">
        <f ca="1">IFERROR(__xludf.DUMMYFUNCTION("FILTER('CLASFICACIÓN'!$F$3:$F2419,'CLASFICACIÓN'!$G$3:$G2419=M578)"),"LOS 3 AÑOS")</f>
        <v>LOS 3 AÑOS</v>
      </c>
      <c r="K578" s="12" t="s">
        <v>2013</v>
      </c>
      <c r="L578" s="11" t="s">
        <v>65</v>
      </c>
      <c r="M578" s="12" t="str">
        <f t="shared" ca="1" si="2"/>
        <v>EL MILAGRO4 Secundaria</v>
      </c>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4"/>
    </row>
    <row r="579" spans="1:36" ht="15.75" customHeight="1" x14ac:dyDescent="0.25">
      <c r="A579" s="9">
        <v>59</v>
      </c>
      <c r="B579" s="10" t="s">
        <v>60</v>
      </c>
      <c r="C579" s="10" t="s">
        <v>41</v>
      </c>
      <c r="D579" s="10" t="s">
        <v>43</v>
      </c>
      <c r="E579" s="11" t="str">
        <f ca="1">IFERROR(__xludf.DUMMYFUNCTION("FILTER(Colegios!$B$2:$B2419,Colegios!$A$2:$A2419=L579)"),"EL MILAGRO")</f>
        <v>EL MILAGRO</v>
      </c>
      <c r="F579" s="11" t="s">
        <v>17</v>
      </c>
      <c r="G579" s="10" t="s">
        <v>18</v>
      </c>
      <c r="H579" s="11" t="s">
        <v>19</v>
      </c>
      <c r="I579" s="11" t="s">
        <v>20</v>
      </c>
      <c r="J579" s="12" t="str">
        <f ca="1">IFERROR(__xludf.DUMMYFUNCTION("FILTER('CLASFICACIÓN'!$F$3:$F2419,'CLASFICACIÓN'!$G$3:$G2419=M579)"),"LOS 3 AÑOS")</f>
        <v>LOS 3 AÑOS</v>
      </c>
      <c r="K579" s="12" t="s">
        <v>2013</v>
      </c>
      <c r="L579" s="11" t="s">
        <v>65</v>
      </c>
      <c r="M579" s="12" t="str">
        <f t="shared" ca="1" si="2"/>
        <v>EL MILAGRO4 Secundaria</v>
      </c>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4"/>
    </row>
    <row r="580" spans="1:36" ht="15.75" customHeight="1" x14ac:dyDescent="0.25">
      <c r="A580" s="9">
        <v>60</v>
      </c>
      <c r="B580" s="10" t="s">
        <v>60</v>
      </c>
      <c r="C580" s="10" t="s">
        <v>41</v>
      </c>
      <c r="D580" s="10" t="s">
        <v>43</v>
      </c>
      <c r="E580" s="11" t="str">
        <f ca="1">IFERROR(__xludf.DUMMYFUNCTION("FILTER(Colegios!$B$2:$B2419,Colegios!$A$2:$A2419=L580)"),"EL MILAGRO")</f>
        <v>EL MILAGRO</v>
      </c>
      <c r="F580" s="11" t="s">
        <v>17</v>
      </c>
      <c r="G580" s="10" t="s">
        <v>18</v>
      </c>
      <c r="H580" s="11" t="s">
        <v>19</v>
      </c>
      <c r="I580" s="11" t="s">
        <v>20</v>
      </c>
      <c r="J580" s="12" t="str">
        <f ca="1">IFERROR(__xludf.DUMMYFUNCTION("FILTER('CLASFICACIÓN'!$F$3:$F2419,'CLASFICACIÓN'!$G$3:$G2419=M580)"),"LOS 3 AÑOS")</f>
        <v>LOS 3 AÑOS</v>
      </c>
      <c r="K580" s="12" t="s">
        <v>2013</v>
      </c>
      <c r="L580" s="11" t="s">
        <v>65</v>
      </c>
      <c r="M580" s="12" t="str">
        <f t="shared" ca="1" si="2"/>
        <v>EL MILAGRO4 Secundaria</v>
      </c>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4"/>
    </row>
    <row r="581" spans="1:36" ht="15.75" customHeight="1" x14ac:dyDescent="0.25">
      <c r="A581" s="9">
        <v>61</v>
      </c>
      <c r="B581" s="10" t="s">
        <v>60</v>
      </c>
      <c r="C581" s="10" t="s">
        <v>41</v>
      </c>
      <c r="D581" s="10" t="s">
        <v>43</v>
      </c>
      <c r="E581" s="11" t="str">
        <f ca="1">IFERROR(__xludf.DUMMYFUNCTION("FILTER(Colegios!$B$2:$B2419,Colegios!$A$2:$A2419=L581)"),"EL MILAGRO")</f>
        <v>EL MILAGRO</v>
      </c>
      <c r="F581" s="11" t="s">
        <v>17</v>
      </c>
      <c r="G581" s="10" t="s">
        <v>18</v>
      </c>
      <c r="H581" s="11" t="s">
        <v>19</v>
      </c>
      <c r="I581" s="11" t="s">
        <v>20</v>
      </c>
      <c r="J581" s="12" t="str">
        <f ca="1">IFERROR(__xludf.DUMMYFUNCTION("FILTER('CLASFICACIÓN'!$F$3:$F2419,'CLASFICACIÓN'!$G$3:$G2419=M581)"),"LOS 3 AÑOS")</f>
        <v>LOS 3 AÑOS</v>
      </c>
      <c r="K581" s="12" t="s">
        <v>2013</v>
      </c>
      <c r="L581" s="11" t="s">
        <v>65</v>
      </c>
      <c r="M581" s="12" t="str">
        <f t="shared" ca="1" si="2"/>
        <v>EL MILAGRO4 Secundaria</v>
      </c>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4"/>
    </row>
    <row r="582" spans="1:36" ht="15.75" customHeight="1" x14ac:dyDescent="0.25">
      <c r="A582" s="9">
        <v>62</v>
      </c>
      <c r="B582" s="10" t="s">
        <v>60</v>
      </c>
      <c r="C582" s="10" t="s">
        <v>41</v>
      </c>
      <c r="D582" s="10" t="s">
        <v>43</v>
      </c>
      <c r="E582" s="11" t="str">
        <f ca="1">IFERROR(__xludf.DUMMYFUNCTION("FILTER(Colegios!$B$2:$B2419,Colegios!$A$2:$A2419=L582)"),"EL MILAGRO")</f>
        <v>EL MILAGRO</v>
      </c>
      <c r="F582" s="11" t="s">
        <v>17</v>
      </c>
      <c r="G582" s="10" t="s">
        <v>18</v>
      </c>
      <c r="H582" s="11" t="s">
        <v>19</v>
      </c>
      <c r="I582" s="11" t="s">
        <v>20</v>
      </c>
      <c r="J582" s="12" t="str">
        <f ca="1">IFERROR(__xludf.DUMMYFUNCTION("FILTER('CLASFICACIÓN'!$F$3:$F2419,'CLASFICACIÓN'!$G$3:$G2419=M582)"),"LOS 3 AÑOS")</f>
        <v>LOS 3 AÑOS</v>
      </c>
      <c r="K582" s="12" t="s">
        <v>2013</v>
      </c>
      <c r="L582" s="11" t="s">
        <v>65</v>
      </c>
      <c r="M582" s="12" t="str">
        <f t="shared" ca="1" si="2"/>
        <v>EL MILAGRO4 Secundaria</v>
      </c>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4"/>
    </row>
    <row r="583" spans="1:36" ht="15.75" customHeight="1" x14ac:dyDescent="0.25">
      <c r="A583" s="9">
        <v>63</v>
      </c>
      <c r="B583" s="10" t="s">
        <v>60</v>
      </c>
      <c r="C583" s="10" t="s">
        <v>41</v>
      </c>
      <c r="D583" s="10" t="s">
        <v>43</v>
      </c>
      <c r="E583" s="11" t="str">
        <f ca="1">IFERROR(__xludf.DUMMYFUNCTION("FILTER(Colegios!$B$2:$B2419,Colegios!$A$2:$A2419=L583)"),"EL MILAGRO")</f>
        <v>EL MILAGRO</v>
      </c>
      <c r="F583" s="11" t="s">
        <v>17</v>
      </c>
      <c r="G583" s="10" t="s">
        <v>18</v>
      </c>
      <c r="H583" s="11" t="s">
        <v>19</v>
      </c>
      <c r="I583" s="11" t="s">
        <v>20</v>
      </c>
      <c r="J583" s="12" t="str">
        <f ca="1">IFERROR(__xludf.DUMMYFUNCTION("FILTER('CLASFICACIÓN'!$F$3:$F2419,'CLASFICACIÓN'!$G$3:$G2419=M583)"),"LOS 3 AÑOS")</f>
        <v>LOS 3 AÑOS</v>
      </c>
      <c r="K583" s="12" t="s">
        <v>2013</v>
      </c>
      <c r="L583" s="11" t="s">
        <v>65</v>
      </c>
      <c r="M583" s="12" t="str">
        <f t="shared" ca="1" si="2"/>
        <v>EL MILAGRO4 Secundaria</v>
      </c>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4"/>
    </row>
    <row r="584" spans="1:36" ht="15.75" customHeight="1" x14ac:dyDescent="0.25">
      <c r="A584" s="9">
        <v>64</v>
      </c>
      <c r="B584" s="10" t="s">
        <v>60</v>
      </c>
      <c r="C584" s="10" t="s">
        <v>41</v>
      </c>
      <c r="D584" s="10" t="s">
        <v>43</v>
      </c>
      <c r="E584" s="11" t="str">
        <f ca="1">IFERROR(__xludf.DUMMYFUNCTION("FILTER(Colegios!$B$2:$B2419,Colegios!$A$2:$A2419=L584)"),"EL MILAGRO")</f>
        <v>EL MILAGRO</v>
      </c>
      <c r="F584" s="11" t="s">
        <v>17</v>
      </c>
      <c r="G584" s="10" t="s">
        <v>24</v>
      </c>
      <c r="H584" s="11" t="s">
        <v>19</v>
      </c>
      <c r="I584" s="11" t="s">
        <v>20</v>
      </c>
      <c r="J584" s="12" t="str">
        <f ca="1">IFERROR(__xludf.DUMMYFUNCTION("FILTER('CLASFICACIÓN'!$F$3:$F2419,'CLASFICACIÓN'!$G$3:$G2419=M584)"),"LOS 3 AÑOS")</f>
        <v>LOS 3 AÑOS</v>
      </c>
      <c r="K584" s="12" t="s">
        <v>2013</v>
      </c>
      <c r="L584" s="11" t="s">
        <v>65</v>
      </c>
      <c r="M584" s="12" t="str">
        <f t="shared" ca="1" si="2"/>
        <v>EL MILAGRO4 Secundaria</v>
      </c>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4"/>
    </row>
    <row r="585" spans="1:36" ht="15.75" customHeight="1" x14ac:dyDescent="0.25">
      <c r="A585" s="9">
        <v>65</v>
      </c>
      <c r="B585" s="10" t="s">
        <v>60</v>
      </c>
      <c r="C585" s="10" t="s">
        <v>41</v>
      </c>
      <c r="D585" s="10" t="s">
        <v>43</v>
      </c>
      <c r="E585" s="11" t="str">
        <f ca="1">IFERROR(__xludf.DUMMYFUNCTION("FILTER(Colegios!$B$2:$B2419,Colegios!$A$2:$A2419=L585)"),"EL MILAGRO")</f>
        <v>EL MILAGRO</v>
      </c>
      <c r="F585" s="11" t="s">
        <v>17</v>
      </c>
      <c r="G585" s="10" t="s">
        <v>24</v>
      </c>
      <c r="H585" s="11" t="s">
        <v>19</v>
      </c>
      <c r="I585" s="11" t="s">
        <v>20</v>
      </c>
      <c r="J585" s="12" t="str">
        <f ca="1">IFERROR(__xludf.DUMMYFUNCTION("FILTER('CLASFICACIÓN'!$F$3:$F2419,'CLASFICACIÓN'!$G$3:$G2419=M585)"),"LOS 3 AÑOS")</f>
        <v>LOS 3 AÑOS</v>
      </c>
      <c r="K585" s="12" t="s">
        <v>2013</v>
      </c>
      <c r="L585" s="11" t="s">
        <v>65</v>
      </c>
      <c r="M585" s="12" t="str">
        <f t="shared" ca="1" si="2"/>
        <v>EL MILAGRO4 Secundaria</v>
      </c>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4"/>
    </row>
    <row r="586" spans="1:36" ht="15.75" customHeight="1" x14ac:dyDescent="0.25">
      <c r="A586" s="9">
        <v>66</v>
      </c>
      <c r="B586" s="10" t="s">
        <v>60</v>
      </c>
      <c r="C586" s="10" t="s">
        <v>41</v>
      </c>
      <c r="D586" s="10" t="s">
        <v>43</v>
      </c>
      <c r="E586" s="11" t="str">
        <f ca="1">IFERROR(__xludf.DUMMYFUNCTION("FILTER(Colegios!$B$2:$B2419,Colegios!$A$2:$A2419=L586)"),"EL MILAGRO")</f>
        <v>EL MILAGRO</v>
      </c>
      <c r="F586" s="11" t="s">
        <v>17</v>
      </c>
      <c r="G586" s="10" t="s">
        <v>24</v>
      </c>
      <c r="H586" s="11" t="s">
        <v>19</v>
      </c>
      <c r="I586" s="11" t="s">
        <v>20</v>
      </c>
      <c r="J586" s="12" t="str">
        <f ca="1">IFERROR(__xludf.DUMMYFUNCTION("FILTER('CLASFICACIÓN'!$F$3:$F2419,'CLASFICACIÓN'!$G$3:$G2419=M586)"),"LOS 3 AÑOS")</f>
        <v>LOS 3 AÑOS</v>
      </c>
      <c r="K586" s="12" t="s">
        <v>2013</v>
      </c>
      <c r="L586" s="11" t="s">
        <v>65</v>
      </c>
      <c r="M586" s="12" t="str">
        <f t="shared" ca="1" si="2"/>
        <v>EL MILAGRO4 Secundaria</v>
      </c>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4"/>
    </row>
    <row r="587" spans="1:36" ht="15.75" customHeight="1" x14ac:dyDescent="0.25">
      <c r="A587" s="9">
        <v>67</v>
      </c>
      <c r="B587" s="10" t="s">
        <v>60</v>
      </c>
      <c r="C587" s="10" t="s">
        <v>41</v>
      </c>
      <c r="D587" s="10" t="s">
        <v>43</v>
      </c>
      <c r="E587" s="11" t="str">
        <f ca="1">IFERROR(__xludf.DUMMYFUNCTION("FILTER(Colegios!$B$2:$B2419,Colegios!$A$2:$A2419=L587)"),"EL MILAGRO")</f>
        <v>EL MILAGRO</v>
      </c>
      <c r="F587" s="11" t="s">
        <v>17</v>
      </c>
      <c r="G587" s="10" t="s">
        <v>18</v>
      </c>
      <c r="H587" s="11" t="s">
        <v>19</v>
      </c>
      <c r="I587" s="11" t="s">
        <v>20</v>
      </c>
      <c r="J587" s="12" t="str">
        <f ca="1">IFERROR(__xludf.DUMMYFUNCTION("FILTER('CLASFICACIÓN'!$F$3:$F2419,'CLASFICACIÓN'!$G$3:$G2419=M587)"),"LOS 3 AÑOS")</f>
        <v>LOS 3 AÑOS</v>
      </c>
      <c r="K587" s="12" t="s">
        <v>2013</v>
      </c>
      <c r="L587" s="11" t="s">
        <v>65</v>
      </c>
      <c r="M587" s="12" t="str">
        <f t="shared" ca="1" si="2"/>
        <v>EL MILAGRO4 Secundaria</v>
      </c>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4"/>
    </row>
    <row r="588" spans="1:36" ht="15.75" customHeight="1" x14ac:dyDescent="0.25">
      <c r="A588" s="9">
        <v>68</v>
      </c>
      <c r="B588" s="10" t="s">
        <v>60</v>
      </c>
      <c r="C588" s="10" t="s">
        <v>41</v>
      </c>
      <c r="D588" s="10" t="s">
        <v>43</v>
      </c>
      <c r="E588" s="11" t="str">
        <f ca="1">IFERROR(__xludf.DUMMYFUNCTION("FILTER(Colegios!$B$2:$B2419,Colegios!$A$2:$A2419=L588)"),"EL MILAGRO")</f>
        <v>EL MILAGRO</v>
      </c>
      <c r="F588" s="11" t="s">
        <v>17</v>
      </c>
      <c r="G588" s="10" t="s">
        <v>24</v>
      </c>
      <c r="H588" s="11" t="s">
        <v>19</v>
      </c>
      <c r="I588" s="11" t="s">
        <v>20</v>
      </c>
      <c r="J588" s="12" t="str">
        <f ca="1">IFERROR(__xludf.DUMMYFUNCTION("FILTER('CLASFICACIÓN'!$F$3:$F2419,'CLASFICACIÓN'!$G$3:$G2419=M588)"),"LOS 3 AÑOS")</f>
        <v>LOS 3 AÑOS</v>
      </c>
      <c r="K588" s="12" t="s">
        <v>2013</v>
      </c>
      <c r="L588" s="11" t="s">
        <v>65</v>
      </c>
      <c r="M588" s="12" t="str">
        <f t="shared" ca="1" si="2"/>
        <v>EL MILAGRO4 Secundaria</v>
      </c>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4"/>
    </row>
    <row r="589" spans="1:36" ht="15.75" customHeight="1" x14ac:dyDescent="0.25">
      <c r="A589" s="9">
        <v>69</v>
      </c>
      <c r="B589" s="10" t="s">
        <v>60</v>
      </c>
      <c r="C589" s="10" t="s">
        <v>41</v>
      </c>
      <c r="D589" s="10" t="s">
        <v>43</v>
      </c>
      <c r="E589" s="11" t="str">
        <f ca="1">IFERROR(__xludf.DUMMYFUNCTION("FILTER(Colegios!$B$2:$B2419,Colegios!$A$2:$A2419=L589)"),"EL MILAGRO")</f>
        <v>EL MILAGRO</v>
      </c>
      <c r="F589" s="11" t="s">
        <v>17</v>
      </c>
      <c r="G589" s="10" t="s">
        <v>24</v>
      </c>
      <c r="H589" s="11" t="s">
        <v>19</v>
      </c>
      <c r="I589" s="11" t="s">
        <v>20</v>
      </c>
      <c r="J589" s="12" t="str">
        <f ca="1">IFERROR(__xludf.DUMMYFUNCTION("FILTER('CLASFICACIÓN'!$F$3:$F2419,'CLASFICACIÓN'!$G$3:$G2419=M589)"),"LOS 3 AÑOS")</f>
        <v>LOS 3 AÑOS</v>
      </c>
      <c r="K589" s="12" t="s">
        <v>2013</v>
      </c>
      <c r="L589" s="11" t="s">
        <v>65</v>
      </c>
      <c r="M589" s="12" t="str">
        <f t="shared" ca="1" si="2"/>
        <v>EL MILAGRO4 Secundaria</v>
      </c>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4"/>
    </row>
    <row r="590" spans="1:36" ht="15.75" customHeight="1" x14ac:dyDescent="0.25">
      <c r="A590" s="9">
        <v>70</v>
      </c>
      <c r="B590" s="10" t="s">
        <v>60</v>
      </c>
      <c r="C590" s="10" t="s">
        <v>41</v>
      </c>
      <c r="D590" s="10" t="s">
        <v>43</v>
      </c>
      <c r="E590" s="11" t="str">
        <f ca="1">IFERROR(__xludf.DUMMYFUNCTION("FILTER(Colegios!$B$2:$B2419,Colegios!$A$2:$A2419=L590)"),"EL MILAGRO")</f>
        <v>EL MILAGRO</v>
      </c>
      <c r="F590" s="11" t="s">
        <v>17</v>
      </c>
      <c r="G590" s="10" t="s">
        <v>24</v>
      </c>
      <c r="H590" s="11" t="s">
        <v>19</v>
      </c>
      <c r="I590" s="11" t="s">
        <v>20</v>
      </c>
      <c r="J590" s="12" t="str">
        <f ca="1">IFERROR(__xludf.DUMMYFUNCTION("FILTER('CLASFICACIÓN'!$F$3:$F2419,'CLASFICACIÓN'!$G$3:$G2419=M590)"),"LOS 3 AÑOS")</f>
        <v>LOS 3 AÑOS</v>
      </c>
      <c r="K590" s="12" t="s">
        <v>2013</v>
      </c>
      <c r="L590" s="11" t="s">
        <v>65</v>
      </c>
      <c r="M590" s="12" t="str">
        <f t="shared" ca="1" si="2"/>
        <v>EL MILAGRO4 Secundaria</v>
      </c>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4"/>
    </row>
    <row r="591" spans="1:36" ht="15.75" customHeight="1" x14ac:dyDescent="0.25">
      <c r="A591" s="9">
        <v>71</v>
      </c>
      <c r="B591" s="10" t="s">
        <v>60</v>
      </c>
      <c r="C591" s="10" t="s">
        <v>41</v>
      </c>
      <c r="D591" s="10" t="s">
        <v>43</v>
      </c>
      <c r="E591" s="11" t="str">
        <f ca="1">IFERROR(__xludf.DUMMYFUNCTION("FILTER(Colegios!$B$2:$B2419,Colegios!$A$2:$A2419=L591)"),"EL MILAGRO")</f>
        <v>EL MILAGRO</v>
      </c>
      <c r="F591" s="11" t="s">
        <v>17</v>
      </c>
      <c r="G591" s="10" t="s">
        <v>18</v>
      </c>
      <c r="H591" s="11" t="s">
        <v>19</v>
      </c>
      <c r="I591" s="11" t="s">
        <v>20</v>
      </c>
      <c r="J591" s="12" t="str">
        <f ca="1">IFERROR(__xludf.DUMMYFUNCTION("FILTER('CLASFICACIÓN'!$F$3:$F2419,'CLASFICACIÓN'!$G$3:$G2419=M591)"),"LOS 3 AÑOS")</f>
        <v>LOS 3 AÑOS</v>
      </c>
      <c r="K591" s="12" t="s">
        <v>2013</v>
      </c>
      <c r="L591" s="11" t="s">
        <v>65</v>
      </c>
      <c r="M591" s="12" t="str">
        <f t="shared" ca="1" si="2"/>
        <v>EL MILAGRO4 Secundaria</v>
      </c>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4"/>
    </row>
    <row r="592" spans="1:36" ht="15.75" customHeight="1" x14ac:dyDescent="0.25">
      <c r="A592" s="9">
        <v>72</v>
      </c>
      <c r="B592" s="10" t="s">
        <v>60</v>
      </c>
      <c r="C592" s="10" t="s">
        <v>41</v>
      </c>
      <c r="D592" s="10" t="s">
        <v>43</v>
      </c>
      <c r="E592" s="11" t="str">
        <f ca="1">IFERROR(__xludf.DUMMYFUNCTION("FILTER(Colegios!$B$2:$B2419,Colegios!$A$2:$A2419=L592)"),"EL MILAGRO")</f>
        <v>EL MILAGRO</v>
      </c>
      <c r="F592" s="11" t="s">
        <v>17</v>
      </c>
      <c r="G592" s="10" t="s">
        <v>18</v>
      </c>
      <c r="H592" s="11" t="s">
        <v>19</v>
      </c>
      <c r="I592" s="11" t="s">
        <v>20</v>
      </c>
      <c r="J592" s="12" t="str">
        <f ca="1">IFERROR(__xludf.DUMMYFUNCTION("FILTER('CLASFICACIÓN'!$F$3:$F2419,'CLASFICACIÓN'!$G$3:$G2419=M592)"),"LOS 3 AÑOS")</f>
        <v>LOS 3 AÑOS</v>
      </c>
      <c r="K592" s="12" t="s">
        <v>2013</v>
      </c>
      <c r="L592" s="11" t="s">
        <v>65</v>
      </c>
      <c r="M592" s="12" t="str">
        <f t="shared" ca="1" si="2"/>
        <v>EL MILAGRO4 Secundaria</v>
      </c>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4"/>
    </row>
    <row r="593" spans="1:36" ht="15.75" customHeight="1" x14ac:dyDescent="0.25">
      <c r="A593" s="9">
        <v>73</v>
      </c>
      <c r="B593" s="10" t="s">
        <v>60</v>
      </c>
      <c r="C593" s="10" t="s">
        <v>15</v>
      </c>
      <c r="D593" s="10" t="s">
        <v>45</v>
      </c>
      <c r="E593" s="11" t="str">
        <f ca="1">IFERROR(__xludf.DUMMYFUNCTION("FILTER(Colegios!$B$2:$B2419,Colegios!$A$2:$A2419=L593)"),"601614")</f>
        <v>601614</v>
      </c>
      <c r="F593" s="11" t="s">
        <v>17</v>
      </c>
      <c r="G593" s="10" t="s">
        <v>18</v>
      </c>
      <c r="H593" s="11" t="s">
        <v>19</v>
      </c>
      <c r="I593" s="11" t="s">
        <v>20</v>
      </c>
      <c r="J593" s="12" t="str">
        <f ca="1">IFERROR(__xludf.DUMMYFUNCTION("FILTER('CLASFICACIÓN'!$F$3:$F2419,'CLASFICACIÓN'!$G$3:$G2419=M593)"),"SOLO 2024")</f>
        <v>SOLO 2024</v>
      </c>
      <c r="K593" s="12" t="s">
        <v>2011</v>
      </c>
      <c r="L593" s="11" t="s">
        <v>66</v>
      </c>
      <c r="M593" s="12" t="str">
        <f t="shared" ca="1" si="2"/>
        <v>6016142 Primaria</v>
      </c>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4"/>
    </row>
    <row r="594" spans="1:36" ht="15.75" customHeight="1" x14ac:dyDescent="0.25">
      <c r="A594" s="9">
        <v>74</v>
      </c>
      <c r="B594" s="10" t="s">
        <v>60</v>
      </c>
      <c r="C594" s="10" t="s">
        <v>15</v>
      </c>
      <c r="D594" s="10" t="s">
        <v>16</v>
      </c>
      <c r="E594" s="11" t="str">
        <f ca="1">IFERROR(__xludf.DUMMYFUNCTION("FILTER(Colegios!$B$2:$B2419,Colegios!$A$2:$A2419=L594)"),"601614")</f>
        <v>601614</v>
      </c>
      <c r="F594" s="11" t="s">
        <v>17</v>
      </c>
      <c r="G594" s="10" t="s">
        <v>24</v>
      </c>
      <c r="H594" s="11" t="s">
        <v>23</v>
      </c>
      <c r="I594" s="11" t="s">
        <v>20</v>
      </c>
      <c r="J594" s="12" t="str">
        <f ca="1">IFERROR(__xludf.DUMMYFUNCTION("FILTER('CLASFICACIÓN'!$F$3:$F2419,'CLASFICACIÓN'!$G$3:$G2419=M594)"),"2023 Y 2024")</f>
        <v>2023 Y 2024</v>
      </c>
      <c r="K594" s="12" t="s">
        <v>2011</v>
      </c>
      <c r="L594" s="11" t="s">
        <v>66</v>
      </c>
      <c r="M594" s="12" t="str">
        <f t="shared" ca="1" si="2"/>
        <v>6016144 Primaria</v>
      </c>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4"/>
    </row>
    <row r="595" spans="1:36" ht="15.75" customHeight="1" x14ac:dyDescent="0.25">
      <c r="A595" s="9">
        <v>75</v>
      </c>
      <c r="B595" s="10" t="s">
        <v>60</v>
      </c>
      <c r="C595" s="10" t="s">
        <v>15</v>
      </c>
      <c r="D595" s="10" t="s">
        <v>67</v>
      </c>
      <c r="E595" s="11" t="str">
        <f ca="1">IFERROR(__xludf.DUMMYFUNCTION("FILTER(Colegios!$B$2:$B2419,Colegios!$A$2:$A2419=L595)"),"6010178")</f>
        <v>6010178</v>
      </c>
      <c r="F595" s="11" t="s">
        <v>17</v>
      </c>
      <c r="G595" s="10" t="s">
        <v>18</v>
      </c>
      <c r="H595" s="11" t="s">
        <v>19</v>
      </c>
      <c r="I595" s="11" t="s">
        <v>20</v>
      </c>
      <c r="J595" s="12" t="str">
        <f ca="1">IFERROR(__xludf.DUMMYFUNCTION("FILTER('CLASFICACIÓN'!$F$3:$F2419,'CLASFICACIÓN'!$G$3:$G2419=M595)"),"SOLO 2024")</f>
        <v>SOLO 2024</v>
      </c>
      <c r="K595" s="12" t="s">
        <v>2014</v>
      </c>
      <c r="L595" s="11" t="s">
        <v>68</v>
      </c>
      <c r="M595" s="12" t="str">
        <f t="shared" ca="1" si="2"/>
        <v>60101782 primaria</v>
      </c>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4"/>
    </row>
    <row r="596" spans="1:36" ht="15.75" customHeight="1" x14ac:dyDescent="0.25">
      <c r="A596" s="9">
        <v>76</v>
      </c>
      <c r="B596" s="10" t="s">
        <v>60</v>
      </c>
      <c r="C596" s="10" t="s">
        <v>15</v>
      </c>
      <c r="D596" s="10" t="s">
        <v>37</v>
      </c>
      <c r="E596" s="11" t="str">
        <f ca="1">IFERROR(__xludf.DUMMYFUNCTION("FILTER(Colegios!$B$2:$B2419,Colegios!$A$2:$A2419=L596)"),"6010178")</f>
        <v>6010178</v>
      </c>
      <c r="F596" s="11" t="s">
        <v>17</v>
      </c>
      <c r="G596" s="10" t="s">
        <v>24</v>
      </c>
      <c r="H596" s="11" t="s">
        <v>25</v>
      </c>
      <c r="I596" s="11" t="s">
        <v>20</v>
      </c>
      <c r="J596" s="12" t="str">
        <f ca="1">IFERROR(__xludf.DUMMYFUNCTION("FILTER('CLASFICACIÓN'!$F$3:$F2419,'CLASFICACIÓN'!$G$3:$G2419=M596)"),"SOLO 2024")</f>
        <v>SOLO 2024</v>
      </c>
      <c r="K596" s="12" t="s">
        <v>2014</v>
      </c>
      <c r="L596" s="11" t="s">
        <v>68</v>
      </c>
      <c r="M596" s="12" t="str">
        <f t="shared" ca="1" si="2"/>
        <v>60101786 Primaria</v>
      </c>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4"/>
    </row>
    <row r="597" spans="1:36" ht="15.75" customHeight="1" x14ac:dyDescent="0.25">
      <c r="A597" s="9">
        <v>77</v>
      </c>
      <c r="B597" s="10" t="s">
        <v>60</v>
      </c>
      <c r="C597" s="10" t="s">
        <v>15</v>
      </c>
      <c r="D597" s="10" t="s">
        <v>45</v>
      </c>
      <c r="E597" s="11" t="str">
        <f ca="1">IFERROR(__xludf.DUMMYFUNCTION("FILTER(Colegios!$B$2:$B2419,Colegios!$A$2:$A2419=L597)"),"601514")</f>
        <v>601514</v>
      </c>
      <c r="F597" s="11" t="s">
        <v>17</v>
      </c>
      <c r="G597" s="10" t="s">
        <v>24</v>
      </c>
      <c r="H597" s="11" t="s">
        <v>19</v>
      </c>
      <c r="I597" s="11" t="s">
        <v>20</v>
      </c>
      <c r="J597" s="12" t="str">
        <f ca="1">IFERROR(__xludf.DUMMYFUNCTION("FILTER('CLASFICACIÓN'!$F$3:$F2419,'CLASFICACIÓN'!$G$3:$G2419=M597)"),"2023 Y 2024")</f>
        <v>2023 Y 2024</v>
      </c>
      <c r="K597" s="12" t="s">
        <v>2012</v>
      </c>
      <c r="L597" s="11" t="s">
        <v>69</v>
      </c>
      <c r="M597" s="12" t="str">
        <f t="shared" ca="1" si="2"/>
        <v>6015142 Primaria</v>
      </c>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4"/>
    </row>
    <row r="598" spans="1:36" ht="15.75" customHeight="1" x14ac:dyDescent="0.25">
      <c r="A598" s="9">
        <v>78</v>
      </c>
      <c r="B598" s="10" t="s">
        <v>60</v>
      </c>
      <c r="C598" s="10" t="s">
        <v>15</v>
      </c>
      <c r="D598" s="10" t="s">
        <v>16</v>
      </c>
      <c r="E598" s="11" t="str">
        <f ca="1">IFERROR(__xludf.DUMMYFUNCTION("FILTER(Colegios!$B$2:$B2419,Colegios!$A$2:$A2419=L598)"),"601514")</f>
        <v>601514</v>
      </c>
      <c r="F598" s="11" t="s">
        <v>17</v>
      </c>
      <c r="G598" s="10" t="s">
        <v>24</v>
      </c>
      <c r="H598" s="11" t="s">
        <v>19</v>
      </c>
      <c r="I598" s="11" t="s">
        <v>20</v>
      </c>
      <c r="J598" s="12" t="str">
        <f ca="1">IFERROR(__xludf.DUMMYFUNCTION("FILTER('CLASFICACIÓN'!$F$3:$F2419,'CLASFICACIÓN'!$G$3:$G2419=M598)"),"2023 Y 2024")</f>
        <v>2023 Y 2024</v>
      </c>
      <c r="K598" s="12" t="s">
        <v>2012</v>
      </c>
      <c r="L598" s="11" t="s">
        <v>69</v>
      </c>
      <c r="M598" s="12" t="str">
        <f t="shared" ca="1" si="2"/>
        <v>6015144 Primaria</v>
      </c>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4"/>
    </row>
    <row r="599" spans="1:36" ht="15.75" customHeight="1" x14ac:dyDescent="0.25">
      <c r="A599" s="9">
        <v>79</v>
      </c>
      <c r="B599" s="10" t="s">
        <v>60</v>
      </c>
      <c r="C599" s="10" t="s">
        <v>15</v>
      </c>
      <c r="D599" s="10" t="s">
        <v>37</v>
      </c>
      <c r="E599" s="11" t="str">
        <f ca="1">IFERROR(__xludf.DUMMYFUNCTION("FILTER(Colegios!$B$2:$B2419,Colegios!$A$2:$A2419=L599)"),"601514")</f>
        <v>601514</v>
      </c>
      <c r="F599" s="11" t="s">
        <v>17</v>
      </c>
      <c r="G599" s="10" t="s">
        <v>18</v>
      </c>
      <c r="H599" s="11" t="s">
        <v>19</v>
      </c>
      <c r="I599" s="11" t="s">
        <v>20</v>
      </c>
      <c r="J599" s="12" t="str">
        <f ca="1">IFERROR(__xludf.DUMMYFUNCTION("FILTER('CLASFICACIÓN'!$F$3:$F2419,'CLASFICACIÓN'!$G$3:$G2419=M599)"),"2023 Y 2024")</f>
        <v>2023 Y 2024</v>
      </c>
      <c r="K599" s="12" t="s">
        <v>2012</v>
      </c>
      <c r="L599" s="11" t="s">
        <v>69</v>
      </c>
      <c r="M599" s="12" t="str">
        <f t="shared" ca="1" si="2"/>
        <v>6015146 Primaria</v>
      </c>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4"/>
    </row>
    <row r="600" spans="1:36" ht="15.75" customHeight="1" x14ac:dyDescent="0.25">
      <c r="A600" s="9">
        <v>80</v>
      </c>
      <c r="B600" s="10" t="s">
        <v>60</v>
      </c>
      <c r="C600" s="10" t="s">
        <v>15</v>
      </c>
      <c r="D600" s="10" t="s">
        <v>37</v>
      </c>
      <c r="E600" s="11" t="str">
        <f ca="1">IFERROR(__xludf.DUMMYFUNCTION("FILTER(Colegios!$B$2:$B2419,Colegios!$A$2:$A2419=L600)"),"601514")</f>
        <v>601514</v>
      </c>
      <c r="F600" s="11" t="s">
        <v>17</v>
      </c>
      <c r="G600" s="10" t="s">
        <v>24</v>
      </c>
      <c r="H600" s="11" t="s">
        <v>19</v>
      </c>
      <c r="I600" s="11" t="s">
        <v>20</v>
      </c>
      <c r="J600" s="12" t="str">
        <f ca="1">IFERROR(__xludf.DUMMYFUNCTION("FILTER('CLASFICACIÓN'!$F$3:$F2419,'CLASFICACIÓN'!$G$3:$G2419=M600)"),"2023 Y 2024")</f>
        <v>2023 Y 2024</v>
      </c>
      <c r="K600" s="12" t="s">
        <v>2012</v>
      </c>
      <c r="L600" s="11" t="s">
        <v>69</v>
      </c>
      <c r="M600" s="12" t="str">
        <f t="shared" ca="1" si="2"/>
        <v>6015146 Primaria</v>
      </c>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4"/>
    </row>
    <row r="601" spans="1:36" ht="15.75" customHeight="1" x14ac:dyDescent="0.25">
      <c r="A601" s="9">
        <v>81</v>
      </c>
      <c r="B601" s="10" t="s">
        <v>60</v>
      </c>
      <c r="C601" s="10" t="s">
        <v>15</v>
      </c>
      <c r="D601" s="10" t="s">
        <v>45</v>
      </c>
      <c r="E601" s="11" t="str">
        <f ca="1">IFERROR(__xludf.DUMMYFUNCTION("FILTER(Colegios!$B$2:$B2419,Colegios!$A$2:$A2419=L601)"),"601331")</f>
        <v>601331</v>
      </c>
      <c r="F601" s="11" t="s">
        <v>17</v>
      </c>
      <c r="G601" s="10" t="s">
        <v>18</v>
      </c>
      <c r="H601" s="11" t="s">
        <v>19</v>
      </c>
      <c r="I601" s="11" t="s">
        <v>20</v>
      </c>
      <c r="J601" s="12" t="str">
        <f ca="1">IFERROR(__xludf.DUMMYFUNCTION("FILTER('CLASFICACIÓN'!$F$3:$F2419,'CLASFICACIÓN'!$G$3:$G2419=M601)"),"LOS 3 AÑOS")</f>
        <v>LOS 3 AÑOS</v>
      </c>
      <c r="K601" s="12" t="s">
        <v>2012</v>
      </c>
      <c r="L601" s="11" t="s">
        <v>70</v>
      </c>
      <c r="M601" s="12" t="str">
        <f t="shared" ca="1" si="2"/>
        <v>6013312 Primaria</v>
      </c>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4"/>
    </row>
    <row r="602" spans="1:36" ht="15.75" customHeight="1" x14ac:dyDescent="0.25">
      <c r="A602" s="9">
        <v>82</v>
      </c>
      <c r="B602" s="10" t="s">
        <v>60</v>
      </c>
      <c r="C602" s="10" t="s">
        <v>15</v>
      </c>
      <c r="D602" s="10" t="s">
        <v>45</v>
      </c>
      <c r="E602" s="11" t="str">
        <f ca="1">IFERROR(__xludf.DUMMYFUNCTION("FILTER(Colegios!$B$2:$B2419,Colegios!$A$2:$A2419=L602)"),"601331")</f>
        <v>601331</v>
      </c>
      <c r="F602" s="11" t="s">
        <v>17</v>
      </c>
      <c r="G602" s="10" t="s">
        <v>18</v>
      </c>
      <c r="H602" s="11" t="s">
        <v>19</v>
      </c>
      <c r="I602" s="11" t="s">
        <v>20</v>
      </c>
      <c r="J602" s="12" t="str">
        <f ca="1">IFERROR(__xludf.DUMMYFUNCTION("FILTER('CLASFICACIÓN'!$F$3:$F2419,'CLASFICACIÓN'!$G$3:$G2419=M602)"),"LOS 3 AÑOS")</f>
        <v>LOS 3 AÑOS</v>
      </c>
      <c r="K602" s="12" t="s">
        <v>2012</v>
      </c>
      <c r="L602" s="11" t="s">
        <v>70</v>
      </c>
      <c r="M602" s="12" t="str">
        <f t="shared" ca="1" si="2"/>
        <v>6013312 Primaria</v>
      </c>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4"/>
    </row>
    <row r="603" spans="1:36" ht="15.75" customHeight="1" x14ac:dyDescent="0.25">
      <c r="A603" s="9">
        <v>83</v>
      </c>
      <c r="B603" s="10" t="s">
        <v>60</v>
      </c>
      <c r="C603" s="10" t="s">
        <v>15</v>
      </c>
      <c r="D603" s="10" t="s">
        <v>45</v>
      </c>
      <c r="E603" s="11" t="str">
        <f ca="1">IFERROR(__xludf.DUMMYFUNCTION("FILTER(Colegios!$B$2:$B2419,Colegios!$A$2:$A2419=L603)"),"601331")</f>
        <v>601331</v>
      </c>
      <c r="F603" s="11" t="s">
        <v>17</v>
      </c>
      <c r="G603" s="10" t="s">
        <v>18</v>
      </c>
      <c r="H603" s="11" t="s">
        <v>19</v>
      </c>
      <c r="I603" s="11" t="s">
        <v>20</v>
      </c>
      <c r="J603" s="12" t="str">
        <f ca="1">IFERROR(__xludf.DUMMYFUNCTION("FILTER('CLASFICACIÓN'!$F$3:$F2419,'CLASFICACIÓN'!$G$3:$G2419=M603)"),"LOS 3 AÑOS")</f>
        <v>LOS 3 AÑOS</v>
      </c>
      <c r="K603" s="12" t="s">
        <v>2012</v>
      </c>
      <c r="L603" s="11" t="s">
        <v>70</v>
      </c>
      <c r="M603" s="12" t="str">
        <f t="shared" ca="1" si="2"/>
        <v>6013312 Primaria</v>
      </c>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4"/>
    </row>
    <row r="604" spans="1:36" ht="15.75" customHeight="1" x14ac:dyDescent="0.25">
      <c r="A604" s="9">
        <v>84</v>
      </c>
      <c r="B604" s="10" t="s">
        <v>60</v>
      </c>
      <c r="C604" s="10" t="s">
        <v>15</v>
      </c>
      <c r="D604" s="10" t="s">
        <v>45</v>
      </c>
      <c r="E604" s="11" t="str">
        <f ca="1">IFERROR(__xludf.DUMMYFUNCTION("FILTER(Colegios!$B$2:$B2419,Colegios!$A$2:$A2419=L604)"),"601331")</f>
        <v>601331</v>
      </c>
      <c r="F604" s="11" t="s">
        <v>17</v>
      </c>
      <c r="G604" s="10" t="s">
        <v>24</v>
      </c>
      <c r="H604" s="11" t="s">
        <v>19</v>
      </c>
      <c r="I604" s="11" t="s">
        <v>20</v>
      </c>
      <c r="J604" s="12" t="str">
        <f ca="1">IFERROR(__xludf.DUMMYFUNCTION("FILTER('CLASFICACIÓN'!$F$3:$F2419,'CLASFICACIÓN'!$G$3:$G2419=M604)"),"LOS 3 AÑOS")</f>
        <v>LOS 3 AÑOS</v>
      </c>
      <c r="K604" s="12" t="s">
        <v>2012</v>
      </c>
      <c r="L604" s="11" t="s">
        <v>70</v>
      </c>
      <c r="M604" s="12" t="str">
        <f t="shared" ca="1" si="2"/>
        <v>6013312 Primaria</v>
      </c>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4"/>
    </row>
    <row r="605" spans="1:36" ht="15.75" customHeight="1" x14ac:dyDescent="0.25">
      <c r="A605" s="9">
        <v>85</v>
      </c>
      <c r="B605" s="10" t="s">
        <v>60</v>
      </c>
      <c r="C605" s="10" t="s">
        <v>15</v>
      </c>
      <c r="D605" s="10" t="s">
        <v>45</v>
      </c>
      <c r="E605" s="11" t="str">
        <f ca="1">IFERROR(__xludf.DUMMYFUNCTION("FILTER(Colegios!$B$2:$B2419,Colegios!$A$2:$A2419=L605)"),"601331")</f>
        <v>601331</v>
      </c>
      <c r="F605" s="11" t="s">
        <v>17</v>
      </c>
      <c r="G605" s="10" t="s">
        <v>18</v>
      </c>
      <c r="H605" s="11" t="s">
        <v>19</v>
      </c>
      <c r="I605" s="11" t="s">
        <v>20</v>
      </c>
      <c r="J605" s="12" t="str">
        <f ca="1">IFERROR(__xludf.DUMMYFUNCTION("FILTER('CLASFICACIÓN'!$F$3:$F2419,'CLASFICACIÓN'!$G$3:$G2419=M605)"),"LOS 3 AÑOS")</f>
        <v>LOS 3 AÑOS</v>
      </c>
      <c r="K605" s="12" t="s">
        <v>2012</v>
      </c>
      <c r="L605" s="11" t="s">
        <v>70</v>
      </c>
      <c r="M605" s="12" t="str">
        <f t="shared" ca="1" si="2"/>
        <v>6013312 Primaria</v>
      </c>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4"/>
    </row>
    <row r="606" spans="1:36" ht="15.75" customHeight="1" x14ac:dyDescent="0.25">
      <c r="A606" s="9">
        <v>86</v>
      </c>
      <c r="B606" s="10" t="s">
        <v>60</v>
      </c>
      <c r="C606" s="10" t="s">
        <v>15</v>
      </c>
      <c r="D606" s="10" t="s">
        <v>45</v>
      </c>
      <c r="E606" s="11" t="str">
        <f ca="1">IFERROR(__xludf.DUMMYFUNCTION("FILTER(Colegios!$B$2:$B2419,Colegios!$A$2:$A2419=L606)"),"601331")</f>
        <v>601331</v>
      </c>
      <c r="F606" s="11" t="s">
        <v>17</v>
      </c>
      <c r="G606" s="10" t="s">
        <v>24</v>
      </c>
      <c r="H606" s="11" t="s">
        <v>19</v>
      </c>
      <c r="I606" s="11" t="s">
        <v>20</v>
      </c>
      <c r="J606" s="12" t="str">
        <f ca="1">IFERROR(__xludf.DUMMYFUNCTION("FILTER('CLASFICACIÓN'!$F$3:$F2419,'CLASFICACIÓN'!$G$3:$G2419=M606)"),"LOS 3 AÑOS")</f>
        <v>LOS 3 AÑOS</v>
      </c>
      <c r="K606" s="12" t="s">
        <v>2012</v>
      </c>
      <c r="L606" s="11" t="s">
        <v>70</v>
      </c>
      <c r="M606" s="12" t="str">
        <f t="shared" ca="1" si="2"/>
        <v>6013312 Primaria</v>
      </c>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4"/>
    </row>
    <row r="607" spans="1:36" ht="15.75" customHeight="1" x14ac:dyDescent="0.25">
      <c r="A607" s="9">
        <v>87</v>
      </c>
      <c r="B607" s="10" t="s">
        <v>60</v>
      </c>
      <c r="C607" s="10" t="s">
        <v>15</v>
      </c>
      <c r="D607" s="10" t="s">
        <v>45</v>
      </c>
      <c r="E607" s="11" t="str">
        <f ca="1">IFERROR(__xludf.DUMMYFUNCTION("FILTER(Colegios!$B$2:$B2419,Colegios!$A$2:$A2419=L607)"),"601331")</f>
        <v>601331</v>
      </c>
      <c r="F607" s="11" t="s">
        <v>17</v>
      </c>
      <c r="G607" s="10" t="s">
        <v>24</v>
      </c>
      <c r="H607" s="11" t="s">
        <v>19</v>
      </c>
      <c r="I607" s="11" t="s">
        <v>20</v>
      </c>
      <c r="J607" s="12" t="str">
        <f ca="1">IFERROR(__xludf.DUMMYFUNCTION("FILTER('CLASFICACIÓN'!$F$3:$F2419,'CLASFICACIÓN'!$G$3:$G2419=M607)"),"LOS 3 AÑOS")</f>
        <v>LOS 3 AÑOS</v>
      </c>
      <c r="K607" s="12" t="s">
        <v>2012</v>
      </c>
      <c r="L607" s="11" t="s">
        <v>70</v>
      </c>
      <c r="M607" s="12" t="str">
        <f t="shared" ca="1" si="2"/>
        <v>6013312 Primaria</v>
      </c>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4"/>
    </row>
    <row r="608" spans="1:36" ht="15.75" customHeight="1" x14ac:dyDescent="0.25">
      <c r="A608" s="9">
        <v>88</v>
      </c>
      <c r="B608" s="10" t="s">
        <v>60</v>
      </c>
      <c r="C608" s="10" t="s">
        <v>15</v>
      </c>
      <c r="D608" s="10" t="s">
        <v>45</v>
      </c>
      <c r="E608" s="11" t="str">
        <f ca="1">IFERROR(__xludf.DUMMYFUNCTION("FILTER(Colegios!$B$2:$B2419,Colegios!$A$2:$A2419=L608)"),"601331")</f>
        <v>601331</v>
      </c>
      <c r="F608" s="11" t="s">
        <v>17</v>
      </c>
      <c r="G608" s="10" t="s">
        <v>18</v>
      </c>
      <c r="H608" s="11" t="s">
        <v>19</v>
      </c>
      <c r="I608" s="11" t="s">
        <v>20</v>
      </c>
      <c r="J608" s="12" t="str">
        <f ca="1">IFERROR(__xludf.DUMMYFUNCTION("FILTER('CLASFICACIÓN'!$F$3:$F2419,'CLASFICACIÓN'!$G$3:$G2419=M608)"),"LOS 3 AÑOS")</f>
        <v>LOS 3 AÑOS</v>
      </c>
      <c r="K608" s="12" t="s">
        <v>2012</v>
      </c>
      <c r="L608" s="11" t="s">
        <v>70</v>
      </c>
      <c r="M608" s="12" t="str">
        <f t="shared" ca="1" si="2"/>
        <v>6013312 Primaria</v>
      </c>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4"/>
    </row>
    <row r="609" spans="1:36" ht="15.75" customHeight="1" x14ac:dyDescent="0.25">
      <c r="A609" s="9">
        <v>89</v>
      </c>
      <c r="B609" s="10" t="s">
        <v>60</v>
      </c>
      <c r="C609" s="10" t="s">
        <v>15</v>
      </c>
      <c r="D609" s="10" t="s">
        <v>45</v>
      </c>
      <c r="E609" s="11" t="str">
        <f ca="1">IFERROR(__xludf.DUMMYFUNCTION("FILTER(Colegios!$B$2:$B2419,Colegios!$A$2:$A2419=L609)"),"601331")</f>
        <v>601331</v>
      </c>
      <c r="F609" s="11" t="s">
        <v>17</v>
      </c>
      <c r="G609" s="10" t="s">
        <v>24</v>
      </c>
      <c r="H609" s="11" t="s">
        <v>19</v>
      </c>
      <c r="I609" s="11" t="s">
        <v>20</v>
      </c>
      <c r="J609" s="12" t="str">
        <f ca="1">IFERROR(__xludf.DUMMYFUNCTION("FILTER('CLASFICACIÓN'!$F$3:$F2419,'CLASFICACIÓN'!$G$3:$G2419=M609)"),"LOS 3 AÑOS")</f>
        <v>LOS 3 AÑOS</v>
      </c>
      <c r="K609" s="12" t="s">
        <v>2012</v>
      </c>
      <c r="L609" s="11" t="s">
        <v>70</v>
      </c>
      <c r="M609" s="12" t="str">
        <f t="shared" ca="1" si="2"/>
        <v>6013312 Primaria</v>
      </c>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4"/>
    </row>
    <row r="610" spans="1:36" ht="15.75" customHeight="1" x14ac:dyDescent="0.25">
      <c r="A610" s="9">
        <v>90</v>
      </c>
      <c r="B610" s="10" t="s">
        <v>60</v>
      </c>
      <c r="C610" s="10" t="s">
        <v>15</v>
      </c>
      <c r="D610" s="10" t="s">
        <v>16</v>
      </c>
      <c r="E610" s="11" t="str">
        <f ca="1">IFERROR(__xludf.DUMMYFUNCTION("FILTER(Colegios!$B$2:$B2419,Colegios!$A$2:$A2419=L610)"),"601331")</f>
        <v>601331</v>
      </c>
      <c r="F610" s="11" t="s">
        <v>17</v>
      </c>
      <c r="G610" s="10" t="s">
        <v>18</v>
      </c>
      <c r="H610" s="11" t="s">
        <v>19</v>
      </c>
      <c r="I610" s="11" t="s">
        <v>20</v>
      </c>
      <c r="J610" s="12" t="str">
        <f ca="1">IFERROR(__xludf.DUMMYFUNCTION("FILTER('CLASFICACIÓN'!$F$3:$F2419,'CLASFICACIÓN'!$G$3:$G2419=M610)"),"LOS 3 AÑOS")</f>
        <v>LOS 3 AÑOS</v>
      </c>
      <c r="K610" s="12" t="s">
        <v>2012</v>
      </c>
      <c r="L610" s="11" t="s">
        <v>70</v>
      </c>
      <c r="M610" s="12" t="str">
        <f t="shared" ca="1" si="2"/>
        <v>6013314 Primaria</v>
      </c>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4"/>
    </row>
    <row r="611" spans="1:36" ht="15.75" customHeight="1" x14ac:dyDescent="0.25">
      <c r="A611" s="9">
        <v>91</v>
      </c>
      <c r="B611" s="10" t="s">
        <v>60</v>
      </c>
      <c r="C611" s="10" t="s">
        <v>15</v>
      </c>
      <c r="D611" s="10" t="s">
        <v>16</v>
      </c>
      <c r="E611" s="11" t="str">
        <f ca="1">IFERROR(__xludf.DUMMYFUNCTION("FILTER(Colegios!$B$2:$B2419,Colegios!$A$2:$A2419=L611)"),"601331")</f>
        <v>601331</v>
      </c>
      <c r="F611" s="11" t="s">
        <v>17</v>
      </c>
      <c r="G611" s="10" t="s">
        <v>24</v>
      </c>
      <c r="H611" s="11" t="s">
        <v>19</v>
      </c>
      <c r="I611" s="11" t="s">
        <v>20</v>
      </c>
      <c r="J611" s="12" t="str">
        <f ca="1">IFERROR(__xludf.DUMMYFUNCTION("FILTER('CLASFICACIÓN'!$F$3:$F2419,'CLASFICACIÓN'!$G$3:$G2419=M611)"),"LOS 3 AÑOS")</f>
        <v>LOS 3 AÑOS</v>
      </c>
      <c r="K611" s="12" t="s">
        <v>2012</v>
      </c>
      <c r="L611" s="11" t="s">
        <v>70</v>
      </c>
      <c r="M611" s="12" t="str">
        <f t="shared" ca="1" si="2"/>
        <v>6013314 Primaria</v>
      </c>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4"/>
    </row>
    <row r="612" spans="1:36" ht="15.75" customHeight="1" x14ac:dyDescent="0.25">
      <c r="A612" s="9">
        <v>92</v>
      </c>
      <c r="B612" s="10" t="s">
        <v>60</v>
      </c>
      <c r="C612" s="10" t="s">
        <v>15</v>
      </c>
      <c r="D612" s="10" t="s">
        <v>16</v>
      </c>
      <c r="E612" s="11" t="str">
        <f ca="1">IFERROR(__xludf.DUMMYFUNCTION("FILTER(Colegios!$B$2:$B2419,Colegios!$A$2:$A2419=L612)"),"601331")</f>
        <v>601331</v>
      </c>
      <c r="F612" s="11" t="s">
        <v>17</v>
      </c>
      <c r="G612" s="10" t="s">
        <v>24</v>
      </c>
      <c r="H612" s="11" t="s">
        <v>23</v>
      </c>
      <c r="I612" s="11" t="s">
        <v>20</v>
      </c>
      <c r="J612" s="12" t="str">
        <f ca="1">IFERROR(__xludf.DUMMYFUNCTION("FILTER('CLASFICACIÓN'!$F$3:$F2419,'CLASFICACIÓN'!$G$3:$G2419=M612)"),"LOS 3 AÑOS")</f>
        <v>LOS 3 AÑOS</v>
      </c>
      <c r="K612" s="12" t="s">
        <v>2012</v>
      </c>
      <c r="L612" s="11" t="s">
        <v>70</v>
      </c>
      <c r="M612" s="12" t="str">
        <f t="shared" ca="1" si="2"/>
        <v>6013314 Primaria</v>
      </c>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4"/>
    </row>
    <row r="613" spans="1:36" ht="15.75" customHeight="1" x14ac:dyDescent="0.25">
      <c r="A613" s="9">
        <v>93</v>
      </c>
      <c r="B613" s="10" t="s">
        <v>60</v>
      </c>
      <c r="C613" s="10" t="s">
        <v>15</v>
      </c>
      <c r="D613" s="10" t="s">
        <v>16</v>
      </c>
      <c r="E613" s="11" t="str">
        <f ca="1">IFERROR(__xludf.DUMMYFUNCTION("FILTER(Colegios!$B$2:$B2419,Colegios!$A$2:$A2419=L613)"),"601331")</f>
        <v>601331</v>
      </c>
      <c r="F613" s="11" t="s">
        <v>17</v>
      </c>
      <c r="G613" s="10" t="s">
        <v>18</v>
      </c>
      <c r="H613" s="11" t="s">
        <v>19</v>
      </c>
      <c r="I613" s="11" t="s">
        <v>20</v>
      </c>
      <c r="J613" s="12" t="str">
        <f ca="1">IFERROR(__xludf.DUMMYFUNCTION("FILTER('CLASFICACIÓN'!$F$3:$F2419,'CLASFICACIÓN'!$G$3:$G2419=M613)"),"LOS 3 AÑOS")</f>
        <v>LOS 3 AÑOS</v>
      </c>
      <c r="K613" s="12" t="s">
        <v>2012</v>
      </c>
      <c r="L613" s="11" t="s">
        <v>70</v>
      </c>
      <c r="M613" s="12" t="str">
        <f t="shared" ca="1" si="2"/>
        <v>6013314 Primaria</v>
      </c>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4"/>
    </row>
    <row r="614" spans="1:36" ht="15.75" customHeight="1" x14ac:dyDescent="0.25">
      <c r="A614" s="9">
        <v>94</v>
      </c>
      <c r="B614" s="10" t="s">
        <v>60</v>
      </c>
      <c r="C614" s="10" t="s">
        <v>15</v>
      </c>
      <c r="D614" s="10" t="s">
        <v>16</v>
      </c>
      <c r="E614" s="11" t="str">
        <f ca="1">IFERROR(__xludf.DUMMYFUNCTION("FILTER(Colegios!$B$2:$B2419,Colegios!$A$2:$A2419=L614)"),"601331")</f>
        <v>601331</v>
      </c>
      <c r="F614" s="11" t="s">
        <v>17</v>
      </c>
      <c r="G614" s="10" t="s">
        <v>18</v>
      </c>
      <c r="H614" s="11" t="s">
        <v>19</v>
      </c>
      <c r="I614" s="11" t="s">
        <v>20</v>
      </c>
      <c r="J614" s="12" t="str">
        <f ca="1">IFERROR(__xludf.DUMMYFUNCTION("FILTER('CLASFICACIÓN'!$F$3:$F2419,'CLASFICACIÓN'!$G$3:$G2419=M614)"),"LOS 3 AÑOS")</f>
        <v>LOS 3 AÑOS</v>
      </c>
      <c r="K614" s="12" t="s">
        <v>2012</v>
      </c>
      <c r="L614" s="11" t="s">
        <v>70</v>
      </c>
      <c r="M614" s="12" t="str">
        <f t="shared" ca="1" si="2"/>
        <v>6013314 Primaria</v>
      </c>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4"/>
    </row>
    <row r="615" spans="1:36" ht="15.75" customHeight="1" x14ac:dyDescent="0.25">
      <c r="A615" s="9">
        <v>95</v>
      </c>
      <c r="B615" s="10" t="s">
        <v>60</v>
      </c>
      <c r="C615" s="10" t="s">
        <v>15</v>
      </c>
      <c r="D615" s="10" t="s">
        <v>16</v>
      </c>
      <c r="E615" s="11" t="str">
        <f ca="1">IFERROR(__xludf.DUMMYFUNCTION("FILTER(Colegios!$B$2:$B2419,Colegios!$A$2:$A2419=L615)"),"601331")</f>
        <v>601331</v>
      </c>
      <c r="F615" s="11" t="s">
        <v>17</v>
      </c>
      <c r="G615" s="10" t="s">
        <v>18</v>
      </c>
      <c r="H615" s="11" t="s">
        <v>19</v>
      </c>
      <c r="I615" s="11" t="s">
        <v>20</v>
      </c>
      <c r="J615" s="12" t="str">
        <f ca="1">IFERROR(__xludf.DUMMYFUNCTION("FILTER('CLASFICACIÓN'!$F$3:$F2419,'CLASFICACIÓN'!$G$3:$G2419=M615)"),"LOS 3 AÑOS")</f>
        <v>LOS 3 AÑOS</v>
      </c>
      <c r="K615" s="12" t="s">
        <v>2012</v>
      </c>
      <c r="L615" s="11" t="s">
        <v>70</v>
      </c>
      <c r="M615" s="12" t="str">
        <f t="shared" ca="1" si="2"/>
        <v>6013314 Primaria</v>
      </c>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4"/>
    </row>
    <row r="616" spans="1:36" ht="15.75" customHeight="1" x14ac:dyDescent="0.25">
      <c r="A616" s="9">
        <v>96</v>
      </c>
      <c r="B616" s="10" t="s">
        <v>60</v>
      </c>
      <c r="C616" s="10" t="s">
        <v>15</v>
      </c>
      <c r="D616" s="10" t="s">
        <v>16</v>
      </c>
      <c r="E616" s="11" t="str">
        <f ca="1">IFERROR(__xludf.DUMMYFUNCTION("FILTER(Colegios!$B$2:$B2419,Colegios!$A$2:$A2419=L616)"),"601331")</f>
        <v>601331</v>
      </c>
      <c r="F616" s="11" t="s">
        <v>17</v>
      </c>
      <c r="G616" s="10" t="s">
        <v>24</v>
      </c>
      <c r="H616" s="11" t="s">
        <v>23</v>
      </c>
      <c r="I616" s="11" t="s">
        <v>20</v>
      </c>
      <c r="J616" s="12" t="str">
        <f ca="1">IFERROR(__xludf.DUMMYFUNCTION("FILTER('CLASFICACIÓN'!$F$3:$F2419,'CLASFICACIÓN'!$G$3:$G2419=M616)"),"LOS 3 AÑOS")</f>
        <v>LOS 3 AÑOS</v>
      </c>
      <c r="K616" s="12" t="s">
        <v>2012</v>
      </c>
      <c r="L616" s="11" t="s">
        <v>70</v>
      </c>
      <c r="M616" s="12" t="str">
        <f t="shared" ca="1" si="2"/>
        <v>6013314 Primaria</v>
      </c>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4"/>
    </row>
    <row r="617" spans="1:36" ht="15.75" customHeight="1" x14ac:dyDescent="0.25">
      <c r="A617" s="9">
        <v>97</v>
      </c>
      <c r="B617" s="10" t="s">
        <v>60</v>
      </c>
      <c r="C617" s="10" t="s">
        <v>15</v>
      </c>
      <c r="D617" s="10" t="s">
        <v>37</v>
      </c>
      <c r="E617" s="11" t="str">
        <f ca="1">IFERROR(__xludf.DUMMYFUNCTION("FILTER(Colegios!$B$2:$B2419,Colegios!$A$2:$A2419=L617)"),"601331")</f>
        <v>601331</v>
      </c>
      <c r="F617" s="11" t="s">
        <v>17</v>
      </c>
      <c r="G617" s="10" t="s">
        <v>18</v>
      </c>
      <c r="H617" s="11" t="s">
        <v>23</v>
      </c>
      <c r="I617" s="11" t="s">
        <v>20</v>
      </c>
      <c r="J617" s="12" t="str">
        <f ca="1">IFERROR(__xludf.DUMMYFUNCTION("FILTER('CLASFICACIÓN'!$F$3:$F2419,'CLASFICACIÓN'!$G$3:$G2419=M617)"),"LOS 3 AÑOS")</f>
        <v>LOS 3 AÑOS</v>
      </c>
      <c r="K617" s="12" t="s">
        <v>2012</v>
      </c>
      <c r="L617" s="11" t="s">
        <v>70</v>
      </c>
      <c r="M617" s="12" t="str">
        <f t="shared" ca="1" si="2"/>
        <v>6013316 Primaria</v>
      </c>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4"/>
    </row>
    <row r="618" spans="1:36" ht="15.75" customHeight="1" x14ac:dyDescent="0.25">
      <c r="A618" s="9">
        <v>98</v>
      </c>
      <c r="B618" s="10" t="s">
        <v>60</v>
      </c>
      <c r="C618" s="10" t="s">
        <v>15</v>
      </c>
      <c r="D618" s="10" t="s">
        <v>37</v>
      </c>
      <c r="E618" s="11" t="str">
        <f ca="1">IFERROR(__xludf.DUMMYFUNCTION("FILTER(Colegios!$B$2:$B2419,Colegios!$A$2:$A2419=L618)"),"601331")</f>
        <v>601331</v>
      </c>
      <c r="F618" s="11" t="s">
        <v>17</v>
      </c>
      <c r="G618" s="10" t="s">
        <v>24</v>
      </c>
      <c r="H618" s="11" t="s">
        <v>23</v>
      </c>
      <c r="I618" s="11" t="s">
        <v>20</v>
      </c>
      <c r="J618" s="12" t="str">
        <f ca="1">IFERROR(__xludf.DUMMYFUNCTION("FILTER('CLASFICACIÓN'!$F$3:$F2419,'CLASFICACIÓN'!$G$3:$G2419=M618)"),"LOS 3 AÑOS")</f>
        <v>LOS 3 AÑOS</v>
      </c>
      <c r="K618" s="12" t="s">
        <v>2012</v>
      </c>
      <c r="L618" s="11" t="s">
        <v>70</v>
      </c>
      <c r="M618" s="12" t="str">
        <f t="shared" ca="1" si="2"/>
        <v>6013316 Primaria</v>
      </c>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4"/>
    </row>
    <row r="619" spans="1:36" ht="15.75" customHeight="1" x14ac:dyDescent="0.25">
      <c r="A619" s="9">
        <v>99</v>
      </c>
      <c r="B619" s="10" t="s">
        <v>60</v>
      </c>
      <c r="C619" s="10" t="s">
        <v>15</v>
      </c>
      <c r="D619" s="10" t="s">
        <v>37</v>
      </c>
      <c r="E619" s="11" t="str">
        <f ca="1">IFERROR(__xludf.DUMMYFUNCTION("FILTER(Colegios!$B$2:$B2419,Colegios!$A$2:$A2419=L619)"),"601331")</f>
        <v>601331</v>
      </c>
      <c r="F619" s="11" t="s">
        <v>17</v>
      </c>
      <c r="G619" s="10" t="s">
        <v>24</v>
      </c>
      <c r="H619" s="11" t="s">
        <v>23</v>
      </c>
      <c r="I619" s="11" t="s">
        <v>20</v>
      </c>
      <c r="J619" s="12" t="str">
        <f ca="1">IFERROR(__xludf.DUMMYFUNCTION("FILTER('CLASFICACIÓN'!$F$3:$F2419,'CLASFICACIÓN'!$G$3:$G2419=M619)"),"LOS 3 AÑOS")</f>
        <v>LOS 3 AÑOS</v>
      </c>
      <c r="K619" s="12" t="s">
        <v>2012</v>
      </c>
      <c r="L619" s="11" t="s">
        <v>70</v>
      </c>
      <c r="M619" s="12" t="str">
        <f t="shared" ca="1" si="2"/>
        <v>6013316 Primaria</v>
      </c>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4"/>
    </row>
    <row r="620" spans="1:36" ht="15.75" customHeight="1" x14ac:dyDescent="0.25">
      <c r="A620" s="9">
        <v>100</v>
      </c>
      <c r="B620" s="10" t="s">
        <v>60</v>
      </c>
      <c r="C620" s="10" t="s">
        <v>15</v>
      </c>
      <c r="D620" s="10" t="s">
        <v>37</v>
      </c>
      <c r="E620" s="11" t="str">
        <f ca="1">IFERROR(__xludf.DUMMYFUNCTION("FILTER(Colegios!$B$2:$B2419,Colegios!$A$2:$A2419=L620)"),"601331")</f>
        <v>601331</v>
      </c>
      <c r="F620" s="11" t="s">
        <v>17</v>
      </c>
      <c r="G620" s="10" t="s">
        <v>18</v>
      </c>
      <c r="H620" s="11" t="s">
        <v>23</v>
      </c>
      <c r="I620" s="11" t="s">
        <v>20</v>
      </c>
      <c r="J620" s="12" t="str">
        <f ca="1">IFERROR(__xludf.DUMMYFUNCTION("FILTER('CLASFICACIÓN'!$F$3:$F2419,'CLASFICACIÓN'!$G$3:$G2419=M620)"),"LOS 3 AÑOS")</f>
        <v>LOS 3 AÑOS</v>
      </c>
      <c r="K620" s="12" t="s">
        <v>2012</v>
      </c>
      <c r="L620" s="11" t="s">
        <v>70</v>
      </c>
      <c r="M620" s="12" t="str">
        <f t="shared" ca="1" si="2"/>
        <v>6013316 Primaria</v>
      </c>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4"/>
    </row>
    <row r="621" spans="1:36" ht="15.75" customHeight="1" x14ac:dyDescent="0.25">
      <c r="A621" s="9">
        <v>101</v>
      </c>
      <c r="B621" s="10" t="s">
        <v>60</v>
      </c>
      <c r="C621" s="10" t="s">
        <v>15</v>
      </c>
      <c r="D621" s="10" t="s">
        <v>37</v>
      </c>
      <c r="E621" s="11" t="str">
        <f ca="1">IFERROR(__xludf.DUMMYFUNCTION("FILTER(Colegios!$B$2:$B2419,Colegios!$A$2:$A2419=L621)"),"601331")</f>
        <v>601331</v>
      </c>
      <c r="F621" s="11" t="s">
        <v>17</v>
      </c>
      <c r="G621" s="10" t="s">
        <v>18</v>
      </c>
      <c r="H621" s="11" t="s">
        <v>23</v>
      </c>
      <c r="I621" s="11" t="s">
        <v>20</v>
      </c>
      <c r="J621" s="12" t="str">
        <f ca="1">IFERROR(__xludf.DUMMYFUNCTION("FILTER('CLASFICACIÓN'!$F$3:$F2419,'CLASFICACIÓN'!$G$3:$G2419=M621)"),"LOS 3 AÑOS")</f>
        <v>LOS 3 AÑOS</v>
      </c>
      <c r="K621" s="12" t="s">
        <v>2012</v>
      </c>
      <c r="L621" s="11" t="s">
        <v>70</v>
      </c>
      <c r="M621" s="12" t="str">
        <f t="shared" ca="1" si="2"/>
        <v>6013316 Primaria</v>
      </c>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4"/>
    </row>
    <row r="622" spans="1:36" ht="15.75" customHeight="1" x14ac:dyDescent="0.25">
      <c r="A622" s="9">
        <v>102</v>
      </c>
      <c r="B622" s="10" t="s">
        <v>60</v>
      </c>
      <c r="C622" s="10" t="s">
        <v>15</v>
      </c>
      <c r="D622" s="10" t="s">
        <v>37</v>
      </c>
      <c r="E622" s="11" t="str">
        <f ca="1">IFERROR(__xludf.DUMMYFUNCTION("FILTER(Colegios!$B$2:$B2419,Colegios!$A$2:$A2419=L622)"),"601331")</f>
        <v>601331</v>
      </c>
      <c r="F622" s="11" t="s">
        <v>17</v>
      </c>
      <c r="G622" s="10" t="s">
        <v>24</v>
      </c>
      <c r="H622" s="11" t="s">
        <v>23</v>
      </c>
      <c r="I622" s="11" t="s">
        <v>20</v>
      </c>
      <c r="J622" s="12" t="str">
        <f ca="1">IFERROR(__xludf.DUMMYFUNCTION("FILTER('CLASFICACIÓN'!$F$3:$F2419,'CLASFICACIÓN'!$G$3:$G2419=M622)"),"LOS 3 AÑOS")</f>
        <v>LOS 3 AÑOS</v>
      </c>
      <c r="K622" s="12" t="s">
        <v>2012</v>
      </c>
      <c r="L622" s="11" t="s">
        <v>70</v>
      </c>
      <c r="M622" s="12" t="str">
        <f t="shared" ca="1" si="2"/>
        <v>6013316 Primaria</v>
      </c>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4"/>
    </row>
    <row r="623" spans="1:36" ht="15.75" customHeight="1" x14ac:dyDescent="0.25">
      <c r="A623" s="9">
        <v>103</v>
      </c>
      <c r="B623" s="10" t="s">
        <v>60</v>
      </c>
      <c r="C623" s="10" t="s">
        <v>15</v>
      </c>
      <c r="D623" s="10" t="s">
        <v>37</v>
      </c>
      <c r="E623" s="11" t="str">
        <f ca="1">IFERROR(__xludf.DUMMYFUNCTION("FILTER(Colegios!$B$2:$B2419,Colegios!$A$2:$A2419=L623)"),"601331")</f>
        <v>601331</v>
      </c>
      <c r="F623" s="11" t="s">
        <v>17</v>
      </c>
      <c r="G623" s="10" t="s">
        <v>24</v>
      </c>
      <c r="H623" s="11" t="s">
        <v>23</v>
      </c>
      <c r="I623" s="11" t="s">
        <v>20</v>
      </c>
      <c r="J623" s="12" t="str">
        <f ca="1">IFERROR(__xludf.DUMMYFUNCTION("FILTER('CLASFICACIÓN'!$F$3:$F2419,'CLASFICACIÓN'!$G$3:$G2419=M623)"),"LOS 3 AÑOS")</f>
        <v>LOS 3 AÑOS</v>
      </c>
      <c r="K623" s="12" t="s">
        <v>2012</v>
      </c>
      <c r="L623" s="11" t="s">
        <v>70</v>
      </c>
      <c r="M623" s="12" t="str">
        <f t="shared" ca="1" si="2"/>
        <v>6013316 Primaria</v>
      </c>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4"/>
    </row>
    <row r="624" spans="1:36" ht="15.75" customHeight="1" x14ac:dyDescent="0.25">
      <c r="A624" s="9">
        <v>104</v>
      </c>
      <c r="B624" s="10" t="s">
        <v>60</v>
      </c>
      <c r="C624" s="10" t="s">
        <v>15</v>
      </c>
      <c r="D624" s="10" t="s">
        <v>37</v>
      </c>
      <c r="E624" s="11" t="str">
        <f ca="1">IFERROR(__xludf.DUMMYFUNCTION("FILTER(Colegios!$B$2:$B2419,Colegios!$A$2:$A2419=L624)"),"601331")</f>
        <v>601331</v>
      </c>
      <c r="F624" s="11" t="s">
        <v>17</v>
      </c>
      <c r="G624" s="10" t="s">
        <v>24</v>
      </c>
      <c r="H624" s="11" t="s">
        <v>25</v>
      </c>
      <c r="I624" s="11" t="s">
        <v>20</v>
      </c>
      <c r="J624" s="12" t="str">
        <f ca="1">IFERROR(__xludf.DUMMYFUNCTION("FILTER('CLASFICACIÓN'!$F$3:$F2419,'CLASFICACIÓN'!$G$3:$G2419=M624)"),"LOS 3 AÑOS")</f>
        <v>LOS 3 AÑOS</v>
      </c>
      <c r="K624" s="12" t="s">
        <v>2012</v>
      </c>
      <c r="L624" s="11" t="s">
        <v>70</v>
      </c>
      <c r="M624" s="12" t="str">
        <f t="shared" ca="1" si="2"/>
        <v>6013316 Primaria</v>
      </c>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4"/>
    </row>
    <row r="625" spans="1:36" ht="15.75" customHeight="1" x14ac:dyDescent="0.25">
      <c r="A625" s="9">
        <v>105</v>
      </c>
      <c r="B625" s="10" t="s">
        <v>60</v>
      </c>
      <c r="C625" s="10" t="s">
        <v>15</v>
      </c>
      <c r="D625" s="10" t="s">
        <v>37</v>
      </c>
      <c r="E625" s="11" t="str">
        <f ca="1">IFERROR(__xludf.DUMMYFUNCTION("FILTER(Colegios!$B$2:$B2419,Colegios!$A$2:$A2419=L625)"),"601331")</f>
        <v>601331</v>
      </c>
      <c r="F625" s="11" t="s">
        <v>17</v>
      </c>
      <c r="G625" s="10" t="s">
        <v>18</v>
      </c>
      <c r="H625" s="11" t="s">
        <v>23</v>
      </c>
      <c r="I625" s="11" t="s">
        <v>20</v>
      </c>
      <c r="J625" s="12" t="str">
        <f ca="1">IFERROR(__xludf.DUMMYFUNCTION("FILTER('CLASFICACIÓN'!$F$3:$F2419,'CLASFICACIÓN'!$G$3:$G2419=M625)"),"LOS 3 AÑOS")</f>
        <v>LOS 3 AÑOS</v>
      </c>
      <c r="K625" s="12" t="s">
        <v>2012</v>
      </c>
      <c r="L625" s="11" t="s">
        <v>70</v>
      </c>
      <c r="M625" s="12" t="str">
        <f t="shared" ca="1" si="2"/>
        <v>6013316 Primaria</v>
      </c>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4"/>
    </row>
    <row r="626" spans="1:36" ht="15.75" customHeight="1" x14ac:dyDescent="0.25">
      <c r="A626" s="9">
        <v>106</v>
      </c>
      <c r="B626" s="10" t="s">
        <v>60</v>
      </c>
      <c r="C626" s="10" t="s">
        <v>41</v>
      </c>
      <c r="D626" s="10" t="s">
        <v>42</v>
      </c>
      <c r="E626" s="11" t="str">
        <f ca="1">IFERROR(__xludf.DUMMYFUNCTION("FILTER(Colegios!$B$2:$B2419,Colegios!$A$2:$A2419=L626)"),"601331")</f>
        <v>601331</v>
      </c>
      <c r="F626" s="11" t="s">
        <v>17</v>
      </c>
      <c r="G626" s="10" t="s">
        <v>24</v>
      </c>
      <c r="H626" s="11" t="s">
        <v>23</v>
      </c>
      <c r="I626" s="11" t="s">
        <v>20</v>
      </c>
      <c r="J626" s="12" t="str">
        <f ca="1">IFERROR(__xludf.DUMMYFUNCTION("FILTER('CLASFICACIÓN'!$F$3:$F2419,'CLASFICACIÓN'!$G$3:$G2419=M626)"),"LOS 3 AÑOS")</f>
        <v>LOS 3 AÑOS</v>
      </c>
      <c r="K626" s="12" t="s">
        <v>2012</v>
      </c>
      <c r="L626" s="11" t="s">
        <v>70</v>
      </c>
      <c r="M626" s="12" t="str">
        <f t="shared" ca="1" si="2"/>
        <v>6013312 Secundaria</v>
      </c>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4"/>
    </row>
    <row r="627" spans="1:36" ht="15.75" customHeight="1" x14ac:dyDescent="0.25">
      <c r="A627" s="9">
        <v>107</v>
      </c>
      <c r="B627" s="10" t="s">
        <v>60</v>
      </c>
      <c r="C627" s="10" t="s">
        <v>41</v>
      </c>
      <c r="D627" s="10" t="s">
        <v>42</v>
      </c>
      <c r="E627" s="11" t="str">
        <f ca="1">IFERROR(__xludf.DUMMYFUNCTION("FILTER(Colegios!$B$2:$B2419,Colegios!$A$2:$A2419=L627)"),"601331")</f>
        <v>601331</v>
      </c>
      <c r="F627" s="11" t="s">
        <v>17</v>
      </c>
      <c r="G627" s="10" t="s">
        <v>24</v>
      </c>
      <c r="H627" s="11" t="s">
        <v>23</v>
      </c>
      <c r="I627" s="11" t="s">
        <v>20</v>
      </c>
      <c r="J627" s="12" t="str">
        <f ca="1">IFERROR(__xludf.DUMMYFUNCTION("FILTER('CLASFICACIÓN'!$F$3:$F2419,'CLASFICACIÓN'!$G$3:$G2419=M627)"),"LOS 3 AÑOS")</f>
        <v>LOS 3 AÑOS</v>
      </c>
      <c r="K627" s="12" t="s">
        <v>2012</v>
      </c>
      <c r="L627" s="11" t="s">
        <v>70</v>
      </c>
      <c r="M627" s="12" t="str">
        <f t="shared" ca="1" si="2"/>
        <v>6013312 Secundaria</v>
      </c>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4"/>
    </row>
    <row r="628" spans="1:36" ht="15.75" customHeight="1" x14ac:dyDescent="0.25">
      <c r="A628" s="9">
        <v>108</v>
      </c>
      <c r="B628" s="10" t="s">
        <v>60</v>
      </c>
      <c r="C628" s="10" t="s">
        <v>41</v>
      </c>
      <c r="D628" s="10" t="s">
        <v>42</v>
      </c>
      <c r="E628" s="11" t="str">
        <f ca="1">IFERROR(__xludf.DUMMYFUNCTION("FILTER(Colegios!$B$2:$B2419,Colegios!$A$2:$A2419=L628)"),"601331")</f>
        <v>601331</v>
      </c>
      <c r="F628" s="11" t="s">
        <v>17</v>
      </c>
      <c r="G628" s="10" t="s">
        <v>18</v>
      </c>
      <c r="H628" s="11" t="s">
        <v>19</v>
      </c>
      <c r="I628" s="11" t="s">
        <v>20</v>
      </c>
      <c r="J628" s="12" t="str">
        <f ca="1">IFERROR(__xludf.DUMMYFUNCTION("FILTER('CLASFICACIÓN'!$F$3:$F2419,'CLASFICACIÓN'!$G$3:$G2419=M628)"),"LOS 3 AÑOS")</f>
        <v>LOS 3 AÑOS</v>
      </c>
      <c r="K628" s="12" t="s">
        <v>2012</v>
      </c>
      <c r="L628" s="11" t="s">
        <v>70</v>
      </c>
      <c r="M628" s="12" t="str">
        <f t="shared" ca="1" si="2"/>
        <v>6013312 Secundaria</v>
      </c>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4"/>
    </row>
    <row r="629" spans="1:36" ht="15.75" customHeight="1" x14ac:dyDescent="0.25">
      <c r="A629" s="9">
        <v>109</v>
      </c>
      <c r="B629" s="10" t="s">
        <v>60</v>
      </c>
      <c r="C629" s="10" t="s">
        <v>41</v>
      </c>
      <c r="D629" s="10" t="s">
        <v>42</v>
      </c>
      <c r="E629" s="11" t="str">
        <f ca="1">IFERROR(__xludf.DUMMYFUNCTION("FILTER(Colegios!$B$2:$B2419,Colegios!$A$2:$A2419=L629)"),"601331")</f>
        <v>601331</v>
      </c>
      <c r="F629" s="11" t="s">
        <v>17</v>
      </c>
      <c r="G629" s="10" t="s">
        <v>24</v>
      </c>
      <c r="H629" s="11" t="s">
        <v>23</v>
      </c>
      <c r="I629" s="11" t="s">
        <v>20</v>
      </c>
      <c r="J629" s="12" t="str">
        <f ca="1">IFERROR(__xludf.DUMMYFUNCTION("FILTER('CLASFICACIÓN'!$F$3:$F2419,'CLASFICACIÓN'!$G$3:$G2419=M629)"),"LOS 3 AÑOS")</f>
        <v>LOS 3 AÑOS</v>
      </c>
      <c r="K629" s="12" t="s">
        <v>2012</v>
      </c>
      <c r="L629" s="11" t="s">
        <v>70</v>
      </c>
      <c r="M629" s="12" t="str">
        <f t="shared" ca="1" si="2"/>
        <v>6013312 Secundaria</v>
      </c>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4"/>
    </row>
    <row r="630" spans="1:36" ht="15.75" customHeight="1" x14ac:dyDescent="0.25">
      <c r="A630" s="9">
        <v>110</v>
      </c>
      <c r="B630" s="10" t="s">
        <v>60</v>
      </c>
      <c r="C630" s="10" t="s">
        <v>41</v>
      </c>
      <c r="D630" s="10" t="s">
        <v>42</v>
      </c>
      <c r="E630" s="11" t="str">
        <f ca="1">IFERROR(__xludf.DUMMYFUNCTION("FILTER(Colegios!$B$2:$B2419,Colegios!$A$2:$A2419=L630)"),"601331")</f>
        <v>601331</v>
      </c>
      <c r="F630" s="11" t="s">
        <v>17</v>
      </c>
      <c r="G630" s="10" t="s">
        <v>18</v>
      </c>
      <c r="H630" s="11" t="s">
        <v>23</v>
      </c>
      <c r="I630" s="11" t="s">
        <v>20</v>
      </c>
      <c r="J630" s="12" t="str">
        <f ca="1">IFERROR(__xludf.DUMMYFUNCTION("FILTER('CLASFICACIÓN'!$F$3:$F2419,'CLASFICACIÓN'!$G$3:$G2419=M630)"),"LOS 3 AÑOS")</f>
        <v>LOS 3 AÑOS</v>
      </c>
      <c r="K630" s="12" t="s">
        <v>2012</v>
      </c>
      <c r="L630" s="11" t="s">
        <v>70</v>
      </c>
      <c r="M630" s="12" t="str">
        <f t="shared" ca="1" si="2"/>
        <v>6013312 Secundaria</v>
      </c>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4"/>
    </row>
    <row r="631" spans="1:36" ht="15.75" customHeight="1" x14ac:dyDescent="0.25">
      <c r="A631" s="9">
        <v>111</v>
      </c>
      <c r="B631" s="10" t="s">
        <v>60</v>
      </c>
      <c r="C631" s="10" t="s">
        <v>41</v>
      </c>
      <c r="D631" s="10" t="s">
        <v>42</v>
      </c>
      <c r="E631" s="11" t="str">
        <f ca="1">IFERROR(__xludf.DUMMYFUNCTION("FILTER(Colegios!$B$2:$B2419,Colegios!$A$2:$A2419=L631)"),"601331")</f>
        <v>601331</v>
      </c>
      <c r="F631" s="11" t="s">
        <v>17</v>
      </c>
      <c r="G631" s="10" t="s">
        <v>18</v>
      </c>
      <c r="H631" s="11" t="s">
        <v>19</v>
      </c>
      <c r="I631" s="11" t="s">
        <v>20</v>
      </c>
      <c r="J631" s="12" t="str">
        <f ca="1">IFERROR(__xludf.DUMMYFUNCTION("FILTER('CLASFICACIÓN'!$F$3:$F2419,'CLASFICACIÓN'!$G$3:$G2419=M631)"),"LOS 3 AÑOS")</f>
        <v>LOS 3 AÑOS</v>
      </c>
      <c r="K631" s="12" t="s">
        <v>2012</v>
      </c>
      <c r="L631" s="11" t="s">
        <v>70</v>
      </c>
      <c r="M631" s="12" t="str">
        <f t="shared" ca="1" si="2"/>
        <v>6013312 Secundaria</v>
      </c>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4"/>
    </row>
    <row r="632" spans="1:36" ht="15.75" customHeight="1" x14ac:dyDescent="0.25">
      <c r="A632" s="9">
        <v>112</v>
      </c>
      <c r="B632" s="10" t="s">
        <v>60</v>
      </c>
      <c r="C632" s="10" t="s">
        <v>41</v>
      </c>
      <c r="D632" s="10" t="s">
        <v>42</v>
      </c>
      <c r="E632" s="11" t="str">
        <f ca="1">IFERROR(__xludf.DUMMYFUNCTION("FILTER(Colegios!$B$2:$B2419,Colegios!$A$2:$A2419=L632)"),"601331")</f>
        <v>601331</v>
      </c>
      <c r="F632" s="11" t="s">
        <v>17</v>
      </c>
      <c r="G632" s="10" t="s">
        <v>18</v>
      </c>
      <c r="H632" s="11" t="s">
        <v>19</v>
      </c>
      <c r="I632" s="11" t="s">
        <v>20</v>
      </c>
      <c r="J632" s="12" t="str">
        <f ca="1">IFERROR(__xludf.DUMMYFUNCTION("FILTER('CLASFICACIÓN'!$F$3:$F2419,'CLASFICACIÓN'!$G$3:$G2419=M632)"),"LOS 3 AÑOS")</f>
        <v>LOS 3 AÑOS</v>
      </c>
      <c r="K632" s="12" t="s">
        <v>2012</v>
      </c>
      <c r="L632" s="11" t="s">
        <v>70</v>
      </c>
      <c r="M632" s="12" t="str">
        <f t="shared" ca="1" si="2"/>
        <v>6013312 Secundaria</v>
      </c>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4"/>
    </row>
    <row r="633" spans="1:36" ht="15.75" customHeight="1" x14ac:dyDescent="0.25">
      <c r="A633" s="9">
        <v>113</v>
      </c>
      <c r="B633" s="10" t="s">
        <v>60</v>
      </c>
      <c r="C633" s="10" t="s">
        <v>41</v>
      </c>
      <c r="D633" s="10" t="s">
        <v>42</v>
      </c>
      <c r="E633" s="11" t="str">
        <f ca="1">IFERROR(__xludf.DUMMYFUNCTION("FILTER(Colegios!$B$2:$B2419,Colegios!$A$2:$A2419=L633)"),"601331")</f>
        <v>601331</v>
      </c>
      <c r="F633" s="11" t="s">
        <v>17</v>
      </c>
      <c r="G633" s="10" t="s">
        <v>24</v>
      </c>
      <c r="H633" s="11" t="s">
        <v>23</v>
      </c>
      <c r="I633" s="11" t="s">
        <v>20</v>
      </c>
      <c r="J633" s="12" t="str">
        <f ca="1">IFERROR(__xludf.DUMMYFUNCTION("FILTER('CLASFICACIÓN'!$F$3:$F2419,'CLASFICACIÓN'!$G$3:$G2419=M633)"),"LOS 3 AÑOS")</f>
        <v>LOS 3 AÑOS</v>
      </c>
      <c r="K633" s="12" t="s">
        <v>2012</v>
      </c>
      <c r="L633" s="11" t="s">
        <v>70</v>
      </c>
      <c r="M633" s="12" t="str">
        <f t="shared" ca="1" si="2"/>
        <v>6013312 Secundaria</v>
      </c>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4"/>
    </row>
    <row r="634" spans="1:36" ht="15.75" customHeight="1" x14ac:dyDescent="0.25">
      <c r="A634" s="9">
        <v>114</v>
      </c>
      <c r="B634" s="10" t="s">
        <v>60</v>
      </c>
      <c r="C634" s="10" t="s">
        <v>41</v>
      </c>
      <c r="D634" s="10" t="s">
        <v>42</v>
      </c>
      <c r="E634" s="11" t="str">
        <f ca="1">IFERROR(__xludf.DUMMYFUNCTION("FILTER(Colegios!$B$2:$B2419,Colegios!$A$2:$A2419=L634)"),"601331")</f>
        <v>601331</v>
      </c>
      <c r="F634" s="11" t="s">
        <v>17</v>
      </c>
      <c r="G634" s="10" t="s">
        <v>18</v>
      </c>
      <c r="H634" s="11" t="s">
        <v>23</v>
      </c>
      <c r="I634" s="11" t="s">
        <v>20</v>
      </c>
      <c r="J634" s="12" t="str">
        <f ca="1">IFERROR(__xludf.DUMMYFUNCTION("FILTER('CLASFICACIÓN'!$F$3:$F2419,'CLASFICACIÓN'!$G$3:$G2419=M634)"),"LOS 3 AÑOS")</f>
        <v>LOS 3 AÑOS</v>
      </c>
      <c r="K634" s="12" t="s">
        <v>2012</v>
      </c>
      <c r="L634" s="11" t="s">
        <v>70</v>
      </c>
      <c r="M634" s="12" t="str">
        <f t="shared" ca="1" si="2"/>
        <v>6013312 Secundaria</v>
      </c>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4"/>
    </row>
    <row r="635" spans="1:36" ht="15.75" customHeight="1" x14ac:dyDescent="0.25">
      <c r="A635" s="9">
        <v>115</v>
      </c>
      <c r="B635" s="10" t="s">
        <v>60</v>
      </c>
      <c r="C635" s="10" t="s">
        <v>41</v>
      </c>
      <c r="D635" s="10" t="s">
        <v>42</v>
      </c>
      <c r="E635" s="11" t="str">
        <f ca="1">IFERROR(__xludf.DUMMYFUNCTION("FILTER(Colegios!$B$2:$B2419,Colegios!$A$2:$A2419=L635)"),"601331")</f>
        <v>601331</v>
      </c>
      <c r="F635" s="11" t="s">
        <v>17</v>
      </c>
      <c r="G635" s="10" t="s">
        <v>18</v>
      </c>
      <c r="H635" s="11" t="s">
        <v>23</v>
      </c>
      <c r="I635" s="11" t="s">
        <v>20</v>
      </c>
      <c r="J635" s="12" t="str">
        <f ca="1">IFERROR(__xludf.DUMMYFUNCTION("FILTER('CLASFICACIÓN'!$F$3:$F2419,'CLASFICACIÓN'!$G$3:$G2419=M635)"),"LOS 3 AÑOS")</f>
        <v>LOS 3 AÑOS</v>
      </c>
      <c r="K635" s="12" t="s">
        <v>2012</v>
      </c>
      <c r="L635" s="11" t="s">
        <v>70</v>
      </c>
      <c r="M635" s="12" t="str">
        <f t="shared" ca="1" si="2"/>
        <v>6013312 Secundaria</v>
      </c>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4"/>
    </row>
    <row r="636" spans="1:36" ht="15.75" customHeight="1" x14ac:dyDescent="0.25">
      <c r="A636" s="9">
        <v>116</v>
      </c>
      <c r="B636" s="10" t="s">
        <v>60</v>
      </c>
      <c r="C636" s="10" t="s">
        <v>41</v>
      </c>
      <c r="D636" s="10" t="s">
        <v>42</v>
      </c>
      <c r="E636" s="11" t="str">
        <f ca="1">IFERROR(__xludf.DUMMYFUNCTION("FILTER(Colegios!$B$2:$B2419,Colegios!$A$2:$A2419=L636)"),"601331")</f>
        <v>601331</v>
      </c>
      <c r="F636" s="11" t="s">
        <v>17</v>
      </c>
      <c r="G636" s="10" t="s">
        <v>18</v>
      </c>
      <c r="H636" s="11" t="s">
        <v>19</v>
      </c>
      <c r="I636" s="11" t="s">
        <v>20</v>
      </c>
      <c r="J636" s="12" t="str">
        <f ca="1">IFERROR(__xludf.DUMMYFUNCTION("FILTER('CLASFICACIÓN'!$F$3:$F2419,'CLASFICACIÓN'!$G$3:$G2419=M636)"),"LOS 3 AÑOS")</f>
        <v>LOS 3 AÑOS</v>
      </c>
      <c r="K636" s="12" t="s">
        <v>2012</v>
      </c>
      <c r="L636" s="11" t="s">
        <v>70</v>
      </c>
      <c r="M636" s="12" t="str">
        <f t="shared" ca="1" si="2"/>
        <v>6013312 Secundaria</v>
      </c>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4"/>
    </row>
    <row r="637" spans="1:36" ht="15.75" customHeight="1" x14ac:dyDescent="0.25">
      <c r="A637" s="9">
        <v>117</v>
      </c>
      <c r="B637" s="10" t="s">
        <v>60</v>
      </c>
      <c r="C637" s="10" t="s">
        <v>41</v>
      </c>
      <c r="D637" s="10" t="s">
        <v>42</v>
      </c>
      <c r="E637" s="11" t="str">
        <f ca="1">IFERROR(__xludf.DUMMYFUNCTION("FILTER(Colegios!$B$2:$B2419,Colegios!$A$2:$A2419=L637)"),"601331")</f>
        <v>601331</v>
      </c>
      <c r="F637" s="11" t="s">
        <v>17</v>
      </c>
      <c r="G637" s="10" t="s">
        <v>24</v>
      </c>
      <c r="H637" s="11" t="s">
        <v>23</v>
      </c>
      <c r="I637" s="11" t="s">
        <v>20</v>
      </c>
      <c r="J637" s="12" t="str">
        <f ca="1">IFERROR(__xludf.DUMMYFUNCTION("FILTER('CLASFICACIÓN'!$F$3:$F2419,'CLASFICACIÓN'!$G$3:$G2419=M637)"),"LOS 3 AÑOS")</f>
        <v>LOS 3 AÑOS</v>
      </c>
      <c r="K637" s="12" t="s">
        <v>2012</v>
      </c>
      <c r="L637" s="11" t="s">
        <v>70</v>
      </c>
      <c r="M637" s="12" t="str">
        <f t="shared" ca="1" si="2"/>
        <v>6013312 Secundaria</v>
      </c>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4"/>
    </row>
    <row r="638" spans="1:36" ht="15.75" customHeight="1" x14ac:dyDescent="0.25">
      <c r="A638" s="9">
        <v>118</v>
      </c>
      <c r="B638" s="10" t="s">
        <v>60</v>
      </c>
      <c r="C638" s="10" t="s">
        <v>41</v>
      </c>
      <c r="D638" s="10" t="s">
        <v>43</v>
      </c>
      <c r="E638" s="11" t="str">
        <f ca="1">IFERROR(__xludf.DUMMYFUNCTION("FILTER(Colegios!$B$2:$B2419,Colegios!$A$2:$A2419=L638)"),"601331")</f>
        <v>601331</v>
      </c>
      <c r="F638" s="11" t="s">
        <v>17</v>
      </c>
      <c r="G638" s="10" t="s">
        <v>24</v>
      </c>
      <c r="H638" s="11" t="s">
        <v>19</v>
      </c>
      <c r="I638" s="11" t="s">
        <v>20</v>
      </c>
      <c r="J638" s="12" t="str">
        <f ca="1">IFERROR(__xludf.DUMMYFUNCTION("FILTER('CLASFICACIÓN'!$F$3:$F2419,'CLASFICACIÓN'!$G$3:$G2419=M638)"),"LOS 3 AÑOS")</f>
        <v>LOS 3 AÑOS</v>
      </c>
      <c r="K638" s="12" t="s">
        <v>2012</v>
      </c>
      <c r="L638" s="11" t="s">
        <v>70</v>
      </c>
      <c r="M638" s="12" t="str">
        <f t="shared" ca="1" si="2"/>
        <v>6013314 Secundaria</v>
      </c>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4"/>
    </row>
    <row r="639" spans="1:36" ht="15.75" customHeight="1" x14ac:dyDescent="0.25">
      <c r="A639" s="9">
        <v>119</v>
      </c>
      <c r="B639" s="10" t="s">
        <v>60</v>
      </c>
      <c r="C639" s="10" t="s">
        <v>41</v>
      </c>
      <c r="D639" s="10" t="s">
        <v>43</v>
      </c>
      <c r="E639" s="11" t="str">
        <f ca="1">IFERROR(__xludf.DUMMYFUNCTION("FILTER(Colegios!$B$2:$B2419,Colegios!$A$2:$A2419=L639)"),"601331")</f>
        <v>601331</v>
      </c>
      <c r="F639" s="11" t="s">
        <v>17</v>
      </c>
      <c r="G639" s="10" t="s">
        <v>18</v>
      </c>
      <c r="H639" s="11" t="s">
        <v>23</v>
      </c>
      <c r="I639" s="11" t="s">
        <v>20</v>
      </c>
      <c r="J639" s="12" t="str">
        <f ca="1">IFERROR(__xludf.DUMMYFUNCTION("FILTER('CLASFICACIÓN'!$F$3:$F2419,'CLASFICACIÓN'!$G$3:$G2419=M639)"),"LOS 3 AÑOS")</f>
        <v>LOS 3 AÑOS</v>
      </c>
      <c r="K639" s="12" t="s">
        <v>2012</v>
      </c>
      <c r="L639" s="11" t="s">
        <v>70</v>
      </c>
      <c r="M639" s="12" t="str">
        <f t="shared" ca="1" si="2"/>
        <v>6013314 Secundaria</v>
      </c>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4"/>
    </row>
    <row r="640" spans="1:36" ht="15.75" customHeight="1" x14ac:dyDescent="0.25">
      <c r="A640" s="9">
        <v>120</v>
      </c>
      <c r="B640" s="10" t="s">
        <v>60</v>
      </c>
      <c r="C640" s="10" t="s">
        <v>41</v>
      </c>
      <c r="D640" s="10" t="s">
        <v>43</v>
      </c>
      <c r="E640" s="11" t="str">
        <f ca="1">IFERROR(__xludf.DUMMYFUNCTION("FILTER(Colegios!$B$2:$B2419,Colegios!$A$2:$A2419=L640)"),"601331")</f>
        <v>601331</v>
      </c>
      <c r="F640" s="11" t="s">
        <v>17</v>
      </c>
      <c r="G640" s="10" t="s">
        <v>18</v>
      </c>
      <c r="H640" s="11" t="s">
        <v>23</v>
      </c>
      <c r="I640" s="11" t="s">
        <v>20</v>
      </c>
      <c r="J640" s="12" t="str">
        <f ca="1">IFERROR(__xludf.DUMMYFUNCTION("FILTER('CLASFICACIÓN'!$F$3:$F2419,'CLASFICACIÓN'!$G$3:$G2419=M640)"),"LOS 3 AÑOS")</f>
        <v>LOS 3 AÑOS</v>
      </c>
      <c r="K640" s="12" t="s">
        <v>2012</v>
      </c>
      <c r="L640" s="11" t="s">
        <v>70</v>
      </c>
      <c r="M640" s="12" t="str">
        <f t="shared" ca="1" si="2"/>
        <v>6013314 Secundaria</v>
      </c>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4"/>
    </row>
    <row r="641" spans="1:36" ht="15.75" customHeight="1" x14ac:dyDescent="0.25">
      <c r="A641" s="9">
        <v>121</v>
      </c>
      <c r="B641" s="10" t="s">
        <v>60</v>
      </c>
      <c r="C641" s="10" t="s">
        <v>41</v>
      </c>
      <c r="D641" s="10" t="s">
        <v>43</v>
      </c>
      <c r="E641" s="11" t="str">
        <f ca="1">IFERROR(__xludf.DUMMYFUNCTION("FILTER(Colegios!$B$2:$B2419,Colegios!$A$2:$A2419=L641)"),"601331")</f>
        <v>601331</v>
      </c>
      <c r="F641" s="11" t="s">
        <v>17</v>
      </c>
      <c r="G641" s="10" t="s">
        <v>18</v>
      </c>
      <c r="H641" s="11" t="s">
        <v>19</v>
      </c>
      <c r="I641" s="11" t="s">
        <v>20</v>
      </c>
      <c r="J641" s="12" t="str">
        <f ca="1">IFERROR(__xludf.DUMMYFUNCTION("FILTER('CLASFICACIÓN'!$F$3:$F2419,'CLASFICACIÓN'!$G$3:$G2419=M641)"),"LOS 3 AÑOS")</f>
        <v>LOS 3 AÑOS</v>
      </c>
      <c r="K641" s="12" t="s">
        <v>2012</v>
      </c>
      <c r="L641" s="11" t="s">
        <v>70</v>
      </c>
      <c r="M641" s="12" t="str">
        <f t="shared" ca="1" si="2"/>
        <v>6013314 Secundaria</v>
      </c>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4"/>
    </row>
    <row r="642" spans="1:36" ht="15.75" customHeight="1" x14ac:dyDescent="0.25">
      <c r="A642" s="9">
        <v>122</v>
      </c>
      <c r="B642" s="10" t="s">
        <v>60</v>
      </c>
      <c r="C642" s="10" t="s">
        <v>41</v>
      </c>
      <c r="D642" s="10" t="s">
        <v>43</v>
      </c>
      <c r="E642" s="11" t="str">
        <f ca="1">IFERROR(__xludf.DUMMYFUNCTION("FILTER(Colegios!$B$2:$B2419,Colegios!$A$2:$A2419=L642)"),"601331")</f>
        <v>601331</v>
      </c>
      <c r="F642" s="11" t="s">
        <v>17</v>
      </c>
      <c r="G642" s="10" t="s">
        <v>18</v>
      </c>
      <c r="H642" s="11" t="s">
        <v>23</v>
      </c>
      <c r="I642" s="11" t="s">
        <v>20</v>
      </c>
      <c r="J642" s="12" t="str">
        <f ca="1">IFERROR(__xludf.DUMMYFUNCTION("FILTER('CLASFICACIÓN'!$F$3:$F2419,'CLASFICACIÓN'!$G$3:$G2419=M642)"),"LOS 3 AÑOS")</f>
        <v>LOS 3 AÑOS</v>
      </c>
      <c r="K642" s="12" t="s">
        <v>2012</v>
      </c>
      <c r="L642" s="11" t="s">
        <v>70</v>
      </c>
      <c r="M642" s="12" t="str">
        <f t="shared" ca="1" si="2"/>
        <v>6013314 Secundaria</v>
      </c>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4"/>
    </row>
    <row r="643" spans="1:36" ht="15.75" customHeight="1" x14ac:dyDescent="0.25">
      <c r="A643" s="9">
        <v>123</v>
      </c>
      <c r="B643" s="10" t="s">
        <v>60</v>
      </c>
      <c r="C643" s="10" t="s">
        <v>41</v>
      </c>
      <c r="D643" s="10" t="s">
        <v>43</v>
      </c>
      <c r="E643" s="11" t="str">
        <f ca="1">IFERROR(__xludf.DUMMYFUNCTION("FILTER(Colegios!$B$2:$B2419,Colegios!$A$2:$A2419=L643)"),"601331")</f>
        <v>601331</v>
      </c>
      <c r="F643" s="11" t="s">
        <v>17</v>
      </c>
      <c r="G643" s="10" t="s">
        <v>18</v>
      </c>
      <c r="H643" s="11" t="s">
        <v>23</v>
      </c>
      <c r="I643" s="11" t="s">
        <v>20</v>
      </c>
      <c r="J643" s="12" t="str">
        <f ca="1">IFERROR(__xludf.DUMMYFUNCTION("FILTER('CLASFICACIÓN'!$F$3:$F2419,'CLASFICACIÓN'!$G$3:$G2419=M643)"),"LOS 3 AÑOS")</f>
        <v>LOS 3 AÑOS</v>
      </c>
      <c r="K643" s="12" t="s">
        <v>2012</v>
      </c>
      <c r="L643" s="11" t="s">
        <v>70</v>
      </c>
      <c r="M643" s="12" t="str">
        <f t="shared" ca="1" si="2"/>
        <v>6013314 Secundaria</v>
      </c>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4"/>
    </row>
    <row r="644" spans="1:36" ht="15.75" customHeight="1" x14ac:dyDescent="0.25">
      <c r="A644" s="9">
        <v>124</v>
      </c>
      <c r="B644" s="10" t="s">
        <v>60</v>
      </c>
      <c r="C644" s="10" t="s">
        <v>41</v>
      </c>
      <c r="D644" s="10" t="s">
        <v>43</v>
      </c>
      <c r="E644" s="11" t="str">
        <f ca="1">IFERROR(__xludf.DUMMYFUNCTION("FILTER(Colegios!$B$2:$B2419,Colegios!$A$2:$A2419=L644)"),"601331")</f>
        <v>601331</v>
      </c>
      <c r="F644" s="11" t="s">
        <v>17</v>
      </c>
      <c r="G644" s="10" t="s">
        <v>24</v>
      </c>
      <c r="H644" s="11" t="s">
        <v>23</v>
      </c>
      <c r="I644" s="11" t="s">
        <v>20</v>
      </c>
      <c r="J644" s="12" t="str">
        <f ca="1">IFERROR(__xludf.DUMMYFUNCTION("FILTER('CLASFICACIÓN'!$F$3:$F2419,'CLASFICACIÓN'!$G$3:$G2419=M644)"),"LOS 3 AÑOS")</f>
        <v>LOS 3 AÑOS</v>
      </c>
      <c r="K644" s="12" t="s">
        <v>2012</v>
      </c>
      <c r="L644" s="11" t="s">
        <v>70</v>
      </c>
      <c r="M644" s="12" t="str">
        <f t="shared" ca="1" si="2"/>
        <v>6013314 Secundaria</v>
      </c>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4"/>
    </row>
    <row r="645" spans="1:36" ht="15.75" customHeight="1" x14ac:dyDescent="0.25">
      <c r="A645" s="9">
        <v>125</v>
      </c>
      <c r="B645" s="10" t="s">
        <v>60</v>
      </c>
      <c r="C645" s="10" t="s">
        <v>41</v>
      </c>
      <c r="D645" s="10" t="s">
        <v>43</v>
      </c>
      <c r="E645" s="11" t="str">
        <f ca="1">IFERROR(__xludf.DUMMYFUNCTION("FILTER(Colegios!$B$2:$B2419,Colegios!$A$2:$A2419=L645)"),"601331")</f>
        <v>601331</v>
      </c>
      <c r="F645" s="11" t="s">
        <v>17</v>
      </c>
      <c r="G645" s="10" t="s">
        <v>24</v>
      </c>
      <c r="H645" s="11" t="s">
        <v>23</v>
      </c>
      <c r="I645" s="11" t="s">
        <v>20</v>
      </c>
      <c r="J645" s="12" t="str">
        <f ca="1">IFERROR(__xludf.DUMMYFUNCTION("FILTER('CLASFICACIÓN'!$F$3:$F2419,'CLASFICACIÓN'!$G$3:$G2419=M645)"),"LOS 3 AÑOS")</f>
        <v>LOS 3 AÑOS</v>
      </c>
      <c r="K645" s="12" t="s">
        <v>2012</v>
      </c>
      <c r="L645" s="11" t="s">
        <v>70</v>
      </c>
      <c r="M645" s="12" t="str">
        <f t="shared" ca="1" si="2"/>
        <v>6013314 Secundaria</v>
      </c>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4"/>
    </row>
    <row r="646" spans="1:36" ht="15.75" customHeight="1" x14ac:dyDescent="0.25">
      <c r="A646" s="9">
        <v>126</v>
      </c>
      <c r="B646" s="10" t="s">
        <v>60</v>
      </c>
      <c r="C646" s="10" t="s">
        <v>41</v>
      </c>
      <c r="D646" s="10" t="s">
        <v>43</v>
      </c>
      <c r="E646" s="11" t="str">
        <f ca="1">IFERROR(__xludf.DUMMYFUNCTION("FILTER(Colegios!$B$2:$B2419,Colegios!$A$2:$A2419=L646)"),"601331")</f>
        <v>601331</v>
      </c>
      <c r="F646" s="11" t="s">
        <v>17</v>
      </c>
      <c r="G646" s="10" t="s">
        <v>18</v>
      </c>
      <c r="H646" s="11" t="s">
        <v>23</v>
      </c>
      <c r="I646" s="11" t="s">
        <v>20</v>
      </c>
      <c r="J646" s="12" t="str">
        <f ca="1">IFERROR(__xludf.DUMMYFUNCTION("FILTER('CLASFICACIÓN'!$F$3:$F2419,'CLASFICACIÓN'!$G$3:$G2419=M646)"),"LOS 3 AÑOS")</f>
        <v>LOS 3 AÑOS</v>
      </c>
      <c r="K646" s="12" t="s">
        <v>2012</v>
      </c>
      <c r="L646" s="11" t="s">
        <v>70</v>
      </c>
      <c r="M646" s="12" t="str">
        <f t="shared" ca="1" si="2"/>
        <v>6013314 Secundaria</v>
      </c>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4"/>
    </row>
    <row r="647" spans="1:36" ht="15.75" customHeight="1" x14ac:dyDescent="0.25">
      <c r="A647" s="9">
        <v>127</v>
      </c>
      <c r="B647" s="10" t="s">
        <v>60</v>
      </c>
      <c r="C647" s="10" t="s">
        <v>41</v>
      </c>
      <c r="D647" s="10" t="s">
        <v>43</v>
      </c>
      <c r="E647" s="11" t="str">
        <f ca="1">IFERROR(__xludf.DUMMYFUNCTION("FILTER(Colegios!$B$2:$B2419,Colegios!$A$2:$A2419=L647)"),"601331")</f>
        <v>601331</v>
      </c>
      <c r="F647" s="11" t="s">
        <v>17</v>
      </c>
      <c r="G647" s="10" t="s">
        <v>24</v>
      </c>
      <c r="H647" s="11" t="s">
        <v>23</v>
      </c>
      <c r="I647" s="11" t="s">
        <v>20</v>
      </c>
      <c r="J647" s="12" t="str">
        <f ca="1">IFERROR(__xludf.DUMMYFUNCTION("FILTER('CLASFICACIÓN'!$F$3:$F2419,'CLASFICACIÓN'!$G$3:$G2419=M647)"),"LOS 3 AÑOS")</f>
        <v>LOS 3 AÑOS</v>
      </c>
      <c r="K647" s="12" t="s">
        <v>2012</v>
      </c>
      <c r="L647" s="11" t="s">
        <v>70</v>
      </c>
      <c r="M647" s="12" t="str">
        <f t="shared" ca="1" si="2"/>
        <v>6013314 Secundaria</v>
      </c>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4"/>
    </row>
    <row r="648" spans="1:36" ht="15.75" customHeight="1" x14ac:dyDescent="0.25">
      <c r="A648" s="9">
        <v>128</v>
      </c>
      <c r="B648" s="10" t="s">
        <v>60</v>
      </c>
      <c r="C648" s="10" t="s">
        <v>41</v>
      </c>
      <c r="D648" s="10" t="s">
        <v>43</v>
      </c>
      <c r="E648" s="11" t="str">
        <f ca="1">IFERROR(__xludf.DUMMYFUNCTION("FILTER(Colegios!$B$2:$B2419,Colegios!$A$2:$A2419=L648)"),"601331")</f>
        <v>601331</v>
      </c>
      <c r="F648" s="11" t="s">
        <v>17</v>
      </c>
      <c r="G648" s="10" t="s">
        <v>18</v>
      </c>
      <c r="H648" s="11" t="s">
        <v>23</v>
      </c>
      <c r="I648" s="11" t="s">
        <v>20</v>
      </c>
      <c r="J648" s="12" t="str">
        <f ca="1">IFERROR(__xludf.DUMMYFUNCTION("FILTER('CLASFICACIÓN'!$F$3:$F2419,'CLASFICACIÓN'!$G$3:$G2419=M648)"),"LOS 3 AÑOS")</f>
        <v>LOS 3 AÑOS</v>
      </c>
      <c r="K648" s="12" t="s">
        <v>2012</v>
      </c>
      <c r="L648" s="11" t="s">
        <v>70</v>
      </c>
      <c r="M648" s="12" t="str">
        <f t="shared" ca="1" si="2"/>
        <v>6013314 Secundaria</v>
      </c>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4"/>
    </row>
    <row r="649" spans="1:36" ht="15.75" customHeight="1" x14ac:dyDescent="0.25">
      <c r="A649" s="9">
        <v>129</v>
      </c>
      <c r="B649" s="10" t="s">
        <v>60</v>
      </c>
      <c r="C649" s="10" t="s">
        <v>15</v>
      </c>
      <c r="D649" s="10" t="s">
        <v>45</v>
      </c>
      <c r="E649" s="11" t="str">
        <f ca="1">IFERROR(__xludf.DUMMYFUNCTION("FILTER(Colegios!$B$2:$B2419,Colegios!$A$2:$A2419=L649)"),"601391")</f>
        <v>601391</v>
      </c>
      <c r="F649" s="11" t="s">
        <v>17</v>
      </c>
      <c r="G649" s="10" t="s">
        <v>24</v>
      </c>
      <c r="H649" s="11" t="s">
        <v>23</v>
      </c>
      <c r="I649" s="11" t="s">
        <v>20</v>
      </c>
      <c r="J649" s="12" t="str">
        <f ca="1">IFERROR(__xludf.DUMMYFUNCTION("FILTER('CLASFICACIÓN'!$F$3:$F2419,'CLASFICACIÓN'!$G$3:$G2419=M649)"),"SOLO 2024")</f>
        <v>SOLO 2024</v>
      </c>
      <c r="K649" s="12" t="s">
        <v>2014</v>
      </c>
      <c r="L649" s="11" t="s">
        <v>71</v>
      </c>
      <c r="M649" s="12" t="str">
        <f t="shared" ca="1" si="2"/>
        <v>6013912 Primaria</v>
      </c>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4"/>
    </row>
    <row r="650" spans="1:36" ht="15.75" customHeight="1" x14ac:dyDescent="0.25">
      <c r="A650" s="9">
        <v>130</v>
      </c>
      <c r="B650" s="10" t="s">
        <v>60</v>
      </c>
      <c r="C650" s="10" t="s">
        <v>15</v>
      </c>
      <c r="D650" s="10" t="s">
        <v>37</v>
      </c>
      <c r="E650" s="11" t="str">
        <f ca="1">IFERROR(__xludf.DUMMYFUNCTION("FILTER(Colegios!$B$2:$B2419,Colegios!$A$2:$A2419=L650)"),"601391")</f>
        <v>601391</v>
      </c>
      <c r="F650" s="11" t="s">
        <v>17</v>
      </c>
      <c r="G650" s="10" t="s">
        <v>18</v>
      </c>
      <c r="H650" s="11" t="s">
        <v>19</v>
      </c>
      <c r="I650" s="11" t="s">
        <v>20</v>
      </c>
      <c r="J650" s="12" t="str">
        <f ca="1">IFERROR(__xludf.DUMMYFUNCTION("FILTER('CLASFICACIÓN'!$F$3:$F2419,'CLASFICACIÓN'!$G$3:$G2419=M650)"),"SOLO 2024")</f>
        <v>SOLO 2024</v>
      </c>
      <c r="K650" s="12" t="s">
        <v>2014</v>
      </c>
      <c r="L650" s="11" t="s">
        <v>71</v>
      </c>
      <c r="M650" s="12" t="str">
        <f t="shared" ca="1" si="2"/>
        <v>6013916 Primaria</v>
      </c>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4"/>
    </row>
    <row r="651" spans="1:36" ht="15.75" customHeight="1" x14ac:dyDescent="0.25">
      <c r="A651" s="9">
        <v>131</v>
      </c>
      <c r="B651" s="10" t="s">
        <v>60</v>
      </c>
      <c r="C651" s="10" t="s">
        <v>15</v>
      </c>
      <c r="D651" s="10" t="s">
        <v>45</v>
      </c>
      <c r="E651" s="11" t="str">
        <f ca="1">IFERROR(__xludf.DUMMYFUNCTION("FILTER(Colegios!$B$2:$B2419,Colegios!$A$2:$A2419=L651)"),"601570")</f>
        <v>601570</v>
      </c>
      <c r="F651" s="11" t="s">
        <v>17</v>
      </c>
      <c r="G651" s="10" t="s">
        <v>24</v>
      </c>
      <c r="H651" s="11" t="s">
        <v>19</v>
      </c>
      <c r="I651" s="11" t="s">
        <v>20</v>
      </c>
      <c r="J651" s="12" t="str">
        <f ca="1">IFERROR(__xludf.DUMMYFUNCTION("FILTER('CLASFICACIÓN'!$F$3:$F2419,'CLASFICACIÓN'!$G$3:$G2419=M651)"),"SOLO 2024")</f>
        <v>SOLO 2024</v>
      </c>
      <c r="K651" s="12" t="s">
        <v>2014</v>
      </c>
      <c r="L651" s="11" t="s">
        <v>72</v>
      </c>
      <c r="M651" s="12" t="str">
        <f t="shared" ca="1" si="2"/>
        <v>6015702 Primaria</v>
      </c>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4"/>
    </row>
    <row r="652" spans="1:36" ht="15.75" customHeight="1" x14ac:dyDescent="0.25">
      <c r="A652" s="9">
        <v>132</v>
      </c>
      <c r="B652" s="10" t="s">
        <v>60</v>
      </c>
      <c r="C652" s="10" t="s">
        <v>15</v>
      </c>
      <c r="D652" s="10" t="s">
        <v>45</v>
      </c>
      <c r="E652" s="11" t="str">
        <f ca="1">IFERROR(__xludf.DUMMYFUNCTION("FILTER(Colegios!$B$2:$B2419,Colegios!$A$2:$A2419=L652)"),"601570")</f>
        <v>601570</v>
      </c>
      <c r="F652" s="11" t="s">
        <v>17</v>
      </c>
      <c r="G652" s="10" t="s">
        <v>18</v>
      </c>
      <c r="H652" s="11" t="s">
        <v>19</v>
      </c>
      <c r="I652" s="11" t="s">
        <v>20</v>
      </c>
      <c r="J652" s="12" t="str">
        <f ca="1">IFERROR(__xludf.DUMMYFUNCTION("FILTER('CLASFICACIÓN'!$F$3:$F2419,'CLASFICACIÓN'!$G$3:$G2419=M652)"),"SOLO 2024")</f>
        <v>SOLO 2024</v>
      </c>
      <c r="K652" s="12" t="s">
        <v>2014</v>
      </c>
      <c r="L652" s="11" t="s">
        <v>72</v>
      </c>
      <c r="M652" s="12" t="str">
        <f t="shared" ca="1" si="2"/>
        <v>6015702 Primaria</v>
      </c>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4"/>
    </row>
    <row r="653" spans="1:36" ht="15.75" customHeight="1" x14ac:dyDescent="0.25">
      <c r="A653" s="9">
        <v>133</v>
      </c>
      <c r="B653" s="10" t="s">
        <v>60</v>
      </c>
      <c r="C653" s="10" t="s">
        <v>15</v>
      </c>
      <c r="D653" s="10" t="s">
        <v>37</v>
      </c>
      <c r="E653" s="11" t="str">
        <f ca="1">IFERROR(__xludf.DUMMYFUNCTION("FILTER(Colegios!$B$2:$B2419,Colegios!$A$2:$A2419=L653)"),"601570")</f>
        <v>601570</v>
      </c>
      <c r="F653" s="11" t="s">
        <v>17</v>
      </c>
      <c r="G653" s="10" t="s">
        <v>18</v>
      </c>
      <c r="H653" s="11" t="s">
        <v>19</v>
      </c>
      <c r="I653" s="11" t="s">
        <v>20</v>
      </c>
      <c r="J653" s="12" t="str">
        <f ca="1">IFERROR(__xludf.DUMMYFUNCTION("FILTER('CLASFICACIÓN'!$F$3:$F2419,'CLASFICACIÓN'!$G$3:$G2419=M653)"),"SOLO 2024")</f>
        <v>SOLO 2024</v>
      </c>
      <c r="K653" s="12" t="s">
        <v>2014</v>
      </c>
      <c r="L653" s="11" t="s">
        <v>72</v>
      </c>
      <c r="M653" s="12" t="str">
        <f t="shared" ca="1" si="2"/>
        <v>6015706 Primaria</v>
      </c>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4"/>
    </row>
    <row r="654" spans="1:36" ht="15.75" customHeight="1" x14ac:dyDescent="0.25">
      <c r="A654" s="9">
        <v>134</v>
      </c>
      <c r="B654" s="10" t="s">
        <v>60</v>
      </c>
      <c r="C654" s="10" t="s">
        <v>15</v>
      </c>
      <c r="D654" s="10" t="s">
        <v>16</v>
      </c>
      <c r="E654" s="11" t="str">
        <f ca="1">IFERROR(__xludf.DUMMYFUNCTION("FILTER(Colegios!$B$2:$B2419,Colegios!$A$2:$A2419=L654)"),"601678")</f>
        <v>601678</v>
      </c>
      <c r="F654" s="11" t="s">
        <v>17</v>
      </c>
      <c r="G654" s="10" t="s">
        <v>24</v>
      </c>
      <c r="H654" s="11" t="s">
        <v>19</v>
      </c>
      <c r="I654" s="11" t="s">
        <v>20</v>
      </c>
      <c r="J654" s="12" t="str">
        <f ca="1">IFERROR(__xludf.DUMMYFUNCTION("FILTER('CLASFICACIÓN'!$F$3:$F2419,'CLASFICACIÓN'!$G$3:$G2419=M654)"),"SOLO 2024")</f>
        <v>SOLO 2024</v>
      </c>
      <c r="K654" s="12" t="s">
        <v>2014</v>
      </c>
      <c r="L654" s="11" t="s">
        <v>73</v>
      </c>
      <c r="M654" s="12" t="str">
        <f t="shared" ca="1" si="2"/>
        <v>6016784 Primaria</v>
      </c>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4"/>
    </row>
    <row r="655" spans="1:36" ht="15.75" customHeight="1" x14ac:dyDescent="0.25">
      <c r="A655" s="9">
        <v>135</v>
      </c>
      <c r="B655" s="10" t="s">
        <v>60</v>
      </c>
      <c r="C655" s="10" t="s">
        <v>15</v>
      </c>
      <c r="D655" s="10" t="s">
        <v>37</v>
      </c>
      <c r="E655" s="11" t="str">
        <f ca="1">IFERROR(__xludf.DUMMYFUNCTION("FILTER(Colegios!$B$2:$B2419,Colegios!$A$2:$A2419=L655)"),"601678")</f>
        <v>601678</v>
      </c>
      <c r="F655" s="11" t="s">
        <v>17</v>
      </c>
      <c r="G655" s="10" t="s">
        <v>18</v>
      </c>
      <c r="H655" s="11" t="s">
        <v>19</v>
      </c>
      <c r="I655" s="11" t="s">
        <v>20</v>
      </c>
      <c r="J655" s="12" t="str">
        <f ca="1">IFERROR(__xludf.DUMMYFUNCTION("FILTER('CLASFICACIÓN'!$F$3:$F2419,'CLASFICACIÓN'!$G$3:$G2419=M655)"),"SOLO 2024")</f>
        <v>SOLO 2024</v>
      </c>
      <c r="K655" s="12" t="s">
        <v>2014</v>
      </c>
      <c r="L655" s="11" t="s">
        <v>73</v>
      </c>
      <c r="M655" s="12" t="str">
        <f t="shared" ca="1" si="2"/>
        <v>6016786 Primaria</v>
      </c>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4"/>
    </row>
    <row r="656" spans="1:36" ht="15.75" customHeight="1" x14ac:dyDescent="0.25">
      <c r="A656" s="9">
        <v>136</v>
      </c>
      <c r="B656" s="10" t="s">
        <v>60</v>
      </c>
      <c r="C656" s="10" t="s">
        <v>15</v>
      </c>
      <c r="D656" s="10" t="s">
        <v>45</v>
      </c>
      <c r="E656" s="11" t="str">
        <f ca="1">IFERROR(__xludf.DUMMYFUNCTION("FILTER(Colegios!$B$2:$B2419,Colegios!$A$2:$A2419=L656)"),"6010230 BARBARA D'ACHILLE")</f>
        <v>6010230 BARBARA D'ACHILLE</v>
      </c>
      <c r="F656" s="11" t="s">
        <v>17</v>
      </c>
      <c r="G656" s="10" t="s">
        <v>18</v>
      </c>
      <c r="H656" s="11" t="s">
        <v>19</v>
      </c>
      <c r="I656" s="11" t="s">
        <v>20</v>
      </c>
      <c r="J656" s="12" t="str">
        <f ca="1">IFERROR(__xludf.DUMMYFUNCTION("FILTER('CLASFICACIÓN'!$F$3:$F2419,'CLASFICACIÓN'!$G$3:$G2419=M656)"),"2023 Y 2024")</f>
        <v>2023 Y 2024</v>
      </c>
      <c r="K656" s="12" t="s">
        <v>2011</v>
      </c>
      <c r="L656" s="11" t="s">
        <v>74</v>
      </c>
      <c r="M656" s="12" t="str">
        <f t="shared" ca="1" si="2"/>
        <v>6010230 BARBARA D'ACHILLE2 Primaria</v>
      </c>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4"/>
    </row>
    <row r="657" spans="1:36" ht="15.75" customHeight="1" x14ac:dyDescent="0.25">
      <c r="A657" s="9">
        <v>137</v>
      </c>
      <c r="B657" s="10" t="s">
        <v>60</v>
      </c>
      <c r="C657" s="10" t="s">
        <v>15</v>
      </c>
      <c r="D657" s="10" t="s">
        <v>45</v>
      </c>
      <c r="E657" s="11" t="str">
        <f ca="1">IFERROR(__xludf.DUMMYFUNCTION("FILTER(Colegios!$B$2:$B2419,Colegios!$A$2:$A2419=L657)"),"6010230 BARBARA D'ACHILLE")</f>
        <v>6010230 BARBARA D'ACHILLE</v>
      </c>
      <c r="F657" s="11" t="s">
        <v>17</v>
      </c>
      <c r="G657" s="10" t="s">
        <v>24</v>
      </c>
      <c r="H657" s="11" t="s">
        <v>19</v>
      </c>
      <c r="I657" s="11" t="s">
        <v>20</v>
      </c>
      <c r="J657" s="12" t="str">
        <f ca="1">IFERROR(__xludf.DUMMYFUNCTION("FILTER('CLASFICACIÓN'!$F$3:$F2419,'CLASFICACIÓN'!$G$3:$G2419=M657)"),"2023 Y 2024")</f>
        <v>2023 Y 2024</v>
      </c>
      <c r="K657" s="12" t="s">
        <v>2011</v>
      </c>
      <c r="L657" s="11" t="s">
        <v>74</v>
      </c>
      <c r="M657" s="12" t="str">
        <f t="shared" ca="1" si="2"/>
        <v>6010230 BARBARA D'ACHILLE2 Primaria</v>
      </c>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4"/>
    </row>
    <row r="658" spans="1:36" ht="15.75" customHeight="1" x14ac:dyDescent="0.25">
      <c r="A658" s="9">
        <v>138</v>
      </c>
      <c r="B658" s="10" t="s">
        <v>60</v>
      </c>
      <c r="C658" s="10" t="s">
        <v>15</v>
      </c>
      <c r="D658" s="10" t="s">
        <v>16</v>
      </c>
      <c r="E658" s="11" t="str">
        <f ca="1">IFERROR(__xludf.DUMMYFUNCTION("FILTER(Colegios!$B$2:$B2419,Colegios!$A$2:$A2419=L658)"),"6010230 BARBARA D'ACHILLE")</f>
        <v>6010230 BARBARA D'ACHILLE</v>
      </c>
      <c r="F658" s="11" t="s">
        <v>17</v>
      </c>
      <c r="G658" s="10" t="s">
        <v>18</v>
      </c>
      <c r="H658" s="11" t="s">
        <v>19</v>
      </c>
      <c r="I658" s="11" t="s">
        <v>20</v>
      </c>
      <c r="J658" s="12" t="str">
        <f ca="1">IFERROR(__xludf.DUMMYFUNCTION("FILTER('CLASFICACIÓN'!$F$3:$F2419,'CLASFICACIÓN'!$G$3:$G2419=M658)"),"LOS 3 AÑOS")</f>
        <v>LOS 3 AÑOS</v>
      </c>
      <c r="K658" s="12" t="s">
        <v>2011</v>
      </c>
      <c r="L658" s="11" t="s">
        <v>74</v>
      </c>
      <c r="M658" s="12" t="str">
        <f t="shared" ca="1" si="2"/>
        <v>6010230 BARBARA D'ACHILLE4 Primaria</v>
      </c>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4"/>
    </row>
    <row r="659" spans="1:36" ht="15.75" customHeight="1" x14ac:dyDescent="0.25">
      <c r="A659" s="9">
        <v>139</v>
      </c>
      <c r="B659" s="10" t="s">
        <v>60</v>
      </c>
      <c r="C659" s="10" t="s">
        <v>15</v>
      </c>
      <c r="D659" s="10" t="s">
        <v>16</v>
      </c>
      <c r="E659" s="11" t="str">
        <f ca="1">IFERROR(__xludf.DUMMYFUNCTION("FILTER(Colegios!$B$2:$B2419,Colegios!$A$2:$A2419=L659)"),"6010230 BARBARA D'ACHILLE")</f>
        <v>6010230 BARBARA D'ACHILLE</v>
      </c>
      <c r="F659" s="11" t="s">
        <v>17</v>
      </c>
      <c r="G659" s="10" t="s">
        <v>18</v>
      </c>
      <c r="H659" s="11" t="s">
        <v>19</v>
      </c>
      <c r="I659" s="11" t="s">
        <v>20</v>
      </c>
      <c r="J659" s="12" t="str">
        <f ca="1">IFERROR(__xludf.DUMMYFUNCTION("FILTER('CLASFICACIÓN'!$F$3:$F2419,'CLASFICACIÓN'!$G$3:$G2419=M659)"),"LOS 3 AÑOS")</f>
        <v>LOS 3 AÑOS</v>
      </c>
      <c r="K659" s="12" t="s">
        <v>2011</v>
      </c>
      <c r="L659" s="11" t="s">
        <v>74</v>
      </c>
      <c r="M659" s="12" t="str">
        <f t="shared" ca="1" si="2"/>
        <v>6010230 BARBARA D'ACHILLE4 Primaria</v>
      </c>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4"/>
    </row>
    <row r="660" spans="1:36" ht="15.75" customHeight="1" x14ac:dyDescent="0.25">
      <c r="A660" s="9">
        <v>140</v>
      </c>
      <c r="B660" s="10" t="s">
        <v>60</v>
      </c>
      <c r="C660" s="10" t="s">
        <v>15</v>
      </c>
      <c r="D660" s="10" t="s">
        <v>37</v>
      </c>
      <c r="E660" s="11" t="str">
        <f ca="1">IFERROR(__xludf.DUMMYFUNCTION("FILTER(Colegios!$B$2:$B2419,Colegios!$A$2:$A2419=L660)"),"6010230 BARBARA D'ACHILLE")</f>
        <v>6010230 BARBARA D'ACHILLE</v>
      </c>
      <c r="F660" s="11" t="s">
        <v>17</v>
      </c>
      <c r="G660" s="10" t="s">
        <v>24</v>
      </c>
      <c r="H660" s="11" t="s">
        <v>19</v>
      </c>
      <c r="I660" s="11" t="s">
        <v>20</v>
      </c>
      <c r="J660" s="12" t="str">
        <f ca="1">IFERROR(__xludf.DUMMYFUNCTION("FILTER('CLASFICACIÓN'!$F$3:$F2419,'CLASFICACIÓN'!$G$3:$G2419=M660)"),"LOS 3 AÑOS")</f>
        <v>LOS 3 AÑOS</v>
      </c>
      <c r="K660" s="12" t="s">
        <v>2011</v>
      </c>
      <c r="L660" s="11" t="s">
        <v>74</v>
      </c>
      <c r="M660" s="12" t="str">
        <f t="shared" ca="1" si="2"/>
        <v>6010230 BARBARA D'ACHILLE6 Primaria</v>
      </c>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4"/>
    </row>
    <row r="661" spans="1:36" ht="15.75" customHeight="1" x14ac:dyDescent="0.25">
      <c r="A661" s="9">
        <v>141</v>
      </c>
      <c r="B661" s="10" t="s">
        <v>60</v>
      </c>
      <c r="C661" s="10" t="s">
        <v>15</v>
      </c>
      <c r="D661" s="10" t="s">
        <v>37</v>
      </c>
      <c r="E661" s="11" t="str">
        <f ca="1">IFERROR(__xludf.DUMMYFUNCTION("FILTER(Colegios!$B$2:$B2419,Colegios!$A$2:$A2419=L661)"),"6010230 BARBARA D'ACHILLE")</f>
        <v>6010230 BARBARA D'ACHILLE</v>
      </c>
      <c r="F661" s="11" t="s">
        <v>17</v>
      </c>
      <c r="G661" s="10" t="s">
        <v>18</v>
      </c>
      <c r="H661" s="11" t="s">
        <v>19</v>
      </c>
      <c r="I661" s="11" t="s">
        <v>20</v>
      </c>
      <c r="J661" s="12" t="str">
        <f ca="1">IFERROR(__xludf.DUMMYFUNCTION("FILTER('CLASFICACIÓN'!$F$3:$F2419,'CLASFICACIÓN'!$G$3:$G2419=M661)"),"LOS 3 AÑOS")</f>
        <v>LOS 3 AÑOS</v>
      </c>
      <c r="K661" s="12" t="s">
        <v>2011</v>
      </c>
      <c r="L661" s="11" t="s">
        <v>74</v>
      </c>
      <c r="M661" s="12" t="str">
        <f t="shared" ca="1" si="2"/>
        <v>6010230 BARBARA D'ACHILLE6 Primaria</v>
      </c>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4"/>
    </row>
    <row r="662" spans="1:36" ht="15.75" customHeight="1" x14ac:dyDescent="0.25">
      <c r="A662" s="9">
        <v>142</v>
      </c>
      <c r="B662" s="10" t="s">
        <v>60</v>
      </c>
      <c r="C662" s="10" t="s">
        <v>15</v>
      </c>
      <c r="D662" s="10" t="s">
        <v>37</v>
      </c>
      <c r="E662" s="11" t="str">
        <f ca="1">IFERROR(__xludf.DUMMYFUNCTION("FILTER(Colegios!$B$2:$B2419,Colegios!$A$2:$A2419=L662)"),"6010230 BARBARA D'ACHILLE")</f>
        <v>6010230 BARBARA D'ACHILLE</v>
      </c>
      <c r="F662" s="11" t="s">
        <v>17</v>
      </c>
      <c r="G662" s="10" t="s">
        <v>18</v>
      </c>
      <c r="H662" s="11" t="s">
        <v>19</v>
      </c>
      <c r="I662" s="11" t="s">
        <v>20</v>
      </c>
      <c r="J662" s="12" t="str">
        <f ca="1">IFERROR(__xludf.DUMMYFUNCTION("FILTER('CLASFICACIÓN'!$F$3:$F2419,'CLASFICACIÓN'!$G$3:$G2419=M662)"),"LOS 3 AÑOS")</f>
        <v>LOS 3 AÑOS</v>
      </c>
      <c r="K662" s="12" t="s">
        <v>2011</v>
      </c>
      <c r="L662" s="11" t="s">
        <v>74</v>
      </c>
      <c r="M662" s="12" t="str">
        <f t="shared" ca="1" si="2"/>
        <v>6010230 BARBARA D'ACHILLE6 Primaria</v>
      </c>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4"/>
    </row>
    <row r="663" spans="1:36" ht="15.75" customHeight="1" x14ac:dyDescent="0.25">
      <c r="A663" s="9">
        <v>143</v>
      </c>
      <c r="B663" s="10" t="s">
        <v>60</v>
      </c>
      <c r="C663" s="10" t="s">
        <v>15</v>
      </c>
      <c r="D663" s="10" t="s">
        <v>37</v>
      </c>
      <c r="E663" s="11" t="str">
        <f ca="1">IFERROR(__xludf.DUMMYFUNCTION("FILTER(Colegios!$B$2:$B2419,Colegios!$A$2:$A2419=L663)"),"6010230 BARBARA D'ACHILLE")</f>
        <v>6010230 BARBARA D'ACHILLE</v>
      </c>
      <c r="F663" s="11" t="s">
        <v>17</v>
      </c>
      <c r="G663" s="10" t="s">
        <v>18</v>
      </c>
      <c r="H663" s="11" t="s">
        <v>19</v>
      </c>
      <c r="I663" s="11" t="s">
        <v>20</v>
      </c>
      <c r="J663" s="12" t="str">
        <f ca="1">IFERROR(__xludf.DUMMYFUNCTION("FILTER('CLASFICACIÓN'!$F$3:$F2419,'CLASFICACIÓN'!$G$3:$G2419=M663)"),"LOS 3 AÑOS")</f>
        <v>LOS 3 AÑOS</v>
      </c>
      <c r="K663" s="12" t="s">
        <v>2011</v>
      </c>
      <c r="L663" s="11" t="s">
        <v>74</v>
      </c>
      <c r="M663" s="12" t="str">
        <f t="shared" ca="1" si="2"/>
        <v>6010230 BARBARA D'ACHILLE6 Primaria</v>
      </c>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4"/>
    </row>
    <row r="664" spans="1:36" ht="15.75" customHeight="1" x14ac:dyDescent="0.25">
      <c r="A664" s="9">
        <v>144</v>
      </c>
      <c r="B664" s="10" t="s">
        <v>60</v>
      </c>
      <c r="C664" s="10" t="s">
        <v>41</v>
      </c>
      <c r="D664" s="10" t="s">
        <v>42</v>
      </c>
      <c r="E664" s="11" t="str">
        <f ca="1">IFERROR(__xludf.DUMMYFUNCTION("FILTER(Colegios!$B$2:$B2419,Colegios!$A$2:$A2419=L664)"),"6010230 BARBARA D'ACHILLE")</f>
        <v>6010230 BARBARA D'ACHILLE</v>
      </c>
      <c r="F664" s="11" t="s">
        <v>17</v>
      </c>
      <c r="G664" s="10" t="s">
        <v>18</v>
      </c>
      <c r="H664" s="11" t="s">
        <v>19</v>
      </c>
      <c r="I664" s="11" t="s">
        <v>20</v>
      </c>
      <c r="J664" s="12" t="str">
        <f ca="1">IFERROR(__xludf.DUMMYFUNCTION("FILTER('CLASFICACIÓN'!$F$3:$F2419,'CLASFICACIÓN'!$G$3:$G2419=M664)"),"LOS 3 AÑOS")</f>
        <v>LOS 3 AÑOS</v>
      </c>
      <c r="K664" s="12" t="s">
        <v>2011</v>
      </c>
      <c r="L664" s="11" t="s">
        <v>74</v>
      </c>
      <c r="M664" s="12" t="str">
        <f t="shared" ca="1" si="2"/>
        <v>6010230 BARBARA D'ACHILLE2 Secundaria</v>
      </c>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4"/>
    </row>
    <row r="665" spans="1:36" ht="15.75" customHeight="1" x14ac:dyDescent="0.25">
      <c r="A665" s="9">
        <v>145</v>
      </c>
      <c r="B665" s="10" t="s">
        <v>60</v>
      </c>
      <c r="C665" s="10" t="s">
        <v>41</v>
      </c>
      <c r="D665" s="10" t="s">
        <v>42</v>
      </c>
      <c r="E665" s="11" t="str">
        <f ca="1">IFERROR(__xludf.DUMMYFUNCTION("FILTER(Colegios!$B$2:$B2419,Colegios!$A$2:$A2419=L665)"),"6010230 BARBARA D'ACHILLE")</f>
        <v>6010230 BARBARA D'ACHILLE</v>
      </c>
      <c r="F665" s="11" t="s">
        <v>17</v>
      </c>
      <c r="G665" s="10" t="s">
        <v>24</v>
      </c>
      <c r="H665" s="11" t="s">
        <v>19</v>
      </c>
      <c r="I665" s="11" t="s">
        <v>20</v>
      </c>
      <c r="J665" s="12" t="str">
        <f ca="1">IFERROR(__xludf.DUMMYFUNCTION("FILTER('CLASFICACIÓN'!$F$3:$F2419,'CLASFICACIÓN'!$G$3:$G2419=M665)"),"LOS 3 AÑOS")</f>
        <v>LOS 3 AÑOS</v>
      </c>
      <c r="K665" s="12" t="s">
        <v>2011</v>
      </c>
      <c r="L665" s="11" t="s">
        <v>74</v>
      </c>
      <c r="M665" s="12" t="str">
        <f t="shared" ca="1" si="2"/>
        <v>6010230 BARBARA D'ACHILLE2 Secundaria</v>
      </c>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4"/>
    </row>
    <row r="666" spans="1:36" ht="15.75" customHeight="1" x14ac:dyDescent="0.25">
      <c r="A666" s="9">
        <v>146</v>
      </c>
      <c r="B666" s="10" t="s">
        <v>60</v>
      </c>
      <c r="C666" s="10" t="s">
        <v>41</v>
      </c>
      <c r="D666" s="10" t="s">
        <v>42</v>
      </c>
      <c r="E666" s="11" t="str">
        <f ca="1">IFERROR(__xludf.DUMMYFUNCTION("FILTER(Colegios!$B$2:$B2419,Colegios!$A$2:$A2419=L666)"),"6010230 BARBARA D'ACHILLE")</f>
        <v>6010230 BARBARA D'ACHILLE</v>
      </c>
      <c r="F666" s="11" t="s">
        <v>17</v>
      </c>
      <c r="G666" s="10" t="s">
        <v>18</v>
      </c>
      <c r="H666" s="11" t="s">
        <v>19</v>
      </c>
      <c r="I666" s="11" t="s">
        <v>20</v>
      </c>
      <c r="J666" s="12" t="str">
        <f ca="1">IFERROR(__xludf.DUMMYFUNCTION("FILTER('CLASFICACIÓN'!$F$3:$F2419,'CLASFICACIÓN'!$G$3:$G2419=M666)"),"LOS 3 AÑOS")</f>
        <v>LOS 3 AÑOS</v>
      </c>
      <c r="K666" s="12" t="s">
        <v>2011</v>
      </c>
      <c r="L666" s="11" t="s">
        <v>74</v>
      </c>
      <c r="M666" s="12" t="str">
        <f t="shared" ca="1" si="2"/>
        <v>6010230 BARBARA D'ACHILLE2 Secundaria</v>
      </c>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4"/>
    </row>
    <row r="667" spans="1:36" ht="15.75" customHeight="1" x14ac:dyDescent="0.25">
      <c r="A667" s="9">
        <v>147</v>
      </c>
      <c r="B667" s="10" t="s">
        <v>60</v>
      </c>
      <c r="C667" s="10" t="s">
        <v>41</v>
      </c>
      <c r="D667" s="10" t="s">
        <v>42</v>
      </c>
      <c r="E667" s="11" t="str">
        <f ca="1">IFERROR(__xludf.DUMMYFUNCTION("FILTER(Colegios!$B$2:$B2419,Colegios!$A$2:$A2419=L667)"),"6010230 BARBARA D'ACHILLE")</f>
        <v>6010230 BARBARA D'ACHILLE</v>
      </c>
      <c r="F667" s="11" t="s">
        <v>17</v>
      </c>
      <c r="G667" s="10" t="s">
        <v>24</v>
      </c>
      <c r="H667" s="11" t="s">
        <v>19</v>
      </c>
      <c r="I667" s="11" t="s">
        <v>20</v>
      </c>
      <c r="J667" s="12" t="str">
        <f ca="1">IFERROR(__xludf.DUMMYFUNCTION("FILTER('CLASFICACIÓN'!$F$3:$F2419,'CLASFICACIÓN'!$G$3:$G2419=M667)"),"LOS 3 AÑOS")</f>
        <v>LOS 3 AÑOS</v>
      </c>
      <c r="K667" s="12" t="s">
        <v>2011</v>
      </c>
      <c r="L667" s="11" t="s">
        <v>74</v>
      </c>
      <c r="M667" s="12" t="str">
        <f t="shared" ca="1" si="2"/>
        <v>6010230 BARBARA D'ACHILLE2 Secundaria</v>
      </c>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4"/>
    </row>
    <row r="668" spans="1:36" ht="15.75" customHeight="1" x14ac:dyDescent="0.25">
      <c r="A668" s="9">
        <v>148</v>
      </c>
      <c r="B668" s="10" t="s">
        <v>60</v>
      </c>
      <c r="C668" s="10" t="s">
        <v>41</v>
      </c>
      <c r="D668" s="10" t="s">
        <v>42</v>
      </c>
      <c r="E668" s="11" t="str">
        <f ca="1">IFERROR(__xludf.DUMMYFUNCTION("FILTER(Colegios!$B$2:$B2419,Colegios!$A$2:$A2419=L668)"),"6010230 BARBARA D'ACHILLE")</f>
        <v>6010230 BARBARA D'ACHILLE</v>
      </c>
      <c r="F668" s="11" t="s">
        <v>17</v>
      </c>
      <c r="G668" s="10" t="s">
        <v>18</v>
      </c>
      <c r="H668" s="11" t="s">
        <v>19</v>
      </c>
      <c r="I668" s="11" t="s">
        <v>20</v>
      </c>
      <c r="J668" s="12" t="str">
        <f ca="1">IFERROR(__xludf.DUMMYFUNCTION("FILTER('CLASFICACIÓN'!$F$3:$F2419,'CLASFICACIÓN'!$G$3:$G2419=M668)"),"LOS 3 AÑOS")</f>
        <v>LOS 3 AÑOS</v>
      </c>
      <c r="K668" s="12" t="s">
        <v>2011</v>
      </c>
      <c r="L668" s="11" t="s">
        <v>74</v>
      </c>
      <c r="M668" s="12" t="str">
        <f t="shared" ca="1" si="2"/>
        <v>6010230 BARBARA D'ACHILLE2 Secundaria</v>
      </c>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4"/>
    </row>
    <row r="669" spans="1:36" ht="15.75" customHeight="1" x14ac:dyDescent="0.25">
      <c r="A669" s="9">
        <v>149</v>
      </c>
      <c r="B669" s="10" t="s">
        <v>60</v>
      </c>
      <c r="C669" s="10" t="s">
        <v>41</v>
      </c>
      <c r="D669" s="10" t="s">
        <v>42</v>
      </c>
      <c r="E669" s="11" t="str">
        <f ca="1">IFERROR(__xludf.DUMMYFUNCTION("FILTER(Colegios!$B$2:$B2419,Colegios!$A$2:$A2419=L669)"),"6010230 BARBARA D'ACHILLE")</f>
        <v>6010230 BARBARA D'ACHILLE</v>
      </c>
      <c r="F669" s="11" t="s">
        <v>17</v>
      </c>
      <c r="G669" s="10" t="s">
        <v>18</v>
      </c>
      <c r="H669" s="11" t="s">
        <v>19</v>
      </c>
      <c r="I669" s="11" t="s">
        <v>20</v>
      </c>
      <c r="J669" s="12" t="str">
        <f ca="1">IFERROR(__xludf.DUMMYFUNCTION("FILTER('CLASFICACIÓN'!$F$3:$F2419,'CLASFICACIÓN'!$G$3:$G2419=M669)"),"LOS 3 AÑOS")</f>
        <v>LOS 3 AÑOS</v>
      </c>
      <c r="K669" s="12" t="s">
        <v>2011</v>
      </c>
      <c r="L669" s="11" t="s">
        <v>74</v>
      </c>
      <c r="M669" s="12" t="str">
        <f t="shared" ca="1" si="2"/>
        <v>6010230 BARBARA D'ACHILLE2 Secundaria</v>
      </c>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4"/>
    </row>
    <row r="670" spans="1:36" ht="15.75" customHeight="1" x14ac:dyDescent="0.25">
      <c r="A670" s="9">
        <v>150</v>
      </c>
      <c r="B670" s="10" t="s">
        <v>60</v>
      </c>
      <c r="C670" s="10" t="s">
        <v>41</v>
      </c>
      <c r="D670" s="10" t="s">
        <v>42</v>
      </c>
      <c r="E670" s="11" t="str">
        <f ca="1">IFERROR(__xludf.DUMMYFUNCTION("FILTER(Colegios!$B$2:$B2419,Colegios!$A$2:$A2419=L670)"),"6010230 BARBARA D'ACHILLE")</f>
        <v>6010230 BARBARA D'ACHILLE</v>
      </c>
      <c r="F670" s="11" t="s">
        <v>17</v>
      </c>
      <c r="G670" s="10" t="s">
        <v>18</v>
      </c>
      <c r="H670" s="11" t="s">
        <v>19</v>
      </c>
      <c r="I670" s="11" t="s">
        <v>20</v>
      </c>
      <c r="J670" s="12" t="str">
        <f ca="1">IFERROR(__xludf.DUMMYFUNCTION("FILTER('CLASFICACIÓN'!$F$3:$F2419,'CLASFICACIÓN'!$G$3:$G2419=M670)"),"LOS 3 AÑOS")</f>
        <v>LOS 3 AÑOS</v>
      </c>
      <c r="K670" s="12" t="s">
        <v>2011</v>
      </c>
      <c r="L670" s="11" t="s">
        <v>74</v>
      </c>
      <c r="M670" s="12" t="str">
        <f t="shared" ca="1" si="2"/>
        <v>6010230 BARBARA D'ACHILLE2 Secundaria</v>
      </c>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4"/>
    </row>
    <row r="671" spans="1:36" ht="15.75" customHeight="1" x14ac:dyDescent="0.25">
      <c r="A671" s="9">
        <v>151</v>
      </c>
      <c r="B671" s="10" t="s">
        <v>60</v>
      </c>
      <c r="C671" s="10" t="s">
        <v>41</v>
      </c>
      <c r="D671" s="10" t="s">
        <v>42</v>
      </c>
      <c r="E671" s="11" t="str">
        <f ca="1">IFERROR(__xludf.DUMMYFUNCTION("FILTER(Colegios!$B$2:$B2419,Colegios!$A$2:$A2419=L671)"),"6010230 BARBARA D'ACHILLE")</f>
        <v>6010230 BARBARA D'ACHILLE</v>
      </c>
      <c r="F671" s="11" t="s">
        <v>17</v>
      </c>
      <c r="G671" s="10" t="s">
        <v>18</v>
      </c>
      <c r="H671" s="11" t="s">
        <v>19</v>
      </c>
      <c r="I671" s="11" t="s">
        <v>20</v>
      </c>
      <c r="J671" s="12" t="str">
        <f ca="1">IFERROR(__xludf.DUMMYFUNCTION("FILTER('CLASFICACIÓN'!$F$3:$F2419,'CLASFICACIÓN'!$G$3:$G2419=M671)"),"LOS 3 AÑOS")</f>
        <v>LOS 3 AÑOS</v>
      </c>
      <c r="K671" s="12" t="s">
        <v>2011</v>
      </c>
      <c r="L671" s="11" t="s">
        <v>74</v>
      </c>
      <c r="M671" s="12" t="str">
        <f t="shared" ca="1" si="2"/>
        <v>6010230 BARBARA D'ACHILLE2 Secundaria</v>
      </c>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4"/>
    </row>
    <row r="672" spans="1:36" ht="15.75" customHeight="1" x14ac:dyDescent="0.25">
      <c r="A672" s="9">
        <v>152</v>
      </c>
      <c r="B672" s="10" t="s">
        <v>60</v>
      </c>
      <c r="C672" s="10" t="s">
        <v>41</v>
      </c>
      <c r="D672" s="10" t="s">
        <v>43</v>
      </c>
      <c r="E672" s="11" t="str">
        <f ca="1">IFERROR(__xludf.DUMMYFUNCTION("FILTER(Colegios!$B$2:$B2419,Colegios!$A$2:$A2419=L672)"),"6010230 BARBARA D'ACHILLE")</f>
        <v>6010230 BARBARA D'ACHILLE</v>
      </c>
      <c r="F672" s="11" t="s">
        <v>17</v>
      </c>
      <c r="G672" s="10" t="s">
        <v>24</v>
      </c>
      <c r="H672" s="11" t="s">
        <v>19</v>
      </c>
      <c r="I672" s="11" t="s">
        <v>20</v>
      </c>
      <c r="J672" s="12" t="str">
        <f ca="1">IFERROR(__xludf.DUMMYFUNCTION("FILTER('CLASFICACIÓN'!$F$3:$F2419,'CLASFICACIÓN'!$G$3:$G2419=M672)"),"LOS 3 AÑOS")</f>
        <v>LOS 3 AÑOS</v>
      </c>
      <c r="K672" s="12" t="s">
        <v>2011</v>
      </c>
      <c r="L672" s="11" t="s">
        <v>74</v>
      </c>
      <c r="M672" s="12" t="str">
        <f t="shared" ca="1" si="2"/>
        <v>6010230 BARBARA D'ACHILLE4 Secundaria</v>
      </c>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4"/>
    </row>
    <row r="673" spans="1:36" ht="15.75" customHeight="1" x14ac:dyDescent="0.25">
      <c r="A673" s="9">
        <v>153</v>
      </c>
      <c r="B673" s="10" t="s">
        <v>60</v>
      </c>
      <c r="C673" s="10" t="s">
        <v>41</v>
      </c>
      <c r="D673" s="10" t="s">
        <v>43</v>
      </c>
      <c r="E673" s="11" t="str">
        <f ca="1">IFERROR(__xludf.DUMMYFUNCTION("FILTER(Colegios!$B$2:$B2419,Colegios!$A$2:$A2419=L673)"),"6010230 BARBARA D'ACHILLE")</f>
        <v>6010230 BARBARA D'ACHILLE</v>
      </c>
      <c r="F673" s="11" t="s">
        <v>17</v>
      </c>
      <c r="G673" s="10" t="s">
        <v>18</v>
      </c>
      <c r="H673" s="11" t="s">
        <v>19</v>
      </c>
      <c r="I673" s="11" t="s">
        <v>20</v>
      </c>
      <c r="J673" s="12" t="str">
        <f ca="1">IFERROR(__xludf.DUMMYFUNCTION("FILTER('CLASFICACIÓN'!$F$3:$F2419,'CLASFICACIÓN'!$G$3:$G2419=M673)"),"LOS 3 AÑOS")</f>
        <v>LOS 3 AÑOS</v>
      </c>
      <c r="K673" s="12" t="s">
        <v>2011</v>
      </c>
      <c r="L673" s="11" t="s">
        <v>74</v>
      </c>
      <c r="M673" s="12" t="str">
        <f t="shared" ca="1" si="2"/>
        <v>6010230 BARBARA D'ACHILLE4 Secundaria</v>
      </c>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4"/>
    </row>
    <row r="674" spans="1:36" ht="15.75" customHeight="1" x14ac:dyDescent="0.25">
      <c r="A674" s="9">
        <v>154</v>
      </c>
      <c r="B674" s="10" t="s">
        <v>60</v>
      </c>
      <c r="C674" s="10" t="s">
        <v>41</v>
      </c>
      <c r="D674" s="10" t="s">
        <v>43</v>
      </c>
      <c r="E674" s="11" t="str">
        <f ca="1">IFERROR(__xludf.DUMMYFUNCTION("FILTER(Colegios!$B$2:$B2419,Colegios!$A$2:$A2419=L674)"),"6010230 BARBARA D'ACHILLE")</f>
        <v>6010230 BARBARA D'ACHILLE</v>
      </c>
      <c r="F674" s="11" t="s">
        <v>17</v>
      </c>
      <c r="G674" s="10" t="s">
        <v>24</v>
      </c>
      <c r="H674" s="11" t="s">
        <v>19</v>
      </c>
      <c r="I674" s="11" t="s">
        <v>20</v>
      </c>
      <c r="J674" s="12" t="str">
        <f ca="1">IFERROR(__xludf.DUMMYFUNCTION("FILTER('CLASFICACIÓN'!$F$3:$F2419,'CLASFICACIÓN'!$G$3:$G2419=M674)"),"LOS 3 AÑOS")</f>
        <v>LOS 3 AÑOS</v>
      </c>
      <c r="K674" s="12" t="s">
        <v>2011</v>
      </c>
      <c r="L674" s="11" t="s">
        <v>74</v>
      </c>
      <c r="M674" s="12" t="str">
        <f t="shared" ca="1" si="2"/>
        <v>6010230 BARBARA D'ACHILLE4 Secundaria</v>
      </c>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4"/>
    </row>
    <row r="675" spans="1:36" ht="15.75" customHeight="1" x14ac:dyDescent="0.25">
      <c r="A675" s="9">
        <v>155</v>
      </c>
      <c r="B675" s="10" t="s">
        <v>60</v>
      </c>
      <c r="C675" s="10" t="s">
        <v>15</v>
      </c>
      <c r="D675" s="10" t="s">
        <v>45</v>
      </c>
      <c r="E675" s="11" t="str">
        <f ca="1">IFERROR(__xludf.DUMMYFUNCTION("FILTER(Colegios!$B$2:$B2419,Colegios!$A$2:$A2419=L675)"),"60181")</f>
        <v>60181</v>
      </c>
      <c r="F675" s="11" t="s">
        <v>17</v>
      </c>
      <c r="G675" s="10" t="s">
        <v>18</v>
      </c>
      <c r="H675" s="11" t="s">
        <v>19</v>
      </c>
      <c r="I675" s="11" t="s">
        <v>20</v>
      </c>
      <c r="J675" s="12" t="str">
        <f ca="1">IFERROR(__xludf.DUMMYFUNCTION("FILTER('CLASFICACIÓN'!$F$3:$F2419,'CLASFICACIÓN'!$G$3:$G2419=M675)"),"SOLO 2024")</f>
        <v>SOLO 2024</v>
      </c>
      <c r="K675" s="12" t="s">
        <v>2014</v>
      </c>
      <c r="L675" s="11" t="s">
        <v>75</v>
      </c>
      <c r="M675" s="12" t="str">
        <f t="shared" ca="1" si="2"/>
        <v>601812 Primaria</v>
      </c>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4"/>
    </row>
    <row r="676" spans="1:36" ht="15.75" customHeight="1" x14ac:dyDescent="0.25">
      <c r="A676" s="9">
        <v>156</v>
      </c>
      <c r="B676" s="10" t="s">
        <v>60</v>
      </c>
      <c r="C676" s="10" t="s">
        <v>15</v>
      </c>
      <c r="D676" s="10" t="s">
        <v>45</v>
      </c>
      <c r="E676" s="11" t="str">
        <f ca="1">IFERROR(__xludf.DUMMYFUNCTION("FILTER(Colegios!$B$2:$B2419,Colegios!$A$2:$A2419=L676)"),"6010231")</f>
        <v>6010231</v>
      </c>
      <c r="F676" s="11" t="s">
        <v>17</v>
      </c>
      <c r="G676" s="10" t="s">
        <v>18</v>
      </c>
      <c r="H676" s="11" t="s">
        <v>19</v>
      </c>
      <c r="I676" s="11" t="s">
        <v>20</v>
      </c>
      <c r="J676" s="12" t="str">
        <f ca="1">IFERROR(__xludf.DUMMYFUNCTION("FILTER('CLASFICACIÓN'!$F$3:$F2419,'CLASFICACIÓN'!$G$3:$G2419=M676)"),"SOLO 2024")</f>
        <v>SOLO 2024</v>
      </c>
      <c r="K676" s="12" t="s">
        <v>2014</v>
      </c>
      <c r="L676" s="11" t="s">
        <v>76</v>
      </c>
      <c r="M676" s="12" t="str">
        <f t="shared" ca="1" si="2"/>
        <v>60102312 Primaria</v>
      </c>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4"/>
    </row>
    <row r="677" spans="1:36" ht="15.75" customHeight="1" x14ac:dyDescent="0.25">
      <c r="A677" s="9">
        <v>157</v>
      </c>
      <c r="B677" s="10" t="s">
        <v>60</v>
      </c>
      <c r="C677" s="10" t="s">
        <v>15</v>
      </c>
      <c r="D677" s="10" t="s">
        <v>45</v>
      </c>
      <c r="E677" s="11" t="str">
        <f ca="1">IFERROR(__xludf.DUMMYFUNCTION("FILTER(Colegios!$B$2:$B2419,Colegios!$A$2:$A2419=L677)"),"6010231")</f>
        <v>6010231</v>
      </c>
      <c r="F677" s="11" t="s">
        <v>17</v>
      </c>
      <c r="G677" s="10" t="s">
        <v>24</v>
      </c>
      <c r="H677" s="11" t="s">
        <v>19</v>
      </c>
      <c r="I677" s="11" t="s">
        <v>20</v>
      </c>
      <c r="J677" s="12" t="str">
        <f ca="1">IFERROR(__xludf.DUMMYFUNCTION("FILTER('CLASFICACIÓN'!$F$3:$F2419,'CLASFICACIÓN'!$G$3:$G2419=M677)"),"SOLO 2024")</f>
        <v>SOLO 2024</v>
      </c>
      <c r="K677" s="12" t="s">
        <v>2014</v>
      </c>
      <c r="L677" s="11" t="s">
        <v>76</v>
      </c>
      <c r="M677" s="12" t="str">
        <f t="shared" ca="1" si="2"/>
        <v>60102312 Primaria</v>
      </c>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4"/>
    </row>
    <row r="678" spans="1:36" ht="15.75" customHeight="1" x14ac:dyDescent="0.25">
      <c r="A678" s="9">
        <v>158</v>
      </c>
      <c r="B678" s="10" t="s">
        <v>60</v>
      </c>
      <c r="C678" s="10" t="s">
        <v>15</v>
      </c>
      <c r="D678" s="10" t="s">
        <v>45</v>
      </c>
      <c r="E678" s="11" t="str">
        <f ca="1">IFERROR(__xludf.DUMMYFUNCTION("FILTER(Colegios!$B$2:$B2419,Colegios!$A$2:$A2419=L678)"),"6010231")</f>
        <v>6010231</v>
      </c>
      <c r="F678" s="11" t="s">
        <v>17</v>
      </c>
      <c r="G678" s="10" t="s">
        <v>24</v>
      </c>
      <c r="H678" s="11" t="s">
        <v>19</v>
      </c>
      <c r="I678" s="11" t="s">
        <v>20</v>
      </c>
      <c r="J678" s="12" t="str">
        <f ca="1">IFERROR(__xludf.DUMMYFUNCTION("FILTER('CLASFICACIÓN'!$F$3:$F2419,'CLASFICACIÓN'!$G$3:$G2419=M678)"),"SOLO 2024")</f>
        <v>SOLO 2024</v>
      </c>
      <c r="K678" s="12" t="s">
        <v>2014</v>
      </c>
      <c r="L678" s="11" t="s">
        <v>76</v>
      </c>
      <c r="M678" s="12" t="str">
        <f t="shared" ca="1" si="2"/>
        <v>60102312 Primaria</v>
      </c>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4"/>
    </row>
    <row r="679" spans="1:36" ht="15.75" customHeight="1" x14ac:dyDescent="0.25">
      <c r="A679" s="9">
        <v>159</v>
      </c>
      <c r="B679" s="10" t="s">
        <v>60</v>
      </c>
      <c r="C679" s="10" t="s">
        <v>15</v>
      </c>
      <c r="D679" s="10" t="s">
        <v>45</v>
      </c>
      <c r="E679" s="11" t="str">
        <f ca="1">IFERROR(__xludf.DUMMYFUNCTION("FILTER(Colegios!$B$2:$B2419,Colegios!$A$2:$A2419=L679)"),"6010231")</f>
        <v>6010231</v>
      </c>
      <c r="F679" s="11" t="s">
        <v>17</v>
      </c>
      <c r="G679" s="10" t="s">
        <v>18</v>
      </c>
      <c r="H679" s="11" t="s">
        <v>19</v>
      </c>
      <c r="I679" s="11" t="s">
        <v>20</v>
      </c>
      <c r="J679" s="12" t="str">
        <f ca="1">IFERROR(__xludf.DUMMYFUNCTION("FILTER('CLASFICACIÓN'!$F$3:$F2419,'CLASFICACIÓN'!$G$3:$G2419=M679)"),"SOLO 2024")</f>
        <v>SOLO 2024</v>
      </c>
      <c r="K679" s="12" t="s">
        <v>2014</v>
      </c>
      <c r="L679" s="11" t="s">
        <v>76</v>
      </c>
      <c r="M679" s="12" t="str">
        <f t="shared" ca="1" si="2"/>
        <v>60102312 Primaria</v>
      </c>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4"/>
    </row>
    <row r="680" spans="1:36" ht="15.75" customHeight="1" x14ac:dyDescent="0.25">
      <c r="A680" s="9">
        <v>160</v>
      </c>
      <c r="B680" s="10" t="s">
        <v>60</v>
      </c>
      <c r="C680" s="10" t="s">
        <v>15</v>
      </c>
      <c r="D680" s="10" t="s">
        <v>45</v>
      </c>
      <c r="E680" s="11" t="str">
        <f ca="1">IFERROR(__xludf.DUMMYFUNCTION("FILTER(Colegios!$B$2:$B2419,Colegios!$A$2:$A2419=L680)"),"6010231")</f>
        <v>6010231</v>
      </c>
      <c r="F680" s="11" t="s">
        <v>17</v>
      </c>
      <c r="G680" s="10" t="s">
        <v>18</v>
      </c>
      <c r="H680" s="11" t="s">
        <v>19</v>
      </c>
      <c r="I680" s="11" t="s">
        <v>20</v>
      </c>
      <c r="J680" s="12" t="str">
        <f ca="1">IFERROR(__xludf.DUMMYFUNCTION("FILTER('CLASFICACIÓN'!$F$3:$F2419,'CLASFICACIÓN'!$G$3:$G2419=M680)"),"SOLO 2024")</f>
        <v>SOLO 2024</v>
      </c>
      <c r="K680" s="12" t="s">
        <v>2014</v>
      </c>
      <c r="L680" s="11" t="s">
        <v>76</v>
      </c>
      <c r="M680" s="12" t="str">
        <f t="shared" ca="1" si="2"/>
        <v>60102312 Primaria</v>
      </c>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4"/>
    </row>
    <row r="681" spans="1:36" ht="15.75" customHeight="1" x14ac:dyDescent="0.25">
      <c r="A681" s="9">
        <v>161</v>
      </c>
      <c r="B681" s="10" t="s">
        <v>60</v>
      </c>
      <c r="C681" s="10" t="s">
        <v>15</v>
      </c>
      <c r="D681" s="10" t="s">
        <v>45</v>
      </c>
      <c r="E681" s="11" t="str">
        <f ca="1">IFERROR(__xludf.DUMMYFUNCTION("FILTER(Colegios!$B$2:$B2419,Colegios!$A$2:$A2419=L681)"),"6010231")</f>
        <v>6010231</v>
      </c>
      <c r="F681" s="11" t="s">
        <v>17</v>
      </c>
      <c r="G681" s="10" t="s">
        <v>24</v>
      </c>
      <c r="H681" s="11" t="s">
        <v>19</v>
      </c>
      <c r="I681" s="11" t="s">
        <v>20</v>
      </c>
      <c r="J681" s="12" t="str">
        <f ca="1">IFERROR(__xludf.DUMMYFUNCTION("FILTER('CLASFICACIÓN'!$F$3:$F2419,'CLASFICACIÓN'!$G$3:$G2419=M681)"),"SOLO 2024")</f>
        <v>SOLO 2024</v>
      </c>
      <c r="K681" s="12" t="s">
        <v>2014</v>
      </c>
      <c r="L681" s="11" t="s">
        <v>76</v>
      </c>
      <c r="M681" s="12" t="str">
        <f t="shared" ca="1" si="2"/>
        <v>60102312 Primaria</v>
      </c>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4"/>
    </row>
    <row r="682" spans="1:36" ht="15.75" customHeight="1" x14ac:dyDescent="0.25">
      <c r="A682" s="9">
        <v>162</v>
      </c>
      <c r="B682" s="10" t="s">
        <v>60</v>
      </c>
      <c r="C682" s="10" t="s">
        <v>15</v>
      </c>
      <c r="D682" s="10" t="s">
        <v>45</v>
      </c>
      <c r="E682" s="11" t="str">
        <f ca="1">IFERROR(__xludf.DUMMYFUNCTION("FILTER(Colegios!$B$2:$B2419,Colegios!$A$2:$A2419=L682)"),"6010231")</f>
        <v>6010231</v>
      </c>
      <c r="F682" s="11" t="s">
        <v>17</v>
      </c>
      <c r="G682" s="10" t="s">
        <v>18</v>
      </c>
      <c r="H682" s="11" t="s">
        <v>19</v>
      </c>
      <c r="I682" s="11" t="s">
        <v>20</v>
      </c>
      <c r="J682" s="12" t="str">
        <f ca="1">IFERROR(__xludf.DUMMYFUNCTION("FILTER('CLASFICACIÓN'!$F$3:$F2419,'CLASFICACIÓN'!$G$3:$G2419=M682)"),"SOLO 2024")</f>
        <v>SOLO 2024</v>
      </c>
      <c r="K682" s="12" t="s">
        <v>2014</v>
      </c>
      <c r="L682" s="11" t="s">
        <v>76</v>
      </c>
      <c r="M682" s="12" t="str">
        <f t="shared" ca="1" si="2"/>
        <v>60102312 Primaria</v>
      </c>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4"/>
    </row>
    <row r="683" spans="1:36" ht="15.75" customHeight="1" x14ac:dyDescent="0.25">
      <c r="A683" s="9">
        <v>163</v>
      </c>
      <c r="B683" s="10" t="s">
        <v>60</v>
      </c>
      <c r="C683" s="10" t="s">
        <v>15</v>
      </c>
      <c r="D683" s="10" t="s">
        <v>45</v>
      </c>
      <c r="E683" s="11" t="str">
        <f ca="1">IFERROR(__xludf.DUMMYFUNCTION("FILTER(Colegios!$B$2:$B2419,Colegios!$A$2:$A2419=L683)"),"6010231")</f>
        <v>6010231</v>
      </c>
      <c r="F683" s="11" t="s">
        <v>17</v>
      </c>
      <c r="G683" s="10" t="s">
        <v>24</v>
      </c>
      <c r="H683" s="11" t="s">
        <v>19</v>
      </c>
      <c r="I683" s="11" t="s">
        <v>20</v>
      </c>
      <c r="J683" s="12" t="str">
        <f ca="1">IFERROR(__xludf.DUMMYFUNCTION("FILTER('CLASFICACIÓN'!$F$3:$F2419,'CLASFICACIÓN'!$G$3:$G2419=M683)"),"SOLO 2024")</f>
        <v>SOLO 2024</v>
      </c>
      <c r="K683" s="12" t="s">
        <v>2014</v>
      </c>
      <c r="L683" s="11" t="s">
        <v>76</v>
      </c>
      <c r="M683" s="12" t="str">
        <f t="shared" ca="1" si="2"/>
        <v>60102312 Primaria</v>
      </c>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4"/>
    </row>
    <row r="684" spans="1:36" ht="15.75" customHeight="1" x14ac:dyDescent="0.25">
      <c r="A684" s="9">
        <v>164</v>
      </c>
      <c r="B684" s="10" t="s">
        <v>60</v>
      </c>
      <c r="C684" s="10" t="s">
        <v>15</v>
      </c>
      <c r="D684" s="10" t="s">
        <v>45</v>
      </c>
      <c r="E684" s="11" t="str">
        <f ca="1">IFERROR(__xludf.DUMMYFUNCTION("FILTER(Colegios!$B$2:$B2419,Colegios!$A$2:$A2419=L684)"),"6010231")</f>
        <v>6010231</v>
      </c>
      <c r="F684" s="11" t="s">
        <v>17</v>
      </c>
      <c r="G684" s="10" t="s">
        <v>24</v>
      </c>
      <c r="H684" s="11" t="s">
        <v>19</v>
      </c>
      <c r="I684" s="11" t="s">
        <v>20</v>
      </c>
      <c r="J684" s="12" t="str">
        <f ca="1">IFERROR(__xludf.DUMMYFUNCTION("FILTER('CLASFICACIÓN'!$F$3:$F2419,'CLASFICACIÓN'!$G$3:$G2419=M684)"),"SOLO 2024")</f>
        <v>SOLO 2024</v>
      </c>
      <c r="K684" s="12" t="s">
        <v>2014</v>
      </c>
      <c r="L684" s="11" t="s">
        <v>76</v>
      </c>
      <c r="M684" s="12" t="str">
        <f t="shared" ca="1" si="2"/>
        <v>60102312 Primaria</v>
      </c>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4"/>
    </row>
    <row r="685" spans="1:36" ht="15.75" customHeight="1" x14ac:dyDescent="0.25">
      <c r="A685" s="9">
        <v>165</v>
      </c>
      <c r="B685" s="10" t="s">
        <v>60</v>
      </c>
      <c r="C685" s="10" t="s">
        <v>15</v>
      </c>
      <c r="D685" s="10" t="s">
        <v>45</v>
      </c>
      <c r="E685" s="11" t="str">
        <f ca="1">IFERROR(__xludf.DUMMYFUNCTION("FILTER(Colegios!$B$2:$B2419,Colegios!$A$2:$A2419=L685)"),"6010231")</f>
        <v>6010231</v>
      </c>
      <c r="F685" s="11" t="s">
        <v>17</v>
      </c>
      <c r="G685" s="10" t="s">
        <v>24</v>
      </c>
      <c r="H685" s="11" t="s">
        <v>19</v>
      </c>
      <c r="I685" s="11" t="s">
        <v>20</v>
      </c>
      <c r="J685" s="12" t="str">
        <f ca="1">IFERROR(__xludf.DUMMYFUNCTION("FILTER('CLASFICACIÓN'!$F$3:$F2419,'CLASFICACIÓN'!$G$3:$G2419=M685)"),"SOLO 2024")</f>
        <v>SOLO 2024</v>
      </c>
      <c r="K685" s="12" t="s">
        <v>2014</v>
      </c>
      <c r="L685" s="11" t="s">
        <v>76</v>
      </c>
      <c r="M685" s="12" t="str">
        <f t="shared" ca="1" si="2"/>
        <v>60102312 Primaria</v>
      </c>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4"/>
    </row>
    <row r="686" spans="1:36" ht="15.75" customHeight="1" x14ac:dyDescent="0.25">
      <c r="A686" s="9">
        <v>166</v>
      </c>
      <c r="B686" s="10" t="s">
        <v>60</v>
      </c>
      <c r="C686" s="10" t="s">
        <v>15</v>
      </c>
      <c r="D686" s="10" t="s">
        <v>16</v>
      </c>
      <c r="E686" s="11" t="str">
        <f ca="1">IFERROR(__xludf.DUMMYFUNCTION("FILTER(Colegios!$B$2:$B2419,Colegios!$A$2:$A2419=L686)"),"6010231")</f>
        <v>6010231</v>
      </c>
      <c r="F686" s="11" t="s">
        <v>17</v>
      </c>
      <c r="G686" s="10" t="s">
        <v>18</v>
      </c>
      <c r="H686" s="11" t="s">
        <v>19</v>
      </c>
      <c r="I686" s="11" t="s">
        <v>20</v>
      </c>
      <c r="J686" s="12" t="str">
        <f ca="1">IFERROR(__xludf.DUMMYFUNCTION("FILTER('CLASFICACIÓN'!$F$3:$F2419,'CLASFICACIÓN'!$G$3:$G2419=M686)"),"SOLO 2024")</f>
        <v>SOLO 2024</v>
      </c>
      <c r="K686" s="12" t="s">
        <v>2014</v>
      </c>
      <c r="L686" s="11" t="s">
        <v>76</v>
      </c>
      <c r="M686" s="12" t="str">
        <f t="shared" ca="1" si="2"/>
        <v>60102314 Primaria</v>
      </c>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4"/>
    </row>
    <row r="687" spans="1:36" ht="15.75" customHeight="1" x14ac:dyDescent="0.25">
      <c r="A687" s="9">
        <v>167</v>
      </c>
      <c r="B687" s="10" t="s">
        <v>60</v>
      </c>
      <c r="C687" s="10" t="s">
        <v>15</v>
      </c>
      <c r="D687" s="10" t="s">
        <v>16</v>
      </c>
      <c r="E687" s="11" t="str">
        <f ca="1">IFERROR(__xludf.DUMMYFUNCTION("FILTER(Colegios!$B$2:$B2419,Colegios!$A$2:$A2419=L687)"),"6010231")</f>
        <v>6010231</v>
      </c>
      <c r="F687" s="11" t="s">
        <v>17</v>
      </c>
      <c r="G687" s="10" t="s">
        <v>18</v>
      </c>
      <c r="H687" s="11" t="s">
        <v>19</v>
      </c>
      <c r="I687" s="11" t="s">
        <v>20</v>
      </c>
      <c r="J687" s="12" t="str">
        <f ca="1">IFERROR(__xludf.DUMMYFUNCTION("FILTER('CLASFICACIÓN'!$F$3:$F2419,'CLASFICACIÓN'!$G$3:$G2419=M687)"),"SOLO 2024")</f>
        <v>SOLO 2024</v>
      </c>
      <c r="K687" s="12" t="s">
        <v>2014</v>
      </c>
      <c r="L687" s="11" t="s">
        <v>76</v>
      </c>
      <c r="M687" s="12" t="str">
        <f t="shared" ca="1" si="2"/>
        <v>60102314 Primaria</v>
      </c>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4"/>
    </row>
    <row r="688" spans="1:36" ht="15.75" customHeight="1" x14ac:dyDescent="0.25">
      <c r="A688" s="9">
        <v>168</v>
      </c>
      <c r="B688" s="10" t="s">
        <v>60</v>
      </c>
      <c r="C688" s="10" t="s">
        <v>15</v>
      </c>
      <c r="D688" s="10" t="s">
        <v>16</v>
      </c>
      <c r="E688" s="11" t="str">
        <f ca="1">IFERROR(__xludf.DUMMYFUNCTION("FILTER(Colegios!$B$2:$B2419,Colegios!$A$2:$A2419=L688)"),"6010231")</f>
        <v>6010231</v>
      </c>
      <c r="F688" s="11" t="s">
        <v>17</v>
      </c>
      <c r="G688" s="10" t="s">
        <v>24</v>
      </c>
      <c r="H688" s="11" t="s">
        <v>19</v>
      </c>
      <c r="I688" s="11" t="s">
        <v>20</v>
      </c>
      <c r="J688" s="12" t="str">
        <f ca="1">IFERROR(__xludf.DUMMYFUNCTION("FILTER('CLASFICACIÓN'!$F$3:$F2419,'CLASFICACIÓN'!$G$3:$G2419=M688)"),"SOLO 2024")</f>
        <v>SOLO 2024</v>
      </c>
      <c r="K688" s="12" t="s">
        <v>2014</v>
      </c>
      <c r="L688" s="11" t="s">
        <v>76</v>
      </c>
      <c r="M688" s="12" t="str">
        <f t="shared" ca="1" si="2"/>
        <v>60102314 Primaria</v>
      </c>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4"/>
    </row>
    <row r="689" spans="1:36" ht="15.75" customHeight="1" x14ac:dyDescent="0.25">
      <c r="A689" s="9">
        <v>169</v>
      </c>
      <c r="B689" s="10" t="s">
        <v>60</v>
      </c>
      <c r="C689" s="10" t="s">
        <v>15</v>
      </c>
      <c r="D689" s="10" t="s">
        <v>16</v>
      </c>
      <c r="E689" s="11" t="str">
        <f ca="1">IFERROR(__xludf.DUMMYFUNCTION("FILTER(Colegios!$B$2:$B2419,Colegios!$A$2:$A2419=L689)"),"6010231")</f>
        <v>6010231</v>
      </c>
      <c r="F689" s="11" t="s">
        <v>17</v>
      </c>
      <c r="G689" s="10" t="s">
        <v>18</v>
      </c>
      <c r="H689" s="11" t="s">
        <v>19</v>
      </c>
      <c r="I689" s="11" t="s">
        <v>20</v>
      </c>
      <c r="J689" s="12" t="str">
        <f ca="1">IFERROR(__xludf.DUMMYFUNCTION("FILTER('CLASFICACIÓN'!$F$3:$F2419,'CLASFICACIÓN'!$G$3:$G2419=M689)"),"SOLO 2024")</f>
        <v>SOLO 2024</v>
      </c>
      <c r="K689" s="12" t="s">
        <v>2014</v>
      </c>
      <c r="L689" s="11" t="s">
        <v>76</v>
      </c>
      <c r="M689" s="12" t="str">
        <f t="shared" ca="1" si="2"/>
        <v>60102314 Primaria</v>
      </c>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4"/>
    </row>
    <row r="690" spans="1:36" ht="15.75" customHeight="1" x14ac:dyDescent="0.25">
      <c r="A690" s="9">
        <v>170</v>
      </c>
      <c r="B690" s="10" t="s">
        <v>60</v>
      </c>
      <c r="C690" s="10" t="s">
        <v>15</v>
      </c>
      <c r="D690" s="10" t="s">
        <v>16</v>
      </c>
      <c r="E690" s="11" t="str">
        <f ca="1">IFERROR(__xludf.DUMMYFUNCTION("FILTER(Colegios!$B$2:$B2419,Colegios!$A$2:$A2419=L690)"),"6010231")</f>
        <v>6010231</v>
      </c>
      <c r="F690" s="11" t="s">
        <v>17</v>
      </c>
      <c r="G690" s="10" t="s">
        <v>24</v>
      </c>
      <c r="H690" s="11" t="s">
        <v>19</v>
      </c>
      <c r="I690" s="11" t="s">
        <v>20</v>
      </c>
      <c r="J690" s="12" t="str">
        <f ca="1">IFERROR(__xludf.DUMMYFUNCTION("FILTER('CLASFICACIÓN'!$F$3:$F2419,'CLASFICACIÓN'!$G$3:$G2419=M690)"),"SOLO 2024")</f>
        <v>SOLO 2024</v>
      </c>
      <c r="K690" s="12" t="s">
        <v>2014</v>
      </c>
      <c r="L690" s="11" t="s">
        <v>76</v>
      </c>
      <c r="M690" s="12" t="str">
        <f t="shared" ca="1" si="2"/>
        <v>60102314 Primaria</v>
      </c>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4"/>
    </row>
    <row r="691" spans="1:36" ht="15.75" customHeight="1" x14ac:dyDescent="0.25">
      <c r="A691" s="9">
        <v>171</v>
      </c>
      <c r="B691" s="10" t="s">
        <v>60</v>
      </c>
      <c r="C691" s="10" t="s">
        <v>15</v>
      </c>
      <c r="D691" s="10" t="s">
        <v>16</v>
      </c>
      <c r="E691" s="11" t="str">
        <f ca="1">IFERROR(__xludf.DUMMYFUNCTION("FILTER(Colegios!$B$2:$B2419,Colegios!$A$2:$A2419=L691)"),"6010231")</f>
        <v>6010231</v>
      </c>
      <c r="F691" s="11" t="s">
        <v>17</v>
      </c>
      <c r="G691" s="10" t="s">
        <v>24</v>
      </c>
      <c r="H691" s="11" t="s">
        <v>19</v>
      </c>
      <c r="I691" s="11" t="s">
        <v>20</v>
      </c>
      <c r="J691" s="12" t="str">
        <f ca="1">IFERROR(__xludf.DUMMYFUNCTION("FILTER('CLASFICACIÓN'!$F$3:$F2419,'CLASFICACIÓN'!$G$3:$G2419=M691)"),"SOLO 2024")</f>
        <v>SOLO 2024</v>
      </c>
      <c r="K691" s="12" t="s">
        <v>2014</v>
      </c>
      <c r="L691" s="11" t="s">
        <v>76</v>
      </c>
      <c r="M691" s="12" t="str">
        <f t="shared" ca="1" si="2"/>
        <v>60102314 Primaria</v>
      </c>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4"/>
    </row>
    <row r="692" spans="1:36" ht="15.75" customHeight="1" x14ac:dyDescent="0.25">
      <c r="A692" s="9">
        <v>172</v>
      </c>
      <c r="B692" s="10" t="s">
        <v>60</v>
      </c>
      <c r="C692" s="10" t="s">
        <v>15</v>
      </c>
      <c r="D692" s="10" t="s">
        <v>16</v>
      </c>
      <c r="E692" s="11" t="str">
        <f ca="1">IFERROR(__xludf.DUMMYFUNCTION("FILTER(Colegios!$B$2:$B2419,Colegios!$A$2:$A2419=L692)"),"6010231")</f>
        <v>6010231</v>
      </c>
      <c r="F692" s="11" t="s">
        <v>17</v>
      </c>
      <c r="G692" s="10" t="s">
        <v>24</v>
      </c>
      <c r="H692" s="11" t="s">
        <v>19</v>
      </c>
      <c r="I692" s="11" t="s">
        <v>20</v>
      </c>
      <c r="J692" s="12" t="str">
        <f ca="1">IFERROR(__xludf.DUMMYFUNCTION("FILTER('CLASFICACIÓN'!$F$3:$F2419,'CLASFICACIÓN'!$G$3:$G2419=M692)"),"SOLO 2024")</f>
        <v>SOLO 2024</v>
      </c>
      <c r="K692" s="12" t="s">
        <v>2014</v>
      </c>
      <c r="L692" s="11" t="s">
        <v>76</v>
      </c>
      <c r="M692" s="12" t="str">
        <f t="shared" ca="1" si="2"/>
        <v>60102314 Primaria</v>
      </c>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4"/>
    </row>
    <row r="693" spans="1:36" ht="15.75" customHeight="1" x14ac:dyDescent="0.25">
      <c r="A693" s="9">
        <v>173</v>
      </c>
      <c r="B693" s="10" t="s">
        <v>60</v>
      </c>
      <c r="C693" s="10" t="s">
        <v>15</v>
      </c>
      <c r="D693" s="10" t="s">
        <v>16</v>
      </c>
      <c r="E693" s="11" t="str">
        <f ca="1">IFERROR(__xludf.DUMMYFUNCTION("FILTER(Colegios!$B$2:$B2419,Colegios!$A$2:$A2419=L693)"),"6010231")</f>
        <v>6010231</v>
      </c>
      <c r="F693" s="11" t="s">
        <v>17</v>
      </c>
      <c r="G693" s="10" t="s">
        <v>18</v>
      </c>
      <c r="H693" s="11" t="s">
        <v>19</v>
      </c>
      <c r="I693" s="11" t="s">
        <v>20</v>
      </c>
      <c r="J693" s="12" t="str">
        <f ca="1">IFERROR(__xludf.DUMMYFUNCTION("FILTER('CLASFICACIÓN'!$F$3:$F2419,'CLASFICACIÓN'!$G$3:$G2419=M693)"),"SOLO 2024")</f>
        <v>SOLO 2024</v>
      </c>
      <c r="K693" s="12" t="s">
        <v>2014</v>
      </c>
      <c r="L693" s="11" t="s">
        <v>76</v>
      </c>
      <c r="M693" s="12" t="str">
        <f t="shared" ca="1" si="2"/>
        <v>60102314 Primaria</v>
      </c>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4"/>
    </row>
    <row r="694" spans="1:36" ht="15.75" customHeight="1" x14ac:dyDescent="0.25">
      <c r="A694" s="9">
        <v>174</v>
      </c>
      <c r="B694" s="10" t="s">
        <v>60</v>
      </c>
      <c r="C694" s="10" t="s">
        <v>15</v>
      </c>
      <c r="D694" s="10" t="s">
        <v>16</v>
      </c>
      <c r="E694" s="11" t="str">
        <f ca="1">IFERROR(__xludf.DUMMYFUNCTION("FILTER(Colegios!$B$2:$B2419,Colegios!$A$2:$A2419=L694)"),"6010231")</f>
        <v>6010231</v>
      </c>
      <c r="F694" s="11" t="s">
        <v>17</v>
      </c>
      <c r="G694" s="10" t="s">
        <v>24</v>
      </c>
      <c r="H694" s="11" t="s">
        <v>19</v>
      </c>
      <c r="I694" s="11" t="s">
        <v>20</v>
      </c>
      <c r="J694" s="12" t="str">
        <f ca="1">IFERROR(__xludf.DUMMYFUNCTION("FILTER('CLASFICACIÓN'!$F$3:$F2419,'CLASFICACIÓN'!$G$3:$G2419=M694)"),"SOLO 2024")</f>
        <v>SOLO 2024</v>
      </c>
      <c r="K694" s="12" t="s">
        <v>2014</v>
      </c>
      <c r="L694" s="11" t="s">
        <v>76</v>
      </c>
      <c r="M694" s="12" t="str">
        <f t="shared" ca="1" si="2"/>
        <v>60102314 Primaria</v>
      </c>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4"/>
    </row>
    <row r="695" spans="1:36" ht="15.75" customHeight="1" x14ac:dyDescent="0.25">
      <c r="A695" s="9">
        <v>175</v>
      </c>
      <c r="B695" s="10" t="s">
        <v>60</v>
      </c>
      <c r="C695" s="10" t="s">
        <v>15</v>
      </c>
      <c r="D695" s="10" t="s">
        <v>16</v>
      </c>
      <c r="E695" s="11" t="str">
        <f ca="1">IFERROR(__xludf.DUMMYFUNCTION("FILTER(Colegios!$B$2:$B2419,Colegios!$A$2:$A2419=L695)"),"6010231")</f>
        <v>6010231</v>
      </c>
      <c r="F695" s="11" t="s">
        <v>17</v>
      </c>
      <c r="G695" s="10" t="s">
        <v>24</v>
      </c>
      <c r="H695" s="11" t="s">
        <v>19</v>
      </c>
      <c r="I695" s="11" t="s">
        <v>20</v>
      </c>
      <c r="J695" s="12" t="str">
        <f ca="1">IFERROR(__xludf.DUMMYFUNCTION("FILTER('CLASFICACIÓN'!$F$3:$F2419,'CLASFICACIÓN'!$G$3:$G2419=M695)"),"SOLO 2024")</f>
        <v>SOLO 2024</v>
      </c>
      <c r="K695" s="12" t="s">
        <v>2014</v>
      </c>
      <c r="L695" s="11" t="s">
        <v>76</v>
      </c>
      <c r="M695" s="12" t="str">
        <f t="shared" ca="1" si="2"/>
        <v>60102314 Primaria</v>
      </c>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4"/>
    </row>
    <row r="696" spans="1:36" ht="15.75" customHeight="1" x14ac:dyDescent="0.25">
      <c r="A696" s="9">
        <v>176</v>
      </c>
      <c r="B696" s="10" t="s">
        <v>60</v>
      </c>
      <c r="C696" s="10" t="s">
        <v>15</v>
      </c>
      <c r="D696" s="10" t="s">
        <v>16</v>
      </c>
      <c r="E696" s="11" t="str">
        <f ca="1">IFERROR(__xludf.DUMMYFUNCTION("FILTER(Colegios!$B$2:$B2419,Colegios!$A$2:$A2419=L696)"),"6010231")</f>
        <v>6010231</v>
      </c>
      <c r="F696" s="11" t="s">
        <v>17</v>
      </c>
      <c r="G696" s="10" t="s">
        <v>24</v>
      </c>
      <c r="H696" s="11" t="s">
        <v>19</v>
      </c>
      <c r="I696" s="11" t="s">
        <v>20</v>
      </c>
      <c r="J696" s="12" t="str">
        <f ca="1">IFERROR(__xludf.DUMMYFUNCTION("FILTER('CLASFICACIÓN'!$F$3:$F2419,'CLASFICACIÓN'!$G$3:$G2419=M696)"),"SOLO 2024")</f>
        <v>SOLO 2024</v>
      </c>
      <c r="K696" s="12" t="s">
        <v>2014</v>
      </c>
      <c r="L696" s="11" t="s">
        <v>76</v>
      </c>
      <c r="M696" s="12" t="str">
        <f t="shared" ca="1" si="2"/>
        <v>60102314 Primaria</v>
      </c>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4"/>
    </row>
    <row r="697" spans="1:36" ht="15.75" customHeight="1" x14ac:dyDescent="0.25">
      <c r="A697" s="9">
        <v>177</v>
      </c>
      <c r="B697" s="10" t="s">
        <v>60</v>
      </c>
      <c r="C697" s="10" t="s">
        <v>15</v>
      </c>
      <c r="D697" s="10" t="s">
        <v>16</v>
      </c>
      <c r="E697" s="11" t="str">
        <f ca="1">IFERROR(__xludf.DUMMYFUNCTION("FILTER(Colegios!$B$2:$B2419,Colegios!$A$2:$A2419=L697)"),"6010231")</f>
        <v>6010231</v>
      </c>
      <c r="F697" s="11" t="s">
        <v>17</v>
      </c>
      <c r="G697" s="10" t="s">
        <v>18</v>
      </c>
      <c r="H697" s="11" t="s">
        <v>19</v>
      </c>
      <c r="I697" s="11" t="s">
        <v>20</v>
      </c>
      <c r="J697" s="12" t="str">
        <f ca="1">IFERROR(__xludf.DUMMYFUNCTION("FILTER('CLASFICACIÓN'!$F$3:$F2419,'CLASFICACIÓN'!$G$3:$G2419=M697)"),"SOLO 2024")</f>
        <v>SOLO 2024</v>
      </c>
      <c r="K697" s="12" t="s">
        <v>2014</v>
      </c>
      <c r="L697" s="11" t="s">
        <v>76</v>
      </c>
      <c r="M697" s="12" t="str">
        <f t="shared" ca="1" si="2"/>
        <v>60102314 Primaria</v>
      </c>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4"/>
    </row>
    <row r="698" spans="1:36" ht="15.75" customHeight="1" x14ac:dyDescent="0.25">
      <c r="A698" s="9">
        <v>178</v>
      </c>
      <c r="B698" s="10" t="s">
        <v>60</v>
      </c>
      <c r="C698" s="10" t="s">
        <v>15</v>
      </c>
      <c r="D698" s="10" t="s">
        <v>16</v>
      </c>
      <c r="E698" s="11" t="str">
        <f ca="1">IFERROR(__xludf.DUMMYFUNCTION("FILTER(Colegios!$B$2:$B2419,Colegios!$A$2:$A2419=L698)"),"6010231")</f>
        <v>6010231</v>
      </c>
      <c r="F698" s="11" t="s">
        <v>17</v>
      </c>
      <c r="G698" s="10" t="s">
        <v>24</v>
      </c>
      <c r="H698" s="11" t="s">
        <v>19</v>
      </c>
      <c r="I698" s="11" t="s">
        <v>20</v>
      </c>
      <c r="J698" s="12" t="str">
        <f ca="1">IFERROR(__xludf.DUMMYFUNCTION("FILTER('CLASFICACIÓN'!$F$3:$F2419,'CLASFICACIÓN'!$G$3:$G2419=M698)"),"SOLO 2024")</f>
        <v>SOLO 2024</v>
      </c>
      <c r="K698" s="12" t="s">
        <v>2014</v>
      </c>
      <c r="L698" s="11" t="s">
        <v>76</v>
      </c>
      <c r="M698" s="12" t="str">
        <f t="shared" ca="1" si="2"/>
        <v>60102314 Primaria</v>
      </c>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4"/>
    </row>
    <row r="699" spans="1:36" ht="15.75" customHeight="1" x14ac:dyDescent="0.25">
      <c r="A699" s="9">
        <v>179</v>
      </c>
      <c r="B699" s="10" t="s">
        <v>60</v>
      </c>
      <c r="C699" s="10" t="s">
        <v>15</v>
      </c>
      <c r="D699" s="10" t="s">
        <v>16</v>
      </c>
      <c r="E699" s="11" t="str">
        <f ca="1">IFERROR(__xludf.DUMMYFUNCTION("FILTER(Colegios!$B$2:$B2419,Colegios!$A$2:$A2419=L699)"),"6010231")</f>
        <v>6010231</v>
      </c>
      <c r="F699" s="11" t="s">
        <v>17</v>
      </c>
      <c r="G699" s="10" t="s">
        <v>18</v>
      </c>
      <c r="H699" s="11" t="s">
        <v>19</v>
      </c>
      <c r="I699" s="11" t="s">
        <v>20</v>
      </c>
      <c r="J699" s="12" t="str">
        <f ca="1">IFERROR(__xludf.DUMMYFUNCTION("FILTER('CLASFICACIÓN'!$F$3:$F2419,'CLASFICACIÓN'!$G$3:$G2419=M699)"),"SOLO 2024")</f>
        <v>SOLO 2024</v>
      </c>
      <c r="K699" s="12" t="s">
        <v>2014</v>
      </c>
      <c r="L699" s="11" t="s">
        <v>76</v>
      </c>
      <c r="M699" s="12" t="str">
        <f t="shared" ca="1" si="2"/>
        <v>60102314 Primaria</v>
      </c>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4"/>
    </row>
    <row r="700" spans="1:36" ht="15.75" customHeight="1" x14ac:dyDescent="0.25">
      <c r="A700" s="9">
        <v>180</v>
      </c>
      <c r="B700" s="10" t="s">
        <v>60</v>
      </c>
      <c r="C700" s="10" t="s">
        <v>15</v>
      </c>
      <c r="D700" s="10" t="s">
        <v>16</v>
      </c>
      <c r="E700" s="11" t="str">
        <f ca="1">IFERROR(__xludf.DUMMYFUNCTION("FILTER(Colegios!$B$2:$B2419,Colegios!$A$2:$A2419=L700)"),"6010231")</f>
        <v>6010231</v>
      </c>
      <c r="F700" s="11" t="s">
        <v>17</v>
      </c>
      <c r="G700" s="10" t="s">
        <v>18</v>
      </c>
      <c r="H700" s="11" t="s">
        <v>19</v>
      </c>
      <c r="I700" s="11" t="s">
        <v>20</v>
      </c>
      <c r="J700" s="12" t="str">
        <f ca="1">IFERROR(__xludf.DUMMYFUNCTION("FILTER('CLASFICACIÓN'!$F$3:$F2419,'CLASFICACIÓN'!$G$3:$G2419=M700)"),"SOLO 2024")</f>
        <v>SOLO 2024</v>
      </c>
      <c r="K700" s="12" t="s">
        <v>2014</v>
      </c>
      <c r="L700" s="11" t="s">
        <v>76</v>
      </c>
      <c r="M700" s="12" t="str">
        <f t="shared" ca="1" si="2"/>
        <v>60102314 Primaria</v>
      </c>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4"/>
    </row>
    <row r="701" spans="1:36" ht="15.75" customHeight="1" x14ac:dyDescent="0.25">
      <c r="A701" s="9">
        <v>181</v>
      </c>
      <c r="B701" s="10" t="s">
        <v>60</v>
      </c>
      <c r="C701" s="10" t="s">
        <v>15</v>
      </c>
      <c r="D701" s="10" t="s">
        <v>37</v>
      </c>
      <c r="E701" s="11" t="str">
        <f ca="1">IFERROR(__xludf.DUMMYFUNCTION("FILTER(Colegios!$B$2:$B2419,Colegios!$A$2:$A2419=L701)"),"6010231")</f>
        <v>6010231</v>
      </c>
      <c r="F701" s="11" t="s">
        <v>17</v>
      </c>
      <c r="G701" s="10" t="s">
        <v>24</v>
      </c>
      <c r="H701" s="11" t="s">
        <v>19</v>
      </c>
      <c r="I701" s="11" t="s">
        <v>20</v>
      </c>
      <c r="J701" s="12" t="str">
        <f ca="1">IFERROR(__xludf.DUMMYFUNCTION("FILTER('CLASFICACIÓN'!$F$3:$F2419,'CLASFICACIÓN'!$G$3:$G2419=M701)"),"SOLO 2024")</f>
        <v>SOLO 2024</v>
      </c>
      <c r="K701" s="12" t="s">
        <v>2014</v>
      </c>
      <c r="L701" s="11" t="s">
        <v>76</v>
      </c>
      <c r="M701" s="12" t="str">
        <f t="shared" ca="1" si="2"/>
        <v>60102316 Primaria</v>
      </c>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4"/>
    </row>
    <row r="702" spans="1:36" ht="15.75" customHeight="1" x14ac:dyDescent="0.25">
      <c r="A702" s="9">
        <v>182</v>
      </c>
      <c r="B702" s="10" t="s">
        <v>60</v>
      </c>
      <c r="C702" s="10" t="s">
        <v>15</v>
      </c>
      <c r="D702" s="10" t="s">
        <v>37</v>
      </c>
      <c r="E702" s="11" t="str">
        <f ca="1">IFERROR(__xludf.DUMMYFUNCTION("FILTER(Colegios!$B$2:$B2419,Colegios!$A$2:$A2419=L702)"),"6010231")</f>
        <v>6010231</v>
      </c>
      <c r="F702" s="11" t="s">
        <v>17</v>
      </c>
      <c r="G702" s="10" t="s">
        <v>24</v>
      </c>
      <c r="H702" s="11" t="s">
        <v>19</v>
      </c>
      <c r="I702" s="11" t="s">
        <v>20</v>
      </c>
      <c r="J702" s="12" t="str">
        <f ca="1">IFERROR(__xludf.DUMMYFUNCTION("FILTER('CLASFICACIÓN'!$F$3:$F2419,'CLASFICACIÓN'!$G$3:$G2419=M702)"),"SOLO 2024")</f>
        <v>SOLO 2024</v>
      </c>
      <c r="K702" s="12" t="s">
        <v>2014</v>
      </c>
      <c r="L702" s="11" t="s">
        <v>76</v>
      </c>
      <c r="M702" s="12" t="str">
        <f t="shared" ca="1" si="2"/>
        <v>60102316 Primaria</v>
      </c>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4"/>
    </row>
    <row r="703" spans="1:36" ht="15.75" customHeight="1" x14ac:dyDescent="0.25">
      <c r="A703" s="9">
        <v>183</v>
      </c>
      <c r="B703" s="10" t="s">
        <v>60</v>
      </c>
      <c r="C703" s="10" t="s">
        <v>15</v>
      </c>
      <c r="D703" s="10" t="s">
        <v>37</v>
      </c>
      <c r="E703" s="11" t="str">
        <f ca="1">IFERROR(__xludf.DUMMYFUNCTION("FILTER(Colegios!$B$2:$B2419,Colegios!$A$2:$A2419=L703)"),"6010231")</f>
        <v>6010231</v>
      </c>
      <c r="F703" s="11" t="s">
        <v>17</v>
      </c>
      <c r="G703" s="10" t="s">
        <v>18</v>
      </c>
      <c r="H703" s="11" t="s">
        <v>19</v>
      </c>
      <c r="I703" s="11" t="s">
        <v>20</v>
      </c>
      <c r="J703" s="12" t="str">
        <f ca="1">IFERROR(__xludf.DUMMYFUNCTION("FILTER('CLASFICACIÓN'!$F$3:$F2419,'CLASFICACIÓN'!$G$3:$G2419=M703)"),"SOLO 2024")</f>
        <v>SOLO 2024</v>
      </c>
      <c r="K703" s="12" t="s">
        <v>2014</v>
      </c>
      <c r="L703" s="11" t="s">
        <v>76</v>
      </c>
      <c r="M703" s="12" t="str">
        <f t="shared" ca="1" si="2"/>
        <v>60102316 Primaria</v>
      </c>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4"/>
    </row>
    <row r="704" spans="1:36" ht="15.75" customHeight="1" x14ac:dyDescent="0.25">
      <c r="A704" s="9">
        <v>184</v>
      </c>
      <c r="B704" s="10" t="s">
        <v>60</v>
      </c>
      <c r="C704" s="10" t="s">
        <v>15</v>
      </c>
      <c r="D704" s="10" t="s">
        <v>37</v>
      </c>
      <c r="E704" s="11" t="str">
        <f ca="1">IFERROR(__xludf.DUMMYFUNCTION("FILTER(Colegios!$B$2:$B2419,Colegios!$A$2:$A2419=L704)"),"6010231")</f>
        <v>6010231</v>
      </c>
      <c r="F704" s="11" t="s">
        <v>17</v>
      </c>
      <c r="G704" s="10" t="s">
        <v>18</v>
      </c>
      <c r="H704" s="11" t="s">
        <v>19</v>
      </c>
      <c r="I704" s="11" t="s">
        <v>20</v>
      </c>
      <c r="J704" s="12" t="str">
        <f ca="1">IFERROR(__xludf.DUMMYFUNCTION("FILTER('CLASFICACIÓN'!$F$3:$F2419,'CLASFICACIÓN'!$G$3:$G2419=M704)"),"SOLO 2024")</f>
        <v>SOLO 2024</v>
      </c>
      <c r="K704" s="12" t="s">
        <v>2014</v>
      </c>
      <c r="L704" s="11" t="s">
        <v>76</v>
      </c>
      <c r="M704" s="12" t="str">
        <f t="shared" ca="1" si="2"/>
        <v>60102316 Primaria</v>
      </c>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4"/>
    </row>
    <row r="705" spans="1:36" ht="15.75" customHeight="1" x14ac:dyDescent="0.25">
      <c r="A705" s="9">
        <v>185</v>
      </c>
      <c r="B705" s="10" t="s">
        <v>60</v>
      </c>
      <c r="C705" s="10" t="s">
        <v>15</v>
      </c>
      <c r="D705" s="10" t="s">
        <v>37</v>
      </c>
      <c r="E705" s="11" t="str">
        <f ca="1">IFERROR(__xludf.DUMMYFUNCTION("FILTER(Colegios!$B$2:$B2419,Colegios!$A$2:$A2419=L705)"),"6010231")</f>
        <v>6010231</v>
      </c>
      <c r="F705" s="11" t="s">
        <v>17</v>
      </c>
      <c r="G705" s="10" t="s">
        <v>24</v>
      </c>
      <c r="H705" s="11" t="s">
        <v>19</v>
      </c>
      <c r="I705" s="11" t="s">
        <v>20</v>
      </c>
      <c r="J705" s="12" t="str">
        <f ca="1">IFERROR(__xludf.DUMMYFUNCTION("FILTER('CLASFICACIÓN'!$F$3:$F2419,'CLASFICACIÓN'!$G$3:$G2419=M705)"),"SOLO 2024")</f>
        <v>SOLO 2024</v>
      </c>
      <c r="K705" s="12" t="s">
        <v>2014</v>
      </c>
      <c r="L705" s="11" t="s">
        <v>76</v>
      </c>
      <c r="M705" s="12" t="str">
        <f t="shared" ca="1" si="2"/>
        <v>60102316 Primaria</v>
      </c>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4"/>
    </row>
    <row r="706" spans="1:36" ht="15.75" customHeight="1" x14ac:dyDescent="0.25">
      <c r="A706" s="9">
        <v>186</v>
      </c>
      <c r="B706" s="10" t="s">
        <v>60</v>
      </c>
      <c r="C706" s="10" t="s">
        <v>15</v>
      </c>
      <c r="D706" s="10" t="s">
        <v>37</v>
      </c>
      <c r="E706" s="11" t="str">
        <f ca="1">IFERROR(__xludf.DUMMYFUNCTION("FILTER(Colegios!$B$2:$B2419,Colegios!$A$2:$A2419=L706)"),"6010231")</f>
        <v>6010231</v>
      </c>
      <c r="F706" s="11" t="s">
        <v>17</v>
      </c>
      <c r="G706" s="10" t="s">
        <v>24</v>
      </c>
      <c r="H706" s="11" t="s">
        <v>19</v>
      </c>
      <c r="I706" s="11" t="s">
        <v>20</v>
      </c>
      <c r="J706" s="12" t="str">
        <f ca="1">IFERROR(__xludf.DUMMYFUNCTION("FILTER('CLASFICACIÓN'!$F$3:$F2419,'CLASFICACIÓN'!$G$3:$G2419=M706)"),"SOLO 2024")</f>
        <v>SOLO 2024</v>
      </c>
      <c r="K706" s="12" t="s">
        <v>2014</v>
      </c>
      <c r="L706" s="11" t="s">
        <v>76</v>
      </c>
      <c r="M706" s="12" t="str">
        <f t="shared" ca="1" si="2"/>
        <v>60102316 Primaria</v>
      </c>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4"/>
    </row>
    <row r="707" spans="1:36" ht="15.75" customHeight="1" x14ac:dyDescent="0.25">
      <c r="A707" s="9">
        <v>187</v>
      </c>
      <c r="B707" s="10" t="s">
        <v>60</v>
      </c>
      <c r="C707" s="10" t="s">
        <v>15</v>
      </c>
      <c r="D707" s="10" t="s">
        <v>37</v>
      </c>
      <c r="E707" s="11" t="str">
        <f ca="1">IFERROR(__xludf.DUMMYFUNCTION("FILTER(Colegios!$B$2:$B2419,Colegios!$A$2:$A2419=L707)"),"6010231")</f>
        <v>6010231</v>
      </c>
      <c r="F707" s="11" t="s">
        <v>17</v>
      </c>
      <c r="G707" s="10" t="s">
        <v>18</v>
      </c>
      <c r="H707" s="11" t="s">
        <v>19</v>
      </c>
      <c r="I707" s="11" t="s">
        <v>20</v>
      </c>
      <c r="J707" s="12" t="str">
        <f ca="1">IFERROR(__xludf.DUMMYFUNCTION("FILTER('CLASFICACIÓN'!$F$3:$F2419,'CLASFICACIÓN'!$G$3:$G2419=M707)"),"SOLO 2024")</f>
        <v>SOLO 2024</v>
      </c>
      <c r="K707" s="12" t="s">
        <v>2014</v>
      </c>
      <c r="L707" s="11" t="s">
        <v>76</v>
      </c>
      <c r="M707" s="12" t="str">
        <f t="shared" ca="1" si="2"/>
        <v>60102316 Primaria</v>
      </c>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4"/>
    </row>
    <row r="708" spans="1:36" ht="15.75" customHeight="1" x14ac:dyDescent="0.25">
      <c r="A708" s="9">
        <v>188</v>
      </c>
      <c r="B708" s="10" t="s">
        <v>60</v>
      </c>
      <c r="C708" s="10" t="s">
        <v>15</v>
      </c>
      <c r="D708" s="10" t="s">
        <v>37</v>
      </c>
      <c r="E708" s="11" t="str">
        <f ca="1">IFERROR(__xludf.DUMMYFUNCTION("FILTER(Colegios!$B$2:$B2419,Colegios!$A$2:$A2419=L708)"),"6010231")</f>
        <v>6010231</v>
      </c>
      <c r="F708" s="11" t="s">
        <v>17</v>
      </c>
      <c r="G708" s="10" t="s">
        <v>24</v>
      </c>
      <c r="H708" s="11" t="s">
        <v>19</v>
      </c>
      <c r="I708" s="11" t="s">
        <v>20</v>
      </c>
      <c r="J708" s="12" t="str">
        <f ca="1">IFERROR(__xludf.DUMMYFUNCTION("FILTER('CLASFICACIÓN'!$F$3:$F2419,'CLASFICACIÓN'!$G$3:$G2419=M708)"),"SOLO 2024")</f>
        <v>SOLO 2024</v>
      </c>
      <c r="K708" s="12" t="s">
        <v>2014</v>
      </c>
      <c r="L708" s="11" t="s">
        <v>76</v>
      </c>
      <c r="M708" s="12" t="str">
        <f t="shared" ca="1" si="2"/>
        <v>60102316 Primaria</v>
      </c>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4"/>
    </row>
    <row r="709" spans="1:36" ht="15.75" customHeight="1" x14ac:dyDescent="0.25">
      <c r="A709" s="9">
        <v>189</v>
      </c>
      <c r="B709" s="10" t="s">
        <v>60</v>
      </c>
      <c r="C709" s="10" t="s">
        <v>15</v>
      </c>
      <c r="D709" s="10" t="s">
        <v>37</v>
      </c>
      <c r="E709" s="11" t="str">
        <f ca="1">IFERROR(__xludf.DUMMYFUNCTION("FILTER(Colegios!$B$2:$B2419,Colegios!$A$2:$A2419=L709)"),"6010231")</f>
        <v>6010231</v>
      </c>
      <c r="F709" s="11" t="s">
        <v>17</v>
      </c>
      <c r="G709" s="10" t="s">
        <v>18</v>
      </c>
      <c r="H709" s="11" t="s">
        <v>19</v>
      </c>
      <c r="I709" s="11" t="s">
        <v>20</v>
      </c>
      <c r="J709" s="12" t="str">
        <f ca="1">IFERROR(__xludf.DUMMYFUNCTION("FILTER('CLASFICACIÓN'!$F$3:$F2419,'CLASFICACIÓN'!$G$3:$G2419=M709)"),"SOLO 2024")</f>
        <v>SOLO 2024</v>
      </c>
      <c r="K709" s="12" t="s">
        <v>2014</v>
      </c>
      <c r="L709" s="11" t="s">
        <v>76</v>
      </c>
      <c r="M709" s="12" t="str">
        <f t="shared" ca="1" si="2"/>
        <v>60102316 Primaria</v>
      </c>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4"/>
    </row>
    <row r="710" spans="1:36" ht="15.75" customHeight="1" x14ac:dyDescent="0.25">
      <c r="A710" s="9">
        <v>190</v>
      </c>
      <c r="B710" s="10" t="s">
        <v>60</v>
      </c>
      <c r="C710" s="10" t="s">
        <v>15</v>
      </c>
      <c r="D710" s="10" t="s">
        <v>37</v>
      </c>
      <c r="E710" s="11" t="str">
        <f ca="1">IFERROR(__xludf.DUMMYFUNCTION("FILTER(Colegios!$B$2:$B2419,Colegios!$A$2:$A2419=L710)"),"6010231")</f>
        <v>6010231</v>
      </c>
      <c r="F710" s="11" t="s">
        <v>17</v>
      </c>
      <c r="G710" s="10" t="s">
        <v>18</v>
      </c>
      <c r="H710" s="11" t="s">
        <v>19</v>
      </c>
      <c r="I710" s="11" t="s">
        <v>20</v>
      </c>
      <c r="J710" s="12" t="str">
        <f ca="1">IFERROR(__xludf.DUMMYFUNCTION("FILTER('CLASFICACIÓN'!$F$3:$F2419,'CLASFICACIÓN'!$G$3:$G2419=M710)"),"SOLO 2024")</f>
        <v>SOLO 2024</v>
      </c>
      <c r="K710" s="12" t="s">
        <v>2014</v>
      </c>
      <c r="L710" s="11" t="s">
        <v>76</v>
      </c>
      <c r="M710" s="12" t="str">
        <f t="shared" ca="1" si="2"/>
        <v>60102316 Primaria</v>
      </c>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4"/>
    </row>
    <row r="711" spans="1:36" ht="15.75" customHeight="1" x14ac:dyDescent="0.25">
      <c r="A711" s="9">
        <v>191</v>
      </c>
      <c r="B711" s="10" t="s">
        <v>60</v>
      </c>
      <c r="C711" s="10" t="s">
        <v>15</v>
      </c>
      <c r="D711" s="10" t="s">
        <v>37</v>
      </c>
      <c r="E711" s="11" t="str">
        <f ca="1">IFERROR(__xludf.DUMMYFUNCTION("FILTER(Colegios!$B$2:$B2419,Colegios!$A$2:$A2419=L711)"),"6010231")</f>
        <v>6010231</v>
      </c>
      <c r="F711" s="11" t="s">
        <v>17</v>
      </c>
      <c r="G711" s="10" t="s">
        <v>24</v>
      </c>
      <c r="H711" s="11" t="s">
        <v>19</v>
      </c>
      <c r="I711" s="11" t="s">
        <v>20</v>
      </c>
      <c r="J711" s="12" t="str">
        <f ca="1">IFERROR(__xludf.DUMMYFUNCTION("FILTER('CLASFICACIÓN'!$F$3:$F2419,'CLASFICACIÓN'!$G$3:$G2419=M711)"),"SOLO 2024")</f>
        <v>SOLO 2024</v>
      </c>
      <c r="K711" s="12" t="s">
        <v>2014</v>
      </c>
      <c r="L711" s="11" t="s">
        <v>76</v>
      </c>
      <c r="M711" s="12" t="str">
        <f t="shared" ca="1" si="2"/>
        <v>60102316 Primaria</v>
      </c>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4"/>
    </row>
    <row r="712" spans="1:36" ht="15.75" customHeight="1" x14ac:dyDescent="0.25">
      <c r="A712" s="9">
        <v>192</v>
      </c>
      <c r="B712" s="10" t="s">
        <v>60</v>
      </c>
      <c r="C712" s="10" t="s">
        <v>15</v>
      </c>
      <c r="D712" s="10" t="s">
        <v>37</v>
      </c>
      <c r="E712" s="11" t="str">
        <f ca="1">IFERROR(__xludf.DUMMYFUNCTION("FILTER(Colegios!$B$2:$B2419,Colegios!$A$2:$A2419=L712)"),"6010231")</f>
        <v>6010231</v>
      </c>
      <c r="F712" s="11" t="s">
        <v>17</v>
      </c>
      <c r="G712" s="10" t="s">
        <v>24</v>
      </c>
      <c r="H712" s="11" t="s">
        <v>19</v>
      </c>
      <c r="I712" s="11" t="s">
        <v>20</v>
      </c>
      <c r="J712" s="12" t="str">
        <f ca="1">IFERROR(__xludf.DUMMYFUNCTION("FILTER('CLASFICACIÓN'!$F$3:$F2419,'CLASFICACIÓN'!$G$3:$G2419=M712)"),"SOLO 2024")</f>
        <v>SOLO 2024</v>
      </c>
      <c r="K712" s="12" t="s">
        <v>2014</v>
      </c>
      <c r="L712" s="11" t="s">
        <v>76</v>
      </c>
      <c r="M712" s="12" t="str">
        <f t="shared" ca="1" si="2"/>
        <v>60102316 Primaria</v>
      </c>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4"/>
    </row>
    <row r="713" spans="1:36" ht="15.75" customHeight="1" x14ac:dyDescent="0.25">
      <c r="A713" s="9">
        <v>193</v>
      </c>
      <c r="B713" s="10" t="s">
        <v>60</v>
      </c>
      <c r="C713" s="10" t="s">
        <v>15</v>
      </c>
      <c r="D713" s="10" t="s">
        <v>37</v>
      </c>
      <c r="E713" s="11" t="str">
        <f ca="1">IFERROR(__xludf.DUMMYFUNCTION("FILTER(Colegios!$B$2:$B2419,Colegios!$A$2:$A2419=L713)"),"6010231")</f>
        <v>6010231</v>
      </c>
      <c r="F713" s="11" t="s">
        <v>17</v>
      </c>
      <c r="G713" s="10" t="s">
        <v>24</v>
      </c>
      <c r="H713" s="11" t="s">
        <v>19</v>
      </c>
      <c r="I713" s="11" t="s">
        <v>20</v>
      </c>
      <c r="J713" s="12" t="str">
        <f ca="1">IFERROR(__xludf.DUMMYFUNCTION("FILTER('CLASFICACIÓN'!$F$3:$F2419,'CLASFICACIÓN'!$G$3:$G2419=M713)"),"SOLO 2024")</f>
        <v>SOLO 2024</v>
      </c>
      <c r="K713" s="12" t="s">
        <v>2014</v>
      </c>
      <c r="L713" s="11" t="s">
        <v>76</v>
      </c>
      <c r="M713" s="12" t="str">
        <f t="shared" ca="1" si="2"/>
        <v>60102316 Primaria</v>
      </c>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4"/>
    </row>
    <row r="714" spans="1:36" ht="15.75" customHeight="1" x14ac:dyDescent="0.25">
      <c r="A714" s="9">
        <v>194</v>
      </c>
      <c r="B714" s="10" t="s">
        <v>60</v>
      </c>
      <c r="C714" s="10" t="s">
        <v>41</v>
      </c>
      <c r="D714" s="10" t="s">
        <v>42</v>
      </c>
      <c r="E714" s="11" t="str">
        <f ca="1">IFERROR(__xludf.DUMMYFUNCTION("FILTER(Colegios!$B$2:$B2419,Colegios!$A$2:$A2419=L714)"),"6010231")</f>
        <v>6010231</v>
      </c>
      <c r="F714" s="11" t="s">
        <v>17</v>
      </c>
      <c r="G714" s="10" t="s">
        <v>24</v>
      </c>
      <c r="H714" s="11" t="s">
        <v>19</v>
      </c>
      <c r="I714" s="11" t="s">
        <v>20</v>
      </c>
      <c r="J714" s="12" t="str">
        <f ca="1">IFERROR(__xludf.DUMMYFUNCTION("FILTER('CLASFICACIÓN'!$F$3:$F2419,'CLASFICACIÓN'!$G$3:$G2419=M714)"),"SOLO 2024")</f>
        <v>SOLO 2024</v>
      </c>
      <c r="K714" s="12" t="s">
        <v>2014</v>
      </c>
      <c r="L714" s="11" t="s">
        <v>76</v>
      </c>
      <c r="M714" s="12" t="str">
        <f t="shared" ca="1" si="2"/>
        <v>60102312 Secundaria</v>
      </c>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4"/>
    </row>
    <row r="715" spans="1:36" ht="15.75" customHeight="1" x14ac:dyDescent="0.25">
      <c r="A715" s="9">
        <v>195</v>
      </c>
      <c r="B715" s="10" t="s">
        <v>60</v>
      </c>
      <c r="C715" s="10" t="s">
        <v>41</v>
      </c>
      <c r="D715" s="10" t="s">
        <v>42</v>
      </c>
      <c r="E715" s="11" t="str">
        <f ca="1">IFERROR(__xludf.DUMMYFUNCTION("FILTER(Colegios!$B$2:$B2419,Colegios!$A$2:$A2419=L715)"),"6010231")</f>
        <v>6010231</v>
      </c>
      <c r="F715" s="11" t="s">
        <v>17</v>
      </c>
      <c r="G715" s="10" t="s">
        <v>18</v>
      </c>
      <c r="H715" s="11" t="s">
        <v>19</v>
      </c>
      <c r="I715" s="11" t="s">
        <v>20</v>
      </c>
      <c r="J715" s="12" t="str">
        <f ca="1">IFERROR(__xludf.DUMMYFUNCTION("FILTER('CLASFICACIÓN'!$F$3:$F2419,'CLASFICACIÓN'!$G$3:$G2419=M715)"),"SOLO 2024")</f>
        <v>SOLO 2024</v>
      </c>
      <c r="K715" s="12" t="s">
        <v>2014</v>
      </c>
      <c r="L715" s="11" t="s">
        <v>76</v>
      </c>
      <c r="M715" s="12" t="str">
        <f t="shared" ca="1" si="2"/>
        <v>60102312 Secundaria</v>
      </c>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4"/>
    </row>
    <row r="716" spans="1:36" ht="15.75" customHeight="1" x14ac:dyDescent="0.25">
      <c r="A716" s="9">
        <v>196</v>
      </c>
      <c r="B716" s="10" t="s">
        <v>60</v>
      </c>
      <c r="C716" s="10" t="s">
        <v>41</v>
      </c>
      <c r="D716" s="10" t="s">
        <v>42</v>
      </c>
      <c r="E716" s="11" t="str">
        <f ca="1">IFERROR(__xludf.DUMMYFUNCTION("FILTER(Colegios!$B$2:$B2419,Colegios!$A$2:$A2419=L716)"),"6010231")</f>
        <v>6010231</v>
      </c>
      <c r="F716" s="11" t="s">
        <v>17</v>
      </c>
      <c r="G716" s="10" t="s">
        <v>18</v>
      </c>
      <c r="H716" s="11" t="s">
        <v>19</v>
      </c>
      <c r="I716" s="11" t="s">
        <v>20</v>
      </c>
      <c r="J716" s="12" t="str">
        <f ca="1">IFERROR(__xludf.DUMMYFUNCTION("FILTER('CLASFICACIÓN'!$F$3:$F2419,'CLASFICACIÓN'!$G$3:$G2419=M716)"),"SOLO 2024")</f>
        <v>SOLO 2024</v>
      </c>
      <c r="K716" s="12" t="s">
        <v>2014</v>
      </c>
      <c r="L716" s="11" t="s">
        <v>76</v>
      </c>
      <c r="M716" s="12" t="str">
        <f t="shared" ca="1" si="2"/>
        <v>60102312 Secundaria</v>
      </c>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4"/>
    </row>
    <row r="717" spans="1:36" ht="15.75" customHeight="1" x14ac:dyDescent="0.25">
      <c r="A717" s="9">
        <v>197</v>
      </c>
      <c r="B717" s="10" t="s">
        <v>60</v>
      </c>
      <c r="C717" s="10" t="s">
        <v>41</v>
      </c>
      <c r="D717" s="10" t="s">
        <v>42</v>
      </c>
      <c r="E717" s="11" t="str">
        <f ca="1">IFERROR(__xludf.DUMMYFUNCTION("FILTER(Colegios!$B$2:$B2419,Colegios!$A$2:$A2419=L717)"),"6010231")</f>
        <v>6010231</v>
      </c>
      <c r="F717" s="11" t="s">
        <v>17</v>
      </c>
      <c r="G717" s="10" t="s">
        <v>18</v>
      </c>
      <c r="H717" s="11" t="s">
        <v>19</v>
      </c>
      <c r="I717" s="11" t="s">
        <v>20</v>
      </c>
      <c r="J717" s="12" t="str">
        <f ca="1">IFERROR(__xludf.DUMMYFUNCTION("FILTER('CLASFICACIÓN'!$F$3:$F2419,'CLASFICACIÓN'!$G$3:$G2419=M717)"),"SOLO 2024")</f>
        <v>SOLO 2024</v>
      </c>
      <c r="K717" s="12" t="s">
        <v>2014</v>
      </c>
      <c r="L717" s="11" t="s">
        <v>76</v>
      </c>
      <c r="M717" s="12" t="str">
        <f t="shared" ca="1" si="2"/>
        <v>60102312 Secundaria</v>
      </c>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4"/>
    </row>
    <row r="718" spans="1:36" ht="15.75" customHeight="1" x14ac:dyDescent="0.25">
      <c r="A718" s="9">
        <v>198</v>
      </c>
      <c r="B718" s="10" t="s">
        <v>60</v>
      </c>
      <c r="C718" s="10" t="s">
        <v>41</v>
      </c>
      <c r="D718" s="10" t="s">
        <v>42</v>
      </c>
      <c r="E718" s="11" t="str">
        <f ca="1">IFERROR(__xludf.DUMMYFUNCTION("FILTER(Colegios!$B$2:$B2419,Colegios!$A$2:$A2419=L718)"),"6010231")</f>
        <v>6010231</v>
      </c>
      <c r="F718" s="11" t="s">
        <v>17</v>
      </c>
      <c r="G718" s="10" t="s">
        <v>24</v>
      </c>
      <c r="H718" s="11" t="s">
        <v>19</v>
      </c>
      <c r="I718" s="11" t="s">
        <v>20</v>
      </c>
      <c r="J718" s="12" t="str">
        <f ca="1">IFERROR(__xludf.DUMMYFUNCTION("FILTER('CLASFICACIÓN'!$F$3:$F2419,'CLASFICACIÓN'!$G$3:$G2419=M718)"),"SOLO 2024")</f>
        <v>SOLO 2024</v>
      </c>
      <c r="K718" s="12" t="s">
        <v>2014</v>
      </c>
      <c r="L718" s="11" t="s">
        <v>76</v>
      </c>
      <c r="M718" s="12" t="str">
        <f t="shared" ca="1" si="2"/>
        <v>60102312 Secundaria</v>
      </c>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4"/>
    </row>
    <row r="719" spans="1:36" ht="15.75" customHeight="1" x14ac:dyDescent="0.25">
      <c r="A719" s="9">
        <v>199</v>
      </c>
      <c r="B719" s="10" t="s">
        <v>60</v>
      </c>
      <c r="C719" s="10" t="s">
        <v>41</v>
      </c>
      <c r="D719" s="10" t="s">
        <v>42</v>
      </c>
      <c r="E719" s="11" t="str">
        <f ca="1">IFERROR(__xludf.DUMMYFUNCTION("FILTER(Colegios!$B$2:$B2419,Colegios!$A$2:$A2419=L719)"),"6010231")</f>
        <v>6010231</v>
      </c>
      <c r="F719" s="11" t="s">
        <v>17</v>
      </c>
      <c r="G719" s="10" t="s">
        <v>24</v>
      </c>
      <c r="H719" s="11" t="s">
        <v>19</v>
      </c>
      <c r="I719" s="11" t="s">
        <v>20</v>
      </c>
      <c r="J719" s="12" t="str">
        <f ca="1">IFERROR(__xludf.DUMMYFUNCTION("FILTER('CLASFICACIÓN'!$F$3:$F2419,'CLASFICACIÓN'!$G$3:$G2419=M719)"),"SOLO 2024")</f>
        <v>SOLO 2024</v>
      </c>
      <c r="K719" s="12" t="s">
        <v>2014</v>
      </c>
      <c r="L719" s="11" t="s">
        <v>76</v>
      </c>
      <c r="M719" s="12" t="str">
        <f t="shared" ca="1" si="2"/>
        <v>60102312 Secundaria</v>
      </c>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4"/>
    </row>
    <row r="720" spans="1:36" ht="15.75" customHeight="1" x14ac:dyDescent="0.25">
      <c r="A720" s="9">
        <v>200</v>
      </c>
      <c r="B720" s="10" t="s">
        <v>60</v>
      </c>
      <c r="C720" s="10" t="s">
        <v>41</v>
      </c>
      <c r="D720" s="10" t="s">
        <v>42</v>
      </c>
      <c r="E720" s="11" t="str">
        <f ca="1">IFERROR(__xludf.DUMMYFUNCTION("FILTER(Colegios!$B$2:$B2419,Colegios!$A$2:$A2419=L720)"),"6010231")</f>
        <v>6010231</v>
      </c>
      <c r="F720" s="11" t="s">
        <v>17</v>
      </c>
      <c r="G720" s="10" t="s">
        <v>18</v>
      </c>
      <c r="H720" s="11" t="s">
        <v>19</v>
      </c>
      <c r="I720" s="11" t="s">
        <v>20</v>
      </c>
      <c r="J720" s="12" t="str">
        <f ca="1">IFERROR(__xludf.DUMMYFUNCTION("FILTER('CLASFICACIÓN'!$F$3:$F2419,'CLASFICACIÓN'!$G$3:$G2419=M720)"),"SOLO 2024")</f>
        <v>SOLO 2024</v>
      </c>
      <c r="K720" s="12" t="s">
        <v>2014</v>
      </c>
      <c r="L720" s="11" t="s">
        <v>76</v>
      </c>
      <c r="M720" s="12" t="str">
        <f t="shared" ca="1" si="2"/>
        <v>60102312 Secundaria</v>
      </c>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4"/>
    </row>
    <row r="721" spans="1:36" ht="15.75" customHeight="1" x14ac:dyDescent="0.25">
      <c r="A721" s="9">
        <v>201</v>
      </c>
      <c r="B721" s="10" t="s">
        <v>60</v>
      </c>
      <c r="C721" s="10" t="s">
        <v>41</v>
      </c>
      <c r="D721" s="10" t="s">
        <v>42</v>
      </c>
      <c r="E721" s="11" t="str">
        <f ca="1">IFERROR(__xludf.DUMMYFUNCTION("FILTER(Colegios!$B$2:$B2419,Colegios!$A$2:$A2419=L721)"),"6010231")</f>
        <v>6010231</v>
      </c>
      <c r="F721" s="11" t="s">
        <v>17</v>
      </c>
      <c r="G721" s="10" t="s">
        <v>18</v>
      </c>
      <c r="H721" s="11" t="s">
        <v>19</v>
      </c>
      <c r="I721" s="11" t="s">
        <v>20</v>
      </c>
      <c r="J721" s="12" t="str">
        <f ca="1">IFERROR(__xludf.DUMMYFUNCTION("FILTER('CLASFICACIÓN'!$F$3:$F2419,'CLASFICACIÓN'!$G$3:$G2419=M721)"),"SOLO 2024")</f>
        <v>SOLO 2024</v>
      </c>
      <c r="K721" s="12" t="s">
        <v>2014</v>
      </c>
      <c r="L721" s="11" t="s">
        <v>76</v>
      </c>
      <c r="M721" s="12" t="str">
        <f t="shared" ca="1" si="2"/>
        <v>60102312 Secundaria</v>
      </c>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4"/>
    </row>
    <row r="722" spans="1:36" ht="15.75" customHeight="1" x14ac:dyDescent="0.25">
      <c r="A722" s="9">
        <v>202</v>
      </c>
      <c r="B722" s="10" t="s">
        <v>60</v>
      </c>
      <c r="C722" s="10" t="s">
        <v>41</v>
      </c>
      <c r="D722" s="10" t="s">
        <v>42</v>
      </c>
      <c r="E722" s="11" t="str">
        <f ca="1">IFERROR(__xludf.DUMMYFUNCTION("FILTER(Colegios!$B$2:$B2419,Colegios!$A$2:$A2419=L722)"),"6010231")</f>
        <v>6010231</v>
      </c>
      <c r="F722" s="11" t="s">
        <v>17</v>
      </c>
      <c r="G722" s="10" t="s">
        <v>18</v>
      </c>
      <c r="H722" s="11" t="s">
        <v>19</v>
      </c>
      <c r="I722" s="11" t="s">
        <v>20</v>
      </c>
      <c r="J722" s="12" t="str">
        <f ca="1">IFERROR(__xludf.DUMMYFUNCTION("FILTER('CLASFICACIÓN'!$F$3:$F2419,'CLASFICACIÓN'!$G$3:$G2419=M722)"),"SOLO 2024")</f>
        <v>SOLO 2024</v>
      </c>
      <c r="K722" s="12" t="s">
        <v>2014</v>
      </c>
      <c r="L722" s="11" t="s">
        <v>76</v>
      </c>
      <c r="M722" s="12" t="str">
        <f t="shared" ca="1" si="2"/>
        <v>60102312 Secundaria</v>
      </c>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4"/>
    </row>
    <row r="723" spans="1:36" ht="15.75" customHeight="1" x14ac:dyDescent="0.25">
      <c r="A723" s="9">
        <v>203</v>
      </c>
      <c r="B723" s="10" t="s">
        <v>60</v>
      </c>
      <c r="C723" s="10" t="s">
        <v>41</v>
      </c>
      <c r="D723" s="10" t="s">
        <v>42</v>
      </c>
      <c r="E723" s="11" t="str">
        <f ca="1">IFERROR(__xludf.DUMMYFUNCTION("FILTER(Colegios!$B$2:$B2419,Colegios!$A$2:$A2419=L723)"),"6010231")</f>
        <v>6010231</v>
      </c>
      <c r="F723" s="11" t="s">
        <v>17</v>
      </c>
      <c r="G723" s="10" t="s">
        <v>18</v>
      </c>
      <c r="H723" s="11" t="s">
        <v>19</v>
      </c>
      <c r="I723" s="11" t="s">
        <v>20</v>
      </c>
      <c r="J723" s="12" t="str">
        <f ca="1">IFERROR(__xludf.DUMMYFUNCTION("FILTER('CLASFICACIÓN'!$F$3:$F2419,'CLASFICACIÓN'!$G$3:$G2419=M723)"),"SOLO 2024")</f>
        <v>SOLO 2024</v>
      </c>
      <c r="K723" s="12" t="s">
        <v>2014</v>
      </c>
      <c r="L723" s="11" t="s">
        <v>76</v>
      </c>
      <c r="M723" s="12" t="str">
        <f t="shared" ca="1" si="2"/>
        <v>60102312 Secundaria</v>
      </c>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4"/>
    </row>
    <row r="724" spans="1:36" ht="15.75" customHeight="1" x14ac:dyDescent="0.25">
      <c r="A724" s="9">
        <v>204</v>
      </c>
      <c r="B724" s="10" t="s">
        <v>60</v>
      </c>
      <c r="C724" s="10" t="s">
        <v>41</v>
      </c>
      <c r="D724" s="10" t="s">
        <v>42</v>
      </c>
      <c r="E724" s="11" t="str">
        <f ca="1">IFERROR(__xludf.DUMMYFUNCTION("FILTER(Colegios!$B$2:$B2419,Colegios!$A$2:$A2419=L724)"),"6010231")</f>
        <v>6010231</v>
      </c>
      <c r="F724" s="11" t="s">
        <v>17</v>
      </c>
      <c r="G724" s="10" t="s">
        <v>24</v>
      </c>
      <c r="H724" s="11" t="s">
        <v>19</v>
      </c>
      <c r="I724" s="11" t="s">
        <v>20</v>
      </c>
      <c r="J724" s="12" t="str">
        <f ca="1">IFERROR(__xludf.DUMMYFUNCTION("FILTER('CLASFICACIÓN'!$F$3:$F2419,'CLASFICACIÓN'!$G$3:$G2419=M724)"),"SOLO 2024")</f>
        <v>SOLO 2024</v>
      </c>
      <c r="K724" s="12" t="s">
        <v>2014</v>
      </c>
      <c r="L724" s="11" t="s">
        <v>76</v>
      </c>
      <c r="M724" s="12" t="str">
        <f t="shared" ca="1" si="2"/>
        <v>60102312 Secundaria</v>
      </c>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4"/>
    </row>
    <row r="725" spans="1:36" ht="15.75" customHeight="1" x14ac:dyDescent="0.25">
      <c r="A725" s="9">
        <v>205</v>
      </c>
      <c r="B725" s="10" t="s">
        <v>60</v>
      </c>
      <c r="C725" s="10" t="s">
        <v>41</v>
      </c>
      <c r="D725" s="10" t="s">
        <v>42</v>
      </c>
      <c r="E725" s="11" t="str">
        <f ca="1">IFERROR(__xludf.DUMMYFUNCTION("FILTER(Colegios!$B$2:$B2419,Colegios!$A$2:$A2419=L725)"),"6010231")</f>
        <v>6010231</v>
      </c>
      <c r="F725" s="11" t="s">
        <v>17</v>
      </c>
      <c r="G725" s="10" t="s">
        <v>24</v>
      </c>
      <c r="H725" s="11" t="s">
        <v>19</v>
      </c>
      <c r="I725" s="11" t="s">
        <v>20</v>
      </c>
      <c r="J725" s="12" t="str">
        <f ca="1">IFERROR(__xludf.DUMMYFUNCTION("FILTER('CLASFICACIÓN'!$F$3:$F2419,'CLASFICACIÓN'!$G$3:$G2419=M725)"),"SOLO 2024")</f>
        <v>SOLO 2024</v>
      </c>
      <c r="K725" s="12" t="s">
        <v>2014</v>
      </c>
      <c r="L725" s="11" t="s">
        <v>76</v>
      </c>
      <c r="M725" s="12" t="str">
        <f t="shared" ca="1" si="2"/>
        <v>60102312 Secundaria</v>
      </c>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4"/>
    </row>
    <row r="726" spans="1:36" ht="15.75" customHeight="1" x14ac:dyDescent="0.25">
      <c r="A726" s="9">
        <v>206</v>
      </c>
      <c r="B726" s="10" t="s">
        <v>60</v>
      </c>
      <c r="C726" s="10" t="s">
        <v>41</v>
      </c>
      <c r="D726" s="10" t="s">
        <v>42</v>
      </c>
      <c r="E726" s="11" t="str">
        <f ca="1">IFERROR(__xludf.DUMMYFUNCTION("FILTER(Colegios!$B$2:$B2419,Colegios!$A$2:$A2419=L726)"),"6010231")</f>
        <v>6010231</v>
      </c>
      <c r="F726" s="11" t="s">
        <v>17</v>
      </c>
      <c r="G726" s="10" t="s">
        <v>24</v>
      </c>
      <c r="H726" s="11" t="s">
        <v>19</v>
      </c>
      <c r="I726" s="11" t="s">
        <v>20</v>
      </c>
      <c r="J726" s="12" t="str">
        <f ca="1">IFERROR(__xludf.DUMMYFUNCTION("FILTER('CLASFICACIÓN'!$F$3:$F2419,'CLASFICACIÓN'!$G$3:$G2419=M726)"),"SOLO 2024")</f>
        <v>SOLO 2024</v>
      </c>
      <c r="K726" s="12" t="s">
        <v>2014</v>
      </c>
      <c r="L726" s="11" t="s">
        <v>76</v>
      </c>
      <c r="M726" s="12" t="str">
        <f t="shared" ca="1" si="2"/>
        <v>60102312 Secundaria</v>
      </c>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4"/>
    </row>
    <row r="727" spans="1:36" ht="15.75" customHeight="1" x14ac:dyDescent="0.25">
      <c r="A727" s="9">
        <v>207</v>
      </c>
      <c r="B727" s="10" t="s">
        <v>60</v>
      </c>
      <c r="C727" s="10" t="s">
        <v>41</v>
      </c>
      <c r="D727" s="10" t="s">
        <v>42</v>
      </c>
      <c r="E727" s="11" t="str">
        <f ca="1">IFERROR(__xludf.DUMMYFUNCTION("FILTER(Colegios!$B$2:$B2419,Colegios!$A$2:$A2419=L727)"),"6010231")</f>
        <v>6010231</v>
      </c>
      <c r="F727" s="11" t="s">
        <v>17</v>
      </c>
      <c r="G727" s="10" t="s">
        <v>18</v>
      </c>
      <c r="H727" s="11" t="s">
        <v>19</v>
      </c>
      <c r="I727" s="11" t="s">
        <v>20</v>
      </c>
      <c r="J727" s="12" t="str">
        <f ca="1">IFERROR(__xludf.DUMMYFUNCTION("FILTER('CLASFICACIÓN'!$F$3:$F2419,'CLASFICACIÓN'!$G$3:$G2419=M727)"),"SOLO 2024")</f>
        <v>SOLO 2024</v>
      </c>
      <c r="K727" s="12" t="s">
        <v>2014</v>
      </c>
      <c r="L727" s="11" t="s">
        <v>76</v>
      </c>
      <c r="M727" s="12" t="str">
        <f t="shared" ca="1" si="2"/>
        <v>60102312 Secundaria</v>
      </c>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4"/>
    </row>
    <row r="728" spans="1:36" ht="15.75" customHeight="1" x14ac:dyDescent="0.25">
      <c r="A728" s="9">
        <v>208</v>
      </c>
      <c r="B728" s="10" t="s">
        <v>60</v>
      </c>
      <c r="C728" s="10" t="s">
        <v>41</v>
      </c>
      <c r="D728" s="10" t="s">
        <v>42</v>
      </c>
      <c r="E728" s="11" t="str">
        <f ca="1">IFERROR(__xludf.DUMMYFUNCTION("FILTER(Colegios!$B$2:$B2419,Colegios!$A$2:$A2419=L728)"),"6010231")</f>
        <v>6010231</v>
      </c>
      <c r="F728" s="11" t="s">
        <v>17</v>
      </c>
      <c r="G728" s="10" t="s">
        <v>18</v>
      </c>
      <c r="H728" s="11" t="s">
        <v>19</v>
      </c>
      <c r="I728" s="11" t="s">
        <v>20</v>
      </c>
      <c r="J728" s="12" t="str">
        <f ca="1">IFERROR(__xludf.DUMMYFUNCTION("FILTER('CLASFICACIÓN'!$F$3:$F2419,'CLASFICACIÓN'!$G$3:$G2419=M728)"),"SOLO 2024")</f>
        <v>SOLO 2024</v>
      </c>
      <c r="K728" s="12" t="s">
        <v>2014</v>
      </c>
      <c r="L728" s="11" t="s">
        <v>76</v>
      </c>
      <c r="M728" s="12" t="str">
        <f t="shared" ca="1" si="2"/>
        <v>60102312 Secundaria</v>
      </c>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4"/>
    </row>
    <row r="729" spans="1:36" ht="15.75" customHeight="1" x14ac:dyDescent="0.25">
      <c r="A729" s="9">
        <v>209</v>
      </c>
      <c r="B729" s="10" t="s">
        <v>60</v>
      </c>
      <c r="C729" s="10" t="s">
        <v>41</v>
      </c>
      <c r="D729" s="10" t="s">
        <v>42</v>
      </c>
      <c r="E729" s="11" t="str">
        <f ca="1">IFERROR(__xludf.DUMMYFUNCTION("FILTER(Colegios!$B$2:$B2419,Colegios!$A$2:$A2419=L729)"),"6010231")</f>
        <v>6010231</v>
      </c>
      <c r="F729" s="11" t="s">
        <v>17</v>
      </c>
      <c r="G729" s="10" t="s">
        <v>24</v>
      </c>
      <c r="H729" s="11" t="s">
        <v>19</v>
      </c>
      <c r="I729" s="11" t="s">
        <v>20</v>
      </c>
      <c r="J729" s="12" t="str">
        <f ca="1">IFERROR(__xludf.DUMMYFUNCTION("FILTER('CLASFICACIÓN'!$F$3:$F2419,'CLASFICACIÓN'!$G$3:$G2419=M729)"),"SOLO 2024")</f>
        <v>SOLO 2024</v>
      </c>
      <c r="K729" s="12" t="s">
        <v>2014</v>
      </c>
      <c r="L729" s="11" t="s">
        <v>76</v>
      </c>
      <c r="M729" s="12" t="str">
        <f t="shared" ca="1" si="2"/>
        <v>60102312 Secundaria</v>
      </c>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4"/>
    </row>
    <row r="730" spans="1:36" ht="15.75" customHeight="1" x14ac:dyDescent="0.25">
      <c r="A730" s="9">
        <v>210</v>
      </c>
      <c r="B730" s="10" t="s">
        <v>60</v>
      </c>
      <c r="C730" s="10" t="s">
        <v>41</v>
      </c>
      <c r="D730" s="10" t="s">
        <v>42</v>
      </c>
      <c r="E730" s="11" t="str">
        <f ca="1">IFERROR(__xludf.DUMMYFUNCTION("FILTER(Colegios!$B$2:$B2419,Colegios!$A$2:$A2419=L730)"),"6010231")</f>
        <v>6010231</v>
      </c>
      <c r="F730" s="11" t="s">
        <v>17</v>
      </c>
      <c r="G730" s="10" t="s">
        <v>24</v>
      </c>
      <c r="H730" s="11" t="s">
        <v>19</v>
      </c>
      <c r="I730" s="11" t="s">
        <v>20</v>
      </c>
      <c r="J730" s="12" t="str">
        <f ca="1">IFERROR(__xludf.DUMMYFUNCTION("FILTER('CLASFICACIÓN'!$F$3:$F2419,'CLASFICACIÓN'!$G$3:$G2419=M730)"),"SOLO 2024")</f>
        <v>SOLO 2024</v>
      </c>
      <c r="K730" s="12" t="s">
        <v>2014</v>
      </c>
      <c r="L730" s="11" t="s">
        <v>76</v>
      </c>
      <c r="M730" s="12" t="str">
        <f t="shared" ca="1" si="2"/>
        <v>60102312 Secundaria</v>
      </c>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4"/>
    </row>
    <row r="731" spans="1:36" ht="15.75" customHeight="1" x14ac:dyDescent="0.25">
      <c r="A731" s="9">
        <v>211</v>
      </c>
      <c r="B731" s="10" t="s">
        <v>60</v>
      </c>
      <c r="C731" s="10" t="s">
        <v>41</v>
      </c>
      <c r="D731" s="10" t="s">
        <v>42</v>
      </c>
      <c r="E731" s="11" t="str">
        <f ca="1">IFERROR(__xludf.DUMMYFUNCTION("FILTER(Colegios!$B$2:$B2419,Colegios!$A$2:$A2419=L731)"),"6010231")</f>
        <v>6010231</v>
      </c>
      <c r="F731" s="11" t="s">
        <v>17</v>
      </c>
      <c r="G731" s="10" t="s">
        <v>24</v>
      </c>
      <c r="H731" s="11" t="s">
        <v>19</v>
      </c>
      <c r="I731" s="11" t="s">
        <v>20</v>
      </c>
      <c r="J731" s="12" t="str">
        <f ca="1">IFERROR(__xludf.DUMMYFUNCTION("FILTER('CLASFICACIÓN'!$F$3:$F2419,'CLASFICACIÓN'!$G$3:$G2419=M731)"),"SOLO 2024")</f>
        <v>SOLO 2024</v>
      </c>
      <c r="K731" s="12" t="s">
        <v>2014</v>
      </c>
      <c r="L731" s="11" t="s">
        <v>76</v>
      </c>
      <c r="M731" s="12" t="str">
        <f t="shared" ca="1" si="2"/>
        <v>60102312 Secundaria</v>
      </c>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4"/>
    </row>
    <row r="732" spans="1:36" ht="15.75" customHeight="1" x14ac:dyDescent="0.25">
      <c r="A732" s="9">
        <v>212</v>
      </c>
      <c r="B732" s="10" t="s">
        <v>60</v>
      </c>
      <c r="C732" s="10" t="s">
        <v>41</v>
      </c>
      <c r="D732" s="10" t="s">
        <v>42</v>
      </c>
      <c r="E732" s="11" t="str">
        <f ca="1">IFERROR(__xludf.DUMMYFUNCTION("FILTER(Colegios!$B$2:$B2419,Colegios!$A$2:$A2419=L732)"),"6010231")</f>
        <v>6010231</v>
      </c>
      <c r="F732" s="11" t="s">
        <v>17</v>
      </c>
      <c r="G732" s="10" t="s">
        <v>24</v>
      </c>
      <c r="H732" s="11" t="s">
        <v>19</v>
      </c>
      <c r="I732" s="11" t="s">
        <v>20</v>
      </c>
      <c r="J732" s="12" t="str">
        <f ca="1">IFERROR(__xludf.DUMMYFUNCTION("FILTER('CLASFICACIÓN'!$F$3:$F2419,'CLASFICACIÓN'!$G$3:$G2419=M732)"),"SOLO 2024")</f>
        <v>SOLO 2024</v>
      </c>
      <c r="K732" s="12" t="s">
        <v>2014</v>
      </c>
      <c r="L732" s="11" t="s">
        <v>76</v>
      </c>
      <c r="M732" s="12" t="str">
        <f t="shared" ca="1" si="2"/>
        <v>60102312 Secundaria</v>
      </c>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4"/>
    </row>
    <row r="733" spans="1:36" ht="15.75" customHeight="1" x14ac:dyDescent="0.25">
      <c r="A733" s="9">
        <v>213</v>
      </c>
      <c r="B733" s="10" t="s">
        <v>60</v>
      </c>
      <c r="C733" s="10" t="s">
        <v>41</v>
      </c>
      <c r="D733" s="10" t="s">
        <v>42</v>
      </c>
      <c r="E733" s="11" t="str">
        <f ca="1">IFERROR(__xludf.DUMMYFUNCTION("FILTER(Colegios!$B$2:$B2419,Colegios!$A$2:$A2419=L733)"),"6010231")</f>
        <v>6010231</v>
      </c>
      <c r="F733" s="11" t="s">
        <v>17</v>
      </c>
      <c r="G733" s="10" t="s">
        <v>24</v>
      </c>
      <c r="H733" s="11" t="s">
        <v>19</v>
      </c>
      <c r="I733" s="11" t="s">
        <v>20</v>
      </c>
      <c r="J733" s="12" t="str">
        <f ca="1">IFERROR(__xludf.DUMMYFUNCTION("FILTER('CLASFICACIÓN'!$F$3:$F2419,'CLASFICACIÓN'!$G$3:$G2419=M733)"),"SOLO 2024")</f>
        <v>SOLO 2024</v>
      </c>
      <c r="K733" s="12" t="s">
        <v>2014</v>
      </c>
      <c r="L733" s="11" t="s">
        <v>76</v>
      </c>
      <c r="M733" s="12" t="str">
        <f t="shared" ca="1" si="2"/>
        <v>60102312 Secundaria</v>
      </c>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4"/>
    </row>
    <row r="734" spans="1:36" ht="15.75" customHeight="1" x14ac:dyDescent="0.25">
      <c r="A734" s="9">
        <v>214</v>
      </c>
      <c r="B734" s="10" t="s">
        <v>60</v>
      </c>
      <c r="C734" s="10" t="s">
        <v>41</v>
      </c>
      <c r="D734" s="10" t="s">
        <v>42</v>
      </c>
      <c r="E734" s="11" t="str">
        <f ca="1">IFERROR(__xludf.DUMMYFUNCTION("FILTER(Colegios!$B$2:$B2419,Colegios!$A$2:$A2419=L734)"),"6010231")</f>
        <v>6010231</v>
      </c>
      <c r="F734" s="11" t="s">
        <v>17</v>
      </c>
      <c r="G734" s="10" t="s">
        <v>24</v>
      </c>
      <c r="H734" s="11" t="s">
        <v>19</v>
      </c>
      <c r="I734" s="11" t="s">
        <v>20</v>
      </c>
      <c r="J734" s="12" t="str">
        <f ca="1">IFERROR(__xludf.DUMMYFUNCTION("FILTER('CLASFICACIÓN'!$F$3:$F2419,'CLASFICACIÓN'!$G$3:$G2419=M734)"),"SOLO 2024")</f>
        <v>SOLO 2024</v>
      </c>
      <c r="K734" s="12" t="s">
        <v>2014</v>
      </c>
      <c r="L734" s="11" t="s">
        <v>76</v>
      </c>
      <c r="M734" s="12" t="str">
        <f t="shared" ca="1" si="2"/>
        <v>60102312 Secundaria</v>
      </c>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4"/>
    </row>
    <row r="735" spans="1:36" ht="15.75" customHeight="1" x14ac:dyDescent="0.25">
      <c r="A735" s="9">
        <v>215</v>
      </c>
      <c r="B735" s="10" t="s">
        <v>60</v>
      </c>
      <c r="C735" s="10" t="s">
        <v>41</v>
      </c>
      <c r="D735" s="10" t="s">
        <v>42</v>
      </c>
      <c r="E735" s="11" t="str">
        <f ca="1">IFERROR(__xludf.DUMMYFUNCTION("FILTER(Colegios!$B$2:$B2419,Colegios!$A$2:$A2419=L735)"),"6010231")</f>
        <v>6010231</v>
      </c>
      <c r="F735" s="11" t="s">
        <v>17</v>
      </c>
      <c r="G735" s="10" t="s">
        <v>18</v>
      </c>
      <c r="H735" s="11" t="s">
        <v>19</v>
      </c>
      <c r="I735" s="11" t="s">
        <v>20</v>
      </c>
      <c r="J735" s="12" t="str">
        <f ca="1">IFERROR(__xludf.DUMMYFUNCTION("FILTER('CLASFICACIÓN'!$F$3:$F2419,'CLASFICACIÓN'!$G$3:$G2419=M735)"),"SOLO 2024")</f>
        <v>SOLO 2024</v>
      </c>
      <c r="K735" s="12" t="s">
        <v>2014</v>
      </c>
      <c r="L735" s="11" t="s">
        <v>76</v>
      </c>
      <c r="M735" s="12" t="str">
        <f t="shared" ca="1" si="2"/>
        <v>60102312 Secundaria</v>
      </c>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4"/>
    </row>
    <row r="736" spans="1:36" ht="15.75" customHeight="1" x14ac:dyDescent="0.25">
      <c r="A736" s="9">
        <v>216</v>
      </c>
      <c r="B736" s="10" t="s">
        <v>60</v>
      </c>
      <c r="C736" s="10" t="s">
        <v>41</v>
      </c>
      <c r="D736" s="10" t="s">
        <v>42</v>
      </c>
      <c r="E736" s="11" t="str">
        <f ca="1">IFERROR(__xludf.DUMMYFUNCTION("FILTER(Colegios!$B$2:$B2419,Colegios!$A$2:$A2419=L736)"),"6010231")</f>
        <v>6010231</v>
      </c>
      <c r="F736" s="11" t="s">
        <v>17</v>
      </c>
      <c r="G736" s="10" t="s">
        <v>18</v>
      </c>
      <c r="H736" s="11" t="s">
        <v>19</v>
      </c>
      <c r="I736" s="11" t="s">
        <v>20</v>
      </c>
      <c r="J736" s="12" t="str">
        <f ca="1">IFERROR(__xludf.DUMMYFUNCTION("FILTER('CLASFICACIÓN'!$F$3:$F2419,'CLASFICACIÓN'!$G$3:$G2419=M736)"),"SOLO 2024")</f>
        <v>SOLO 2024</v>
      </c>
      <c r="K736" s="12" t="s">
        <v>2014</v>
      </c>
      <c r="L736" s="11" t="s">
        <v>76</v>
      </c>
      <c r="M736" s="12" t="str">
        <f t="shared" ca="1" si="2"/>
        <v>60102312 Secundaria</v>
      </c>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4"/>
    </row>
    <row r="737" spans="1:36" ht="15.75" customHeight="1" x14ac:dyDescent="0.25">
      <c r="A737" s="9">
        <v>217</v>
      </c>
      <c r="B737" s="10" t="s">
        <v>60</v>
      </c>
      <c r="C737" s="10" t="s">
        <v>41</v>
      </c>
      <c r="D737" s="10" t="s">
        <v>43</v>
      </c>
      <c r="E737" s="11" t="str">
        <f ca="1">IFERROR(__xludf.DUMMYFUNCTION("FILTER(Colegios!$B$2:$B2419,Colegios!$A$2:$A2419=L737)"),"6010231")</f>
        <v>6010231</v>
      </c>
      <c r="F737" s="11" t="s">
        <v>17</v>
      </c>
      <c r="G737" s="10" t="s">
        <v>24</v>
      </c>
      <c r="H737" s="11" t="s">
        <v>19</v>
      </c>
      <c r="I737" s="11" t="s">
        <v>20</v>
      </c>
      <c r="J737" s="12" t="str">
        <f ca="1">IFERROR(__xludf.DUMMYFUNCTION("FILTER('CLASFICACIÓN'!$F$3:$F2419,'CLASFICACIÓN'!$G$3:$G2419=M737)"),"SOLO 2024")</f>
        <v>SOLO 2024</v>
      </c>
      <c r="K737" s="12" t="s">
        <v>2014</v>
      </c>
      <c r="L737" s="11" t="s">
        <v>76</v>
      </c>
      <c r="M737" s="12" t="str">
        <f t="shared" ca="1" si="2"/>
        <v>60102314 Secundaria</v>
      </c>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4"/>
    </row>
    <row r="738" spans="1:36" ht="15.75" customHeight="1" x14ac:dyDescent="0.25">
      <c r="A738" s="9">
        <v>218</v>
      </c>
      <c r="B738" s="10" t="s">
        <v>60</v>
      </c>
      <c r="C738" s="10" t="s">
        <v>41</v>
      </c>
      <c r="D738" s="10" t="s">
        <v>43</v>
      </c>
      <c r="E738" s="11" t="str">
        <f ca="1">IFERROR(__xludf.DUMMYFUNCTION("FILTER(Colegios!$B$2:$B2419,Colegios!$A$2:$A2419=L738)"),"6010231")</f>
        <v>6010231</v>
      </c>
      <c r="F738" s="11" t="s">
        <v>17</v>
      </c>
      <c r="G738" s="10" t="s">
        <v>24</v>
      </c>
      <c r="H738" s="11" t="s">
        <v>19</v>
      </c>
      <c r="I738" s="11" t="s">
        <v>20</v>
      </c>
      <c r="J738" s="12" t="str">
        <f ca="1">IFERROR(__xludf.DUMMYFUNCTION("FILTER('CLASFICACIÓN'!$F$3:$F2419,'CLASFICACIÓN'!$G$3:$G2419=M738)"),"SOLO 2024")</f>
        <v>SOLO 2024</v>
      </c>
      <c r="K738" s="12" t="s">
        <v>2014</v>
      </c>
      <c r="L738" s="11" t="s">
        <v>76</v>
      </c>
      <c r="M738" s="12" t="str">
        <f t="shared" ca="1" si="2"/>
        <v>60102314 Secundaria</v>
      </c>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4"/>
    </row>
    <row r="739" spans="1:36" ht="15.75" customHeight="1" x14ac:dyDescent="0.25">
      <c r="A739" s="9">
        <v>219</v>
      </c>
      <c r="B739" s="10" t="s">
        <v>60</v>
      </c>
      <c r="C739" s="10" t="s">
        <v>41</v>
      </c>
      <c r="D739" s="10" t="s">
        <v>43</v>
      </c>
      <c r="E739" s="11" t="str">
        <f ca="1">IFERROR(__xludf.DUMMYFUNCTION("FILTER(Colegios!$B$2:$B2419,Colegios!$A$2:$A2419=L739)"),"6010231")</f>
        <v>6010231</v>
      </c>
      <c r="F739" s="11" t="s">
        <v>17</v>
      </c>
      <c r="G739" s="10" t="s">
        <v>24</v>
      </c>
      <c r="H739" s="11" t="s">
        <v>19</v>
      </c>
      <c r="I739" s="11" t="s">
        <v>20</v>
      </c>
      <c r="J739" s="12" t="str">
        <f ca="1">IFERROR(__xludf.DUMMYFUNCTION("FILTER('CLASFICACIÓN'!$F$3:$F2419,'CLASFICACIÓN'!$G$3:$G2419=M739)"),"SOLO 2024")</f>
        <v>SOLO 2024</v>
      </c>
      <c r="K739" s="12" t="s">
        <v>2014</v>
      </c>
      <c r="L739" s="11" t="s">
        <v>76</v>
      </c>
      <c r="M739" s="12" t="str">
        <f t="shared" ca="1" si="2"/>
        <v>60102314 Secundaria</v>
      </c>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4"/>
    </row>
    <row r="740" spans="1:36" ht="15.75" customHeight="1" x14ac:dyDescent="0.25">
      <c r="A740" s="9">
        <v>220</v>
      </c>
      <c r="B740" s="10" t="s">
        <v>60</v>
      </c>
      <c r="C740" s="10" t="s">
        <v>41</v>
      </c>
      <c r="D740" s="10" t="s">
        <v>43</v>
      </c>
      <c r="E740" s="11" t="str">
        <f ca="1">IFERROR(__xludf.DUMMYFUNCTION("FILTER(Colegios!$B$2:$B2419,Colegios!$A$2:$A2419=L740)"),"6010231")</f>
        <v>6010231</v>
      </c>
      <c r="F740" s="11" t="s">
        <v>17</v>
      </c>
      <c r="G740" s="10" t="s">
        <v>24</v>
      </c>
      <c r="H740" s="11" t="s">
        <v>19</v>
      </c>
      <c r="I740" s="11" t="s">
        <v>20</v>
      </c>
      <c r="J740" s="12" t="str">
        <f ca="1">IFERROR(__xludf.DUMMYFUNCTION("FILTER('CLASFICACIÓN'!$F$3:$F2419,'CLASFICACIÓN'!$G$3:$G2419=M740)"),"SOLO 2024")</f>
        <v>SOLO 2024</v>
      </c>
      <c r="K740" s="12" t="s">
        <v>2014</v>
      </c>
      <c r="L740" s="11" t="s">
        <v>76</v>
      </c>
      <c r="M740" s="12" t="str">
        <f t="shared" ca="1" si="2"/>
        <v>60102314 Secundaria</v>
      </c>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4"/>
    </row>
    <row r="741" spans="1:36" ht="15.75" customHeight="1" x14ac:dyDescent="0.25">
      <c r="A741" s="9">
        <v>221</v>
      </c>
      <c r="B741" s="10" t="s">
        <v>60</v>
      </c>
      <c r="C741" s="10" t="s">
        <v>41</v>
      </c>
      <c r="D741" s="10" t="s">
        <v>43</v>
      </c>
      <c r="E741" s="11" t="str">
        <f ca="1">IFERROR(__xludf.DUMMYFUNCTION("FILTER(Colegios!$B$2:$B2419,Colegios!$A$2:$A2419=L741)"),"6010231")</f>
        <v>6010231</v>
      </c>
      <c r="F741" s="11" t="s">
        <v>17</v>
      </c>
      <c r="G741" s="10" t="s">
        <v>24</v>
      </c>
      <c r="H741" s="11" t="s">
        <v>19</v>
      </c>
      <c r="I741" s="11" t="s">
        <v>20</v>
      </c>
      <c r="J741" s="12" t="str">
        <f ca="1">IFERROR(__xludf.DUMMYFUNCTION("FILTER('CLASFICACIÓN'!$F$3:$F2419,'CLASFICACIÓN'!$G$3:$G2419=M741)"),"SOLO 2024")</f>
        <v>SOLO 2024</v>
      </c>
      <c r="K741" s="12" t="s">
        <v>2014</v>
      </c>
      <c r="L741" s="11" t="s">
        <v>76</v>
      </c>
      <c r="M741" s="12" t="str">
        <f t="shared" ca="1" si="2"/>
        <v>60102314 Secundaria</v>
      </c>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4"/>
    </row>
    <row r="742" spans="1:36" ht="15.75" customHeight="1" x14ac:dyDescent="0.25">
      <c r="A742" s="9">
        <v>222</v>
      </c>
      <c r="B742" s="10" t="s">
        <v>60</v>
      </c>
      <c r="C742" s="10" t="s">
        <v>41</v>
      </c>
      <c r="D742" s="10" t="s">
        <v>43</v>
      </c>
      <c r="E742" s="11" t="str">
        <f ca="1">IFERROR(__xludf.DUMMYFUNCTION("FILTER(Colegios!$B$2:$B2419,Colegios!$A$2:$A2419=L742)"),"6010231")</f>
        <v>6010231</v>
      </c>
      <c r="F742" s="11" t="s">
        <v>17</v>
      </c>
      <c r="G742" s="10" t="s">
        <v>18</v>
      </c>
      <c r="H742" s="11" t="s">
        <v>19</v>
      </c>
      <c r="I742" s="11" t="s">
        <v>20</v>
      </c>
      <c r="J742" s="12" t="str">
        <f ca="1">IFERROR(__xludf.DUMMYFUNCTION("FILTER('CLASFICACIÓN'!$F$3:$F2419,'CLASFICACIÓN'!$G$3:$G2419=M742)"),"SOLO 2024")</f>
        <v>SOLO 2024</v>
      </c>
      <c r="K742" s="12" t="s">
        <v>2014</v>
      </c>
      <c r="L742" s="11" t="s">
        <v>76</v>
      </c>
      <c r="M742" s="12" t="str">
        <f t="shared" ca="1" si="2"/>
        <v>60102314 Secundaria</v>
      </c>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4"/>
    </row>
    <row r="743" spans="1:36" ht="15.75" customHeight="1" x14ac:dyDescent="0.25">
      <c r="A743" s="9">
        <v>223</v>
      </c>
      <c r="B743" s="10" t="s">
        <v>60</v>
      </c>
      <c r="C743" s="10" t="s">
        <v>41</v>
      </c>
      <c r="D743" s="10" t="s">
        <v>43</v>
      </c>
      <c r="E743" s="11" t="str">
        <f ca="1">IFERROR(__xludf.DUMMYFUNCTION("FILTER(Colegios!$B$2:$B2419,Colegios!$A$2:$A2419=L743)"),"6010231")</f>
        <v>6010231</v>
      </c>
      <c r="F743" s="11" t="s">
        <v>17</v>
      </c>
      <c r="G743" s="10" t="s">
        <v>18</v>
      </c>
      <c r="H743" s="11" t="s">
        <v>19</v>
      </c>
      <c r="I743" s="11" t="s">
        <v>20</v>
      </c>
      <c r="J743" s="12" t="str">
        <f ca="1">IFERROR(__xludf.DUMMYFUNCTION("FILTER('CLASFICACIÓN'!$F$3:$F2419,'CLASFICACIÓN'!$G$3:$G2419=M743)"),"SOLO 2024")</f>
        <v>SOLO 2024</v>
      </c>
      <c r="K743" s="12" t="s">
        <v>2014</v>
      </c>
      <c r="L743" s="11" t="s">
        <v>76</v>
      </c>
      <c r="M743" s="12" t="str">
        <f t="shared" ca="1" si="2"/>
        <v>60102314 Secundaria</v>
      </c>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4"/>
    </row>
    <row r="744" spans="1:36" ht="15.75" customHeight="1" x14ac:dyDescent="0.25">
      <c r="A744" s="9">
        <v>224</v>
      </c>
      <c r="B744" s="10" t="s">
        <v>60</v>
      </c>
      <c r="C744" s="10" t="s">
        <v>41</v>
      </c>
      <c r="D744" s="10" t="s">
        <v>43</v>
      </c>
      <c r="E744" s="11" t="str">
        <f ca="1">IFERROR(__xludf.DUMMYFUNCTION("FILTER(Colegios!$B$2:$B2419,Colegios!$A$2:$A2419=L744)"),"6010231")</f>
        <v>6010231</v>
      </c>
      <c r="F744" s="11" t="s">
        <v>17</v>
      </c>
      <c r="G744" s="10" t="s">
        <v>24</v>
      </c>
      <c r="H744" s="11" t="s">
        <v>19</v>
      </c>
      <c r="I744" s="11" t="s">
        <v>20</v>
      </c>
      <c r="J744" s="12" t="str">
        <f ca="1">IFERROR(__xludf.DUMMYFUNCTION("FILTER('CLASFICACIÓN'!$F$3:$F2419,'CLASFICACIÓN'!$G$3:$G2419=M744)"),"SOLO 2024")</f>
        <v>SOLO 2024</v>
      </c>
      <c r="K744" s="12" t="s">
        <v>2014</v>
      </c>
      <c r="L744" s="11" t="s">
        <v>76</v>
      </c>
      <c r="M744" s="12" t="str">
        <f t="shared" ca="1" si="2"/>
        <v>60102314 Secundaria</v>
      </c>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4"/>
    </row>
    <row r="745" spans="1:36" ht="15.75" customHeight="1" x14ac:dyDescent="0.25">
      <c r="A745" s="9">
        <v>229</v>
      </c>
      <c r="B745" s="10" t="s">
        <v>60</v>
      </c>
      <c r="C745" s="10" t="s">
        <v>15</v>
      </c>
      <c r="D745" s="10" t="s">
        <v>16</v>
      </c>
      <c r="E745" s="11" t="str">
        <f ca="1">IFERROR(__xludf.DUMMYFUNCTION("FILTER(Colegios!$B$2:$B2419,Colegios!$A$2:$A2419=L745)"),"601511")</f>
        <v>601511</v>
      </c>
      <c r="F745" s="11" t="s">
        <v>17</v>
      </c>
      <c r="G745" s="10" t="s">
        <v>24</v>
      </c>
      <c r="H745" s="11" t="s">
        <v>19</v>
      </c>
      <c r="I745" s="11" t="s">
        <v>20</v>
      </c>
      <c r="J745" s="12" t="str">
        <f ca="1">IFERROR(__xludf.DUMMYFUNCTION("FILTER('CLASFICACIÓN'!$F$3:$F2419,'CLASFICACIÓN'!$G$3:$G2419=M745)"),"SOLO 2024")</f>
        <v>SOLO 2024</v>
      </c>
      <c r="K745" s="12" t="s">
        <v>2014</v>
      </c>
      <c r="L745" s="11" t="s">
        <v>77</v>
      </c>
      <c r="M745" s="12" t="str">
        <f t="shared" ca="1" si="2"/>
        <v>6015114 Primaria</v>
      </c>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4"/>
    </row>
    <row r="746" spans="1:36" ht="15.75" customHeight="1" x14ac:dyDescent="0.25">
      <c r="A746" s="9">
        <v>230</v>
      </c>
      <c r="B746" s="10" t="s">
        <v>60</v>
      </c>
      <c r="C746" s="10" t="s">
        <v>15</v>
      </c>
      <c r="D746" s="10" t="s">
        <v>37</v>
      </c>
      <c r="E746" s="11" t="str">
        <f ca="1">IFERROR(__xludf.DUMMYFUNCTION("FILTER(Colegios!$B$2:$B2419,Colegios!$A$2:$A2419=L746)"),"601511")</f>
        <v>601511</v>
      </c>
      <c r="F746" s="11" t="s">
        <v>17</v>
      </c>
      <c r="G746" s="10" t="s">
        <v>18</v>
      </c>
      <c r="H746" s="11" t="s">
        <v>19</v>
      </c>
      <c r="I746" s="11" t="s">
        <v>20</v>
      </c>
      <c r="J746" s="12" t="str">
        <f ca="1">IFERROR(__xludf.DUMMYFUNCTION("FILTER('CLASFICACIÓN'!$F$3:$F2419,'CLASFICACIÓN'!$G$3:$G2419=M746)"),"SOLO 2024")</f>
        <v>SOLO 2024</v>
      </c>
      <c r="K746" s="12" t="s">
        <v>2014</v>
      </c>
      <c r="L746" s="11" t="s">
        <v>77</v>
      </c>
      <c r="M746" s="12" t="str">
        <f t="shared" ca="1" si="2"/>
        <v>6015116 Primaria</v>
      </c>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4"/>
    </row>
    <row r="747" spans="1:36" ht="15.75" customHeight="1" x14ac:dyDescent="0.25">
      <c r="A747" s="9">
        <v>231</v>
      </c>
      <c r="B747" s="10" t="s">
        <v>60</v>
      </c>
      <c r="C747" s="10" t="s">
        <v>15</v>
      </c>
      <c r="D747" s="10" t="s">
        <v>37</v>
      </c>
      <c r="E747" s="11" t="str">
        <f ca="1">IFERROR(__xludf.DUMMYFUNCTION("FILTER(Colegios!$B$2:$B2419,Colegios!$A$2:$A2419=L747)"),"601511")</f>
        <v>601511</v>
      </c>
      <c r="F747" s="11" t="s">
        <v>17</v>
      </c>
      <c r="G747" s="10" t="s">
        <v>18</v>
      </c>
      <c r="H747" s="11" t="s">
        <v>19</v>
      </c>
      <c r="I747" s="11" t="s">
        <v>20</v>
      </c>
      <c r="J747" s="12" t="str">
        <f ca="1">IFERROR(__xludf.DUMMYFUNCTION("FILTER('CLASFICACIÓN'!$F$3:$F2419,'CLASFICACIÓN'!$G$3:$G2419=M747)"),"SOLO 2024")</f>
        <v>SOLO 2024</v>
      </c>
      <c r="K747" s="12" t="s">
        <v>2014</v>
      </c>
      <c r="L747" s="11" t="s">
        <v>77</v>
      </c>
      <c r="M747" s="12" t="str">
        <f t="shared" ca="1" si="2"/>
        <v>6015116 Primaria</v>
      </c>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4"/>
    </row>
    <row r="748" spans="1:36" ht="15.75" customHeight="1" x14ac:dyDescent="0.25">
      <c r="A748" s="9">
        <v>232</v>
      </c>
      <c r="B748" s="10" t="s">
        <v>60</v>
      </c>
      <c r="C748" s="10" t="s">
        <v>15</v>
      </c>
      <c r="D748" s="10" t="s">
        <v>37</v>
      </c>
      <c r="E748" s="11" t="str">
        <f ca="1">IFERROR(__xludf.DUMMYFUNCTION("FILTER(Colegios!$B$2:$B2419,Colegios!$A$2:$A2419=L748)"),"601580")</f>
        <v>601580</v>
      </c>
      <c r="F748" s="11" t="s">
        <v>17</v>
      </c>
      <c r="G748" s="10" t="s">
        <v>18</v>
      </c>
      <c r="H748" s="11" t="s">
        <v>19</v>
      </c>
      <c r="I748" s="11" t="s">
        <v>20</v>
      </c>
      <c r="J748" s="12" t="str">
        <f ca="1">IFERROR(__xludf.DUMMYFUNCTION("FILTER('CLASFICACIÓN'!$F$3:$F2419,'CLASFICACIÓN'!$G$3:$G2419=M748)"),"SOLO 2024")</f>
        <v>SOLO 2024</v>
      </c>
      <c r="K748" s="12" t="s">
        <v>2014</v>
      </c>
      <c r="L748" s="11" t="s">
        <v>78</v>
      </c>
      <c r="M748" s="12" t="str">
        <f t="shared" ca="1" si="2"/>
        <v>6015806 Primaria</v>
      </c>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4"/>
    </row>
    <row r="749" spans="1:36" ht="15.75" customHeight="1" x14ac:dyDescent="0.25">
      <c r="A749" s="9">
        <v>233</v>
      </c>
      <c r="B749" s="10" t="s">
        <v>60</v>
      </c>
      <c r="C749" s="10" t="s">
        <v>15</v>
      </c>
      <c r="D749" s="10" t="s">
        <v>37</v>
      </c>
      <c r="E749" s="11" t="str">
        <f ca="1">IFERROR(__xludf.DUMMYFUNCTION("FILTER(Colegios!$B$2:$B2419,Colegios!$A$2:$A2419=L749)"),"601580")</f>
        <v>601580</v>
      </c>
      <c r="F749" s="11" t="s">
        <v>17</v>
      </c>
      <c r="G749" s="10" t="s">
        <v>24</v>
      </c>
      <c r="H749" s="11" t="s">
        <v>19</v>
      </c>
      <c r="I749" s="11" t="s">
        <v>20</v>
      </c>
      <c r="J749" s="12" t="str">
        <f ca="1">IFERROR(__xludf.DUMMYFUNCTION("FILTER('CLASFICACIÓN'!$F$3:$F2419,'CLASFICACIÓN'!$G$3:$G2419=M749)"),"SOLO 2024")</f>
        <v>SOLO 2024</v>
      </c>
      <c r="K749" s="12" t="s">
        <v>2014</v>
      </c>
      <c r="L749" s="11" t="s">
        <v>78</v>
      </c>
      <c r="M749" s="12" t="str">
        <f t="shared" ca="1" si="2"/>
        <v>6015806 Primaria</v>
      </c>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4"/>
    </row>
    <row r="750" spans="1:36" ht="15.75" customHeight="1" x14ac:dyDescent="0.25">
      <c r="A750" s="9">
        <v>234</v>
      </c>
      <c r="B750" s="10" t="s">
        <v>60</v>
      </c>
      <c r="C750" s="10" t="s">
        <v>15</v>
      </c>
      <c r="D750" s="10" t="s">
        <v>45</v>
      </c>
      <c r="E750" s="11" t="str">
        <f ca="1">IFERROR(__xludf.DUMMYFUNCTION("FILTER(Colegios!$B$2:$B2419,Colegios!$A$2:$A2419=L750)"),"601444")</f>
        <v>601444</v>
      </c>
      <c r="F750" s="11" t="s">
        <v>17</v>
      </c>
      <c r="G750" s="10" t="s">
        <v>24</v>
      </c>
      <c r="H750" s="11" t="s">
        <v>19</v>
      </c>
      <c r="I750" s="11" t="s">
        <v>20</v>
      </c>
      <c r="J750" s="12" t="str">
        <f ca="1">IFERROR(__xludf.DUMMYFUNCTION("FILTER('CLASFICACIÓN'!$F$3:$F2419,'CLASFICACIÓN'!$G$3:$G2419=M750)"),"SOLO 2024")</f>
        <v>SOLO 2024</v>
      </c>
      <c r="K750" s="12" t="s">
        <v>2014</v>
      </c>
      <c r="L750" s="11" t="s">
        <v>79</v>
      </c>
      <c r="M750" s="12" t="str">
        <f t="shared" ca="1" si="2"/>
        <v>6014442 Primaria</v>
      </c>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4"/>
    </row>
    <row r="751" spans="1:36" ht="15.75" customHeight="1" x14ac:dyDescent="0.25">
      <c r="A751" s="9">
        <v>235</v>
      </c>
      <c r="B751" s="10" t="s">
        <v>60</v>
      </c>
      <c r="C751" s="10" t="s">
        <v>15</v>
      </c>
      <c r="D751" s="10" t="s">
        <v>45</v>
      </c>
      <c r="E751" s="11" t="str">
        <f ca="1">IFERROR(__xludf.DUMMYFUNCTION("FILTER(Colegios!$B$2:$B2419,Colegios!$A$2:$A2419=L751)"),"601444")</f>
        <v>601444</v>
      </c>
      <c r="F751" s="11" t="s">
        <v>17</v>
      </c>
      <c r="G751" s="10" t="s">
        <v>18</v>
      </c>
      <c r="H751" s="11" t="s">
        <v>19</v>
      </c>
      <c r="I751" s="11" t="s">
        <v>20</v>
      </c>
      <c r="J751" s="12" t="str">
        <f ca="1">IFERROR(__xludf.DUMMYFUNCTION("FILTER('CLASFICACIÓN'!$F$3:$F2419,'CLASFICACIÓN'!$G$3:$G2419=M751)"),"SOLO 2024")</f>
        <v>SOLO 2024</v>
      </c>
      <c r="K751" s="12" t="s">
        <v>2014</v>
      </c>
      <c r="L751" s="11" t="s">
        <v>79</v>
      </c>
      <c r="M751" s="12" t="str">
        <f t="shared" ca="1" si="2"/>
        <v>6014442 Primaria</v>
      </c>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4"/>
    </row>
    <row r="752" spans="1:36" ht="15.75" customHeight="1" x14ac:dyDescent="0.25">
      <c r="A752" s="9">
        <v>236</v>
      </c>
      <c r="B752" s="10" t="s">
        <v>60</v>
      </c>
      <c r="C752" s="10" t="s">
        <v>15</v>
      </c>
      <c r="D752" s="10" t="s">
        <v>16</v>
      </c>
      <c r="E752" s="11" t="str">
        <f ca="1">IFERROR(__xludf.DUMMYFUNCTION("FILTER(Colegios!$B$2:$B2419,Colegios!$A$2:$A2419=L752)"),"601444")</f>
        <v>601444</v>
      </c>
      <c r="F752" s="11" t="s">
        <v>17</v>
      </c>
      <c r="G752" s="10" t="s">
        <v>18</v>
      </c>
      <c r="H752" s="11" t="s">
        <v>19</v>
      </c>
      <c r="I752" s="11" t="s">
        <v>20</v>
      </c>
      <c r="J752" s="12" t="str">
        <f ca="1">IFERROR(__xludf.DUMMYFUNCTION("FILTER('CLASFICACIÓN'!$F$3:$F2419,'CLASFICACIÓN'!$G$3:$G2419=M752)"),"SOLO 2024")</f>
        <v>SOLO 2024</v>
      </c>
      <c r="K752" s="12" t="s">
        <v>2014</v>
      </c>
      <c r="L752" s="11" t="s">
        <v>79</v>
      </c>
      <c r="M752" s="12" t="str">
        <f t="shared" ca="1" si="2"/>
        <v>6014444 Primaria</v>
      </c>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4"/>
    </row>
    <row r="753" spans="1:36" ht="15.75" customHeight="1" x14ac:dyDescent="0.25">
      <c r="A753" s="9">
        <v>237</v>
      </c>
      <c r="B753" s="10" t="s">
        <v>60</v>
      </c>
      <c r="C753" s="10" t="s">
        <v>15</v>
      </c>
      <c r="D753" s="10" t="s">
        <v>16</v>
      </c>
      <c r="E753" s="11" t="str">
        <f ca="1">IFERROR(__xludf.DUMMYFUNCTION("FILTER(Colegios!$B$2:$B2419,Colegios!$A$2:$A2419=L753)"),"601444")</f>
        <v>601444</v>
      </c>
      <c r="F753" s="11" t="s">
        <v>17</v>
      </c>
      <c r="G753" s="10" t="s">
        <v>18</v>
      </c>
      <c r="H753" s="11" t="s">
        <v>19</v>
      </c>
      <c r="I753" s="11" t="s">
        <v>20</v>
      </c>
      <c r="J753" s="12" t="str">
        <f ca="1">IFERROR(__xludf.DUMMYFUNCTION("FILTER('CLASFICACIÓN'!$F$3:$F2419,'CLASFICACIÓN'!$G$3:$G2419=M753)"),"SOLO 2024")</f>
        <v>SOLO 2024</v>
      </c>
      <c r="K753" s="12" t="s">
        <v>2014</v>
      </c>
      <c r="L753" s="11" t="s">
        <v>79</v>
      </c>
      <c r="M753" s="12" t="str">
        <f t="shared" ca="1" si="2"/>
        <v>6014444 Primaria</v>
      </c>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4"/>
    </row>
    <row r="754" spans="1:36" ht="15.75" customHeight="1" x14ac:dyDescent="0.25">
      <c r="A754" s="9">
        <v>238</v>
      </c>
      <c r="B754" s="10" t="s">
        <v>60</v>
      </c>
      <c r="C754" s="10" t="s">
        <v>15</v>
      </c>
      <c r="D754" s="10" t="s">
        <v>37</v>
      </c>
      <c r="E754" s="11" t="str">
        <f ca="1">IFERROR(__xludf.DUMMYFUNCTION("FILTER(Colegios!$B$2:$B2419,Colegios!$A$2:$A2419=L754)"),"601444")</f>
        <v>601444</v>
      </c>
      <c r="F754" s="11" t="s">
        <v>17</v>
      </c>
      <c r="G754" s="10" t="s">
        <v>18</v>
      </c>
      <c r="H754" s="11" t="s">
        <v>19</v>
      </c>
      <c r="I754" s="11" t="s">
        <v>20</v>
      </c>
      <c r="J754" s="12" t="str">
        <f ca="1">IFERROR(__xludf.DUMMYFUNCTION("FILTER('CLASFICACIÓN'!$F$3:$F2419,'CLASFICACIÓN'!$G$3:$G2419=M754)"),"SOLO 2024")</f>
        <v>SOLO 2024</v>
      </c>
      <c r="K754" s="12" t="s">
        <v>2014</v>
      </c>
      <c r="L754" s="11" t="s">
        <v>79</v>
      </c>
      <c r="M754" s="12" t="str">
        <f t="shared" ca="1" si="2"/>
        <v>6014446 Primaria</v>
      </c>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4"/>
    </row>
    <row r="755" spans="1:36" ht="15.75" customHeight="1" x14ac:dyDescent="0.25">
      <c r="A755" s="9">
        <v>239</v>
      </c>
      <c r="B755" s="10" t="s">
        <v>60</v>
      </c>
      <c r="C755" s="10" t="s">
        <v>15</v>
      </c>
      <c r="D755" s="10" t="s">
        <v>45</v>
      </c>
      <c r="E755" s="11" t="str">
        <f ca="1">IFERROR(__xludf.DUMMYFUNCTION("FILTER(Colegios!$B$2:$B2419,Colegios!$A$2:$A2419=L755)"),"601571")</f>
        <v>601571</v>
      </c>
      <c r="F755" s="11" t="s">
        <v>17</v>
      </c>
      <c r="G755" s="10" t="s">
        <v>24</v>
      </c>
      <c r="H755" s="11" t="s">
        <v>19</v>
      </c>
      <c r="I755" s="11" t="s">
        <v>20</v>
      </c>
      <c r="J755" s="12" t="str">
        <f ca="1">IFERROR(__xludf.DUMMYFUNCTION("FILTER('CLASFICACIÓN'!$F$3:$F2419,'CLASFICACIÓN'!$G$3:$G2419=M755)"),"SOLO 2024")</f>
        <v>SOLO 2024</v>
      </c>
      <c r="K755" s="12" t="s">
        <v>2014</v>
      </c>
      <c r="L755" s="11" t="s">
        <v>80</v>
      </c>
      <c r="M755" s="12" t="str">
        <f t="shared" ca="1" si="2"/>
        <v>6015712 Primaria</v>
      </c>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4"/>
    </row>
    <row r="756" spans="1:36" ht="15.75" customHeight="1" x14ac:dyDescent="0.25">
      <c r="A756" s="9">
        <v>240</v>
      </c>
      <c r="B756" s="10" t="s">
        <v>60</v>
      </c>
      <c r="C756" s="10" t="s">
        <v>15</v>
      </c>
      <c r="D756" s="10" t="s">
        <v>45</v>
      </c>
      <c r="E756" s="11" t="str">
        <f ca="1">IFERROR(__xludf.DUMMYFUNCTION("FILTER(Colegios!$B$2:$B2419,Colegios!$A$2:$A2419=L756)"),"601571")</f>
        <v>601571</v>
      </c>
      <c r="F756" s="11" t="s">
        <v>17</v>
      </c>
      <c r="G756" s="10" t="s">
        <v>18</v>
      </c>
      <c r="H756" s="11" t="s">
        <v>19</v>
      </c>
      <c r="I756" s="11" t="s">
        <v>20</v>
      </c>
      <c r="J756" s="12" t="str">
        <f ca="1">IFERROR(__xludf.DUMMYFUNCTION("FILTER('CLASFICACIÓN'!$F$3:$F2419,'CLASFICACIÓN'!$G$3:$G2419=M756)"),"SOLO 2024")</f>
        <v>SOLO 2024</v>
      </c>
      <c r="K756" s="12" t="s">
        <v>2014</v>
      </c>
      <c r="L756" s="11" t="s">
        <v>80</v>
      </c>
      <c r="M756" s="12" t="str">
        <f t="shared" ca="1" si="2"/>
        <v>6015712 Primaria</v>
      </c>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4"/>
    </row>
    <row r="757" spans="1:36" ht="15.75" customHeight="1" x14ac:dyDescent="0.25">
      <c r="A757" s="9">
        <v>241</v>
      </c>
      <c r="B757" s="10" t="s">
        <v>60</v>
      </c>
      <c r="C757" s="10" t="s">
        <v>15</v>
      </c>
      <c r="D757" s="10" t="s">
        <v>16</v>
      </c>
      <c r="E757" s="11" t="str">
        <f ca="1">IFERROR(__xludf.DUMMYFUNCTION("FILTER(Colegios!$B$2:$B2419,Colegios!$A$2:$A2419=L757)"),"601571")</f>
        <v>601571</v>
      </c>
      <c r="F757" s="11" t="s">
        <v>17</v>
      </c>
      <c r="G757" s="10" t="s">
        <v>18</v>
      </c>
      <c r="H757" s="11" t="s">
        <v>19</v>
      </c>
      <c r="I757" s="11" t="s">
        <v>20</v>
      </c>
      <c r="J757" s="12" t="str">
        <f ca="1">IFERROR(__xludf.DUMMYFUNCTION("FILTER('CLASFICACIÓN'!$F$3:$F2419,'CLASFICACIÓN'!$G$3:$G2419=M757)"),"SOLO 2024")</f>
        <v>SOLO 2024</v>
      </c>
      <c r="K757" s="12" t="s">
        <v>2014</v>
      </c>
      <c r="L757" s="11" t="s">
        <v>80</v>
      </c>
      <c r="M757" s="12" t="str">
        <f t="shared" ca="1" si="2"/>
        <v>6015714 Primaria</v>
      </c>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4"/>
    </row>
    <row r="758" spans="1:36" ht="15.75" customHeight="1" x14ac:dyDescent="0.25">
      <c r="A758" s="9">
        <v>242</v>
      </c>
      <c r="B758" s="10" t="s">
        <v>60</v>
      </c>
      <c r="C758" s="10" t="s">
        <v>15</v>
      </c>
      <c r="D758" s="10" t="s">
        <v>37</v>
      </c>
      <c r="E758" s="11" t="str">
        <f ca="1">IFERROR(__xludf.DUMMYFUNCTION("FILTER(Colegios!$B$2:$B2419,Colegios!$A$2:$A2419=L758)"),"601571")</f>
        <v>601571</v>
      </c>
      <c r="F758" s="11" t="s">
        <v>17</v>
      </c>
      <c r="G758" s="10" t="s">
        <v>24</v>
      </c>
      <c r="H758" s="11" t="s">
        <v>19</v>
      </c>
      <c r="I758" s="11" t="s">
        <v>20</v>
      </c>
      <c r="J758" s="12" t="str">
        <f ca="1">IFERROR(__xludf.DUMMYFUNCTION("FILTER('CLASFICACIÓN'!$F$3:$F2419,'CLASFICACIÓN'!$G$3:$G2419=M758)"),"SOLO 2024")</f>
        <v>SOLO 2024</v>
      </c>
      <c r="K758" s="12" t="s">
        <v>2014</v>
      </c>
      <c r="L758" s="11" t="s">
        <v>80</v>
      </c>
      <c r="M758" s="12" t="str">
        <f t="shared" ca="1" si="2"/>
        <v>6015716 Primaria</v>
      </c>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4"/>
    </row>
    <row r="759" spans="1:36" ht="15.75" customHeight="1" x14ac:dyDescent="0.25">
      <c r="A759" s="9">
        <v>243</v>
      </c>
      <c r="B759" s="10" t="s">
        <v>60</v>
      </c>
      <c r="C759" s="10" t="s">
        <v>15</v>
      </c>
      <c r="D759" s="10" t="s">
        <v>45</v>
      </c>
      <c r="E759" s="11" t="str">
        <f ca="1">IFERROR(__xludf.DUMMYFUNCTION("FILTER(Colegios!$B$2:$B2419,Colegios!$A$2:$A2419=L759)"),"601563")</f>
        <v>601563</v>
      </c>
      <c r="F759" s="11" t="s">
        <v>17</v>
      </c>
      <c r="G759" s="10" t="s">
        <v>24</v>
      </c>
      <c r="H759" s="11" t="s">
        <v>19</v>
      </c>
      <c r="I759" s="11" t="s">
        <v>20</v>
      </c>
      <c r="J759" s="12" t="str">
        <f ca="1">IFERROR(__xludf.DUMMYFUNCTION("FILTER('CLASFICACIÓN'!$F$3:$F2419,'CLASFICACIÓN'!$G$3:$G2419=M759)"),"SOLO 2024")</f>
        <v>SOLO 2024</v>
      </c>
      <c r="K759" s="12" t="s">
        <v>2014</v>
      </c>
      <c r="L759" s="11" t="s">
        <v>81</v>
      </c>
      <c r="M759" s="12" t="str">
        <f t="shared" ca="1" si="2"/>
        <v>6015632 Primaria</v>
      </c>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4"/>
    </row>
    <row r="760" spans="1:36" ht="15.75" customHeight="1" x14ac:dyDescent="0.25">
      <c r="A760" s="9">
        <v>244</v>
      </c>
      <c r="B760" s="10" t="s">
        <v>60</v>
      </c>
      <c r="C760" s="10" t="s">
        <v>15</v>
      </c>
      <c r="D760" s="10" t="s">
        <v>16</v>
      </c>
      <c r="E760" s="11" t="str">
        <f ca="1">IFERROR(__xludf.DUMMYFUNCTION("FILTER(Colegios!$B$2:$B2419,Colegios!$A$2:$A2419=L760)"),"601563")</f>
        <v>601563</v>
      </c>
      <c r="F760" s="11" t="s">
        <v>17</v>
      </c>
      <c r="G760" s="10" t="s">
        <v>18</v>
      </c>
      <c r="H760" s="11" t="s">
        <v>19</v>
      </c>
      <c r="I760" s="11" t="s">
        <v>20</v>
      </c>
      <c r="J760" s="12" t="str">
        <f ca="1">IFERROR(__xludf.DUMMYFUNCTION("FILTER('CLASFICACIÓN'!$F$3:$F2419,'CLASFICACIÓN'!$G$3:$G2419=M760)"),"SOLO 2024")</f>
        <v>SOLO 2024</v>
      </c>
      <c r="K760" s="12" t="s">
        <v>2014</v>
      </c>
      <c r="L760" s="11" t="s">
        <v>81</v>
      </c>
      <c r="M760" s="12" t="str">
        <f t="shared" ca="1" si="2"/>
        <v>6015634 Primaria</v>
      </c>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4"/>
    </row>
    <row r="761" spans="1:36" ht="15.75" customHeight="1" x14ac:dyDescent="0.25">
      <c r="A761" s="9">
        <v>246</v>
      </c>
      <c r="B761" s="10" t="s">
        <v>60</v>
      </c>
      <c r="C761" s="10" t="s">
        <v>15</v>
      </c>
      <c r="D761" s="10" t="s">
        <v>45</v>
      </c>
      <c r="E761" s="11" t="str">
        <f ca="1">IFERROR(__xludf.DUMMYFUNCTION("FILTER(Colegios!$B$2:$B2419,Colegios!$A$2:$A2419=L761)"),"60133")</f>
        <v>60133</v>
      </c>
      <c r="F761" s="11" t="s">
        <v>17</v>
      </c>
      <c r="G761" s="10" t="s">
        <v>24</v>
      </c>
      <c r="H761" s="11" t="s">
        <v>19</v>
      </c>
      <c r="I761" s="11" t="s">
        <v>20</v>
      </c>
      <c r="J761" s="12" t="str">
        <f ca="1">IFERROR(__xludf.DUMMYFUNCTION("FILTER('CLASFICACIÓN'!$F$3:$F2419,'CLASFICACIÓN'!$G$3:$G2419=M761)"),"LOS 3 AÑOS")</f>
        <v>LOS 3 AÑOS</v>
      </c>
      <c r="K761" s="12" t="s">
        <v>2011</v>
      </c>
      <c r="L761" s="11" t="s">
        <v>82</v>
      </c>
      <c r="M761" s="12" t="str">
        <f t="shared" ca="1" si="2"/>
        <v>601332 Primaria</v>
      </c>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4"/>
    </row>
    <row r="762" spans="1:36" ht="15.75" customHeight="1" x14ac:dyDescent="0.25">
      <c r="A762" s="9">
        <v>247</v>
      </c>
      <c r="B762" s="10" t="s">
        <v>60</v>
      </c>
      <c r="C762" s="10" t="s">
        <v>15</v>
      </c>
      <c r="D762" s="10" t="s">
        <v>45</v>
      </c>
      <c r="E762" s="11" t="str">
        <f ca="1">IFERROR(__xludf.DUMMYFUNCTION("FILTER(Colegios!$B$2:$B2419,Colegios!$A$2:$A2419=L762)"),"60133")</f>
        <v>60133</v>
      </c>
      <c r="F762" s="11" t="s">
        <v>17</v>
      </c>
      <c r="G762" s="10" t="s">
        <v>24</v>
      </c>
      <c r="H762" s="11" t="s">
        <v>19</v>
      </c>
      <c r="I762" s="11" t="s">
        <v>20</v>
      </c>
      <c r="J762" s="12" t="str">
        <f ca="1">IFERROR(__xludf.DUMMYFUNCTION("FILTER('CLASFICACIÓN'!$F$3:$F2419,'CLASFICACIÓN'!$G$3:$G2419=M762)"),"LOS 3 AÑOS")</f>
        <v>LOS 3 AÑOS</v>
      </c>
      <c r="K762" s="12" t="s">
        <v>2011</v>
      </c>
      <c r="L762" s="11" t="s">
        <v>82</v>
      </c>
      <c r="M762" s="12" t="str">
        <f t="shared" ca="1" si="2"/>
        <v>601332 Primaria</v>
      </c>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4"/>
    </row>
    <row r="763" spans="1:36" ht="15.75" customHeight="1" x14ac:dyDescent="0.25">
      <c r="A763" s="9">
        <v>248</v>
      </c>
      <c r="B763" s="10" t="s">
        <v>60</v>
      </c>
      <c r="C763" s="10" t="s">
        <v>15</v>
      </c>
      <c r="D763" s="10" t="s">
        <v>45</v>
      </c>
      <c r="E763" s="11" t="str">
        <f ca="1">IFERROR(__xludf.DUMMYFUNCTION("FILTER(Colegios!$B$2:$B2419,Colegios!$A$2:$A2419=L763)"),"60133")</f>
        <v>60133</v>
      </c>
      <c r="F763" s="11" t="s">
        <v>17</v>
      </c>
      <c r="G763" s="10" t="s">
        <v>24</v>
      </c>
      <c r="H763" s="11" t="s">
        <v>19</v>
      </c>
      <c r="I763" s="11" t="s">
        <v>20</v>
      </c>
      <c r="J763" s="12" t="str">
        <f ca="1">IFERROR(__xludf.DUMMYFUNCTION("FILTER('CLASFICACIÓN'!$F$3:$F2419,'CLASFICACIÓN'!$G$3:$G2419=M763)"),"LOS 3 AÑOS")</f>
        <v>LOS 3 AÑOS</v>
      </c>
      <c r="K763" s="12" t="s">
        <v>2011</v>
      </c>
      <c r="L763" s="11" t="s">
        <v>82</v>
      </c>
      <c r="M763" s="12" t="str">
        <f t="shared" ca="1" si="2"/>
        <v>601332 Primaria</v>
      </c>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4"/>
    </row>
    <row r="764" spans="1:36" ht="15.75" customHeight="1" x14ac:dyDescent="0.25">
      <c r="A764" s="9">
        <v>249</v>
      </c>
      <c r="B764" s="10" t="s">
        <v>60</v>
      </c>
      <c r="C764" s="10" t="s">
        <v>15</v>
      </c>
      <c r="D764" s="10" t="s">
        <v>45</v>
      </c>
      <c r="E764" s="11" t="str">
        <f ca="1">IFERROR(__xludf.DUMMYFUNCTION("FILTER(Colegios!$B$2:$B2419,Colegios!$A$2:$A2419=L764)"),"60133")</f>
        <v>60133</v>
      </c>
      <c r="F764" s="11" t="s">
        <v>17</v>
      </c>
      <c r="G764" s="10" t="s">
        <v>18</v>
      </c>
      <c r="H764" s="11" t="s">
        <v>19</v>
      </c>
      <c r="I764" s="11" t="s">
        <v>20</v>
      </c>
      <c r="J764" s="12" t="str">
        <f ca="1">IFERROR(__xludf.DUMMYFUNCTION("FILTER('CLASFICACIÓN'!$F$3:$F2419,'CLASFICACIÓN'!$G$3:$G2419=M764)"),"LOS 3 AÑOS")</f>
        <v>LOS 3 AÑOS</v>
      </c>
      <c r="K764" s="12" t="s">
        <v>2011</v>
      </c>
      <c r="L764" s="11" t="s">
        <v>82</v>
      </c>
      <c r="M764" s="12" t="str">
        <f t="shared" ca="1" si="2"/>
        <v>601332 Primaria</v>
      </c>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4"/>
    </row>
    <row r="765" spans="1:36" ht="15.75" customHeight="1" x14ac:dyDescent="0.25">
      <c r="A765" s="9">
        <v>250</v>
      </c>
      <c r="B765" s="10" t="s">
        <v>60</v>
      </c>
      <c r="C765" s="10" t="s">
        <v>15</v>
      </c>
      <c r="D765" s="10" t="s">
        <v>45</v>
      </c>
      <c r="E765" s="11" t="str">
        <f ca="1">IFERROR(__xludf.DUMMYFUNCTION("FILTER(Colegios!$B$2:$B2419,Colegios!$A$2:$A2419=L765)"),"60133")</f>
        <v>60133</v>
      </c>
      <c r="F765" s="11" t="s">
        <v>17</v>
      </c>
      <c r="G765" s="10" t="s">
        <v>18</v>
      </c>
      <c r="H765" s="11" t="s">
        <v>19</v>
      </c>
      <c r="I765" s="11" t="s">
        <v>20</v>
      </c>
      <c r="J765" s="12" t="str">
        <f ca="1">IFERROR(__xludf.DUMMYFUNCTION("FILTER('CLASFICACIÓN'!$F$3:$F2419,'CLASFICACIÓN'!$G$3:$G2419=M765)"),"LOS 3 AÑOS")</f>
        <v>LOS 3 AÑOS</v>
      </c>
      <c r="K765" s="12" t="s">
        <v>2011</v>
      </c>
      <c r="L765" s="11" t="s">
        <v>82</v>
      </c>
      <c r="M765" s="12" t="str">
        <f t="shared" ca="1" si="2"/>
        <v>601332 Primaria</v>
      </c>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4"/>
    </row>
    <row r="766" spans="1:36" ht="15.75" customHeight="1" x14ac:dyDescent="0.25">
      <c r="A766" s="9">
        <v>251</v>
      </c>
      <c r="B766" s="10" t="s">
        <v>60</v>
      </c>
      <c r="C766" s="10" t="s">
        <v>15</v>
      </c>
      <c r="D766" s="10" t="s">
        <v>45</v>
      </c>
      <c r="E766" s="11" t="str">
        <f ca="1">IFERROR(__xludf.DUMMYFUNCTION("FILTER(Colegios!$B$2:$B2419,Colegios!$A$2:$A2419=L766)"),"60133")</f>
        <v>60133</v>
      </c>
      <c r="F766" s="11" t="s">
        <v>17</v>
      </c>
      <c r="G766" s="10" t="s">
        <v>24</v>
      </c>
      <c r="H766" s="11" t="s">
        <v>19</v>
      </c>
      <c r="I766" s="11" t="s">
        <v>20</v>
      </c>
      <c r="J766" s="12" t="str">
        <f ca="1">IFERROR(__xludf.DUMMYFUNCTION("FILTER('CLASFICACIÓN'!$F$3:$F2419,'CLASFICACIÓN'!$G$3:$G2419=M766)"),"LOS 3 AÑOS")</f>
        <v>LOS 3 AÑOS</v>
      </c>
      <c r="K766" s="12" t="s">
        <v>2011</v>
      </c>
      <c r="L766" s="11" t="s">
        <v>82</v>
      </c>
      <c r="M766" s="12" t="str">
        <f t="shared" ca="1" si="2"/>
        <v>601332 Primaria</v>
      </c>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4"/>
    </row>
    <row r="767" spans="1:36" ht="15.75" customHeight="1" x14ac:dyDescent="0.25">
      <c r="A767" s="9">
        <v>252</v>
      </c>
      <c r="B767" s="10" t="s">
        <v>60</v>
      </c>
      <c r="C767" s="10" t="s">
        <v>15</v>
      </c>
      <c r="D767" s="10" t="s">
        <v>45</v>
      </c>
      <c r="E767" s="11" t="str">
        <f ca="1">IFERROR(__xludf.DUMMYFUNCTION("FILTER(Colegios!$B$2:$B2419,Colegios!$A$2:$A2419=L767)"),"60133")</f>
        <v>60133</v>
      </c>
      <c r="F767" s="11" t="s">
        <v>17</v>
      </c>
      <c r="G767" s="10" t="s">
        <v>24</v>
      </c>
      <c r="H767" s="11" t="s">
        <v>23</v>
      </c>
      <c r="I767" s="11" t="s">
        <v>20</v>
      </c>
      <c r="J767" s="12" t="str">
        <f ca="1">IFERROR(__xludf.DUMMYFUNCTION("FILTER('CLASFICACIÓN'!$F$3:$F2419,'CLASFICACIÓN'!$G$3:$G2419=M767)"),"LOS 3 AÑOS")</f>
        <v>LOS 3 AÑOS</v>
      </c>
      <c r="K767" s="12" t="s">
        <v>2011</v>
      </c>
      <c r="L767" s="11" t="s">
        <v>82</v>
      </c>
      <c r="M767" s="12" t="str">
        <f t="shared" ref="M767:M1021" ca="1" si="3">E767&amp;D767</f>
        <v>601332 Primaria</v>
      </c>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4"/>
    </row>
    <row r="768" spans="1:36" ht="15.75" customHeight="1" x14ac:dyDescent="0.25">
      <c r="A768" s="9">
        <v>253</v>
      </c>
      <c r="B768" s="10" t="s">
        <v>60</v>
      </c>
      <c r="C768" s="10" t="s">
        <v>15</v>
      </c>
      <c r="D768" s="10" t="s">
        <v>45</v>
      </c>
      <c r="E768" s="11" t="str">
        <f ca="1">IFERROR(__xludf.DUMMYFUNCTION("FILTER(Colegios!$B$2:$B2419,Colegios!$A$2:$A2419=L768)"),"60133")</f>
        <v>60133</v>
      </c>
      <c r="F768" s="11" t="s">
        <v>17</v>
      </c>
      <c r="G768" s="10" t="s">
        <v>18</v>
      </c>
      <c r="H768" s="11" t="s">
        <v>19</v>
      </c>
      <c r="I768" s="11" t="s">
        <v>20</v>
      </c>
      <c r="J768" s="12" t="str">
        <f ca="1">IFERROR(__xludf.DUMMYFUNCTION("FILTER('CLASFICACIÓN'!$F$3:$F2419,'CLASFICACIÓN'!$G$3:$G2419=M768)"),"LOS 3 AÑOS")</f>
        <v>LOS 3 AÑOS</v>
      </c>
      <c r="K768" s="12" t="s">
        <v>2011</v>
      </c>
      <c r="L768" s="11" t="s">
        <v>82</v>
      </c>
      <c r="M768" s="12" t="str">
        <f t="shared" ca="1" si="3"/>
        <v>601332 Primaria</v>
      </c>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4"/>
    </row>
    <row r="769" spans="1:36" ht="15.75" customHeight="1" x14ac:dyDescent="0.25">
      <c r="A769" s="9">
        <v>254</v>
      </c>
      <c r="B769" s="10" t="s">
        <v>60</v>
      </c>
      <c r="C769" s="10" t="s">
        <v>15</v>
      </c>
      <c r="D769" s="10" t="s">
        <v>45</v>
      </c>
      <c r="E769" s="11" t="str">
        <f ca="1">IFERROR(__xludf.DUMMYFUNCTION("FILTER(Colegios!$B$2:$B2419,Colegios!$A$2:$A2419=L769)"),"60133")</f>
        <v>60133</v>
      </c>
      <c r="F769" s="11" t="s">
        <v>17</v>
      </c>
      <c r="G769" s="10" t="s">
        <v>18</v>
      </c>
      <c r="H769" s="11" t="s">
        <v>19</v>
      </c>
      <c r="I769" s="11" t="s">
        <v>20</v>
      </c>
      <c r="J769" s="12" t="str">
        <f ca="1">IFERROR(__xludf.DUMMYFUNCTION("FILTER('CLASFICACIÓN'!$F$3:$F2419,'CLASFICACIÓN'!$G$3:$G2419=M769)"),"LOS 3 AÑOS")</f>
        <v>LOS 3 AÑOS</v>
      </c>
      <c r="K769" s="12" t="s">
        <v>2011</v>
      </c>
      <c r="L769" s="11" t="s">
        <v>82</v>
      </c>
      <c r="M769" s="12" t="str">
        <f t="shared" ca="1" si="3"/>
        <v>601332 Primaria</v>
      </c>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4"/>
    </row>
    <row r="770" spans="1:36" ht="15.75" customHeight="1" x14ac:dyDescent="0.25">
      <c r="A770" s="9">
        <v>255</v>
      </c>
      <c r="B770" s="10" t="s">
        <v>60</v>
      </c>
      <c r="C770" s="10" t="s">
        <v>15</v>
      </c>
      <c r="D770" s="10" t="s">
        <v>45</v>
      </c>
      <c r="E770" s="11" t="str">
        <f ca="1">IFERROR(__xludf.DUMMYFUNCTION("FILTER(Colegios!$B$2:$B2419,Colegios!$A$2:$A2419=L770)"),"60133")</f>
        <v>60133</v>
      </c>
      <c r="F770" s="11" t="s">
        <v>17</v>
      </c>
      <c r="G770" s="10" t="s">
        <v>18</v>
      </c>
      <c r="H770" s="11" t="s">
        <v>19</v>
      </c>
      <c r="I770" s="11" t="s">
        <v>20</v>
      </c>
      <c r="J770" s="12" t="str">
        <f ca="1">IFERROR(__xludf.DUMMYFUNCTION("FILTER('CLASFICACIÓN'!$F$3:$F2419,'CLASFICACIÓN'!$G$3:$G2419=M770)"),"LOS 3 AÑOS")</f>
        <v>LOS 3 AÑOS</v>
      </c>
      <c r="K770" s="12" t="s">
        <v>2011</v>
      </c>
      <c r="L770" s="11" t="s">
        <v>82</v>
      </c>
      <c r="M770" s="12" t="str">
        <f t="shared" ca="1" si="3"/>
        <v>601332 Primaria</v>
      </c>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4"/>
    </row>
    <row r="771" spans="1:36" ht="15.75" customHeight="1" x14ac:dyDescent="0.25">
      <c r="A771" s="9">
        <v>257</v>
      </c>
      <c r="B771" s="10" t="s">
        <v>60</v>
      </c>
      <c r="C771" s="10" t="s">
        <v>15</v>
      </c>
      <c r="D771" s="10" t="s">
        <v>45</v>
      </c>
      <c r="E771" s="11" t="str">
        <f ca="1">IFERROR(__xludf.DUMMYFUNCTION("FILTER(Colegios!$B$2:$B2419,Colegios!$A$2:$A2419=L771)"),"60133")</f>
        <v>60133</v>
      </c>
      <c r="F771" s="11" t="s">
        <v>17</v>
      </c>
      <c r="G771" s="10" t="s">
        <v>24</v>
      </c>
      <c r="H771" s="11" t="s">
        <v>19</v>
      </c>
      <c r="I771" s="11" t="s">
        <v>20</v>
      </c>
      <c r="J771" s="12" t="str">
        <f ca="1">IFERROR(__xludf.DUMMYFUNCTION("FILTER('CLASFICACIÓN'!$F$3:$F2419,'CLASFICACIÓN'!$G$3:$G2419=M771)"),"LOS 3 AÑOS")</f>
        <v>LOS 3 AÑOS</v>
      </c>
      <c r="K771" s="12" t="s">
        <v>2011</v>
      </c>
      <c r="L771" s="11" t="s">
        <v>82</v>
      </c>
      <c r="M771" s="12" t="str">
        <f t="shared" ca="1" si="3"/>
        <v>601332 Primaria</v>
      </c>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4"/>
    </row>
    <row r="772" spans="1:36" ht="15.75" customHeight="1" x14ac:dyDescent="0.25">
      <c r="A772" s="9">
        <v>258</v>
      </c>
      <c r="B772" s="10" t="s">
        <v>60</v>
      </c>
      <c r="C772" s="10" t="s">
        <v>15</v>
      </c>
      <c r="D772" s="10" t="s">
        <v>16</v>
      </c>
      <c r="E772" s="11" t="str">
        <f ca="1">IFERROR(__xludf.DUMMYFUNCTION("FILTER(Colegios!$B$2:$B2419,Colegios!$A$2:$A2419=L772)"),"60133")</f>
        <v>60133</v>
      </c>
      <c r="F772" s="11" t="s">
        <v>17</v>
      </c>
      <c r="G772" s="10" t="s">
        <v>18</v>
      </c>
      <c r="H772" s="11" t="s">
        <v>19</v>
      </c>
      <c r="I772" s="11" t="s">
        <v>20</v>
      </c>
      <c r="J772" s="12" t="str">
        <f ca="1">IFERROR(__xludf.DUMMYFUNCTION("FILTER('CLASFICACIÓN'!$F$3:$F2419,'CLASFICACIÓN'!$G$3:$G2419=M772)"),"2023 Y 2024")</f>
        <v>2023 Y 2024</v>
      </c>
      <c r="K772" s="12" t="s">
        <v>2011</v>
      </c>
      <c r="L772" s="11" t="s">
        <v>82</v>
      </c>
      <c r="M772" s="12" t="str">
        <f t="shared" ca="1" si="3"/>
        <v>601334 Primaria</v>
      </c>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4"/>
    </row>
    <row r="773" spans="1:36" ht="15.75" customHeight="1" x14ac:dyDescent="0.25">
      <c r="A773" s="9">
        <v>259</v>
      </c>
      <c r="B773" s="10" t="s">
        <v>60</v>
      </c>
      <c r="C773" s="10" t="s">
        <v>15</v>
      </c>
      <c r="D773" s="10" t="s">
        <v>16</v>
      </c>
      <c r="E773" s="11" t="str">
        <f ca="1">IFERROR(__xludf.DUMMYFUNCTION("FILTER(Colegios!$B$2:$B2419,Colegios!$A$2:$A2419=L773)"),"60133")</f>
        <v>60133</v>
      </c>
      <c r="F773" s="11" t="s">
        <v>17</v>
      </c>
      <c r="G773" s="10" t="s">
        <v>24</v>
      </c>
      <c r="H773" s="11" t="s">
        <v>23</v>
      </c>
      <c r="I773" s="11" t="s">
        <v>20</v>
      </c>
      <c r="J773" s="12" t="str">
        <f ca="1">IFERROR(__xludf.DUMMYFUNCTION("FILTER('CLASFICACIÓN'!$F$3:$F2419,'CLASFICACIÓN'!$G$3:$G2419=M773)"),"2023 Y 2024")</f>
        <v>2023 Y 2024</v>
      </c>
      <c r="K773" s="12" t="s">
        <v>2011</v>
      </c>
      <c r="L773" s="11" t="s">
        <v>82</v>
      </c>
      <c r="M773" s="12" t="str">
        <f t="shared" ca="1" si="3"/>
        <v>601334 Primaria</v>
      </c>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4"/>
    </row>
    <row r="774" spans="1:36" ht="15.75" customHeight="1" x14ac:dyDescent="0.25">
      <c r="A774" s="9">
        <v>260</v>
      </c>
      <c r="B774" s="10" t="s">
        <v>60</v>
      </c>
      <c r="C774" s="10" t="s">
        <v>15</v>
      </c>
      <c r="D774" s="10" t="s">
        <v>16</v>
      </c>
      <c r="E774" s="11" t="str">
        <f ca="1">IFERROR(__xludf.DUMMYFUNCTION("FILTER(Colegios!$B$2:$B2419,Colegios!$A$2:$A2419=L774)"),"60133")</f>
        <v>60133</v>
      </c>
      <c r="F774" s="11" t="s">
        <v>17</v>
      </c>
      <c r="G774" s="10" t="s">
        <v>18</v>
      </c>
      <c r="H774" s="11" t="s">
        <v>19</v>
      </c>
      <c r="I774" s="11" t="s">
        <v>20</v>
      </c>
      <c r="J774" s="12" t="str">
        <f ca="1">IFERROR(__xludf.DUMMYFUNCTION("FILTER('CLASFICACIÓN'!$F$3:$F2419,'CLASFICACIÓN'!$G$3:$G2419=M774)"),"2023 Y 2024")</f>
        <v>2023 Y 2024</v>
      </c>
      <c r="K774" s="12" t="s">
        <v>2011</v>
      </c>
      <c r="L774" s="11" t="s">
        <v>82</v>
      </c>
      <c r="M774" s="12" t="str">
        <f t="shared" ca="1" si="3"/>
        <v>601334 Primaria</v>
      </c>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4"/>
    </row>
    <row r="775" spans="1:36" ht="15.75" customHeight="1" x14ac:dyDescent="0.25">
      <c r="A775" s="9">
        <v>261</v>
      </c>
      <c r="B775" s="10" t="s">
        <v>60</v>
      </c>
      <c r="C775" s="10" t="s">
        <v>15</v>
      </c>
      <c r="D775" s="10" t="s">
        <v>16</v>
      </c>
      <c r="E775" s="11" t="str">
        <f ca="1">IFERROR(__xludf.DUMMYFUNCTION("FILTER(Colegios!$B$2:$B2419,Colegios!$A$2:$A2419=L775)"),"60133")</f>
        <v>60133</v>
      </c>
      <c r="F775" s="11" t="s">
        <v>17</v>
      </c>
      <c r="G775" s="10" t="s">
        <v>18</v>
      </c>
      <c r="H775" s="11" t="s">
        <v>19</v>
      </c>
      <c r="I775" s="11" t="s">
        <v>20</v>
      </c>
      <c r="J775" s="12" t="str">
        <f ca="1">IFERROR(__xludf.DUMMYFUNCTION("FILTER('CLASFICACIÓN'!$F$3:$F2419,'CLASFICACIÓN'!$G$3:$G2419=M775)"),"2023 Y 2024")</f>
        <v>2023 Y 2024</v>
      </c>
      <c r="K775" s="12" t="s">
        <v>2011</v>
      </c>
      <c r="L775" s="11" t="s">
        <v>82</v>
      </c>
      <c r="M775" s="12" t="str">
        <f t="shared" ca="1" si="3"/>
        <v>601334 Primaria</v>
      </c>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4"/>
    </row>
    <row r="776" spans="1:36" ht="15.75" customHeight="1" x14ac:dyDescent="0.25">
      <c r="A776" s="9">
        <v>263</v>
      </c>
      <c r="B776" s="10" t="s">
        <v>60</v>
      </c>
      <c r="C776" s="10" t="s">
        <v>15</v>
      </c>
      <c r="D776" s="10" t="s">
        <v>16</v>
      </c>
      <c r="E776" s="11" t="str">
        <f ca="1">IFERROR(__xludf.DUMMYFUNCTION("FILTER(Colegios!$B$2:$B2419,Colegios!$A$2:$A2419=L776)"),"60133")</f>
        <v>60133</v>
      </c>
      <c r="F776" s="11" t="s">
        <v>17</v>
      </c>
      <c r="G776" s="10" t="s">
        <v>18</v>
      </c>
      <c r="H776" s="11" t="s">
        <v>19</v>
      </c>
      <c r="I776" s="11" t="s">
        <v>20</v>
      </c>
      <c r="J776" s="12" t="str">
        <f ca="1">IFERROR(__xludf.DUMMYFUNCTION("FILTER('CLASFICACIÓN'!$F$3:$F2419,'CLASFICACIÓN'!$G$3:$G2419=M776)"),"2023 Y 2024")</f>
        <v>2023 Y 2024</v>
      </c>
      <c r="K776" s="12" t="s">
        <v>2011</v>
      </c>
      <c r="L776" s="11" t="s">
        <v>82</v>
      </c>
      <c r="M776" s="12" t="str">
        <f t="shared" ca="1" si="3"/>
        <v>601334 Primaria</v>
      </c>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4"/>
    </row>
    <row r="777" spans="1:36" ht="15.75" customHeight="1" x14ac:dyDescent="0.25">
      <c r="A777" s="9">
        <v>264</v>
      </c>
      <c r="B777" s="10" t="s">
        <v>60</v>
      </c>
      <c r="C777" s="10" t="s">
        <v>15</v>
      </c>
      <c r="D777" s="10" t="s">
        <v>16</v>
      </c>
      <c r="E777" s="11" t="str">
        <f ca="1">IFERROR(__xludf.DUMMYFUNCTION("FILTER(Colegios!$B$2:$B2419,Colegios!$A$2:$A2419=L777)"),"60133")</f>
        <v>60133</v>
      </c>
      <c r="F777" s="11" t="s">
        <v>17</v>
      </c>
      <c r="G777" s="10" t="s">
        <v>24</v>
      </c>
      <c r="H777" s="11" t="s">
        <v>19</v>
      </c>
      <c r="I777" s="11" t="s">
        <v>20</v>
      </c>
      <c r="J777" s="12" t="str">
        <f ca="1">IFERROR(__xludf.DUMMYFUNCTION("FILTER('CLASFICACIÓN'!$F$3:$F2419,'CLASFICACIÓN'!$G$3:$G2419=M777)"),"2023 Y 2024")</f>
        <v>2023 Y 2024</v>
      </c>
      <c r="K777" s="12" t="s">
        <v>2011</v>
      </c>
      <c r="L777" s="11" t="s">
        <v>82</v>
      </c>
      <c r="M777" s="12" t="str">
        <f t="shared" ca="1" si="3"/>
        <v>601334 Primaria</v>
      </c>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4"/>
    </row>
    <row r="778" spans="1:36" ht="15.75" customHeight="1" x14ac:dyDescent="0.25">
      <c r="A778" s="9">
        <v>265</v>
      </c>
      <c r="B778" s="10" t="s">
        <v>60</v>
      </c>
      <c r="C778" s="10" t="s">
        <v>15</v>
      </c>
      <c r="D778" s="10" t="s">
        <v>16</v>
      </c>
      <c r="E778" s="11" t="str">
        <f ca="1">IFERROR(__xludf.DUMMYFUNCTION("FILTER(Colegios!$B$2:$B2419,Colegios!$A$2:$A2419=L778)"),"60133")</f>
        <v>60133</v>
      </c>
      <c r="F778" s="11" t="s">
        <v>17</v>
      </c>
      <c r="G778" s="10" t="s">
        <v>18</v>
      </c>
      <c r="H778" s="11" t="s">
        <v>19</v>
      </c>
      <c r="I778" s="11" t="s">
        <v>20</v>
      </c>
      <c r="J778" s="12" t="str">
        <f ca="1">IFERROR(__xludf.DUMMYFUNCTION("FILTER('CLASFICACIÓN'!$F$3:$F2419,'CLASFICACIÓN'!$G$3:$G2419=M778)"),"2023 Y 2024")</f>
        <v>2023 Y 2024</v>
      </c>
      <c r="K778" s="12" t="s">
        <v>2011</v>
      </c>
      <c r="L778" s="11" t="s">
        <v>82</v>
      </c>
      <c r="M778" s="12" t="str">
        <f t="shared" ca="1" si="3"/>
        <v>601334 Primaria</v>
      </c>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4"/>
    </row>
    <row r="779" spans="1:36" ht="15.75" customHeight="1" x14ac:dyDescent="0.25">
      <c r="A779" s="9">
        <v>266</v>
      </c>
      <c r="B779" s="10" t="s">
        <v>60</v>
      </c>
      <c r="C779" s="10" t="s">
        <v>15</v>
      </c>
      <c r="D779" s="10" t="s">
        <v>16</v>
      </c>
      <c r="E779" s="11" t="str">
        <f ca="1">IFERROR(__xludf.DUMMYFUNCTION("FILTER(Colegios!$B$2:$B2419,Colegios!$A$2:$A2419=L779)"),"60133")</f>
        <v>60133</v>
      </c>
      <c r="F779" s="11" t="s">
        <v>17</v>
      </c>
      <c r="G779" s="10" t="s">
        <v>24</v>
      </c>
      <c r="H779" s="11" t="s">
        <v>19</v>
      </c>
      <c r="I779" s="11" t="s">
        <v>20</v>
      </c>
      <c r="J779" s="12" t="str">
        <f ca="1">IFERROR(__xludf.DUMMYFUNCTION("FILTER('CLASFICACIÓN'!$F$3:$F2419,'CLASFICACIÓN'!$G$3:$G2419=M779)"),"2023 Y 2024")</f>
        <v>2023 Y 2024</v>
      </c>
      <c r="K779" s="12" t="s">
        <v>2011</v>
      </c>
      <c r="L779" s="11" t="s">
        <v>82</v>
      </c>
      <c r="M779" s="12" t="str">
        <f t="shared" ca="1" si="3"/>
        <v>601334 Primaria</v>
      </c>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4"/>
    </row>
    <row r="780" spans="1:36" ht="15.75" customHeight="1" x14ac:dyDescent="0.25">
      <c r="A780" s="9">
        <v>267</v>
      </c>
      <c r="B780" s="10" t="s">
        <v>60</v>
      </c>
      <c r="C780" s="10" t="s">
        <v>15</v>
      </c>
      <c r="D780" s="10" t="s">
        <v>16</v>
      </c>
      <c r="E780" s="11" t="str">
        <f ca="1">IFERROR(__xludf.DUMMYFUNCTION("FILTER(Colegios!$B$2:$B2419,Colegios!$A$2:$A2419=L780)"),"60133")</f>
        <v>60133</v>
      </c>
      <c r="F780" s="11" t="s">
        <v>17</v>
      </c>
      <c r="G780" s="10" t="s">
        <v>18</v>
      </c>
      <c r="H780" s="11" t="s">
        <v>19</v>
      </c>
      <c r="I780" s="11" t="s">
        <v>20</v>
      </c>
      <c r="J780" s="12" t="str">
        <f ca="1">IFERROR(__xludf.DUMMYFUNCTION("FILTER('CLASFICACIÓN'!$F$3:$F2419,'CLASFICACIÓN'!$G$3:$G2419=M780)"),"2023 Y 2024")</f>
        <v>2023 Y 2024</v>
      </c>
      <c r="K780" s="12" t="s">
        <v>2011</v>
      </c>
      <c r="L780" s="11" t="s">
        <v>82</v>
      </c>
      <c r="M780" s="12" t="str">
        <f t="shared" ca="1" si="3"/>
        <v>601334 Primaria</v>
      </c>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4"/>
    </row>
    <row r="781" spans="1:36" ht="15.75" customHeight="1" x14ac:dyDescent="0.25">
      <c r="A781" s="9">
        <v>268</v>
      </c>
      <c r="B781" s="10" t="s">
        <v>60</v>
      </c>
      <c r="C781" s="10" t="s">
        <v>15</v>
      </c>
      <c r="D781" s="10" t="s">
        <v>16</v>
      </c>
      <c r="E781" s="11" t="str">
        <f ca="1">IFERROR(__xludf.DUMMYFUNCTION("FILTER(Colegios!$B$2:$B2419,Colegios!$A$2:$A2419=L781)"),"60133")</f>
        <v>60133</v>
      </c>
      <c r="F781" s="11" t="s">
        <v>17</v>
      </c>
      <c r="G781" s="10" t="s">
        <v>24</v>
      </c>
      <c r="H781" s="11" t="s">
        <v>19</v>
      </c>
      <c r="I781" s="11" t="s">
        <v>20</v>
      </c>
      <c r="J781" s="12" t="str">
        <f ca="1">IFERROR(__xludf.DUMMYFUNCTION("FILTER('CLASFICACIÓN'!$F$3:$F2419,'CLASFICACIÓN'!$G$3:$G2419=M781)"),"2023 Y 2024")</f>
        <v>2023 Y 2024</v>
      </c>
      <c r="K781" s="12" t="s">
        <v>2011</v>
      </c>
      <c r="L781" s="11" t="s">
        <v>82</v>
      </c>
      <c r="M781" s="12" t="str">
        <f t="shared" ca="1" si="3"/>
        <v>601334 Primaria</v>
      </c>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4"/>
    </row>
    <row r="782" spans="1:36" ht="15.75" customHeight="1" x14ac:dyDescent="0.25">
      <c r="A782" s="9">
        <v>269</v>
      </c>
      <c r="B782" s="10" t="s">
        <v>60</v>
      </c>
      <c r="C782" s="10" t="s">
        <v>15</v>
      </c>
      <c r="D782" s="10" t="s">
        <v>16</v>
      </c>
      <c r="E782" s="11" t="str">
        <f ca="1">IFERROR(__xludf.DUMMYFUNCTION("FILTER(Colegios!$B$2:$B2419,Colegios!$A$2:$A2419=L782)"),"60133")</f>
        <v>60133</v>
      </c>
      <c r="F782" s="11" t="s">
        <v>17</v>
      </c>
      <c r="G782" s="10" t="s">
        <v>24</v>
      </c>
      <c r="H782" s="11" t="s">
        <v>23</v>
      </c>
      <c r="I782" s="11" t="s">
        <v>20</v>
      </c>
      <c r="J782" s="12" t="str">
        <f ca="1">IFERROR(__xludf.DUMMYFUNCTION("FILTER('CLASFICACIÓN'!$F$3:$F2419,'CLASFICACIÓN'!$G$3:$G2419=M782)"),"2023 Y 2024")</f>
        <v>2023 Y 2024</v>
      </c>
      <c r="K782" s="12" t="s">
        <v>2011</v>
      </c>
      <c r="L782" s="11" t="s">
        <v>82</v>
      </c>
      <c r="M782" s="12" t="str">
        <f t="shared" ca="1" si="3"/>
        <v>601334 Primaria</v>
      </c>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4"/>
    </row>
    <row r="783" spans="1:36" ht="15.75" customHeight="1" x14ac:dyDescent="0.25">
      <c r="A783" s="9">
        <v>270</v>
      </c>
      <c r="B783" s="10" t="s">
        <v>60</v>
      </c>
      <c r="C783" s="10" t="s">
        <v>15</v>
      </c>
      <c r="D783" s="10" t="s">
        <v>37</v>
      </c>
      <c r="E783" s="11" t="str">
        <f ca="1">IFERROR(__xludf.DUMMYFUNCTION("FILTER(Colegios!$B$2:$B2419,Colegios!$A$2:$A2419=L783)"),"60133")</f>
        <v>60133</v>
      </c>
      <c r="F783" s="11" t="s">
        <v>17</v>
      </c>
      <c r="G783" s="10" t="s">
        <v>24</v>
      </c>
      <c r="H783" s="11" t="s">
        <v>19</v>
      </c>
      <c r="I783" s="11" t="s">
        <v>20</v>
      </c>
      <c r="J783" s="12" t="str">
        <f ca="1">IFERROR(__xludf.DUMMYFUNCTION("FILTER('CLASFICACIÓN'!$F$3:$F2419,'CLASFICACIÓN'!$G$3:$G2419=M783)"),"LOS 3 AÑOS")</f>
        <v>LOS 3 AÑOS</v>
      </c>
      <c r="K783" s="12" t="s">
        <v>2011</v>
      </c>
      <c r="L783" s="11" t="s">
        <v>82</v>
      </c>
      <c r="M783" s="12" t="str">
        <f t="shared" ca="1" si="3"/>
        <v>601336 Primaria</v>
      </c>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4"/>
    </row>
    <row r="784" spans="1:36" ht="15.75" customHeight="1" x14ac:dyDescent="0.25">
      <c r="A784" s="9">
        <v>271</v>
      </c>
      <c r="B784" s="10" t="s">
        <v>60</v>
      </c>
      <c r="C784" s="10" t="s">
        <v>15</v>
      </c>
      <c r="D784" s="10" t="s">
        <v>37</v>
      </c>
      <c r="E784" s="11" t="str">
        <f ca="1">IFERROR(__xludf.DUMMYFUNCTION("FILTER(Colegios!$B$2:$B2419,Colegios!$A$2:$A2419=L784)"),"60133")</f>
        <v>60133</v>
      </c>
      <c r="F784" s="11" t="s">
        <v>17</v>
      </c>
      <c r="G784" s="10" t="s">
        <v>24</v>
      </c>
      <c r="H784" s="11" t="s">
        <v>19</v>
      </c>
      <c r="I784" s="11" t="s">
        <v>20</v>
      </c>
      <c r="J784" s="12" t="str">
        <f ca="1">IFERROR(__xludf.DUMMYFUNCTION("FILTER('CLASFICACIÓN'!$F$3:$F2419,'CLASFICACIÓN'!$G$3:$G2419=M784)"),"LOS 3 AÑOS")</f>
        <v>LOS 3 AÑOS</v>
      </c>
      <c r="K784" s="12" t="s">
        <v>2011</v>
      </c>
      <c r="L784" s="11" t="s">
        <v>82</v>
      </c>
      <c r="M784" s="12" t="str">
        <f t="shared" ca="1" si="3"/>
        <v>601336 Primaria</v>
      </c>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4"/>
    </row>
    <row r="785" spans="1:36" ht="15.75" customHeight="1" x14ac:dyDescent="0.25">
      <c r="A785" s="9">
        <v>272</v>
      </c>
      <c r="B785" s="10" t="s">
        <v>60</v>
      </c>
      <c r="C785" s="10" t="s">
        <v>15</v>
      </c>
      <c r="D785" s="10" t="s">
        <v>37</v>
      </c>
      <c r="E785" s="11" t="str">
        <f ca="1">IFERROR(__xludf.DUMMYFUNCTION("FILTER(Colegios!$B$2:$B2419,Colegios!$A$2:$A2419=L785)"),"60133")</f>
        <v>60133</v>
      </c>
      <c r="F785" s="11" t="s">
        <v>17</v>
      </c>
      <c r="G785" s="10" t="s">
        <v>24</v>
      </c>
      <c r="H785" s="11" t="s">
        <v>19</v>
      </c>
      <c r="I785" s="11" t="s">
        <v>20</v>
      </c>
      <c r="J785" s="12" t="str">
        <f ca="1">IFERROR(__xludf.DUMMYFUNCTION("FILTER('CLASFICACIÓN'!$F$3:$F2419,'CLASFICACIÓN'!$G$3:$G2419=M785)"),"LOS 3 AÑOS")</f>
        <v>LOS 3 AÑOS</v>
      </c>
      <c r="K785" s="12" t="s">
        <v>2011</v>
      </c>
      <c r="L785" s="11" t="s">
        <v>82</v>
      </c>
      <c r="M785" s="12" t="str">
        <f t="shared" ca="1" si="3"/>
        <v>601336 Primaria</v>
      </c>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4"/>
    </row>
    <row r="786" spans="1:36" ht="15.75" customHeight="1" x14ac:dyDescent="0.25">
      <c r="A786" s="9">
        <v>273</v>
      </c>
      <c r="B786" s="10" t="s">
        <v>60</v>
      </c>
      <c r="C786" s="10" t="s">
        <v>15</v>
      </c>
      <c r="D786" s="10" t="s">
        <v>37</v>
      </c>
      <c r="E786" s="11" t="str">
        <f ca="1">IFERROR(__xludf.DUMMYFUNCTION("FILTER(Colegios!$B$2:$B2419,Colegios!$A$2:$A2419=L786)"),"60133")</f>
        <v>60133</v>
      </c>
      <c r="F786" s="11" t="s">
        <v>17</v>
      </c>
      <c r="G786" s="10" t="s">
        <v>24</v>
      </c>
      <c r="H786" s="11" t="s">
        <v>19</v>
      </c>
      <c r="I786" s="11" t="s">
        <v>20</v>
      </c>
      <c r="J786" s="12" t="str">
        <f ca="1">IFERROR(__xludf.DUMMYFUNCTION("FILTER('CLASFICACIÓN'!$F$3:$F2419,'CLASFICACIÓN'!$G$3:$G2419=M786)"),"LOS 3 AÑOS")</f>
        <v>LOS 3 AÑOS</v>
      </c>
      <c r="K786" s="12" t="s">
        <v>2011</v>
      </c>
      <c r="L786" s="11" t="s">
        <v>82</v>
      </c>
      <c r="M786" s="12" t="str">
        <f t="shared" ca="1" si="3"/>
        <v>601336 Primaria</v>
      </c>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4"/>
    </row>
    <row r="787" spans="1:36" ht="15.75" customHeight="1" x14ac:dyDescent="0.25">
      <c r="A787" s="9">
        <v>275</v>
      </c>
      <c r="B787" s="10" t="s">
        <v>60</v>
      </c>
      <c r="C787" s="10" t="s">
        <v>15</v>
      </c>
      <c r="D787" s="10" t="s">
        <v>37</v>
      </c>
      <c r="E787" s="11" t="str">
        <f ca="1">IFERROR(__xludf.DUMMYFUNCTION("FILTER(Colegios!$B$2:$B2419,Colegios!$A$2:$A2419=L787)"),"60133")</f>
        <v>60133</v>
      </c>
      <c r="F787" s="11" t="s">
        <v>17</v>
      </c>
      <c r="G787" s="10" t="s">
        <v>24</v>
      </c>
      <c r="H787" s="11" t="s">
        <v>19</v>
      </c>
      <c r="I787" s="11" t="s">
        <v>20</v>
      </c>
      <c r="J787" s="12" t="str">
        <f ca="1">IFERROR(__xludf.DUMMYFUNCTION("FILTER('CLASFICACIÓN'!$F$3:$F2419,'CLASFICACIÓN'!$G$3:$G2419=M787)"),"LOS 3 AÑOS")</f>
        <v>LOS 3 AÑOS</v>
      </c>
      <c r="K787" s="12" t="s">
        <v>2011</v>
      </c>
      <c r="L787" s="11" t="s">
        <v>82</v>
      </c>
      <c r="M787" s="12" t="str">
        <f t="shared" ca="1" si="3"/>
        <v>601336 Primaria</v>
      </c>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4"/>
    </row>
    <row r="788" spans="1:36" ht="15.75" customHeight="1" x14ac:dyDescent="0.25">
      <c r="A788" s="9">
        <v>276</v>
      </c>
      <c r="B788" s="10" t="s">
        <v>60</v>
      </c>
      <c r="C788" s="10" t="s">
        <v>15</v>
      </c>
      <c r="D788" s="10" t="s">
        <v>37</v>
      </c>
      <c r="E788" s="11" t="str">
        <f ca="1">IFERROR(__xludf.DUMMYFUNCTION("FILTER(Colegios!$B$2:$B2419,Colegios!$A$2:$A2419=L788)"),"60133")</f>
        <v>60133</v>
      </c>
      <c r="F788" s="11" t="s">
        <v>17</v>
      </c>
      <c r="G788" s="10" t="s">
        <v>18</v>
      </c>
      <c r="H788" s="11" t="s">
        <v>19</v>
      </c>
      <c r="I788" s="11" t="s">
        <v>20</v>
      </c>
      <c r="J788" s="12" t="str">
        <f ca="1">IFERROR(__xludf.DUMMYFUNCTION("FILTER('CLASFICACIÓN'!$F$3:$F2419,'CLASFICACIÓN'!$G$3:$G2419=M788)"),"LOS 3 AÑOS")</f>
        <v>LOS 3 AÑOS</v>
      </c>
      <c r="K788" s="12" t="s">
        <v>2011</v>
      </c>
      <c r="L788" s="11" t="s">
        <v>82</v>
      </c>
      <c r="M788" s="12" t="str">
        <f t="shared" ca="1" si="3"/>
        <v>601336 Primaria</v>
      </c>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4"/>
    </row>
    <row r="789" spans="1:36" ht="15.75" customHeight="1" x14ac:dyDescent="0.25">
      <c r="A789" s="9">
        <v>277</v>
      </c>
      <c r="B789" s="10" t="s">
        <v>60</v>
      </c>
      <c r="C789" s="10" t="s">
        <v>15</v>
      </c>
      <c r="D789" s="10" t="s">
        <v>37</v>
      </c>
      <c r="E789" s="11" t="str">
        <f ca="1">IFERROR(__xludf.DUMMYFUNCTION("FILTER(Colegios!$B$2:$B2419,Colegios!$A$2:$A2419=L789)"),"60133")</f>
        <v>60133</v>
      </c>
      <c r="F789" s="11" t="s">
        <v>17</v>
      </c>
      <c r="G789" s="10" t="s">
        <v>18</v>
      </c>
      <c r="H789" s="11" t="s">
        <v>19</v>
      </c>
      <c r="I789" s="11" t="s">
        <v>20</v>
      </c>
      <c r="J789" s="12" t="str">
        <f ca="1">IFERROR(__xludf.DUMMYFUNCTION("FILTER('CLASFICACIÓN'!$F$3:$F2419,'CLASFICACIÓN'!$G$3:$G2419=M789)"),"LOS 3 AÑOS")</f>
        <v>LOS 3 AÑOS</v>
      </c>
      <c r="K789" s="12" t="s">
        <v>2011</v>
      </c>
      <c r="L789" s="11" t="s">
        <v>82</v>
      </c>
      <c r="M789" s="12" t="str">
        <f t="shared" ca="1" si="3"/>
        <v>601336 Primaria</v>
      </c>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4"/>
    </row>
    <row r="790" spans="1:36" ht="15.75" customHeight="1" x14ac:dyDescent="0.25">
      <c r="A790" s="9">
        <v>279</v>
      </c>
      <c r="B790" s="10" t="s">
        <v>60</v>
      </c>
      <c r="C790" s="10" t="s">
        <v>15</v>
      </c>
      <c r="D790" s="10" t="s">
        <v>37</v>
      </c>
      <c r="E790" s="11" t="str">
        <f ca="1">IFERROR(__xludf.DUMMYFUNCTION("FILTER(Colegios!$B$2:$B2419,Colegios!$A$2:$A2419=L790)"),"60133")</f>
        <v>60133</v>
      </c>
      <c r="F790" s="11" t="s">
        <v>17</v>
      </c>
      <c r="G790" s="10" t="s">
        <v>24</v>
      </c>
      <c r="H790" s="11" t="s">
        <v>19</v>
      </c>
      <c r="I790" s="11" t="s">
        <v>20</v>
      </c>
      <c r="J790" s="12" t="str">
        <f ca="1">IFERROR(__xludf.DUMMYFUNCTION("FILTER('CLASFICACIÓN'!$F$3:$F2419,'CLASFICACIÓN'!$G$3:$G2419=M790)"),"LOS 3 AÑOS")</f>
        <v>LOS 3 AÑOS</v>
      </c>
      <c r="K790" s="12" t="s">
        <v>2011</v>
      </c>
      <c r="L790" s="11" t="s">
        <v>82</v>
      </c>
      <c r="M790" s="12" t="str">
        <f t="shared" ca="1" si="3"/>
        <v>601336 Primaria</v>
      </c>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4"/>
    </row>
    <row r="791" spans="1:36" ht="15.75" customHeight="1" x14ac:dyDescent="0.25">
      <c r="A791" s="9">
        <v>280</v>
      </c>
      <c r="B791" s="10" t="s">
        <v>60</v>
      </c>
      <c r="C791" s="10" t="s">
        <v>15</v>
      </c>
      <c r="D791" s="10" t="s">
        <v>37</v>
      </c>
      <c r="E791" s="11" t="str">
        <f ca="1">IFERROR(__xludf.DUMMYFUNCTION("FILTER(Colegios!$B$2:$B2419,Colegios!$A$2:$A2419=L791)"),"60133")</f>
        <v>60133</v>
      </c>
      <c r="F791" s="11" t="s">
        <v>17</v>
      </c>
      <c r="G791" s="10" t="s">
        <v>18</v>
      </c>
      <c r="H791" s="11" t="s">
        <v>19</v>
      </c>
      <c r="I791" s="11" t="s">
        <v>20</v>
      </c>
      <c r="J791" s="12" t="str">
        <f ca="1">IFERROR(__xludf.DUMMYFUNCTION("FILTER('CLASFICACIÓN'!$F$3:$F2419,'CLASFICACIÓN'!$G$3:$G2419=M791)"),"LOS 3 AÑOS")</f>
        <v>LOS 3 AÑOS</v>
      </c>
      <c r="K791" s="12" t="s">
        <v>2011</v>
      </c>
      <c r="L791" s="11" t="s">
        <v>82</v>
      </c>
      <c r="M791" s="12" t="str">
        <f t="shared" ca="1" si="3"/>
        <v>601336 Primaria</v>
      </c>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4"/>
    </row>
    <row r="792" spans="1:36" ht="15.75" customHeight="1" x14ac:dyDescent="0.25">
      <c r="A792" s="9">
        <v>281</v>
      </c>
      <c r="B792" s="10" t="s">
        <v>60</v>
      </c>
      <c r="C792" s="10" t="s">
        <v>15</v>
      </c>
      <c r="D792" s="10" t="s">
        <v>37</v>
      </c>
      <c r="E792" s="11" t="str">
        <f ca="1">IFERROR(__xludf.DUMMYFUNCTION("FILTER(Colegios!$B$2:$B2419,Colegios!$A$2:$A2419=L792)"),"60133")</f>
        <v>60133</v>
      </c>
      <c r="F792" s="11" t="s">
        <v>17</v>
      </c>
      <c r="G792" s="10" t="s">
        <v>24</v>
      </c>
      <c r="H792" s="11" t="s">
        <v>19</v>
      </c>
      <c r="I792" s="11" t="s">
        <v>20</v>
      </c>
      <c r="J792" s="12" t="str">
        <f ca="1">IFERROR(__xludf.DUMMYFUNCTION("FILTER('CLASFICACIÓN'!$F$3:$F2419,'CLASFICACIÓN'!$G$3:$G2419=M792)"),"LOS 3 AÑOS")</f>
        <v>LOS 3 AÑOS</v>
      </c>
      <c r="K792" s="12" t="s">
        <v>2011</v>
      </c>
      <c r="L792" s="11" t="s">
        <v>82</v>
      </c>
      <c r="M792" s="12" t="str">
        <f t="shared" ca="1" si="3"/>
        <v>601336 Primaria</v>
      </c>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4"/>
    </row>
    <row r="793" spans="1:36" ht="15.75" customHeight="1" x14ac:dyDescent="0.25">
      <c r="A793" s="9">
        <v>282</v>
      </c>
      <c r="B793" s="10" t="s">
        <v>60</v>
      </c>
      <c r="C793" s="10" t="s">
        <v>15</v>
      </c>
      <c r="D793" s="10" t="s">
        <v>37</v>
      </c>
      <c r="E793" s="11" t="str">
        <f ca="1">IFERROR(__xludf.DUMMYFUNCTION("FILTER(Colegios!$B$2:$B2419,Colegios!$A$2:$A2419=L793)"),"60133")</f>
        <v>60133</v>
      </c>
      <c r="F793" s="11" t="s">
        <v>17</v>
      </c>
      <c r="G793" s="10" t="s">
        <v>18</v>
      </c>
      <c r="H793" s="11" t="s">
        <v>19</v>
      </c>
      <c r="I793" s="11" t="s">
        <v>20</v>
      </c>
      <c r="J793" s="12" t="str">
        <f ca="1">IFERROR(__xludf.DUMMYFUNCTION("FILTER('CLASFICACIÓN'!$F$3:$F2419,'CLASFICACIÓN'!$G$3:$G2419=M793)"),"LOS 3 AÑOS")</f>
        <v>LOS 3 AÑOS</v>
      </c>
      <c r="K793" s="12" t="s">
        <v>2011</v>
      </c>
      <c r="L793" s="11" t="s">
        <v>82</v>
      </c>
      <c r="M793" s="12" t="str">
        <f t="shared" ca="1" si="3"/>
        <v>601336 Primaria</v>
      </c>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4"/>
    </row>
    <row r="794" spans="1:36" ht="15.75" customHeight="1" x14ac:dyDescent="0.25">
      <c r="A794" s="9">
        <v>283</v>
      </c>
      <c r="B794" s="10" t="s">
        <v>60</v>
      </c>
      <c r="C794" s="10" t="s">
        <v>15</v>
      </c>
      <c r="D794" s="10" t="s">
        <v>37</v>
      </c>
      <c r="E794" s="11" t="str">
        <f ca="1">IFERROR(__xludf.DUMMYFUNCTION("FILTER(Colegios!$B$2:$B2419,Colegios!$A$2:$A2419=L794)"),"60133")</f>
        <v>60133</v>
      </c>
      <c r="F794" s="11" t="s">
        <v>17</v>
      </c>
      <c r="G794" s="10" t="s">
        <v>24</v>
      </c>
      <c r="H794" s="11" t="s">
        <v>19</v>
      </c>
      <c r="I794" s="11" t="s">
        <v>20</v>
      </c>
      <c r="J794" s="12" t="str">
        <f ca="1">IFERROR(__xludf.DUMMYFUNCTION("FILTER('CLASFICACIÓN'!$F$3:$F2419,'CLASFICACIÓN'!$G$3:$G2419=M794)"),"LOS 3 AÑOS")</f>
        <v>LOS 3 AÑOS</v>
      </c>
      <c r="K794" s="12" t="s">
        <v>2011</v>
      </c>
      <c r="L794" s="11" t="s">
        <v>82</v>
      </c>
      <c r="M794" s="12" t="str">
        <f t="shared" ca="1" si="3"/>
        <v>601336 Primaria</v>
      </c>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4"/>
    </row>
    <row r="795" spans="1:36" ht="15.75" customHeight="1" x14ac:dyDescent="0.25">
      <c r="A795" s="9">
        <v>284</v>
      </c>
      <c r="B795" s="10" t="s">
        <v>60</v>
      </c>
      <c r="C795" s="10" t="s">
        <v>41</v>
      </c>
      <c r="D795" s="10" t="s">
        <v>42</v>
      </c>
      <c r="E795" s="11" t="str">
        <f ca="1">IFERROR(__xludf.DUMMYFUNCTION("FILTER(Colegios!$B$2:$B2419,Colegios!$A$2:$A2419=L795)"),"60133")</f>
        <v>60133</v>
      </c>
      <c r="F795" s="11" t="s">
        <v>17</v>
      </c>
      <c r="G795" s="10" t="s">
        <v>24</v>
      </c>
      <c r="H795" s="11" t="s">
        <v>19</v>
      </c>
      <c r="I795" s="11" t="s">
        <v>20</v>
      </c>
      <c r="J795" s="12" t="str">
        <f ca="1">IFERROR(__xludf.DUMMYFUNCTION("FILTER('CLASFICACIÓN'!$F$3:$F2419,'CLASFICACIÓN'!$G$3:$G2419=M795)"),"LOS 3 AÑOS")</f>
        <v>LOS 3 AÑOS</v>
      </c>
      <c r="K795" s="12" t="s">
        <v>2011</v>
      </c>
      <c r="L795" s="11" t="s">
        <v>82</v>
      </c>
      <c r="M795" s="12" t="str">
        <f t="shared" ca="1" si="3"/>
        <v>601332 Secundaria</v>
      </c>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4"/>
    </row>
    <row r="796" spans="1:36" ht="15.75" customHeight="1" x14ac:dyDescent="0.25">
      <c r="A796" s="9">
        <v>285</v>
      </c>
      <c r="B796" s="10" t="s">
        <v>60</v>
      </c>
      <c r="C796" s="10" t="s">
        <v>41</v>
      </c>
      <c r="D796" s="10" t="s">
        <v>42</v>
      </c>
      <c r="E796" s="11" t="str">
        <f ca="1">IFERROR(__xludf.DUMMYFUNCTION("FILTER(Colegios!$B$2:$B2419,Colegios!$A$2:$A2419=L796)"),"60133")</f>
        <v>60133</v>
      </c>
      <c r="F796" s="11" t="s">
        <v>17</v>
      </c>
      <c r="G796" s="10" t="s">
        <v>24</v>
      </c>
      <c r="H796" s="11" t="s">
        <v>19</v>
      </c>
      <c r="I796" s="11" t="s">
        <v>20</v>
      </c>
      <c r="J796" s="12" t="str">
        <f ca="1">IFERROR(__xludf.DUMMYFUNCTION("FILTER('CLASFICACIÓN'!$F$3:$F2419,'CLASFICACIÓN'!$G$3:$G2419=M796)"),"LOS 3 AÑOS")</f>
        <v>LOS 3 AÑOS</v>
      </c>
      <c r="K796" s="12" t="s">
        <v>2011</v>
      </c>
      <c r="L796" s="11" t="s">
        <v>82</v>
      </c>
      <c r="M796" s="12" t="str">
        <f t="shared" ca="1" si="3"/>
        <v>601332 Secundaria</v>
      </c>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4"/>
    </row>
    <row r="797" spans="1:36" ht="15.75" customHeight="1" x14ac:dyDescent="0.25">
      <c r="A797" s="9">
        <v>286</v>
      </c>
      <c r="B797" s="10" t="s">
        <v>60</v>
      </c>
      <c r="C797" s="10" t="s">
        <v>41</v>
      </c>
      <c r="D797" s="10" t="s">
        <v>42</v>
      </c>
      <c r="E797" s="11" t="str">
        <f ca="1">IFERROR(__xludf.DUMMYFUNCTION("FILTER(Colegios!$B$2:$B2419,Colegios!$A$2:$A2419=L797)"),"60133")</f>
        <v>60133</v>
      </c>
      <c r="F797" s="11" t="s">
        <v>17</v>
      </c>
      <c r="G797" s="10" t="s">
        <v>18</v>
      </c>
      <c r="H797" s="11" t="s">
        <v>19</v>
      </c>
      <c r="I797" s="11" t="s">
        <v>20</v>
      </c>
      <c r="J797" s="12" t="str">
        <f ca="1">IFERROR(__xludf.DUMMYFUNCTION("FILTER('CLASFICACIÓN'!$F$3:$F2419,'CLASFICACIÓN'!$G$3:$G2419=M797)"),"LOS 3 AÑOS")</f>
        <v>LOS 3 AÑOS</v>
      </c>
      <c r="K797" s="12" t="s">
        <v>2011</v>
      </c>
      <c r="L797" s="11" t="s">
        <v>82</v>
      </c>
      <c r="M797" s="12" t="str">
        <f t="shared" ca="1" si="3"/>
        <v>601332 Secundaria</v>
      </c>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4"/>
    </row>
    <row r="798" spans="1:36" ht="15.75" customHeight="1" x14ac:dyDescent="0.25">
      <c r="A798" s="9">
        <v>287</v>
      </c>
      <c r="B798" s="10" t="s">
        <v>60</v>
      </c>
      <c r="C798" s="10" t="s">
        <v>41</v>
      </c>
      <c r="D798" s="10" t="s">
        <v>42</v>
      </c>
      <c r="E798" s="11" t="str">
        <f ca="1">IFERROR(__xludf.DUMMYFUNCTION("FILTER(Colegios!$B$2:$B2419,Colegios!$A$2:$A2419=L798)"),"60133")</f>
        <v>60133</v>
      </c>
      <c r="F798" s="11" t="s">
        <v>17</v>
      </c>
      <c r="G798" s="10" t="s">
        <v>18</v>
      </c>
      <c r="H798" s="11" t="s">
        <v>19</v>
      </c>
      <c r="I798" s="11" t="s">
        <v>20</v>
      </c>
      <c r="J798" s="12" t="str">
        <f ca="1">IFERROR(__xludf.DUMMYFUNCTION("FILTER('CLASFICACIÓN'!$F$3:$F2419,'CLASFICACIÓN'!$G$3:$G2419=M798)"),"LOS 3 AÑOS")</f>
        <v>LOS 3 AÑOS</v>
      </c>
      <c r="K798" s="12" t="s">
        <v>2011</v>
      </c>
      <c r="L798" s="11" t="s">
        <v>82</v>
      </c>
      <c r="M798" s="12" t="str">
        <f t="shared" ca="1" si="3"/>
        <v>601332 Secundaria</v>
      </c>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4"/>
    </row>
    <row r="799" spans="1:36" ht="15.75" customHeight="1" x14ac:dyDescent="0.25">
      <c r="A799" s="9">
        <v>288</v>
      </c>
      <c r="B799" s="10" t="s">
        <v>60</v>
      </c>
      <c r="C799" s="10" t="s">
        <v>41</v>
      </c>
      <c r="D799" s="10" t="s">
        <v>42</v>
      </c>
      <c r="E799" s="11" t="str">
        <f ca="1">IFERROR(__xludf.DUMMYFUNCTION("FILTER(Colegios!$B$2:$B2419,Colegios!$A$2:$A2419=L799)"),"60133")</f>
        <v>60133</v>
      </c>
      <c r="F799" s="11" t="s">
        <v>17</v>
      </c>
      <c r="G799" s="10" t="s">
        <v>18</v>
      </c>
      <c r="H799" s="11" t="s">
        <v>19</v>
      </c>
      <c r="I799" s="11" t="s">
        <v>20</v>
      </c>
      <c r="J799" s="12" t="str">
        <f ca="1">IFERROR(__xludf.DUMMYFUNCTION("FILTER('CLASFICACIÓN'!$F$3:$F2419,'CLASFICACIÓN'!$G$3:$G2419=M799)"),"LOS 3 AÑOS")</f>
        <v>LOS 3 AÑOS</v>
      </c>
      <c r="K799" s="12" t="s">
        <v>2011</v>
      </c>
      <c r="L799" s="11" t="s">
        <v>82</v>
      </c>
      <c r="M799" s="12" t="str">
        <f t="shared" ca="1" si="3"/>
        <v>601332 Secundaria</v>
      </c>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4"/>
    </row>
    <row r="800" spans="1:36" ht="15.75" customHeight="1" x14ac:dyDescent="0.25">
      <c r="A800" s="9">
        <v>290</v>
      </c>
      <c r="B800" s="10" t="s">
        <v>60</v>
      </c>
      <c r="C800" s="10" t="s">
        <v>41</v>
      </c>
      <c r="D800" s="10" t="s">
        <v>42</v>
      </c>
      <c r="E800" s="11" t="str">
        <f ca="1">IFERROR(__xludf.DUMMYFUNCTION("FILTER(Colegios!$B$2:$B2419,Colegios!$A$2:$A2419=L800)"),"60133")</f>
        <v>60133</v>
      </c>
      <c r="F800" s="11" t="s">
        <v>17</v>
      </c>
      <c r="G800" s="10" t="s">
        <v>18</v>
      </c>
      <c r="H800" s="11" t="s">
        <v>19</v>
      </c>
      <c r="I800" s="11" t="s">
        <v>20</v>
      </c>
      <c r="J800" s="12" t="str">
        <f ca="1">IFERROR(__xludf.DUMMYFUNCTION("FILTER('CLASFICACIÓN'!$F$3:$F2419,'CLASFICACIÓN'!$G$3:$G2419=M800)"),"LOS 3 AÑOS")</f>
        <v>LOS 3 AÑOS</v>
      </c>
      <c r="K800" s="12" t="s">
        <v>2011</v>
      </c>
      <c r="L800" s="11" t="s">
        <v>82</v>
      </c>
      <c r="M800" s="12" t="str">
        <f t="shared" ca="1" si="3"/>
        <v>601332 Secundaria</v>
      </c>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4"/>
    </row>
    <row r="801" spans="1:36" ht="15.75" customHeight="1" x14ac:dyDescent="0.25">
      <c r="A801" s="9">
        <v>291</v>
      </c>
      <c r="B801" s="10" t="s">
        <v>60</v>
      </c>
      <c r="C801" s="10" t="s">
        <v>41</v>
      </c>
      <c r="D801" s="10" t="s">
        <v>42</v>
      </c>
      <c r="E801" s="11" t="str">
        <f ca="1">IFERROR(__xludf.DUMMYFUNCTION("FILTER(Colegios!$B$2:$B2419,Colegios!$A$2:$A2419=L801)"),"60133")</f>
        <v>60133</v>
      </c>
      <c r="F801" s="11" t="s">
        <v>17</v>
      </c>
      <c r="G801" s="10" t="s">
        <v>18</v>
      </c>
      <c r="H801" s="11" t="s">
        <v>19</v>
      </c>
      <c r="I801" s="11" t="s">
        <v>20</v>
      </c>
      <c r="J801" s="12" t="str">
        <f ca="1">IFERROR(__xludf.DUMMYFUNCTION("FILTER('CLASFICACIÓN'!$F$3:$F2419,'CLASFICACIÓN'!$G$3:$G2419=M801)"),"LOS 3 AÑOS")</f>
        <v>LOS 3 AÑOS</v>
      </c>
      <c r="K801" s="12" t="s">
        <v>2011</v>
      </c>
      <c r="L801" s="11" t="s">
        <v>82</v>
      </c>
      <c r="M801" s="12" t="str">
        <f t="shared" ca="1" si="3"/>
        <v>601332 Secundaria</v>
      </c>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4"/>
    </row>
    <row r="802" spans="1:36" ht="15.75" customHeight="1" x14ac:dyDescent="0.25">
      <c r="A802" s="9">
        <v>292</v>
      </c>
      <c r="B802" s="10" t="s">
        <v>60</v>
      </c>
      <c r="C802" s="10" t="s">
        <v>41</v>
      </c>
      <c r="D802" s="10" t="s">
        <v>42</v>
      </c>
      <c r="E802" s="11" t="str">
        <f ca="1">IFERROR(__xludf.DUMMYFUNCTION("FILTER(Colegios!$B$2:$B2419,Colegios!$A$2:$A2419=L802)"),"60133")</f>
        <v>60133</v>
      </c>
      <c r="F802" s="11" t="s">
        <v>17</v>
      </c>
      <c r="G802" s="10" t="s">
        <v>24</v>
      </c>
      <c r="H802" s="11" t="s">
        <v>19</v>
      </c>
      <c r="I802" s="11" t="s">
        <v>20</v>
      </c>
      <c r="J802" s="12" t="str">
        <f ca="1">IFERROR(__xludf.DUMMYFUNCTION("FILTER('CLASFICACIÓN'!$F$3:$F2419,'CLASFICACIÓN'!$G$3:$G2419=M802)"),"LOS 3 AÑOS")</f>
        <v>LOS 3 AÑOS</v>
      </c>
      <c r="K802" s="12" t="s">
        <v>2011</v>
      </c>
      <c r="L802" s="11" t="s">
        <v>82</v>
      </c>
      <c r="M802" s="12" t="str">
        <f t="shared" ca="1" si="3"/>
        <v>601332 Secundaria</v>
      </c>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4"/>
    </row>
    <row r="803" spans="1:36" ht="15.75" customHeight="1" x14ac:dyDescent="0.25">
      <c r="A803" s="9">
        <v>293</v>
      </c>
      <c r="B803" s="10" t="s">
        <v>60</v>
      </c>
      <c r="C803" s="10" t="s">
        <v>41</v>
      </c>
      <c r="D803" s="10" t="s">
        <v>42</v>
      </c>
      <c r="E803" s="11" t="str">
        <f ca="1">IFERROR(__xludf.DUMMYFUNCTION("FILTER(Colegios!$B$2:$B2419,Colegios!$A$2:$A2419=L803)"),"60133")</f>
        <v>60133</v>
      </c>
      <c r="F803" s="11" t="s">
        <v>17</v>
      </c>
      <c r="G803" s="10" t="s">
        <v>24</v>
      </c>
      <c r="H803" s="11" t="s">
        <v>19</v>
      </c>
      <c r="I803" s="11" t="s">
        <v>20</v>
      </c>
      <c r="J803" s="12" t="str">
        <f ca="1">IFERROR(__xludf.DUMMYFUNCTION("FILTER('CLASFICACIÓN'!$F$3:$F2419,'CLASFICACIÓN'!$G$3:$G2419=M803)"),"LOS 3 AÑOS")</f>
        <v>LOS 3 AÑOS</v>
      </c>
      <c r="K803" s="12" t="s">
        <v>2011</v>
      </c>
      <c r="L803" s="11" t="s">
        <v>82</v>
      </c>
      <c r="M803" s="12" t="str">
        <f t="shared" ca="1" si="3"/>
        <v>601332 Secundaria</v>
      </c>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4"/>
    </row>
    <row r="804" spans="1:36" ht="15.75" customHeight="1" x14ac:dyDescent="0.25">
      <c r="A804" s="9">
        <v>294</v>
      </c>
      <c r="B804" s="10" t="s">
        <v>60</v>
      </c>
      <c r="C804" s="10" t="s">
        <v>41</v>
      </c>
      <c r="D804" s="10" t="s">
        <v>42</v>
      </c>
      <c r="E804" s="11" t="str">
        <f ca="1">IFERROR(__xludf.DUMMYFUNCTION("FILTER(Colegios!$B$2:$B2419,Colegios!$A$2:$A2419=L804)"),"60133")</f>
        <v>60133</v>
      </c>
      <c r="F804" s="11" t="s">
        <v>17</v>
      </c>
      <c r="G804" s="10" t="s">
        <v>24</v>
      </c>
      <c r="H804" s="11" t="s">
        <v>19</v>
      </c>
      <c r="I804" s="11" t="s">
        <v>20</v>
      </c>
      <c r="J804" s="12" t="str">
        <f ca="1">IFERROR(__xludf.DUMMYFUNCTION("FILTER('CLASFICACIÓN'!$F$3:$F2419,'CLASFICACIÓN'!$G$3:$G2419=M804)"),"LOS 3 AÑOS")</f>
        <v>LOS 3 AÑOS</v>
      </c>
      <c r="K804" s="12" t="s">
        <v>2011</v>
      </c>
      <c r="L804" s="11" t="s">
        <v>82</v>
      </c>
      <c r="M804" s="12" t="str">
        <f t="shared" ca="1" si="3"/>
        <v>601332 Secundaria</v>
      </c>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4"/>
    </row>
    <row r="805" spans="1:36" ht="15.75" customHeight="1" x14ac:dyDescent="0.25">
      <c r="A805" s="9">
        <v>295</v>
      </c>
      <c r="B805" s="10" t="s">
        <v>60</v>
      </c>
      <c r="C805" s="10" t="s">
        <v>41</v>
      </c>
      <c r="D805" s="10" t="s">
        <v>42</v>
      </c>
      <c r="E805" s="11" t="str">
        <f ca="1">IFERROR(__xludf.DUMMYFUNCTION("FILTER(Colegios!$B$2:$B2419,Colegios!$A$2:$A2419=L805)"),"60133")</f>
        <v>60133</v>
      </c>
      <c r="F805" s="11" t="s">
        <v>17</v>
      </c>
      <c r="G805" s="10" t="s">
        <v>18</v>
      </c>
      <c r="H805" s="11" t="s">
        <v>19</v>
      </c>
      <c r="I805" s="11" t="s">
        <v>20</v>
      </c>
      <c r="J805" s="12" t="str">
        <f ca="1">IFERROR(__xludf.DUMMYFUNCTION("FILTER('CLASFICACIÓN'!$F$3:$F2419,'CLASFICACIÓN'!$G$3:$G2419=M805)"),"LOS 3 AÑOS")</f>
        <v>LOS 3 AÑOS</v>
      </c>
      <c r="K805" s="12" t="s">
        <v>2011</v>
      </c>
      <c r="L805" s="11" t="s">
        <v>82</v>
      </c>
      <c r="M805" s="12" t="str">
        <f t="shared" ca="1" si="3"/>
        <v>601332 Secundaria</v>
      </c>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4"/>
    </row>
    <row r="806" spans="1:36" ht="15.75" customHeight="1" x14ac:dyDescent="0.25">
      <c r="A806" s="9">
        <v>297</v>
      </c>
      <c r="B806" s="10" t="s">
        <v>60</v>
      </c>
      <c r="C806" s="10" t="s">
        <v>41</v>
      </c>
      <c r="D806" s="10" t="s">
        <v>42</v>
      </c>
      <c r="E806" s="11" t="str">
        <f ca="1">IFERROR(__xludf.DUMMYFUNCTION("FILTER(Colegios!$B$2:$B2419,Colegios!$A$2:$A2419=L806)"),"60133")</f>
        <v>60133</v>
      </c>
      <c r="F806" s="11" t="s">
        <v>17</v>
      </c>
      <c r="G806" s="10" t="s">
        <v>24</v>
      </c>
      <c r="H806" s="11" t="s">
        <v>19</v>
      </c>
      <c r="I806" s="11" t="s">
        <v>20</v>
      </c>
      <c r="J806" s="12" t="str">
        <f ca="1">IFERROR(__xludf.DUMMYFUNCTION("FILTER('CLASFICACIÓN'!$F$3:$F2419,'CLASFICACIÓN'!$G$3:$G2419=M806)"),"LOS 3 AÑOS")</f>
        <v>LOS 3 AÑOS</v>
      </c>
      <c r="K806" s="12" t="s">
        <v>2011</v>
      </c>
      <c r="L806" s="11" t="s">
        <v>82</v>
      </c>
      <c r="M806" s="12" t="str">
        <f t="shared" ca="1" si="3"/>
        <v>601332 Secundaria</v>
      </c>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4"/>
    </row>
    <row r="807" spans="1:36" ht="15.75" customHeight="1" x14ac:dyDescent="0.25">
      <c r="A807" s="9">
        <v>298</v>
      </c>
      <c r="B807" s="10" t="s">
        <v>60</v>
      </c>
      <c r="C807" s="10" t="s">
        <v>41</v>
      </c>
      <c r="D807" s="10" t="s">
        <v>42</v>
      </c>
      <c r="E807" s="11" t="str">
        <f ca="1">IFERROR(__xludf.DUMMYFUNCTION("FILTER(Colegios!$B$2:$B2419,Colegios!$A$2:$A2419=L807)"),"60133")</f>
        <v>60133</v>
      </c>
      <c r="F807" s="11" t="s">
        <v>17</v>
      </c>
      <c r="G807" s="10" t="s">
        <v>24</v>
      </c>
      <c r="H807" s="11" t="s">
        <v>19</v>
      </c>
      <c r="I807" s="11" t="s">
        <v>20</v>
      </c>
      <c r="J807" s="12" t="str">
        <f ca="1">IFERROR(__xludf.DUMMYFUNCTION("FILTER('CLASFICACIÓN'!$F$3:$F2419,'CLASFICACIÓN'!$G$3:$G2419=M807)"),"LOS 3 AÑOS")</f>
        <v>LOS 3 AÑOS</v>
      </c>
      <c r="K807" s="12" t="s">
        <v>2011</v>
      </c>
      <c r="L807" s="11" t="s">
        <v>82</v>
      </c>
      <c r="M807" s="12" t="str">
        <f t="shared" ca="1" si="3"/>
        <v>601332 Secundaria</v>
      </c>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4"/>
    </row>
    <row r="808" spans="1:36" ht="15.75" customHeight="1" x14ac:dyDescent="0.25">
      <c r="A808" s="9">
        <v>299</v>
      </c>
      <c r="B808" s="10" t="s">
        <v>60</v>
      </c>
      <c r="C808" s="10" t="s">
        <v>41</v>
      </c>
      <c r="D808" s="10" t="s">
        <v>42</v>
      </c>
      <c r="E808" s="11" t="str">
        <f ca="1">IFERROR(__xludf.DUMMYFUNCTION("FILTER(Colegios!$B$2:$B2419,Colegios!$A$2:$A2419=L808)"),"60133")</f>
        <v>60133</v>
      </c>
      <c r="F808" s="11" t="s">
        <v>17</v>
      </c>
      <c r="G808" s="10" t="s">
        <v>18</v>
      </c>
      <c r="H808" s="11" t="s">
        <v>19</v>
      </c>
      <c r="I808" s="11" t="s">
        <v>20</v>
      </c>
      <c r="J808" s="12" t="str">
        <f ca="1">IFERROR(__xludf.DUMMYFUNCTION("FILTER('CLASFICACIÓN'!$F$3:$F2419,'CLASFICACIÓN'!$G$3:$G2419=M808)"),"LOS 3 AÑOS")</f>
        <v>LOS 3 AÑOS</v>
      </c>
      <c r="K808" s="12" t="s">
        <v>2011</v>
      </c>
      <c r="L808" s="11" t="s">
        <v>82</v>
      </c>
      <c r="M808" s="12" t="str">
        <f t="shared" ca="1" si="3"/>
        <v>601332 Secundaria</v>
      </c>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4"/>
    </row>
    <row r="809" spans="1:36" ht="15.75" customHeight="1" x14ac:dyDescent="0.25">
      <c r="A809" s="9">
        <v>300</v>
      </c>
      <c r="B809" s="10" t="s">
        <v>60</v>
      </c>
      <c r="C809" s="10" t="s">
        <v>41</v>
      </c>
      <c r="D809" s="10" t="s">
        <v>42</v>
      </c>
      <c r="E809" s="11" t="str">
        <f ca="1">IFERROR(__xludf.DUMMYFUNCTION("FILTER(Colegios!$B$2:$B2419,Colegios!$A$2:$A2419=L809)"),"60133")</f>
        <v>60133</v>
      </c>
      <c r="F809" s="11" t="s">
        <v>17</v>
      </c>
      <c r="G809" s="10" t="s">
        <v>18</v>
      </c>
      <c r="H809" s="11" t="s">
        <v>19</v>
      </c>
      <c r="I809" s="11" t="s">
        <v>20</v>
      </c>
      <c r="J809" s="12" t="str">
        <f ca="1">IFERROR(__xludf.DUMMYFUNCTION("FILTER('CLASFICACIÓN'!$F$3:$F2419,'CLASFICACIÓN'!$G$3:$G2419=M809)"),"LOS 3 AÑOS")</f>
        <v>LOS 3 AÑOS</v>
      </c>
      <c r="K809" s="12" t="s">
        <v>2011</v>
      </c>
      <c r="L809" s="11" t="s">
        <v>82</v>
      </c>
      <c r="M809" s="12" t="str">
        <f t="shared" ca="1" si="3"/>
        <v>601332 Secundaria</v>
      </c>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4"/>
    </row>
    <row r="810" spans="1:36" ht="15.75" customHeight="1" x14ac:dyDescent="0.25">
      <c r="A810" s="9">
        <v>302</v>
      </c>
      <c r="B810" s="10" t="s">
        <v>60</v>
      </c>
      <c r="C810" s="10" t="s">
        <v>41</v>
      </c>
      <c r="D810" s="10" t="s">
        <v>42</v>
      </c>
      <c r="E810" s="11" t="str">
        <f ca="1">IFERROR(__xludf.DUMMYFUNCTION("FILTER(Colegios!$B$2:$B2419,Colegios!$A$2:$A2419=L810)"),"60133")</f>
        <v>60133</v>
      </c>
      <c r="F810" s="11" t="s">
        <v>17</v>
      </c>
      <c r="G810" s="10" t="s">
        <v>18</v>
      </c>
      <c r="H810" s="11" t="s">
        <v>19</v>
      </c>
      <c r="I810" s="11" t="s">
        <v>20</v>
      </c>
      <c r="J810" s="12" t="str">
        <f ca="1">IFERROR(__xludf.DUMMYFUNCTION("FILTER('CLASFICACIÓN'!$F$3:$F2419,'CLASFICACIÓN'!$G$3:$G2419=M810)"),"LOS 3 AÑOS")</f>
        <v>LOS 3 AÑOS</v>
      </c>
      <c r="K810" s="12" t="s">
        <v>2011</v>
      </c>
      <c r="L810" s="11" t="s">
        <v>82</v>
      </c>
      <c r="M810" s="12" t="str">
        <f t="shared" ca="1" si="3"/>
        <v>601332 Secundaria</v>
      </c>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4"/>
    </row>
    <row r="811" spans="1:36" ht="15.75" customHeight="1" x14ac:dyDescent="0.25">
      <c r="A811" s="9">
        <v>303</v>
      </c>
      <c r="B811" s="10" t="s">
        <v>60</v>
      </c>
      <c r="C811" s="10" t="s">
        <v>41</v>
      </c>
      <c r="D811" s="10" t="s">
        <v>42</v>
      </c>
      <c r="E811" s="11" t="str">
        <f ca="1">IFERROR(__xludf.DUMMYFUNCTION("FILTER(Colegios!$B$2:$B2419,Colegios!$A$2:$A2419=L811)"),"60133")</f>
        <v>60133</v>
      </c>
      <c r="F811" s="11" t="s">
        <v>17</v>
      </c>
      <c r="G811" s="10" t="s">
        <v>18</v>
      </c>
      <c r="H811" s="11" t="s">
        <v>19</v>
      </c>
      <c r="I811" s="11" t="s">
        <v>20</v>
      </c>
      <c r="J811" s="12" t="str">
        <f ca="1">IFERROR(__xludf.DUMMYFUNCTION("FILTER('CLASFICACIÓN'!$F$3:$F2419,'CLASFICACIÓN'!$G$3:$G2419=M811)"),"LOS 3 AÑOS")</f>
        <v>LOS 3 AÑOS</v>
      </c>
      <c r="K811" s="12" t="s">
        <v>2011</v>
      </c>
      <c r="L811" s="11" t="s">
        <v>82</v>
      </c>
      <c r="M811" s="12" t="str">
        <f t="shared" ca="1" si="3"/>
        <v>601332 Secundaria</v>
      </c>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4"/>
    </row>
    <row r="812" spans="1:36" ht="15.75" customHeight="1" x14ac:dyDescent="0.25">
      <c r="A812" s="9">
        <v>304</v>
      </c>
      <c r="B812" s="10" t="s">
        <v>60</v>
      </c>
      <c r="C812" s="10" t="s">
        <v>41</v>
      </c>
      <c r="D812" s="10" t="s">
        <v>42</v>
      </c>
      <c r="E812" s="11" t="str">
        <f ca="1">IFERROR(__xludf.DUMMYFUNCTION("FILTER(Colegios!$B$2:$B2419,Colegios!$A$2:$A2419=L812)"),"60133")</f>
        <v>60133</v>
      </c>
      <c r="F812" s="11" t="s">
        <v>17</v>
      </c>
      <c r="G812" s="10" t="s">
        <v>24</v>
      </c>
      <c r="H812" s="11" t="s">
        <v>19</v>
      </c>
      <c r="I812" s="11" t="s">
        <v>20</v>
      </c>
      <c r="J812" s="12" t="str">
        <f ca="1">IFERROR(__xludf.DUMMYFUNCTION("FILTER('CLASFICACIÓN'!$F$3:$F2419,'CLASFICACIÓN'!$G$3:$G2419=M812)"),"LOS 3 AÑOS")</f>
        <v>LOS 3 AÑOS</v>
      </c>
      <c r="K812" s="12" t="s">
        <v>2011</v>
      </c>
      <c r="L812" s="11" t="s">
        <v>82</v>
      </c>
      <c r="M812" s="12" t="str">
        <f t="shared" ca="1" si="3"/>
        <v>601332 Secundaria</v>
      </c>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4"/>
    </row>
    <row r="813" spans="1:36" ht="15.75" customHeight="1" x14ac:dyDescent="0.25">
      <c r="A813" s="9">
        <v>305</v>
      </c>
      <c r="B813" s="10" t="s">
        <v>60</v>
      </c>
      <c r="C813" s="10" t="s">
        <v>41</v>
      </c>
      <c r="D813" s="10" t="s">
        <v>42</v>
      </c>
      <c r="E813" s="11" t="str">
        <f ca="1">IFERROR(__xludf.DUMMYFUNCTION("FILTER(Colegios!$B$2:$B2419,Colegios!$A$2:$A2419=L813)"),"60133")</f>
        <v>60133</v>
      </c>
      <c r="F813" s="11" t="s">
        <v>17</v>
      </c>
      <c r="G813" s="10" t="s">
        <v>24</v>
      </c>
      <c r="H813" s="11" t="s">
        <v>19</v>
      </c>
      <c r="I813" s="11" t="s">
        <v>20</v>
      </c>
      <c r="J813" s="12" t="str">
        <f ca="1">IFERROR(__xludf.DUMMYFUNCTION("FILTER('CLASFICACIÓN'!$F$3:$F2419,'CLASFICACIÓN'!$G$3:$G2419=M813)"),"LOS 3 AÑOS")</f>
        <v>LOS 3 AÑOS</v>
      </c>
      <c r="K813" s="12" t="s">
        <v>2011</v>
      </c>
      <c r="L813" s="11" t="s">
        <v>82</v>
      </c>
      <c r="M813" s="12" t="str">
        <f t="shared" ca="1" si="3"/>
        <v>601332 Secundaria</v>
      </c>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4"/>
    </row>
    <row r="814" spans="1:36" ht="15.75" customHeight="1" x14ac:dyDescent="0.25">
      <c r="A814" s="9">
        <v>306</v>
      </c>
      <c r="B814" s="10" t="s">
        <v>60</v>
      </c>
      <c r="C814" s="10" t="s">
        <v>41</v>
      </c>
      <c r="D814" s="10" t="s">
        <v>42</v>
      </c>
      <c r="E814" s="11" t="str">
        <f ca="1">IFERROR(__xludf.DUMMYFUNCTION("FILTER(Colegios!$B$2:$B2419,Colegios!$A$2:$A2419=L814)"),"60133")</f>
        <v>60133</v>
      </c>
      <c r="F814" s="11" t="s">
        <v>17</v>
      </c>
      <c r="G814" s="10" t="s">
        <v>24</v>
      </c>
      <c r="H814" s="11" t="s">
        <v>19</v>
      </c>
      <c r="I814" s="11" t="s">
        <v>20</v>
      </c>
      <c r="J814" s="12" t="str">
        <f ca="1">IFERROR(__xludf.DUMMYFUNCTION("FILTER('CLASFICACIÓN'!$F$3:$F2419,'CLASFICACIÓN'!$G$3:$G2419=M814)"),"LOS 3 AÑOS")</f>
        <v>LOS 3 AÑOS</v>
      </c>
      <c r="K814" s="12" t="s">
        <v>2011</v>
      </c>
      <c r="L814" s="11" t="s">
        <v>82</v>
      </c>
      <c r="M814" s="12" t="str">
        <f t="shared" ca="1" si="3"/>
        <v>601332 Secundaria</v>
      </c>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4"/>
    </row>
    <row r="815" spans="1:36" ht="15.75" customHeight="1" x14ac:dyDescent="0.25">
      <c r="A815" s="9">
        <v>307</v>
      </c>
      <c r="B815" s="10" t="s">
        <v>60</v>
      </c>
      <c r="C815" s="10" t="s">
        <v>41</v>
      </c>
      <c r="D815" s="10" t="s">
        <v>42</v>
      </c>
      <c r="E815" s="11" t="str">
        <f ca="1">IFERROR(__xludf.DUMMYFUNCTION("FILTER(Colegios!$B$2:$B2419,Colegios!$A$2:$A2419=L815)"),"60133")</f>
        <v>60133</v>
      </c>
      <c r="F815" s="11" t="s">
        <v>17</v>
      </c>
      <c r="G815" s="10" t="s">
        <v>18</v>
      </c>
      <c r="H815" s="11" t="s">
        <v>19</v>
      </c>
      <c r="I815" s="11" t="s">
        <v>20</v>
      </c>
      <c r="J815" s="12" t="str">
        <f ca="1">IFERROR(__xludf.DUMMYFUNCTION("FILTER('CLASFICACIÓN'!$F$3:$F2419,'CLASFICACIÓN'!$G$3:$G2419=M815)"),"LOS 3 AÑOS")</f>
        <v>LOS 3 AÑOS</v>
      </c>
      <c r="K815" s="12" t="s">
        <v>2011</v>
      </c>
      <c r="L815" s="11" t="s">
        <v>82</v>
      </c>
      <c r="M815" s="12" t="str">
        <f t="shared" ca="1" si="3"/>
        <v>601332 Secundaria</v>
      </c>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4"/>
    </row>
    <row r="816" spans="1:36" ht="15.75" customHeight="1" x14ac:dyDescent="0.25">
      <c r="A816" s="9">
        <v>308</v>
      </c>
      <c r="B816" s="10" t="s">
        <v>60</v>
      </c>
      <c r="C816" s="10" t="s">
        <v>41</v>
      </c>
      <c r="D816" s="10" t="s">
        <v>42</v>
      </c>
      <c r="E816" s="11" t="str">
        <f ca="1">IFERROR(__xludf.DUMMYFUNCTION("FILTER(Colegios!$B$2:$B2419,Colegios!$A$2:$A2419=L816)"),"60133")</f>
        <v>60133</v>
      </c>
      <c r="F816" s="11" t="s">
        <v>17</v>
      </c>
      <c r="G816" s="10" t="s">
        <v>18</v>
      </c>
      <c r="H816" s="11" t="s">
        <v>19</v>
      </c>
      <c r="I816" s="11" t="s">
        <v>20</v>
      </c>
      <c r="J816" s="12" t="str">
        <f ca="1">IFERROR(__xludf.DUMMYFUNCTION("FILTER('CLASFICACIÓN'!$F$3:$F2419,'CLASFICACIÓN'!$G$3:$G2419=M816)"),"LOS 3 AÑOS")</f>
        <v>LOS 3 AÑOS</v>
      </c>
      <c r="K816" s="12" t="s">
        <v>2011</v>
      </c>
      <c r="L816" s="11" t="s">
        <v>82</v>
      </c>
      <c r="M816" s="12" t="str">
        <f t="shared" ca="1" si="3"/>
        <v>601332 Secundaria</v>
      </c>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4"/>
    </row>
    <row r="817" spans="1:36" ht="15.75" customHeight="1" x14ac:dyDescent="0.25">
      <c r="A817" s="9">
        <v>310</v>
      </c>
      <c r="B817" s="10" t="s">
        <v>60</v>
      </c>
      <c r="C817" s="10" t="s">
        <v>41</v>
      </c>
      <c r="D817" s="10" t="s">
        <v>42</v>
      </c>
      <c r="E817" s="11" t="str">
        <f ca="1">IFERROR(__xludf.DUMMYFUNCTION("FILTER(Colegios!$B$2:$B2419,Colegios!$A$2:$A2419=L817)"),"60133")</f>
        <v>60133</v>
      </c>
      <c r="F817" s="11" t="s">
        <v>17</v>
      </c>
      <c r="G817" s="10" t="s">
        <v>18</v>
      </c>
      <c r="H817" s="11" t="s">
        <v>19</v>
      </c>
      <c r="I817" s="11" t="s">
        <v>20</v>
      </c>
      <c r="J817" s="12" t="str">
        <f ca="1">IFERROR(__xludf.DUMMYFUNCTION("FILTER('CLASFICACIÓN'!$F$3:$F2419,'CLASFICACIÓN'!$G$3:$G2419=M817)"),"LOS 3 AÑOS")</f>
        <v>LOS 3 AÑOS</v>
      </c>
      <c r="K817" s="12" t="s">
        <v>2011</v>
      </c>
      <c r="L817" s="11" t="s">
        <v>82</v>
      </c>
      <c r="M817" s="12" t="str">
        <f t="shared" ca="1" si="3"/>
        <v>601332 Secundaria</v>
      </c>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4"/>
    </row>
    <row r="818" spans="1:36" ht="15.75" customHeight="1" x14ac:dyDescent="0.25">
      <c r="A818" s="9">
        <v>311</v>
      </c>
      <c r="B818" s="10" t="s">
        <v>60</v>
      </c>
      <c r="C818" s="10" t="s">
        <v>41</v>
      </c>
      <c r="D818" s="10" t="s">
        <v>42</v>
      </c>
      <c r="E818" s="11" t="str">
        <f ca="1">IFERROR(__xludf.DUMMYFUNCTION("FILTER(Colegios!$B$2:$B2419,Colegios!$A$2:$A2419=L818)"),"60133")</f>
        <v>60133</v>
      </c>
      <c r="F818" s="11" t="s">
        <v>17</v>
      </c>
      <c r="G818" s="10" t="s">
        <v>24</v>
      </c>
      <c r="H818" s="11" t="s">
        <v>19</v>
      </c>
      <c r="I818" s="11" t="s">
        <v>20</v>
      </c>
      <c r="J818" s="12" t="str">
        <f ca="1">IFERROR(__xludf.DUMMYFUNCTION("FILTER('CLASFICACIÓN'!$F$3:$F2419,'CLASFICACIÓN'!$G$3:$G2419=M818)"),"LOS 3 AÑOS")</f>
        <v>LOS 3 AÑOS</v>
      </c>
      <c r="K818" s="12" t="s">
        <v>2011</v>
      </c>
      <c r="L818" s="11" t="s">
        <v>82</v>
      </c>
      <c r="M818" s="12" t="str">
        <f t="shared" ca="1" si="3"/>
        <v>601332 Secundaria</v>
      </c>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4"/>
    </row>
    <row r="819" spans="1:36" ht="15.75" customHeight="1" x14ac:dyDescent="0.25">
      <c r="A819" s="9">
        <v>312</v>
      </c>
      <c r="B819" s="10" t="s">
        <v>60</v>
      </c>
      <c r="C819" s="10" t="s">
        <v>41</v>
      </c>
      <c r="D819" s="10" t="s">
        <v>42</v>
      </c>
      <c r="E819" s="11" t="str">
        <f ca="1">IFERROR(__xludf.DUMMYFUNCTION("FILTER(Colegios!$B$2:$B2419,Colegios!$A$2:$A2419=L819)"),"60133")</f>
        <v>60133</v>
      </c>
      <c r="F819" s="11" t="s">
        <v>17</v>
      </c>
      <c r="G819" s="10" t="s">
        <v>24</v>
      </c>
      <c r="H819" s="11" t="s">
        <v>19</v>
      </c>
      <c r="I819" s="11" t="s">
        <v>20</v>
      </c>
      <c r="J819" s="12" t="str">
        <f ca="1">IFERROR(__xludf.DUMMYFUNCTION("FILTER('CLASFICACIÓN'!$F$3:$F2419,'CLASFICACIÓN'!$G$3:$G2419=M819)"),"LOS 3 AÑOS")</f>
        <v>LOS 3 AÑOS</v>
      </c>
      <c r="K819" s="12" t="s">
        <v>2011</v>
      </c>
      <c r="L819" s="11" t="s">
        <v>82</v>
      </c>
      <c r="M819" s="12" t="str">
        <f t="shared" ca="1" si="3"/>
        <v>601332 Secundaria</v>
      </c>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4"/>
    </row>
    <row r="820" spans="1:36" ht="15.75" customHeight="1" x14ac:dyDescent="0.25">
      <c r="A820" s="9">
        <v>313</v>
      </c>
      <c r="B820" s="10" t="s">
        <v>60</v>
      </c>
      <c r="C820" s="10" t="s">
        <v>41</v>
      </c>
      <c r="D820" s="10" t="s">
        <v>43</v>
      </c>
      <c r="E820" s="11" t="str">
        <f ca="1">IFERROR(__xludf.DUMMYFUNCTION("FILTER(Colegios!$B$2:$B2419,Colegios!$A$2:$A2419=L820)"),"60133")</f>
        <v>60133</v>
      </c>
      <c r="F820" s="11" t="s">
        <v>17</v>
      </c>
      <c r="G820" s="10" t="s">
        <v>24</v>
      </c>
      <c r="H820" s="11" t="s">
        <v>19</v>
      </c>
      <c r="I820" s="11" t="s">
        <v>20</v>
      </c>
      <c r="J820" s="12" t="str">
        <f ca="1">IFERROR(__xludf.DUMMYFUNCTION("FILTER('CLASFICACIÓN'!$F$3:$F2419,'CLASFICACIÓN'!$G$3:$G2419=M820)"),"LOS 3 AÑOS")</f>
        <v>LOS 3 AÑOS</v>
      </c>
      <c r="K820" s="12" t="s">
        <v>2011</v>
      </c>
      <c r="L820" s="11" t="s">
        <v>82</v>
      </c>
      <c r="M820" s="12" t="str">
        <f t="shared" ca="1" si="3"/>
        <v>601334 Secundaria</v>
      </c>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4"/>
    </row>
    <row r="821" spans="1:36" ht="15.75" customHeight="1" x14ac:dyDescent="0.25">
      <c r="A821" s="9">
        <v>314</v>
      </c>
      <c r="B821" s="10" t="s">
        <v>60</v>
      </c>
      <c r="C821" s="10" t="s">
        <v>41</v>
      </c>
      <c r="D821" s="10" t="s">
        <v>43</v>
      </c>
      <c r="E821" s="11" t="str">
        <f ca="1">IFERROR(__xludf.DUMMYFUNCTION("FILTER(Colegios!$B$2:$B2419,Colegios!$A$2:$A2419=L821)"),"60133")</f>
        <v>60133</v>
      </c>
      <c r="F821" s="11" t="s">
        <v>17</v>
      </c>
      <c r="G821" s="10" t="s">
        <v>24</v>
      </c>
      <c r="H821" s="11" t="s">
        <v>19</v>
      </c>
      <c r="I821" s="11" t="s">
        <v>20</v>
      </c>
      <c r="J821" s="12" t="str">
        <f ca="1">IFERROR(__xludf.DUMMYFUNCTION("FILTER('CLASFICACIÓN'!$F$3:$F2419,'CLASFICACIÓN'!$G$3:$G2419=M821)"),"LOS 3 AÑOS")</f>
        <v>LOS 3 AÑOS</v>
      </c>
      <c r="K821" s="12" t="s">
        <v>2011</v>
      </c>
      <c r="L821" s="11" t="s">
        <v>82</v>
      </c>
      <c r="M821" s="12" t="str">
        <f t="shared" ca="1" si="3"/>
        <v>601334 Secundaria</v>
      </c>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4"/>
    </row>
    <row r="822" spans="1:36" ht="15.75" customHeight="1" x14ac:dyDescent="0.25">
      <c r="A822" s="9">
        <v>315</v>
      </c>
      <c r="B822" s="10" t="s">
        <v>60</v>
      </c>
      <c r="C822" s="10" t="s">
        <v>41</v>
      </c>
      <c r="D822" s="10" t="s">
        <v>43</v>
      </c>
      <c r="E822" s="11" t="str">
        <f ca="1">IFERROR(__xludf.DUMMYFUNCTION("FILTER(Colegios!$B$2:$B2419,Colegios!$A$2:$A2419=L822)"),"60133")</f>
        <v>60133</v>
      </c>
      <c r="F822" s="11" t="s">
        <v>17</v>
      </c>
      <c r="G822" s="10" t="s">
        <v>24</v>
      </c>
      <c r="H822" s="11" t="s">
        <v>19</v>
      </c>
      <c r="I822" s="11" t="s">
        <v>20</v>
      </c>
      <c r="J822" s="12" t="str">
        <f ca="1">IFERROR(__xludf.DUMMYFUNCTION("FILTER('CLASFICACIÓN'!$F$3:$F2419,'CLASFICACIÓN'!$G$3:$G2419=M822)"),"LOS 3 AÑOS")</f>
        <v>LOS 3 AÑOS</v>
      </c>
      <c r="K822" s="12" t="s">
        <v>2011</v>
      </c>
      <c r="L822" s="11" t="s">
        <v>82</v>
      </c>
      <c r="M822" s="12" t="str">
        <f t="shared" ca="1" si="3"/>
        <v>601334 Secundaria</v>
      </c>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4"/>
    </row>
    <row r="823" spans="1:36" ht="15.75" customHeight="1" x14ac:dyDescent="0.25">
      <c r="A823" s="9">
        <v>316</v>
      </c>
      <c r="B823" s="10" t="s">
        <v>60</v>
      </c>
      <c r="C823" s="10" t="s">
        <v>41</v>
      </c>
      <c r="D823" s="10" t="s">
        <v>43</v>
      </c>
      <c r="E823" s="11" t="str">
        <f ca="1">IFERROR(__xludf.DUMMYFUNCTION("FILTER(Colegios!$B$2:$B2419,Colegios!$A$2:$A2419=L823)"),"60133")</f>
        <v>60133</v>
      </c>
      <c r="F823" s="11" t="s">
        <v>17</v>
      </c>
      <c r="G823" s="10" t="s">
        <v>18</v>
      </c>
      <c r="H823" s="11" t="s">
        <v>23</v>
      </c>
      <c r="I823" s="11" t="s">
        <v>20</v>
      </c>
      <c r="J823" s="12" t="str">
        <f ca="1">IFERROR(__xludf.DUMMYFUNCTION("FILTER('CLASFICACIÓN'!$F$3:$F2419,'CLASFICACIÓN'!$G$3:$G2419=M823)"),"LOS 3 AÑOS")</f>
        <v>LOS 3 AÑOS</v>
      </c>
      <c r="K823" s="12" t="s">
        <v>2011</v>
      </c>
      <c r="L823" s="11" t="s">
        <v>82</v>
      </c>
      <c r="M823" s="12" t="str">
        <f t="shared" ca="1" si="3"/>
        <v>601334 Secundaria</v>
      </c>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4"/>
    </row>
    <row r="824" spans="1:36" ht="15.75" customHeight="1" x14ac:dyDescent="0.25">
      <c r="A824" s="9">
        <v>317</v>
      </c>
      <c r="B824" s="10" t="s">
        <v>60</v>
      </c>
      <c r="C824" s="10" t="s">
        <v>41</v>
      </c>
      <c r="D824" s="10" t="s">
        <v>43</v>
      </c>
      <c r="E824" s="11" t="str">
        <f ca="1">IFERROR(__xludf.DUMMYFUNCTION("FILTER(Colegios!$B$2:$B2419,Colegios!$A$2:$A2419=L824)"),"60133")</f>
        <v>60133</v>
      </c>
      <c r="F824" s="11" t="s">
        <v>17</v>
      </c>
      <c r="G824" s="10" t="s">
        <v>18</v>
      </c>
      <c r="H824" s="11" t="s">
        <v>19</v>
      </c>
      <c r="I824" s="11" t="s">
        <v>20</v>
      </c>
      <c r="J824" s="12" t="str">
        <f ca="1">IFERROR(__xludf.DUMMYFUNCTION("FILTER('CLASFICACIÓN'!$F$3:$F2419,'CLASFICACIÓN'!$G$3:$G2419=M824)"),"LOS 3 AÑOS")</f>
        <v>LOS 3 AÑOS</v>
      </c>
      <c r="K824" s="12" t="s">
        <v>2011</v>
      </c>
      <c r="L824" s="11" t="s">
        <v>82</v>
      </c>
      <c r="M824" s="12" t="str">
        <f t="shared" ca="1" si="3"/>
        <v>601334 Secundaria</v>
      </c>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4"/>
    </row>
    <row r="825" spans="1:36" ht="15.75" customHeight="1" x14ac:dyDescent="0.25">
      <c r="A825" s="9">
        <v>318</v>
      </c>
      <c r="B825" s="10" t="s">
        <v>60</v>
      </c>
      <c r="C825" s="10" t="s">
        <v>41</v>
      </c>
      <c r="D825" s="10" t="s">
        <v>43</v>
      </c>
      <c r="E825" s="11" t="str">
        <f ca="1">IFERROR(__xludf.DUMMYFUNCTION("FILTER(Colegios!$B$2:$B2419,Colegios!$A$2:$A2419=L825)"),"60133")</f>
        <v>60133</v>
      </c>
      <c r="F825" s="11" t="s">
        <v>17</v>
      </c>
      <c r="G825" s="10" t="s">
        <v>24</v>
      </c>
      <c r="H825" s="11" t="s">
        <v>19</v>
      </c>
      <c r="I825" s="11" t="s">
        <v>20</v>
      </c>
      <c r="J825" s="12" t="str">
        <f ca="1">IFERROR(__xludf.DUMMYFUNCTION("FILTER('CLASFICACIÓN'!$F$3:$F2419,'CLASFICACIÓN'!$G$3:$G2419=M825)"),"LOS 3 AÑOS")</f>
        <v>LOS 3 AÑOS</v>
      </c>
      <c r="K825" s="12" t="s">
        <v>2011</v>
      </c>
      <c r="L825" s="11" t="s">
        <v>82</v>
      </c>
      <c r="M825" s="12" t="str">
        <f t="shared" ca="1" si="3"/>
        <v>601334 Secundaria</v>
      </c>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4"/>
    </row>
    <row r="826" spans="1:36" ht="15.75" customHeight="1" x14ac:dyDescent="0.25">
      <c r="A826" s="9">
        <v>319</v>
      </c>
      <c r="B826" s="10" t="s">
        <v>60</v>
      </c>
      <c r="C826" s="10" t="s">
        <v>41</v>
      </c>
      <c r="D826" s="10" t="s">
        <v>43</v>
      </c>
      <c r="E826" s="11" t="str">
        <f ca="1">IFERROR(__xludf.DUMMYFUNCTION("FILTER(Colegios!$B$2:$B2419,Colegios!$A$2:$A2419=L826)"),"60133")</f>
        <v>60133</v>
      </c>
      <c r="F826" s="11" t="s">
        <v>17</v>
      </c>
      <c r="G826" s="10" t="s">
        <v>24</v>
      </c>
      <c r="H826" s="11" t="s">
        <v>19</v>
      </c>
      <c r="I826" s="11" t="s">
        <v>20</v>
      </c>
      <c r="J826" s="12" t="str">
        <f ca="1">IFERROR(__xludf.DUMMYFUNCTION("FILTER('CLASFICACIÓN'!$F$3:$F2419,'CLASFICACIÓN'!$G$3:$G2419=M826)"),"LOS 3 AÑOS")</f>
        <v>LOS 3 AÑOS</v>
      </c>
      <c r="K826" s="12" t="s">
        <v>2011</v>
      </c>
      <c r="L826" s="11" t="s">
        <v>82</v>
      </c>
      <c r="M826" s="12" t="str">
        <f t="shared" ca="1" si="3"/>
        <v>601334 Secundaria</v>
      </c>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4"/>
    </row>
    <row r="827" spans="1:36" ht="15.75" customHeight="1" x14ac:dyDescent="0.25">
      <c r="A827" s="9">
        <v>320</v>
      </c>
      <c r="B827" s="10" t="s">
        <v>60</v>
      </c>
      <c r="C827" s="10" t="s">
        <v>41</v>
      </c>
      <c r="D827" s="10" t="s">
        <v>43</v>
      </c>
      <c r="E827" s="11" t="str">
        <f ca="1">IFERROR(__xludf.DUMMYFUNCTION("FILTER(Colegios!$B$2:$B2419,Colegios!$A$2:$A2419=L827)"),"60133")</f>
        <v>60133</v>
      </c>
      <c r="F827" s="11" t="s">
        <v>17</v>
      </c>
      <c r="G827" s="10" t="s">
        <v>24</v>
      </c>
      <c r="H827" s="11" t="s">
        <v>19</v>
      </c>
      <c r="I827" s="11" t="s">
        <v>20</v>
      </c>
      <c r="J827" s="12" t="str">
        <f ca="1">IFERROR(__xludf.DUMMYFUNCTION("FILTER('CLASFICACIÓN'!$F$3:$F2419,'CLASFICACIÓN'!$G$3:$G2419=M827)"),"LOS 3 AÑOS")</f>
        <v>LOS 3 AÑOS</v>
      </c>
      <c r="K827" s="12" t="s">
        <v>2011</v>
      </c>
      <c r="L827" s="11" t="s">
        <v>82</v>
      </c>
      <c r="M827" s="12" t="str">
        <f t="shared" ca="1" si="3"/>
        <v>601334 Secundaria</v>
      </c>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4"/>
    </row>
    <row r="828" spans="1:36" ht="15.75" customHeight="1" x14ac:dyDescent="0.25">
      <c r="A828" s="9">
        <v>321</v>
      </c>
      <c r="B828" s="10" t="s">
        <v>60</v>
      </c>
      <c r="C828" s="10" t="s">
        <v>41</v>
      </c>
      <c r="D828" s="10" t="s">
        <v>43</v>
      </c>
      <c r="E828" s="11" t="str">
        <f ca="1">IFERROR(__xludf.DUMMYFUNCTION("FILTER(Colegios!$B$2:$B2419,Colegios!$A$2:$A2419=L828)"),"60133")</f>
        <v>60133</v>
      </c>
      <c r="F828" s="11" t="s">
        <v>17</v>
      </c>
      <c r="G828" s="10" t="s">
        <v>18</v>
      </c>
      <c r="H828" s="11" t="s">
        <v>19</v>
      </c>
      <c r="I828" s="11" t="s">
        <v>20</v>
      </c>
      <c r="J828" s="12" t="str">
        <f ca="1">IFERROR(__xludf.DUMMYFUNCTION("FILTER('CLASFICACIÓN'!$F$3:$F2419,'CLASFICACIÓN'!$G$3:$G2419=M828)"),"LOS 3 AÑOS")</f>
        <v>LOS 3 AÑOS</v>
      </c>
      <c r="K828" s="12" t="s">
        <v>2011</v>
      </c>
      <c r="L828" s="11" t="s">
        <v>82</v>
      </c>
      <c r="M828" s="12" t="str">
        <f t="shared" ca="1" si="3"/>
        <v>601334 Secundaria</v>
      </c>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4"/>
    </row>
    <row r="829" spans="1:36" ht="15.75" customHeight="1" x14ac:dyDescent="0.25">
      <c r="A829" s="9">
        <v>322</v>
      </c>
      <c r="B829" s="10" t="s">
        <v>60</v>
      </c>
      <c r="C829" s="10" t="s">
        <v>41</v>
      </c>
      <c r="D829" s="10" t="s">
        <v>43</v>
      </c>
      <c r="E829" s="11" t="str">
        <f ca="1">IFERROR(__xludf.DUMMYFUNCTION("FILTER(Colegios!$B$2:$B2419,Colegios!$A$2:$A2419=L829)"),"60133")</f>
        <v>60133</v>
      </c>
      <c r="F829" s="11" t="s">
        <v>17</v>
      </c>
      <c r="G829" s="10" t="s">
        <v>18</v>
      </c>
      <c r="H829" s="11" t="s">
        <v>19</v>
      </c>
      <c r="I829" s="11" t="s">
        <v>20</v>
      </c>
      <c r="J829" s="12" t="str">
        <f ca="1">IFERROR(__xludf.DUMMYFUNCTION("FILTER('CLASFICACIÓN'!$F$3:$F2419,'CLASFICACIÓN'!$G$3:$G2419=M829)"),"LOS 3 AÑOS")</f>
        <v>LOS 3 AÑOS</v>
      </c>
      <c r="K829" s="12" t="s">
        <v>2011</v>
      </c>
      <c r="L829" s="11" t="s">
        <v>82</v>
      </c>
      <c r="M829" s="12" t="str">
        <f t="shared" ca="1" si="3"/>
        <v>601334 Secundaria</v>
      </c>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4"/>
    </row>
    <row r="830" spans="1:36" ht="15.75" customHeight="1" x14ac:dyDescent="0.25">
      <c r="A830" s="9">
        <v>323</v>
      </c>
      <c r="B830" s="10" t="s">
        <v>60</v>
      </c>
      <c r="C830" s="10" t="s">
        <v>41</v>
      </c>
      <c r="D830" s="10" t="s">
        <v>43</v>
      </c>
      <c r="E830" s="11" t="str">
        <f ca="1">IFERROR(__xludf.DUMMYFUNCTION("FILTER(Colegios!$B$2:$B2419,Colegios!$A$2:$A2419=L830)"),"60133")</f>
        <v>60133</v>
      </c>
      <c r="F830" s="11" t="s">
        <v>17</v>
      </c>
      <c r="G830" s="10" t="s">
        <v>24</v>
      </c>
      <c r="H830" s="11" t="s">
        <v>19</v>
      </c>
      <c r="I830" s="11" t="s">
        <v>20</v>
      </c>
      <c r="J830" s="12" t="str">
        <f ca="1">IFERROR(__xludf.DUMMYFUNCTION("FILTER('CLASFICACIÓN'!$F$3:$F2419,'CLASFICACIÓN'!$G$3:$G2419=M830)"),"LOS 3 AÑOS")</f>
        <v>LOS 3 AÑOS</v>
      </c>
      <c r="K830" s="12" t="s">
        <v>2011</v>
      </c>
      <c r="L830" s="11" t="s">
        <v>82</v>
      </c>
      <c r="M830" s="12" t="str">
        <f t="shared" ca="1" si="3"/>
        <v>601334 Secundaria</v>
      </c>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4"/>
    </row>
    <row r="831" spans="1:36" ht="15.75" customHeight="1" x14ac:dyDescent="0.25">
      <c r="A831" s="9">
        <v>324</v>
      </c>
      <c r="B831" s="10" t="s">
        <v>60</v>
      </c>
      <c r="C831" s="10" t="s">
        <v>41</v>
      </c>
      <c r="D831" s="10" t="s">
        <v>43</v>
      </c>
      <c r="E831" s="11" t="str">
        <f ca="1">IFERROR(__xludf.DUMMYFUNCTION("FILTER(Colegios!$B$2:$B2419,Colegios!$A$2:$A2419=L831)"),"60133")</f>
        <v>60133</v>
      </c>
      <c r="F831" s="11" t="s">
        <v>17</v>
      </c>
      <c r="G831" s="10" t="s">
        <v>18</v>
      </c>
      <c r="H831" s="11" t="s">
        <v>19</v>
      </c>
      <c r="I831" s="11" t="s">
        <v>20</v>
      </c>
      <c r="J831" s="12" t="str">
        <f ca="1">IFERROR(__xludf.DUMMYFUNCTION("FILTER('CLASFICACIÓN'!$F$3:$F2419,'CLASFICACIÓN'!$G$3:$G2419=M831)"),"LOS 3 AÑOS")</f>
        <v>LOS 3 AÑOS</v>
      </c>
      <c r="K831" s="12" t="s">
        <v>2011</v>
      </c>
      <c r="L831" s="11" t="s">
        <v>82</v>
      </c>
      <c r="M831" s="12" t="str">
        <f t="shared" ca="1" si="3"/>
        <v>601334 Secundaria</v>
      </c>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4"/>
    </row>
    <row r="832" spans="1:36" ht="15.75" customHeight="1" x14ac:dyDescent="0.25">
      <c r="A832" s="9">
        <v>326</v>
      </c>
      <c r="B832" s="10" t="s">
        <v>60</v>
      </c>
      <c r="C832" s="10" t="s">
        <v>41</v>
      </c>
      <c r="D832" s="10" t="s">
        <v>43</v>
      </c>
      <c r="E832" s="11" t="str">
        <f ca="1">IFERROR(__xludf.DUMMYFUNCTION("FILTER(Colegios!$B$2:$B2419,Colegios!$A$2:$A2419=L832)"),"60133")</f>
        <v>60133</v>
      </c>
      <c r="F832" s="11" t="s">
        <v>17</v>
      </c>
      <c r="G832" s="10" t="s">
        <v>18</v>
      </c>
      <c r="H832" s="11" t="s">
        <v>19</v>
      </c>
      <c r="I832" s="11" t="s">
        <v>20</v>
      </c>
      <c r="J832" s="12" t="str">
        <f ca="1">IFERROR(__xludf.DUMMYFUNCTION("FILTER('CLASFICACIÓN'!$F$3:$F2419,'CLASFICACIÓN'!$G$3:$G2419=M832)"),"LOS 3 AÑOS")</f>
        <v>LOS 3 AÑOS</v>
      </c>
      <c r="K832" s="12" t="s">
        <v>2011</v>
      </c>
      <c r="L832" s="11" t="s">
        <v>82</v>
      </c>
      <c r="M832" s="12" t="str">
        <f t="shared" ca="1" si="3"/>
        <v>601334 Secundaria</v>
      </c>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4"/>
    </row>
    <row r="833" spans="1:36" ht="15.75" customHeight="1" x14ac:dyDescent="0.25">
      <c r="A833" s="9">
        <v>327</v>
      </c>
      <c r="B833" s="10" t="s">
        <v>60</v>
      </c>
      <c r="C833" s="10" t="s">
        <v>41</v>
      </c>
      <c r="D833" s="10" t="s">
        <v>43</v>
      </c>
      <c r="E833" s="11" t="str">
        <f ca="1">IFERROR(__xludf.DUMMYFUNCTION("FILTER(Colegios!$B$2:$B2419,Colegios!$A$2:$A2419=L833)"),"60133")</f>
        <v>60133</v>
      </c>
      <c r="F833" s="11" t="s">
        <v>17</v>
      </c>
      <c r="G833" s="10" t="s">
        <v>18</v>
      </c>
      <c r="H833" s="11" t="s">
        <v>19</v>
      </c>
      <c r="I833" s="11" t="s">
        <v>20</v>
      </c>
      <c r="J833" s="12" t="str">
        <f ca="1">IFERROR(__xludf.DUMMYFUNCTION("FILTER('CLASFICACIÓN'!$F$3:$F2419,'CLASFICACIÓN'!$G$3:$G2419=M833)"),"LOS 3 AÑOS")</f>
        <v>LOS 3 AÑOS</v>
      </c>
      <c r="K833" s="12" t="s">
        <v>2011</v>
      </c>
      <c r="L833" s="11" t="s">
        <v>82</v>
      </c>
      <c r="M833" s="12" t="str">
        <f t="shared" ca="1" si="3"/>
        <v>601334 Secundaria</v>
      </c>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4"/>
    </row>
    <row r="834" spans="1:36" ht="15.75" customHeight="1" x14ac:dyDescent="0.25">
      <c r="A834" s="9">
        <v>328</v>
      </c>
      <c r="B834" s="10" t="s">
        <v>60</v>
      </c>
      <c r="C834" s="10" t="s">
        <v>41</v>
      </c>
      <c r="D834" s="10" t="s">
        <v>43</v>
      </c>
      <c r="E834" s="11" t="str">
        <f ca="1">IFERROR(__xludf.DUMMYFUNCTION("FILTER(Colegios!$B$2:$B2419,Colegios!$A$2:$A2419=L834)"),"60133")</f>
        <v>60133</v>
      </c>
      <c r="F834" s="11" t="s">
        <v>17</v>
      </c>
      <c r="G834" s="10" t="s">
        <v>18</v>
      </c>
      <c r="H834" s="11" t="s">
        <v>19</v>
      </c>
      <c r="I834" s="11" t="s">
        <v>20</v>
      </c>
      <c r="J834" s="12" t="str">
        <f ca="1">IFERROR(__xludf.DUMMYFUNCTION("FILTER('CLASFICACIÓN'!$F$3:$F2419,'CLASFICACIÓN'!$G$3:$G2419=M834)"),"LOS 3 AÑOS")</f>
        <v>LOS 3 AÑOS</v>
      </c>
      <c r="K834" s="12" t="s">
        <v>2011</v>
      </c>
      <c r="L834" s="11" t="s">
        <v>82</v>
      </c>
      <c r="M834" s="12" t="str">
        <f t="shared" ca="1" si="3"/>
        <v>601334 Secundaria</v>
      </c>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4"/>
    </row>
    <row r="835" spans="1:36" ht="15.75" customHeight="1" x14ac:dyDescent="0.25">
      <c r="A835" s="9">
        <v>329</v>
      </c>
      <c r="B835" s="10" t="s">
        <v>60</v>
      </c>
      <c r="C835" s="10" t="s">
        <v>41</v>
      </c>
      <c r="D835" s="10" t="s">
        <v>43</v>
      </c>
      <c r="E835" s="11" t="str">
        <f ca="1">IFERROR(__xludf.DUMMYFUNCTION("FILTER(Colegios!$B$2:$B2419,Colegios!$A$2:$A2419=L835)"),"60133")</f>
        <v>60133</v>
      </c>
      <c r="F835" s="11" t="s">
        <v>17</v>
      </c>
      <c r="G835" s="10" t="s">
        <v>24</v>
      </c>
      <c r="H835" s="11" t="s">
        <v>19</v>
      </c>
      <c r="I835" s="11" t="s">
        <v>20</v>
      </c>
      <c r="J835" s="12" t="str">
        <f ca="1">IFERROR(__xludf.DUMMYFUNCTION("FILTER('CLASFICACIÓN'!$F$3:$F2419,'CLASFICACIÓN'!$G$3:$G2419=M835)"),"LOS 3 AÑOS")</f>
        <v>LOS 3 AÑOS</v>
      </c>
      <c r="K835" s="12" t="s">
        <v>2011</v>
      </c>
      <c r="L835" s="11" t="s">
        <v>82</v>
      </c>
      <c r="M835" s="12" t="str">
        <f t="shared" ca="1" si="3"/>
        <v>601334 Secundaria</v>
      </c>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4"/>
    </row>
    <row r="836" spans="1:36" ht="15.75" customHeight="1" x14ac:dyDescent="0.25">
      <c r="A836" s="9">
        <v>330</v>
      </c>
      <c r="B836" s="10" t="s">
        <v>60</v>
      </c>
      <c r="C836" s="10" t="s">
        <v>41</v>
      </c>
      <c r="D836" s="10" t="s">
        <v>43</v>
      </c>
      <c r="E836" s="11" t="str">
        <f ca="1">IFERROR(__xludf.DUMMYFUNCTION("FILTER(Colegios!$B$2:$B2419,Colegios!$A$2:$A2419=L836)"),"60133")</f>
        <v>60133</v>
      </c>
      <c r="F836" s="11" t="s">
        <v>17</v>
      </c>
      <c r="G836" s="10" t="s">
        <v>18</v>
      </c>
      <c r="H836" s="11" t="s">
        <v>19</v>
      </c>
      <c r="I836" s="11" t="s">
        <v>20</v>
      </c>
      <c r="J836" s="12" t="str">
        <f ca="1">IFERROR(__xludf.DUMMYFUNCTION("FILTER('CLASFICACIÓN'!$F$3:$F2419,'CLASFICACIÓN'!$G$3:$G2419=M836)"),"LOS 3 AÑOS")</f>
        <v>LOS 3 AÑOS</v>
      </c>
      <c r="K836" s="12" t="s">
        <v>2011</v>
      </c>
      <c r="L836" s="11" t="s">
        <v>82</v>
      </c>
      <c r="M836" s="12" t="str">
        <f t="shared" ca="1" si="3"/>
        <v>601334 Secundaria</v>
      </c>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4"/>
    </row>
    <row r="837" spans="1:36" ht="15.75" customHeight="1" x14ac:dyDescent="0.25">
      <c r="A837" s="9">
        <v>331</v>
      </c>
      <c r="B837" s="10" t="s">
        <v>60</v>
      </c>
      <c r="C837" s="10" t="s">
        <v>41</v>
      </c>
      <c r="D837" s="10" t="s">
        <v>43</v>
      </c>
      <c r="E837" s="11" t="str">
        <f ca="1">IFERROR(__xludf.DUMMYFUNCTION("FILTER(Colegios!$B$2:$B2419,Colegios!$A$2:$A2419=L837)"),"60133")</f>
        <v>60133</v>
      </c>
      <c r="F837" s="11" t="s">
        <v>17</v>
      </c>
      <c r="G837" s="10" t="s">
        <v>24</v>
      </c>
      <c r="H837" s="11" t="s">
        <v>19</v>
      </c>
      <c r="I837" s="11" t="s">
        <v>20</v>
      </c>
      <c r="J837" s="12" t="str">
        <f ca="1">IFERROR(__xludf.DUMMYFUNCTION("FILTER('CLASFICACIÓN'!$F$3:$F2419,'CLASFICACIÓN'!$G$3:$G2419=M837)"),"LOS 3 AÑOS")</f>
        <v>LOS 3 AÑOS</v>
      </c>
      <c r="K837" s="12" t="s">
        <v>2011</v>
      </c>
      <c r="L837" s="11" t="s">
        <v>82</v>
      </c>
      <c r="M837" s="12" t="str">
        <f t="shared" ca="1" si="3"/>
        <v>601334 Secundaria</v>
      </c>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4"/>
    </row>
    <row r="838" spans="1:36" ht="15.75" customHeight="1" x14ac:dyDescent="0.25">
      <c r="A838" s="9">
        <v>332</v>
      </c>
      <c r="B838" s="10" t="s">
        <v>60</v>
      </c>
      <c r="C838" s="10" t="s">
        <v>41</v>
      </c>
      <c r="D838" s="10" t="s">
        <v>43</v>
      </c>
      <c r="E838" s="11" t="str">
        <f ca="1">IFERROR(__xludf.DUMMYFUNCTION("FILTER(Colegios!$B$2:$B2419,Colegios!$A$2:$A2419=L838)"),"60133")</f>
        <v>60133</v>
      </c>
      <c r="F838" s="11" t="s">
        <v>17</v>
      </c>
      <c r="G838" s="10" t="s">
        <v>18</v>
      </c>
      <c r="H838" s="11" t="s">
        <v>19</v>
      </c>
      <c r="I838" s="11" t="s">
        <v>20</v>
      </c>
      <c r="J838" s="12" t="str">
        <f ca="1">IFERROR(__xludf.DUMMYFUNCTION("FILTER('CLASFICACIÓN'!$F$3:$F2419,'CLASFICACIÓN'!$G$3:$G2419=M838)"),"LOS 3 AÑOS")</f>
        <v>LOS 3 AÑOS</v>
      </c>
      <c r="K838" s="12" t="s">
        <v>2011</v>
      </c>
      <c r="L838" s="11" t="s">
        <v>82</v>
      </c>
      <c r="M838" s="12" t="str">
        <f t="shared" ca="1" si="3"/>
        <v>601334 Secundaria</v>
      </c>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4"/>
    </row>
    <row r="839" spans="1:36" ht="15.75" customHeight="1" x14ac:dyDescent="0.25">
      <c r="A839" s="9">
        <v>333</v>
      </c>
      <c r="B839" s="10" t="s">
        <v>60</v>
      </c>
      <c r="C839" s="10" t="s">
        <v>41</v>
      </c>
      <c r="D839" s="10" t="s">
        <v>43</v>
      </c>
      <c r="E839" s="11" t="str">
        <f ca="1">IFERROR(__xludf.DUMMYFUNCTION("FILTER(Colegios!$B$2:$B2419,Colegios!$A$2:$A2419=L839)"),"60133")</f>
        <v>60133</v>
      </c>
      <c r="F839" s="11" t="s">
        <v>17</v>
      </c>
      <c r="G839" s="10" t="s">
        <v>18</v>
      </c>
      <c r="H839" s="11" t="s">
        <v>19</v>
      </c>
      <c r="I839" s="11" t="s">
        <v>20</v>
      </c>
      <c r="J839" s="12" t="str">
        <f ca="1">IFERROR(__xludf.DUMMYFUNCTION("FILTER('CLASFICACIÓN'!$F$3:$F2419,'CLASFICACIÓN'!$G$3:$G2419=M839)"),"LOS 3 AÑOS")</f>
        <v>LOS 3 AÑOS</v>
      </c>
      <c r="K839" s="12" t="s">
        <v>2011</v>
      </c>
      <c r="L839" s="11" t="s">
        <v>82</v>
      </c>
      <c r="M839" s="12" t="str">
        <f t="shared" ca="1" si="3"/>
        <v>601334 Secundaria</v>
      </c>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4"/>
    </row>
    <row r="840" spans="1:36" ht="15.75" customHeight="1" x14ac:dyDescent="0.25">
      <c r="A840" s="9">
        <v>334</v>
      </c>
      <c r="B840" s="10" t="s">
        <v>60</v>
      </c>
      <c r="C840" s="10" t="s">
        <v>41</v>
      </c>
      <c r="D840" s="10" t="s">
        <v>43</v>
      </c>
      <c r="E840" s="11" t="str">
        <f ca="1">IFERROR(__xludf.DUMMYFUNCTION("FILTER(Colegios!$B$2:$B2419,Colegios!$A$2:$A2419=L840)"),"60133")</f>
        <v>60133</v>
      </c>
      <c r="F840" s="11" t="s">
        <v>17</v>
      </c>
      <c r="G840" s="10" t="s">
        <v>18</v>
      </c>
      <c r="H840" s="11" t="s">
        <v>23</v>
      </c>
      <c r="I840" s="11" t="s">
        <v>20</v>
      </c>
      <c r="J840" s="12" t="str">
        <f ca="1">IFERROR(__xludf.DUMMYFUNCTION("FILTER('CLASFICACIÓN'!$F$3:$F2419,'CLASFICACIÓN'!$G$3:$G2419=M840)"),"LOS 3 AÑOS")</f>
        <v>LOS 3 AÑOS</v>
      </c>
      <c r="K840" s="12" t="s">
        <v>2011</v>
      </c>
      <c r="L840" s="11" t="s">
        <v>82</v>
      </c>
      <c r="M840" s="12" t="str">
        <f t="shared" ca="1" si="3"/>
        <v>601334 Secundaria</v>
      </c>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4"/>
    </row>
    <row r="841" spans="1:36" ht="15.75" customHeight="1" x14ac:dyDescent="0.25">
      <c r="A841" s="9">
        <v>335</v>
      </c>
      <c r="B841" s="10" t="s">
        <v>60</v>
      </c>
      <c r="C841" s="10" t="s">
        <v>41</v>
      </c>
      <c r="D841" s="10" t="s">
        <v>43</v>
      </c>
      <c r="E841" s="11" t="str">
        <f ca="1">IFERROR(__xludf.DUMMYFUNCTION("FILTER(Colegios!$B$2:$B2419,Colegios!$A$2:$A2419=L841)"),"60133")</f>
        <v>60133</v>
      </c>
      <c r="F841" s="11" t="s">
        <v>17</v>
      </c>
      <c r="G841" s="10" t="s">
        <v>24</v>
      </c>
      <c r="H841" s="11" t="s">
        <v>19</v>
      </c>
      <c r="I841" s="11" t="s">
        <v>20</v>
      </c>
      <c r="J841" s="12" t="str">
        <f ca="1">IFERROR(__xludf.DUMMYFUNCTION("FILTER('CLASFICACIÓN'!$F$3:$F2419,'CLASFICACIÓN'!$G$3:$G2419=M841)"),"LOS 3 AÑOS")</f>
        <v>LOS 3 AÑOS</v>
      </c>
      <c r="K841" s="12" t="s">
        <v>2011</v>
      </c>
      <c r="L841" s="11" t="s">
        <v>82</v>
      </c>
      <c r="M841" s="12" t="str">
        <f t="shared" ca="1" si="3"/>
        <v>601334 Secundaria</v>
      </c>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4"/>
    </row>
    <row r="842" spans="1:36" ht="15.75" customHeight="1" x14ac:dyDescent="0.25">
      <c r="A842" s="9">
        <v>1</v>
      </c>
      <c r="B842" s="10" t="s">
        <v>83</v>
      </c>
      <c r="C842" s="10" t="s">
        <v>15</v>
      </c>
      <c r="D842" s="10" t="s">
        <v>45</v>
      </c>
      <c r="E842" s="11" t="str">
        <f ca="1">IFERROR(__xludf.DUMMYFUNCTION("FILTER(Colegios!$B$2:$B2419,Colegios!$A$2:$A2419=L842)"),"86809")</f>
        <v>86809</v>
      </c>
      <c r="F842" s="11" t="s">
        <v>17</v>
      </c>
      <c r="G842" s="10" t="s">
        <v>18</v>
      </c>
      <c r="H842" s="11" t="s">
        <v>19</v>
      </c>
      <c r="I842" s="11" t="s">
        <v>20</v>
      </c>
      <c r="J842" s="12" t="str">
        <f ca="1">IFERROR(__xludf.DUMMYFUNCTION("FILTER('CLASFICACIÓN'!$F$3:$F2419,'CLASFICACIÓN'!$G$3:$G2419=M842)"),"LOS 3 AÑOS")</f>
        <v>LOS 3 AÑOS</v>
      </c>
      <c r="K842" s="12" t="s">
        <v>2012</v>
      </c>
      <c r="L842" s="11" t="s">
        <v>84</v>
      </c>
      <c r="M842" s="12" t="str">
        <f t="shared" ca="1" si="3"/>
        <v>868092 Primaria</v>
      </c>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4"/>
    </row>
    <row r="843" spans="1:36" ht="15.75" customHeight="1" x14ac:dyDescent="0.25">
      <c r="A843" s="9">
        <v>2</v>
      </c>
      <c r="B843" s="10" t="s">
        <v>83</v>
      </c>
      <c r="C843" s="10" t="s">
        <v>15</v>
      </c>
      <c r="D843" s="10" t="s">
        <v>16</v>
      </c>
      <c r="E843" s="11" t="str">
        <f ca="1">IFERROR(__xludf.DUMMYFUNCTION("FILTER(Colegios!$B$2:$B2419,Colegios!$A$2:$A2419=L843)"),"86809")</f>
        <v>86809</v>
      </c>
      <c r="F843" s="11" t="s">
        <v>17</v>
      </c>
      <c r="G843" s="10" t="s">
        <v>18</v>
      </c>
      <c r="H843" s="11" t="s">
        <v>19</v>
      </c>
      <c r="I843" s="11" t="s">
        <v>20</v>
      </c>
      <c r="J843" s="12" t="str">
        <f ca="1">IFERROR(__xludf.DUMMYFUNCTION("FILTER('CLASFICACIÓN'!$F$3:$F2419,'CLASFICACIÓN'!$G$3:$G2419=M843)"),"LOS 3 AÑOS")</f>
        <v>LOS 3 AÑOS</v>
      </c>
      <c r="K843" s="12" t="s">
        <v>2012</v>
      </c>
      <c r="L843" s="11" t="s">
        <v>84</v>
      </c>
      <c r="M843" s="12" t="str">
        <f t="shared" ca="1" si="3"/>
        <v>868094 Primaria</v>
      </c>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4"/>
    </row>
    <row r="844" spans="1:36" ht="15.75" customHeight="1" x14ac:dyDescent="0.25">
      <c r="A844" s="9">
        <v>3</v>
      </c>
      <c r="B844" s="10" t="s">
        <v>83</v>
      </c>
      <c r="C844" s="10" t="s">
        <v>15</v>
      </c>
      <c r="D844" s="10" t="s">
        <v>16</v>
      </c>
      <c r="E844" s="11" t="str">
        <f ca="1">IFERROR(__xludf.DUMMYFUNCTION("FILTER(Colegios!$B$2:$B2419,Colegios!$A$2:$A2419=L844)"),"86809")</f>
        <v>86809</v>
      </c>
      <c r="F844" s="11" t="s">
        <v>17</v>
      </c>
      <c r="G844" s="10" t="s">
        <v>18</v>
      </c>
      <c r="H844" s="11" t="s">
        <v>19</v>
      </c>
      <c r="I844" s="11" t="s">
        <v>20</v>
      </c>
      <c r="J844" s="12" t="str">
        <f ca="1">IFERROR(__xludf.DUMMYFUNCTION("FILTER('CLASFICACIÓN'!$F$3:$F2419,'CLASFICACIÓN'!$G$3:$G2419=M844)"),"LOS 3 AÑOS")</f>
        <v>LOS 3 AÑOS</v>
      </c>
      <c r="K844" s="12" t="s">
        <v>2012</v>
      </c>
      <c r="L844" s="11" t="s">
        <v>84</v>
      </c>
      <c r="M844" s="12" t="str">
        <f t="shared" ca="1" si="3"/>
        <v>868094 Primaria</v>
      </c>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4"/>
    </row>
    <row r="845" spans="1:36" ht="15.75" customHeight="1" x14ac:dyDescent="0.25">
      <c r="A845" s="9">
        <v>4</v>
      </c>
      <c r="B845" s="10" t="s">
        <v>83</v>
      </c>
      <c r="C845" s="10" t="s">
        <v>15</v>
      </c>
      <c r="D845" s="10" t="s">
        <v>16</v>
      </c>
      <c r="E845" s="11" t="str">
        <f ca="1">IFERROR(__xludf.DUMMYFUNCTION("FILTER(Colegios!$B$2:$B2419,Colegios!$A$2:$A2419=L845)"),"86809")</f>
        <v>86809</v>
      </c>
      <c r="F845" s="11" t="s">
        <v>17</v>
      </c>
      <c r="G845" s="10" t="s">
        <v>24</v>
      </c>
      <c r="H845" s="11" t="s">
        <v>19</v>
      </c>
      <c r="I845" s="11" t="s">
        <v>20</v>
      </c>
      <c r="J845" s="12" t="str">
        <f ca="1">IFERROR(__xludf.DUMMYFUNCTION("FILTER('CLASFICACIÓN'!$F$3:$F2419,'CLASFICACIÓN'!$G$3:$G2419=M845)"),"LOS 3 AÑOS")</f>
        <v>LOS 3 AÑOS</v>
      </c>
      <c r="K845" s="12" t="s">
        <v>2012</v>
      </c>
      <c r="L845" s="11" t="s">
        <v>84</v>
      </c>
      <c r="M845" s="12" t="str">
        <f t="shared" ca="1" si="3"/>
        <v>868094 Primaria</v>
      </c>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4"/>
    </row>
    <row r="846" spans="1:36" ht="15.75" customHeight="1" x14ac:dyDescent="0.25">
      <c r="A846" s="9">
        <v>5</v>
      </c>
      <c r="B846" s="10" t="s">
        <v>83</v>
      </c>
      <c r="C846" s="10" t="s">
        <v>15</v>
      </c>
      <c r="D846" s="10" t="s">
        <v>16</v>
      </c>
      <c r="E846" s="11" t="str">
        <f ca="1">IFERROR(__xludf.DUMMYFUNCTION("FILTER(Colegios!$B$2:$B2419,Colegios!$A$2:$A2419=L846)"),"86809")</f>
        <v>86809</v>
      </c>
      <c r="F846" s="11" t="s">
        <v>17</v>
      </c>
      <c r="G846" s="10" t="s">
        <v>24</v>
      </c>
      <c r="H846" s="11" t="s">
        <v>19</v>
      </c>
      <c r="I846" s="11" t="s">
        <v>20</v>
      </c>
      <c r="J846" s="12" t="str">
        <f ca="1">IFERROR(__xludf.DUMMYFUNCTION("FILTER('CLASFICACIÓN'!$F$3:$F2419,'CLASFICACIÓN'!$G$3:$G2419=M846)"),"LOS 3 AÑOS")</f>
        <v>LOS 3 AÑOS</v>
      </c>
      <c r="K846" s="12" t="s">
        <v>2012</v>
      </c>
      <c r="L846" s="11" t="s">
        <v>84</v>
      </c>
      <c r="M846" s="12" t="str">
        <f t="shared" ca="1" si="3"/>
        <v>868094 Primaria</v>
      </c>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4"/>
    </row>
    <row r="847" spans="1:36" ht="15.75" customHeight="1" x14ac:dyDescent="0.25">
      <c r="A847" s="9">
        <v>6</v>
      </c>
      <c r="B847" s="10" t="s">
        <v>83</v>
      </c>
      <c r="C847" s="10" t="s">
        <v>15</v>
      </c>
      <c r="D847" s="10" t="s">
        <v>37</v>
      </c>
      <c r="E847" s="11" t="str">
        <f ca="1">IFERROR(__xludf.DUMMYFUNCTION("FILTER(Colegios!$B$2:$B2419,Colegios!$A$2:$A2419=L847)"),"86809")</f>
        <v>86809</v>
      </c>
      <c r="F847" s="11" t="s">
        <v>17</v>
      </c>
      <c r="G847" s="10" t="s">
        <v>24</v>
      </c>
      <c r="H847" s="11" t="s">
        <v>19</v>
      </c>
      <c r="I847" s="11" t="s">
        <v>20</v>
      </c>
      <c r="J847" s="12" t="str">
        <f ca="1">IFERROR(__xludf.DUMMYFUNCTION("FILTER('CLASFICACIÓN'!$F$3:$F2419,'CLASFICACIÓN'!$G$3:$G2419=M847)"),"LOS 3 AÑOS")</f>
        <v>LOS 3 AÑOS</v>
      </c>
      <c r="K847" s="12" t="s">
        <v>2012</v>
      </c>
      <c r="L847" s="11" t="s">
        <v>84</v>
      </c>
      <c r="M847" s="12" t="str">
        <f t="shared" ca="1" si="3"/>
        <v>868096 Primaria</v>
      </c>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4"/>
    </row>
    <row r="848" spans="1:36" ht="15.75" customHeight="1" x14ac:dyDescent="0.25">
      <c r="A848" s="9">
        <v>7</v>
      </c>
      <c r="B848" s="10" t="s">
        <v>83</v>
      </c>
      <c r="C848" s="10" t="s">
        <v>15</v>
      </c>
      <c r="D848" s="10" t="s">
        <v>37</v>
      </c>
      <c r="E848" s="11" t="str">
        <f ca="1">IFERROR(__xludf.DUMMYFUNCTION("FILTER(Colegios!$B$2:$B2419,Colegios!$A$2:$A2419=L848)"),"86809")</f>
        <v>86809</v>
      </c>
      <c r="F848" s="11" t="s">
        <v>17</v>
      </c>
      <c r="G848" s="10" t="s">
        <v>24</v>
      </c>
      <c r="H848" s="11" t="s">
        <v>19</v>
      </c>
      <c r="I848" s="11" t="s">
        <v>20</v>
      </c>
      <c r="J848" s="12" t="str">
        <f ca="1">IFERROR(__xludf.DUMMYFUNCTION("FILTER('CLASFICACIÓN'!$F$3:$F2419,'CLASFICACIÓN'!$G$3:$G2419=M848)"),"LOS 3 AÑOS")</f>
        <v>LOS 3 AÑOS</v>
      </c>
      <c r="K848" s="12" t="s">
        <v>2012</v>
      </c>
      <c r="L848" s="11" t="s">
        <v>84</v>
      </c>
      <c r="M848" s="12" t="str">
        <f t="shared" ca="1" si="3"/>
        <v>868096 Primaria</v>
      </c>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4"/>
    </row>
    <row r="849" spans="1:36" ht="15.75" customHeight="1" x14ac:dyDescent="0.25">
      <c r="A849" s="9">
        <v>8</v>
      </c>
      <c r="B849" s="10" t="s">
        <v>83</v>
      </c>
      <c r="C849" s="10" t="s">
        <v>15</v>
      </c>
      <c r="D849" s="10" t="s">
        <v>45</v>
      </c>
      <c r="E849" s="11" t="str">
        <f ca="1">IFERROR(__xludf.DUMMYFUNCTION("FILTER(Colegios!$B$2:$B2419,Colegios!$A$2:$A2419=L849)"),"86548 JOSE MARIA VELAZ")</f>
        <v>86548 JOSE MARIA VELAZ</v>
      </c>
      <c r="F849" s="11" t="s">
        <v>17</v>
      </c>
      <c r="G849" s="10" t="s">
        <v>18</v>
      </c>
      <c r="H849" s="11" t="s">
        <v>19</v>
      </c>
      <c r="I849" s="11" t="s">
        <v>20</v>
      </c>
      <c r="J849" s="12" t="str">
        <f ca="1">IFERROR(__xludf.DUMMYFUNCTION("FILTER('CLASFICACIÓN'!$F$3:$F2419,'CLASFICACIÓN'!$G$3:$G2419=M849)"),"SOLO 2024")</f>
        <v>SOLO 2024</v>
      </c>
      <c r="K849" s="12" t="s">
        <v>2011</v>
      </c>
      <c r="L849" s="11" t="s">
        <v>85</v>
      </c>
      <c r="M849" s="12" t="str">
        <f t="shared" ca="1" si="3"/>
        <v>86548 JOSE MARIA VELAZ2 Primaria</v>
      </c>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4"/>
    </row>
    <row r="850" spans="1:36" ht="15.75" customHeight="1" x14ac:dyDescent="0.25">
      <c r="A850" s="9">
        <v>9</v>
      </c>
      <c r="B850" s="10" t="s">
        <v>83</v>
      </c>
      <c r="C850" s="10" t="s">
        <v>15</v>
      </c>
      <c r="D850" s="10" t="s">
        <v>45</v>
      </c>
      <c r="E850" s="11" t="str">
        <f ca="1">IFERROR(__xludf.DUMMYFUNCTION("FILTER(Colegios!$B$2:$B2419,Colegios!$A$2:$A2419=L850)"),"86548 JOSE MARIA VELAZ")</f>
        <v>86548 JOSE MARIA VELAZ</v>
      </c>
      <c r="F850" s="11" t="s">
        <v>17</v>
      </c>
      <c r="G850" s="10" t="s">
        <v>24</v>
      </c>
      <c r="H850" s="11" t="s">
        <v>19</v>
      </c>
      <c r="I850" s="11" t="s">
        <v>20</v>
      </c>
      <c r="J850" s="12" t="str">
        <f ca="1">IFERROR(__xludf.DUMMYFUNCTION("FILTER('CLASFICACIÓN'!$F$3:$F2419,'CLASFICACIÓN'!$G$3:$G2419=M850)"),"SOLO 2024")</f>
        <v>SOLO 2024</v>
      </c>
      <c r="K850" s="12" t="s">
        <v>2011</v>
      </c>
      <c r="L850" s="11" t="s">
        <v>85</v>
      </c>
      <c r="M850" s="12" t="str">
        <f t="shared" ca="1" si="3"/>
        <v>86548 JOSE MARIA VELAZ2 Primaria</v>
      </c>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4"/>
    </row>
    <row r="851" spans="1:36" ht="15.75" customHeight="1" x14ac:dyDescent="0.25">
      <c r="A851" s="9">
        <v>10</v>
      </c>
      <c r="B851" s="10" t="s">
        <v>83</v>
      </c>
      <c r="C851" s="10" t="s">
        <v>15</v>
      </c>
      <c r="D851" s="10" t="s">
        <v>45</v>
      </c>
      <c r="E851" s="11" t="str">
        <f ca="1">IFERROR(__xludf.DUMMYFUNCTION("FILTER(Colegios!$B$2:$B2419,Colegios!$A$2:$A2419=L851)"),"86548 JOSE MARIA VELAZ")</f>
        <v>86548 JOSE MARIA VELAZ</v>
      </c>
      <c r="F851" s="11" t="s">
        <v>17</v>
      </c>
      <c r="G851" s="10" t="s">
        <v>24</v>
      </c>
      <c r="H851" s="11" t="s">
        <v>19</v>
      </c>
      <c r="I851" s="11" t="s">
        <v>20</v>
      </c>
      <c r="J851" s="12" t="str">
        <f ca="1">IFERROR(__xludf.DUMMYFUNCTION("FILTER('CLASFICACIÓN'!$F$3:$F2419,'CLASFICACIÓN'!$G$3:$G2419=M851)"),"SOLO 2024")</f>
        <v>SOLO 2024</v>
      </c>
      <c r="K851" s="12" t="s">
        <v>2011</v>
      </c>
      <c r="L851" s="11" t="s">
        <v>85</v>
      </c>
      <c r="M851" s="12" t="str">
        <f t="shared" ca="1" si="3"/>
        <v>86548 JOSE MARIA VELAZ2 Primaria</v>
      </c>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4"/>
    </row>
    <row r="852" spans="1:36" ht="15.75" customHeight="1" x14ac:dyDescent="0.25">
      <c r="A852" s="9">
        <v>12</v>
      </c>
      <c r="B852" s="10" t="s">
        <v>83</v>
      </c>
      <c r="C852" s="10" t="s">
        <v>15</v>
      </c>
      <c r="D852" s="10" t="s">
        <v>45</v>
      </c>
      <c r="E852" s="11" t="str">
        <f ca="1">IFERROR(__xludf.DUMMYFUNCTION("FILTER(Colegios!$B$2:$B2419,Colegios!$A$2:$A2419=L852)"),"86548 JOSE MARIA VELAZ")</f>
        <v>86548 JOSE MARIA VELAZ</v>
      </c>
      <c r="F852" s="11" t="s">
        <v>17</v>
      </c>
      <c r="G852" s="10" t="s">
        <v>18</v>
      </c>
      <c r="H852" s="11" t="s">
        <v>19</v>
      </c>
      <c r="I852" s="11" t="s">
        <v>20</v>
      </c>
      <c r="J852" s="12" t="str">
        <f ca="1">IFERROR(__xludf.DUMMYFUNCTION("FILTER('CLASFICACIÓN'!$F$3:$F2419,'CLASFICACIÓN'!$G$3:$G2419=M852)"),"SOLO 2024")</f>
        <v>SOLO 2024</v>
      </c>
      <c r="K852" s="12" t="s">
        <v>2011</v>
      </c>
      <c r="L852" s="11" t="s">
        <v>85</v>
      </c>
      <c r="M852" s="12" t="str">
        <f t="shared" ca="1" si="3"/>
        <v>86548 JOSE MARIA VELAZ2 Primaria</v>
      </c>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4"/>
    </row>
    <row r="853" spans="1:36" ht="15.75" customHeight="1" x14ac:dyDescent="0.25">
      <c r="A853" s="9">
        <v>13</v>
      </c>
      <c r="B853" s="10" t="s">
        <v>83</v>
      </c>
      <c r="C853" s="10" t="s">
        <v>15</v>
      </c>
      <c r="D853" s="10" t="s">
        <v>45</v>
      </c>
      <c r="E853" s="11" t="str">
        <f ca="1">IFERROR(__xludf.DUMMYFUNCTION("FILTER(Colegios!$B$2:$B2419,Colegios!$A$2:$A2419=L853)"),"86548 JOSE MARIA VELAZ")</f>
        <v>86548 JOSE MARIA VELAZ</v>
      </c>
      <c r="F853" s="11" t="s">
        <v>17</v>
      </c>
      <c r="G853" s="10" t="s">
        <v>18</v>
      </c>
      <c r="H853" s="11" t="s">
        <v>19</v>
      </c>
      <c r="I853" s="11" t="s">
        <v>20</v>
      </c>
      <c r="J853" s="12" t="str">
        <f ca="1">IFERROR(__xludf.DUMMYFUNCTION("FILTER('CLASFICACIÓN'!$F$3:$F2419,'CLASFICACIÓN'!$G$3:$G2419=M853)"),"SOLO 2024")</f>
        <v>SOLO 2024</v>
      </c>
      <c r="K853" s="12" t="s">
        <v>2011</v>
      </c>
      <c r="L853" s="11" t="s">
        <v>85</v>
      </c>
      <c r="M853" s="12" t="str">
        <f t="shared" ca="1" si="3"/>
        <v>86548 JOSE MARIA VELAZ2 Primaria</v>
      </c>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4"/>
    </row>
    <row r="854" spans="1:36" ht="15.75" customHeight="1" x14ac:dyDescent="0.25">
      <c r="A854" s="9">
        <v>14</v>
      </c>
      <c r="B854" s="10" t="s">
        <v>83</v>
      </c>
      <c r="C854" s="10" t="s">
        <v>15</v>
      </c>
      <c r="D854" s="10" t="s">
        <v>45</v>
      </c>
      <c r="E854" s="11" t="str">
        <f ca="1">IFERROR(__xludf.DUMMYFUNCTION("FILTER(Colegios!$B$2:$B2419,Colegios!$A$2:$A2419=L854)"),"86548 JOSE MARIA VELAZ")</f>
        <v>86548 JOSE MARIA VELAZ</v>
      </c>
      <c r="F854" s="11" t="s">
        <v>17</v>
      </c>
      <c r="G854" s="10" t="s">
        <v>18</v>
      </c>
      <c r="H854" s="11" t="s">
        <v>19</v>
      </c>
      <c r="I854" s="11" t="s">
        <v>20</v>
      </c>
      <c r="J854" s="12" t="str">
        <f ca="1">IFERROR(__xludf.DUMMYFUNCTION("FILTER('CLASFICACIÓN'!$F$3:$F2419,'CLASFICACIÓN'!$G$3:$G2419=M854)"),"SOLO 2024")</f>
        <v>SOLO 2024</v>
      </c>
      <c r="K854" s="12" t="s">
        <v>2011</v>
      </c>
      <c r="L854" s="11" t="s">
        <v>85</v>
      </c>
      <c r="M854" s="12" t="str">
        <f t="shared" ca="1" si="3"/>
        <v>86548 JOSE MARIA VELAZ2 Primaria</v>
      </c>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4"/>
    </row>
    <row r="855" spans="1:36" ht="15.75" customHeight="1" x14ac:dyDescent="0.25">
      <c r="A855" s="9">
        <v>15</v>
      </c>
      <c r="B855" s="10" t="s">
        <v>83</v>
      </c>
      <c r="C855" s="10" t="s">
        <v>15</v>
      </c>
      <c r="D855" s="10" t="s">
        <v>45</v>
      </c>
      <c r="E855" s="11" t="str">
        <f ca="1">IFERROR(__xludf.DUMMYFUNCTION("FILTER(Colegios!$B$2:$B2419,Colegios!$A$2:$A2419=L855)"),"86548 JOSE MARIA VELAZ")</f>
        <v>86548 JOSE MARIA VELAZ</v>
      </c>
      <c r="F855" s="11" t="s">
        <v>17</v>
      </c>
      <c r="G855" s="10" t="s">
        <v>24</v>
      </c>
      <c r="H855" s="11" t="s">
        <v>19</v>
      </c>
      <c r="I855" s="11" t="s">
        <v>20</v>
      </c>
      <c r="J855" s="12" t="str">
        <f ca="1">IFERROR(__xludf.DUMMYFUNCTION("FILTER('CLASFICACIÓN'!$F$3:$F2419,'CLASFICACIÓN'!$G$3:$G2419=M855)"),"SOLO 2024")</f>
        <v>SOLO 2024</v>
      </c>
      <c r="K855" s="12" t="s">
        <v>2011</v>
      </c>
      <c r="L855" s="11" t="s">
        <v>85</v>
      </c>
      <c r="M855" s="12" t="str">
        <f t="shared" ca="1" si="3"/>
        <v>86548 JOSE MARIA VELAZ2 Primaria</v>
      </c>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4"/>
    </row>
    <row r="856" spans="1:36" ht="15.75" customHeight="1" x14ac:dyDescent="0.25">
      <c r="A856" s="9">
        <v>16</v>
      </c>
      <c r="B856" s="10" t="s">
        <v>83</v>
      </c>
      <c r="C856" s="10" t="s">
        <v>15</v>
      </c>
      <c r="D856" s="10" t="s">
        <v>45</v>
      </c>
      <c r="E856" s="11" t="str">
        <f ca="1">IFERROR(__xludf.DUMMYFUNCTION("FILTER(Colegios!$B$2:$B2419,Colegios!$A$2:$A2419=L856)"),"86548 JOSE MARIA VELAZ")</f>
        <v>86548 JOSE MARIA VELAZ</v>
      </c>
      <c r="F856" s="11" t="s">
        <v>17</v>
      </c>
      <c r="G856" s="10" t="s">
        <v>24</v>
      </c>
      <c r="H856" s="11" t="s">
        <v>19</v>
      </c>
      <c r="I856" s="11" t="s">
        <v>20</v>
      </c>
      <c r="J856" s="12" t="str">
        <f ca="1">IFERROR(__xludf.DUMMYFUNCTION("FILTER('CLASFICACIÓN'!$F$3:$F2419,'CLASFICACIÓN'!$G$3:$G2419=M856)"),"SOLO 2024")</f>
        <v>SOLO 2024</v>
      </c>
      <c r="K856" s="12" t="s">
        <v>2011</v>
      </c>
      <c r="L856" s="11" t="s">
        <v>85</v>
      </c>
      <c r="M856" s="12" t="str">
        <f t="shared" ca="1" si="3"/>
        <v>86548 JOSE MARIA VELAZ2 Primaria</v>
      </c>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4"/>
    </row>
    <row r="857" spans="1:36" ht="15.75" customHeight="1" x14ac:dyDescent="0.25">
      <c r="A857" s="9">
        <v>17</v>
      </c>
      <c r="B857" s="10" t="s">
        <v>83</v>
      </c>
      <c r="C857" s="10" t="s">
        <v>15</v>
      </c>
      <c r="D857" s="10" t="s">
        <v>45</v>
      </c>
      <c r="E857" s="11" t="str">
        <f ca="1">IFERROR(__xludf.DUMMYFUNCTION("FILTER(Colegios!$B$2:$B2419,Colegios!$A$2:$A2419=L857)"),"86548 JOSE MARIA VELAZ")</f>
        <v>86548 JOSE MARIA VELAZ</v>
      </c>
      <c r="F857" s="11" t="s">
        <v>17</v>
      </c>
      <c r="G857" s="10" t="s">
        <v>24</v>
      </c>
      <c r="H857" s="11" t="s">
        <v>19</v>
      </c>
      <c r="I857" s="11" t="s">
        <v>20</v>
      </c>
      <c r="J857" s="12" t="str">
        <f ca="1">IFERROR(__xludf.DUMMYFUNCTION("FILTER('CLASFICACIÓN'!$F$3:$F2419,'CLASFICACIÓN'!$G$3:$G2419=M857)"),"SOLO 2024")</f>
        <v>SOLO 2024</v>
      </c>
      <c r="K857" s="12" t="s">
        <v>2011</v>
      </c>
      <c r="L857" s="11" t="s">
        <v>85</v>
      </c>
      <c r="M857" s="12" t="str">
        <f t="shared" ca="1" si="3"/>
        <v>86548 JOSE MARIA VELAZ2 Primaria</v>
      </c>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4"/>
    </row>
    <row r="858" spans="1:36" ht="15.75" customHeight="1" x14ac:dyDescent="0.25">
      <c r="A858" s="9">
        <v>18</v>
      </c>
      <c r="B858" s="10" t="s">
        <v>83</v>
      </c>
      <c r="C858" s="10" t="s">
        <v>15</v>
      </c>
      <c r="D858" s="10" t="s">
        <v>45</v>
      </c>
      <c r="E858" s="11" t="str">
        <f ca="1">IFERROR(__xludf.DUMMYFUNCTION("FILTER(Colegios!$B$2:$B2419,Colegios!$A$2:$A2419=L858)"),"86548 JOSE MARIA VELAZ")</f>
        <v>86548 JOSE MARIA VELAZ</v>
      </c>
      <c r="F858" s="11" t="s">
        <v>17</v>
      </c>
      <c r="G858" s="10" t="s">
        <v>18</v>
      </c>
      <c r="H858" s="11" t="s">
        <v>19</v>
      </c>
      <c r="I858" s="11" t="s">
        <v>20</v>
      </c>
      <c r="J858" s="12" t="str">
        <f ca="1">IFERROR(__xludf.DUMMYFUNCTION("FILTER('CLASFICACIÓN'!$F$3:$F2419,'CLASFICACIÓN'!$G$3:$G2419=M858)"),"SOLO 2024")</f>
        <v>SOLO 2024</v>
      </c>
      <c r="K858" s="12" t="s">
        <v>2011</v>
      </c>
      <c r="L858" s="11" t="s">
        <v>85</v>
      </c>
      <c r="M858" s="12" t="str">
        <f t="shared" ca="1" si="3"/>
        <v>86548 JOSE MARIA VELAZ2 Primaria</v>
      </c>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4"/>
    </row>
    <row r="859" spans="1:36" ht="15.75" customHeight="1" x14ac:dyDescent="0.25">
      <c r="A859" s="9">
        <v>19</v>
      </c>
      <c r="B859" s="10" t="s">
        <v>83</v>
      </c>
      <c r="C859" s="10" t="s">
        <v>15</v>
      </c>
      <c r="D859" s="10" t="s">
        <v>45</v>
      </c>
      <c r="E859" s="11" t="str">
        <f ca="1">IFERROR(__xludf.DUMMYFUNCTION("FILTER(Colegios!$B$2:$B2419,Colegios!$A$2:$A2419=L859)"),"86548 JOSE MARIA VELAZ")</f>
        <v>86548 JOSE MARIA VELAZ</v>
      </c>
      <c r="F859" s="11" t="s">
        <v>17</v>
      </c>
      <c r="G859" s="10" t="s">
        <v>18</v>
      </c>
      <c r="H859" s="11" t="s">
        <v>19</v>
      </c>
      <c r="I859" s="11" t="s">
        <v>20</v>
      </c>
      <c r="J859" s="12" t="str">
        <f ca="1">IFERROR(__xludf.DUMMYFUNCTION("FILTER('CLASFICACIÓN'!$F$3:$F2419,'CLASFICACIÓN'!$G$3:$G2419=M859)"),"SOLO 2024")</f>
        <v>SOLO 2024</v>
      </c>
      <c r="K859" s="12" t="s">
        <v>2011</v>
      </c>
      <c r="L859" s="11" t="s">
        <v>85</v>
      </c>
      <c r="M859" s="12" t="str">
        <f t="shared" ca="1" si="3"/>
        <v>86548 JOSE MARIA VELAZ2 Primaria</v>
      </c>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4"/>
    </row>
    <row r="860" spans="1:36" ht="15.75" customHeight="1" x14ac:dyDescent="0.25">
      <c r="A860" s="9">
        <v>20</v>
      </c>
      <c r="B860" s="10" t="s">
        <v>83</v>
      </c>
      <c r="C860" s="10" t="s">
        <v>15</v>
      </c>
      <c r="D860" s="10" t="s">
        <v>45</v>
      </c>
      <c r="E860" s="11" t="str">
        <f ca="1">IFERROR(__xludf.DUMMYFUNCTION("FILTER(Colegios!$B$2:$B2419,Colegios!$A$2:$A2419=L860)"),"86548 JOSE MARIA VELAZ")</f>
        <v>86548 JOSE MARIA VELAZ</v>
      </c>
      <c r="F860" s="11" t="s">
        <v>17</v>
      </c>
      <c r="G860" s="10" t="s">
        <v>18</v>
      </c>
      <c r="H860" s="11" t="s">
        <v>19</v>
      </c>
      <c r="I860" s="11" t="s">
        <v>20</v>
      </c>
      <c r="J860" s="12" t="str">
        <f ca="1">IFERROR(__xludf.DUMMYFUNCTION("FILTER('CLASFICACIÓN'!$F$3:$F2419,'CLASFICACIÓN'!$G$3:$G2419=M860)"),"SOLO 2024")</f>
        <v>SOLO 2024</v>
      </c>
      <c r="K860" s="12" t="s">
        <v>2011</v>
      </c>
      <c r="L860" s="11" t="s">
        <v>85</v>
      </c>
      <c r="M860" s="12" t="str">
        <f t="shared" ca="1" si="3"/>
        <v>86548 JOSE MARIA VELAZ2 Primaria</v>
      </c>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4"/>
    </row>
    <row r="861" spans="1:36" ht="15.75" customHeight="1" x14ac:dyDescent="0.25">
      <c r="A861" s="9">
        <v>21</v>
      </c>
      <c r="B861" s="10" t="s">
        <v>83</v>
      </c>
      <c r="C861" s="10" t="s">
        <v>15</v>
      </c>
      <c r="D861" s="10" t="s">
        <v>45</v>
      </c>
      <c r="E861" s="11" t="str">
        <f ca="1">IFERROR(__xludf.DUMMYFUNCTION("FILTER(Colegios!$B$2:$B2419,Colegios!$A$2:$A2419=L861)"),"86548 JOSE MARIA VELAZ")</f>
        <v>86548 JOSE MARIA VELAZ</v>
      </c>
      <c r="F861" s="11" t="s">
        <v>17</v>
      </c>
      <c r="G861" s="10" t="s">
        <v>18</v>
      </c>
      <c r="H861" s="11" t="s">
        <v>19</v>
      </c>
      <c r="I861" s="11" t="s">
        <v>20</v>
      </c>
      <c r="J861" s="12" t="str">
        <f ca="1">IFERROR(__xludf.DUMMYFUNCTION("FILTER('CLASFICACIÓN'!$F$3:$F2419,'CLASFICACIÓN'!$G$3:$G2419=M861)"),"SOLO 2024")</f>
        <v>SOLO 2024</v>
      </c>
      <c r="K861" s="12" t="s">
        <v>2011</v>
      </c>
      <c r="L861" s="11" t="s">
        <v>85</v>
      </c>
      <c r="M861" s="12" t="str">
        <f t="shared" ca="1" si="3"/>
        <v>86548 JOSE MARIA VELAZ2 Primaria</v>
      </c>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4"/>
    </row>
    <row r="862" spans="1:36" ht="15.75" customHeight="1" x14ac:dyDescent="0.25">
      <c r="A862" s="9">
        <v>22</v>
      </c>
      <c r="B862" s="10" t="s">
        <v>83</v>
      </c>
      <c r="C862" s="10" t="s">
        <v>15</v>
      </c>
      <c r="D862" s="10" t="s">
        <v>45</v>
      </c>
      <c r="E862" s="11" t="str">
        <f ca="1">IFERROR(__xludf.DUMMYFUNCTION("FILTER(Colegios!$B$2:$B2419,Colegios!$A$2:$A2419=L862)"),"86548 JOSE MARIA VELAZ")</f>
        <v>86548 JOSE MARIA VELAZ</v>
      </c>
      <c r="F862" s="11" t="s">
        <v>17</v>
      </c>
      <c r="G862" s="10" t="s">
        <v>24</v>
      </c>
      <c r="H862" s="11" t="s">
        <v>19</v>
      </c>
      <c r="I862" s="11" t="s">
        <v>20</v>
      </c>
      <c r="J862" s="12" t="str">
        <f ca="1">IFERROR(__xludf.DUMMYFUNCTION("FILTER('CLASFICACIÓN'!$F$3:$F2419,'CLASFICACIÓN'!$G$3:$G2419=M862)"),"SOLO 2024")</f>
        <v>SOLO 2024</v>
      </c>
      <c r="K862" s="12" t="s">
        <v>2011</v>
      </c>
      <c r="L862" s="11" t="s">
        <v>85</v>
      </c>
      <c r="M862" s="12" t="str">
        <f t="shared" ca="1" si="3"/>
        <v>86548 JOSE MARIA VELAZ2 Primaria</v>
      </c>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4"/>
    </row>
    <row r="863" spans="1:36" ht="15.75" customHeight="1" x14ac:dyDescent="0.25">
      <c r="A863" s="9">
        <v>23</v>
      </c>
      <c r="B863" s="10" t="s">
        <v>83</v>
      </c>
      <c r="C863" s="10" t="s">
        <v>15</v>
      </c>
      <c r="D863" s="10" t="s">
        <v>45</v>
      </c>
      <c r="E863" s="11" t="str">
        <f ca="1">IFERROR(__xludf.DUMMYFUNCTION("FILTER(Colegios!$B$2:$B2419,Colegios!$A$2:$A2419=L863)"),"86548 JOSE MARIA VELAZ")</f>
        <v>86548 JOSE MARIA VELAZ</v>
      </c>
      <c r="F863" s="11" t="s">
        <v>17</v>
      </c>
      <c r="G863" s="10" t="s">
        <v>18</v>
      </c>
      <c r="H863" s="11" t="s">
        <v>19</v>
      </c>
      <c r="I863" s="11" t="s">
        <v>20</v>
      </c>
      <c r="J863" s="12" t="str">
        <f ca="1">IFERROR(__xludf.DUMMYFUNCTION("FILTER('CLASFICACIÓN'!$F$3:$F2419,'CLASFICACIÓN'!$G$3:$G2419=M863)"),"SOLO 2024")</f>
        <v>SOLO 2024</v>
      </c>
      <c r="K863" s="12" t="s">
        <v>2011</v>
      </c>
      <c r="L863" s="11" t="s">
        <v>85</v>
      </c>
      <c r="M863" s="12" t="str">
        <f t="shared" ca="1" si="3"/>
        <v>86548 JOSE MARIA VELAZ2 Primaria</v>
      </c>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4"/>
    </row>
    <row r="864" spans="1:36" ht="15.75" customHeight="1" x14ac:dyDescent="0.25">
      <c r="A864" s="9">
        <v>24</v>
      </c>
      <c r="B864" s="10" t="s">
        <v>83</v>
      </c>
      <c r="C864" s="10" t="s">
        <v>15</v>
      </c>
      <c r="D864" s="10" t="s">
        <v>16</v>
      </c>
      <c r="E864" s="11" t="str">
        <f ca="1">IFERROR(__xludf.DUMMYFUNCTION("FILTER(Colegios!$B$2:$B2419,Colegios!$A$2:$A2419=L864)"),"86548 JOSE MARIA VELAZ")</f>
        <v>86548 JOSE MARIA VELAZ</v>
      </c>
      <c r="F864" s="11" t="s">
        <v>17</v>
      </c>
      <c r="G864" s="10" t="s">
        <v>18</v>
      </c>
      <c r="H864" s="11" t="s">
        <v>19</v>
      </c>
      <c r="I864" s="11" t="s">
        <v>20</v>
      </c>
      <c r="J864" s="12" t="str">
        <f ca="1">IFERROR(__xludf.DUMMYFUNCTION("FILTER('CLASFICACIÓN'!$F$3:$F2419,'CLASFICACIÓN'!$G$3:$G2419=M864)"),"2023 Y 2024")</f>
        <v>2023 Y 2024</v>
      </c>
      <c r="K864" s="12" t="s">
        <v>2011</v>
      </c>
      <c r="L864" s="11" t="s">
        <v>85</v>
      </c>
      <c r="M864" s="12" t="str">
        <f t="shared" ca="1" si="3"/>
        <v>86548 JOSE MARIA VELAZ4 Primaria</v>
      </c>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4"/>
    </row>
    <row r="865" spans="1:36" ht="15.75" customHeight="1" x14ac:dyDescent="0.25">
      <c r="A865" s="9">
        <v>25</v>
      </c>
      <c r="B865" s="10" t="s">
        <v>83</v>
      </c>
      <c r="C865" s="10" t="s">
        <v>15</v>
      </c>
      <c r="D865" s="10" t="s">
        <v>16</v>
      </c>
      <c r="E865" s="11" t="str">
        <f ca="1">IFERROR(__xludf.DUMMYFUNCTION("FILTER(Colegios!$B$2:$B2419,Colegios!$A$2:$A2419=L865)"),"86548 JOSE MARIA VELAZ")</f>
        <v>86548 JOSE MARIA VELAZ</v>
      </c>
      <c r="F865" s="11" t="s">
        <v>17</v>
      </c>
      <c r="G865" s="10" t="s">
        <v>24</v>
      </c>
      <c r="H865" s="11" t="s">
        <v>19</v>
      </c>
      <c r="I865" s="11" t="s">
        <v>20</v>
      </c>
      <c r="J865" s="12" t="str">
        <f ca="1">IFERROR(__xludf.DUMMYFUNCTION("FILTER('CLASFICACIÓN'!$F$3:$F2419,'CLASFICACIÓN'!$G$3:$G2419=M865)"),"2023 Y 2024")</f>
        <v>2023 Y 2024</v>
      </c>
      <c r="K865" s="12" t="s">
        <v>2011</v>
      </c>
      <c r="L865" s="11" t="s">
        <v>85</v>
      </c>
      <c r="M865" s="12" t="str">
        <f t="shared" ca="1" si="3"/>
        <v>86548 JOSE MARIA VELAZ4 Primaria</v>
      </c>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4"/>
    </row>
    <row r="866" spans="1:36" ht="15.75" customHeight="1" x14ac:dyDescent="0.25">
      <c r="A866" s="9">
        <v>26</v>
      </c>
      <c r="B866" s="10" t="s">
        <v>83</v>
      </c>
      <c r="C866" s="10" t="s">
        <v>15</v>
      </c>
      <c r="D866" s="10" t="s">
        <v>16</v>
      </c>
      <c r="E866" s="11" t="str">
        <f ca="1">IFERROR(__xludf.DUMMYFUNCTION("FILTER(Colegios!$B$2:$B2419,Colegios!$A$2:$A2419=L866)"),"86548 JOSE MARIA VELAZ")</f>
        <v>86548 JOSE MARIA VELAZ</v>
      </c>
      <c r="F866" s="11" t="s">
        <v>17</v>
      </c>
      <c r="G866" s="10" t="s">
        <v>24</v>
      </c>
      <c r="H866" s="11" t="s">
        <v>19</v>
      </c>
      <c r="I866" s="11" t="s">
        <v>20</v>
      </c>
      <c r="J866" s="12" t="str">
        <f ca="1">IFERROR(__xludf.DUMMYFUNCTION("FILTER('CLASFICACIÓN'!$F$3:$F2419,'CLASFICACIÓN'!$G$3:$G2419=M866)"),"2023 Y 2024")</f>
        <v>2023 Y 2024</v>
      </c>
      <c r="K866" s="12" t="s">
        <v>2011</v>
      </c>
      <c r="L866" s="11" t="s">
        <v>85</v>
      </c>
      <c r="M866" s="12" t="str">
        <f t="shared" ca="1" si="3"/>
        <v>86548 JOSE MARIA VELAZ4 Primaria</v>
      </c>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4"/>
    </row>
    <row r="867" spans="1:36" ht="15.75" customHeight="1" x14ac:dyDescent="0.25">
      <c r="A867" s="9">
        <v>27</v>
      </c>
      <c r="B867" s="10" t="s">
        <v>83</v>
      </c>
      <c r="C867" s="10" t="s">
        <v>15</v>
      </c>
      <c r="D867" s="10" t="s">
        <v>16</v>
      </c>
      <c r="E867" s="11" t="str">
        <f ca="1">IFERROR(__xludf.DUMMYFUNCTION("FILTER(Colegios!$B$2:$B2419,Colegios!$A$2:$A2419=L867)"),"86548 JOSE MARIA VELAZ")</f>
        <v>86548 JOSE MARIA VELAZ</v>
      </c>
      <c r="F867" s="11" t="s">
        <v>17</v>
      </c>
      <c r="G867" s="10" t="s">
        <v>18</v>
      </c>
      <c r="H867" s="11" t="s">
        <v>19</v>
      </c>
      <c r="I867" s="11" t="s">
        <v>20</v>
      </c>
      <c r="J867" s="12" t="str">
        <f ca="1">IFERROR(__xludf.DUMMYFUNCTION("FILTER('CLASFICACIÓN'!$F$3:$F2419,'CLASFICACIÓN'!$G$3:$G2419=M867)"),"2023 Y 2024")</f>
        <v>2023 Y 2024</v>
      </c>
      <c r="K867" s="12" t="s">
        <v>2011</v>
      </c>
      <c r="L867" s="11" t="s">
        <v>85</v>
      </c>
      <c r="M867" s="12" t="str">
        <f t="shared" ca="1" si="3"/>
        <v>86548 JOSE MARIA VELAZ4 Primaria</v>
      </c>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4"/>
    </row>
    <row r="868" spans="1:36" ht="15.75" customHeight="1" x14ac:dyDescent="0.25">
      <c r="A868" s="9">
        <v>28</v>
      </c>
      <c r="B868" s="10" t="s">
        <v>83</v>
      </c>
      <c r="C868" s="10" t="s">
        <v>15</v>
      </c>
      <c r="D868" s="10" t="s">
        <v>16</v>
      </c>
      <c r="E868" s="11" t="str">
        <f ca="1">IFERROR(__xludf.DUMMYFUNCTION("FILTER(Colegios!$B$2:$B2419,Colegios!$A$2:$A2419=L868)"),"86548 JOSE MARIA VELAZ")</f>
        <v>86548 JOSE MARIA VELAZ</v>
      </c>
      <c r="F868" s="11" t="s">
        <v>17</v>
      </c>
      <c r="G868" s="10" t="s">
        <v>18</v>
      </c>
      <c r="H868" s="11" t="s">
        <v>19</v>
      </c>
      <c r="I868" s="11" t="s">
        <v>20</v>
      </c>
      <c r="J868" s="12" t="str">
        <f ca="1">IFERROR(__xludf.DUMMYFUNCTION("FILTER('CLASFICACIÓN'!$F$3:$F2419,'CLASFICACIÓN'!$G$3:$G2419=M868)"),"2023 Y 2024")</f>
        <v>2023 Y 2024</v>
      </c>
      <c r="K868" s="12" t="s">
        <v>2011</v>
      </c>
      <c r="L868" s="11" t="s">
        <v>85</v>
      </c>
      <c r="M868" s="12" t="str">
        <f t="shared" ca="1" si="3"/>
        <v>86548 JOSE MARIA VELAZ4 Primaria</v>
      </c>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4"/>
    </row>
    <row r="869" spans="1:36" ht="15.75" customHeight="1" x14ac:dyDescent="0.25">
      <c r="A869" s="9">
        <v>29</v>
      </c>
      <c r="B869" s="10" t="s">
        <v>83</v>
      </c>
      <c r="C869" s="10" t="s">
        <v>15</v>
      </c>
      <c r="D869" s="10" t="s">
        <v>16</v>
      </c>
      <c r="E869" s="11" t="str">
        <f ca="1">IFERROR(__xludf.DUMMYFUNCTION("FILTER(Colegios!$B$2:$B2419,Colegios!$A$2:$A2419=L869)"),"86548 JOSE MARIA VELAZ")</f>
        <v>86548 JOSE MARIA VELAZ</v>
      </c>
      <c r="F869" s="11" t="s">
        <v>17</v>
      </c>
      <c r="G869" s="10" t="s">
        <v>18</v>
      </c>
      <c r="H869" s="11" t="s">
        <v>19</v>
      </c>
      <c r="I869" s="11" t="s">
        <v>20</v>
      </c>
      <c r="J869" s="12" t="str">
        <f ca="1">IFERROR(__xludf.DUMMYFUNCTION("FILTER('CLASFICACIÓN'!$F$3:$F2419,'CLASFICACIÓN'!$G$3:$G2419=M869)"),"2023 Y 2024")</f>
        <v>2023 Y 2024</v>
      </c>
      <c r="K869" s="12" t="s">
        <v>2011</v>
      </c>
      <c r="L869" s="11" t="s">
        <v>85</v>
      </c>
      <c r="M869" s="12" t="str">
        <f t="shared" ca="1" si="3"/>
        <v>86548 JOSE MARIA VELAZ4 Primaria</v>
      </c>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4"/>
    </row>
    <row r="870" spans="1:36" ht="15.75" customHeight="1" x14ac:dyDescent="0.25">
      <c r="A870" s="9">
        <v>30</v>
      </c>
      <c r="B870" s="10" t="s">
        <v>83</v>
      </c>
      <c r="C870" s="10" t="s">
        <v>15</v>
      </c>
      <c r="D870" s="10" t="s">
        <v>37</v>
      </c>
      <c r="E870" s="11" t="str">
        <f ca="1">IFERROR(__xludf.DUMMYFUNCTION("FILTER(Colegios!$B$2:$B2419,Colegios!$A$2:$A2419=L870)"),"86548 JOSE MARIA VELAZ")</f>
        <v>86548 JOSE MARIA VELAZ</v>
      </c>
      <c r="F870" s="11" t="s">
        <v>17</v>
      </c>
      <c r="G870" s="10" t="s">
        <v>24</v>
      </c>
      <c r="H870" s="11" t="s">
        <v>19</v>
      </c>
      <c r="I870" s="11" t="s">
        <v>20</v>
      </c>
      <c r="J870" s="12" t="str">
        <f ca="1">IFERROR(__xludf.DUMMYFUNCTION("FILTER('CLASFICACIÓN'!$F$3:$F2419,'CLASFICACIÓN'!$G$3:$G2419=M870)"),"2023 Y 2024")</f>
        <v>2023 Y 2024</v>
      </c>
      <c r="K870" s="12" t="s">
        <v>2011</v>
      </c>
      <c r="L870" s="11" t="s">
        <v>85</v>
      </c>
      <c r="M870" s="12" t="str">
        <f t="shared" ca="1" si="3"/>
        <v>86548 JOSE MARIA VELAZ6 Primaria</v>
      </c>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4"/>
    </row>
    <row r="871" spans="1:36" ht="15.75" customHeight="1" x14ac:dyDescent="0.25">
      <c r="A871" s="9">
        <v>31</v>
      </c>
      <c r="B871" s="10" t="s">
        <v>83</v>
      </c>
      <c r="C871" s="10" t="s">
        <v>15</v>
      </c>
      <c r="D871" s="10" t="s">
        <v>37</v>
      </c>
      <c r="E871" s="11" t="str">
        <f ca="1">IFERROR(__xludf.DUMMYFUNCTION("FILTER(Colegios!$B$2:$B2419,Colegios!$A$2:$A2419=L871)"),"86548 JOSE MARIA VELAZ")</f>
        <v>86548 JOSE MARIA VELAZ</v>
      </c>
      <c r="F871" s="11" t="s">
        <v>17</v>
      </c>
      <c r="G871" s="10" t="s">
        <v>24</v>
      </c>
      <c r="H871" s="11" t="s">
        <v>19</v>
      </c>
      <c r="I871" s="11" t="s">
        <v>20</v>
      </c>
      <c r="J871" s="12" t="str">
        <f ca="1">IFERROR(__xludf.DUMMYFUNCTION("FILTER('CLASFICACIÓN'!$F$3:$F2419,'CLASFICACIÓN'!$G$3:$G2419=M871)"),"2023 Y 2024")</f>
        <v>2023 Y 2024</v>
      </c>
      <c r="K871" s="12" t="s">
        <v>2011</v>
      </c>
      <c r="L871" s="11" t="s">
        <v>85</v>
      </c>
      <c r="M871" s="12" t="str">
        <f t="shared" ca="1" si="3"/>
        <v>86548 JOSE MARIA VELAZ6 Primaria</v>
      </c>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4"/>
    </row>
    <row r="872" spans="1:36" ht="15.75" customHeight="1" x14ac:dyDescent="0.25">
      <c r="A872" s="9">
        <v>32</v>
      </c>
      <c r="B872" s="10" t="s">
        <v>83</v>
      </c>
      <c r="C872" s="10" t="s">
        <v>15</v>
      </c>
      <c r="D872" s="10" t="s">
        <v>37</v>
      </c>
      <c r="E872" s="11" t="str">
        <f ca="1">IFERROR(__xludf.DUMMYFUNCTION("FILTER(Colegios!$B$2:$B2419,Colegios!$A$2:$A2419=L872)"),"86548 JOSE MARIA VELAZ")</f>
        <v>86548 JOSE MARIA VELAZ</v>
      </c>
      <c r="F872" s="11" t="s">
        <v>17</v>
      </c>
      <c r="G872" s="10" t="s">
        <v>24</v>
      </c>
      <c r="H872" s="11" t="s">
        <v>19</v>
      </c>
      <c r="I872" s="11" t="s">
        <v>20</v>
      </c>
      <c r="J872" s="12" t="str">
        <f ca="1">IFERROR(__xludf.DUMMYFUNCTION("FILTER('CLASFICACIÓN'!$F$3:$F2419,'CLASFICACIÓN'!$G$3:$G2419=M872)"),"2023 Y 2024")</f>
        <v>2023 Y 2024</v>
      </c>
      <c r="K872" s="12" t="s">
        <v>2011</v>
      </c>
      <c r="L872" s="11" t="s">
        <v>85</v>
      </c>
      <c r="M872" s="12" t="str">
        <f t="shared" ca="1" si="3"/>
        <v>86548 JOSE MARIA VELAZ6 Primaria</v>
      </c>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4"/>
    </row>
    <row r="873" spans="1:36" ht="15.75" customHeight="1" x14ac:dyDescent="0.25">
      <c r="A873" s="9">
        <v>33</v>
      </c>
      <c r="B873" s="10" t="s">
        <v>83</v>
      </c>
      <c r="C873" s="10" t="s">
        <v>15</v>
      </c>
      <c r="D873" s="10" t="s">
        <v>37</v>
      </c>
      <c r="E873" s="11" t="str">
        <f ca="1">IFERROR(__xludf.DUMMYFUNCTION("FILTER(Colegios!$B$2:$B2419,Colegios!$A$2:$A2419=L873)"),"86548 JOSE MARIA VELAZ")</f>
        <v>86548 JOSE MARIA VELAZ</v>
      </c>
      <c r="F873" s="11" t="s">
        <v>17</v>
      </c>
      <c r="G873" s="10" t="s">
        <v>18</v>
      </c>
      <c r="H873" s="11" t="s">
        <v>19</v>
      </c>
      <c r="I873" s="11" t="s">
        <v>20</v>
      </c>
      <c r="J873" s="12" t="str">
        <f ca="1">IFERROR(__xludf.DUMMYFUNCTION("FILTER('CLASFICACIÓN'!$F$3:$F2419,'CLASFICACIÓN'!$G$3:$G2419=M873)"),"2023 Y 2024")</f>
        <v>2023 Y 2024</v>
      </c>
      <c r="K873" s="12" t="s">
        <v>2011</v>
      </c>
      <c r="L873" s="11" t="s">
        <v>85</v>
      </c>
      <c r="M873" s="12" t="str">
        <f t="shared" ca="1" si="3"/>
        <v>86548 JOSE MARIA VELAZ6 Primaria</v>
      </c>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4"/>
    </row>
    <row r="874" spans="1:36" ht="15.75" customHeight="1" x14ac:dyDescent="0.25">
      <c r="A874" s="9">
        <v>34</v>
      </c>
      <c r="B874" s="10" t="s">
        <v>83</v>
      </c>
      <c r="C874" s="10" t="s">
        <v>15</v>
      </c>
      <c r="D874" s="10" t="s">
        <v>37</v>
      </c>
      <c r="E874" s="11" t="str">
        <f ca="1">IFERROR(__xludf.DUMMYFUNCTION("FILTER(Colegios!$B$2:$B2419,Colegios!$A$2:$A2419=L874)"),"86548 JOSE MARIA VELAZ")</f>
        <v>86548 JOSE MARIA VELAZ</v>
      </c>
      <c r="F874" s="11" t="s">
        <v>17</v>
      </c>
      <c r="G874" s="10" t="s">
        <v>18</v>
      </c>
      <c r="H874" s="11" t="s">
        <v>19</v>
      </c>
      <c r="I874" s="11" t="s">
        <v>20</v>
      </c>
      <c r="J874" s="12" t="str">
        <f ca="1">IFERROR(__xludf.DUMMYFUNCTION("FILTER('CLASFICACIÓN'!$F$3:$F2419,'CLASFICACIÓN'!$G$3:$G2419=M874)"),"2023 Y 2024")</f>
        <v>2023 Y 2024</v>
      </c>
      <c r="K874" s="12" t="s">
        <v>2011</v>
      </c>
      <c r="L874" s="11" t="s">
        <v>85</v>
      </c>
      <c r="M874" s="12" t="str">
        <f t="shared" ca="1" si="3"/>
        <v>86548 JOSE MARIA VELAZ6 Primaria</v>
      </c>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4"/>
    </row>
    <row r="875" spans="1:36" ht="15.75" customHeight="1" x14ac:dyDescent="0.25">
      <c r="A875" s="9">
        <v>35</v>
      </c>
      <c r="B875" s="10" t="s">
        <v>83</v>
      </c>
      <c r="C875" s="10" t="s">
        <v>15</v>
      </c>
      <c r="D875" s="10" t="s">
        <v>37</v>
      </c>
      <c r="E875" s="11" t="str">
        <f ca="1">IFERROR(__xludf.DUMMYFUNCTION("FILTER(Colegios!$B$2:$B2419,Colegios!$A$2:$A2419=L875)"),"86548 JOSE MARIA VELAZ")</f>
        <v>86548 JOSE MARIA VELAZ</v>
      </c>
      <c r="F875" s="11" t="s">
        <v>17</v>
      </c>
      <c r="G875" s="10" t="s">
        <v>18</v>
      </c>
      <c r="H875" s="11" t="s">
        <v>19</v>
      </c>
      <c r="I875" s="11" t="s">
        <v>20</v>
      </c>
      <c r="J875" s="12" t="str">
        <f ca="1">IFERROR(__xludf.DUMMYFUNCTION("FILTER('CLASFICACIÓN'!$F$3:$F2419,'CLASFICACIÓN'!$G$3:$G2419=M875)"),"2023 Y 2024")</f>
        <v>2023 Y 2024</v>
      </c>
      <c r="K875" s="12" t="s">
        <v>2011</v>
      </c>
      <c r="L875" s="11" t="s">
        <v>85</v>
      </c>
      <c r="M875" s="12" t="str">
        <f t="shared" ca="1" si="3"/>
        <v>86548 JOSE MARIA VELAZ6 Primaria</v>
      </c>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4"/>
    </row>
    <row r="876" spans="1:36" ht="15.75" customHeight="1" x14ac:dyDescent="0.25">
      <c r="A876" s="9">
        <v>36</v>
      </c>
      <c r="B876" s="10" t="s">
        <v>83</v>
      </c>
      <c r="C876" s="10" t="s">
        <v>15</v>
      </c>
      <c r="D876" s="10" t="s">
        <v>37</v>
      </c>
      <c r="E876" s="11" t="str">
        <f ca="1">IFERROR(__xludf.DUMMYFUNCTION("FILTER(Colegios!$B$2:$B2419,Colegios!$A$2:$A2419=L876)"),"86548 JOSE MARIA VELAZ")</f>
        <v>86548 JOSE MARIA VELAZ</v>
      </c>
      <c r="F876" s="11" t="s">
        <v>17</v>
      </c>
      <c r="G876" s="10" t="s">
        <v>24</v>
      </c>
      <c r="H876" s="11" t="s">
        <v>19</v>
      </c>
      <c r="I876" s="11" t="s">
        <v>20</v>
      </c>
      <c r="J876" s="12" t="str">
        <f ca="1">IFERROR(__xludf.DUMMYFUNCTION("FILTER('CLASFICACIÓN'!$F$3:$F2419,'CLASFICACIÓN'!$G$3:$G2419=M876)"),"2023 Y 2024")</f>
        <v>2023 Y 2024</v>
      </c>
      <c r="K876" s="12" t="s">
        <v>2011</v>
      </c>
      <c r="L876" s="11" t="s">
        <v>85</v>
      </c>
      <c r="M876" s="12" t="str">
        <f t="shared" ca="1" si="3"/>
        <v>86548 JOSE MARIA VELAZ6 Primaria</v>
      </c>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4"/>
    </row>
    <row r="877" spans="1:36" ht="15.75" customHeight="1" x14ac:dyDescent="0.25">
      <c r="A877" s="9">
        <v>37</v>
      </c>
      <c r="B877" s="10" t="s">
        <v>83</v>
      </c>
      <c r="C877" s="10" t="s">
        <v>15</v>
      </c>
      <c r="D877" s="10" t="s">
        <v>37</v>
      </c>
      <c r="E877" s="11" t="str">
        <f ca="1">IFERROR(__xludf.DUMMYFUNCTION("FILTER(Colegios!$B$2:$B2419,Colegios!$A$2:$A2419=L877)"),"86548 JOSE MARIA VELAZ")</f>
        <v>86548 JOSE MARIA VELAZ</v>
      </c>
      <c r="F877" s="11" t="s">
        <v>17</v>
      </c>
      <c r="G877" s="10" t="s">
        <v>18</v>
      </c>
      <c r="H877" s="11" t="s">
        <v>19</v>
      </c>
      <c r="I877" s="11" t="s">
        <v>20</v>
      </c>
      <c r="J877" s="12" t="str">
        <f ca="1">IFERROR(__xludf.DUMMYFUNCTION("FILTER('CLASFICACIÓN'!$F$3:$F2419,'CLASFICACIÓN'!$G$3:$G2419=M877)"),"2023 Y 2024")</f>
        <v>2023 Y 2024</v>
      </c>
      <c r="K877" s="12" t="s">
        <v>2011</v>
      </c>
      <c r="L877" s="11" t="s">
        <v>85</v>
      </c>
      <c r="M877" s="12" t="str">
        <f t="shared" ca="1" si="3"/>
        <v>86548 JOSE MARIA VELAZ6 Primaria</v>
      </c>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4"/>
    </row>
    <row r="878" spans="1:36" ht="15.75" customHeight="1" x14ac:dyDescent="0.25">
      <c r="A878" s="9">
        <v>38</v>
      </c>
      <c r="B878" s="10" t="s">
        <v>83</v>
      </c>
      <c r="C878" s="10" t="s">
        <v>15</v>
      </c>
      <c r="D878" s="10" t="s">
        <v>37</v>
      </c>
      <c r="E878" s="11" t="str">
        <f ca="1">IFERROR(__xludf.DUMMYFUNCTION("FILTER(Colegios!$B$2:$B2419,Colegios!$A$2:$A2419=L878)"),"86548 JOSE MARIA VELAZ")</f>
        <v>86548 JOSE MARIA VELAZ</v>
      </c>
      <c r="F878" s="11" t="s">
        <v>17</v>
      </c>
      <c r="G878" s="10" t="s">
        <v>24</v>
      </c>
      <c r="H878" s="11" t="s">
        <v>19</v>
      </c>
      <c r="I878" s="11" t="s">
        <v>20</v>
      </c>
      <c r="J878" s="12" t="str">
        <f ca="1">IFERROR(__xludf.DUMMYFUNCTION("FILTER('CLASFICACIÓN'!$F$3:$F2419,'CLASFICACIÓN'!$G$3:$G2419=M878)"),"2023 Y 2024")</f>
        <v>2023 Y 2024</v>
      </c>
      <c r="K878" s="12" t="s">
        <v>2011</v>
      </c>
      <c r="L878" s="11" t="s">
        <v>85</v>
      </c>
      <c r="M878" s="12" t="str">
        <f t="shared" ca="1" si="3"/>
        <v>86548 JOSE MARIA VELAZ6 Primaria</v>
      </c>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4"/>
    </row>
    <row r="879" spans="1:36" ht="15.75" customHeight="1" x14ac:dyDescent="0.25">
      <c r="A879" s="9">
        <v>39</v>
      </c>
      <c r="B879" s="10" t="s">
        <v>83</v>
      </c>
      <c r="C879" s="10" t="s">
        <v>15</v>
      </c>
      <c r="D879" s="10" t="s">
        <v>37</v>
      </c>
      <c r="E879" s="11" t="str">
        <f ca="1">IFERROR(__xludf.DUMMYFUNCTION("FILTER(Colegios!$B$2:$B2419,Colegios!$A$2:$A2419=L879)"),"86548 JOSE MARIA VELAZ")</f>
        <v>86548 JOSE MARIA VELAZ</v>
      </c>
      <c r="F879" s="11" t="s">
        <v>17</v>
      </c>
      <c r="G879" s="10" t="s">
        <v>24</v>
      </c>
      <c r="H879" s="11" t="s">
        <v>19</v>
      </c>
      <c r="I879" s="11" t="s">
        <v>20</v>
      </c>
      <c r="J879" s="12" t="str">
        <f ca="1">IFERROR(__xludf.DUMMYFUNCTION("FILTER('CLASFICACIÓN'!$F$3:$F2419,'CLASFICACIÓN'!$G$3:$G2419=M879)"),"2023 Y 2024")</f>
        <v>2023 Y 2024</v>
      </c>
      <c r="K879" s="12" t="s">
        <v>2011</v>
      </c>
      <c r="L879" s="11" t="s">
        <v>85</v>
      </c>
      <c r="M879" s="12" t="str">
        <f t="shared" ca="1" si="3"/>
        <v>86548 JOSE MARIA VELAZ6 Primaria</v>
      </c>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4"/>
    </row>
    <row r="880" spans="1:36" ht="15.75" customHeight="1" x14ac:dyDescent="0.25">
      <c r="A880" s="9">
        <v>40</v>
      </c>
      <c r="B880" s="10" t="s">
        <v>83</v>
      </c>
      <c r="C880" s="10" t="s">
        <v>15</v>
      </c>
      <c r="D880" s="10" t="s">
        <v>37</v>
      </c>
      <c r="E880" s="11" t="str">
        <f ca="1">IFERROR(__xludf.DUMMYFUNCTION("FILTER(Colegios!$B$2:$B2419,Colegios!$A$2:$A2419=L880)"),"86548 JOSE MARIA VELAZ")</f>
        <v>86548 JOSE MARIA VELAZ</v>
      </c>
      <c r="F880" s="11" t="s">
        <v>17</v>
      </c>
      <c r="G880" s="10" t="s">
        <v>24</v>
      </c>
      <c r="H880" s="11" t="s">
        <v>19</v>
      </c>
      <c r="I880" s="11" t="s">
        <v>20</v>
      </c>
      <c r="J880" s="12" t="str">
        <f ca="1">IFERROR(__xludf.DUMMYFUNCTION("FILTER('CLASFICACIÓN'!$F$3:$F2419,'CLASFICACIÓN'!$G$3:$G2419=M880)"),"2023 Y 2024")</f>
        <v>2023 Y 2024</v>
      </c>
      <c r="K880" s="12" t="s">
        <v>2011</v>
      </c>
      <c r="L880" s="11" t="s">
        <v>85</v>
      </c>
      <c r="M880" s="12" t="str">
        <f t="shared" ca="1" si="3"/>
        <v>86548 JOSE MARIA VELAZ6 Primaria</v>
      </c>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4"/>
    </row>
    <row r="881" spans="1:36" ht="15.75" customHeight="1" x14ac:dyDescent="0.25">
      <c r="A881" s="9">
        <v>41</v>
      </c>
      <c r="B881" s="10" t="s">
        <v>83</v>
      </c>
      <c r="C881" s="10" t="s">
        <v>15</v>
      </c>
      <c r="D881" s="10" t="s">
        <v>37</v>
      </c>
      <c r="E881" s="11" t="str">
        <f ca="1">IFERROR(__xludf.DUMMYFUNCTION("FILTER(Colegios!$B$2:$B2419,Colegios!$A$2:$A2419=L881)"),"86548 JOSE MARIA VELAZ")</f>
        <v>86548 JOSE MARIA VELAZ</v>
      </c>
      <c r="F881" s="11" t="s">
        <v>17</v>
      </c>
      <c r="G881" s="10" t="s">
        <v>18</v>
      </c>
      <c r="H881" s="11" t="s">
        <v>19</v>
      </c>
      <c r="I881" s="11" t="s">
        <v>20</v>
      </c>
      <c r="J881" s="12" t="str">
        <f ca="1">IFERROR(__xludf.DUMMYFUNCTION("FILTER('CLASFICACIÓN'!$F$3:$F2419,'CLASFICACIÓN'!$G$3:$G2419=M881)"),"2023 Y 2024")</f>
        <v>2023 Y 2024</v>
      </c>
      <c r="K881" s="12" t="s">
        <v>2011</v>
      </c>
      <c r="L881" s="11" t="s">
        <v>85</v>
      </c>
      <c r="M881" s="12" t="str">
        <f t="shared" ca="1" si="3"/>
        <v>86548 JOSE MARIA VELAZ6 Primaria</v>
      </c>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4"/>
    </row>
    <row r="882" spans="1:36" ht="15.75" customHeight="1" x14ac:dyDescent="0.25">
      <c r="A882" s="9">
        <v>42</v>
      </c>
      <c r="B882" s="10" t="s">
        <v>83</v>
      </c>
      <c r="C882" s="10" t="s">
        <v>41</v>
      </c>
      <c r="D882" s="10" t="s">
        <v>42</v>
      </c>
      <c r="E882" s="11" t="str">
        <f ca="1">IFERROR(__xludf.DUMMYFUNCTION("FILTER(Colegios!$B$2:$B2419,Colegios!$A$2:$A2419=L882)"),"86548 JOSE MARIA VELAZ")</f>
        <v>86548 JOSE MARIA VELAZ</v>
      </c>
      <c r="F882" s="11" t="s">
        <v>17</v>
      </c>
      <c r="G882" s="10" t="s">
        <v>18</v>
      </c>
      <c r="H882" s="11" t="s">
        <v>19</v>
      </c>
      <c r="I882" s="11" t="s">
        <v>20</v>
      </c>
      <c r="J882" s="12" t="str">
        <f ca="1">IFERROR(__xludf.DUMMYFUNCTION("FILTER('CLASFICACIÓN'!$F$3:$F2419,'CLASFICACIÓN'!$G$3:$G2419=M882)"),"SOLO 2022 Y 2024")</f>
        <v>SOLO 2022 Y 2024</v>
      </c>
      <c r="K882" s="12" t="s">
        <v>2011</v>
      </c>
      <c r="L882" s="11" t="s">
        <v>85</v>
      </c>
      <c r="M882" s="12" t="str">
        <f t="shared" ca="1" si="3"/>
        <v>86548 JOSE MARIA VELAZ2 Secundaria</v>
      </c>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4"/>
    </row>
    <row r="883" spans="1:36" ht="15.75" customHeight="1" x14ac:dyDescent="0.25">
      <c r="A883" s="9">
        <v>43</v>
      </c>
      <c r="B883" s="10" t="s">
        <v>83</v>
      </c>
      <c r="C883" s="10" t="s">
        <v>41</v>
      </c>
      <c r="D883" s="10" t="s">
        <v>42</v>
      </c>
      <c r="E883" s="11" t="str">
        <f ca="1">IFERROR(__xludf.DUMMYFUNCTION("FILTER(Colegios!$B$2:$B2419,Colegios!$A$2:$A2419=L883)"),"86548 JOSE MARIA VELAZ")</f>
        <v>86548 JOSE MARIA VELAZ</v>
      </c>
      <c r="F883" s="11" t="s">
        <v>17</v>
      </c>
      <c r="G883" s="10" t="s">
        <v>18</v>
      </c>
      <c r="H883" s="11" t="s">
        <v>19</v>
      </c>
      <c r="I883" s="11" t="s">
        <v>20</v>
      </c>
      <c r="J883" s="12" t="str">
        <f ca="1">IFERROR(__xludf.DUMMYFUNCTION("FILTER('CLASFICACIÓN'!$F$3:$F2419,'CLASFICACIÓN'!$G$3:$G2419=M883)"),"SOLO 2022 Y 2024")</f>
        <v>SOLO 2022 Y 2024</v>
      </c>
      <c r="K883" s="12" t="s">
        <v>2011</v>
      </c>
      <c r="L883" s="11" t="s">
        <v>85</v>
      </c>
      <c r="M883" s="12" t="str">
        <f t="shared" ca="1" si="3"/>
        <v>86548 JOSE MARIA VELAZ2 Secundaria</v>
      </c>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4"/>
    </row>
    <row r="884" spans="1:36" ht="15.75" customHeight="1" x14ac:dyDescent="0.25">
      <c r="A884" s="9">
        <v>44</v>
      </c>
      <c r="B884" s="10" t="s">
        <v>83</v>
      </c>
      <c r="C884" s="10" t="s">
        <v>41</v>
      </c>
      <c r="D884" s="10" t="s">
        <v>42</v>
      </c>
      <c r="E884" s="11" t="str">
        <f ca="1">IFERROR(__xludf.DUMMYFUNCTION("FILTER(Colegios!$B$2:$B2419,Colegios!$A$2:$A2419=L884)"),"86548 JOSE MARIA VELAZ")</f>
        <v>86548 JOSE MARIA VELAZ</v>
      </c>
      <c r="F884" s="11" t="s">
        <v>17</v>
      </c>
      <c r="G884" s="10" t="s">
        <v>24</v>
      </c>
      <c r="H884" s="11" t="s">
        <v>19</v>
      </c>
      <c r="I884" s="11" t="s">
        <v>20</v>
      </c>
      <c r="J884" s="12" t="str">
        <f ca="1">IFERROR(__xludf.DUMMYFUNCTION("FILTER('CLASFICACIÓN'!$F$3:$F2419,'CLASFICACIÓN'!$G$3:$G2419=M884)"),"SOLO 2022 Y 2024")</f>
        <v>SOLO 2022 Y 2024</v>
      </c>
      <c r="K884" s="12" t="s">
        <v>2011</v>
      </c>
      <c r="L884" s="11" t="s">
        <v>85</v>
      </c>
      <c r="M884" s="12" t="str">
        <f t="shared" ca="1" si="3"/>
        <v>86548 JOSE MARIA VELAZ2 Secundaria</v>
      </c>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4"/>
    </row>
    <row r="885" spans="1:36" ht="15.75" customHeight="1" x14ac:dyDescent="0.25">
      <c r="A885" s="9">
        <v>45</v>
      </c>
      <c r="B885" s="10" t="s">
        <v>83</v>
      </c>
      <c r="C885" s="10" t="s">
        <v>41</v>
      </c>
      <c r="D885" s="10" t="s">
        <v>42</v>
      </c>
      <c r="E885" s="11" t="str">
        <f ca="1">IFERROR(__xludf.DUMMYFUNCTION("FILTER(Colegios!$B$2:$B2419,Colegios!$A$2:$A2419=L885)"),"86548 JOSE MARIA VELAZ")</f>
        <v>86548 JOSE MARIA VELAZ</v>
      </c>
      <c r="F885" s="11" t="s">
        <v>17</v>
      </c>
      <c r="G885" s="10" t="s">
        <v>18</v>
      </c>
      <c r="H885" s="11" t="s">
        <v>19</v>
      </c>
      <c r="I885" s="11" t="s">
        <v>20</v>
      </c>
      <c r="J885" s="12" t="str">
        <f ca="1">IFERROR(__xludf.DUMMYFUNCTION("FILTER('CLASFICACIÓN'!$F$3:$F2419,'CLASFICACIÓN'!$G$3:$G2419=M885)"),"SOLO 2022 Y 2024")</f>
        <v>SOLO 2022 Y 2024</v>
      </c>
      <c r="K885" s="12" t="s">
        <v>2011</v>
      </c>
      <c r="L885" s="11" t="s">
        <v>85</v>
      </c>
      <c r="M885" s="12" t="str">
        <f t="shared" ca="1" si="3"/>
        <v>86548 JOSE MARIA VELAZ2 Secundaria</v>
      </c>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4"/>
    </row>
    <row r="886" spans="1:36" ht="15.75" customHeight="1" x14ac:dyDescent="0.25">
      <c r="A886" s="9">
        <v>46</v>
      </c>
      <c r="B886" s="10" t="s">
        <v>83</v>
      </c>
      <c r="C886" s="10" t="s">
        <v>41</v>
      </c>
      <c r="D886" s="10" t="s">
        <v>42</v>
      </c>
      <c r="E886" s="11" t="str">
        <f ca="1">IFERROR(__xludf.DUMMYFUNCTION("FILTER(Colegios!$B$2:$B2419,Colegios!$A$2:$A2419=L886)"),"86548 JOSE MARIA VELAZ")</f>
        <v>86548 JOSE MARIA VELAZ</v>
      </c>
      <c r="F886" s="11" t="s">
        <v>17</v>
      </c>
      <c r="G886" s="10" t="s">
        <v>24</v>
      </c>
      <c r="H886" s="11" t="s">
        <v>19</v>
      </c>
      <c r="I886" s="11" t="s">
        <v>20</v>
      </c>
      <c r="J886" s="12" t="str">
        <f ca="1">IFERROR(__xludf.DUMMYFUNCTION("FILTER('CLASFICACIÓN'!$F$3:$F2419,'CLASFICACIÓN'!$G$3:$G2419=M886)"),"SOLO 2022 Y 2024")</f>
        <v>SOLO 2022 Y 2024</v>
      </c>
      <c r="K886" s="12" t="s">
        <v>2011</v>
      </c>
      <c r="L886" s="11" t="s">
        <v>85</v>
      </c>
      <c r="M886" s="12" t="str">
        <f t="shared" ca="1" si="3"/>
        <v>86548 JOSE MARIA VELAZ2 Secundaria</v>
      </c>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4"/>
    </row>
    <row r="887" spans="1:36" ht="15.75" customHeight="1" x14ac:dyDescent="0.25">
      <c r="A887" s="9">
        <v>47</v>
      </c>
      <c r="B887" s="10" t="s">
        <v>83</v>
      </c>
      <c r="C887" s="10" t="s">
        <v>41</v>
      </c>
      <c r="D887" s="10" t="s">
        <v>42</v>
      </c>
      <c r="E887" s="11" t="str">
        <f ca="1">IFERROR(__xludf.DUMMYFUNCTION("FILTER(Colegios!$B$2:$B2419,Colegios!$A$2:$A2419=L887)"),"86548 JOSE MARIA VELAZ")</f>
        <v>86548 JOSE MARIA VELAZ</v>
      </c>
      <c r="F887" s="11" t="s">
        <v>17</v>
      </c>
      <c r="G887" s="10" t="s">
        <v>24</v>
      </c>
      <c r="H887" s="11" t="s">
        <v>19</v>
      </c>
      <c r="I887" s="11" t="s">
        <v>20</v>
      </c>
      <c r="J887" s="12" t="str">
        <f ca="1">IFERROR(__xludf.DUMMYFUNCTION("FILTER('CLASFICACIÓN'!$F$3:$F2419,'CLASFICACIÓN'!$G$3:$G2419=M887)"),"SOLO 2022 Y 2024")</f>
        <v>SOLO 2022 Y 2024</v>
      </c>
      <c r="K887" s="12" t="s">
        <v>2011</v>
      </c>
      <c r="L887" s="11" t="s">
        <v>85</v>
      </c>
      <c r="M887" s="12" t="str">
        <f t="shared" ca="1" si="3"/>
        <v>86548 JOSE MARIA VELAZ2 Secundaria</v>
      </c>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4"/>
    </row>
    <row r="888" spans="1:36" ht="15.75" customHeight="1" x14ac:dyDescent="0.25">
      <c r="A888" s="9">
        <v>50</v>
      </c>
      <c r="B888" s="10" t="s">
        <v>83</v>
      </c>
      <c r="C888" s="10" t="s">
        <v>41</v>
      </c>
      <c r="D888" s="10" t="s">
        <v>42</v>
      </c>
      <c r="E888" s="11" t="str">
        <f ca="1">IFERROR(__xludf.DUMMYFUNCTION("FILTER(Colegios!$B$2:$B2419,Colegios!$A$2:$A2419=L888)"),"86548 JOSE MARIA VELAZ")</f>
        <v>86548 JOSE MARIA VELAZ</v>
      </c>
      <c r="F888" s="11" t="s">
        <v>17</v>
      </c>
      <c r="G888" s="10" t="s">
        <v>18</v>
      </c>
      <c r="H888" s="11" t="s">
        <v>19</v>
      </c>
      <c r="I888" s="11" t="s">
        <v>20</v>
      </c>
      <c r="J888" s="12" t="str">
        <f ca="1">IFERROR(__xludf.DUMMYFUNCTION("FILTER('CLASFICACIÓN'!$F$3:$F2419,'CLASFICACIÓN'!$G$3:$G2419=M888)"),"SOLO 2022 Y 2024")</f>
        <v>SOLO 2022 Y 2024</v>
      </c>
      <c r="K888" s="12" t="s">
        <v>2011</v>
      </c>
      <c r="L888" s="11" t="s">
        <v>85</v>
      </c>
      <c r="M888" s="12" t="str">
        <f t="shared" ca="1" si="3"/>
        <v>86548 JOSE MARIA VELAZ2 Secundaria</v>
      </c>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4"/>
    </row>
    <row r="889" spans="1:36" ht="15.75" customHeight="1" x14ac:dyDescent="0.25">
      <c r="A889" s="9">
        <v>51</v>
      </c>
      <c r="B889" s="10" t="s">
        <v>83</v>
      </c>
      <c r="C889" s="10" t="s">
        <v>41</v>
      </c>
      <c r="D889" s="10" t="s">
        <v>42</v>
      </c>
      <c r="E889" s="11" t="str">
        <f ca="1">IFERROR(__xludf.DUMMYFUNCTION("FILTER(Colegios!$B$2:$B2419,Colegios!$A$2:$A2419=L889)"),"86548 JOSE MARIA VELAZ")</f>
        <v>86548 JOSE MARIA VELAZ</v>
      </c>
      <c r="F889" s="11" t="s">
        <v>17</v>
      </c>
      <c r="G889" s="10" t="s">
        <v>18</v>
      </c>
      <c r="H889" s="11" t="s">
        <v>19</v>
      </c>
      <c r="I889" s="11" t="s">
        <v>20</v>
      </c>
      <c r="J889" s="12" t="str">
        <f ca="1">IFERROR(__xludf.DUMMYFUNCTION("FILTER('CLASFICACIÓN'!$F$3:$F2419,'CLASFICACIÓN'!$G$3:$G2419=M889)"),"SOLO 2022 Y 2024")</f>
        <v>SOLO 2022 Y 2024</v>
      </c>
      <c r="K889" s="12" t="s">
        <v>2011</v>
      </c>
      <c r="L889" s="11" t="s">
        <v>85</v>
      </c>
      <c r="M889" s="12" t="str">
        <f t="shared" ca="1" si="3"/>
        <v>86548 JOSE MARIA VELAZ2 Secundaria</v>
      </c>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4"/>
    </row>
    <row r="890" spans="1:36" ht="15.75" customHeight="1" x14ac:dyDescent="0.25">
      <c r="A890" s="9">
        <v>52</v>
      </c>
      <c r="B890" s="10" t="s">
        <v>83</v>
      </c>
      <c r="C890" s="10" t="s">
        <v>41</v>
      </c>
      <c r="D890" s="10" t="s">
        <v>42</v>
      </c>
      <c r="E890" s="11" t="str">
        <f ca="1">IFERROR(__xludf.DUMMYFUNCTION("FILTER(Colegios!$B$2:$B2419,Colegios!$A$2:$A2419=L890)"),"86548 JOSE MARIA VELAZ")</f>
        <v>86548 JOSE MARIA VELAZ</v>
      </c>
      <c r="F890" s="11" t="s">
        <v>17</v>
      </c>
      <c r="G890" s="10" t="s">
        <v>18</v>
      </c>
      <c r="H890" s="11" t="s">
        <v>19</v>
      </c>
      <c r="I890" s="11" t="s">
        <v>20</v>
      </c>
      <c r="J890" s="12" t="str">
        <f ca="1">IFERROR(__xludf.DUMMYFUNCTION("FILTER('CLASFICACIÓN'!$F$3:$F2419,'CLASFICACIÓN'!$G$3:$G2419=M890)"),"SOLO 2022 Y 2024")</f>
        <v>SOLO 2022 Y 2024</v>
      </c>
      <c r="K890" s="12" t="s">
        <v>2011</v>
      </c>
      <c r="L890" s="11" t="s">
        <v>85</v>
      </c>
      <c r="M890" s="12" t="str">
        <f t="shared" ca="1" si="3"/>
        <v>86548 JOSE MARIA VELAZ2 Secundaria</v>
      </c>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4"/>
    </row>
    <row r="891" spans="1:36" ht="15.75" customHeight="1" x14ac:dyDescent="0.25">
      <c r="A891" s="9">
        <v>53</v>
      </c>
      <c r="B891" s="10" t="s">
        <v>83</v>
      </c>
      <c r="C891" s="10" t="s">
        <v>41</v>
      </c>
      <c r="D891" s="10" t="s">
        <v>42</v>
      </c>
      <c r="E891" s="11" t="str">
        <f ca="1">IFERROR(__xludf.DUMMYFUNCTION("FILTER(Colegios!$B$2:$B2419,Colegios!$A$2:$A2419=L891)"),"86548 JOSE MARIA VELAZ")</f>
        <v>86548 JOSE MARIA VELAZ</v>
      </c>
      <c r="F891" s="11" t="s">
        <v>17</v>
      </c>
      <c r="G891" s="10" t="s">
        <v>24</v>
      </c>
      <c r="H891" s="11" t="s">
        <v>19</v>
      </c>
      <c r="I891" s="11" t="s">
        <v>20</v>
      </c>
      <c r="J891" s="12" t="str">
        <f ca="1">IFERROR(__xludf.DUMMYFUNCTION("FILTER('CLASFICACIÓN'!$F$3:$F2419,'CLASFICACIÓN'!$G$3:$G2419=M891)"),"SOLO 2022 Y 2024")</f>
        <v>SOLO 2022 Y 2024</v>
      </c>
      <c r="K891" s="12" t="s">
        <v>2011</v>
      </c>
      <c r="L891" s="11" t="s">
        <v>85</v>
      </c>
      <c r="M891" s="12" t="str">
        <f t="shared" ca="1" si="3"/>
        <v>86548 JOSE MARIA VELAZ2 Secundaria</v>
      </c>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4"/>
    </row>
    <row r="892" spans="1:36" ht="15.75" customHeight="1" x14ac:dyDescent="0.25">
      <c r="A892" s="9">
        <v>55</v>
      </c>
      <c r="B892" s="10" t="s">
        <v>83</v>
      </c>
      <c r="C892" s="10" t="s">
        <v>41</v>
      </c>
      <c r="D892" s="10" t="s">
        <v>42</v>
      </c>
      <c r="E892" s="11" t="str">
        <f ca="1">IFERROR(__xludf.DUMMYFUNCTION("FILTER(Colegios!$B$2:$B2419,Colegios!$A$2:$A2419=L892)"),"86548 JOSE MARIA VELAZ")</f>
        <v>86548 JOSE MARIA VELAZ</v>
      </c>
      <c r="F892" s="11" t="s">
        <v>17</v>
      </c>
      <c r="G892" s="10" t="s">
        <v>18</v>
      </c>
      <c r="H892" s="11" t="s">
        <v>19</v>
      </c>
      <c r="I892" s="11" t="s">
        <v>20</v>
      </c>
      <c r="J892" s="12" t="str">
        <f ca="1">IFERROR(__xludf.DUMMYFUNCTION("FILTER('CLASFICACIÓN'!$F$3:$F2419,'CLASFICACIÓN'!$G$3:$G2419=M892)"),"SOLO 2022 Y 2024")</f>
        <v>SOLO 2022 Y 2024</v>
      </c>
      <c r="K892" s="12" t="s">
        <v>2011</v>
      </c>
      <c r="L892" s="11" t="s">
        <v>85</v>
      </c>
      <c r="M892" s="12" t="str">
        <f t="shared" ca="1" si="3"/>
        <v>86548 JOSE MARIA VELAZ2 Secundaria</v>
      </c>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4"/>
    </row>
    <row r="893" spans="1:36" ht="15.75" customHeight="1" x14ac:dyDescent="0.25">
      <c r="A893" s="9">
        <v>57</v>
      </c>
      <c r="B893" s="10" t="s">
        <v>83</v>
      </c>
      <c r="C893" s="10" t="s">
        <v>41</v>
      </c>
      <c r="D893" s="10" t="s">
        <v>42</v>
      </c>
      <c r="E893" s="11" t="str">
        <f ca="1">IFERROR(__xludf.DUMMYFUNCTION("FILTER(Colegios!$B$2:$B2419,Colegios!$A$2:$A2419=L893)"),"86548 JOSE MARIA VELAZ")</f>
        <v>86548 JOSE MARIA VELAZ</v>
      </c>
      <c r="F893" s="11" t="s">
        <v>17</v>
      </c>
      <c r="G893" s="10" t="s">
        <v>18</v>
      </c>
      <c r="H893" s="11" t="s">
        <v>19</v>
      </c>
      <c r="I893" s="11" t="s">
        <v>20</v>
      </c>
      <c r="J893" s="12" t="str">
        <f ca="1">IFERROR(__xludf.DUMMYFUNCTION("FILTER('CLASFICACIÓN'!$F$3:$F2419,'CLASFICACIÓN'!$G$3:$G2419=M893)"),"SOLO 2022 Y 2024")</f>
        <v>SOLO 2022 Y 2024</v>
      </c>
      <c r="K893" s="12" t="s">
        <v>2011</v>
      </c>
      <c r="L893" s="11" t="s">
        <v>85</v>
      </c>
      <c r="M893" s="12" t="str">
        <f t="shared" ca="1" si="3"/>
        <v>86548 JOSE MARIA VELAZ2 Secundaria</v>
      </c>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4"/>
    </row>
    <row r="894" spans="1:36" ht="15.75" customHeight="1" x14ac:dyDescent="0.25">
      <c r="A894" s="9">
        <v>59</v>
      </c>
      <c r="B894" s="10" t="s">
        <v>83</v>
      </c>
      <c r="C894" s="10" t="s">
        <v>41</v>
      </c>
      <c r="D894" s="10" t="s">
        <v>42</v>
      </c>
      <c r="E894" s="11" t="str">
        <f ca="1">IFERROR(__xludf.DUMMYFUNCTION("FILTER(Colegios!$B$2:$B2419,Colegios!$A$2:$A2419=L894)"),"86548 JOSE MARIA VELAZ")</f>
        <v>86548 JOSE MARIA VELAZ</v>
      </c>
      <c r="F894" s="11" t="s">
        <v>17</v>
      </c>
      <c r="G894" s="10" t="s">
        <v>18</v>
      </c>
      <c r="H894" s="11" t="s">
        <v>19</v>
      </c>
      <c r="I894" s="11" t="s">
        <v>20</v>
      </c>
      <c r="J894" s="12" t="str">
        <f ca="1">IFERROR(__xludf.DUMMYFUNCTION("FILTER('CLASFICACIÓN'!$F$3:$F2419,'CLASFICACIÓN'!$G$3:$G2419=M894)"),"SOLO 2022 Y 2024")</f>
        <v>SOLO 2022 Y 2024</v>
      </c>
      <c r="K894" s="12" t="s">
        <v>2011</v>
      </c>
      <c r="L894" s="11" t="s">
        <v>85</v>
      </c>
      <c r="M894" s="12" t="str">
        <f t="shared" ca="1" si="3"/>
        <v>86548 JOSE MARIA VELAZ2 Secundaria</v>
      </c>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4"/>
    </row>
    <row r="895" spans="1:36" ht="15.75" customHeight="1" x14ac:dyDescent="0.25">
      <c r="A895" s="9">
        <v>60</v>
      </c>
      <c r="B895" s="10" t="s">
        <v>83</v>
      </c>
      <c r="C895" s="10" t="s">
        <v>41</v>
      </c>
      <c r="D895" s="10" t="s">
        <v>42</v>
      </c>
      <c r="E895" s="11" t="str">
        <f ca="1">IFERROR(__xludf.DUMMYFUNCTION("FILTER(Colegios!$B$2:$B2419,Colegios!$A$2:$A2419=L895)"),"86548 JOSE MARIA VELAZ")</f>
        <v>86548 JOSE MARIA VELAZ</v>
      </c>
      <c r="F895" s="11" t="s">
        <v>17</v>
      </c>
      <c r="G895" s="10" t="s">
        <v>24</v>
      </c>
      <c r="H895" s="11" t="s">
        <v>19</v>
      </c>
      <c r="I895" s="11" t="s">
        <v>20</v>
      </c>
      <c r="J895" s="12" t="str">
        <f ca="1">IFERROR(__xludf.DUMMYFUNCTION("FILTER('CLASFICACIÓN'!$F$3:$F2419,'CLASFICACIÓN'!$G$3:$G2419=M895)"),"SOLO 2022 Y 2024")</f>
        <v>SOLO 2022 Y 2024</v>
      </c>
      <c r="K895" s="12" t="s">
        <v>2011</v>
      </c>
      <c r="L895" s="11" t="s">
        <v>85</v>
      </c>
      <c r="M895" s="12" t="str">
        <f t="shared" ca="1" si="3"/>
        <v>86548 JOSE MARIA VELAZ2 Secundaria</v>
      </c>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4"/>
    </row>
    <row r="896" spans="1:36" ht="15.75" customHeight="1" x14ac:dyDescent="0.25">
      <c r="A896" s="9">
        <v>61</v>
      </c>
      <c r="B896" s="10" t="s">
        <v>83</v>
      </c>
      <c r="C896" s="10" t="s">
        <v>41</v>
      </c>
      <c r="D896" s="10" t="s">
        <v>42</v>
      </c>
      <c r="E896" s="11" t="str">
        <f ca="1">IFERROR(__xludf.DUMMYFUNCTION("FILTER(Colegios!$B$2:$B2419,Colegios!$A$2:$A2419=L896)"),"86548 JOSE MARIA VELAZ")</f>
        <v>86548 JOSE MARIA VELAZ</v>
      </c>
      <c r="F896" s="11" t="s">
        <v>17</v>
      </c>
      <c r="G896" s="10" t="s">
        <v>24</v>
      </c>
      <c r="H896" s="11" t="s">
        <v>19</v>
      </c>
      <c r="I896" s="11" t="s">
        <v>20</v>
      </c>
      <c r="J896" s="12" t="str">
        <f ca="1">IFERROR(__xludf.DUMMYFUNCTION("FILTER('CLASFICACIÓN'!$F$3:$F2419,'CLASFICACIÓN'!$G$3:$G2419=M896)"),"SOLO 2022 Y 2024")</f>
        <v>SOLO 2022 Y 2024</v>
      </c>
      <c r="K896" s="12" t="s">
        <v>2011</v>
      </c>
      <c r="L896" s="11" t="s">
        <v>85</v>
      </c>
      <c r="M896" s="12" t="str">
        <f t="shared" ca="1" si="3"/>
        <v>86548 JOSE MARIA VELAZ2 Secundaria</v>
      </c>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4"/>
    </row>
    <row r="897" spans="1:36" ht="15.75" customHeight="1" x14ac:dyDescent="0.25">
      <c r="A897" s="9">
        <v>62</v>
      </c>
      <c r="B897" s="10" t="s">
        <v>83</v>
      </c>
      <c r="C897" s="10" t="s">
        <v>41</v>
      </c>
      <c r="D897" s="10" t="s">
        <v>42</v>
      </c>
      <c r="E897" s="11" t="str">
        <f ca="1">IFERROR(__xludf.DUMMYFUNCTION("FILTER(Colegios!$B$2:$B2419,Colegios!$A$2:$A2419=L897)"),"86548 JOSE MARIA VELAZ")</f>
        <v>86548 JOSE MARIA VELAZ</v>
      </c>
      <c r="F897" s="11" t="s">
        <v>17</v>
      </c>
      <c r="G897" s="10" t="s">
        <v>24</v>
      </c>
      <c r="H897" s="11" t="s">
        <v>19</v>
      </c>
      <c r="I897" s="11" t="s">
        <v>20</v>
      </c>
      <c r="J897" s="12" t="str">
        <f ca="1">IFERROR(__xludf.DUMMYFUNCTION("FILTER('CLASFICACIÓN'!$F$3:$F2419,'CLASFICACIÓN'!$G$3:$G2419=M897)"),"SOLO 2022 Y 2024")</f>
        <v>SOLO 2022 Y 2024</v>
      </c>
      <c r="K897" s="12" t="s">
        <v>2011</v>
      </c>
      <c r="L897" s="11" t="s">
        <v>85</v>
      </c>
      <c r="M897" s="12" t="str">
        <f t="shared" ca="1" si="3"/>
        <v>86548 JOSE MARIA VELAZ2 Secundaria</v>
      </c>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4"/>
    </row>
    <row r="898" spans="1:36" ht="15.75" customHeight="1" x14ac:dyDescent="0.25">
      <c r="A898" s="9">
        <v>63</v>
      </c>
      <c r="B898" s="10" t="s">
        <v>83</v>
      </c>
      <c r="C898" s="10" t="s">
        <v>41</v>
      </c>
      <c r="D898" s="10" t="s">
        <v>42</v>
      </c>
      <c r="E898" s="11" t="str">
        <f ca="1">IFERROR(__xludf.DUMMYFUNCTION("FILTER(Colegios!$B$2:$B2419,Colegios!$A$2:$A2419=L898)"),"86548 JOSE MARIA VELAZ")</f>
        <v>86548 JOSE MARIA VELAZ</v>
      </c>
      <c r="F898" s="11" t="s">
        <v>17</v>
      </c>
      <c r="G898" s="10" t="s">
        <v>18</v>
      </c>
      <c r="H898" s="11" t="s">
        <v>19</v>
      </c>
      <c r="I898" s="11" t="s">
        <v>20</v>
      </c>
      <c r="J898" s="12" t="str">
        <f ca="1">IFERROR(__xludf.DUMMYFUNCTION("FILTER('CLASFICACIÓN'!$F$3:$F2419,'CLASFICACIÓN'!$G$3:$G2419=M898)"),"SOLO 2022 Y 2024")</f>
        <v>SOLO 2022 Y 2024</v>
      </c>
      <c r="K898" s="12" t="s">
        <v>2011</v>
      </c>
      <c r="L898" s="11" t="s">
        <v>85</v>
      </c>
      <c r="M898" s="12" t="str">
        <f t="shared" ca="1" si="3"/>
        <v>86548 JOSE MARIA VELAZ2 Secundaria</v>
      </c>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4"/>
    </row>
    <row r="899" spans="1:36" ht="15.75" customHeight="1" x14ac:dyDescent="0.25">
      <c r="A899" s="9">
        <v>64</v>
      </c>
      <c r="B899" s="10" t="s">
        <v>83</v>
      </c>
      <c r="C899" s="10" t="s">
        <v>41</v>
      </c>
      <c r="D899" s="10" t="s">
        <v>42</v>
      </c>
      <c r="E899" s="11" t="str">
        <f ca="1">IFERROR(__xludf.DUMMYFUNCTION("FILTER(Colegios!$B$2:$B2419,Colegios!$A$2:$A2419=L899)"),"86548 JOSE MARIA VELAZ")</f>
        <v>86548 JOSE MARIA VELAZ</v>
      </c>
      <c r="F899" s="11" t="s">
        <v>17</v>
      </c>
      <c r="G899" s="10" t="s">
        <v>18</v>
      </c>
      <c r="H899" s="11" t="s">
        <v>19</v>
      </c>
      <c r="I899" s="11" t="s">
        <v>20</v>
      </c>
      <c r="J899" s="12" t="str">
        <f ca="1">IFERROR(__xludf.DUMMYFUNCTION("FILTER('CLASFICACIÓN'!$F$3:$F2419,'CLASFICACIÓN'!$G$3:$G2419=M899)"),"SOLO 2022 Y 2024")</f>
        <v>SOLO 2022 Y 2024</v>
      </c>
      <c r="K899" s="12" t="s">
        <v>2011</v>
      </c>
      <c r="L899" s="11" t="s">
        <v>85</v>
      </c>
      <c r="M899" s="12" t="str">
        <f t="shared" ca="1" si="3"/>
        <v>86548 JOSE MARIA VELAZ2 Secundaria</v>
      </c>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4"/>
    </row>
    <row r="900" spans="1:36" ht="15.75" customHeight="1" x14ac:dyDescent="0.25">
      <c r="A900" s="9">
        <v>65</v>
      </c>
      <c r="B900" s="10" t="s">
        <v>83</v>
      </c>
      <c r="C900" s="10" t="s">
        <v>41</v>
      </c>
      <c r="D900" s="10" t="s">
        <v>42</v>
      </c>
      <c r="E900" s="11" t="str">
        <f ca="1">IFERROR(__xludf.DUMMYFUNCTION("FILTER(Colegios!$B$2:$B2419,Colegios!$A$2:$A2419=L900)"),"86548 JOSE MARIA VELAZ")</f>
        <v>86548 JOSE MARIA VELAZ</v>
      </c>
      <c r="F900" s="11" t="s">
        <v>17</v>
      </c>
      <c r="G900" s="10" t="s">
        <v>24</v>
      </c>
      <c r="H900" s="11" t="s">
        <v>19</v>
      </c>
      <c r="I900" s="11" t="s">
        <v>20</v>
      </c>
      <c r="J900" s="12" t="str">
        <f ca="1">IFERROR(__xludf.DUMMYFUNCTION("FILTER('CLASFICACIÓN'!$F$3:$F2419,'CLASFICACIÓN'!$G$3:$G2419=M900)"),"SOLO 2022 Y 2024")</f>
        <v>SOLO 2022 Y 2024</v>
      </c>
      <c r="K900" s="12" t="s">
        <v>2011</v>
      </c>
      <c r="L900" s="11" t="s">
        <v>85</v>
      </c>
      <c r="M900" s="12" t="str">
        <f t="shared" ca="1" si="3"/>
        <v>86548 JOSE MARIA VELAZ2 Secundaria</v>
      </c>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4"/>
    </row>
    <row r="901" spans="1:36" ht="15.75" customHeight="1" x14ac:dyDescent="0.25">
      <c r="A901" s="9">
        <v>66</v>
      </c>
      <c r="B901" s="10" t="s">
        <v>83</v>
      </c>
      <c r="C901" s="10" t="s">
        <v>41</v>
      </c>
      <c r="D901" s="10" t="s">
        <v>42</v>
      </c>
      <c r="E901" s="11" t="str">
        <f ca="1">IFERROR(__xludf.DUMMYFUNCTION("FILTER(Colegios!$B$2:$B2419,Colegios!$A$2:$A2419=L901)"),"86548 JOSE MARIA VELAZ")</f>
        <v>86548 JOSE MARIA VELAZ</v>
      </c>
      <c r="F901" s="11" t="s">
        <v>17</v>
      </c>
      <c r="G901" s="10" t="s">
        <v>18</v>
      </c>
      <c r="H901" s="11" t="s">
        <v>19</v>
      </c>
      <c r="I901" s="11" t="s">
        <v>20</v>
      </c>
      <c r="J901" s="12" t="str">
        <f ca="1">IFERROR(__xludf.DUMMYFUNCTION("FILTER('CLASFICACIÓN'!$F$3:$F2419,'CLASFICACIÓN'!$G$3:$G2419=M901)"),"SOLO 2022 Y 2024")</f>
        <v>SOLO 2022 Y 2024</v>
      </c>
      <c r="K901" s="12" t="s">
        <v>2011</v>
      </c>
      <c r="L901" s="11" t="s">
        <v>85</v>
      </c>
      <c r="M901" s="12" t="str">
        <f t="shared" ca="1" si="3"/>
        <v>86548 JOSE MARIA VELAZ2 Secundaria</v>
      </c>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4"/>
    </row>
    <row r="902" spans="1:36" ht="15.75" customHeight="1" x14ac:dyDescent="0.25">
      <c r="A902" s="9">
        <v>67</v>
      </c>
      <c r="B902" s="10" t="s">
        <v>83</v>
      </c>
      <c r="C902" s="10" t="s">
        <v>41</v>
      </c>
      <c r="D902" s="10" t="s">
        <v>43</v>
      </c>
      <c r="E902" s="11" t="str">
        <f ca="1">IFERROR(__xludf.DUMMYFUNCTION("FILTER(Colegios!$B$2:$B2419,Colegios!$A$2:$A2419=L902)"),"86548 JOSE MARIA VELAZ")</f>
        <v>86548 JOSE MARIA VELAZ</v>
      </c>
      <c r="F902" s="11" t="s">
        <v>17</v>
      </c>
      <c r="G902" s="10" t="s">
        <v>24</v>
      </c>
      <c r="H902" s="11" t="s">
        <v>19</v>
      </c>
      <c r="I902" s="11" t="s">
        <v>20</v>
      </c>
      <c r="J902" s="12" t="str">
        <f ca="1">IFERROR(__xludf.DUMMYFUNCTION("FILTER('CLASFICACIÓN'!$F$3:$F2419,'CLASFICACIÓN'!$G$3:$G2419=M902)"),"SOLO 2022 Y 2024")</f>
        <v>SOLO 2022 Y 2024</v>
      </c>
      <c r="K902" s="12" t="s">
        <v>2011</v>
      </c>
      <c r="L902" s="11" t="s">
        <v>85</v>
      </c>
      <c r="M902" s="12" t="str">
        <f t="shared" ca="1" si="3"/>
        <v>86548 JOSE MARIA VELAZ4 Secundaria</v>
      </c>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4"/>
    </row>
    <row r="903" spans="1:36" ht="15.75" customHeight="1" x14ac:dyDescent="0.25">
      <c r="A903" s="9">
        <v>68</v>
      </c>
      <c r="B903" s="10" t="s">
        <v>83</v>
      </c>
      <c r="C903" s="10" t="s">
        <v>41</v>
      </c>
      <c r="D903" s="10" t="s">
        <v>43</v>
      </c>
      <c r="E903" s="11" t="str">
        <f ca="1">IFERROR(__xludf.DUMMYFUNCTION("FILTER(Colegios!$B$2:$B2419,Colegios!$A$2:$A2419=L903)"),"86548 JOSE MARIA VELAZ")</f>
        <v>86548 JOSE MARIA VELAZ</v>
      </c>
      <c r="F903" s="11" t="s">
        <v>17</v>
      </c>
      <c r="G903" s="10" t="s">
        <v>24</v>
      </c>
      <c r="H903" s="11" t="s">
        <v>19</v>
      </c>
      <c r="I903" s="11" t="s">
        <v>20</v>
      </c>
      <c r="J903" s="12" t="str">
        <f ca="1">IFERROR(__xludf.DUMMYFUNCTION("FILTER('CLASFICACIÓN'!$F$3:$F2419,'CLASFICACIÓN'!$G$3:$G2419=M903)"),"SOLO 2022 Y 2024")</f>
        <v>SOLO 2022 Y 2024</v>
      </c>
      <c r="K903" s="12" t="s">
        <v>2011</v>
      </c>
      <c r="L903" s="11" t="s">
        <v>85</v>
      </c>
      <c r="M903" s="12" t="str">
        <f t="shared" ca="1" si="3"/>
        <v>86548 JOSE MARIA VELAZ4 Secundaria</v>
      </c>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4"/>
    </row>
    <row r="904" spans="1:36" ht="15.75" customHeight="1" x14ac:dyDescent="0.25">
      <c r="A904" s="9">
        <v>69</v>
      </c>
      <c r="B904" s="10" t="s">
        <v>83</v>
      </c>
      <c r="C904" s="10" t="s">
        <v>41</v>
      </c>
      <c r="D904" s="10" t="s">
        <v>43</v>
      </c>
      <c r="E904" s="11" t="str">
        <f ca="1">IFERROR(__xludf.DUMMYFUNCTION("FILTER(Colegios!$B$2:$B2419,Colegios!$A$2:$A2419=L904)"),"86548 JOSE MARIA VELAZ")</f>
        <v>86548 JOSE MARIA VELAZ</v>
      </c>
      <c r="F904" s="11" t="s">
        <v>17</v>
      </c>
      <c r="G904" s="10" t="s">
        <v>18</v>
      </c>
      <c r="H904" s="11" t="s">
        <v>19</v>
      </c>
      <c r="I904" s="11" t="s">
        <v>20</v>
      </c>
      <c r="J904" s="12" t="str">
        <f ca="1">IFERROR(__xludf.DUMMYFUNCTION("FILTER('CLASFICACIÓN'!$F$3:$F2419,'CLASFICACIÓN'!$G$3:$G2419=M904)"),"SOLO 2022 Y 2024")</f>
        <v>SOLO 2022 Y 2024</v>
      </c>
      <c r="K904" s="12" t="s">
        <v>2011</v>
      </c>
      <c r="L904" s="11" t="s">
        <v>85</v>
      </c>
      <c r="M904" s="12" t="str">
        <f t="shared" ca="1" si="3"/>
        <v>86548 JOSE MARIA VELAZ4 Secundaria</v>
      </c>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4"/>
    </row>
    <row r="905" spans="1:36" ht="15.75" customHeight="1" x14ac:dyDescent="0.25">
      <c r="A905" s="9">
        <v>70</v>
      </c>
      <c r="B905" s="10" t="s">
        <v>83</v>
      </c>
      <c r="C905" s="10" t="s">
        <v>41</v>
      </c>
      <c r="D905" s="10" t="s">
        <v>43</v>
      </c>
      <c r="E905" s="11" t="str">
        <f ca="1">IFERROR(__xludf.DUMMYFUNCTION("FILTER(Colegios!$B$2:$B2419,Colegios!$A$2:$A2419=L905)"),"86548 JOSE MARIA VELAZ")</f>
        <v>86548 JOSE MARIA VELAZ</v>
      </c>
      <c r="F905" s="11" t="s">
        <v>17</v>
      </c>
      <c r="G905" s="10" t="s">
        <v>24</v>
      </c>
      <c r="H905" s="11" t="s">
        <v>19</v>
      </c>
      <c r="I905" s="11" t="s">
        <v>20</v>
      </c>
      <c r="J905" s="12" t="str">
        <f ca="1">IFERROR(__xludf.DUMMYFUNCTION("FILTER('CLASFICACIÓN'!$F$3:$F2419,'CLASFICACIÓN'!$G$3:$G2419=M905)"),"SOLO 2022 Y 2024")</f>
        <v>SOLO 2022 Y 2024</v>
      </c>
      <c r="K905" s="12" t="s">
        <v>2011</v>
      </c>
      <c r="L905" s="11" t="s">
        <v>85</v>
      </c>
      <c r="M905" s="12" t="str">
        <f t="shared" ca="1" si="3"/>
        <v>86548 JOSE MARIA VELAZ4 Secundaria</v>
      </c>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4"/>
    </row>
    <row r="906" spans="1:36" ht="15.75" customHeight="1" x14ac:dyDescent="0.25">
      <c r="A906" s="9">
        <v>72</v>
      </c>
      <c r="B906" s="10" t="s">
        <v>83</v>
      </c>
      <c r="C906" s="10" t="s">
        <v>41</v>
      </c>
      <c r="D906" s="10" t="s">
        <v>43</v>
      </c>
      <c r="E906" s="11" t="str">
        <f ca="1">IFERROR(__xludf.DUMMYFUNCTION("FILTER(Colegios!$B$2:$B2419,Colegios!$A$2:$A2419=L906)"),"86548 JOSE MARIA VELAZ")</f>
        <v>86548 JOSE MARIA VELAZ</v>
      </c>
      <c r="F906" s="11" t="s">
        <v>17</v>
      </c>
      <c r="G906" s="10" t="s">
        <v>24</v>
      </c>
      <c r="H906" s="11" t="s">
        <v>19</v>
      </c>
      <c r="I906" s="11" t="s">
        <v>20</v>
      </c>
      <c r="J906" s="12" t="str">
        <f ca="1">IFERROR(__xludf.DUMMYFUNCTION("FILTER('CLASFICACIÓN'!$F$3:$F2419,'CLASFICACIÓN'!$G$3:$G2419=M906)"),"SOLO 2022 Y 2024")</f>
        <v>SOLO 2022 Y 2024</v>
      </c>
      <c r="K906" s="12" t="s">
        <v>2011</v>
      </c>
      <c r="L906" s="11" t="s">
        <v>85</v>
      </c>
      <c r="M906" s="12" t="str">
        <f t="shared" ca="1" si="3"/>
        <v>86548 JOSE MARIA VELAZ4 Secundaria</v>
      </c>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4"/>
    </row>
    <row r="907" spans="1:36" ht="15.75" customHeight="1" x14ac:dyDescent="0.25">
      <c r="A907" s="9">
        <v>73</v>
      </c>
      <c r="B907" s="10" t="s">
        <v>83</v>
      </c>
      <c r="C907" s="10" t="s">
        <v>41</v>
      </c>
      <c r="D907" s="10" t="s">
        <v>43</v>
      </c>
      <c r="E907" s="11" t="str">
        <f ca="1">IFERROR(__xludf.DUMMYFUNCTION("FILTER(Colegios!$B$2:$B2419,Colegios!$A$2:$A2419=L907)"),"86548 JOSE MARIA VELAZ")</f>
        <v>86548 JOSE MARIA VELAZ</v>
      </c>
      <c r="F907" s="11" t="s">
        <v>17</v>
      </c>
      <c r="G907" s="10" t="s">
        <v>18</v>
      </c>
      <c r="H907" s="11" t="s">
        <v>19</v>
      </c>
      <c r="I907" s="11" t="s">
        <v>20</v>
      </c>
      <c r="J907" s="12" t="str">
        <f ca="1">IFERROR(__xludf.DUMMYFUNCTION("FILTER('CLASFICACIÓN'!$F$3:$F2419,'CLASFICACIÓN'!$G$3:$G2419=M907)"),"SOLO 2022 Y 2024")</f>
        <v>SOLO 2022 Y 2024</v>
      </c>
      <c r="K907" s="12" t="s">
        <v>2011</v>
      </c>
      <c r="L907" s="11" t="s">
        <v>85</v>
      </c>
      <c r="M907" s="12" t="str">
        <f t="shared" ca="1" si="3"/>
        <v>86548 JOSE MARIA VELAZ4 Secundaria</v>
      </c>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4"/>
    </row>
    <row r="908" spans="1:36" ht="15.75" customHeight="1" x14ac:dyDescent="0.25">
      <c r="A908" s="9">
        <v>74</v>
      </c>
      <c r="B908" s="10" t="s">
        <v>83</v>
      </c>
      <c r="C908" s="10" t="s">
        <v>41</v>
      </c>
      <c r="D908" s="10" t="s">
        <v>43</v>
      </c>
      <c r="E908" s="11" t="str">
        <f ca="1">IFERROR(__xludf.DUMMYFUNCTION("FILTER(Colegios!$B$2:$B2419,Colegios!$A$2:$A2419=L908)"),"86548 JOSE MARIA VELAZ")</f>
        <v>86548 JOSE MARIA VELAZ</v>
      </c>
      <c r="F908" s="11" t="s">
        <v>17</v>
      </c>
      <c r="G908" s="10" t="s">
        <v>18</v>
      </c>
      <c r="H908" s="11" t="s">
        <v>19</v>
      </c>
      <c r="I908" s="11" t="s">
        <v>20</v>
      </c>
      <c r="J908" s="12" t="str">
        <f ca="1">IFERROR(__xludf.DUMMYFUNCTION("FILTER('CLASFICACIÓN'!$F$3:$F2419,'CLASFICACIÓN'!$G$3:$G2419=M908)"),"SOLO 2022 Y 2024")</f>
        <v>SOLO 2022 Y 2024</v>
      </c>
      <c r="K908" s="12" t="s">
        <v>2011</v>
      </c>
      <c r="L908" s="11" t="s">
        <v>85</v>
      </c>
      <c r="M908" s="12" t="str">
        <f t="shared" ca="1" si="3"/>
        <v>86548 JOSE MARIA VELAZ4 Secundaria</v>
      </c>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4"/>
    </row>
    <row r="909" spans="1:36" ht="15.75" customHeight="1" x14ac:dyDescent="0.25">
      <c r="A909" s="9">
        <v>75</v>
      </c>
      <c r="B909" s="10" t="s">
        <v>83</v>
      </c>
      <c r="C909" s="10" t="s">
        <v>41</v>
      </c>
      <c r="D909" s="10" t="s">
        <v>43</v>
      </c>
      <c r="E909" s="11" t="str">
        <f ca="1">IFERROR(__xludf.DUMMYFUNCTION("FILTER(Colegios!$B$2:$B2419,Colegios!$A$2:$A2419=L909)"),"86548 JOSE MARIA VELAZ")</f>
        <v>86548 JOSE MARIA VELAZ</v>
      </c>
      <c r="F909" s="11" t="s">
        <v>17</v>
      </c>
      <c r="G909" s="10" t="s">
        <v>24</v>
      </c>
      <c r="H909" s="11" t="s">
        <v>19</v>
      </c>
      <c r="I909" s="11" t="s">
        <v>20</v>
      </c>
      <c r="J909" s="12" t="str">
        <f ca="1">IFERROR(__xludf.DUMMYFUNCTION("FILTER('CLASFICACIÓN'!$F$3:$F2419,'CLASFICACIÓN'!$G$3:$G2419=M909)"),"SOLO 2022 Y 2024")</f>
        <v>SOLO 2022 Y 2024</v>
      </c>
      <c r="K909" s="12" t="s">
        <v>2011</v>
      </c>
      <c r="L909" s="11" t="s">
        <v>85</v>
      </c>
      <c r="M909" s="12" t="str">
        <f t="shared" ca="1" si="3"/>
        <v>86548 JOSE MARIA VELAZ4 Secundaria</v>
      </c>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4"/>
    </row>
    <row r="910" spans="1:36" ht="15.75" customHeight="1" x14ac:dyDescent="0.25">
      <c r="A910" s="9">
        <v>77</v>
      </c>
      <c r="B910" s="10" t="s">
        <v>83</v>
      </c>
      <c r="C910" s="10" t="s">
        <v>41</v>
      </c>
      <c r="D910" s="10" t="s">
        <v>43</v>
      </c>
      <c r="E910" s="11" t="str">
        <f ca="1">IFERROR(__xludf.DUMMYFUNCTION("FILTER(Colegios!$B$2:$B2419,Colegios!$A$2:$A2419=L910)"),"86548 JOSE MARIA VELAZ")</f>
        <v>86548 JOSE MARIA VELAZ</v>
      </c>
      <c r="F910" s="11" t="s">
        <v>17</v>
      </c>
      <c r="G910" s="10" t="s">
        <v>24</v>
      </c>
      <c r="H910" s="11" t="s">
        <v>19</v>
      </c>
      <c r="I910" s="11" t="s">
        <v>20</v>
      </c>
      <c r="J910" s="12" t="str">
        <f ca="1">IFERROR(__xludf.DUMMYFUNCTION("FILTER('CLASFICACIÓN'!$F$3:$F2419,'CLASFICACIÓN'!$G$3:$G2419=M910)"),"SOLO 2022 Y 2024")</f>
        <v>SOLO 2022 Y 2024</v>
      </c>
      <c r="K910" s="12" t="s">
        <v>2011</v>
      </c>
      <c r="L910" s="11" t="s">
        <v>85</v>
      </c>
      <c r="M910" s="12" t="str">
        <f t="shared" ca="1" si="3"/>
        <v>86548 JOSE MARIA VELAZ4 Secundaria</v>
      </c>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4"/>
    </row>
    <row r="911" spans="1:36" ht="15.75" customHeight="1" x14ac:dyDescent="0.25">
      <c r="A911" s="9">
        <v>78</v>
      </c>
      <c r="B911" s="10" t="s">
        <v>83</v>
      </c>
      <c r="C911" s="10" t="s">
        <v>41</v>
      </c>
      <c r="D911" s="10" t="s">
        <v>43</v>
      </c>
      <c r="E911" s="11" t="str">
        <f ca="1">IFERROR(__xludf.DUMMYFUNCTION("FILTER(Colegios!$B$2:$B2419,Colegios!$A$2:$A2419=L911)"),"86548 JOSE MARIA VELAZ")</f>
        <v>86548 JOSE MARIA VELAZ</v>
      </c>
      <c r="F911" s="11" t="s">
        <v>17</v>
      </c>
      <c r="G911" s="10" t="s">
        <v>18</v>
      </c>
      <c r="H911" s="11" t="s">
        <v>19</v>
      </c>
      <c r="I911" s="11" t="s">
        <v>20</v>
      </c>
      <c r="J911" s="12" t="str">
        <f ca="1">IFERROR(__xludf.DUMMYFUNCTION("FILTER('CLASFICACIÓN'!$F$3:$F2419,'CLASFICACIÓN'!$G$3:$G2419=M911)"),"SOLO 2022 Y 2024")</f>
        <v>SOLO 2022 Y 2024</v>
      </c>
      <c r="K911" s="12" t="s">
        <v>2011</v>
      </c>
      <c r="L911" s="11" t="s">
        <v>85</v>
      </c>
      <c r="M911" s="12" t="str">
        <f t="shared" ca="1" si="3"/>
        <v>86548 JOSE MARIA VELAZ4 Secundaria</v>
      </c>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4"/>
    </row>
    <row r="912" spans="1:36" ht="15.75" customHeight="1" x14ac:dyDescent="0.25">
      <c r="A912" s="9">
        <v>80</v>
      </c>
      <c r="B912" s="10" t="s">
        <v>83</v>
      </c>
      <c r="C912" s="10" t="s">
        <v>41</v>
      </c>
      <c r="D912" s="10" t="s">
        <v>43</v>
      </c>
      <c r="E912" s="11" t="str">
        <f ca="1">IFERROR(__xludf.DUMMYFUNCTION("FILTER(Colegios!$B$2:$B2419,Colegios!$A$2:$A2419=L912)"),"86548 JOSE MARIA VELAZ")</f>
        <v>86548 JOSE MARIA VELAZ</v>
      </c>
      <c r="F912" s="11" t="s">
        <v>17</v>
      </c>
      <c r="G912" s="10" t="s">
        <v>18</v>
      </c>
      <c r="H912" s="11" t="s">
        <v>19</v>
      </c>
      <c r="I912" s="11" t="s">
        <v>20</v>
      </c>
      <c r="J912" s="12" t="str">
        <f ca="1">IFERROR(__xludf.DUMMYFUNCTION("FILTER('CLASFICACIÓN'!$F$3:$F2419,'CLASFICACIÓN'!$G$3:$G2419=M912)"),"SOLO 2022 Y 2024")</f>
        <v>SOLO 2022 Y 2024</v>
      </c>
      <c r="K912" s="12" t="s">
        <v>2011</v>
      </c>
      <c r="L912" s="11" t="s">
        <v>85</v>
      </c>
      <c r="M912" s="12" t="str">
        <f t="shared" ca="1" si="3"/>
        <v>86548 JOSE MARIA VELAZ4 Secundaria</v>
      </c>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4"/>
    </row>
    <row r="913" spans="1:36" ht="15.75" customHeight="1" x14ac:dyDescent="0.25">
      <c r="A913" s="9">
        <v>81</v>
      </c>
      <c r="B913" s="10" t="s">
        <v>83</v>
      </c>
      <c r="C913" s="10" t="s">
        <v>41</v>
      </c>
      <c r="D913" s="10" t="s">
        <v>43</v>
      </c>
      <c r="E913" s="11" t="str">
        <f ca="1">IFERROR(__xludf.DUMMYFUNCTION("FILTER(Colegios!$B$2:$B2419,Colegios!$A$2:$A2419=L913)"),"86548 JOSE MARIA VELAZ")</f>
        <v>86548 JOSE MARIA VELAZ</v>
      </c>
      <c r="F913" s="11" t="s">
        <v>17</v>
      </c>
      <c r="G913" s="10" t="s">
        <v>18</v>
      </c>
      <c r="H913" s="11" t="s">
        <v>19</v>
      </c>
      <c r="I913" s="11" t="s">
        <v>20</v>
      </c>
      <c r="J913" s="12" t="str">
        <f ca="1">IFERROR(__xludf.DUMMYFUNCTION("FILTER('CLASFICACIÓN'!$F$3:$F2419,'CLASFICACIÓN'!$G$3:$G2419=M913)"),"SOLO 2022 Y 2024")</f>
        <v>SOLO 2022 Y 2024</v>
      </c>
      <c r="K913" s="12" t="s">
        <v>2011</v>
      </c>
      <c r="L913" s="11" t="s">
        <v>85</v>
      </c>
      <c r="M913" s="12" t="str">
        <f t="shared" ca="1" si="3"/>
        <v>86548 JOSE MARIA VELAZ4 Secundaria</v>
      </c>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4"/>
    </row>
    <row r="914" spans="1:36" ht="15.75" customHeight="1" x14ac:dyDescent="0.25">
      <c r="A914" s="9">
        <v>82</v>
      </c>
      <c r="B914" s="10" t="s">
        <v>83</v>
      </c>
      <c r="C914" s="10" t="s">
        <v>41</v>
      </c>
      <c r="D914" s="10" t="s">
        <v>43</v>
      </c>
      <c r="E914" s="11" t="str">
        <f ca="1">IFERROR(__xludf.DUMMYFUNCTION("FILTER(Colegios!$B$2:$B2419,Colegios!$A$2:$A2419=L914)"),"86548 JOSE MARIA VELAZ")</f>
        <v>86548 JOSE MARIA VELAZ</v>
      </c>
      <c r="F914" s="11" t="s">
        <v>17</v>
      </c>
      <c r="G914" s="10" t="s">
        <v>24</v>
      </c>
      <c r="H914" s="11" t="s">
        <v>19</v>
      </c>
      <c r="I914" s="11" t="s">
        <v>20</v>
      </c>
      <c r="J914" s="12" t="str">
        <f ca="1">IFERROR(__xludf.DUMMYFUNCTION("FILTER('CLASFICACIÓN'!$F$3:$F2419,'CLASFICACIÓN'!$G$3:$G2419=M914)"),"SOLO 2022 Y 2024")</f>
        <v>SOLO 2022 Y 2024</v>
      </c>
      <c r="K914" s="12" t="s">
        <v>2011</v>
      </c>
      <c r="L914" s="11" t="s">
        <v>85</v>
      </c>
      <c r="M914" s="12" t="str">
        <f t="shared" ca="1" si="3"/>
        <v>86548 JOSE MARIA VELAZ4 Secundaria</v>
      </c>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4"/>
    </row>
    <row r="915" spans="1:36" ht="15.75" customHeight="1" x14ac:dyDescent="0.25">
      <c r="A915" s="9">
        <v>84</v>
      </c>
      <c r="B915" s="10" t="s">
        <v>83</v>
      </c>
      <c r="C915" s="10" t="s">
        <v>41</v>
      </c>
      <c r="D915" s="10" t="s">
        <v>43</v>
      </c>
      <c r="E915" s="11" t="str">
        <f ca="1">IFERROR(__xludf.DUMMYFUNCTION("FILTER(Colegios!$B$2:$B2419,Colegios!$A$2:$A2419=L915)"),"86548 JOSE MARIA VELAZ")</f>
        <v>86548 JOSE MARIA VELAZ</v>
      </c>
      <c r="F915" s="11" t="s">
        <v>17</v>
      </c>
      <c r="G915" s="10" t="s">
        <v>24</v>
      </c>
      <c r="H915" s="11" t="s">
        <v>19</v>
      </c>
      <c r="I915" s="11" t="s">
        <v>20</v>
      </c>
      <c r="J915" s="12" t="str">
        <f ca="1">IFERROR(__xludf.DUMMYFUNCTION("FILTER('CLASFICACIÓN'!$F$3:$F2419,'CLASFICACIÓN'!$G$3:$G2419=M915)"),"SOLO 2022 Y 2024")</f>
        <v>SOLO 2022 Y 2024</v>
      </c>
      <c r="K915" s="12" t="s">
        <v>2011</v>
      </c>
      <c r="L915" s="11" t="s">
        <v>85</v>
      </c>
      <c r="M915" s="12" t="str">
        <f t="shared" ca="1" si="3"/>
        <v>86548 JOSE MARIA VELAZ4 Secundaria</v>
      </c>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4"/>
    </row>
    <row r="916" spans="1:36" ht="15.75" customHeight="1" x14ac:dyDescent="0.25">
      <c r="A916" s="9">
        <v>85</v>
      </c>
      <c r="B916" s="10" t="s">
        <v>83</v>
      </c>
      <c r="C916" s="10" t="s">
        <v>41</v>
      </c>
      <c r="D916" s="10" t="s">
        <v>43</v>
      </c>
      <c r="E916" s="11" t="str">
        <f ca="1">IFERROR(__xludf.DUMMYFUNCTION("FILTER(Colegios!$B$2:$B2419,Colegios!$A$2:$A2419=L916)"),"86548 JOSE MARIA VELAZ")</f>
        <v>86548 JOSE MARIA VELAZ</v>
      </c>
      <c r="F916" s="11" t="s">
        <v>17</v>
      </c>
      <c r="G916" s="10" t="s">
        <v>18</v>
      </c>
      <c r="H916" s="11" t="s">
        <v>19</v>
      </c>
      <c r="I916" s="11" t="s">
        <v>20</v>
      </c>
      <c r="J916" s="12" t="str">
        <f ca="1">IFERROR(__xludf.DUMMYFUNCTION("FILTER('CLASFICACIÓN'!$F$3:$F2419,'CLASFICACIÓN'!$G$3:$G2419=M916)"),"SOLO 2022 Y 2024")</f>
        <v>SOLO 2022 Y 2024</v>
      </c>
      <c r="K916" s="12" t="s">
        <v>2011</v>
      </c>
      <c r="L916" s="11" t="s">
        <v>85</v>
      </c>
      <c r="M916" s="12" t="str">
        <f t="shared" ca="1" si="3"/>
        <v>86548 JOSE MARIA VELAZ4 Secundaria</v>
      </c>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4"/>
    </row>
    <row r="917" spans="1:36" ht="15.75" customHeight="1" x14ac:dyDescent="0.25">
      <c r="A917" s="9">
        <v>87</v>
      </c>
      <c r="B917" s="10" t="s">
        <v>83</v>
      </c>
      <c r="C917" s="10" t="s">
        <v>41</v>
      </c>
      <c r="D917" s="10" t="s">
        <v>43</v>
      </c>
      <c r="E917" s="11" t="str">
        <f ca="1">IFERROR(__xludf.DUMMYFUNCTION("FILTER(Colegios!$B$2:$B2419,Colegios!$A$2:$A2419=L917)"),"86548 JOSE MARIA VELAZ")</f>
        <v>86548 JOSE MARIA VELAZ</v>
      </c>
      <c r="F917" s="11" t="s">
        <v>17</v>
      </c>
      <c r="G917" s="10" t="s">
        <v>24</v>
      </c>
      <c r="H917" s="11" t="s">
        <v>19</v>
      </c>
      <c r="I917" s="11" t="s">
        <v>20</v>
      </c>
      <c r="J917" s="12" t="str">
        <f ca="1">IFERROR(__xludf.DUMMYFUNCTION("FILTER('CLASFICACIÓN'!$F$3:$F2419,'CLASFICACIÓN'!$G$3:$G2419=M917)"),"SOLO 2022 Y 2024")</f>
        <v>SOLO 2022 Y 2024</v>
      </c>
      <c r="K917" s="12" t="s">
        <v>2011</v>
      </c>
      <c r="L917" s="11" t="s">
        <v>85</v>
      </c>
      <c r="M917" s="12" t="str">
        <f t="shared" ca="1" si="3"/>
        <v>86548 JOSE MARIA VELAZ4 Secundaria</v>
      </c>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4"/>
    </row>
    <row r="918" spans="1:36" ht="15.75" customHeight="1" x14ac:dyDescent="0.25">
      <c r="A918" s="9">
        <v>88</v>
      </c>
      <c r="B918" s="10" t="s">
        <v>83</v>
      </c>
      <c r="C918" s="10" t="s">
        <v>41</v>
      </c>
      <c r="D918" s="10" t="s">
        <v>43</v>
      </c>
      <c r="E918" s="11" t="str">
        <f ca="1">IFERROR(__xludf.DUMMYFUNCTION("FILTER(Colegios!$B$2:$B2419,Colegios!$A$2:$A2419=L918)"),"86548 JOSE MARIA VELAZ")</f>
        <v>86548 JOSE MARIA VELAZ</v>
      </c>
      <c r="F918" s="11" t="s">
        <v>17</v>
      </c>
      <c r="G918" s="10" t="s">
        <v>18</v>
      </c>
      <c r="H918" s="11" t="s">
        <v>19</v>
      </c>
      <c r="I918" s="11" t="s">
        <v>20</v>
      </c>
      <c r="J918" s="12" t="str">
        <f ca="1">IFERROR(__xludf.DUMMYFUNCTION("FILTER('CLASFICACIÓN'!$F$3:$F2419,'CLASFICACIÓN'!$G$3:$G2419=M918)"),"SOLO 2022 Y 2024")</f>
        <v>SOLO 2022 Y 2024</v>
      </c>
      <c r="K918" s="12" t="s">
        <v>2011</v>
      </c>
      <c r="L918" s="11" t="s">
        <v>85</v>
      </c>
      <c r="M918" s="12" t="str">
        <f t="shared" ca="1" si="3"/>
        <v>86548 JOSE MARIA VELAZ4 Secundaria</v>
      </c>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4"/>
    </row>
    <row r="919" spans="1:36" ht="15.75" customHeight="1" x14ac:dyDescent="0.25">
      <c r="A919" s="9">
        <v>89</v>
      </c>
      <c r="B919" s="10" t="s">
        <v>83</v>
      </c>
      <c r="C919" s="10" t="s">
        <v>41</v>
      </c>
      <c r="D919" s="10" t="s">
        <v>43</v>
      </c>
      <c r="E919" s="11" t="str">
        <f ca="1">IFERROR(__xludf.DUMMYFUNCTION("FILTER(Colegios!$B$2:$B2419,Colegios!$A$2:$A2419=L919)"),"86548 JOSE MARIA VELAZ")</f>
        <v>86548 JOSE MARIA VELAZ</v>
      </c>
      <c r="F919" s="11" t="s">
        <v>17</v>
      </c>
      <c r="G919" s="10" t="s">
        <v>18</v>
      </c>
      <c r="H919" s="11" t="s">
        <v>19</v>
      </c>
      <c r="I919" s="11" t="s">
        <v>20</v>
      </c>
      <c r="J919" s="12" t="str">
        <f ca="1">IFERROR(__xludf.DUMMYFUNCTION("FILTER('CLASFICACIÓN'!$F$3:$F2419,'CLASFICACIÓN'!$G$3:$G2419=M919)"),"SOLO 2022 Y 2024")</f>
        <v>SOLO 2022 Y 2024</v>
      </c>
      <c r="K919" s="12" t="s">
        <v>2011</v>
      </c>
      <c r="L919" s="11" t="s">
        <v>85</v>
      </c>
      <c r="M919" s="12" t="str">
        <f t="shared" ca="1" si="3"/>
        <v>86548 JOSE MARIA VELAZ4 Secundaria</v>
      </c>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4"/>
    </row>
    <row r="920" spans="1:36" ht="15.75" customHeight="1" x14ac:dyDescent="0.25">
      <c r="A920" s="9">
        <v>90</v>
      </c>
      <c r="B920" s="10" t="s">
        <v>83</v>
      </c>
      <c r="C920" s="10" t="s">
        <v>41</v>
      </c>
      <c r="D920" s="10" t="s">
        <v>43</v>
      </c>
      <c r="E920" s="11" t="str">
        <f ca="1">IFERROR(__xludf.DUMMYFUNCTION("FILTER(Colegios!$B$2:$B2419,Colegios!$A$2:$A2419=L920)"),"86548 JOSE MARIA VELAZ")</f>
        <v>86548 JOSE MARIA VELAZ</v>
      </c>
      <c r="F920" s="11" t="s">
        <v>17</v>
      </c>
      <c r="G920" s="10" t="s">
        <v>24</v>
      </c>
      <c r="H920" s="11" t="s">
        <v>19</v>
      </c>
      <c r="I920" s="11" t="s">
        <v>20</v>
      </c>
      <c r="J920" s="12" t="str">
        <f ca="1">IFERROR(__xludf.DUMMYFUNCTION("FILTER('CLASFICACIÓN'!$F$3:$F2419,'CLASFICACIÓN'!$G$3:$G2419=M920)"),"SOLO 2022 Y 2024")</f>
        <v>SOLO 2022 Y 2024</v>
      </c>
      <c r="K920" s="12" t="s">
        <v>2011</v>
      </c>
      <c r="L920" s="11" t="s">
        <v>85</v>
      </c>
      <c r="M920" s="12" t="str">
        <f t="shared" ca="1" si="3"/>
        <v>86548 JOSE MARIA VELAZ4 Secundaria</v>
      </c>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4"/>
    </row>
    <row r="921" spans="1:36" ht="15.75" customHeight="1" x14ac:dyDescent="0.25">
      <c r="A921" s="9">
        <v>91</v>
      </c>
      <c r="B921" s="10" t="s">
        <v>83</v>
      </c>
      <c r="C921" s="10" t="s">
        <v>41</v>
      </c>
      <c r="D921" s="10" t="s">
        <v>43</v>
      </c>
      <c r="E921" s="11" t="str">
        <f ca="1">IFERROR(__xludf.DUMMYFUNCTION("FILTER(Colegios!$B$2:$B2419,Colegios!$A$2:$A2419=L921)"),"86548 JOSE MARIA VELAZ")</f>
        <v>86548 JOSE MARIA VELAZ</v>
      </c>
      <c r="F921" s="11" t="s">
        <v>17</v>
      </c>
      <c r="G921" s="10" t="s">
        <v>18</v>
      </c>
      <c r="H921" s="11" t="s">
        <v>19</v>
      </c>
      <c r="I921" s="11" t="s">
        <v>20</v>
      </c>
      <c r="J921" s="12" t="str">
        <f ca="1">IFERROR(__xludf.DUMMYFUNCTION("FILTER('CLASFICACIÓN'!$F$3:$F2419,'CLASFICACIÓN'!$G$3:$G2419=M921)"),"SOLO 2022 Y 2024")</f>
        <v>SOLO 2022 Y 2024</v>
      </c>
      <c r="K921" s="12" t="s">
        <v>2011</v>
      </c>
      <c r="L921" s="11" t="s">
        <v>85</v>
      </c>
      <c r="M921" s="12" t="str">
        <f t="shared" ca="1" si="3"/>
        <v>86548 JOSE MARIA VELAZ4 Secundaria</v>
      </c>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4"/>
    </row>
    <row r="922" spans="1:36" ht="15.75" customHeight="1" x14ac:dyDescent="0.25">
      <c r="A922" s="9">
        <v>92</v>
      </c>
      <c r="B922" s="10" t="s">
        <v>83</v>
      </c>
      <c r="C922" s="10" t="s">
        <v>41</v>
      </c>
      <c r="D922" s="10" t="s">
        <v>43</v>
      </c>
      <c r="E922" s="11" t="str">
        <f ca="1">IFERROR(__xludf.DUMMYFUNCTION("FILTER(Colegios!$B$2:$B2419,Colegios!$A$2:$A2419=L922)"),"86548 JOSE MARIA VELAZ")</f>
        <v>86548 JOSE MARIA VELAZ</v>
      </c>
      <c r="F922" s="11" t="s">
        <v>17</v>
      </c>
      <c r="G922" s="10" t="s">
        <v>24</v>
      </c>
      <c r="H922" s="11" t="s">
        <v>19</v>
      </c>
      <c r="I922" s="11" t="s">
        <v>20</v>
      </c>
      <c r="J922" s="12" t="str">
        <f ca="1">IFERROR(__xludf.DUMMYFUNCTION("FILTER('CLASFICACIÓN'!$F$3:$F2419,'CLASFICACIÓN'!$G$3:$G2419=M922)"),"SOLO 2022 Y 2024")</f>
        <v>SOLO 2022 Y 2024</v>
      </c>
      <c r="K922" s="12" t="s">
        <v>2011</v>
      </c>
      <c r="L922" s="11" t="s">
        <v>85</v>
      </c>
      <c r="M922" s="12" t="str">
        <f t="shared" ca="1" si="3"/>
        <v>86548 JOSE MARIA VELAZ4 Secundaria</v>
      </c>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4"/>
    </row>
    <row r="923" spans="1:36" ht="12.5" x14ac:dyDescent="0.25">
      <c r="A923" s="9">
        <v>94</v>
      </c>
      <c r="B923" s="10" t="s">
        <v>83</v>
      </c>
      <c r="C923" s="10" t="s">
        <v>15</v>
      </c>
      <c r="D923" s="10" t="s">
        <v>45</v>
      </c>
      <c r="E923" s="11" t="str">
        <f ca="1">IFERROR(__xludf.DUMMYFUNCTION("FILTER(Colegios!$B$2:$B2419,Colegios!$A$2:$A2419=L923)"),"88327")</f>
        <v>88327</v>
      </c>
      <c r="F923" s="11" t="s">
        <v>17</v>
      </c>
      <c r="G923" s="10" t="s">
        <v>18</v>
      </c>
      <c r="H923" s="11" t="s">
        <v>19</v>
      </c>
      <c r="I923" s="11" t="s">
        <v>20</v>
      </c>
      <c r="J923" s="12" t="str">
        <f ca="1">IFERROR(__xludf.DUMMYFUNCTION("FILTER('CLASFICACIÓN'!$F$3:$F2419,'CLASFICACIÓN'!$G$3:$G2419=M923)"),"SOLO 2022 Y 2024")</f>
        <v>SOLO 2022 Y 2024</v>
      </c>
      <c r="K923" s="12" t="s">
        <v>2011</v>
      </c>
      <c r="L923" s="11" t="s">
        <v>86</v>
      </c>
      <c r="M923" s="12" t="str">
        <f t="shared" ca="1" si="3"/>
        <v>883272 Primaria</v>
      </c>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4"/>
    </row>
    <row r="924" spans="1:36" ht="12.5" x14ac:dyDescent="0.25">
      <c r="A924" s="9">
        <v>95</v>
      </c>
      <c r="B924" s="10" t="s">
        <v>83</v>
      </c>
      <c r="C924" s="10" t="s">
        <v>15</v>
      </c>
      <c r="D924" s="10" t="s">
        <v>45</v>
      </c>
      <c r="E924" s="11" t="str">
        <f ca="1">IFERROR(__xludf.DUMMYFUNCTION("FILTER(Colegios!$B$2:$B2419,Colegios!$A$2:$A2419=L924)"),"88327")</f>
        <v>88327</v>
      </c>
      <c r="F924" s="11" t="s">
        <v>17</v>
      </c>
      <c r="G924" s="10" t="s">
        <v>24</v>
      </c>
      <c r="H924" s="11" t="s">
        <v>19</v>
      </c>
      <c r="I924" s="11" t="s">
        <v>20</v>
      </c>
      <c r="J924" s="12" t="str">
        <f ca="1">IFERROR(__xludf.DUMMYFUNCTION("FILTER('CLASFICACIÓN'!$F$3:$F2419,'CLASFICACIÓN'!$G$3:$G2419=M924)"),"SOLO 2022 Y 2024")</f>
        <v>SOLO 2022 Y 2024</v>
      </c>
      <c r="K924" s="12" t="s">
        <v>2011</v>
      </c>
      <c r="L924" s="11" t="s">
        <v>86</v>
      </c>
      <c r="M924" s="12" t="str">
        <f t="shared" ca="1" si="3"/>
        <v>883272 Primaria</v>
      </c>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4"/>
    </row>
    <row r="925" spans="1:36" ht="12.5" x14ac:dyDescent="0.25">
      <c r="A925" s="9">
        <v>96</v>
      </c>
      <c r="B925" s="10" t="s">
        <v>83</v>
      </c>
      <c r="C925" s="10" t="s">
        <v>15</v>
      </c>
      <c r="D925" s="10" t="s">
        <v>45</v>
      </c>
      <c r="E925" s="11" t="str">
        <f ca="1">IFERROR(__xludf.DUMMYFUNCTION("FILTER(Colegios!$B$2:$B2419,Colegios!$A$2:$A2419=L925)"),"88327")</f>
        <v>88327</v>
      </c>
      <c r="F925" s="11" t="s">
        <v>17</v>
      </c>
      <c r="G925" s="10" t="s">
        <v>18</v>
      </c>
      <c r="H925" s="11" t="s">
        <v>19</v>
      </c>
      <c r="I925" s="11" t="s">
        <v>20</v>
      </c>
      <c r="J925" s="12" t="str">
        <f ca="1">IFERROR(__xludf.DUMMYFUNCTION("FILTER('CLASFICACIÓN'!$F$3:$F2419,'CLASFICACIÓN'!$G$3:$G2419=M925)"),"SOLO 2022 Y 2024")</f>
        <v>SOLO 2022 Y 2024</v>
      </c>
      <c r="K925" s="12" t="s">
        <v>2011</v>
      </c>
      <c r="L925" s="11" t="s">
        <v>86</v>
      </c>
      <c r="M925" s="12" t="str">
        <f t="shared" ca="1" si="3"/>
        <v>883272 Primaria</v>
      </c>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4"/>
    </row>
    <row r="926" spans="1:36" ht="12.5" x14ac:dyDescent="0.25">
      <c r="A926" s="9">
        <v>97</v>
      </c>
      <c r="B926" s="10" t="s">
        <v>83</v>
      </c>
      <c r="C926" s="10" t="s">
        <v>15</v>
      </c>
      <c r="D926" s="10" t="s">
        <v>45</v>
      </c>
      <c r="E926" s="11" t="str">
        <f ca="1">IFERROR(__xludf.DUMMYFUNCTION("FILTER(Colegios!$B$2:$B2419,Colegios!$A$2:$A2419=L926)"),"88327")</f>
        <v>88327</v>
      </c>
      <c r="F926" s="11" t="s">
        <v>17</v>
      </c>
      <c r="G926" s="10" t="s">
        <v>24</v>
      </c>
      <c r="H926" s="11" t="s">
        <v>19</v>
      </c>
      <c r="I926" s="11" t="s">
        <v>20</v>
      </c>
      <c r="J926" s="12" t="str">
        <f ca="1">IFERROR(__xludf.DUMMYFUNCTION("FILTER('CLASFICACIÓN'!$F$3:$F2419,'CLASFICACIÓN'!$G$3:$G2419=M926)"),"SOLO 2022 Y 2024")</f>
        <v>SOLO 2022 Y 2024</v>
      </c>
      <c r="K926" s="12" t="s">
        <v>2011</v>
      </c>
      <c r="L926" s="11" t="s">
        <v>86</v>
      </c>
      <c r="M926" s="12" t="str">
        <f t="shared" ca="1" si="3"/>
        <v>883272 Primaria</v>
      </c>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4"/>
    </row>
    <row r="927" spans="1:36" ht="12.5" x14ac:dyDescent="0.25">
      <c r="A927" s="9">
        <v>98</v>
      </c>
      <c r="B927" s="10" t="s">
        <v>83</v>
      </c>
      <c r="C927" s="10" t="s">
        <v>15</v>
      </c>
      <c r="D927" s="10" t="s">
        <v>16</v>
      </c>
      <c r="E927" s="11" t="str">
        <f ca="1">IFERROR(__xludf.DUMMYFUNCTION("FILTER(Colegios!$B$2:$B2419,Colegios!$A$2:$A2419=L927)"),"88327")</f>
        <v>88327</v>
      </c>
      <c r="F927" s="11" t="s">
        <v>17</v>
      </c>
      <c r="G927" s="10" t="s">
        <v>18</v>
      </c>
      <c r="H927" s="11" t="s">
        <v>19</v>
      </c>
      <c r="I927" s="11" t="s">
        <v>20</v>
      </c>
      <c r="J927" s="12" t="str">
        <f ca="1">IFERROR(__xludf.DUMMYFUNCTION("FILTER('CLASFICACIÓN'!$F$3:$F2419,'CLASFICACIÓN'!$G$3:$G2419=M927)"),"SOLO 2024")</f>
        <v>SOLO 2024</v>
      </c>
      <c r="K927" s="12" t="s">
        <v>2011</v>
      </c>
      <c r="L927" s="11" t="s">
        <v>86</v>
      </c>
      <c r="M927" s="12" t="str">
        <f t="shared" ca="1" si="3"/>
        <v>883274 Primaria</v>
      </c>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4"/>
    </row>
    <row r="928" spans="1:36" ht="12.5" x14ac:dyDescent="0.25">
      <c r="A928" s="9">
        <v>99</v>
      </c>
      <c r="B928" s="10" t="s">
        <v>83</v>
      </c>
      <c r="C928" s="10" t="s">
        <v>15</v>
      </c>
      <c r="D928" s="10" t="s">
        <v>16</v>
      </c>
      <c r="E928" s="11" t="str">
        <f ca="1">IFERROR(__xludf.DUMMYFUNCTION("FILTER(Colegios!$B$2:$B2419,Colegios!$A$2:$A2419=L928)"),"88327")</f>
        <v>88327</v>
      </c>
      <c r="F928" s="11" t="s">
        <v>17</v>
      </c>
      <c r="G928" s="10" t="s">
        <v>18</v>
      </c>
      <c r="H928" s="11" t="s">
        <v>19</v>
      </c>
      <c r="I928" s="11" t="s">
        <v>20</v>
      </c>
      <c r="J928" s="12" t="str">
        <f ca="1">IFERROR(__xludf.DUMMYFUNCTION("FILTER('CLASFICACIÓN'!$F$3:$F2419,'CLASFICACIÓN'!$G$3:$G2419=M928)"),"SOLO 2024")</f>
        <v>SOLO 2024</v>
      </c>
      <c r="K928" s="12" t="s">
        <v>2011</v>
      </c>
      <c r="L928" s="11" t="s">
        <v>86</v>
      </c>
      <c r="M928" s="12" t="str">
        <f t="shared" ca="1" si="3"/>
        <v>883274 Primaria</v>
      </c>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4"/>
    </row>
    <row r="929" spans="1:36" ht="12.5" x14ac:dyDescent="0.25">
      <c r="A929" s="9">
        <v>100</v>
      </c>
      <c r="B929" s="10" t="s">
        <v>83</v>
      </c>
      <c r="C929" s="10" t="s">
        <v>15</v>
      </c>
      <c r="D929" s="10" t="s">
        <v>16</v>
      </c>
      <c r="E929" s="11" t="str">
        <f ca="1">IFERROR(__xludf.DUMMYFUNCTION("FILTER(Colegios!$B$2:$B2419,Colegios!$A$2:$A2419=L929)"),"88327")</f>
        <v>88327</v>
      </c>
      <c r="F929" s="11" t="s">
        <v>17</v>
      </c>
      <c r="G929" s="10" t="s">
        <v>24</v>
      </c>
      <c r="H929" s="11" t="s">
        <v>19</v>
      </c>
      <c r="I929" s="11" t="s">
        <v>20</v>
      </c>
      <c r="J929" s="12" t="str">
        <f ca="1">IFERROR(__xludf.DUMMYFUNCTION("FILTER('CLASFICACIÓN'!$F$3:$F2419,'CLASFICACIÓN'!$G$3:$G2419=M929)"),"SOLO 2024")</f>
        <v>SOLO 2024</v>
      </c>
      <c r="K929" s="12" t="s">
        <v>2011</v>
      </c>
      <c r="L929" s="11" t="s">
        <v>86</v>
      </c>
      <c r="M929" s="12" t="str">
        <f t="shared" ca="1" si="3"/>
        <v>883274 Primaria</v>
      </c>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4"/>
    </row>
    <row r="930" spans="1:36" ht="12.5" x14ac:dyDescent="0.25">
      <c r="A930" s="9">
        <v>101</v>
      </c>
      <c r="B930" s="10" t="s">
        <v>83</v>
      </c>
      <c r="C930" s="10" t="s">
        <v>15</v>
      </c>
      <c r="D930" s="10" t="s">
        <v>16</v>
      </c>
      <c r="E930" s="11" t="str">
        <f ca="1">IFERROR(__xludf.DUMMYFUNCTION("FILTER(Colegios!$B$2:$B2419,Colegios!$A$2:$A2419=L930)"),"88327")</f>
        <v>88327</v>
      </c>
      <c r="F930" s="11" t="s">
        <v>17</v>
      </c>
      <c r="G930" s="10" t="s">
        <v>18</v>
      </c>
      <c r="H930" s="11" t="s">
        <v>19</v>
      </c>
      <c r="I930" s="11" t="s">
        <v>20</v>
      </c>
      <c r="J930" s="12" t="str">
        <f ca="1">IFERROR(__xludf.DUMMYFUNCTION("FILTER('CLASFICACIÓN'!$F$3:$F2419,'CLASFICACIÓN'!$G$3:$G2419=M930)"),"SOLO 2024")</f>
        <v>SOLO 2024</v>
      </c>
      <c r="K930" s="12" t="s">
        <v>2011</v>
      </c>
      <c r="L930" s="11" t="s">
        <v>86</v>
      </c>
      <c r="M930" s="12" t="str">
        <f t="shared" ca="1" si="3"/>
        <v>883274 Primaria</v>
      </c>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4"/>
    </row>
    <row r="931" spans="1:36" ht="12.5" x14ac:dyDescent="0.25">
      <c r="A931" s="9">
        <v>102</v>
      </c>
      <c r="B931" s="10" t="s">
        <v>83</v>
      </c>
      <c r="C931" s="10" t="s">
        <v>15</v>
      </c>
      <c r="D931" s="10" t="s">
        <v>16</v>
      </c>
      <c r="E931" s="11" t="str">
        <f ca="1">IFERROR(__xludf.DUMMYFUNCTION("FILTER(Colegios!$B$2:$B2419,Colegios!$A$2:$A2419=L931)"),"88327")</f>
        <v>88327</v>
      </c>
      <c r="F931" s="11" t="s">
        <v>17</v>
      </c>
      <c r="G931" s="10" t="s">
        <v>18</v>
      </c>
      <c r="H931" s="11" t="s">
        <v>19</v>
      </c>
      <c r="I931" s="11" t="s">
        <v>20</v>
      </c>
      <c r="J931" s="12" t="str">
        <f ca="1">IFERROR(__xludf.DUMMYFUNCTION("FILTER('CLASFICACIÓN'!$F$3:$F2419,'CLASFICACIÓN'!$G$3:$G2419=M931)"),"SOLO 2024")</f>
        <v>SOLO 2024</v>
      </c>
      <c r="K931" s="12" t="s">
        <v>2011</v>
      </c>
      <c r="L931" s="11" t="s">
        <v>86</v>
      </c>
      <c r="M931" s="12" t="str">
        <f t="shared" ca="1" si="3"/>
        <v>883274 Primaria</v>
      </c>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4"/>
    </row>
    <row r="932" spans="1:36" ht="12.5" x14ac:dyDescent="0.25">
      <c r="A932" s="9">
        <v>103</v>
      </c>
      <c r="B932" s="10" t="s">
        <v>83</v>
      </c>
      <c r="C932" s="10" t="s">
        <v>15</v>
      </c>
      <c r="D932" s="10" t="s">
        <v>16</v>
      </c>
      <c r="E932" s="11" t="str">
        <f ca="1">IFERROR(__xludf.DUMMYFUNCTION("FILTER(Colegios!$B$2:$B2419,Colegios!$A$2:$A2419=L932)"),"88327")</f>
        <v>88327</v>
      </c>
      <c r="F932" s="11" t="s">
        <v>17</v>
      </c>
      <c r="G932" s="10" t="s">
        <v>18</v>
      </c>
      <c r="H932" s="11" t="s">
        <v>19</v>
      </c>
      <c r="I932" s="11" t="s">
        <v>20</v>
      </c>
      <c r="J932" s="12" t="str">
        <f ca="1">IFERROR(__xludf.DUMMYFUNCTION("FILTER('CLASFICACIÓN'!$F$3:$F2419,'CLASFICACIÓN'!$G$3:$G2419=M932)"),"SOLO 2024")</f>
        <v>SOLO 2024</v>
      </c>
      <c r="K932" s="12" t="s">
        <v>2011</v>
      </c>
      <c r="L932" s="11" t="s">
        <v>86</v>
      </c>
      <c r="M932" s="12" t="str">
        <f t="shared" ca="1" si="3"/>
        <v>883274 Primaria</v>
      </c>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4"/>
    </row>
    <row r="933" spans="1:36" ht="12.5" x14ac:dyDescent="0.25">
      <c r="A933" s="9">
        <v>104</v>
      </c>
      <c r="B933" s="10" t="s">
        <v>83</v>
      </c>
      <c r="C933" s="10" t="s">
        <v>15</v>
      </c>
      <c r="D933" s="10" t="s">
        <v>16</v>
      </c>
      <c r="E933" s="11" t="str">
        <f ca="1">IFERROR(__xludf.DUMMYFUNCTION("FILTER(Colegios!$B$2:$B2419,Colegios!$A$2:$A2419=L933)"),"88327")</f>
        <v>88327</v>
      </c>
      <c r="F933" s="11" t="s">
        <v>17</v>
      </c>
      <c r="G933" s="10" t="s">
        <v>24</v>
      </c>
      <c r="H933" s="11" t="s">
        <v>19</v>
      </c>
      <c r="I933" s="11" t="s">
        <v>20</v>
      </c>
      <c r="J933" s="12" t="str">
        <f ca="1">IFERROR(__xludf.DUMMYFUNCTION("FILTER('CLASFICACIÓN'!$F$3:$F2419,'CLASFICACIÓN'!$G$3:$G2419=M933)"),"SOLO 2024")</f>
        <v>SOLO 2024</v>
      </c>
      <c r="K933" s="12" t="s">
        <v>2011</v>
      </c>
      <c r="L933" s="11" t="s">
        <v>86</v>
      </c>
      <c r="M933" s="12" t="str">
        <f t="shared" ca="1" si="3"/>
        <v>883274 Primaria</v>
      </c>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4"/>
    </row>
    <row r="934" spans="1:36" ht="12.5" x14ac:dyDescent="0.25">
      <c r="A934" s="9">
        <v>105</v>
      </c>
      <c r="B934" s="10" t="s">
        <v>83</v>
      </c>
      <c r="C934" s="10" t="s">
        <v>15</v>
      </c>
      <c r="D934" s="10" t="s">
        <v>37</v>
      </c>
      <c r="E934" s="11" t="str">
        <f ca="1">IFERROR(__xludf.DUMMYFUNCTION("FILTER(Colegios!$B$2:$B2419,Colegios!$A$2:$A2419=L934)"),"88327")</f>
        <v>88327</v>
      </c>
      <c r="F934" s="11" t="s">
        <v>17</v>
      </c>
      <c r="G934" s="10" t="s">
        <v>24</v>
      </c>
      <c r="H934" s="11" t="s">
        <v>19</v>
      </c>
      <c r="I934" s="11" t="s">
        <v>20</v>
      </c>
      <c r="J934" s="12" t="str">
        <f ca="1">IFERROR(__xludf.DUMMYFUNCTION("FILTER('CLASFICACIÓN'!$F$3:$F2419,'CLASFICACIÓN'!$G$3:$G2419=M934)"),"SOLO 2022 Y 2024")</f>
        <v>SOLO 2022 Y 2024</v>
      </c>
      <c r="K934" s="12" t="s">
        <v>2011</v>
      </c>
      <c r="L934" s="11" t="s">
        <v>86</v>
      </c>
      <c r="M934" s="12" t="str">
        <f t="shared" ca="1" si="3"/>
        <v>883276 Primaria</v>
      </c>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4"/>
    </row>
    <row r="935" spans="1:36" ht="12.5" x14ac:dyDescent="0.25">
      <c r="A935" s="9">
        <v>106</v>
      </c>
      <c r="B935" s="10" t="s">
        <v>83</v>
      </c>
      <c r="C935" s="10" t="s">
        <v>15</v>
      </c>
      <c r="D935" s="10" t="s">
        <v>37</v>
      </c>
      <c r="E935" s="11" t="str">
        <f ca="1">IFERROR(__xludf.DUMMYFUNCTION("FILTER(Colegios!$B$2:$B2419,Colegios!$A$2:$A2419=L935)"),"88327")</f>
        <v>88327</v>
      </c>
      <c r="F935" s="11" t="s">
        <v>17</v>
      </c>
      <c r="G935" s="10" t="s">
        <v>18</v>
      </c>
      <c r="H935" s="11" t="s">
        <v>19</v>
      </c>
      <c r="I935" s="11" t="s">
        <v>20</v>
      </c>
      <c r="J935" s="12" t="str">
        <f ca="1">IFERROR(__xludf.DUMMYFUNCTION("FILTER('CLASFICACIÓN'!$F$3:$F2419,'CLASFICACIÓN'!$G$3:$G2419=M935)"),"SOLO 2022 Y 2024")</f>
        <v>SOLO 2022 Y 2024</v>
      </c>
      <c r="K935" s="12" t="s">
        <v>2011</v>
      </c>
      <c r="L935" s="11" t="s">
        <v>86</v>
      </c>
      <c r="M935" s="12" t="str">
        <f t="shared" ca="1" si="3"/>
        <v>883276 Primaria</v>
      </c>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4"/>
    </row>
    <row r="936" spans="1:36" ht="12.5" x14ac:dyDescent="0.25">
      <c r="A936" s="9">
        <v>107</v>
      </c>
      <c r="B936" s="10" t="s">
        <v>83</v>
      </c>
      <c r="C936" s="10" t="s">
        <v>15</v>
      </c>
      <c r="D936" s="10" t="s">
        <v>37</v>
      </c>
      <c r="E936" s="11" t="str">
        <f ca="1">IFERROR(__xludf.DUMMYFUNCTION("FILTER(Colegios!$B$2:$B2419,Colegios!$A$2:$A2419=L936)"),"88327")</f>
        <v>88327</v>
      </c>
      <c r="F936" s="11" t="s">
        <v>17</v>
      </c>
      <c r="G936" s="10" t="s">
        <v>24</v>
      </c>
      <c r="H936" s="11" t="s">
        <v>19</v>
      </c>
      <c r="I936" s="11" t="s">
        <v>20</v>
      </c>
      <c r="J936" s="12" t="str">
        <f ca="1">IFERROR(__xludf.DUMMYFUNCTION("FILTER('CLASFICACIÓN'!$F$3:$F2419,'CLASFICACIÓN'!$G$3:$G2419=M936)"),"SOLO 2022 Y 2024")</f>
        <v>SOLO 2022 Y 2024</v>
      </c>
      <c r="K936" s="12" t="s">
        <v>2011</v>
      </c>
      <c r="L936" s="11" t="s">
        <v>86</v>
      </c>
      <c r="M936" s="12" t="str">
        <f t="shared" ca="1" si="3"/>
        <v>883276 Primaria</v>
      </c>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4"/>
    </row>
    <row r="937" spans="1:36" ht="12.5" x14ac:dyDescent="0.25">
      <c r="A937" s="9">
        <v>108</v>
      </c>
      <c r="B937" s="10" t="s">
        <v>83</v>
      </c>
      <c r="C937" s="10" t="s">
        <v>15</v>
      </c>
      <c r="D937" s="10" t="s">
        <v>45</v>
      </c>
      <c r="E937" s="11" t="str">
        <f ca="1">IFERROR(__xludf.DUMMYFUNCTION("FILTER(Colegios!$B$2:$B2419,Colegios!$A$2:$A2419=L937)"),"88247 SAN ENRIQUE")</f>
        <v>88247 SAN ENRIQUE</v>
      </c>
      <c r="F937" s="11" t="s">
        <v>17</v>
      </c>
      <c r="G937" s="10" t="s">
        <v>18</v>
      </c>
      <c r="H937" s="11" t="s">
        <v>19</v>
      </c>
      <c r="I937" s="11" t="s">
        <v>20</v>
      </c>
      <c r="J937" s="12" t="str">
        <f ca="1">IFERROR(__xludf.DUMMYFUNCTION("FILTER('CLASFICACIÓN'!$F$3:$F2419,'CLASFICACIÓN'!$G$3:$G2419=M937)"),"2023 Y 2024")</f>
        <v>2023 Y 2024</v>
      </c>
      <c r="K937" s="12" t="s">
        <v>2011</v>
      </c>
      <c r="L937" s="11" t="s">
        <v>87</v>
      </c>
      <c r="M937" s="12" t="str">
        <f t="shared" ca="1" si="3"/>
        <v>88247 SAN ENRIQUE2 Primaria</v>
      </c>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4"/>
    </row>
    <row r="938" spans="1:36" ht="12.5" x14ac:dyDescent="0.25">
      <c r="A938" s="9">
        <v>109</v>
      </c>
      <c r="B938" s="10" t="s">
        <v>83</v>
      </c>
      <c r="C938" s="10" t="s">
        <v>15</v>
      </c>
      <c r="D938" s="10" t="s">
        <v>45</v>
      </c>
      <c r="E938" s="11" t="str">
        <f ca="1">IFERROR(__xludf.DUMMYFUNCTION("FILTER(Colegios!$B$2:$B2419,Colegios!$A$2:$A2419=L938)"),"88247 SAN ENRIQUE")</f>
        <v>88247 SAN ENRIQUE</v>
      </c>
      <c r="F938" s="11" t="s">
        <v>17</v>
      </c>
      <c r="G938" s="10" t="s">
        <v>24</v>
      </c>
      <c r="H938" s="11" t="s">
        <v>19</v>
      </c>
      <c r="I938" s="11" t="s">
        <v>20</v>
      </c>
      <c r="J938" s="12" t="str">
        <f ca="1">IFERROR(__xludf.DUMMYFUNCTION("FILTER('CLASFICACIÓN'!$F$3:$F2419,'CLASFICACIÓN'!$G$3:$G2419=M938)"),"2023 Y 2024")</f>
        <v>2023 Y 2024</v>
      </c>
      <c r="K938" s="12" t="s">
        <v>2011</v>
      </c>
      <c r="L938" s="11" t="s">
        <v>87</v>
      </c>
      <c r="M938" s="12" t="str">
        <f t="shared" ca="1" si="3"/>
        <v>88247 SAN ENRIQUE2 Primaria</v>
      </c>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4"/>
    </row>
    <row r="939" spans="1:36" ht="12.5" x14ac:dyDescent="0.25">
      <c r="A939" s="9">
        <v>110</v>
      </c>
      <c r="B939" s="10" t="s">
        <v>83</v>
      </c>
      <c r="C939" s="10" t="s">
        <v>15</v>
      </c>
      <c r="D939" s="10" t="s">
        <v>45</v>
      </c>
      <c r="E939" s="11" t="str">
        <f ca="1">IFERROR(__xludf.DUMMYFUNCTION("FILTER(Colegios!$B$2:$B2419,Colegios!$A$2:$A2419=L939)"),"88247 SAN ENRIQUE")</f>
        <v>88247 SAN ENRIQUE</v>
      </c>
      <c r="F939" s="11" t="s">
        <v>17</v>
      </c>
      <c r="G939" s="10" t="s">
        <v>18</v>
      </c>
      <c r="H939" s="11" t="s">
        <v>19</v>
      </c>
      <c r="I939" s="11" t="s">
        <v>20</v>
      </c>
      <c r="J939" s="12" t="str">
        <f ca="1">IFERROR(__xludf.DUMMYFUNCTION("FILTER('CLASFICACIÓN'!$F$3:$F2419,'CLASFICACIÓN'!$G$3:$G2419=M939)"),"2023 Y 2024")</f>
        <v>2023 Y 2024</v>
      </c>
      <c r="K939" s="12" t="s">
        <v>2011</v>
      </c>
      <c r="L939" s="11" t="s">
        <v>87</v>
      </c>
      <c r="M939" s="12" t="str">
        <f t="shared" ca="1" si="3"/>
        <v>88247 SAN ENRIQUE2 Primaria</v>
      </c>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4"/>
    </row>
    <row r="940" spans="1:36" ht="12.5" x14ac:dyDescent="0.25">
      <c r="A940" s="9">
        <v>111</v>
      </c>
      <c r="B940" s="10" t="s">
        <v>83</v>
      </c>
      <c r="C940" s="10" t="s">
        <v>15</v>
      </c>
      <c r="D940" s="10" t="s">
        <v>45</v>
      </c>
      <c r="E940" s="11" t="str">
        <f ca="1">IFERROR(__xludf.DUMMYFUNCTION("FILTER(Colegios!$B$2:$B2419,Colegios!$A$2:$A2419=L940)"),"88247 SAN ENRIQUE")</f>
        <v>88247 SAN ENRIQUE</v>
      </c>
      <c r="F940" s="11" t="s">
        <v>17</v>
      </c>
      <c r="G940" s="10" t="s">
        <v>24</v>
      </c>
      <c r="H940" s="11" t="s">
        <v>19</v>
      </c>
      <c r="I940" s="11" t="s">
        <v>20</v>
      </c>
      <c r="J940" s="12" t="str">
        <f ca="1">IFERROR(__xludf.DUMMYFUNCTION("FILTER('CLASFICACIÓN'!$F$3:$F2419,'CLASFICACIÓN'!$G$3:$G2419=M940)"),"2023 Y 2024")</f>
        <v>2023 Y 2024</v>
      </c>
      <c r="K940" s="12" t="s">
        <v>2011</v>
      </c>
      <c r="L940" s="11" t="s">
        <v>87</v>
      </c>
      <c r="M940" s="12" t="str">
        <f t="shared" ca="1" si="3"/>
        <v>88247 SAN ENRIQUE2 Primaria</v>
      </c>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4"/>
    </row>
    <row r="941" spans="1:36" ht="12.5" x14ac:dyDescent="0.25">
      <c r="A941" s="9">
        <v>112</v>
      </c>
      <c r="B941" s="10" t="s">
        <v>83</v>
      </c>
      <c r="C941" s="10" t="s">
        <v>15</v>
      </c>
      <c r="D941" s="10" t="s">
        <v>45</v>
      </c>
      <c r="E941" s="11" t="str">
        <f ca="1">IFERROR(__xludf.DUMMYFUNCTION("FILTER(Colegios!$B$2:$B2419,Colegios!$A$2:$A2419=L941)"),"88247 SAN ENRIQUE")</f>
        <v>88247 SAN ENRIQUE</v>
      </c>
      <c r="F941" s="11" t="s">
        <v>17</v>
      </c>
      <c r="G941" s="10" t="s">
        <v>18</v>
      </c>
      <c r="H941" s="11" t="s">
        <v>19</v>
      </c>
      <c r="I941" s="11" t="s">
        <v>20</v>
      </c>
      <c r="J941" s="12" t="str">
        <f ca="1">IFERROR(__xludf.DUMMYFUNCTION("FILTER('CLASFICACIÓN'!$F$3:$F2419,'CLASFICACIÓN'!$G$3:$G2419=M941)"),"2023 Y 2024")</f>
        <v>2023 Y 2024</v>
      </c>
      <c r="K941" s="12" t="s">
        <v>2011</v>
      </c>
      <c r="L941" s="11" t="s">
        <v>87</v>
      </c>
      <c r="M941" s="12" t="str">
        <f t="shared" ca="1" si="3"/>
        <v>88247 SAN ENRIQUE2 Primaria</v>
      </c>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4"/>
    </row>
    <row r="942" spans="1:36" ht="12.5" x14ac:dyDescent="0.25">
      <c r="A942" s="9">
        <v>113</v>
      </c>
      <c r="B942" s="10" t="s">
        <v>83</v>
      </c>
      <c r="C942" s="10" t="s">
        <v>15</v>
      </c>
      <c r="D942" s="10" t="s">
        <v>45</v>
      </c>
      <c r="E942" s="11" t="str">
        <f ca="1">IFERROR(__xludf.DUMMYFUNCTION("FILTER(Colegios!$B$2:$B2419,Colegios!$A$2:$A2419=L942)"),"88247 SAN ENRIQUE")</f>
        <v>88247 SAN ENRIQUE</v>
      </c>
      <c r="F942" s="11" t="s">
        <v>17</v>
      </c>
      <c r="G942" s="10" t="s">
        <v>24</v>
      </c>
      <c r="H942" s="11" t="s">
        <v>19</v>
      </c>
      <c r="I942" s="11" t="s">
        <v>20</v>
      </c>
      <c r="J942" s="12" t="str">
        <f ca="1">IFERROR(__xludf.DUMMYFUNCTION("FILTER('CLASFICACIÓN'!$F$3:$F2419,'CLASFICACIÓN'!$G$3:$G2419=M942)"),"2023 Y 2024")</f>
        <v>2023 Y 2024</v>
      </c>
      <c r="K942" s="12" t="s">
        <v>2011</v>
      </c>
      <c r="L942" s="11" t="s">
        <v>87</v>
      </c>
      <c r="M942" s="12" t="str">
        <f t="shared" ca="1" si="3"/>
        <v>88247 SAN ENRIQUE2 Primaria</v>
      </c>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4"/>
    </row>
    <row r="943" spans="1:36" ht="12.5" x14ac:dyDescent="0.25">
      <c r="A943" s="9">
        <v>114</v>
      </c>
      <c r="B943" s="10" t="s">
        <v>83</v>
      </c>
      <c r="C943" s="10" t="s">
        <v>15</v>
      </c>
      <c r="D943" s="10" t="s">
        <v>16</v>
      </c>
      <c r="E943" s="11" t="str">
        <f ca="1">IFERROR(__xludf.DUMMYFUNCTION("FILTER(Colegios!$B$2:$B2419,Colegios!$A$2:$A2419=L943)"),"88247 SAN ENRIQUE")</f>
        <v>88247 SAN ENRIQUE</v>
      </c>
      <c r="F943" s="11" t="s">
        <v>17</v>
      </c>
      <c r="G943" s="10" t="s">
        <v>24</v>
      </c>
      <c r="H943" s="11" t="s">
        <v>19</v>
      </c>
      <c r="I943" s="11" t="s">
        <v>20</v>
      </c>
      <c r="J943" s="12" t="str">
        <f ca="1">IFERROR(__xludf.DUMMYFUNCTION("FILTER('CLASFICACIÓN'!$F$3:$F2419,'CLASFICACIÓN'!$G$3:$G2419=M943)"),"2023 Y 2024")</f>
        <v>2023 Y 2024</v>
      </c>
      <c r="K943" s="12" t="s">
        <v>2011</v>
      </c>
      <c r="L943" s="11" t="s">
        <v>87</v>
      </c>
      <c r="M943" s="12" t="str">
        <f t="shared" ca="1" si="3"/>
        <v>88247 SAN ENRIQUE4 Primaria</v>
      </c>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4"/>
    </row>
    <row r="944" spans="1:36" ht="12.5" x14ac:dyDescent="0.25">
      <c r="A944" s="9">
        <v>115</v>
      </c>
      <c r="B944" s="10" t="s">
        <v>83</v>
      </c>
      <c r="C944" s="10" t="s">
        <v>15</v>
      </c>
      <c r="D944" s="10" t="s">
        <v>16</v>
      </c>
      <c r="E944" s="11" t="str">
        <f ca="1">IFERROR(__xludf.DUMMYFUNCTION("FILTER(Colegios!$B$2:$B2419,Colegios!$A$2:$A2419=L944)"),"88247 SAN ENRIQUE")</f>
        <v>88247 SAN ENRIQUE</v>
      </c>
      <c r="F944" s="11" t="s">
        <v>17</v>
      </c>
      <c r="G944" s="10" t="s">
        <v>24</v>
      </c>
      <c r="H944" s="11" t="s">
        <v>19</v>
      </c>
      <c r="I944" s="11" t="s">
        <v>20</v>
      </c>
      <c r="J944" s="12" t="str">
        <f ca="1">IFERROR(__xludf.DUMMYFUNCTION("FILTER('CLASFICACIÓN'!$F$3:$F2419,'CLASFICACIÓN'!$G$3:$G2419=M944)"),"2023 Y 2024")</f>
        <v>2023 Y 2024</v>
      </c>
      <c r="K944" s="12" t="s">
        <v>2011</v>
      </c>
      <c r="L944" s="11" t="s">
        <v>87</v>
      </c>
      <c r="M944" s="12" t="str">
        <f t="shared" ca="1" si="3"/>
        <v>88247 SAN ENRIQUE4 Primaria</v>
      </c>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4"/>
    </row>
    <row r="945" spans="1:36" ht="12.5" x14ac:dyDescent="0.25">
      <c r="A945" s="9">
        <v>116</v>
      </c>
      <c r="B945" s="10" t="s">
        <v>83</v>
      </c>
      <c r="C945" s="10" t="s">
        <v>15</v>
      </c>
      <c r="D945" s="10" t="s">
        <v>16</v>
      </c>
      <c r="E945" s="11" t="str">
        <f ca="1">IFERROR(__xludf.DUMMYFUNCTION("FILTER(Colegios!$B$2:$B2419,Colegios!$A$2:$A2419=L945)"),"88247 SAN ENRIQUE")</f>
        <v>88247 SAN ENRIQUE</v>
      </c>
      <c r="F945" s="11" t="s">
        <v>17</v>
      </c>
      <c r="G945" s="10" t="s">
        <v>24</v>
      </c>
      <c r="H945" s="11" t="s">
        <v>19</v>
      </c>
      <c r="I945" s="11" t="s">
        <v>20</v>
      </c>
      <c r="J945" s="12" t="str">
        <f ca="1">IFERROR(__xludf.DUMMYFUNCTION("FILTER('CLASFICACIÓN'!$F$3:$F2419,'CLASFICACIÓN'!$G$3:$G2419=M945)"),"2023 Y 2024")</f>
        <v>2023 Y 2024</v>
      </c>
      <c r="K945" s="12" t="s">
        <v>2011</v>
      </c>
      <c r="L945" s="11" t="s">
        <v>87</v>
      </c>
      <c r="M945" s="12" t="str">
        <f t="shared" ca="1" si="3"/>
        <v>88247 SAN ENRIQUE4 Primaria</v>
      </c>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4"/>
    </row>
    <row r="946" spans="1:36" ht="12.5" x14ac:dyDescent="0.25">
      <c r="A946" s="9">
        <v>117</v>
      </c>
      <c r="B946" s="10" t="s">
        <v>83</v>
      </c>
      <c r="C946" s="10" t="s">
        <v>15</v>
      </c>
      <c r="D946" s="10" t="s">
        <v>16</v>
      </c>
      <c r="E946" s="11" t="str">
        <f ca="1">IFERROR(__xludf.DUMMYFUNCTION("FILTER(Colegios!$B$2:$B2419,Colegios!$A$2:$A2419=L946)"),"88247 SAN ENRIQUE")</f>
        <v>88247 SAN ENRIQUE</v>
      </c>
      <c r="F946" s="11" t="s">
        <v>17</v>
      </c>
      <c r="G946" s="10" t="s">
        <v>18</v>
      </c>
      <c r="H946" s="11" t="s">
        <v>19</v>
      </c>
      <c r="I946" s="11" t="s">
        <v>20</v>
      </c>
      <c r="J946" s="12" t="str">
        <f ca="1">IFERROR(__xludf.DUMMYFUNCTION("FILTER('CLASFICACIÓN'!$F$3:$F2419,'CLASFICACIÓN'!$G$3:$G2419=M946)"),"2023 Y 2024")</f>
        <v>2023 Y 2024</v>
      </c>
      <c r="K946" s="12" t="s">
        <v>2011</v>
      </c>
      <c r="L946" s="11" t="s">
        <v>87</v>
      </c>
      <c r="M946" s="12" t="str">
        <f t="shared" ca="1" si="3"/>
        <v>88247 SAN ENRIQUE4 Primaria</v>
      </c>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4"/>
    </row>
    <row r="947" spans="1:36" ht="12.5" x14ac:dyDescent="0.25">
      <c r="A947" s="9">
        <v>118</v>
      </c>
      <c r="B947" s="10" t="s">
        <v>83</v>
      </c>
      <c r="C947" s="10" t="s">
        <v>15</v>
      </c>
      <c r="D947" s="10" t="s">
        <v>16</v>
      </c>
      <c r="E947" s="11" t="str">
        <f ca="1">IFERROR(__xludf.DUMMYFUNCTION("FILTER(Colegios!$B$2:$B2419,Colegios!$A$2:$A2419=L947)"),"88247 SAN ENRIQUE")</f>
        <v>88247 SAN ENRIQUE</v>
      </c>
      <c r="F947" s="11" t="s">
        <v>17</v>
      </c>
      <c r="G947" s="10" t="s">
        <v>24</v>
      </c>
      <c r="H947" s="11" t="s">
        <v>19</v>
      </c>
      <c r="I947" s="11" t="s">
        <v>20</v>
      </c>
      <c r="J947" s="12" t="str">
        <f ca="1">IFERROR(__xludf.DUMMYFUNCTION("FILTER('CLASFICACIÓN'!$F$3:$F2419,'CLASFICACIÓN'!$G$3:$G2419=M947)"),"2023 Y 2024")</f>
        <v>2023 Y 2024</v>
      </c>
      <c r="K947" s="12" t="s">
        <v>2011</v>
      </c>
      <c r="L947" s="11" t="s">
        <v>87</v>
      </c>
      <c r="M947" s="12" t="str">
        <f t="shared" ca="1" si="3"/>
        <v>88247 SAN ENRIQUE4 Primaria</v>
      </c>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4"/>
    </row>
    <row r="948" spans="1:36" ht="12.5" x14ac:dyDescent="0.25">
      <c r="A948" s="9">
        <v>119</v>
      </c>
      <c r="B948" s="10" t="s">
        <v>83</v>
      </c>
      <c r="C948" s="10" t="s">
        <v>15</v>
      </c>
      <c r="D948" s="10" t="s">
        <v>16</v>
      </c>
      <c r="E948" s="11" t="str">
        <f ca="1">IFERROR(__xludf.DUMMYFUNCTION("FILTER(Colegios!$B$2:$B2419,Colegios!$A$2:$A2419=L948)"),"88247 SAN ENRIQUE")</f>
        <v>88247 SAN ENRIQUE</v>
      </c>
      <c r="F948" s="11" t="s">
        <v>17</v>
      </c>
      <c r="G948" s="10" t="s">
        <v>24</v>
      </c>
      <c r="H948" s="11" t="s">
        <v>19</v>
      </c>
      <c r="I948" s="11" t="s">
        <v>20</v>
      </c>
      <c r="J948" s="12" t="str">
        <f ca="1">IFERROR(__xludf.DUMMYFUNCTION("FILTER('CLASFICACIÓN'!$F$3:$F2419,'CLASFICACIÓN'!$G$3:$G2419=M948)"),"2023 Y 2024")</f>
        <v>2023 Y 2024</v>
      </c>
      <c r="K948" s="12" t="s">
        <v>2011</v>
      </c>
      <c r="L948" s="11" t="s">
        <v>87</v>
      </c>
      <c r="M948" s="12" t="str">
        <f t="shared" ca="1" si="3"/>
        <v>88247 SAN ENRIQUE4 Primaria</v>
      </c>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4"/>
    </row>
    <row r="949" spans="1:36" ht="12.5" x14ac:dyDescent="0.25">
      <c r="A949" s="9">
        <v>120</v>
      </c>
      <c r="B949" s="10" t="s">
        <v>83</v>
      </c>
      <c r="C949" s="10" t="s">
        <v>15</v>
      </c>
      <c r="D949" s="10" t="s">
        <v>16</v>
      </c>
      <c r="E949" s="11" t="str">
        <f ca="1">IFERROR(__xludf.DUMMYFUNCTION("FILTER(Colegios!$B$2:$B2419,Colegios!$A$2:$A2419=L949)"),"88247 SAN ENRIQUE")</f>
        <v>88247 SAN ENRIQUE</v>
      </c>
      <c r="F949" s="11" t="s">
        <v>17</v>
      </c>
      <c r="G949" s="10" t="s">
        <v>24</v>
      </c>
      <c r="H949" s="11" t="s">
        <v>19</v>
      </c>
      <c r="I949" s="11" t="s">
        <v>20</v>
      </c>
      <c r="J949" s="12" t="str">
        <f ca="1">IFERROR(__xludf.DUMMYFUNCTION("FILTER('CLASFICACIÓN'!$F$3:$F2419,'CLASFICACIÓN'!$G$3:$G2419=M949)"),"2023 Y 2024")</f>
        <v>2023 Y 2024</v>
      </c>
      <c r="K949" s="12" t="s">
        <v>2011</v>
      </c>
      <c r="L949" s="11" t="s">
        <v>87</v>
      </c>
      <c r="M949" s="12" t="str">
        <f t="shared" ca="1" si="3"/>
        <v>88247 SAN ENRIQUE4 Primaria</v>
      </c>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4"/>
    </row>
    <row r="950" spans="1:36" ht="12.5" x14ac:dyDescent="0.25">
      <c r="A950" s="9">
        <v>121</v>
      </c>
      <c r="B950" s="10" t="s">
        <v>83</v>
      </c>
      <c r="C950" s="10" t="s">
        <v>15</v>
      </c>
      <c r="D950" s="10" t="s">
        <v>16</v>
      </c>
      <c r="E950" s="11" t="str">
        <f ca="1">IFERROR(__xludf.DUMMYFUNCTION("FILTER(Colegios!$B$2:$B2419,Colegios!$A$2:$A2419=L950)"),"88247 SAN ENRIQUE")</f>
        <v>88247 SAN ENRIQUE</v>
      </c>
      <c r="F950" s="11" t="s">
        <v>17</v>
      </c>
      <c r="G950" s="10" t="s">
        <v>24</v>
      </c>
      <c r="H950" s="11" t="s">
        <v>19</v>
      </c>
      <c r="I950" s="11" t="s">
        <v>20</v>
      </c>
      <c r="J950" s="12" t="str">
        <f ca="1">IFERROR(__xludf.DUMMYFUNCTION("FILTER('CLASFICACIÓN'!$F$3:$F2419,'CLASFICACIÓN'!$G$3:$G2419=M950)"),"2023 Y 2024")</f>
        <v>2023 Y 2024</v>
      </c>
      <c r="K950" s="12" t="s">
        <v>2011</v>
      </c>
      <c r="L950" s="11" t="s">
        <v>87</v>
      </c>
      <c r="M950" s="12" t="str">
        <f t="shared" ca="1" si="3"/>
        <v>88247 SAN ENRIQUE4 Primaria</v>
      </c>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4"/>
    </row>
    <row r="951" spans="1:36" ht="12.5" x14ac:dyDescent="0.25">
      <c r="A951" s="9">
        <v>123</v>
      </c>
      <c r="B951" s="10" t="s">
        <v>83</v>
      </c>
      <c r="C951" s="10" t="s">
        <v>15</v>
      </c>
      <c r="D951" s="10" t="s">
        <v>37</v>
      </c>
      <c r="E951" s="11" t="str">
        <f ca="1">IFERROR(__xludf.DUMMYFUNCTION("FILTER(Colegios!$B$2:$B2419,Colegios!$A$2:$A2419=L951)"),"88247 SAN ENRIQUE")</f>
        <v>88247 SAN ENRIQUE</v>
      </c>
      <c r="F951" s="11" t="s">
        <v>17</v>
      </c>
      <c r="G951" s="10" t="s">
        <v>24</v>
      </c>
      <c r="H951" s="11" t="s">
        <v>19</v>
      </c>
      <c r="I951" s="11" t="s">
        <v>20</v>
      </c>
      <c r="J951" s="12" t="str">
        <f ca="1">IFERROR(__xludf.DUMMYFUNCTION("FILTER('CLASFICACIÓN'!$F$3:$F2419,'CLASFICACIÓN'!$G$3:$G2419=M951)"),"2023 Y 2024")</f>
        <v>2023 Y 2024</v>
      </c>
      <c r="K951" s="12" t="s">
        <v>2011</v>
      </c>
      <c r="L951" s="11" t="s">
        <v>87</v>
      </c>
      <c r="M951" s="12" t="str">
        <f t="shared" ca="1" si="3"/>
        <v>88247 SAN ENRIQUE6 Primaria</v>
      </c>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4"/>
    </row>
    <row r="952" spans="1:36" ht="12.5" x14ac:dyDescent="0.25">
      <c r="A952" s="9">
        <v>124</v>
      </c>
      <c r="B952" s="10" t="s">
        <v>83</v>
      </c>
      <c r="C952" s="10" t="s">
        <v>15</v>
      </c>
      <c r="D952" s="10" t="s">
        <v>37</v>
      </c>
      <c r="E952" s="11" t="str">
        <f ca="1">IFERROR(__xludf.DUMMYFUNCTION("FILTER(Colegios!$B$2:$B2419,Colegios!$A$2:$A2419=L952)"),"88247 SAN ENRIQUE")</f>
        <v>88247 SAN ENRIQUE</v>
      </c>
      <c r="F952" s="11" t="s">
        <v>17</v>
      </c>
      <c r="G952" s="10" t="s">
        <v>24</v>
      </c>
      <c r="H952" s="11" t="s">
        <v>19</v>
      </c>
      <c r="I952" s="11" t="s">
        <v>20</v>
      </c>
      <c r="J952" s="12" t="str">
        <f ca="1">IFERROR(__xludf.DUMMYFUNCTION("FILTER('CLASFICACIÓN'!$F$3:$F2419,'CLASFICACIÓN'!$G$3:$G2419=M952)"),"2023 Y 2024")</f>
        <v>2023 Y 2024</v>
      </c>
      <c r="K952" s="12" t="s">
        <v>2011</v>
      </c>
      <c r="L952" s="11" t="s">
        <v>87</v>
      </c>
      <c r="M952" s="12" t="str">
        <f t="shared" ca="1" si="3"/>
        <v>88247 SAN ENRIQUE6 Primaria</v>
      </c>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4"/>
    </row>
    <row r="953" spans="1:36" ht="12.5" x14ac:dyDescent="0.25">
      <c r="A953" s="9">
        <v>125</v>
      </c>
      <c r="B953" s="10" t="s">
        <v>83</v>
      </c>
      <c r="C953" s="10" t="s">
        <v>15</v>
      </c>
      <c r="D953" s="10" t="s">
        <v>37</v>
      </c>
      <c r="E953" s="11" t="str">
        <f ca="1">IFERROR(__xludf.DUMMYFUNCTION("FILTER(Colegios!$B$2:$B2419,Colegios!$A$2:$A2419=L953)"),"88247 SAN ENRIQUE")</f>
        <v>88247 SAN ENRIQUE</v>
      </c>
      <c r="F953" s="11" t="s">
        <v>17</v>
      </c>
      <c r="G953" s="10" t="s">
        <v>24</v>
      </c>
      <c r="H953" s="11" t="s">
        <v>19</v>
      </c>
      <c r="I953" s="11" t="s">
        <v>20</v>
      </c>
      <c r="J953" s="12" t="str">
        <f ca="1">IFERROR(__xludf.DUMMYFUNCTION("FILTER('CLASFICACIÓN'!$F$3:$F2419,'CLASFICACIÓN'!$G$3:$G2419=M953)"),"2023 Y 2024")</f>
        <v>2023 Y 2024</v>
      </c>
      <c r="K953" s="12" t="s">
        <v>2011</v>
      </c>
      <c r="L953" s="11" t="s">
        <v>87</v>
      </c>
      <c r="M953" s="12" t="str">
        <f t="shared" ca="1" si="3"/>
        <v>88247 SAN ENRIQUE6 Primaria</v>
      </c>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4"/>
    </row>
    <row r="954" spans="1:36" ht="12.5" x14ac:dyDescent="0.25">
      <c r="A954" s="9">
        <v>126</v>
      </c>
      <c r="B954" s="10" t="s">
        <v>83</v>
      </c>
      <c r="C954" s="10" t="s">
        <v>15</v>
      </c>
      <c r="D954" s="10" t="s">
        <v>37</v>
      </c>
      <c r="E954" s="11" t="str">
        <f ca="1">IFERROR(__xludf.DUMMYFUNCTION("FILTER(Colegios!$B$2:$B2419,Colegios!$A$2:$A2419=L954)"),"88247 SAN ENRIQUE")</f>
        <v>88247 SAN ENRIQUE</v>
      </c>
      <c r="F954" s="11" t="s">
        <v>17</v>
      </c>
      <c r="G954" s="10" t="s">
        <v>24</v>
      </c>
      <c r="H954" s="11" t="s">
        <v>19</v>
      </c>
      <c r="I954" s="11" t="s">
        <v>20</v>
      </c>
      <c r="J954" s="12" t="str">
        <f ca="1">IFERROR(__xludf.DUMMYFUNCTION("FILTER('CLASFICACIÓN'!$F$3:$F2419,'CLASFICACIÓN'!$G$3:$G2419=M954)"),"2023 Y 2024")</f>
        <v>2023 Y 2024</v>
      </c>
      <c r="K954" s="12" t="s">
        <v>2011</v>
      </c>
      <c r="L954" s="11" t="s">
        <v>87</v>
      </c>
      <c r="M954" s="12" t="str">
        <f t="shared" ca="1" si="3"/>
        <v>88247 SAN ENRIQUE6 Primaria</v>
      </c>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4"/>
    </row>
    <row r="955" spans="1:36" ht="12.5" x14ac:dyDescent="0.25">
      <c r="A955" s="9">
        <v>127</v>
      </c>
      <c r="B955" s="10" t="s">
        <v>83</v>
      </c>
      <c r="C955" s="10" t="s">
        <v>15</v>
      </c>
      <c r="D955" s="10" t="s">
        <v>37</v>
      </c>
      <c r="E955" s="11" t="str">
        <f ca="1">IFERROR(__xludf.DUMMYFUNCTION("FILTER(Colegios!$B$2:$B2419,Colegios!$A$2:$A2419=L955)"),"88247 SAN ENRIQUE")</f>
        <v>88247 SAN ENRIQUE</v>
      </c>
      <c r="F955" s="11" t="s">
        <v>17</v>
      </c>
      <c r="G955" s="10" t="s">
        <v>18</v>
      </c>
      <c r="H955" s="11" t="s">
        <v>19</v>
      </c>
      <c r="I955" s="11" t="s">
        <v>20</v>
      </c>
      <c r="J955" s="12" t="str">
        <f ca="1">IFERROR(__xludf.DUMMYFUNCTION("FILTER('CLASFICACIÓN'!$F$3:$F2419,'CLASFICACIÓN'!$G$3:$G2419=M955)"),"2023 Y 2024")</f>
        <v>2023 Y 2024</v>
      </c>
      <c r="K955" s="12" t="s">
        <v>2011</v>
      </c>
      <c r="L955" s="11" t="s">
        <v>87</v>
      </c>
      <c r="M955" s="12" t="str">
        <f t="shared" ca="1" si="3"/>
        <v>88247 SAN ENRIQUE6 Primaria</v>
      </c>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4"/>
    </row>
    <row r="956" spans="1:36" ht="12.5" x14ac:dyDescent="0.25">
      <c r="A956" s="9">
        <v>128</v>
      </c>
      <c r="B956" s="10" t="s">
        <v>83</v>
      </c>
      <c r="C956" s="10" t="s">
        <v>15</v>
      </c>
      <c r="D956" s="10" t="s">
        <v>45</v>
      </c>
      <c r="E956" s="11" t="str">
        <f ca="1">IFERROR(__xludf.DUMMYFUNCTION("FILTER(Colegios!$B$2:$B2419,Colegios!$A$2:$A2419=L956)"),"86769 ABRAHAM VALDELOMAR")</f>
        <v>86769 ABRAHAM VALDELOMAR</v>
      </c>
      <c r="F956" s="11" t="s">
        <v>17</v>
      </c>
      <c r="G956" s="10" t="s">
        <v>24</v>
      </c>
      <c r="H956" s="11" t="s">
        <v>19</v>
      </c>
      <c r="I956" s="11" t="s">
        <v>20</v>
      </c>
      <c r="J956" s="12" t="str">
        <f ca="1">IFERROR(__xludf.DUMMYFUNCTION("FILTER('CLASFICACIÓN'!$F$3:$F2419,'CLASFICACIÓN'!$G$3:$G2419=M956)"),"SOLO 2024")</f>
        <v>SOLO 2024</v>
      </c>
      <c r="K956" s="12" t="s">
        <v>2014</v>
      </c>
      <c r="L956" s="11" t="s">
        <v>88</v>
      </c>
      <c r="M956" s="12" t="str">
        <f t="shared" ca="1" si="3"/>
        <v>86769 ABRAHAM VALDELOMAR2 Primaria</v>
      </c>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4"/>
    </row>
    <row r="957" spans="1:36" ht="12.5" x14ac:dyDescent="0.25">
      <c r="A957" s="9">
        <v>129</v>
      </c>
      <c r="B957" s="10" t="s">
        <v>83</v>
      </c>
      <c r="C957" s="10" t="s">
        <v>15</v>
      </c>
      <c r="D957" s="10" t="s">
        <v>45</v>
      </c>
      <c r="E957" s="11" t="str">
        <f ca="1">IFERROR(__xludf.DUMMYFUNCTION("FILTER(Colegios!$B$2:$B2419,Colegios!$A$2:$A2419=L957)"),"86769 ABRAHAM VALDELOMAR")</f>
        <v>86769 ABRAHAM VALDELOMAR</v>
      </c>
      <c r="F957" s="11" t="s">
        <v>17</v>
      </c>
      <c r="G957" s="10" t="s">
        <v>24</v>
      </c>
      <c r="H957" s="11" t="s">
        <v>19</v>
      </c>
      <c r="I957" s="11" t="s">
        <v>20</v>
      </c>
      <c r="J957" s="12" t="str">
        <f ca="1">IFERROR(__xludf.DUMMYFUNCTION("FILTER('CLASFICACIÓN'!$F$3:$F2419,'CLASFICACIÓN'!$G$3:$G2419=M957)"),"SOLO 2024")</f>
        <v>SOLO 2024</v>
      </c>
      <c r="K957" s="12" t="s">
        <v>2014</v>
      </c>
      <c r="L957" s="11" t="s">
        <v>88</v>
      </c>
      <c r="M957" s="12" t="str">
        <f t="shared" ca="1" si="3"/>
        <v>86769 ABRAHAM VALDELOMAR2 Primaria</v>
      </c>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4"/>
    </row>
    <row r="958" spans="1:36" ht="12.5" x14ac:dyDescent="0.25">
      <c r="A958" s="9">
        <v>130</v>
      </c>
      <c r="B958" s="10" t="s">
        <v>83</v>
      </c>
      <c r="C958" s="10" t="s">
        <v>15</v>
      </c>
      <c r="D958" s="10" t="s">
        <v>45</v>
      </c>
      <c r="E958" s="11" t="str">
        <f ca="1">IFERROR(__xludf.DUMMYFUNCTION("FILTER(Colegios!$B$2:$B2419,Colegios!$A$2:$A2419=L958)"),"86769 ABRAHAM VALDELOMAR")</f>
        <v>86769 ABRAHAM VALDELOMAR</v>
      </c>
      <c r="F958" s="11" t="s">
        <v>17</v>
      </c>
      <c r="G958" s="10" t="s">
        <v>24</v>
      </c>
      <c r="H958" s="11" t="s">
        <v>19</v>
      </c>
      <c r="I958" s="11" t="s">
        <v>20</v>
      </c>
      <c r="J958" s="12" t="str">
        <f ca="1">IFERROR(__xludf.DUMMYFUNCTION("FILTER('CLASFICACIÓN'!$F$3:$F2419,'CLASFICACIÓN'!$G$3:$G2419=M958)"),"SOLO 2024")</f>
        <v>SOLO 2024</v>
      </c>
      <c r="K958" s="12" t="s">
        <v>2014</v>
      </c>
      <c r="L958" s="11" t="s">
        <v>88</v>
      </c>
      <c r="M958" s="12" t="str">
        <f t="shared" ca="1" si="3"/>
        <v>86769 ABRAHAM VALDELOMAR2 Primaria</v>
      </c>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4"/>
    </row>
    <row r="959" spans="1:36" ht="12.5" x14ac:dyDescent="0.25">
      <c r="A959" s="9">
        <v>131</v>
      </c>
      <c r="B959" s="10" t="s">
        <v>83</v>
      </c>
      <c r="C959" s="10" t="s">
        <v>15</v>
      </c>
      <c r="D959" s="10" t="s">
        <v>45</v>
      </c>
      <c r="E959" s="11" t="str">
        <f ca="1">IFERROR(__xludf.DUMMYFUNCTION("FILTER(Colegios!$B$2:$B2419,Colegios!$A$2:$A2419=L959)"),"86769 ABRAHAM VALDELOMAR")</f>
        <v>86769 ABRAHAM VALDELOMAR</v>
      </c>
      <c r="F959" s="11" t="s">
        <v>17</v>
      </c>
      <c r="G959" s="10" t="s">
        <v>24</v>
      </c>
      <c r="H959" s="11" t="s">
        <v>19</v>
      </c>
      <c r="I959" s="11" t="s">
        <v>20</v>
      </c>
      <c r="J959" s="12" t="str">
        <f ca="1">IFERROR(__xludf.DUMMYFUNCTION("FILTER('CLASFICACIÓN'!$F$3:$F2419,'CLASFICACIÓN'!$G$3:$G2419=M959)"),"SOLO 2024")</f>
        <v>SOLO 2024</v>
      </c>
      <c r="K959" s="12" t="s">
        <v>2014</v>
      </c>
      <c r="L959" s="11" t="s">
        <v>88</v>
      </c>
      <c r="M959" s="12" t="str">
        <f t="shared" ca="1" si="3"/>
        <v>86769 ABRAHAM VALDELOMAR2 Primaria</v>
      </c>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4"/>
    </row>
    <row r="960" spans="1:36" ht="12.5" x14ac:dyDescent="0.25">
      <c r="A960" s="9">
        <v>132</v>
      </c>
      <c r="B960" s="10" t="s">
        <v>83</v>
      </c>
      <c r="C960" s="10" t="s">
        <v>15</v>
      </c>
      <c r="D960" s="10" t="s">
        <v>45</v>
      </c>
      <c r="E960" s="11" t="str">
        <f ca="1">IFERROR(__xludf.DUMMYFUNCTION("FILTER(Colegios!$B$2:$B2419,Colegios!$A$2:$A2419=L960)"),"86769 ABRAHAM VALDELOMAR")</f>
        <v>86769 ABRAHAM VALDELOMAR</v>
      </c>
      <c r="F960" s="11" t="s">
        <v>17</v>
      </c>
      <c r="G960" s="10" t="s">
        <v>18</v>
      </c>
      <c r="H960" s="11" t="s">
        <v>19</v>
      </c>
      <c r="I960" s="11" t="s">
        <v>20</v>
      </c>
      <c r="J960" s="12" t="str">
        <f ca="1">IFERROR(__xludf.DUMMYFUNCTION("FILTER('CLASFICACIÓN'!$F$3:$F2419,'CLASFICACIÓN'!$G$3:$G2419=M960)"),"SOLO 2024")</f>
        <v>SOLO 2024</v>
      </c>
      <c r="K960" s="12" t="s">
        <v>2014</v>
      </c>
      <c r="L960" s="11" t="s">
        <v>88</v>
      </c>
      <c r="M960" s="12" t="str">
        <f t="shared" ca="1" si="3"/>
        <v>86769 ABRAHAM VALDELOMAR2 Primaria</v>
      </c>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4"/>
    </row>
    <row r="961" spans="1:36" ht="12.5" x14ac:dyDescent="0.25">
      <c r="A961" s="9">
        <v>133</v>
      </c>
      <c r="B961" s="10" t="s">
        <v>83</v>
      </c>
      <c r="C961" s="10" t="s">
        <v>15</v>
      </c>
      <c r="D961" s="10" t="s">
        <v>45</v>
      </c>
      <c r="E961" s="11" t="str">
        <f ca="1">IFERROR(__xludf.DUMMYFUNCTION("FILTER(Colegios!$B$2:$B2419,Colegios!$A$2:$A2419=L961)"),"86769 ABRAHAM VALDELOMAR")</f>
        <v>86769 ABRAHAM VALDELOMAR</v>
      </c>
      <c r="F961" s="11" t="s">
        <v>17</v>
      </c>
      <c r="G961" s="10" t="s">
        <v>18</v>
      </c>
      <c r="H961" s="11" t="s">
        <v>19</v>
      </c>
      <c r="I961" s="11" t="s">
        <v>20</v>
      </c>
      <c r="J961" s="12" t="str">
        <f ca="1">IFERROR(__xludf.DUMMYFUNCTION("FILTER('CLASFICACIÓN'!$F$3:$F2419,'CLASFICACIÓN'!$G$3:$G2419=M961)"),"SOLO 2024")</f>
        <v>SOLO 2024</v>
      </c>
      <c r="K961" s="12" t="s">
        <v>2014</v>
      </c>
      <c r="L961" s="11" t="s">
        <v>88</v>
      </c>
      <c r="M961" s="12" t="str">
        <f t="shared" ca="1" si="3"/>
        <v>86769 ABRAHAM VALDELOMAR2 Primaria</v>
      </c>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4"/>
    </row>
    <row r="962" spans="1:36" ht="12.5" x14ac:dyDescent="0.25">
      <c r="A962" s="9">
        <v>134</v>
      </c>
      <c r="B962" s="10" t="s">
        <v>83</v>
      </c>
      <c r="C962" s="10" t="s">
        <v>15</v>
      </c>
      <c r="D962" s="10" t="s">
        <v>45</v>
      </c>
      <c r="E962" s="11" t="str">
        <f ca="1">IFERROR(__xludf.DUMMYFUNCTION("FILTER(Colegios!$B$2:$B2419,Colegios!$A$2:$A2419=L962)"),"86769 ABRAHAM VALDELOMAR")</f>
        <v>86769 ABRAHAM VALDELOMAR</v>
      </c>
      <c r="F962" s="11" t="s">
        <v>17</v>
      </c>
      <c r="G962" s="10" t="s">
        <v>18</v>
      </c>
      <c r="H962" s="11" t="s">
        <v>19</v>
      </c>
      <c r="I962" s="11" t="s">
        <v>20</v>
      </c>
      <c r="J962" s="12" t="str">
        <f ca="1">IFERROR(__xludf.DUMMYFUNCTION("FILTER('CLASFICACIÓN'!$F$3:$F2419,'CLASFICACIÓN'!$G$3:$G2419=M962)"),"SOLO 2024")</f>
        <v>SOLO 2024</v>
      </c>
      <c r="K962" s="12" t="s">
        <v>2014</v>
      </c>
      <c r="L962" s="11" t="s">
        <v>88</v>
      </c>
      <c r="M962" s="12" t="str">
        <f t="shared" ca="1" si="3"/>
        <v>86769 ABRAHAM VALDELOMAR2 Primaria</v>
      </c>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4"/>
    </row>
    <row r="963" spans="1:36" ht="12.5" x14ac:dyDescent="0.25">
      <c r="A963" s="9">
        <v>135</v>
      </c>
      <c r="B963" s="10" t="s">
        <v>83</v>
      </c>
      <c r="C963" s="10" t="s">
        <v>15</v>
      </c>
      <c r="D963" s="10" t="s">
        <v>16</v>
      </c>
      <c r="E963" s="11" t="str">
        <f ca="1">IFERROR(__xludf.DUMMYFUNCTION("FILTER(Colegios!$B$2:$B2419,Colegios!$A$2:$A2419=L963)"),"86769 ABRAHAM VALDELOMAR")</f>
        <v>86769 ABRAHAM VALDELOMAR</v>
      </c>
      <c r="F963" s="11" t="s">
        <v>17</v>
      </c>
      <c r="G963" s="10" t="s">
        <v>24</v>
      </c>
      <c r="H963" s="11" t="s">
        <v>19</v>
      </c>
      <c r="I963" s="11" t="s">
        <v>20</v>
      </c>
      <c r="J963" s="12" t="str">
        <f ca="1">IFERROR(__xludf.DUMMYFUNCTION("FILTER('CLASFICACIÓN'!$F$3:$F2419,'CLASFICACIÓN'!$G$3:$G2419=M963)"),"SOLO 2022 Y 2024")</f>
        <v>SOLO 2022 Y 2024</v>
      </c>
      <c r="K963" s="12" t="s">
        <v>2014</v>
      </c>
      <c r="L963" s="11" t="s">
        <v>88</v>
      </c>
      <c r="M963" s="12" t="str">
        <f t="shared" ca="1" si="3"/>
        <v>86769 ABRAHAM VALDELOMAR4 Primaria</v>
      </c>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4"/>
    </row>
    <row r="964" spans="1:36" ht="12.5" x14ac:dyDescent="0.25">
      <c r="A964" s="9">
        <v>136</v>
      </c>
      <c r="B964" s="10" t="s">
        <v>83</v>
      </c>
      <c r="C964" s="10" t="s">
        <v>15</v>
      </c>
      <c r="D964" s="10" t="s">
        <v>16</v>
      </c>
      <c r="E964" s="11" t="str">
        <f ca="1">IFERROR(__xludf.DUMMYFUNCTION("FILTER(Colegios!$B$2:$B2419,Colegios!$A$2:$A2419=L964)"),"86769 ABRAHAM VALDELOMAR")</f>
        <v>86769 ABRAHAM VALDELOMAR</v>
      </c>
      <c r="F964" s="11" t="s">
        <v>17</v>
      </c>
      <c r="G964" s="10" t="s">
        <v>18</v>
      </c>
      <c r="H964" s="11" t="s">
        <v>19</v>
      </c>
      <c r="I964" s="11" t="s">
        <v>20</v>
      </c>
      <c r="J964" s="12" t="str">
        <f ca="1">IFERROR(__xludf.DUMMYFUNCTION("FILTER('CLASFICACIÓN'!$F$3:$F2419,'CLASFICACIÓN'!$G$3:$G2419=M964)"),"SOLO 2022 Y 2024")</f>
        <v>SOLO 2022 Y 2024</v>
      </c>
      <c r="K964" s="12" t="s">
        <v>2014</v>
      </c>
      <c r="L964" s="11" t="s">
        <v>88</v>
      </c>
      <c r="M964" s="12" t="str">
        <f t="shared" ca="1" si="3"/>
        <v>86769 ABRAHAM VALDELOMAR4 Primaria</v>
      </c>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4"/>
    </row>
    <row r="965" spans="1:36" ht="12.5" x14ac:dyDescent="0.25">
      <c r="A965" s="9">
        <v>137</v>
      </c>
      <c r="B965" s="10" t="s">
        <v>83</v>
      </c>
      <c r="C965" s="10" t="s">
        <v>15</v>
      </c>
      <c r="D965" s="10" t="s">
        <v>16</v>
      </c>
      <c r="E965" s="11" t="str">
        <f ca="1">IFERROR(__xludf.DUMMYFUNCTION("FILTER(Colegios!$B$2:$B2419,Colegios!$A$2:$A2419=L965)"),"86769 ABRAHAM VALDELOMAR")</f>
        <v>86769 ABRAHAM VALDELOMAR</v>
      </c>
      <c r="F965" s="11" t="s">
        <v>17</v>
      </c>
      <c r="G965" s="10" t="s">
        <v>18</v>
      </c>
      <c r="H965" s="11" t="s">
        <v>19</v>
      </c>
      <c r="I965" s="11" t="s">
        <v>20</v>
      </c>
      <c r="J965" s="12" t="str">
        <f ca="1">IFERROR(__xludf.DUMMYFUNCTION("FILTER('CLASFICACIÓN'!$F$3:$F2419,'CLASFICACIÓN'!$G$3:$G2419=M965)"),"SOLO 2022 Y 2024")</f>
        <v>SOLO 2022 Y 2024</v>
      </c>
      <c r="K965" s="12" t="s">
        <v>2014</v>
      </c>
      <c r="L965" s="11" t="s">
        <v>88</v>
      </c>
      <c r="M965" s="12" t="str">
        <f t="shared" ca="1" si="3"/>
        <v>86769 ABRAHAM VALDELOMAR4 Primaria</v>
      </c>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4"/>
    </row>
    <row r="966" spans="1:36" ht="12.5" x14ac:dyDescent="0.25">
      <c r="A966" s="9">
        <v>138</v>
      </c>
      <c r="B966" s="10" t="s">
        <v>83</v>
      </c>
      <c r="C966" s="10" t="s">
        <v>15</v>
      </c>
      <c r="D966" s="10" t="s">
        <v>16</v>
      </c>
      <c r="E966" s="11" t="str">
        <f ca="1">IFERROR(__xludf.DUMMYFUNCTION("FILTER(Colegios!$B$2:$B2419,Colegios!$A$2:$A2419=L966)"),"86769 ABRAHAM VALDELOMAR")</f>
        <v>86769 ABRAHAM VALDELOMAR</v>
      </c>
      <c r="F966" s="11" t="s">
        <v>17</v>
      </c>
      <c r="G966" s="10" t="s">
        <v>24</v>
      </c>
      <c r="H966" s="11" t="s">
        <v>19</v>
      </c>
      <c r="I966" s="11" t="s">
        <v>20</v>
      </c>
      <c r="J966" s="12" t="str">
        <f ca="1">IFERROR(__xludf.DUMMYFUNCTION("FILTER('CLASFICACIÓN'!$F$3:$F2419,'CLASFICACIÓN'!$G$3:$G2419=M966)"),"SOLO 2022 Y 2024")</f>
        <v>SOLO 2022 Y 2024</v>
      </c>
      <c r="K966" s="12" t="s">
        <v>2014</v>
      </c>
      <c r="L966" s="11" t="s">
        <v>88</v>
      </c>
      <c r="M966" s="12" t="str">
        <f t="shared" ca="1" si="3"/>
        <v>86769 ABRAHAM VALDELOMAR4 Primaria</v>
      </c>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4"/>
    </row>
    <row r="967" spans="1:36" ht="12.5" x14ac:dyDescent="0.25">
      <c r="A967" s="9">
        <v>139</v>
      </c>
      <c r="B967" s="10" t="s">
        <v>83</v>
      </c>
      <c r="C967" s="10" t="s">
        <v>15</v>
      </c>
      <c r="D967" s="10" t="s">
        <v>16</v>
      </c>
      <c r="E967" s="11" t="str">
        <f ca="1">IFERROR(__xludf.DUMMYFUNCTION("FILTER(Colegios!$B$2:$B2419,Colegios!$A$2:$A2419=L967)"),"86769 ABRAHAM VALDELOMAR")</f>
        <v>86769 ABRAHAM VALDELOMAR</v>
      </c>
      <c r="F967" s="11" t="s">
        <v>17</v>
      </c>
      <c r="G967" s="10" t="s">
        <v>24</v>
      </c>
      <c r="H967" s="11" t="s">
        <v>19</v>
      </c>
      <c r="I967" s="11" t="s">
        <v>20</v>
      </c>
      <c r="J967" s="12" t="str">
        <f ca="1">IFERROR(__xludf.DUMMYFUNCTION("FILTER('CLASFICACIÓN'!$F$3:$F2419,'CLASFICACIÓN'!$G$3:$G2419=M967)"),"SOLO 2022 Y 2024")</f>
        <v>SOLO 2022 Y 2024</v>
      </c>
      <c r="K967" s="12" t="s">
        <v>2014</v>
      </c>
      <c r="L967" s="11" t="s">
        <v>88</v>
      </c>
      <c r="M967" s="12" t="str">
        <f t="shared" ca="1" si="3"/>
        <v>86769 ABRAHAM VALDELOMAR4 Primaria</v>
      </c>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4"/>
    </row>
    <row r="968" spans="1:36" ht="12.5" x14ac:dyDescent="0.25">
      <c r="A968" s="9">
        <v>140</v>
      </c>
      <c r="B968" s="10" t="s">
        <v>83</v>
      </c>
      <c r="C968" s="10" t="s">
        <v>15</v>
      </c>
      <c r="D968" s="10" t="s">
        <v>37</v>
      </c>
      <c r="E968" s="11" t="str">
        <f ca="1">IFERROR(__xludf.DUMMYFUNCTION("FILTER(Colegios!$B$2:$B2419,Colegios!$A$2:$A2419=L968)"),"86769 ABRAHAM VALDELOMAR")</f>
        <v>86769 ABRAHAM VALDELOMAR</v>
      </c>
      <c r="F968" s="11" t="s">
        <v>17</v>
      </c>
      <c r="G968" s="10" t="s">
        <v>18</v>
      </c>
      <c r="H968" s="11" t="s">
        <v>19</v>
      </c>
      <c r="I968" s="11" t="s">
        <v>20</v>
      </c>
      <c r="J968" s="12" t="str">
        <f ca="1">IFERROR(__xludf.DUMMYFUNCTION("FILTER('CLASFICACIÓN'!$F$3:$F2419,'CLASFICACIÓN'!$G$3:$G2419=M968)"),"SOLO 2022 Y 2024")</f>
        <v>SOLO 2022 Y 2024</v>
      </c>
      <c r="K968" s="12" t="s">
        <v>2014</v>
      </c>
      <c r="L968" s="11" t="s">
        <v>88</v>
      </c>
      <c r="M968" s="12" t="str">
        <f t="shared" ca="1" si="3"/>
        <v>86769 ABRAHAM VALDELOMAR6 Primaria</v>
      </c>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4"/>
    </row>
    <row r="969" spans="1:36" ht="12.5" x14ac:dyDescent="0.25">
      <c r="A969" s="9">
        <v>141</v>
      </c>
      <c r="B969" s="10" t="s">
        <v>83</v>
      </c>
      <c r="C969" s="10" t="s">
        <v>15</v>
      </c>
      <c r="D969" s="10" t="s">
        <v>37</v>
      </c>
      <c r="E969" s="11" t="str">
        <f ca="1">IFERROR(__xludf.DUMMYFUNCTION("FILTER(Colegios!$B$2:$B2419,Colegios!$A$2:$A2419=L969)"),"86769 ABRAHAM VALDELOMAR")</f>
        <v>86769 ABRAHAM VALDELOMAR</v>
      </c>
      <c r="F969" s="11" t="s">
        <v>17</v>
      </c>
      <c r="G969" s="10" t="s">
        <v>18</v>
      </c>
      <c r="H969" s="11" t="s">
        <v>19</v>
      </c>
      <c r="I969" s="11" t="s">
        <v>20</v>
      </c>
      <c r="J969" s="12" t="str">
        <f ca="1">IFERROR(__xludf.DUMMYFUNCTION("FILTER('CLASFICACIÓN'!$F$3:$F2419,'CLASFICACIÓN'!$G$3:$G2419=M969)"),"SOLO 2022 Y 2024")</f>
        <v>SOLO 2022 Y 2024</v>
      </c>
      <c r="K969" s="12" t="s">
        <v>2014</v>
      </c>
      <c r="L969" s="11" t="s">
        <v>88</v>
      </c>
      <c r="M969" s="12" t="str">
        <f t="shared" ca="1" si="3"/>
        <v>86769 ABRAHAM VALDELOMAR6 Primaria</v>
      </c>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4"/>
    </row>
    <row r="970" spans="1:36" ht="12.5" x14ac:dyDescent="0.25">
      <c r="A970" s="9">
        <v>142</v>
      </c>
      <c r="B970" s="10" t="s">
        <v>83</v>
      </c>
      <c r="C970" s="10" t="s">
        <v>15</v>
      </c>
      <c r="D970" s="10" t="s">
        <v>37</v>
      </c>
      <c r="E970" s="11" t="str">
        <f ca="1">IFERROR(__xludf.DUMMYFUNCTION("FILTER(Colegios!$B$2:$B2419,Colegios!$A$2:$A2419=L970)"),"86769 ABRAHAM VALDELOMAR")</f>
        <v>86769 ABRAHAM VALDELOMAR</v>
      </c>
      <c r="F970" s="11" t="s">
        <v>17</v>
      </c>
      <c r="G970" s="10" t="s">
        <v>18</v>
      </c>
      <c r="H970" s="11" t="s">
        <v>19</v>
      </c>
      <c r="I970" s="11" t="s">
        <v>20</v>
      </c>
      <c r="J970" s="12" t="str">
        <f ca="1">IFERROR(__xludf.DUMMYFUNCTION("FILTER('CLASFICACIÓN'!$F$3:$F2419,'CLASFICACIÓN'!$G$3:$G2419=M970)"),"SOLO 2022 Y 2024")</f>
        <v>SOLO 2022 Y 2024</v>
      </c>
      <c r="K970" s="12" t="s">
        <v>2014</v>
      </c>
      <c r="L970" s="11" t="s">
        <v>88</v>
      </c>
      <c r="M970" s="12" t="str">
        <f t="shared" ca="1" si="3"/>
        <v>86769 ABRAHAM VALDELOMAR6 Primaria</v>
      </c>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4"/>
    </row>
    <row r="971" spans="1:36" ht="12.5" x14ac:dyDescent="0.25">
      <c r="A971" s="9">
        <v>143</v>
      </c>
      <c r="B971" s="10" t="s">
        <v>83</v>
      </c>
      <c r="C971" s="10" t="s">
        <v>15</v>
      </c>
      <c r="D971" s="10" t="s">
        <v>37</v>
      </c>
      <c r="E971" s="11" t="str">
        <f ca="1">IFERROR(__xludf.DUMMYFUNCTION("FILTER(Colegios!$B$2:$B2419,Colegios!$A$2:$A2419=L971)"),"86769 ABRAHAM VALDELOMAR")</f>
        <v>86769 ABRAHAM VALDELOMAR</v>
      </c>
      <c r="F971" s="11" t="s">
        <v>17</v>
      </c>
      <c r="G971" s="10" t="s">
        <v>18</v>
      </c>
      <c r="H971" s="11" t="s">
        <v>19</v>
      </c>
      <c r="I971" s="11" t="s">
        <v>20</v>
      </c>
      <c r="J971" s="12" t="str">
        <f ca="1">IFERROR(__xludf.DUMMYFUNCTION("FILTER('CLASFICACIÓN'!$F$3:$F2419,'CLASFICACIÓN'!$G$3:$G2419=M971)"),"SOLO 2022 Y 2024")</f>
        <v>SOLO 2022 Y 2024</v>
      </c>
      <c r="K971" s="12" t="s">
        <v>2014</v>
      </c>
      <c r="L971" s="11" t="s">
        <v>88</v>
      </c>
      <c r="M971" s="12" t="str">
        <f t="shared" ca="1" si="3"/>
        <v>86769 ABRAHAM VALDELOMAR6 Primaria</v>
      </c>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4"/>
    </row>
    <row r="972" spans="1:36" ht="12.5" x14ac:dyDescent="0.25">
      <c r="A972" s="9">
        <v>144</v>
      </c>
      <c r="B972" s="10" t="s">
        <v>83</v>
      </c>
      <c r="C972" s="10" t="s">
        <v>15</v>
      </c>
      <c r="D972" s="10" t="s">
        <v>37</v>
      </c>
      <c r="E972" s="11" t="str">
        <f ca="1">IFERROR(__xludf.DUMMYFUNCTION("FILTER(Colegios!$B$2:$B2419,Colegios!$A$2:$A2419=L972)"),"86769 ABRAHAM VALDELOMAR")</f>
        <v>86769 ABRAHAM VALDELOMAR</v>
      </c>
      <c r="F972" s="11" t="s">
        <v>17</v>
      </c>
      <c r="G972" s="10" t="s">
        <v>24</v>
      </c>
      <c r="H972" s="11" t="s">
        <v>19</v>
      </c>
      <c r="I972" s="11" t="s">
        <v>20</v>
      </c>
      <c r="J972" s="12" t="str">
        <f ca="1">IFERROR(__xludf.DUMMYFUNCTION("FILTER('CLASFICACIÓN'!$F$3:$F2419,'CLASFICACIÓN'!$G$3:$G2419=M972)"),"SOLO 2022 Y 2024")</f>
        <v>SOLO 2022 Y 2024</v>
      </c>
      <c r="K972" s="12" t="s">
        <v>2014</v>
      </c>
      <c r="L972" s="11" t="s">
        <v>88</v>
      </c>
      <c r="M972" s="12" t="str">
        <f t="shared" ca="1" si="3"/>
        <v>86769 ABRAHAM VALDELOMAR6 Primaria</v>
      </c>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4"/>
    </row>
    <row r="973" spans="1:36" ht="12.5" x14ac:dyDescent="0.25">
      <c r="A973" s="9">
        <v>145</v>
      </c>
      <c r="B973" s="10" t="s">
        <v>83</v>
      </c>
      <c r="C973" s="10" t="s">
        <v>41</v>
      </c>
      <c r="D973" s="10" t="s">
        <v>42</v>
      </c>
      <c r="E973" s="11" t="str">
        <f ca="1">IFERROR(__xludf.DUMMYFUNCTION("FILTER(Colegios!$B$2:$B2419,Colegios!$A$2:$A2419=L973)"),"86769 ABRAHAM VALDELOMAR")</f>
        <v>86769 ABRAHAM VALDELOMAR</v>
      </c>
      <c r="F973" s="11" t="s">
        <v>17</v>
      </c>
      <c r="G973" s="10" t="s">
        <v>24</v>
      </c>
      <c r="H973" s="11" t="s">
        <v>19</v>
      </c>
      <c r="I973" s="11" t="s">
        <v>20</v>
      </c>
      <c r="J973" s="12" t="str">
        <f ca="1">IFERROR(__xludf.DUMMYFUNCTION("FILTER('CLASFICACIÓN'!$F$3:$F2419,'CLASFICACIÓN'!$G$3:$G2419=M973)"),"SOLO 2022 Y 2024")</f>
        <v>SOLO 2022 Y 2024</v>
      </c>
      <c r="K973" s="12" t="s">
        <v>2014</v>
      </c>
      <c r="L973" s="11" t="s">
        <v>88</v>
      </c>
      <c r="M973" s="12" t="str">
        <f t="shared" ca="1" si="3"/>
        <v>86769 ABRAHAM VALDELOMAR2 Secundaria</v>
      </c>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4"/>
    </row>
    <row r="974" spans="1:36" ht="12.5" x14ac:dyDescent="0.25">
      <c r="A974" s="9">
        <v>146</v>
      </c>
      <c r="B974" s="10" t="s">
        <v>83</v>
      </c>
      <c r="C974" s="10" t="s">
        <v>41</v>
      </c>
      <c r="D974" s="10" t="s">
        <v>42</v>
      </c>
      <c r="E974" s="11" t="str">
        <f ca="1">IFERROR(__xludf.DUMMYFUNCTION("FILTER(Colegios!$B$2:$B2419,Colegios!$A$2:$A2419=L974)"),"86769 ABRAHAM VALDELOMAR")</f>
        <v>86769 ABRAHAM VALDELOMAR</v>
      </c>
      <c r="F974" s="11" t="s">
        <v>17</v>
      </c>
      <c r="G974" s="10" t="s">
        <v>18</v>
      </c>
      <c r="H974" s="11" t="s">
        <v>19</v>
      </c>
      <c r="I974" s="11" t="s">
        <v>20</v>
      </c>
      <c r="J974" s="12" t="str">
        <f ca="1">IFERROR(__xludf.DUMMYFUNCTION("FILTER('CLASFICACIÓN'!$F$3:$F2419,'CLASFICACIÓN'!$G$3:$G2419=M974)"),"SOLO 2022 Y 2024")</f>
        <v>SOLO 2022 Y 2024</v>
      </c>
      <c r="K974" s="12" t="s">
        <v>2014</v>
      </c>
      <c r="L974" s="11" t="s">
        <v>88</v>
      </c>
      <c r="M974" s="12" t="str">
        <f t="shared" ca="1" si="3"/>
        <v>86769 ABRAHAM VALDELOMAR2 Secundaria</v>
      </c>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4"/>
    </row>
    <row r="975" spans="1:36" ht="12.5" x14ac:dyDescent="0.25">
      <c r="A975" s="9">
        <v>147</v>
      </c>
      <c r="B975" s="10" t="s">
        <v>83</v>
      </c>
      <c r="C975" s="10" t="s">
        <v>41</v>
      </c>
      <c r="D975" s="10" t="s">
        <v>42</v>
      </c>
      <c r="E975" s="11" t="str">
        <f ca="1">IFERROR(__xludf.DUMMYFUNCTION("FILTER(Colegios!$B$2:$B2419,Colegios!$A$2:$A2419=L975)"),"86769 ABRAHAM VALDELOMAR")</f>
        <v>86769 ABRAHAM VALDELOMAR</v>
      </c>
      <c r="F975" s="11" t="s">
        <v>17</v>
      </c>
      <c r="G975" s="10" t="s">
        <v>24</v>
      </c>
      <c r="H975" s="11" t="s">
        <v>19</v>
      </c>
      <c r="I975" s="11" t="s">
        <v>20</v>
      </c>
      <c r="J975" s="12" t="str">
        <f ca="1">IFERROR(__xludf.DUMMYFUNCTION("FILTER('CLASFICACIÓN'!$F$3:$F2419,'CLASFICACIÓN'!$G$3:$G2419=M975)"),"SOLO 2022 Y 2024")</f>
        <v>SOLO 2022 Y 2024</v>
      </c>
      <c r="K975" s="12" t="s">
        <v>2014</v>
      </c>
      <c r="L975" s="11" t="s">
        <v>88</v>
      </c>
      <c r="M975" s="12" t="str">
        <f t="shared" ca="1" si="3"/>
        <v>86769 ABRAHAM VALDELOMAR2 Secundaria</v>
      </c>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4"/>
    </row>
    <row r="976" spans="1:36" ht="12.5" x14ac:dyDescent="0.25">
      <c r="A976" s="9">
        <v>148</v>
      </c>
      <c r="B976" s="10" t="s">
        <v>83</v>
      </c>
      <c r="C976" s="10" t="s">
        <v>41</v>
      </c>
      <c r="D976" s="10" t="s">
        <v>42</v>
      </c>
      <c r="E976" s="11" t="str">
        <f ca="1">IFERROR(__xludf.DUMMYFUNCTION("FILTER(Colegios!$B$2:$B2419,Colegios!$A$2:$A2419=L976)"),"86769 ABRAHAM VALDELOMAR")</f>
        <v>86769 ABRAHAM VALDELOMAR</v>
      </c>
      <c r="F976" s="11" t="s">
        <v>17</v>
      </c>
      <c r="G976" s="10" t="s">
        <v>24</v>
      </c>
      <c r="H976" s="11" t="s">
        <v>19</v>
      </c>
      <c r="I976" s="11" t="s">
        <v>20</v>
      </c>
      <c r="J976" s="12" t="str">
        <f ca="1">IFERROR(__xludf.DUMMYFUNCTION("FILTER('CLASFICACIÓN'!$F$3:$F2419,'CLASFICACIÓN'!$G$3:$G2419=M976)"),"SOLO 2022 Y 2024")</f>
        <v>SOLO 2022 Y 2024</v>
      </c>
      <c r="K976" s="12" t="s">
        <v>2014</v>
      </c>
      <c r="L976" s="11" t="s">
        <v>88</v>
      </c>
      <c r="M976" s="12" t="str">
        <f t="shared" ca="1" si="3"/>
        <v>86769 ABRAHAM VALDELOMAR2 Secundaria</v>
      </c>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4"/>
    </row>
    <row r="977" spans="1:36" ht="12.5" x14ac:dyDescent="0.25">
      <c r="A977" s="9">
        <v>150</v>
      </c>
      <c r="B977" s="10" t="s">
        <v>83</v>
      </c>
      <c r="C977" s="10" t="s">
        <v>41</v>
      </c>
      <c r="D977" s="10" t="s">
        <v>43</v>
      </c>
      <c r="E977" s="11" t="str">
        <f ca="1">IFERROR(__xludf.DUMMYFUNCTION("FILTER(Colegios!$B$2:$B2419,Colegios!$A$2:$A2419=L977)"),"86769 ABRAHAM VALDELOMAR")</f>
        <v>86769 ABRAHAM VALDELOMAR</v>
      </c>
      <c r="F977" s="11" t="s">
        <v>17</v>
      </c>
      <c r="G977" s="10" t="s">
        <v>24</v>
      </c>
      <c r="H977" s="11" t="s">
        <v>19</v>
      </c>
      <c r="I977" s="11" t="s">
        <v>20</v>
      </c>
      <c r="J977" s="12" t="str">
        <f ca="1">IFERROR(__xludf.DUMMYFUNCTION("FILTER('CLASFICACIÓN'!$F$3:$F2419,'CLASFICACIÓN'!$G$3:$G2419=M977)"),"SOLO 2024")</f>
        <v>SOLO 2024</v>
      </c>
      <c r="K977" s="12" t="s">
        <v>2014</v>
      </c>
      <c r="L977" s="11" t="s">
        <v>88</v>
      </c>
      <c r="M977" s="12" t="str">
        <f t="shared" ca="1" si="3"/>
        <v>86769 ABRAHAM VALDELOMAR4 Secundaria</v>
      </c>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4"/>
    </row>
    <row r="978" spans="1:36" ht="12.5" x14ac:dyDescent="0.25">
      <c r="A978" s="9">
        <v>151</v>
      </c>
      <c r="B978" s="10" t="s">
        <v>83</v>
      </c>
      <c r="C978" s="10" t="s">
        <v>41</v>
      </c>
      <c r="D978" s="10" t="s">
        <v>43</v>
      </c>
      <c r="E978" s="11" t="str">
        <f ca="1">IFERROR(__xludf.DUMMYFUNCTION("FILTER(Colegios!$B$2:$B2419,Colegios!$A$2:$A2419=L978)"),"86769 ABRAHAM VALDELOMAR")</f>
        <v>86769 ABRAHAM VALDELOMAR</v>
      </c>
      <c r="F978" s="11" t="s">
        <v>17</v>
      </c>
      <c r="G978" s="10" t="s">
        <v>24</v>
      </c>
      <c r="H978" s="11" t="s">
        <v>19</v>
      </c>
      <c r="I978" s="11" t="s">
        <v>20</v>
      </c>
      <c r="J978" s="12" t="str">
        <f ca="1">IFERROR(__xludf.DUMMYFUNCTION("FILTER('CLASFICACIÓN'!$F$3:$F2419,'CLASFICACIÓN'!$G$3:$G2419=M978)"),"SOLO 2024")</f>
        <v>SOLO 2024</v>
      </c>
      <c r="K978" s="12" t="s">
        <v>2014</v>
      </c>
      <c r="L978" s="11" t="s">
        <v>88</v>
      </c>
      <c r="M978" s="12" t="str">
        <f t="shared" ca="1" si="3"/>
        <v>86769 ABRAHAM VALDELOMAR4 Secundaria</v>
      </c>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4"/>
    </row>
    <row r="979" spans="1:36" ht="12.5" x14ac:dyDescent="0.25">
      <c r="A979" s="9">
        <v>152</v>
      </c>
      <c r="B979" s="10" t="s">
        <v>83</v>
      </c>
      <c r="C979" s="10" t="s">
        <v>41</v>
      </c>
      <c r="D979" s="10" t="s">
        <v>43</v>
      </c>
      <c r="E979" s="11" t="str">
        <f ca="1">IFERROR(__xludf.DUMMYFUNCTION("FILTER(Colegios!$B$2:$B2419,Colegios!$A$2:$A2419=L979)"),"86769 ABRAHAM VALDELOMAR")</f>
        <v>86769 ABRAHAM VALDELOMAR</v>
      </c>
      <c r="F979" s="11" t="s">
        <v>17</v>
      </c>
      <c r="G979" s="10" t="s">
        <v>18</v>
      </c>
      <c r="H979" s="11" t="s">
        <v>19</v>
      </c>
      <c r="I979" s="11" t="s">
        <v>20</v>
      </c>
      <c r="J979" s="12" t="str">
        <f ca="1">IFERROR(__xludf.DUMMYFUNCTION("FILTER('CLASFICACIÓN'!$F$3:$F2419,'CLASFICACIÓN'!$G$3:$G2419=M979)"),"SOLO 2024")</f>
        <v>SOLO 2024</v>
      </c>
      <c r="K979" s="12" t="s">
        <v>2014</v>
      </c>
      <c r="L979" s="11" t="s">
        <v>88</v>
      </c>
      <c r="M979" s="12" t="str">
        <f t="shared" ca="1" si="3"/>
        <v>86769 ABRAHAM VALDELOMAR4 Secundaria</v>
      </c>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4"/>
    </row>
    <row r="980" spans="1:36" ht="12.5" x14ac:dyDescent="0.25">
      <c r="A980" s="9">
        <v>153</v>
      </c>
      <c r="B980" s="10" t="s">
        <v>83</v>
      </c>
      <c r="C980" s="10" t="s">
        <v>41</v>
      </c>
      <c r="D980" s="10" t="s">
        <v>43</v>
      </c>
      <c r="E980" s="11" t="str">
        <f ca="1">IFERROR(__xludf.DUMMYFUNCTION("FILTER(Colegios!$B$2:$B2419,Colegios!$A$2:$A2419=L980)"),"86769 ABRAHAM VALDELOMAR")</f>
        <v>86769 ABRAHAM VALDELOMAR</v>
      </c>
      <c r="F980" s="11" t="s">
        <v>17</v>
      </c>
      <c r="G980" s="10" t="s">
        <v>24</v>
      </c>
      <c r="H980" s="11" t="s">
        <v>19</v>
      </c>
      <c r="I980" s="11" t="s">
        <v>20</v>
      </c>
      <c r="J980" s="12" t="str">
        <f ca="1">IFERROR(__xludf.DUMMYFUNCTION("FILTER('CLASFICACIÓN'!$F$3:$F2419,'CLASFICACIÓN'!$G$3:$G2419=M980)"),"SOLO 2024")</f>
        <v>SOLO 2024</v>
      </c>
      <c r="K980" s="12" t="s">
        <v>2014</v>
      </c>
      <c r="L980" s="11" t="s">
        <v>88</v>
      </c>
      <c r="M980" s="12" t="str">
        <f t="shared" ca="1" si="3"/>
        <v>86769 ABRAHAM VALDELOMAR4 Secundaria</v>
      </c>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4"/>
    </row>
    <row r="981" spans="1:36" ht="12.5" x14ac:dyDescent="0.25">
      <c r="A981" s="9">
        <v>154</v>
      </c>
      <c r="B981" s="10" t="s">
        <v>83</v>
      </c>
      <c r="C981" s="10" t="s">
        <v>41</v>
      </c>
      <c r="D981" s="10" t="s">
        <v>43</v>
      </c>
      <c r="E981" s="11" t="str">
        <f ca="1">IFERROR(__xludf.DUMMYFUNCTION("FILTER(Colegios!$B$2:$B2419,Colegios!$A$2:$A2419=L981)"),"86769 ABRAHAM VALDELOMAR")</f>
        <v>86769 ABRAHAM VALDELOMAR</v>
      </c>
      <c r="F981" s="11" t="s">
        <v>17</v>
      </c>
      <c r="G981" s="10" t="s">
        <v>18</v>
      </c>
      <c r="H981" s="11" t="s">
        <v>19</v>
      </c>
      <c r="I981" s="11" t="s">
        <v>20</v>
      </c>
      <c r="J981" s="12" t="str">
        <f ca="1">IFERROR(__xludf.DUMMYFUNCTION("FILTER('CLASFICACIÓN'!$F$3:$F2419,'CLASFICACIÓN'!$G$3:$G2419=M981)"),"SOLO 2024")</f>
        <v>SOLO 2024</v>
      </c>
      <c r="K981" s="12" t="s">
        <v>2014</v>
      </c>
      <c r="L981" s="11" t="s">
        <v>88</v>
      </c>
      <c r="M981" s="12" t="str">
        <f t="shared" ca="1" si="3"/>
        <v>86769 ABRAHAM VALDELOMAR4 Secundaria</v>
      </c>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4"/>
    </row>
    <row r="982" spans="1:36" ht="12.5" x14ac:dyDescent="0.25">
      <c r="A982" s="9">
        <v>1</v>
      </c>
      <c r="B982" s="10" t="s">
        <v>89</v>
      </c>
      <c r="C982" s="10" t="s">
        <v>41</v>
      </c>
      <c r="D982" s="10" t="s">
        <v>42</v>
      </c>
      <c r="E982" s="11" t="str">
        <f ca="1">IFERROR(__xludf.DUMMYFUNCTION("FILTER(Colegios!$B$2:$B2419,Colegios!$A$2:$A2419=L982)"),"501432 PAPA FRANCISCO I")</f>
        <v>501432 PAPA FRANCISCO I</v>
      </c>
      <c r="F982" s="11" t="s">
        <v>17</v>
      </c>
      <c r="G982" s="10" t="s">
        <v>24</v>
      </c>
      <c r="H982" s="11" t="s">
        <v>23</v>
      </c>
      <c r="I982" s="11" t="s">
        <v>20</v>
      </c>
      <c r="J982" s="12" t="str">
        <f ca="1">IFERROR(__xludf.DUMMYFUNCTION("FILTER('CLASFICACIÓN'!$F$3:$F2419,'CLASFICACIÓN'!$G$3:$G2419=M982)"),"SOLO 2024")</f>
        <v>SOLO 2024</v>
      </c>
      <c r="K982" s="12" t="s">
        <v>2011</v>
      </c>
      <c r="L982" s="11" t="s">
        <v>90</v>
      </c>
      <c r="M982" s="12" t="str">
        <f t="shared" ca="1" si="3"/>
        <v>501432 PAPA FRANCISCO I2 Secundaria</v>
      </c>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4"/>
    </row>
    <row r="983" spans="1:36" ht="12.5" x14ac:dyDescent="0.25">
      <c r="A983" s="9">
        <v>2</v>
      </c>
      <c r="B983" s="10" t="s">
        <v>89</v>
      </c>
      <c r="C983" s="10" t="s">
        <v>41</v>
      </c>
      <c r="D983" s="10" t="s">
        <v>42</v>
      </c>
      <c r="E983" s="11" t="str">
        <f ca="1">IFERROR(__xludf.DUMMYFUNCTION("FILTER(Colegios!$B$2:$B2419,Colegios!$A$2:$A2419=L983)"),"501432 PAPA FRANCISCO I")</f>
        <v>501432 PAPA FRANCISCO I</v>
      </c>
      <c r="F983" s="11" t="s">
        <v>17</v>
      </c>
      <c r="G983" s="10" t="s">
        <v>18</v>
      </c>
      <c r="H983" s="11" t="s">
        <v>23</v>
      </c>
      <c r="I983" s="11" t="s">
        <v>20</v>
      </c>
      <c r="J983" s="12" t="str">
        <f ca="1">IFERROR(__xludf.DUMMYFUNCTION("FILTER('CLASFICACIÓN'!$F$3:$F2419,'CLASFICACIÓN'!$G$3:$G2419=M983)"),"SOLO 2024")</f>
        <v>SOLO 2024</v>
      </c>
      <c r="K983" s="12" t="s">
        <v>2011</v>
      </c>
      <c r="L983" s="11" t="s">
        <v>90</v>
      </c>
      <c r="M983" s="12" t="str">
        <f t="shared" ca="1" si="3"/>
        <v>501432 PAPA FRANCISCO I2 Secundaria</v>
      </c>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4"/>
    </row>
    <row r="984" spans="1:36" ht="12.5" x14ac:dyDescent="0.25">
      <c r="A984" s="9">
        <v>3</v>
      </c>
      <c r="B984" s="10" t="s">
        <v>89</v>
      </c>
      <c r="C984" s="10" t="s">
        <v>41</v>
      </c>
      <c r="D984" s="10" t="s">
        <v>42</v>
      </c>
      <c r="E984" s="11" t="str">
        <f ca="1">IFERROR(__xludf.DUMMYFUNCTION("FILTER(Colegios!$B$2:$B2419,Colegios!$A$2:$A2419=L984)"),"501432 PAPA FRANCISCO I")</f>
        <v>501432 PAPA FRANCISCO I</v>
      </c>
      <c r="F984" s="11" t="s">
        <v>17</v>
      </c>
      <c r="G984" s="10" t="s">
        <v>24</v>
      </c>
      <c r="H984" s="11" t="s">
        <v>19</v>
      </c>
      <c r="I984" s="11" t="s">
        <v>20</v>
      </c>
      <c r="J984" s="12" t="str">
        <f ca="1">IFERROR(__xludf.DUMMYFUNCTION("FILTER('CLASFICACIÓN'!$F$3:$F2419,'CLASFICACIÓN'!$G$3:$G2419=M984)"),"SOLO 2024")</f>
        <v>SOLO 2024</v>
      </c>
      <c r="K984" s="12" t="s">
        <v>2011</v>
      </c>
      <c r="L984" s="11" t="s">
        <v>90</v>
      </c>
      <c r="M984" s="12" t="str">
        <f t="shared" ca="1" si="3"/>
        <v>501432 PAPA FRANCISCO I2 Secundaria</v>
      </c>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4"/>
    </row>
    <row r="985" spans="1:36" ht="12.5" x14ac:dyDescent="0.25">
      <c r="A985" s="9">
        <v>4</v>
      </c>
      <c r="B985" s="10" t="s">
        <v>89</v>
      </c>
      <c r="C985" s="10" t="s">
        <v>41</v>
      </c>
      <c r="D985" s="10" t="s">
        <v>42</v>
      </c>
      <c r="E985" s="11" t="str">
        <f ca="1">IFERROR(__xludf.DUMMYFUNCTION("FILTER(Colegios!$B$2:$B2419,Colegios!$A$2:$A2419=L985)"),"501432 PAPA FRANCISCO I")</f>
        <v>501432 PAPA FRANCISCO I</v>
      </c>
      <c r="F985" s="11" t="s">
        <v>17</v>
      </c>
      <c r="G985" s="10" t="s">
        <v>18</v>
      </c>
      <c r="H985" s="11" t="s">
        <v>23</v>
      </c>
      <c r="I985" s="11" t="s">
        <v>20</v>
      </c>
      <c r="J985" s="12" t="str">
        <f ca="1">IFERROR(__xludf.DUMMYFUNCTION("FILTER('CLASFICACIÓN'!$F$3:$F2419,'CLASFICACIÓN'!$G$3:$G2419=M985)"),"SOLO 2024")</f>
        <v>SOLO 2024</v>
      </c>
      <c r="K985" s="12" t="s">
        <v>2011</v>
      </c>
      <c r="L985" s="11" t="s">
        <v>90</v>
      </c>
      <c r="M985" s="12" t="str">
        <f t="shared" ca="1" si="3"/>
        <v>501432 PAPA FRANCISCO I2 Secundaria</v>
      </c>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4"/>
    </row>
    <row r="986" spans="1:36" ht="12.5" x14ac:dyDescent="0.25">
      <c r="A986" s="9">
        <v>5</v>
      </c>
      <c r="B986" s="10" t="s">
        <v>89</v>
      </c>
      <c r="C986" s="10" t="s">
        <v>41</v>
      </c>
      <c r="D986" s="10" t="s">
        <v>42</v>
      </c>
      <c r="E986" s="11" t="str">
        <f ca="1">IFERROR(__xludf.DUMMYFUNCTION("FILTER(Colegios!$B$2:$B2419,Colegios!$A$2:$A2419=L986)"),"501432 PAPA FRANCISCO I")</f>
        <v>501432 PAPA FRANCISCO I</v>
      </c>
      <c r="F986" s="11" t="s">
        <v>17</v>
      </c>
      <c r="G986" s="10" t="s">
        <v>24</v>
      </c>
      <c r="H986" s="11" t="s">
        <v>19</v>
      </c>
      <c r="I986" s="11" t="s">
        <v>20</v>
      </c>
      <c r="J986" s="12" t="str">
        <f ca="1">IFERROR(__xludf.DUMMYFUNCTION("FILTER('CLASFICACIÓN'!$F$3:$F2419,'CLASFICACIÓN'!$G$3:$G2419=M986)"),"SOLO 2024")</f>
        <v>SOLO 2024</v>
      </c>
      <c r="K986" s="12" t="s">
        <v>2011</v>
      </c>
      <c r="L986" s="11" t="s">
        <v>90</v>
      </c>
      <c r="M986" s="12" t="str">
        <f t="shared" ca="1" si="3"/>
        <v>501432 PAPA FRANCISCO I2 Secundaria</v>
      </c>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4"/>
    </row>
    <row r="987" spans="1:36" ht="12.5" x14ac:dyDescent="0.25">
      <c r="A987" s="9">
        <v>6</v>
      </c>
      <c r="B987" s="10" t="s">
        <v>89</v>
      </c>
      <c r="C987" s="10" t="s">
        <v>41</v>
      </c>
      <c r="D987" s="10" t="s">
        <v>42</v>
      </c>
      <c r="E987" s="11" t="str">
        <f ca="1">IFERROR(__xludf.DUMMYFUNCTION("FILTER(Colegios!$B$2:$B2419,Colegios!$A$2:$A2419=L987)"),"501432 PAPA FRANCISCO I")</f>
        <v>501432 PAPA FRANCISCO I</v>
      </c>
      <c r="F987" s="11" t="s">
        <v>17</v>
      </c>
      <c r="G987" s="10" t="s">
        <v>24</v>
      </c>
      <c r="H987" s="11" t="s">
        <v>23</v>
      </c>
      <c r="I987" s="11" t="s">
        <v>20</v>
      </c>
      <c r="J987" s="12" t="str">
        <f ca="1">IFERROR(__xludf.DUMMYFUNCTION("FILTER('CLASFICACIÓN'!$F$3:$F2419,'CLASFICACIÓN'!$G$3:$G2419=M987)"),"SOLO 2024")</f>
        <v>SOLO 2024</v>
      </c>
      <c r="K987" s="12" t="s">
        <v>2011</v>
      </c>
      <c r="L987" s="11" t="s">
        <v>90</v>
      </c>
      <c r="M987" s="12" t="str">
        <f t="shared" ca="1" si="3"/>
        <v>501432 PAPA FRANCISCO I2 Secundaria</v>
      </c>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4"/>
    </row>
    <row r="988" spans="1:36" ht="12.5" x14ac:dyDescent="0.25">
      <c r="A988" s="9">
        <v>7</v>
      </c>
      <c r="B988" s="10" t="s">
        <v>89</v>
      </c>
      <c r="C988" s="10" t="s">
        <v>41</v>
      </c>
      <c r="D988" s="10" t="s">
        <v>42</v>
      </c>
      <c r="E988" s="11" t="str">
        <f ca="1">IFERROR(__xludf.DUMMYFUNCTION("FILTER(Colegios!$B$2:$B2419,Colegios!$A$2:$A2419=L988)"),"501432 PAPA FRANCISCO I")</f>
        <v>501432 PAPA FRANCISCO I</v>
      </c>
      <c r="F988" s="11" t="s">
        <v>17</v>
      </c>
      <c r="G988" s="10" t="s">
        <v>24</v>
      </c>
      <c r="H988" s="11" t="s">
        <v>23</v>
      </c>
      <c r="I988" s="11" t="s">
        <v>20</v>
      </c>
      <c r="J988" s="12" t="str">
        <f ca="1">IFERROR(__xludf.DUMMYFUNCTION("FILTER('CLASFICACIÓN'!$F$3:$F2419,'CLASFICACIÓN'!$G$3:$G2419=M988)"),"SOLO 2024")</f>
        <v>SOLO 2024</v>
      </c>
      <c r="K988" s="12" t="s">
        <v>2011</v>
      </c>
      <c r="L988" s="11" t="s">
        <v>90</v>
      </c>
      <c r="M988" s="12" t="str">
        <f t="shared" ca="1" si="3"/>
        <v>501432 PAPA FRANCISCO I2 Secundaria</v>
      </c>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4"/>
    </row>
    <row r="989" spans="1:36" ht="12.5" x14ac:dyDescent="0.25">
      <c r="A989" s="9">
        <v>8</v>
      </c>
      <c r="B989" s="10" t="s">
        <v>89</v>
      </c>
      <c r="C989" s="10" t="s">
        <v>41</v>
      </c>
      <c r="D989" s="10" t="s">
        <v>42</v>
      </c>
      <c r="E989" s="11" t="str">
        <f ca="1">IFERROR(__xludf.DUMMYFUNCTION("FILTER(Colegios!$B$2:$B2419,Colegios!$A$2:$A2419=L989)"),"501432 PAPA FRANCISCO I")</f>
        <v>501432 PAPA FRANCISCO I</v>
      </c>
      <c r="F989" s="11" t="s">
        <v>17</v>
      </c>
      <c r="G989" s="10" t="s">
        <v>18</v>
      </c>
      <c r="H989" s="11" t="s">
        <v>19</v>
      </c>
      <c r="I989" s="11" t="s">
        <v>20</v>
      </c>
      <c r="J989" s="12" t="str">
        <f ca="1">IFERROR(__xludf.DUMMYFUNCTION("FILTER('CLASFICACIÓN'!$F$3:$F2419,'CLASFICACIÓN'!$G$3:$G2419=M989)"),"SOLO 2024")</f>
        <v>SOLO 2024</v>
      </c>
      <c r="K989" s="12" t="s">
        <v>2011</v>
      </c>
      <c r="L989" s="11" t="s">
        <v>90</v>
      </c>
      <c r="M989" s="12" t="str">
        <f t="shared" ca="1" si="3"/>
        <v>501432 PAPA FRANCISCO I2 Secundaria</v>
      </c>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4"/>
    </row>
    <row r="990" spans="1:36" ht="12.5" x14ac:dyDescent="0.25">
      <c r="A990" s="9">
        <v>9</v>
      </c>
      <c r="B990" s="10" t="s">
        <v>89</v>
      </c>
      <c r="C990" s="10" t="s">
        <v>41</v>
      </c>
      <c r="D990" s="10" t="s">
        <v>42</v>
      </c>
      <c r="E990" s="11" t="str">
        <f ca="1">IFERROR(__xludf.DUMMYFUNCTION("FILTER(Colegios!$B$2:$B2419,Colegios!$A$2:$A2419=L990)"),"501432 PAPA FRANCISCO I")</f>
        <v>501432 PAPA FRANCISCO I</v>
      </c>
      <c r="F990" s="11" t="s">
        <v>17</v>
      </c>
      <c r="G990" s="10" t="s">
        <v>24</v>
      </c>
      <c r="H990" s="11" t="s">
        <v>23</v>
      </c>
      <c r="I990" s="11" t="s">
        <v>20</v>
      </c>
      <c r="J990" s="12" t="str">
        <f ca="1">IFERROR(__xludf.DUMMYFUNCTION("FILTER('CLASFICACIÓN'!$F$3:$F2419,'CLASFICACIÓN'!$G$3:$G2419=M990)"),"SOLO 2024")</f>
        <v>SOLO 2024</v>
      </c>
      <c r="K990" s="12" t="s">
        <v>2011</v>
      </c>
      <c r="L990" s="11" t="s">
        <v>90</v>
      </c>
      <c r="M990" s="12" t="str">
        <f t="shared" ca="1" si="3"/>
        <v>501432 PAPA FRANCISCO I2 Secundaria</v>
      </c>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4"/>
    </row>
    <row r="991" spans="1:36" ht="12.5" x14ac:dyDescent="0.25">
      <c r="A991" s="9">
        <v>10</v>
      </c>
      <c r="B991" s="10" t="s">
        <v>89</v>
      </c>
      <c r="C991" s="10" t="s">
        <v>41</v>
      </c>
      <c r="D991" s="10" t="s">
        <v>42</v>
      </c>
      <c r="E991" s="11" t="str">
        <f ca="1">IFERROR(__xludf.DUMMYFUNCTION("FILTER(Colegios!$B$2:$B2419,Colegios!$A$2:$A2419=L991)"),"501432 PAPA FRANCISCO I")</f>
        <v>501432 PAPA FRANCISCO I</v>
      </c>
      <c r="F991" s="11" t="s">
        <v>17</v>
      </c>
      <c r="G991" s="10" t="s">
        <v>18</v>
      </c>
      <c r="H991" s="11" t="s">
        <v>23</v>
      </c>
      <c r="I991" s="11" t="s">
        <v>20</v>
      </c>
      <c r="J991" s="12" t="str">
        <f ca="1">IFERROR(__xludf.DUMMYFUNCTION("FILTER('CLASFICACIÓN'!$F$3:$F2419,'CLASFICACIÓN'!$G$3:$G2419=M991)"),"SOLO 2024")</f>
        <v>SOLO 2024</v>
      </c>
      <c r="K991" s="12" t="s">
        <v>2011</v>
      </c>
      <c r="L991" s="11" t="s">
        <v>90</v>
      </c>
      <c r="M991" s="12" t="str">
        <f t="shared" ca="1" si="3"/>
        <v>501432 PAPA FRANCISCO I2 Secundaria</v>
      </c>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4"/>
    </row>
    <row r="992" spans="1:36" ht="12.5" x14ac:dyDescent="0.25">
      <c r="A992" s="9">
        <v>11</v>
      </c>
      <c r="B992" s="10" t="s">
        <v>89</v>
      </c>
      <c r="C992" s="10" t="s">
        <v>41</v>
      </c>
      <c r="D992" s="10" t="s">
        <v>42</v>
      </c>
      <c r="E992" s="11" t="str">
        <f ca="1">IFERROR(__xludf.DUMMYFUNCTION("FILTER(Colegios!$B$2:$B2419,Colegios!$A$2:$A2419=L992)"),"501432 PAPA FRANCISCO I")</f>
        <v>501432 PAPA FRANCISCO I</v>
      </c>
      <c r="F992" s="11" t="s">
        <v>17</v>
      </c>
      <c r="G992" s="10" t="s">
        <v>24</v>
      </c>
      <c r="H992" s="11" t="s">
        <v>23</v>
      </c>
      <c r="I992" s="11" t="s">
        <v>20</v>
      </c>
      <c r="J992" s="12" t="str">
        <f ca="1">IFERROR(__xludf.DUMMYFUNCTION("FILTER('CLASFICACIÓN'!$F$3:$F2419,'CLASFICACIÓN'!$G$3:$G2419=M992)"),"SOLO 2024")</f>
        <v>SOLO 2024</v>
      </c>
      <c r="K992" s="12" t="s">
        <v>2011</v>
      </c>
      <c r="L992" s="11" t="s">
        <v>90</v>
      </c>
      <c r="M992" s="12" t="str">
        <f t="shared" ca="1" si="3"/>
        <v>501432 PAPA FRANCISCO I2 Secundaria</v>
      </c>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4"/>
    </row>
    <row r="993" spans="1:36" ht="12.5" x14ac:dyDescent="0.25">
      <c r="A993" s="9">
        <v>12</v>
      </c>
      <c r="B993" s="10" t="s">
        <v>89</v>
      </c>
      <c r="C993" s="10" t="s">
        <v>41</v>
      </c>
      <c r="D993" s="10" t="s">
        <v>43</v>
      </c>
      <c r="E993" s="11" t="str">
        <f ca="1">IFERROR(__xludf.DUMMYFUNCTION("FILTER(Colegios!$B$2:$B2419,Colegios!$A$2:$A2419=L993)"),"501432 PAPA FRANCISCO I")</f>
        <v>501432 PAPA FRANCISCO I</v>
      </c>
      <c r="F993" s="11" t="s">
        <v>17</v>
      </c>
      <c r="G993" s="10" t="s">
        <v>24</v>
      </c>
      <c r="H993" s="11" t="s">
        <v>25</v>
      </c>
      <c r="I993" s="11" t="s">
        <v>20</v>
      </c>
      <c r="J993" s="12" t="str">
        <f ca="1">IFERROR(__xludf.DUMMYFUNCTION("FILTER('CLASFICACIÓN'!$F$3:$F2419,'CLASFICACIÓN'!$G$3:$G2419=M993)"),"SOLO 2024")</f>
        <v>SOLO 2024</v>
      </c>
      <c r="K993" s="12" t="s">
        <v>2011</v>
      </c>
      <c r="L993" s="11" t="s">
        <v>90</v>
      </c>
      <c r="M993" s="12" t="str">
        <f t="shared" ca="1" si="3"/>
        <v>501432 PAPA FRANCISCO I4 Secundaria</v>
      </c>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4"/>
    </row>
    <row r="994" spans="1:36" ht="12.5" x14ac:dyDescent="0.25">
      <c r="A994" s="9">
        <v>13</v>
      </c>
      <c r="B994" s="10" t="s">
        <v>89</v>
      </c>
      <c r="C994" s="10" t="s">
        <v>41</v>
      </c>
      <c r="D994" s="10" t="s">
        <v>43</v>
      </c>
      <c r="E994" s="11" t="str">
        <f ca="1">IFERROR(__xludf.DUMMYFUNCTION("FILTER(Colegios!$B$2:$B2419,Colegios!$A$2:$A2419=L994)"),"501432 PAPA FRANCISCO I")</f>
        <v>501432 PAPA FRANCISCO I</v>
      </c>
      <c r="F994" s="11" t="s">
        <v>17</v>
      </c>
      <c r="G994" s="10" t="s">
        <v>24</v>
      </c>
      <c r="H994" s="11" t="s">
        <v>25</v>
      </c>
      <c r="I994" s="11" t="s">
        <v>20</v>
      </c>
      <c r="J994" s="12" t="str">
        <f ca="1">IFERROR(__xludf.DUMMYFUNCTION("FILTER('CLASFICACIÓN'!$F$3:$F2419,'CLASFICACIÓN'!$G$3:$G2419=M994)"),"SOLO 2024")</f>
        <v>SOLO 2024</v>
      </c>
      <c r="K994" s="12" t="s">
        <v>2011</v>
      </c>
      <c r="L994" s="11" t="s">
        <v>90</v>
      </c>
      <c r="M994" s="12" t="str">
        <f t="shared" ca="1" si="3"/>
        <v>501432 PAPA FRANCISCO I4 Secundaria</v>
      </c>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4"/>
    </row>
    <row r="995" spans="1:36" ht="12.5" x14ac:dyDescent="0.25">
      <c r="A995" s="9">
        <v>14</v>
      </c>
      <c r="B995" s="10" t="s">
        <v>89</v>
      </c>
      <c r="C995" s="10" t="s">
        <v>41</v>
      </c>
      <c r="D995" s="10" t="s">
        <v>43</v>
      </c>
      <c r="E995" s="11" t="str">
        <f ca="1">IFERROR(__xludf.DUMMYFUNCTION("FILTER(Colegios!$B$2:$B2419,Colegios!$A$2:$A2419=L995)"),"501432 PAPA FRANCISCO I")</f>
        <v>501432 PAPA FRANCISCO I</v>
      </c>
      <c r="F995" s="11" t="s">
        <v>17</v>
      </c>
      <c r="G995" s="10" t="s">
        <v>24</v>
      </c>
      <c r="H995" s="11" t="s">
        <v>25</v>
      </c>
      <c r="I995" s="11" t="s">
        <v>20</v>
      </c>
      <c r="J995" s="12" t="str">
        <f ca="1">IFERROR(__xludf.DUMMYFUNCTION("FILTER('CLASFICACIÓN'!$F$3:$F2419,'CLASFICACIÓN'!$G$3:$G2419=M995)"),"SOLO 2024")</f>
        <v>SOLO 2024</v>
      </c>
      <c r="K995" s="12" t="s">
        <v>2011</v>
      </c>
      <c r="L995" s="11" t="s">
        <v>90</v>
      </c>
      <c r="M995" s="12" t="str">
        <f t="shared" ca="1" si="3"/>
        <v>501432 PAPA FRANCISCO I4 Secundaria</v>
      </c>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4"/>
    </row>
    <row r="996" spans="1:36" ht="12.5" x14ac:dyDescent="0.25">
      <c r="A996" s="9">
        <v>15</v>
      </c>
      <c r="B996" s="10" t="s">
        <v>89</v>
      </c>
      <c r="C996" s="10" t="s">
        <v>41</v>
      </c>
      <c r="D996" s="10" t="s">
        <v>43</v>
      </c>
      <c r="E996" s="11" t="str">
        <f ca="1">IFERROR(__xludf.DUMMYFUNCTION("FILTER(Colegios!$B$2:$B2419,Colegios!$A$2:$A2419=L996)"),"501432 PAPA FRANCISCO I")</f>
        <v>501432 PAPA FRANCISCO I</v>
      </c>
      <c r="F996" s="11" t="s">
        <v>17</v>
      </c>
      <c r="G996" s="10" t="s">
        <v>24</v>
      </c>
      <c r="H996" s="11" t="s">
        <v>25</v>
      </c>
      <c r="I996" s="11" t="s">
        <v>20</v>
      </c>
      <c r="J996" s="12" t="str">
        <f ca="1">IFERROR(__xludf.DUMMYFUNCTION("FILTER('CLASFICACIÓN'!$F$3:$F2419,'CLASFICACIÓN'!$G$3:$G2419=M996)"),"SOLO 2024")</f>
        <v>SOLO 2024</v>
      </c>
      <c r="K996" s="12" t="s">
        <v>2011</v>
      </c>
      <c r="L996" s="11" t="s">
        <v>90</v>
      </c>
      <c r="M996" s="12" t="str">
        <f t="shared" ca="1" si="3"/>
        <v>501432 PAPA FRANCISCO I4 Secundaria</v>
      </c>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4"/>
    </row>
    <row r="997" spans="1:36" ht="12.5" x14ac:dyDescent="0.25">
      <c r="A997" s="9">
        <v>16</v>
      </c>
      <c r="B997" s="10" t="s">
        <v>89</v>
      </c>
      <c r="C997" s="10" t="s">
        <v>41</v>
      </c>
      <c r="D997" s="10" t="s">
        <v>43</v>
      </c>
      <c r="E997" s="11" t="str">
        <f ca="1">IFERROR(__xludf.DUMMYFUNCTION("FILTER(Colegios!$B$2:$B2419,Colegios!$A$2:$A2419=L997)"),"501432 PAPA FRANCISCO I")</f>
        <v>501432 PAPA FRANCISCO I</v>
      </c>
      <c r="F997" s="11" t="s">
        <v>17</v>
      </c>
      <c r="G997" s="10" t="s">
        <v>18</v>
      </c>
      <c r="H997" s="11" t="s">
        <v>23</v>
      </c>
      <c r="I997" s="11" t="s">
        <v>20</v>
      </c>
      <c r="J997" s="12" t="str">
        <f ca="1">IFERROR(__xludf.DUMMYFUNCTION("FILTER('CLASFICACIÓN'!$F$3:$F2419,'CLASFICACIÓN'!$G$3:$G2419=M997)"),"SOLO 2024")</f>
        <v>SOLO 2024</v>
      </c>
      <c r="K997" s="12" t="s">
        <v>2011</v>
      </c>
      <c r="L997" s="11" t="s">
        <v>90</v>
      </c>
      <c r="M997" s="12" t="str">
        <f t="shared" ca="1" si="3"/>
        <v>501432 PAPA FRANCISCO I4 Secundaria</v>
      </c>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4"/>
    </row>
    <row r="998" spans="1:36" ht="12.5" x14ac:dyDescent="0.25">
      <c r="A998" s="9">
        <v>17</v>
      </c>
      <c r="B998" s="10" t="s">
        <v>89</v>
      </c>
      <c r="C998" s="10" t="s">
        <v>41</v>
      </c>
      <c r="D998" s="10" t="s">
        <v>43</v>
      </c>
      <c r="E998" s="11" t="str">
        <f ca="1">IFERROR(__xludf.DUMMYFUNCTION("FILTER(Colegios!$B$2:$B2419,Colegios!$A$2:$A2419=L998)"),"501432 PAPA FRANCISCO I")</f>
        <v>501432 PAPA FRANCISCO I</v>
      </c>
      <c r="F998" s="11" t="s">
        <v>17</v>
      </c>
      <c r="G998" s="10" t="s">
        <v>18</v>
      </c>
      <c r="H998" s="11" t="s">
        <v>23</v>
      </c>
      <c r="I998" s="11" t="s">
        <v>20</v>
      </c>
      <c r="J998" s="12" t="str">
        <f ca="1">IFERROR(__xludf.DUMMYFUNCTION("FILTER('CLASFICACIÓN'!$F$3:$F2419,'CLASFICACIÓN'!$G$3:$G2419=M998)"),"SOLO 2024")</f>
        <v>SOLO 2024</v>
      </c>
      <c r="K998" s="12" t="s">
        <v>2011</v>
      </c>
      <c r="L998" s="11" t="s">
        <v>90</v>
      </c>
      <c r="M998" s="12" t="str">
        <f t="shared" ca="1" si="3"/>
        <v>501432 PAPA FRANCISCO I4 Secundaria</v>
      </c>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4"/>
    </row>
    <row r="999" spans="1:36" ht="12.5" x14ac:dyDescent="0.25">
      <c r="A999" s="9">
        <v>18</v>
      </c>
      <c r="B999" s="10" t="s">
        <v>89</v>
      </c>
      <c r="C999" s="10" t="s">
        <v>41</v>
      </c>
      <c r="D999" s="10" t="s">
        <v>43</v>
      </c>
      <c r="E999" s="11" t="str">
        <f ca="1">IFERROR(__xludf.DUMMYFUNCTION("FILTER(Colegios!$B$2:$B2419,Colegios!$A$2:$A2419=L999)"),"501432 PAPA FRANCISCO I")</f>
        <v>501432 PAPA FRANCISCO I</v>
      </c>
      <c r="F999" s="11" t="s">
        <v>17</v>
      </c>
      <c r="G999" s="10" t="s">
        <v>18</v>
      </c>
      <c r="H999" s="11" t="s">
        <v>19</v>
      </c>
      <c r="I999" s="11" t="s">
        <v>20</v>
      </c>
      <c r="J999" s="12" t="str">
        <f ca="1">IFERROR(__xludf.DUMMYFUNCTION("FILTER('CLASFICACIÓN'!$F$3:$F2419,'CLASFICACIÓN'!$G$3:$G2419=M999)"),"SOLO 2024")</f>
        <v>SOLO 2024</v>
      </c>
      <c r="K999" s="12" t="s">
        <v>2011</v>
      </c>
      <c r="L999" s="11" t="s">
        <v>90</v>
      </c>
      <c r="M999" s="12" t="str">
        <f t="shared" ca="1" si="3"/>
        <v>501432 PAPA FRANCISCO I4 Secundaria</v>
      </c>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4"/>
    </row>
    <row r="1000" spans="1:36" ht="12.5" x14ac:dyDescent="0.25">
      <c r="A1000" s="9">
        <v>19</v>
      </c>
      <c r="B1000" s="10" t="s">
        <v>89</v>
      </c>
      <c r="C1000" s="10" t="s">
        <v>41</v>
      </c>
      <c r="D1000" s="10" t="s">
        <v>43</v>
      </c>
      <c r="E1000" s="11" t="str">
        <f ca="1">IFERROR(__xludf.DUMMYFUNCTION("FILTER(Colegios!$B$2:$B2419,Colegios!$A$2:$A2419=L1000)"),"501432 PAPA FRANCISCO I")</f>
        <v>501432 PAPA FRANCISCO I</v>
      </c>
      <c r="F1000" s="11" t="s">
        <v>17</v>
      </c>
      <c r="G1000" s="10" t="s">
        <v>18</v>
      </c>
      <c r="H1000" s="11" t="s">
        <v>25</v>
      </c>
      <c r="I1000" s="11" t="s">
        <v>20</v>
      </c>
      <c r="J1000" s="12" t="str">
        <f ca="1">IFERROR(__xludf.DUMMYFUNCTION("FILTER('CLASFICACIÓN'!$F$3:$F2419,'CLASFICACIÓN'!$G$3:$G2419=M1000)"),"SOLO 2024")</f>
        <v>SOLO 2024</v>
      </c>
      <c r="K1000" s="12" t="s">
        <v>2011</v>
      </c>
      <c r="L1000" s="11" t="s">
        <v>90</v>
      </c>
      <c r="M1000" s="12" t="str">
        <f t="shared" ca="1" si="3"/>
        <v>501432 PAPA FRANCISCO I4 Secundaria</v>
      </c>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4"/>
    </row>
    <row r="1001" spans="1:36" ht="12.5" x14ac:dyDescent="0.25">
      <c r="A1001" s="9">
        <v>20</v>
      </c>
      <c r="B1001" s="10" t="s">
        <v>89</v>
      </c>
      <c r="C1001" s="10" t="s">
        <v>41</v>
      </c>
      <c r="D1001" s="10" t="s">
        <v>43</v>
      </c>
      <c r="E1001" s="11" t="str">
        <f ca="1">IFERROR(__xludf.DUMMYFUNCTION("FILTER(Colegios!$B$2:$B2419,Colegios!$A$2:$A2419=L1001)"),"501432 PAPA FRANCISCO I")</f>
        <v>501432 PAPA FRANCISCO I</v>
      </c>
      <c r="F1001" s="11" t="s">
        <v>17</v>
      </c>
      <c r="G1001" s="10" t="s">
        <v>24</v>
      </c>
      <c r="H1001" s="11" t="s">
        <v>23</v>
      </c>
      <c r="I1001" s="11" t="s">
        <v>20</v>
      </c>
      <c r="J1001" s="12" t="str">
        <f ca="1">IFERROR(__xludf.DUMMYFUNCTION("FILTER('CLASFICACIÓN'!$F$3:$F2419,'CLASFICACIÓN'!$G$3:$G2419=M1001)"),"SOLO 2024")</f>
        <v>SOLO 2024</v>
      </c>
      <c r="K1001" s="12" t="s">
        <v>2011</v>
      </c>
      <c r="L1001" s="11" t="s">
        <v>90</v>
      </c>
      <c r="M1001" s="12" t="str">
        <f t="shared" ca="1" si="3"/>
        <v>501432 PAPA FRANCISCO I4 Secundaria</v>
      </c>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4"/>
    </row>
    <row r="1002" spans="1:36" ht="12.5" x14ac:dyDescent="0.25">
      <c r="A1002" s="9">
        <v>21</v>
      </c>
      <c r="B1002" s="10" t="s">
        <v>89</v>
      </c>
      <c r="C1002" s="10" t="s">
        <v>41</v>
      </c>
      <c r="D1002" s="10" t="s">
        <v>43</v>
      </c>
      <c r="E1002" s="11" t="str">
        <f ca="1">IFERROR(__xludf.DUMMYFUNCTION("FILTER(Colegios!$B$2:$B2419,Colegios!$A$2:$A2419=L1002)"),"501432 PAPA FRANCISCO I")</f>
        <v>501432 PAPA FRANCISCO I</v>
      </c>
      <c r="F1002" s="11" t="s">
        <v>17</v>
      </c>
      <c r="G1002" s="10" t="s">
        <v>18</v>
      </c>
      <c r="H1002" s="11" t="s">
        <v>23</v>
      </c>
      <c r="I1002" s="11" t="s">
        <v>20</v>
      </c>
      <c r="J1002" s="12" t="str">
        <f ca="1">IFERROR(__xludf.DUMMYFUNCTION("FILTER('CLASFICACIÓN'!$F$3:$F2419,'CLASFICACIÓN'!$G$3:$G2419=M1002)"),"SOLO 2024")</f>
        <v>SOLO 2024</v>
      </c>
      <c r="K1002" s="12" t="s">
        <v>2011</v>
      </c>
      <c r="L1002" s="11" t="s">
        <v>90</v>
      </c>
      <c r="M1002" s="12" t="str">
        <f t="shared" ca="1" si="3"/>
        <v>501432 PAPA FRANCISCO I4 Secundaria</v>
      </c>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4"/>
    </row>
    <row r="1003" spans="1:36" ht="12.5" x14ac:dyDescent="0.25">
      <c r="A1003" s="9">
        <v>22</v>
      </c>
      <c r="B1003" s="10" t="s">
        <v>89</v>
      </c>
      <c r="C1003" s="10" t="s">
        <v>41</v>
      </c>
      <c r="D1003" s="10" t="s">
        <v>43</v>
      </c>
      <c r="E1003" s="11" t="str">
        <f ca="1">IFERROR(__xludf.DUMMYFUNCTION("FILTER(Colegios!$B$2:$B2419,Colegios!$A$2:$A2419=L1003)"),"501432 PAPA FRANCISCO I")</f>
        <v>501432 PAPA FRANCISCO I</v>
      </c>
      <c r="F1003" s="11" t="s">
        <v>17</v>
      </c>
      <c r="G1003" s="10" t="s">
        <v>18</v>
      </c>
      <c r="H1003" s="11" t="s">
        <v>25</v>
      </c>
      <c r="I1003" s="11" t="s">
        <v>20</v>
      </c>
      <c r="J1003" s="12" t="str">
        <f ca="1">IFERROR(__xludf.DUMMYFUNCTION("FILTER('CLASFICACIÓN'!$F$3:$F2419,'CLASFICACIÓN'!$G$3:$G2419=M1003)"),"SOLO 2024")</f>
        <v>SOLO 2024</v>
      </c>
      <c r="K1003" s="12" t="s">
        <v>2011</v>
      </c>
      <c r="L1003" s="11" t="s">
        <v>90</v>
      </c>
      <c r="M1003" s="12" t="str">
        <f t="shared" ca="1" si="3"/>
        <v>501432 PAPA FRANCISCO I4 Secundaria</v>
      </c>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4"/>
    </row>
    <row r="1004" spans="1:36" ht="12.5" x14ac:dyDescent="0.25">
      <c r="A1004" s="9">
        <v>23</v>
      </c>
      <c r="B1004" s="10" t="s">
        <v>89</v>
      </c>
      <c r="C1004" s="10" t="s">
        <v>41</v>
      </c>
      <c r="D1004" s="10" t="s">
        <v>43</v>
      </c>
      <c r="E1004" s="11" t="str">
        <f ca="1">IFERROR(__xludf.DUMMYFUNCTION("FILTER(Colegios!$B$2:$B2419,Colegios!$A$2:$A2419=L1004)"),"501432 PAPA FRANCISCO I")</f>
        <v>501432 PAPA FRANCISCO I</v>
      </c>
      <c r="F1004" s="11" t="s">
        <v>17</v>
      </c>
      <c r="G1004" s="10" t="s">
        <v>18</v>
      </c>
      <c r="H1004" s="11" t="s">
        <v>23</v>
      </c>
      <c r="I1004" s="11" t="s">
        <v>20</v>
      </c>
      <c r="J1004" s="12" t="str">
        <f ca="1">IFERROR(__xludf.DUMMYFUNCTION("FILTER('CLASFICACIÓN'!$F$3:$F2419,'CLASFICACIÓN'!$G$3:$G2419=M1004)"),"SOLO 2024")</f>
        <v>SOLO 2024</v>
      </c>
      <c r="K1004" s="12" t="s">
        <v>2011</v>
      </c>
      <c r="L1004" s="11" t="s">
        <v>90</v>
      </c>
      <c r="M1004" s="12" t="str">
        <f t="shared" ca="1" si="3"/>
        <v>501432 PAPA FRANCISCO I4 Secundaria</v>
      </c>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4"/>
    </row>
    <row r="1005" spans="1:36" ht="12.5" x14ac:dyDescent="0.25">
      <c r="A1005" s="9">
        <v>24</v>
      </c>
      <c r="B1005" s="10" t="s">
        <v>89</v>
      </c>
      <c r="C1005" s="10" t="s">
        <v>41</v>
      </c>
      <c r="D1005" s="10" t="s">
        <v>43</v>
      </c>
      <c r="E1005" s="11" t="str">
        <f ca="1">IFERROR(__xludf.DUMMYFUNCTION("FILTER(Colegios!$B$2:$B2419,Colegios!$A$2:$A2419=L1005)"),"501432 PAPA FRANCISCO I")</f>
        <v>501432 PAPA FRANCISCO I</v>
      </c>
      <c r="F1005" s="11" t="s">
        <v>17</v>
      </c>
      <c r="G1005" s="10" t="s">
        <v>24</v>
      </c>
      <c r="H1005" s="11" t="s">
        <v>25</v>
      </c>
      <c r="I1005" s="11" t="s">
        <v>20</v>
      </c>
      <c r="J1005" s="12" t="str">
        <f ca="1">IFERROR(__xludf.DUMMYFUNCTION("FILTER('CLASFICACIÓN'!$F$3:$F2419,'CLASFICACIÓN'!$G$3:$G2419=M1005)"),"SOLO 2024")</f>
        <v>SOLO 2024</v>
      </c>
      <c r="K1005" s="12" t="s">
        <v>2011</v>
      </c>
      <c r="L1005" s="11" t="s">
        <v>90</v>
      </c>
      <c r="M1005" s="12" t="str">
        <f t="shared" ca="1" si="3"/>
        <v>501432 PAPA FRANCISCO I4 Secundaria</v>
      </c>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4"/>
    </row>
    <row r="1006" spans="1:36" ht="12.5" x14ac:dyDescent="0.25">
      <c r="A1006" s="9">
        <v>25</v>
      </c>
      <c r="B1006" s="10" t="s">
        <v>89</v>
      </c>
      <c r="C1006" s="10" t="s">
        <v>41</v>
      </c>
      <c r="D1006" s="10" t="s">
        <v>43</v>
      </c>
      <c r="E1006" s="11" t="str">
        <f ca="1">IFERROR(__xludf.DUMMYFUNCTION("FILTER(Colegios!$B$2:$B2419,Colegios!$A$2:$A2419=L1006)"),"501432 PAPA FRANCISCO I")</f>
        <v>501432 PAPA FRANCISCO I</v>
      </c>
      <c r="F1006" s="11" t="s">
        <v>17</v>
      </c>
      <c r="G1006" s="10" t="s">
        <v>24</v>
      </c>
      <c r="H1006" s="11" t="s">
        <v>23</v>
      </c>
      <c r="I1006" s="11" t="s">
        <v>20</v>
      </c>
      <c r="J1006" s="12" t="str">
        <f ca="1">IFERROR(__xludf.DUMMYFUNCTION("FILTER('CLASFICACIÓN'!$F$3:$F2419,'CLASFICACIÓN'!$G$3:$G2419=M1006)"),"SOLO 2024")</f>
        <v>SOLO 2024</v>
      </c>
      <c r="K1006" s="12" t="s">
        <v>2011</v>
      </c>
      <c r="L1006" s="11" t="s">
        <v>90</v>
      </c>
      <c r="M1006" s="12" t="str">
        <f t="shared" ca="1" si="3"/>
        <v>501432 PAPA FRANCISCO I4 Secundaria</v>
      </c>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4"/>
    </row>
    <row r="1007" spans="1:36" ht="12.5" x14ac:dyDescent="0.25">
      <c r="A1007" s="9">
        <v>26</v>
      </c>
      <c r="B1007" s="10" t="s">
        <v>89</v>
      </c>
      <c r="C1007" s="10" t="s">
        <v>41</v>
      </c>
      <c r="D1007" s="10" t="s">
        <v>43</v>
      </c>
      <c r="E1007" s="11" t="str">
        <f ca="1">IFERROR(__xludf.DUMMYFUNCTION("FILTER(Colegios!$B$2:$B2419,Colegios!$A$2:$A2419=L1007)"),"501432 PAPA FRANCISCO I")</f>
        <v>501432 PAPA FRANCISCO I</v>
      </c>
      <c r="F1007" s="11" t="s">
        <v>17</v>
      </c>
      <c r="G1007" s="10" t="s">
        <v>24</v>
      </c>
      <c r="H1007" s="11" t="s">
        <v>19</v>
      </c>
      <c r="I1007" s="11" t="s">
        <v>20</v>
      </c>
      <c r="J1007" s="12" t="str">
        <f ca="1">IFERROR(__xludf.DUMMYFUNCTION("FILTER('CLASFICACIÓN'!$F$3:$F2419,'CLASFICACIÓN'!$G$3:$G2419=M1007)"),"SOLO 2024")</f>
        <v>SOLO 2024</v>
      </c>
      <c r="K1007" s="12" t="s">
        <v>2011</v>
      </c>
      <c r="L1007" s="11" t="s">
        <v>90</v>
      </c>
      <c r="M1007" s="12" t="str">
        <f t="shared" ca="1" si="3"/>
        <v>501432 PAPA FRANCISCO I4 Secundaria</v>
      </c>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4"/>
    </row>
    <row r="1008" spans="1:36" ht="12.5" x14ac:dyDescent="0.25">
      <c r="A1008" s="9">
        <v>27</v>
      </c>
      <c r="B1008" s="10" t="s">
        <v>89</v>
      </c>
      <c r="C1008" s="10" t="s">
        <v>41</v>
      </c>
      <c r="D1008" s="10" t="s">
        <v>43</v>
      </c>
      <c r="E1008" s="11" t="str">
        <f ca="1">IFERROR(__xludf.DUMMYFUNCTION("FILTER(Colegios!$B$2:$B2419,Colegios!$A$2:$A2419=L1008)"),"501432 PAPA FRANCISCO I")</f>
        <v>501432 PAPA FRANCISCO I</v>
      </c>
      <c r="F1008" s="11" t="s">
        <v>17</v>
      </c>
      <c r="G1008" s="10" t="s">
        <v>18</v>
      </c>
      <c r="H1008" s="11" t="s">
        <v>25</v>
      </c>
      <c r="I1008" s="11" t="s">
        <v>20</v>
      </c>
      <c r="J1008" s="12" t="str">
        <f ca="1">IFERROR(__xludf.DUMMYFUNCTION("FILTER('CLASFICACIÓN'!$F$3:$F2419,'CLASFICACIÓN'!$G$3:$G2419=M1008)"),"SOLO 2024")</f>
        <v>SOLO 2024</v>
      </c>
      <c r="K1008" s="12" t="s">
        <v>2011</v>
      </c>
      <c r="L1008" s="11" t="s">
        <v>90</v>
      </c>
      <c r="M1008" s="12" t="str">
        <f t="shared" ca="1" si="3"/>
        <v>501432 PAPA FRANCISCO I4 Secundaria</v>
      </c>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4"/>
    </row>
    <row r="1009" spans="1:36" ht="12.5" x14ac:dyDescent="0.25">
      <c r="A1009" s="9">
        <v>1</v>
      </c>
      <c r="B1009" s="10" t="s">
        <v>89</v>
      </c>
      <c r="C1009" s="10" t="s">
        <v>41</v>
      </c>
      <c r="D1009" s="10" t="s">
        <v>42</v>
      </c>
      <c r="E1009" s="11" t="str">
        <f ca="1">IFERROR(__xludf.DUMMYFUNCTION("FILTER(Colegios!$B$2:$B2419,Colegios!$A$2:$A2419=L1009)"),"501432 PAPA FRANCISCO I")</f>
        <v>501432 PAPA FRANCISCO I</v>
      </c>
      <c r="F1009" s="11" t="s">
        <v>17</v>
      </c>
      <c r="G1009" s="10" t="s">
        <v>24</v>
      </c>
      <c r="H1009" s="11" t="s">
        <v>23</v>
      </c>
      <c r="I1009" s="11" t="s">
        <v>20</v>
      </c>
      <c r="J1009" s="12" t="str">
        <f ca="1">IFERROR(__xludf.DUMMYFUNCTION("FILTER('CLASFICACIÓN'!$F$3:$F2419,'CLASFICACIÓN'!$G$3:$G2419=M1009)"),"SOLO 2024")</f>
        <v>SOLO 2024</v>
      </c>
      <c r="K1009" s="12" t="s">
        <v>2011</v>
      </c>
      <c r="L1009" s="11" t="s">
        <v>90</v>
      </c>
      <c r="M1009" s="12" t="str">
        <f t="shared" ca="1" si="3"/>
        <v>501432 PAPA FRANCISCO I2 Secundaria</v>
      </c>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4"/>
    </row>
    <row r="1010" spans="1:36" ht="12.5" x14ac:dyDescent="0.25">
      <c r="A1010" s="9">
        <v>2</v>
      </c>
      <c r="B1010" s="10" t="s">
        <v>89</v>
      </c>
      <c r="C1010" s="10" t="s">
        <v>41</v>
      </c>
      <c r="D1010" s="10" t="s">
        <v>42</v>
      </c>
      <c r="E1010" s="11" t="str">
        <f ca="1">IFERROR(__xludf.DUMMYFUNCTION("FILTER(Colegios!$B$2:$B2419,Colegios!$A$2:$A2419=L1010)"),"501432 PAPA FRANCISCO I")</f>
        <v>501432 PAPA FRANCISCO I</v>
      </c>
      <c r="F1010" s="11" t="s">
        <v>17</v>
      </c>
      <c r="G1010" s="10" t="s">
        <v>18</v>
      </c>
      <c r="H1010" s="11" t="s">
        <v>23</v>
      </c>
      <c r="I1010" s="11" t="s">
        <v>20</v>
      </c>
      <c r="J1010" s="12" t="str">
        <f ca="1">IFERROR(__xludf.DUMMYFUNCTION("FILTER('CLASFICACIÓN'!$F$3:$F2419,'CLASFICACIÓN'!$G$3:$G2419=M1010)"),"SOLO 2024")</f>
        <v>SOLO 2024</v>
      </c>
      <c r="K1010" s="12" t="s">
        <v>2011</v>
      </c>
      <c r="L1010" s="11" t="s">
        <v>90</v>
      </c>
      <c r="M1010" s="12" t="str">
        <f t="shared" ca="1" si="3"/>
        <v>501432 PAPA FRANCISCO I2 Secundaria</v>
      </c>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4"/>
    </row>
    <row r="1011" spans="1:36" ht="12.5" x14ac:dyDescent="0.25">
      <c r="A1011" s="9">
        <v>3</v>
      </c>
      <c r="B1011" s="10" t="s">
        <v>89</v>
      </c>
      <c r="C1011" s="10" t="s">
        <v>41</v>
      </c>
      <c r="D1011" s="10" t="s">
        <v>42</v>
      </c>
      <c r="E1011" s="11" t="str">
        <f ca="1">IFERROR(__xludf.DUMMYFUNCTION("FILTER(Colegios!$B$2:$B2419,Colegios!$A$2:$A2419=L1011)"),"501432 PAPA FRANCISCO I")</f>
        <v>501432 PAPA FRANCISCO I</v>
      </c>
      <c r="F1011" s="11" t="s">
        <v>17</v>
      </c>
      <c r="G1011" s="10" t="s">
        <v>24</v>
      </c>
      <c r="H1011" s="11" t="s">
        <v>19</v>
      </c>
      <c r="I1011" s="11" t="s">
        <v>20</v>
      </c>
      <c r="J1011" s="12" t="str">
        <f ca="1">IFERROR(__xludf.DUMMYFUNCTION("FILTER('CLASFICACIÓN'!$F$3:$F2419,'CLASFICACIÓN'!$G$3:$G2419=M1011)"),"SOLO 2024")</f>
        <v>SOLO 2024</v>
      </c>
      <c r="K1011" s="12" t="s">
        <v>2011</v>
      </c>
      <c r="L1011" s="11" t="s">
        <v>90</v>
      </c>
      <c r="M1011" s="12" t="str">
        <f t="shared" ca="1" si="3"/>
        <v>501432 PAPA FRANCISCO I2 Secundaria</v>
      </c>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4"/>
    </row>
    <row r="1012" spans="1:36" ht="12.5" x14ac:dyDescent="0.25">
      <c r="A1012" s="9">
        <v>4</v>
      </c>
      <c r="B1012" s="10" t="s">
        <v>89</v>
      </c>
      <c r="C1012" s="10" t="s">
        <v>41</v>
      </c>
      <c r="D1012" s="10" t="s">
        <v>42</v>
      </c>
      <c r="E1012" s="11" t="str">
        <f ca="1">IFERROR(__xludf.DUMMYFUNCTION("FILTER(Colegios!$B$2:$B2419,Colegios!$A$2:$A2419=L1012)"),"501432 PAPA FRANCISCO I")</f>
        <v>501432 PAPA FRANCISCO I</v>
      </c>
      <c r="F1012" s="11" t="s">
        <v>17</v>
      </c>
      <c r="G1012" s="10" t="s">
        <v>18</v>
      </c>
      <c r="H1012" s="11" t="s">
        <v>23</v>
      </c>
      <c r="I1012" s="11" t="s">
        <v>20</v>
      </c>
      <c r="J1012" s="12" t="str">
        <f ca="1">IFERROR(__xludf.DUMMYFUNCTION("FILTER('CLASFICACIÓN'!$F$3:$F2419,'CLASFICACIÓN'!$G$3:$G2419=M1012)"),"SOLO 2024")</f>
        <v>SOLO 2024</v>
      </c>
      <c r="K1012" s="12" t="s">
        <v>2011</v>
      </c>
      <c r="L1012" s="11" t="s">
        <v>90</v>
      </c>
      <c r="M1012" s="12" t="str">
        <f t="shared" ca="1" si="3"/>
        <v>501432 PAPA FRANCISCO I2 Secundaria</v>
      </c>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4"/>
    </row>
    <row r="1013" spans="1:36" ht="12.5" x14ac:dyDescent="0.25">
      <c r="A1013" s="9">
        <v>5</v>
      </c>
      <c r="B1013" s="10" t="s">
        <v>89</v>
      </c>
      <c r="C1013" s="10" t="s">
        <v>41</v>
      </c>
      <c r="D1013" s="10" t="s">
        <v>42</v>
      </c>
      <c r="E1013" s="11" t="str">
        <f ca="1">IFERROR(__xludf.DUMMYFUNCTION("FILTER(Colegios!$B$2:$B2419,Colegios!$A$2:$A2419=L1013)"),"501432 PAPA FRANCISCO I")</f>
        <v>501432 PAPA FRANCISCO I</v>
      </c>
      <c r="F1013" s="11" t="s">
        <v>17</v>
      </c>
      <c r="G1013" s="10" t="s">
        <v>24</v>
      </c>
      <c r="H1013" s="11" t="s">
        <v>19</v>
      </c>
      <c r="I1013" s="11" t="s">
        <v>20</v>
      </c>
      <c r="J1013" s="12" t="str">
        <f ca="1">IFERROR(__xludf.DUMMYFUNCTION("FILTER('CLASFICACIÓN'!$F$3:$F2419,'CLASFICACIÓN'!$G$3:$G2419=M1013)"),"SOLO 2024")</f>
        <v>SOLO 2024</v>
      </c>
      <c r="K1013" s="12" t="s">
        <v>2011</v>
      </c>
      <c r="L1013" s="11" t="s">
        <v>90</v>
      </c>
      <c r="M1013" s="12" t="str">
        <f t="shared" ca="1" si="3"/>
        <v>501432 PAPA FRANCISCO I2 Secundaria</v>
      </c>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4"/>
    </row>
    <row r="1014" spans="1:36" ht="12.5" x14ac:dyDescent="0.25">
      <c r="A1014" s="9">
        <v>6</v>
      </c>
      <c r="B1014" s="10" t="s">
        <v>89</v>
      </c>
      <c r="C1014" s="10" t="s">
        <v>41</v>
      </c>
      <c r="D1014" s="10" t="s">
        <v>42</v>
      </c>
      <c r="E1014" s="11" t="str">
        <f ca="1">IFERROR(__xludf.DUMMYFUNCTION("FILTER(Colegios!$B$2:$B2419,Colegios!$A$2:$A2419=L1014)"),"501432 PAPA FRANCISCO I")</f>
        <v>501432 PAPA FRANCISCO I</v>
      </c>
      <c r="F1014" s="11" t="s">
        <v>17</v>
      </c>
      <c r="G1014" s="10" t="s">
        <v>24</v>
      </c>
      <c r="H1014" s="11" t="s">
        <v>23</v>
      </c>
      <c r="I1014" s="11" t="s">
        <v>20</v>
      </c>
      <c r="J1014" s="12" t="str">
        <f ca="1">IFERROR(__xludf.DUMMYFUNCTION("FILTER('CLASFICACIÓN'!$F$3:$F2419,'CLASFICACIÓN'!$G$3:$G2419=M1014)"),"SOLO 2024")</f>
        <v>SOLO 2024</v>
      </c>
      <c r="K1014" s="12" t="s">
        <v>2011</v>
      </c>
      <c r="L1014" s="11" t="s">
        <v>90</v>
      </c>
      <c r="M1014" s="12" t="str">
        <f t="shared" ca="1" si="3"/>
        <v>501432 PAPA FRANCISCO I2 Secundaria</v>
      </c>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4"/>
    </row>
    <row r="1015" spans="1:36" ht="12.5" x14ac:dyDescent="0.25">
      <c r="A1015" s="9">
        <v>7</v>
      </c>
      <c r="B1015" s="10" t="s">
        <v>89</v>
      </c>
      <c r="C1015" s="10" t="s">
        <v>41</v>
      </c>
      <c r="D1015" s="10" t="s">
        <v>43</v>
      </c>
      <c r="E1015" s="11" t="str">
        <f ca="1">IFERROR(__xludf.DUMMYFUNCTION("FILTER(Colegios!$B$2:$B2419,Colegios!$A$2:$A2419=L1015)"),"501432 PAPA FRANCISCO I")</f>
        <v>501432 PAPA FRANCISCO I</v>
      </c>
      <c r="F1015" s="11" t="s">
        <v>17</v>
      </c>
      <c r="G1015" s="10" t="s">
        <v>24</v>
      </c>
      <c r="H1015" s="11" t="s">
        <v>25</v>
      </c>
      <c r="I1015" s="11" t="s">
        <v>20</v>
      </c>
      <c r="J1015" s="12" t="str">
        <f ca="1">IFERROR(__xludf.DUMMYFUNCTION("FILTER('CLASFICACIÓN'!$F$3:$F2419,'CLASFICACIÓN'!$G$3:$G2419=M1015)"),"SOLO 2024")</f>
        <v>SOLO 2024</v>
      </c>
      <c r="K1015" s="12" t="s">
        <v>2011</v>
      </c>
      <c r="L1015" s="11" t="s">
        <v>90</v>
      </c>
      <c r="M1015" s="12" t="str">
        <f t="shared" ca="1" si="3"/>
        <v>501432 PAPA FRANCISCO I4 Secundaria</v>
      </c>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4"/>
    </row>
    <row r="1016" spans="1:36" ht="12.5" x14ac:dyDescent="0.25">
      <c r="A1016" s="9">
        <v>8</v>
      </c>
      <c r="B1016" s="10" t="s">
        <v>89</v>
      </c>
      <c r="C1016" s="10" t="s">
        <v>41</v>
      </c>
      <c r="D1016" s="10" t="s">
        <v>43</v>
      </c>
      <c r="E1016" s="11" t="str">
        <f ca="1">IFERROR(__xludf.DUMMYFUNCTION("FILTER(Colegios!$B$2:$B2419,Colegios!$A$2:$A2419=L1016)"),"501432 PAPA FRANCISCO I")</f>
        <v>501432 PAPA FRANCISCO I</v>
      </c>
      <c r="F1016" s="11" t="s">
        <v>17</v>
      </c>
      <c r="G1016" s="10" t="s">
        <v>24</v>
      </c>
      <c r="H1016" s="11" t="s">
        <v>25</v>
      </c>
      <c r="I1016" s="11" t="s">
        <v>20</v>
      </c>
      <c r="J1016" s="12" t="str">
        <f ca="1">IFERROR(__xludf.DUMMYFUNCTION("FILTER('CLASFICACIÓN'!$F$3:$F2419,'CLASFICACIÓN'!$G$3:$G2419=M1016)"),"SOLO 2024")</f>
        <v>SOLO 2024</v>
      </c>
      <c r="K1016" s="12" t="s">
        <v>2011</v>
      </c>
      <c r="L1016" s="11" t="s">
        <v>90</v>
      </c>
      <c r="M1016" s="12" t="str">
        <f t="shared" ca="1" si="3"/>
        <v>501432 PAPA FRANCISCO I4 Secundaria</v>
      </c>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4"/>
    </row>
    <row r="1017" spans="1:36" ht="12.5" x14ac:dyDescent="0.25">
      <c r="A1017" s="9">
        <v>9</v>
      </c>
      <c r="B1017" s="10" t="s">
        <v>89</v>
      </c>
      <c r="C1017" s="10" t="s">
        <v>41</v>
      </c>
      <c r="D1017" s="10" t="s">
        <v>43</v>
      </c>
      <c r="E1017" s="11" t="str">
        <f ca="1">IFERROR(__xludf.DUMMYFUNCTION("FILTER(Colegios!$B$2:$B2419,Colegios!$A$2:$A2419=L1017)"),"501432 PAPA FRANCISCO I")</f>
        <v>501432 PAPA FRANCISCO I</v>
      </c>
      <c r="F1017" s="11" t="s">
        <v>17</v>
      </c>
      <c r="G1017" s="10" t="s">
        <v>24</v>
      </c>
      <c r="H1017" s="11" t="s">
        <v>25</v>
      </c>
      <c r="I1017" s="11" t="s">
        <v>20</v>
      </c>
      <c r="J1017" s="12" t="str">
        <f ca="1">IFERROR(__xludf.DUMMYFUNCTION("FILTER('CLASFICACIÓN'!$F$3:$F2419,'CLASFICACIÓN'!$G$3:$G2419=M1017)"),"SOLO 2024")</f>
        <v>SOLO 2024</v>
      </c>
      <c r="K1017" s="12" t="s">
        <v>2011</v>
      </c>
      <c r="L1017" s="11" t="s">
        <v>90</v>
      </c>
      <c r="M1017" s="12" t="str">
        <f t="shared" ca="1" si="3"/>
        <v>501432 PAPA FRANCISCO I4 Secundaria</v>
      </c>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4"/>
    </row>
    <row r="1018" spans="1:36" ht="12.5" x14ac:dyDescent="0.25">
      <c r="A1018" s="9">
        <v>10</v>
      </c>
      <c r="B1018" s="10" t="s">
        <v>89</v>
      </c>
      <c r="C1018" s="10" t="s">
        <v>41</v>
      </c>
      <c r="D1018" s="10" t="s">
        <v>43</v>
      </c>
      <c r="E1018" s="11" t="str">
        <f ca="1">IFERROR(__xludf.DUMMYFUNCTION("FILTER(Colegios!$B$2:$B2419,Colegios!$A$2:$A2419=L1018)"),"501432 PAPA FRANCISCO I")</f>
        <v>501432 PAPA FRANCISCO I</v>
      </c>
      <c r="F1018" s="11" t="s">
        <v>17</v>
      </c>
      <c r="G1018" s="10" t="s">
        <v>24</v>
      </c>
      <c r="H1018" s="11" t="s">
        <v>25</v>
      </c>
      <c r="I1018" s="11" t="s">
        <v>20</v>
      </c>
      <c r="J1018" s="12" t="str">
        <f ca="1">IFERROR(__xludf.DUMMYFUNCTION("FILTER('CLASFICACIÓN'!$F$3:$F2419,'CLASFICACIÓN'!$G$3:$G2419=M1018)"),"SOLO 2024")</f>
        <v>SOLO 2024</v>
      </c>
      <c r="K1018" s="12" t="s">
        <v>2011</v>
      </c>
      <c r="L1018" s="11" t="s">
        <v>90</v>
      </c>
      <c r="M1018" s="12" t="str">
        <f t="shared" ca="1" si="3"/>
        <v>501432 PAPA FRANCISCO I4 Secundaria</v>
      </c>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4"/>
    </row>
    <row r="1019" spans="1:36" ht="12.5" x14ac:dyDescent="0.25">
      <c r="A1019" s="9">
        <v>11</v>
      </c>
      <c r="B1019" s="10" t="s">
        <v>89</v>
      </c>
      <c r="C1019" s="10" t="s">
        <v>41</v>
      </c>
      <c r="D1019" s="10" t="s">
        <v>43</v>
      </c>
      <c r="E1019" s="11" t="str">
        <f ca="1">IFERROR(__xludf.DUMMYFUNCTION("FILTER(Colegios!$B$2:$B2419,Colegios!$A$2:$A2419=L1019)"),"501432 PAPA FRANCISCO I")</f>
        <v>501432 PAPA FRANCISCO I</v>
      </c>
      <c r="F1019" s="11" t="s">
        <v>17</v>
      </c>
      <c r="G1019" s="10" t="s">
        <v>18</v>
      </c>
      <c r="H1019" s="11" t="s">
        <v>23</v>
      </c>
      <c r="I1019" s="11" t="s">
        <v>20</v>
      </c>
      <c r="J1019" s="12" t="str">
        <f ca="1">IFERROR(__xludf.DUMMYFUNCTION("FILTER('CLASFICACIÓN'!$F$3:$F2419,'CLASFICACIÓN'!$G$3:$G2419=M1019)"),"SOLO 2024")</f>
        <v>SOLO 2024</v>
      </c>
      <c r="K1019" s="12" t="s">
        <v>2011</v>
      </c>
      <c r="L1019" s="11" t="s">
        <v>90</v>
      </c>
      <c r="M1019" s="12" t="str">
        <f t="shared" ca="1" si="3"/>
        <v>501432 PAPA FRANCISCO I4 Secundaria</v>
      </c>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4"/>
    </row>
    <row r="1020" spans="1:36" ht="12.5" x14ac:dyDescent="0.25">
      <c r="A1020" s="9">
        <v>12</v>
      </c>
      <c r="B1020" s="10" t="s">
        <v>89</v>
      </c>
      <c r="C1020" s="10" t="s">
        <v>41</v>
      </c>
      <c r="D1020" s="10" t="s">
        <v>43</v>
      </c>
      <c r="E1020" s="11" t="str">
        <f ca="1">IFERROR(__xludf.DUMMYFUNCTION("FILTER(Colegios!$B$2:$B2419,Colegios!$A$2:$A2419=L1020)"),"501432 PAPA FRANCISCO I")</f>
        <v>501432 PAPA FRANCISCO I</v>
      </c>
      <c r="F1020" s="11" t="s">
        <v>17</v>
      </c>
      <c r="G1020" s="10" t="s">
        <v>18</v>
      </c>
      <c r="H1020" s="11" t="s">
        <v>23</v>
      </c>
      <c r="I1020" s="11" t="s">
        <v>20</v>
      </c>
      <c r="J1020" s="12" t="str">
        <f ca="1">IFERROR(__xludf.DUMMYFUNCTION("FILTER('CLASFICACIÓN'!$F$3:$F2419,'CLASFICACIÓN'!$G$3:$G2419=M1020)"),"SOLO 2024")</f>
        <v>SOLO 2024</v>
      </c>
      <c r="K1020" s="12" t="s">
        <v>2011</v>
      </c>
      <c r="L1020" s="11" t="s">
        <v>90</v>
      </c>
      <c r="M1020" s="12" t="str">
        <f t="shared" ca="1" si="3"/>
        <v>501432 PAPA FRANCISCO I4 Secundaria</v>
      </c>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4"/>
    </row>
    <row r="1021" spans="1:36" ht="12.5" x14ac:dyDescent="0.25">
      <c r="A1021" s="9">
        <v>13</v>
      </c>
      <c r="B1021" s="10" t="s">
        <v>89</v>
      </c>
      <c r="C1021" s="10" t="s">
        <v>41</v>
      </c>
      <c r="D1021" s="10" t="s">
        <v>43</v>
      </c>
      <c r="E1021" s="11" t="str">
        <f ca="1">IFERROR(__xludf.DUMMYFUNCTION("FILTER(Colegios!$B$2:$B2419,Colegios!$A$2:$A2419=L1021)"),"501432 PAPA FRANCISCO I")</f>
        <v>501432 PAPA FRANCISCO I</v>
      </c>
      <c r="F1021" s="11" t="s">
        <v>17</v>
      </c>
      <c r="G1021" s="10" t="s">
        <v>18</v>
      </c>
      <c r="H1021" s="11" t="s">
        <v>19</v>
      </c>
      <c r="I1021" s="11" t="s">
        <v>20</v>
      </c>
      <c r="J1021" s="12" t="str">
        <f ca="1">IFERROR(__xludf.DUMMYFUNCTION("FILTER('CLASFICACIÓN'!$F$3:$F2419,'CLASFICACIÓN'!$G$3:$G2419=M1021)"),"SOLO 2024")</f>
        <v>SOLO 2024</v>
      </c>
      <c r="K1021" s="12" t="s">
        <v>2011</v>
      </c>
      <c r="L1021" s="11" t="s">
        <v>90</v>
      </c>
      <c r="M1021" s="12" t="str">
        <f t="shared" ca="1" si="3"/>
        <v>501432 PAPA FRANCISCO I4 Secundaria</v>
      </c>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4"/>
    </row>
    <row r="1022" spans="1:36" ht="12.5" x14ac:dyDescent="0.25">
      <c r="A1022" s="9">
        <v>14</v>
      </c>
      <c r="B1022" s="10" t="s">
        <v>89</v>
      </c>
      <c r="C1022" s="10" t="s">
        <v>41</v>
      </c>
      <c r="D1022" s="10" t="s">
        <v>43</v>
      </c>
      <c r="E1022" s="11" t="str">
        <f ca="1">IFERROR(__xludf.DUMMYFUNCTION("FILTER(Colegios!$B$2:$B2419,Colegios!$A$2:$A2419=L1022)"),"501432 PAPA FRANCISCO I")</f>
        <v>501432 PAPA FRANCISCO I</v>
      </c>
      <c r="F1022" s="11" t="s">
        <v>17</v>
      </c>
      <c r="G1022" s="10" t="s">
        <v>18</v>
      </c>
      <c r="H1022" s="11" t="s">
        <v>25</v>
      </c>
      <c r="I1022" s="11" t="s">
        <v>20</v>
      </c>
      <c r="J1022" s="12" t="str">
        <f ca="1">IFERROR(__xludf.DUMMYFUNCTION("FILTER('CLASFICACIÓN'!$F$3:$F2419,'CLASFICACIÓN'!$G$3:$G2419=M1022)"),"SOLO 2024")</f>
        <v>SOLO 2024</v>
      </c>
      <c r="K1022" s="12" t="s">
        <v>2011</v>
      </c>
      <c r="L1022" s="11" t="s">
        <v>90</v>
      </c>
      <c r="M1022" s="12" t="str">
        <f t="shared" ref="M1022:M1276" ca="1" si="4">E1022&amp;D1022</f>
        <v>501432 PAPA FRANCISCO I4 Secundaria</v>
      </c>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4"/>
    </row>
    <row r="1023" spans="1:36" ht="12.5" x14ac:dyDescent="0.25">
      <c r="A1023" s="9">
        <v>2008</v>
      </c>
      <c r="B1023" s="10" t="s">
        <v>60</v>
      </c>
      <c r="C1023" s="10" t="s">
        <v>15</v>
      </c>
      <c r="D1023" s="10" t="s">
        <v>45</v>
      </c>
      <c r="E1023" s="11" t="str">
        <f ca="1">IFERROR(__xludf.DUMMYFUNCTION("FILTER(Colegios!$B$2:$B2419,Colegios!$A$2:$A2419=L1023)"),"601331")</f>
        <v>601331</v>
      </c>
      <c r="F1023" s="11" t="s">
        <v>17</v>
      </c>
      <c r="G1023" s="10" t="s">
        <v>24</v>
      </c>
      <c r="H1023" s="11" t="s">
        <v>23</v>
      </c>
      <c r="I1023" s="11">
        <v>2022</v>
      </c>
      <c r="J1023" s="12" t="str">
        <f ca="1">IFERROR(__xludf.DUMMYFUNCTION("FILTER('CLASFICACIÓN'!$F$3:$F2419,'CLASFICACIÓN'!$G$3:$G2419=M1023)"),"LOS 3 AÑOS")</f>
        <v>LOS 3 AÑOS</v>
      </c>
      <c r="K1023" s="12" t="s">
        <v>2012</v>
      </c>
      <c r="L1023" s="11" t="s">
        <v>91</v>
      </c>
      <c r="M1023" s="12" t="str">
        <f t="shared" ca="1" si="4"/>
        <v>6013312 Primaria</v>
      </c>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4"/>
    </row>
    <row r="1024" spans="1:36" ht="12.5" x14ac:dyDescent="0.25">
      <c r="A1024" s="9">
        <v>2009</v>
      </c>
      <c r="B1024" s="10" t="s">
        <v>60</v>
      </c>
      <c r="C1024" s="10" t="s">
        <v>15</v>
      </c>
      <c r="D1024" s="10" t="s">
        <v>45</v>
      </c>
      <c r="E1024" s="11" t="str">
        <f ca="1">IFERROR(__xludf.DUMMYFUNCTION("FILTER(Colegios!$B$2:$B2419,Colegios!$A$2:$A2419=L1024)"),"60133")</f>
        <v>60133</v>
      </c>
      <c r="F1024" s="11" t="s">
        <v>17</v>
      </c>
      <c r="G1024" s="10" t="s">
        <v>24</v>
      </c>
      <c r="H1024" s="11" t="s">
        <v>19</v>
      </c>
      <c r="I1024" s="11">
        <v>2022</v>
      </c>
      <c r="J1024" s="12" t="str">
        <f ca="1">IFERROR(__xludf.DUMMYFUNCTION("FILTER('CLASFICACIÓN'!$F$3:$F2419,'CLASFICACIÓN'!$G$3:$G2419=M1024)"),"LOS 3 AÑOS")</f>
        <v>LOS 3 AÑOS</v>
      </c>
      <c r="K1024" s="12" t="s">
        <v>2011</v>
      </c>
      <c r="L1024" s="11" t="s">
        <v>92</v>
      </c>
      <c r="M1024" s="12" t="str">
        <f t="shared" ca="1" si="4"/>
        <v>601332 Primaria</v>
      </c>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4"/>
    </row>
    <row r="1025" spans="1:36" ht="12.5" x14ac:dyDescent="0.25">
      <c r="A1025" s="9">
        <v>2010</v>
      </c>
      <c r="B1025" s="10" t="s">
        <v>60</v>
      </c>
      <c r="C1025" s="10" t="s">
        <v>41</v>
      </c>
      <c r="D1025" s="10" t="s">
        <v>42</v>
      </c>
      <c r="E1025" s="11" t="str">
        <f ca="1">IFERROR(__xludf.DUMMYFUNCTION("FILTER(Colegios!$B$2:$B2419,Colegios!$A$2:$A2419=L1025)"),"EL MILAGRO")</f>
        <v>EL MILAGRO</v>
      </c>
      <c r="F1025" s="11" t="s">
        <v>17</v>
      </c>
      <c r="G1025" s="10" t="s">
        <v>18</v>
      </c>
      <c r="H1025" s="11" t="s">
        <v>19</v>
      </c>
      <c r="I1025" s="11">
        <v>2022</v>
      </c>
      <c r="J1025" s="12" t="str">
        <f ca="1">IFERROR(__xludf.DUMMYFUNCTION("FILTER('CLASFICACIÓN'!$F$3:$F2419,'CLASFICACIÓN'!$G$3:$G2419=M1025)"),"LOS 3 AÑOS")</f>
        <v>LOS 3 AÑOS</v>
      </c>
      <c r="K1025" s="12" t="s">
        <v>2013</v>
      </c>
      <c r="L1025" s="11" t="s">
        <v>65</v>
      </c>
      <c r="M1025" s="12" t="str">
        <f t="shared" ca="1" si="4"/>
        <v>EL MILAGRO2 Secundaria</v>
      </c>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4"/>
    </row>
    <row r="1026" spans="1:36" ht="12.5" x14ac:dyDescent="0.25">
      <c r="A1026" s="9">
        <v>2011</v>
      </c>
      <c r="B1026" s="10" t="s">
        <v>60</v>
      </c>
      <c r="C1026" s="10" t="s">
        <v>41</v>
      </c>
      <c r="D1026" s="10" t="s">
        <v>42</v>
      </c>
      <c r="E1026" s="11" t="str">
        <f ca="1">IFERROR(__xludf.DUMMYFUNCTION("FILTER(Colegios!$B$2:$B2419,Colegios!$A$2:$A2419=L1026)"),"EL MILAGRO")</f>
        <v>EL MILAGRO</v>
      </c>
      <c r="F1026" s="11" t="s">
        <v>17</v>
      </c>
      <c r="G1026" s="10" t="s">
        <v>18</v>
      </c>
      <c r="H1026" s="11" t="s">
        <v>19</v>
      </c>
      <c r="I1026" s="11">
        <v>2022</v>
      </c>
      <c r="J1026" s="12" t="str">
        <f ca="1">IFERROR(__xludf.DUMMYFUNCTION("FILTER('CLASFICACIÓN'!$F$3:$F2419,'CLASFICACIÓN'!$G$3:$G2419=M1026)"),"LOS 3 AÑOS")</f>
        <v>LOS 3 AÑOS</v>
      </c>
      <c r="K1026" s="12" t="s">
        <v>2013</v>
      </c>
      <c r="L1026" s="11" t="s">
        <v>65</v>
      </c>
      <c r="M1026" s="12" t="str">
        <f t="shared" ca="1" si="4"/>
        <v>EL MILAGRO2 Secundaria</v>
      </c>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4"/>
    </row>
    <row r="1027" spans="1:36" ht="12.5" x14ac:dyDescent="0.25">
      <c r="A1027" s="9">
        <v>2012</v>
      </c>
      <c r="B1027" s="10" t="s">
        <v>60</v>
      </c>
      <c r="C1027" s="10" t="s">
        <v>41</v>
      </c>
      <c r="D1027" s="10" t="s">
        <v>42</v>
      </c>
      <c r="E1027" s="11" t="str">
        <f ca="1">IFERROR(__xludf.DUMMYFUNCTION("FILTER(Colegios!$B$2:$B2419,Colegios!$A$2:$A2419=L1027)"),"EL MILAGRO")</f>
        <v>EL MILAGRO</v>
      </c>
      <c r="F1027" s="11" t="s">
        <v>17</v>
      </c>
      <c r="G1027" s="10" t="s">
        <v>18</v>
      </c>
      <c r="H1027" s="11" t="s">
        <v>19</v>
      </c>
      <c r="I1027" s="11">
        <v>2022</v>
      </c>
      <c r="J1027" s="12" t="str">
        <f ca="1">IFERROR(__xludf.DUMMYFUNCTION("FILTER('CLASFICACIÓN'!$F$3:$F2419,'CLASFICACIÓN'!$G$3:$G2419=M1027)"),"LOS 3 AÑOS")</f>
        <v>LOS 3 AÑOS</v>
      </c>
      <c r="K1027" s="12" t="s">
        <v>2013</v>
      </c>
      <c r="L1027" s="11" t="s">
        <v>65</v>
      </c>
      <c r="M1027" s="12" t="str">
        <f t="shared" ca="1" si="4"/>
        <v>EL MILAGRO2 Secundaria</v>
      </c>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4"/>
    </row>
    <row r="1028" spans="1:36" ht="12.5" x14ac:dyDescent="0.25">
      <c r="A1028" s="9">
        <v>2013</v>
      </c>
      <c r="B1028" s="10" t="s">
        <v>60</v>
      </c>
      <c r="C1028" s="10" t="s">
        <v>41</v>
      </c>
      <c r="D1028" s="10" t="s">
        <v>42</v>
      </c>
      <c r="E1028" s="11" t="str">
        <f ca="1">IFERROR(__xludf.DUMMYFUNCTION("FILTER(Colegios!$B$2:$B2419,Colegios!$A$2:$A2419=L1028)"),"EL MILAGRO")</f>
        <v>EL MILAGRO</v>
      </c>
      <c r="F1028" s="11" t="s">
        <v>17</v>
      </c>
      <c r="G1028" s="10" t="s">
        <v>18</v>
      </c>
      <c r="H1028" s="11" t="s">
        <v>19</v>
      </c>
      <c r="I1028" s="11">
        <v>2022</v>
      </c>
      <c r="J1028" s="12" t="str">
        <f ca="1">IFERROR(__xludf.DUMMYFUNCTION("FILTER('CLASFICACIÓN'!$F$3:$F2419,'CLASFICACIÓN'!$G$3:$G2419=M1028)"),"LOS 3 AÑOS")</f>
        <v>LOS 3 AÑOS</v>
      </c>
      <c r="K1028" s="12" t="s">
        <v>2013</v>
      </c>
      <c r="L1028" s="11" t="s">
        <v>65</v>
      </c>
      <c r="M1028" s="12" t="str">
        <f t="shared" ca="1" si="4"/>
        <v>EL MILAGRO2 Secundaria</v>
      </c>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4"/>
    </row>
    <row r="1029" spans="1:36" ht="12.5" x14ac:dyDescent="0.25">
      <c r="A1029" s="9">
        <v>2014</v>
      </c>
      <c r="B1029" s="10" t="s">
        <v>60</v>
      </c>
      <c r="C1029" s="10" t="s">
        <v>41</v>
      </c>
      <c r="D1029" s="10" t="s">
        <v>42</v>
      </c>
      <c r="E1029" s="11" t="str">
        <f ca="1">IFERROR(__xludf.DUMMYFUNCTION("FILTER(Colegios!$B$2:$B2419,Colegios!$A$2:$A2419=L1029)"),"EL MILAGRO")</f>
        <v>EL MILAGRO</v>
      </c>
      <c r="F1029" s="11" t="s">
        <v>17</v>
      </c>
      <c r="G1029" s="10" t="s">
        <v>18</v>
      </c>
      <c r="H1029" s="11" t="s">
        <v>19</v>
      </c>
      <c r="I1029" s="11">
        <v>2022</v>
      </c>
      <c r="J1029" s="12" t="str">
        <f ca="1">IFERROR(__xludf.DUMMYFUNCTION("FILTER('CLASFICACIÓN'!$F$3:$F2419,'CLASFICACIÓN'!$G$3:$G2419=M1029)"),"LOS 3 AÑOS")</f>
        <v>LOS 3 AÑOS</v>
      </c>
      <c r="K1029" s="12" t="s">
        <v>2013</v>
      </c>
      <c r="L1029" s="11" t="s">
        <v>65</v>
      </c>
      <c r="M1029" s="12" t="str">
        <f t="shared" ca="1" si="4"/>
        <v>EL MILAGRO2 Secundaria</v>
      </c>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4"/>
    </row>
    <row r="1030" spans="1:36" ht="12.5" x14ac:dyDescent="0.25">
      <c r="A1030" s="9">
        <v>2015</v>
      </c>
      <c r="B1030" s="10" t="s">
        <v>60</v>
      </c>
      <c r="C1030" s="10" t="s">
        <v>41</v>
      </c>
      <c r="D1030" s="10" t="s">
        <v>42</v>
      </c>
      <c r="E1030" s="11" t="str">
        <f ca="1">IFERROR(__xludf.DUMMYFUNCTION("FILTER(Colegios!$B$2:$B2419,Colegios!$A$2:$A2419=L1030)"),"EL MILAGRO")</f>
        <v>EL MILAGRO</v>
      </c>
      <c r="F1030" s="11" t="s">
        <v>17</v>
      </c>
      <c r="G1030" s="10" t="s">
        <v>18</v>
      </c>
      <c r="H1030" s="11" t="s">
        <v>19</v>
      </c>
      <c r="I1030" s="11">
        <v>2022</v>
      </c>
      <c r="J1030" s="12" t="str">
        <f ca="1">IFERROR(__xludf.DUMMYFUNCTION("FILTER('CLASFICACIÓN'!$F$3:$F2419,'CLASFICACIÓN'!$G$3:$G2419=M1030)"),"LOS 3 AÑOS")</f>
        <v>LOS 3 AÑOS</v>
      </c>
      <c r="K1030" s="12" t="s">
        <v>2013</v>
      </c>
      <c r="L1030" s="11" t="s">
        <v>65</v>
      </c>
      <c r="M1030" s="12" t="str">
        <f t="shared" ca="1" si="4"/>
        <v>EL MILAGRO2 Secundaria</v>
      </c>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4"/>
    </row>
    <row r="1031" spans="1:36" ht="12.5" x14ac:dyDescent="0.25">
      <c r="A1031" s="9">
        <v>2016</v>
      </c>
      <c r="B1031" s="10" t="s">
        <v>60</v>
      </c>
      <c r="C1031" s="10" t="s">
        <v>41</v>
      </c>
      <c r="D1031" s="10" t="s">
        <v>42</v>
      </c>
      <c r="E1031" s="11" t="str">
        <f ca="1">IFERROR(__xludf.DUMMYFUNCTION("FILTER(Colegios!$B$2:$B2419,Colegios!$A$2:$A2419=L1031)"),"EL MILAGRO")</f>
        <v>EL MILAGRO</v>
      </c>
      <c r="F1031" s="11" t="s">
        <v>17</v>
      </c>
      <c r="G1031" s="10" t="s">
        <v>24</v>
      </c>
      <c r="H1031" s="11" t="s">
        <v>19</v>
      </c>
      <c r="I1031" s="11">
        <v>2022</v>
      </c>
      <c r="J1031" s="12" t="str">
        <f ca="1">IFERROR(__xludf.DUMMYFUNCTION("FILTER('CLASFICACIÓN'!$F$3:$F2419,'CLASFICACIÓN'!$G$3:$G2419=M1031)"),"LOS 3 AÑOS")</f>
        <v>LOS 3 AÑOS</v>
      </c>
      <c r="K1031" s="12" t="s">
        <v>2013</v>
      </c>
      <c r="L1031" s="11" t="s">
        <v>65</v>
      </c>
      <c r="M1031" s="12" t="str">
        <f t="shared" ca="1" si="4"/>
        <v>EL MILAGRO2 Secundaria</v>
      </c>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4"/>
    </row>
    <row r="1032" spans="1:36" ht="12.5" x14ac:dyDescent="0.25">
      <c r="A1032" s="9">
        <v>2017</v>
      </c>
      <c r="B1032" s="10" t="s">
        <v>60</v>
      </c>
      <c r="C1032" s="10" t="s">
        <v>41</v>
      </c>
      <c r="D1032" s="10" t="s">
        <v>42</v>
      </c>
      <c r="E1032" s="11" t="str">
        <f ca="1">IFERROR(__xludf.DUMMYFUNCTION("FILTER(Colegios!$B$2:$B2419,Colegios!$A$2:$A2419=L1032)"),"EL MILAGRO")</f>
        <v>EL MILAGRO</v>
      </c>
      <c r="F1032" s="11" t="s">
        <v>17</v>
      </c>
      <c r="G1032" s="10" t="s">
        <v>18</v>
      </c>
      <c r="H1032" s="11" t="s">
        <v>19</v>
      </c>
      <c r="I1032" s="11">
        <v>2022</v>
      </c>
      <c r="J1032" s="12" t="str">
        <f ca="1">IFERROR(__xludf.DUMMYFUNCTION("FILTER('CLASFICACIÓN'!$F$3:$F2419,'CLASFICACIÓN'!$G$3:$G2419=M1032)"),"LOS 3 AÑOS")</f>
        <v>LOS 3 AÑOS</v>
      </c>
      <c r="K1032" s="12" t="s">
        <v>2013</v>
      </c>
      <c r="L1032" s="11" t="s">
        <v>65</v>
      </c>
      <c r="M1032" s="12" t="str">
        <f t="shared" ca="1" si="4"/>
        <v>EL MILAGRO2 Secundaria</v>
      </c>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4"/>
    </row>
    <row r="1033" spans="1:36" ht="12.5" x14ac:dyDescent="0.25">
      <c r="A1033" s="9">
        <v>2018</v>
      </c>
      <c r="B1033" s="10" t="s">
        <v>60</v>
      </c>
      <c r="C1033" s="10" t="s">
        <v>41</v>
      </c>
      <c r="D1033" s="10" t="s">
        <v>42</v>
      </c>
      <c r="E1033" s="11" t="str">
        <f ca="1">IFERROR(__xludf.DUMMYFUNCTION("FILTER(Colegios!$B$2:$B2419,Colegios!$A$2:$A2419=L1033)"),"EL MILAGRO")</f>
        <v>EL MILAGRO</v>
      </c>
      <c r="F1033" s="11" t="s">
        <v>17</v>
      </c>
      <c r="G1033" s="10" t="s">
        <v>18</v>
      </c>
      <c r="H1033" s="11" t="s">
        <v>19</v>
      </c>
      <c r="I1033" s="11">
        <v>2022</v>
      </c>
      <c r="J1033" s="12" t="str">
        <f ca="1">IFERROR(__xludf.DUMMYFUNCTION("FILTER('CLASFICACIÓN'!$F$3:$F2419,'CLASFICACIÓN'!$G$3:$G2419=M1033)"),"LOS 3 AÑOS")</f>
        <v>LOS 3 AÑOS</v>
      </c>
      <c r="K1033" s="12" t="s">
        <v>2013</v>
      </c>
      <c r="L1033" s="11" t="s">
        <v>65</v>
      </c>
      <c r="M1033" s="12" t="str">
        <f t="shared" ca="1" si="4"/>
        <v>EL MILAGRO2 Secundaria</v>
      </c>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4"/>
    </row>
    <row r="1034" spans="1:36" ht="12.5" x14ac:dyDescent="0.25">
      <c r="A1034" s="9">
        <v>2019</v>
      </c>
      <c r="B1034" s="10" t="s">
        <v>60</v>
      </c>
      <c r="C1034" s="10" t="s">
        <v>41</v>
      </c>
      <c r="D1034" s="10" t="s">
        <v>42</v>
      </c>
      <c r="E1034" s="11" t="str">
        <f ca="1">IFERROR(__xludf.DUMMYFUNCTION("FILTER(Colegios!$B$2:$B2419,Colegios!$A$2:$A2419=L1034)"),"EL MILAGRO")</f>
        <v>EL MILAGRO</v>
      </c>
      <c r="F1034" s="11" t="s">
        <v>17</v>
      </c>
      <c r="G1034" s="10" t="s">
        <v>18</v>
      </c>
      <c r="H1034" s="11" t="s">
        <v>19</v>
      </c>
      <c r="I1034" s="11">
        <v>2022</v>
      </c>
      <c r="J1034" s="12" t="str">
        <f ca="1">IFERROR(__xludf.DUMMYFUNCTION("FILTER('CLASFICACIÓN'!$F$3:$F2419,'CLASFICACIÓN'!$G$3:$G2419=M1034)"),"LOS 3 AÑOS")</f>
        <v>LOS 3 AÑOS</v>
      </c>
      <c r="K1034" s="12" t="s">
        <v>2013</v>
      </c>
      <c r="L1034" s="11" t="s">
        <v>65</v>
      </c>
      <c r="M1034" s="12" t="str">
        <f t="shared" ca="1" si="4"/>
        <v>EL MILAGRO2 Secundaria</v>
      </c>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4"/>
    </row>
    <row r="1035" spans="1:36" ht="12.5" x14ac:dyDescent="0.25">
      <c r="A1035" s="9">
        <v>2020</v>
      </c>
      <c r="B1035" s="10" t="s">
        <v>60</v>
      </c>
      <c r="C1035" s="10" t="s">
        <v>41</v>
      </c>
      <c r="D1035" s="10" t="s">
        <v>42</v>
      </c>
      <c r="E1035" s="11" t="str">
        <f ca="1">IFERROR(__xludf.DUMMYFUNCTION("FILTER(Colegios!$B$2:$B2419,Colegios!$A$2:$A2419=L1035)"),"EL MILAGRO")</f>
        <v>EL MILAGRO</v>
      </c>
      <c r="F1035" s="11" t="s">
        <v>17</v>
      </c>
      <c r="G1035" s="10" t="s">
        <v>18</v>
      </c>
      <c r="H1035" s="11" t="s">
        <v>19</v>
      </c>
      <c r="I1035" s="11">
        <v>2022</v>
      </c>
      <c r="J1035" s="12" t="str">
        <f ca="1">IFERROR(__xludf.DUMMYFUNCTION("FILTER('CLASFICACIÓN'!$F$3:$F2419,'CLASFICACIÓN'!$G$3:$G2419=M1035)"),"LOS 3 AÑOS")</f>
        <v>LOS 3 AÑOS</v>
      </c>
      <c r="K1035" s="12" t="s">
        <v>2013</v>
      </c>
      <c r="L1035" s="11" t="s">
        <v>65</v>
      </c>
      <c r="M1035" s="12" t="str">
        <f t="shared" ca="1" si="4"/>
        <v>EL MILAGRO2 Secundaria</v>
      </c>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4"/>
    </row>
    <row r="1036" spans="1:36" ht="12.5" x14ac:dyDescent="0.25">
      <c r="A1036" s="9">
        <v>2021</v>
      </c>
      <c r="B1036" s="10" t="s">
        <v>60</v>
      </c>
      <c r="C1036" s="10" t="s">
        <v>41</v>
      </c>
      <c r="D1036" s="10" t="s">
        <v>42</v>
      </c>
      <c r="E1036" s="11" t="str">
        <f ca="1">IFERROR(__xludf.DUMMYFUNCTION("FILTER(Colegios!$B$2:$B2419,Colegios!$A$2:$A2419=L1036)"),"EL MILAGRO")</f>
        <v>EL MILAGRO</v>
      </c>
      <c r="F1036" s="11" t="s">
        <v>17</v>
      </c>
      <c r="G1036" s="10" t="s">
        <v>18</v>
      </c>
      <c r="H1036" s="11" t="s">
        <v>19</v>
      </c>
      <c r="I1036" s="11">
        <v>2022</v>
      </c>
      <c r="J1036" s="12" t="str">
        <f ca="1">IFERROR(__xludf.DUMMYFUNCTION("FILTER('CLASFICACIÓN'!$F$3:$F2419,'CLASFICACIÓN'!$G$3:$G2419=M1036)"),"LOS 3 AÑOS")</f>
        <v>LOS 3 AÑOS</v>
      </c>
      <c r="K1036" s="12" t="s">
        <v>2013</v>
      </c>
      <c r="L1036" s="11" t="s">
        <v>65</v>
      </c>
      <c r="M1036" s="12" t="str">
        <f t="shared" ca="1" si="4"/>
        <v>EL MILAGRO2 Secundaria</v>
      </c>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4"/>
    </row>
    <row r="1037" spans="1:36" ht="12.5" x14ac:dyDescent="0.25">
      <c r="A1037" s="9">
        <v>2022</v>
      </c>
      <c r="B1037" s="10" t="s">
        <v>60</v>
      </c>
      <c r="C1037" s="10" t="s">
        <v>41</v>
      </c>
      <c r="D1037" s="10" t="s">
        <v>42</v>
      </c>
      <c r="E1037" s="11" t="str">
        <f ca="1">IFERROR(__xludf.DUMMYFUNCTION("FILTER(Colegios!$B$2:$B2419,Colegios!$A$2:$A2419=L1037)"),"EL MILAGRO")</f>
        <v>EL MILAGRO</v>
      </c>
      <c r="F1037" s="11" t="s">
        <v>17</v>
      </c>
      <c r="G1037" s="10" t="s">
        <v>24</v>
      </c>
      <c r="H1037" s="11" t="s">
        <v>19</v>
      </c>
      <c r="I1037" s="11">
        <v>2022</v>
      </c>
      <c r="J1037" s="12" t="str">
        <f ca="1">IFERROR(__xludf.DUMMYFUNCTION("FILTER('CLASFICACIÓN'!$F$3:$F2419,'CLASFICACIÓN'!$G$3:$G2419=M1037)"),"LOS 3 AÑOS")</f>
        <v>LOS 3 AÑOS</v>
      </c>
      <c r="K1037" s="12" t="s">
        <v>2013</v>
      </c>
      <c r="L1037" s="11" t="s">
        <v>65</v>
      </c>
      <c r="M1037" s="12" t="str">
        <f t="shared" ca="1" si="4"/>
        <v>EL MILAGRO2 Secundaria</v>
      </c>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4"/>
    </row>
    <row r="1038" spans="1:36" ht="12.5" x14ac:dyDescent="0.25">
      <c r="A1038" s="9">
        <v>2023</v>
      </c>
      <c r="B1038" s="10" t="s">
        <v>60</v>
      </c>
      <c r="C1038" s="10" t="s">
        <v>41</v>
      </c>
      <c r="D1038" s="10" t="s">
        <v>42</v>
      </c>
      <c r="E1038" s="11" t="str">
        <f ca="1">IFERROR(__xludf.DUMMYFUNCTION("FILTER(Colegios!$B$2:$B2419,Colegios!$A$2:$A2419=L1038)"),"EL MILAGRO")</f>
        <v>EL MILAGRO</v>
      </c>
      <c r="F1038" s="11" t="s">
        <v>17</v>
      </c>
      <c r="G1038" s="10" t="s">
        <v>18</v>
      </c>
      <c r="H1038" s="11" t="s">
        <v>19</v>
      </c>
      <c r="I1038" s="11">
        <v>2022</v>
      </c>
      <c r="J1038" s="12" t="str">
        <f ca="1">IFERROR(__xludf.DUMMYFUNCTION("FILTER('CLASFICACIÓN'!$F$3:$F2419,'CLASFICACIÓN'!$G$3:$G2419=M1038)"),"LOS 3 AÑOS")</f>
        <v>LOS 3 AÑOS</v>
      </c>
      <c r="K1038" s="12" t="s">
        <v>2013</v>
      </c>
      <c r="L1038" s="11" t="s">
        <v>65</v>
      </c>
      <c r="M1038" s="12" t="str">
        <f t="shared" ca="1" si="4"/>
        <v>EL MILAGRO2 Secundaria</v>
      </c>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4"/>
    </row>
    <row r="1039" spans="1:36" ht="12.5" x14ac:dyDescent="0.25">
      <c r="A1039" s="9">
        <v>2024</v>
      </c>
      <c r="B1039" s="10" t="s">
        <v>60</v>
      </c>
      <c r="C1039" s="10" t="s">
        <v>41</v>
      </c>
      <c r="D1039" s="10" t="s">
        <v>42</v>
      </c>
      <c r="E1039" s="11" t="str">
        <f ca="1">IFERROR(__xludf.DUMMYFUNCTION("FILTER(Colegios!$B$2:$B2419,Colegios!$A$2:$A2419=L1039)"),"EL MILAGRO")</f>
        <v>EL MILAGRO</v>
      </c>
      <c r="F1039" s="11" t="s">
        <v>17</v>
      </c>
      <c r="G1039" s="10" t="s">
        <v>18</v>
      </c>
      <c r="H1039" s="11" t="s">
        <v>19</v>
      </c>
      <c r="I1039" s="11">
        <v>2022</v>
      </c>
      <c r="J1039" s="12" t="str">
        <f ca="1">IFERROR(__xludf.DUMMYFUNCTION("FILTER('CLASFICACIÓN'!$F$3:$F2419,'CLASFICACIÓN'!$G$3:$G2419=M1039)"),"LOS 3 AÑOS")</f>
        <v>LOS 3 AÑOS</v>
      </c>
      <c r="K1039" s="12" t="s">
        <v>2013</v>
      </c>
      <c r="L1039" s="11" t="s">
        <v>65</v>
      </c>
      <c r="M1039" s="12" t="str">
        <f t="shared" ca="1" si="4"/>
        <v>EL MILAGRO2 Secundaria</v>
      </c>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4"/>
    </row>
    <row r="1040" spans="1:36" ht="12.5" x14ac:dyDescent="0.25">
      <c r="A1040" s="9">
        <v>2025</v>
      </c>
      <c r="B1040" s="10" t="s">
        <v>60</v>
      </c>
      <c r="C1040" s="10" t="s">
        <v>41</v>
      </c>
      <c r="D1040" s="10" t="s">
        <v>42</v>
      </c>
      <c r="E1040" s="11" t="str">
        <f ca="1">IFERROR(__xludf.DUMMYFUNCTION("FILTER(Colegios!$B$2:$B2419,Colegios!$A$2:$A2419=L1040)"),"601331")</f>
        <v>601331</v>
      </c>
      <c r="F1040" s="11" t="s">
        <v>17</v>
      </c>
      <c r="G1040" s="10" t="s">
        <v>24</v>
      </c>
      <c r="H1040" s="11" t="s">
        <v>25</v>
      </c>
      <c r="I1040" s="11">
        <v>2022</v>
      </c>
      <c r="J1040" s="12" t="str">
        <f ca="1">IFERROR(__xludf.DUMMYFUNCTION("FILTER('CLASFICACIÓN'!$F$3:$F2419,'CLASFICACIÓN'!$G$3:$G2419=M1040)"),"LOS 3 AÑOS")</f>
        <v>LOS 3 AÑOS</v>
      </c>
      <c r="K1040" s="12" t="s">
        <v>2012</v>
      </c>
      <c r="L1040" s="11" t="s">
        <v>91</v>
      </c>
      <c r="M1040" s="12" t="str">
        <f t="shared" ca="1" si="4"/>
        <v>6013312 Secundaria</v>
      </c>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4"/>
    </row>
    <row r="1041" spans="1:36" ht="12.5" x14ac:dyDescent="0.25">
      <c r="A1041" s="9">
        <v>2026</v>
      </c>
      <c r="B1041" s="10" t="s">
        <v>60</v>
      </c>
      <c r="C1041" s="10" t="s">
        <v>41</v>
      </c>
      <c r="D1041" s="10" t="s">
        <v>42</v>
      </c>
      <c r="E1041" s="11" t="str">
        <f ca="1">IFERROR(__xludf.DUMMYFUNCTION("FILTER(Colegios!$B$2:$B2419,Colegios!$A$2:$A2419=L1041)"),"601331")</f>
        <v>601331</v>
      </c>
      <c r="F1041" s="11" t="s">
        <v>17</v>
      </c>
      <c r="G1041" s="10" t="s">
        <v>24</v>
      </c>
      <c r="H1041" s="11" t="s">
        <v>19</v>
      </c>
      <c r="I1041" s="11">
        <v>2022</v>
      </c>
      <c r="J1041" s="12" t="str">
        <f ca="1">IFERROR(__xludf.DUMMYFUNCTION("FILTER('CLASFICACIÓN'!$F$3:$F2419,'CLASFICACIÓN'!$G$3:$G2419=M1041)"),"LOS 3 AÑOS")</f>
        <v>LOS 3 AÑOS</v>
      </c>
      <c r="K1041" s="12" t="s">
        <v>2012</v>
      </c>
      <c r="L1041" s="11" t="s">
        <v>91</v>
      </c>
      <c r="M1041" s="12" t="str">
        <f t="shared" ca="1" si="4"/>
        <v>6013312 Secundaria</v>
      </c>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4"/>
    </row>
    <row r="1042" spans="1:36" ht="12.5" x14ac:dyDescent="0.25">
      <c r="A1042" s="9">
        <v>2027</v>
      </c>
      <c r="B1042" s="10" t="s">
        <v>60</v>
      </c>
      <c r="C1042" s="10" t="s">
        <v>41</v>
      </c>
      <c r="D1042" s="10" t="s">
        <v>42</v>
      </c>
      <c r="E1042" s="11" t="str">
        <f ca="1">IFERROR(__xludf.DUMMYFUNCTION("FILTER(Colegios!$B$2:$B2419,Colegios!$A$2:$A2419=L1042)"),"601331")</f>
        <v>601331</v>
      </c>
      <c r="F1042" s="11" t="s">
        <v>17</v>
      </c>
      <c r="G1042" s="10" t="s">
        <v>18</v>
      </c>
      <c r="H1042" s="11" t="s">
        <v>19</v>
      </c>
      <c r="I1042" s="11">
        <v>2022</v>
      </c>
      <c r="J1042" s="12" t="str">
        <f ca="1">IFERROR(__xludf.DUMMYFUNCTION("FILTER('CLASFICACIÓN'!$F$3:$F2419,'CLASFICACIÓN'!$G$3:$G2419=M1042)"),"LOS 3 AÑOS")</f>
        <v>LOS 3 AÑOS</v>
      </c>
      <c r="K1042" s="12" t="s">
        <v>2012</v>
      </c>
      <c r="L1042" s="11" t="s">
        <v>91</v>
      </c>
      <c r="M1042" s="12" t="str">
        <f t="shared" ca="1" si="4"/>
        <v>6013312 Secundaria</v>
      </c>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4"/>
    </row>
    <row r="1043" spans="1:36" ht="12.5" x14ac:dyDescent="0.25">
      <c r="A1043" s="9">
        <v>2028</v>
      </c>
      <c r="B1043" s="10" t="s">
        <v>60</v>
      </c>
      <c r="C1043" s="10" t="s">
        <v>41</v>
      </c>
      <c r="D1043" s="10" t="s">
        <v>42</v>
      </c>
      <c r="E1043" s="11" t="str">
        <f ca="1">IFERROR(__xludf.DUMMYFUNCTION("FILTER(Colegios!$B$2:$B2419,Colegios!$A$2:$A2419=L1043)"),"601331")</f>
        <v>601331</v>
      </c>
      <c r="F1043" s="11" t="s">
        <v>17</v>
      </c>
      <c r="G1043" s="10" t="s">
        <v>24</v>
      </c>
      <c r="H1043" s="11" t="s">
        <v>19</v>
      </c>
      <c r="I1043" s="11">
        <v>2022</v>
      </c>
      <c r="J1043" s="12" t="str">
        <f ca="1">IFERROR(__xludf.DUMMYFUNCTION("FILTER('CLASFICACIÓN'!$F$3:$F2419,'CLASFICACIÓN'!$G$3:$G2419=M1043)"),"LOS 3 AÑOS")</f>
        <v>LOS 3 AÑOS</v>
      </c>
      <c r="K1043" s="12" t="s">
        <v>2012</v>
      </c>
      <c r="L1043" s="11" t="s">
        <v>91</v>
      </c>
      <c r="M1043" s="12" t="str">
        <f t="shared" ca="1" si="4"/>
        <v>6013312 Secundaria</v>
      </c>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4"/>
    </row>
    <row r="1044" spans="1:36" ht="12.5" x14ac:dyDescent="0.25">
      <c r="A1044" s="9">
        <v>2029</v>
      </c>
      <c r="B1044" s="10" t="s">
        <v>60</v>
      </c>
      <c r="C1044" s="10" t="s">
        <v>41</v>
      </c>
      <c r="D1044" s="10" t="s">
        <v>42</v>
      </c>
      <c r="E1044" s="11" t="str">
        <f ca="1">IFERROR(__xludf.DUMMYFUNCTION("FILTER(Colegios!$B$2:$B2419,Colegios!$A$2:$A2419=L1044)"),"601331")</f>
        <v>601331</v>
      </c>
      <c r="F1044" s="11" t="s">
        <v>17</v>
      </c>
      <c r="G1044" s="10" t="s">
        <v>18</v>
      </c>
      <c r="H1044" s="11" t="s">
        <v>19</v>
      </c>
      <c r="I1044" s="11">
        <v>2022</v>
      </c>
      <c r="J1044" s="12" t="str">
        <f ca="1">IFERROR(__xludf.DUMMYFUNCTION("FILTER('CLASFICACIÓN'!$F$3:$F2419,'CLASFICACIÓN'!$G$3:$G2419=M1044)"),"LOS 3 AÑOS")</f>
        <v>LOS 3 AÑOS</v>
      </c>
      <c r="K1044" s="12" t="s">
        <v>2012</v>
      </c>
      <c r="L1044" s="11" t="s">
        <v>91</v>
      </c>
      <c r="M1044" s="12" t="str">
        <f t="shared" ca="1" si="4"/>
        <v>6013312 Secundaria</v>
      </c>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4"/>
    </row>
    <row r="1045" spans="1:36" ht="12.5" x14ac:dyDescent="0.25">
      <c r="A1045" s="9">
        <v>2030</v>
      </c>
      <c r="B1045" s="10" t="s">
        <v>60</v>
      </c>
      <c r="C1045" s="10" t="s">
        <v>41</v>
      </c>
      <c r="D1045" s="10" t="s">
        <v>42</v>
      </c>
      <c r="E1045" s="11" t="str">
        <f ca="1">IFERROR(__xludf.DUMMYFUNCTION("FILTER(Colegios!$B$2:$B2419,Colegios!$A$2:$A2419=L1045)"),"601331")</f>
        <v>601331</v>
      </c>
      <c r="F1045" s="11" t="s">
        <v>17</v>
      </c>
      <c r="G1045" s="10" t="s">
        <v>24</v>
      </c>
      <c r="H1045" s="11" t="s">
        <v>19</v>
      </c>
      <c r="I1045" s="11">
        <v>2022</v>
      </c>
      <c r="J1045" s="12" t="str">
        <f ca="1">IFERROR(__xludf.DUMMYFUNCTION("FILTER('CLASFICACIÓN'!$F$3:$F2419,'CLASFICACIÓN'!$G$3:$G2419=M1045)"),"LOS 3 AÑOS")</f>
        <v>LOS 3 AÑOS</v>
      </c>
      <c r="K1045" s="12" t="s">
        <v>2012</v>
      </c>
      <c r="L1045" s="11" t="s">
        <v>91</v>
      </c>
      <c r="M1045" s="12" t="str">
        <f t="shared" ca="1" si="4"/>
        <v>6013312 Secundaria</v>
      </c>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4"/>
    </row>
    <row r="1046" spans="1:36" ht="12.5" x14ac:dyDescent="0.25">
      <c r="A1046" s="9">
        <v>2031</v>
      </c>
      <c r="B1046" s="10" t="s">
        <v>60</v>
      </c>
      <c r="C1046" s="10" t="s">
        <v>41</v>
      </c>
      <c r="D1046" s="10" t="s">
        <v>42</v>
      </c>
      <c r="E1046" s="11" t="str">
        <f ca="1">IFERROR(__xludf.DUMMYFUNCTION("FILTER(Colegios!$B$2:$B2419,Colegios!$A$2:$A2419=L1046)"),"601331")</f>
        <v>601331</v>
      </c>
      <c r="F1046" s="11" t="s">
        <v>17</v>
      </c>
      <c r="G1046" s="10" t="s">
        <v>18</v>
      </c>
      <c r="H1046" s="11" t="s">
        <v>19</v>
      </c>
      <c r="I1046" s="11">
        <v>2022</v>
      </c>
      <c r="J1046" s="12" t="str">
        <f ca="1">IFERROR(__xludf.DUMMYFUNCTION("FILTER('CLASFICACIÓN'!$F$3:$F2419,'CLASFICACIÓN'!$G$3:$G2419=M1046)"),"LOS 3 AÑOS")</f>
        <v>LOS 3 AÑOS</v>
      </c>
      <c r="K1046" s="12" t="s">
        <v>2012</v>
      </c>
      <c r="L1046" s="11" t="s">
        <v>91</v>
      </c>
      <c r="M1046" s="12" t="str">
        <f t="shared" ca="1" si="4"/>
        <v>6013312 Secundaria</v>
      </c>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4"/>
    </row>
    <row r="1047" spans="1:36" ht="12.5" x14ac:dyDescent="0.25">
      <c r="A1047" s="9">
        <v>2032</v>
      </c>
      <c r="B1047" s="10" t="s">
        <v>60</v>
      </c>
      <c r="C1047" s="10" t="s">
        <v>41</v>
      </c>
      <c r="D1047" s="10" t="s">
        <v>42</v>
      </c>
      <c r="E1047" s="11" t="str">
        <f ca="1">IFERROR(__xludf.DUMMYFUNCTION("FILTER(Colegios!$B$2:$B2419,Colegios!$A$2:$A2419=L1047)"),"601331")</f>
        <v>601331</v>
      </c>
      <c r="F1047" s="11" t="s">
        <v>17</v>
      </c>
      <c r="G1047" s="10" t="s">
        <v>18</v>
      </c>
      <c r="H1047" s="11" t="s">
        <v>19</v>
      </c>
      <c r="I1047" s="11">
        <v>2022</v>
      </c>
      <c r="J1047" s="12" t="str">
        <f ca="1">IFERROR(__xludf.DUMMYFUNCTION("FILTER('CLASFICACIÓN'!$F$3:$F2419,'CLASFICACIÓN'!$G$3:$G2419=M1047)"),"LOS 3 AÑOS")</f>
        <v>LOS 3 AÑOS</v>
      </c>
      <c r="K1047" s="12" t="s">
        <v>2012</v>
      </c>
      <c r="L1047" s="11" t="s">
        <v>91</v>
      </c>
      <c r="M1047" s="12" t="str">
        <f t="shared" ca="1" si="4"/>
        <v>6013312 Secundaria</v>
      </c>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4"/>
    </row>
    <row r="1048" spans="1:36" ht="12.5" x14ac:dyDescent="0.25">
      <c r="A1048" s="9">
        <v>2033</v>
      </c>
      <c r="B1048" s="10" t="s">
        <v>60</v>
      </c>
      <c r="C1048" s="10" t="s">
        <v>41</v>
      </c>
      <c r="D1048" s="10" t="s">
        <v>42</v>
      </c>
      <c r="E1048" s="11" t="str">
        <f ca="1">IFERROR(__xludf.DUMMYFUNCTION("FILTER(Colegios!$B$2:$B2419,Colegios!$A$2:$A2419=L1048)"),"601331")</f>
        <v>601331</v>
      </c>
      <c r="F1048" s="11" t="s">
        <v>17</v>
      </c>
      <c r="G1048" s="10" t="s">
        <v>18</v>
      </c>
      <c r="H1048" s="11" t="s">
        <v>19</v>
      </c>
      <c r="I1048" s="11">
        <v>2022</v>
      </c>
      <c r="J1048" s="12" t="str">
        <f ca="1">IFERROR(__xludf.DUMMYFUNCTION("FILTER('CLASFICACIÓN'!$F$3:$F2419,'CLASFICACIÓN'!$G$3:$G2419=M1048)"),"LOS 3 AÑOS")</f>
        <v>LOS 3 AÑOS</v>
      </c>
      <c r="K1048" s="12" t="s">
        <v>2012</v>
      </c>
      <c r="L1048" s="11" t="s">
        <v>91</v>
      </c>
      <c r="M1048" s="12" t="str">
        <f t="shared" ca="1" si="4"/>
        <v>6013312 Secundaria</v>
      </c>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4"/>
    </row>
    <row r="1049" spans="1:36" ht="12.5" x14ac:dyDescent="0.25">
      <c r="A1049" s="9">
        <v>2034</v>
      </c>
      <c r="B1049" s="10" t="s">
        <v>60</v>
      </c>
      <c r="C1049" s="10" t="s">
        <v>41</v>
      </c>
      <c r="D1049" s="10" t="s">
        <v>42</v>
      </c>
      <c r="E1049" s="11" t="str">
        <f ca="1">IFERROR(__xludf.DUMMYFUNCTION("FILTER(Colegios!$B$2:$B2419,Colegios!$A$2:$A2419=L1049)"),"601331")</f>
        <v>601331</v>
      </c>
      <c r="F1049" s="11" t="s">
        <v>17</v>
      </c>
      <c r="G1049" s="10" t="s">
        <v>18</v>
      </c>
      <c r="H1049" s="11" t="s">
        <v>19</v>
      </c>
      <c r="I1049" s="11">
        <v>2022</v>
      </c>
      <c r="J1049" s="12" t="str">
        <f ca="1">IFERROR(__xludf.DUMMYFUNCTION("FILTER('CLASFICACIÓN'!$F$3:$F2419,'CLASFICACIÓN'!$G$3:$G2419=M1049)"),"LOS 3 AÑOS")</f>
        <v>LOS 3 AÑOS</v>
      </c>
      <c r="K1049" s="12" t="s">
        <v>2012</v>
      </c>
      <c r="L1049" s="11" t="s">
        <v>91</v>
      </c>
      <c r="M1049" s="12" t="str">
        <f t="shared" ca="1" si="4"/>
        <v>6013312 Secundaria</v>
      </c>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4"/>
    </row>
    <row r="1050" spans="1:36" ht="12.5" x14ac:dyDescent="0.25">
      <c r="A1050" s="9">
        <v>2035</v>
      </c>
      <c r="B1050" s="10" t="s">
        <v>60</v>
      </c>
      <c r="C1050" s="10" t="s">
        <v>41</v>
      </c>
      <c r="D1050" s="10" t="s">
        <v>42</v>
      </c>
      <c r="E1050" s="11" t="str">
        <f ca="1">IFERROR(__xludf.DUMMYFUNCTION("FILTER(Colegios!$B$2:$B2419,Colegios!$A$2:$A2419=L1050)"),"601331")</f>
        <v>601331</v>
      </c>
      <c r="F1050" s="11" t="s">
        <v>17</v>
      </c>
      <c r="G1050" s="10" t="s">
        <v>18</v>
      </c>
      <c r="H1050" s="11" t="s">
        <v>19</v>
      </c>
      <c r="I1050" s="11">
        <v>2022</v>
      </c>
      <c r="J1050" s="12" t="str">
        <f ca="1">IFERROR(__xludf.DUMMYFUNCTION("FILTER('CLASFICACIÓN'!$F$3:$F2419,'CLASFICACIÓN'!$G$3:$G2419=M1050)"),"LOS 3 AÑOS")</f>
        <v>LOS 3 AÑOS</v>
      </c>
      <c r="K1050" s="12" t="s">
        <v>2012</v>
      </c>
      <c r="L1050" s="11" t="s">
        <v>91</v>
      </c>
      <c r="M1050" s="12" t="str">
        <f t="shared" ca="1" si="4"/>
        <v>6013312 Secundaria</v>
      </c>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4"/>
    </row>
    <row r="1051" spans="1:36" ht="12.5" x14ac:dyDescent="0.25">
      <c r="A1051" s="9">
        <v>2036</v>
      </c>
      <c r="B1051" s="10" t="s">
        <v>60</v>
      </c>
      <c r="C1051" s="10" t="s">
        <v>41</v>
      </c>
      <c r="D1051" s="10" t="s">
        <v>42</v>
      </c>
      <c r="E1051" s="11" t="str">
        <f ca="1">IFERROR(__xludf.DUMMYFUNCTION("FILTER(Colegios!$B$2:$B2419,Colegios!$A$2:$A2419=L1051)"),"601331")</f>
        <v>601331</v>
      </c>
      <c r="F1051" s="11" t="s">
        <v>17</v>
      </c>
      <c r="G1051" s="10" t="s">
        <v>24</v>
      </c>
      <c r="H1051" s="11" t="s">
        <v>19</v>
      </c>
      <c r="I1051" s="11">
        <v>2022</v>
      </c>
      <c r="J1051" s="12" t="str">
        <f ca="1">IFERROR(__xludf.DUMMYFUNCTION("FILTER('CLASFICACIÓN'!$F$3:$F2419,'CLASFICACIÓN'!$G$3:$G2419=M1051)"),"LOS 3 AÑOS")</f>
        <v>LOS 3 AÑOS</v>
      </c>
      <c r="K1051" s="12" t="s">
        <v>2012</v>
      </c>
      <c r="L1051" s="11" t="s">
        <v>91</v>
      </c>
      <c r="M1051" s="12" t="str">
        <f t="shared" ca="1" si="4"/>
        <v>6013312 Secundaria</v>
      </c>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4"/>
    </row>
    <row r="1052" spans="1:36" ht="12.5" x14ac:dyDescent="0.25">
      <c r="A1052" s="9">
        <v>2037</v>
      </c>
      <c r="B1052" s="10" t="s">
        <v>60</v>
      </c>
      <c r="C1052" s="10" t="s">
        <v>41</v>
      </c>
      <c r="D1052" s="10" t="s">
        <v>42</v>
      </c>
      <c r="E1052" s="11" t="str">
        <f ca="1">IFERROR(__xludf.DUMMYFUNCTION("FILTER(Colegios!$B$2:$B2419,Colegios!$A$2:$A2419=L1052)"),"601331")</f>
        <v>601331</v>
      </c>
      <c r="F1052" s="11" t="s">
        <v>17</v>
      </c>
      <c r="G1052" s="10" t="s">
        <v>18</v>
      </c>
      <c r="H1052" s="11" t="s">
        <v>19</v>
      </c>
      <c r="I1052" s="11">
        <v>2022</v>
      </c>
      <c r="J1052" s="12" t="str">
        <f ca="1">IFERROR(__xludf.DUMMYFUNCTION("FILTER('CLASFICACIÓN'!$F$3:$F2419,'CLASFICACIÓN'!$G$3:$G2419=M1052)"),"LOS 3 AÑOS")</f>
        <v>LOS 3 AÑOS</v>
      </c>
      <c r="K1052" s="12" t="s">
        <v>2012</v>
      </c>
      <c r="L1052" s="11" t="s">
        <v>91</v>
      </c>
      <c r="M1052" s="12" t="str">
        <f t="shared" ca="1" si="4"/>
        <v>6013312 Secundaria</v>
      </c>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4"/>
    </row>
    <row r="1053" spans="1:36" ht="12.5" x14ac:dyDescent="0.25">
      <c r="A1053" s="9">
        <v>2038</v>
      </c>
      <c r="B1053" s="10" t="s">
        <v>60</v>
      </c>
      <c r="C1053" s="10" t="s">
        <v>41</v>
      </c>
      <c r="D1053" s="10" t="s">
        <v>42</v>
      </c>
      <c r="E1053" s="11" t="str">
        <f ca="1">IFERROR(__xludf.DUMMYFUNCTION("FILTER(Colegios!$B$2:$B2419,Colegios!$A$2:$A2419=L1053)"),"601331")</f>
        <v>601331</v>
      </c>
      <c r="F1053" s="11" t="s">
        <v>17</v>
      </c>
      <c r="G1053" s="10" t="s">
        <v>24</v>
      </c>
      <c r="H1053" s="11" t="s">
        <v>19</v>
      </c>
      <c r="I1053" s="11">
        <v>2022</v>
      </c>
      <c r="J1053" s="12" t="str">
        <f ca="1">IFERROR(__xludf.DUMMYFUNCTION("FILTER('CLASFICACIÓN'!$F$3:$F2419,'CLASFICACIÓN'!$G$3:$G2419=M1053)"),"LOS 3 AÑOS")</f>
        <v>LOS 3 AÑOS</v>
      </c>
      <c r="K1053" s="12" t="s">
        <v>2012</v>
      </c>
      <c r="L1053" s="11" t="s">
        <v>91</v>
      </c>
      <c r="M1053" s="12" t="str">
        <f t="shared" ca="1" si="4"/>
        <v>6013312 Secundaria</v>
      </c>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4"/>
    </row>
    <row r="1054" spans="1:36" ht="12.5" x14ac:dyDescent="0.25">
      <c r="A1054" s="9">
        <v>2039</v>
      </c>
      <c r="B1054" s="10" t="s">
        <v>60</v>
      </c>
      <c r="C1054" s="10" t="s">
        <v>41</v>
      </c>
      <c r="D1054" s="10" t="s">
        <v>42</v>
      </c>
      <c r="E1054" s="11" t="str">
        <f ca="1">IFERROR(__xludf.DUMMYFUNCTION("FILTER(Colegios!$B$2:$B2419,Colegios!$A$2:$A2419=L1054)"),"6010230 BARBARA D'ACHILLE")</f>
        <v>6010230 BARBARA D'ACHILLE</v>
      </c>
      <c r="F1054" s="11" t="s">
        <v>17</v>
      </c>
      <c r="G1054" s="10" t="s">
        <v>24</v>
      </c>
      <c r="H1054" s="11" t="s">
        <v>19</v>
      </c>
      <c r="I1054" s="11">
        <v>2022</v>
      </c>
      <c r="J1054" s="12" t="str">
        <f ca="1">IFERROR(__xludf.DUMMYFUNCTION("FILTER('CLASFICACIÓN'!$F$3:$F2419,'CLASFICACIÓN'!$G$3:$G2419=M1054)"),"LOS 3 AÑOS")</f>
        <v>LOS 3 AÑOS</v>
      </c>
      <c r="K1054" s="12" t="s">
        <v>2011</v>
      </c>
      <c r="L1054" s="11" t="s">
        <v>93</v>
      </c>
      <c r="M1054" s="12" t="str">
        <f t="shared" ca="1" si="4"/>
        <v>6010230 BARBARA D'ACHILLE2 Secundaria</v>
      </c>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4"/>
    </row>
    <row r="1055" spans="1:36" ht="12.5" x14ac:dyDescent="0.25">
      <c r="A1055" s="9">
        <v>2040</v>
      </c>
      <c r="B1055" s="10" t="s">
        <v>60</v>
      </c>
      <c r="C1055" s="10" t="s">
        <v>41</v>
      </c>
      <c r="D1055" s="10" t="s">
        <v>42</v>
      </c>
      <c r="E1055" s="11" t="str">
        <f ca="1">IFERROR(__xludf.DUMMYFUNCTION("FILTER(Colegios!$B$2:$B2419,Colegios!$A$2:$A2419=L1055)"),"6010230 BARBARA D'ACHILLE")</f>
        <v>6010230 BARBARA D'ACHILLE</v>
      </c>
      <c r="F1055" s="11" t="s">
        <v>17</v>
      </c>
      <c r="G1055" s="10" t="s">
        <v>24</v>
      </c>
      <c r="H1055" s="11" t="s">
        <v>19</v>
      </c>
      <c r="I1055" s="11">
        <v>2022</v>
      </c>
      <c r="J1055" s="12" t="str">
        <f ca="1">IFERROR(__xludf.DUMMYFUNCTION("FILTER('CLASFICACIÓN'!$F$3:$F2419,'CLASFICACIÓN'!$G$3:$G2419=M1055)"),"LOS 3 AÑOS")</f>
        <v>LOS 3 AÑOS</v>
      </c>
      <c r="K1055" s="12" t="s">
        <v>2011</v>
      </c>
      <c r="L1055" s="11" t="s">
        <v>93</v>
      </c>
      <c r="M1055" s="12" t="str">
        <f t="shared" ca="1" si="4"/>
        <v>6010230 BARBARA D'ACHILLE2 Secundaria</v>
      </c>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4"/>
    </row>
    <row r="1056" spans="1:36" ht="12.5" x14ac:dyDescent="0.25">
      <c r="A1056" s="9">
        <v>2041</v>
      </c>
      <c r="B1056" s="10" t="s">
        <v>60</v>
      </c>
      <c r="C1056" s="10" t="s">
        <v>41</v>
      </c>
      <c r="D1056" s="10" t="s">
        <v>42</v>
      </c>
      <c r="E1056" s="11" t="str">
        <f ca="1">IFERROR(__xludf.DUMMYFUNCTION("FILTER(Colegios!$B$2:$B2419,Colegios!$A$2:$A2419=L1056)"),"6010230 BARBARA D'ACHILLE")</f>
        <v>6010230 BARBARA D'ACHILLE</v>
      </c>
      <c r="F1056" s="11" t="s">
        <v>17</v>
      </c>
      <c r="G1056" s="10" t="s">
        <v>18</v>
      </c>
      <c r="H1056" s="11" t="s">
        <v>19</v>
      </c>
      <c r="I1056" s="11">
        <v>2022</v>
      </c>
      <c r="J1056" s="12" t="str">
        <f ca="1">IFERROR(__xludf.DUMMYFUNCTION("FILTER('CLASFICACIÓN'!$F$3:$F2419,'CLASFICACIÓN'!$G$3:$G2419=M1056)"),"LOS 3 AÑOS")</f>
        <v>LOS 3 AÑOS</v>
      </c>
      <c r="K1056" s="12" t="s">
        <v>2011</v>
      </c>
      <c r="L1056" s="11" t="s">
        <v>93</v>
      </c>
      <c r="M1056" s="12" t="str">
        <f t="shared" ca="1" si="4"/>
        <v>6010230 BARBARA D'ACHILLE2 Secundaria</v>
      </c>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4"/>
    </row>
    <row r="1057" spans="1:36" ht="12.5" x14ac:dyDescent="0.25">
      <c r="A1057" s="9">
        <v>2042</v>
      </c>
      <c r="B1057" s="10" t="s">
        <v>60</v>
      </c>
      <c r="C1057" s="10" t="s">
        <v>41</v>
      </c>
      <c r="D1057" s="10" t="s">
        <v>42</v>
      </c>
      <c r="E1057" s="11" t="str">
        <f ca="1">IFERROR(__xludf.DUMMYFUNCTION("FILTER(Colegios!$B$2:$B2419,Colegios!$A$2:$A2419=L1057)"),"6010230 BARBARA D'ACHILLE")</f>
        <v>6010230 BARBARA D'ACHILLE</v>
      </c>
      <c r="F1057" s="11" t="s">
        <v>17</v>
      </c>
      <c r="G1057" s="10" t="s">
        <v>18</v>
      </c>
      <c r="H1057" s="11" t="s">
        <v>19</v>
      </c>
      <c r="I1057" s="11">
        <v>2022</v>
      </c>
      <c r="J1057" s="12" t="str">
        <f ca="1">IFERROR(__xludf.DUMMYFUNCTION("FILTER('CLASFICACIÓN'!$F$3:$F2419,'CLASFICACIÓN'!$G$3:$G2419=M1057)"),"LOS 3 AÑOS")</f>
        <v>LOS 3 AÑOS</v>
      </c>
      <c r="K1057" s="12" t="s">
        <v>2011</v>
      </c>
      <c r="L1057" s="11" t="s">
        <v>93</v>
      </c>
      <c r="M1057" s="12" t="str">
        <f t="shared" ca="1" si="4"/>
        <v>6010230 BARBARA D'ACHILLE2 Secundaria</v>
      </c>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4"/>
    </row>
    <row r="1058" spans="1:36" ht="12.5" x14ac:dyDescent="0.25">
      <c r="A1058" s="9">
        <v>2043</v>
      </c>
      <c r="B1058" s="10" t="s">
        <v>60</v>
      </c>
      <c r="C1058" s="10" t="s">
        <v>41</v>
      </c>
      <c r="D1058" s="10" t="s">
        <v>42</v>
      </c>
      <c r="E1058" s="11" t="str">
        <f ca="1">IFERROR(__xludf.DUMMYFUNCTION("FILTER(Colegios!$B$2:$B2419,Colegios!$A$2:$A2419=L1058)"),"6010230 BARBARA D'ACHILLE")</f>
        <v>6010230 BARBARA D'ACHILLE</v>
      </c>
      <c r="F1058" s="11" t="s">
        <v>17</v>
      </c>
      <c r="G1058" s="10" t="s">
        <v>24</v>
      </c>
      <c r="H1058" s="11" t="s">
        <v>19</v>
      </c>
      <c r="I1058" s="11">
        <v>2022</v>
      </c>
      <c r="J1058" s="12" t="str">
        <f ca="1">IFERROR(__xludf.DUMMYFUNCTION("FILTER('CLASFICACIÓN'!$F$3:$F2419,'CLASFICACIÓN'!$G$3:$G2419=M1058)"),"LOS 3 AÑOS")</f>
        <v>LOS 3 AÑOS</v>
      </c>
      <c r="K1058" s="12" t="s">
        <v>2011</v>
      </c>
      <c r="L1058" s="11" t="s">
        <v>93</v>
      </c>
      <c r="M1058" s="12" t="str">
        <f t="shared" ca="1" si="4"/>
        <v>6010230 BARBARA D'ACHILLE2 Secundaria</v>
      </c>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4"/>
    </row>
    <row r="1059" spans="1:36" ht="12.5" x14ac:dyDescent="0.25">
      <c r="A1059" s="9">
        <v>2044</v>
      </c>
      <c r="B1059" s="10" t="s">
        <v>60</v>
      </c>
      <c r="C1059" s="10" t="s">
        <v>41</v>
      </c>
      <c r="D1059" s="10" t="s">
        <v>42</v>
      </c>
      <c r="E1059" s="11" t="str">
        <f ca="1">IFERROR(__xludf.DUMMYFUNCTION("FILTER(Colegios!$B$2:$B2419,Colegios!$A$2:$A2419=L1059)"),"6010230 BARBARA D'ACHILLE")</f>
        <v>6010230 BARBARA D'ACHILLE</v>
      </c>
      <c r="F1059" s="11" t="s">
        <v>17</v>
      </c>
      <c r="G1059" s="10" t="s">
        <v>18</v>
      </c>
      <c r="H1059" s="11" t="s">
        <v>19</v>
      </c>
      <c r="I1059" s="11">
        <v>2022</v>
      </c>
      <c r="J1059" s="12" t="str">
        <f ca="1">IFERROR(__xludf.DUMMYFUNCTION("FILTER('CLASFICACIÓN'!$F$3:$F2419,'CLASFICACIÓN'!$G$3:$G2419=M1059)"),"LOS 3 AÑOS")</f>
        <v>LOS 3 AÑOS</v>
      </c>
      <c r="K1059" s="12" t="s">
        <v>2011</v>
      </c>
      <c r="L1059" s="11" t="s">
        <v>93</v>
      </c>
      <c r="M1059" s="12" t="str">
        <f t="shared" ca="1" si="4"/>
        <v>6010230 BARBARA D'ACHILLE2 Secundaria</v>
      </c>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4"/>
    </row>
    <row r="1060" spans="1:36" ht="12.5" x14ac:dyDescent="0.25">
      <c r="A1060" s="9">
        <v>2045</v>
      </c>
      <c r="B1060" s="10" t="s">
        <v>60</v>
      </c>
      <c r="C1060" s="10" t="s">
        <v>41</v>
      </c>
      <c r="D1060" s="10" t="s">
        <v>42</v>
      </c>
      <c r="E1060" s="11" t="str">
        <f ca="1">IFERROR(__xludf.DUMMYFUNCTION("FILTER(Colegios!$B$2:$B2419,Colegios!$A$2:$A2419=L1060)"),"6010230 BARBARA D'ACHILLE")</f>
        <v>6010230 BARBARA D'ACHILLE</v>
      </c>
      <c r="F1060" s="11" t="s">
        <v>17</v>
      </c>
      <c r="G1060" s="10" t="s">
        <v>24</v>
      </c>
      <c r="H1060" s="11" t="s">
        <v>19</v>
      </c>
      <c r="I1060" s="11">
        <v>2022</v>
      </c>
      <c r="J1060" s="12" t="str">
        <f ca="1">IFERROR(__xludf.DUMMYFUNCTION("FILTER('CLASFICACIÓN'!$F$3:$F2419,'CLASFICACIÓN'!$G$3:$G2419=M1060)"),"LOS 3 AÑOS")</f>
        <v>LOS 3 AÑOS</v>
      </c>
      <c r="K1060" s="12" t="s">
        <v>2011</v>
      </c>
      <c r="L1060" s="11" t="s">
        <v>93</v>
      </c>
      <c r="M1060" s="12" t="str">
        <f t="shared" ca="1" si="4"/>
        <v>6010230 BARBARA D'ACHILLE2 Secundaria</v>
      </c>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4"/>
    </row>
    <row r="1061" spans="1:36" ht="12.5" x14ac:dyDescent="0.25">
      <c r="A1061" s="9">
        <v>2046</v>
      </c>
      <c r="B1061" s="10" t="s">
        <v>60</v>
      </c>
      <c r="C1061" s="10" t="s">
        <v>41</v>
      </c>
      <c r="D1061" s="10" t="s">
        <v>42</v>
      </c>
      <c r="E1061" s="11" t="str">
        <f ca="1">IFERROR(__xludf.DUMMYFUNCTION("FILTER(Colegios!$B$2:$B2419,Colegios!$A$2:$A2419=L1061)"),"60133")</f>
        <v>60133</v>
      </c>
      <c r="F1061" s="11" t="s">
        <v>17</v>
      </c>
      <c r="G1061" s="10" t="s">
        <v>24</v>
      </c>
      <c r="H1061" s="11" t="s">
        <v>19</v>
      </c>
      <c r="I1061" s="11">
        <v>2022</v>
      </c>
      <c r="J1061" s="12" t="str">
        <f ca="1">IFERROR(__xludf.DUMMYFUNCTION("FILTER('CLASFICACIÓN'!$F$3:$F2419,'CLASFICACIÓN'!$G$3:$G2419=M1061)"),"LOS 3 AÑOS")</f>
        <v>LOS 3 AÑOS</v>
      </c>
      <c r="K1061" s="12" t="s">
        <v>2011</v>
      </c>
      <c r="L1061" s="11" t="s">
        <v>92</v>
      </c>
      <c r="M1061" s="12" t="str">
        <f t="shared" ca="1" si="4"/>
        <v>601332 Secundaria</v>
      </c>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4"/>
    </row>
    <row r="1062" spans="1:36" ht="12.5" x14ac:dyDescent="0.25">
      <c r="A1062" s="9">
        <v>2047</v>
      </c>
      <c r="B1062" s="10" t="s">
        <v>60</v>
      </c>
      <c r="C1062" s="10" t="s">
        <v>41</v>
      </c>
      <c r="D1062" s="10" t="s">
        <v>42</v>
      </c>
      <c r="E1062" s="11" t="str">
        <f ca="1">IFERROR(__xludf.DUMMYFUNCTION("FILTER(Colegios!$B$2:$B2419,Colegios!$A$2:$A2419=L1062)"),"60133")</f>
        <v>60133</v>
      </c>
      <c r="F1062" s="11" t="s">
        <v>17</v>
      </c>
      <c r="G1062" s="10" t="s">
        <v>24</v>
      </c>
      <c r="H1062" s="11" t="s">
        <v>19</v>
      </c>
      <c r="I1062" s="11">
        <v>2022</v>
      </c>
      <c r="J1062" s="12" t="str">
        <f ca="1">IFERROR(__xludf.DUMMYFUNCTION("FILTER('CLASFICACIÓN'!$F$3:$F2419,'CLASFICACIÓN'!$G$3:$G2419=M1062)"),"LOS 3 AÑOS")</f>
        <v>LOS 3 AÑOS</v>
      </c>
      <c r="K1062" s="12" t="s">
        <v>2011</v>
      </c>
      <c r="L1062" s="11" t="s">
        <v>92</v>
      </c>
      <c r="M1062" s="12" t="str">
        <f t="shared" ca="1" si="4"/>
        <v>601332 Secundaria</v>
      </c>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4"/>
    </row>
    <row r="1063" spans="1:36" ht="12.5" x14ac:dyDescent="0.25">
      <c r="A1063" s="9">
        <v>2048</v>
      </c>
      <c r="B1063" s="10" t="s">
        <v>60</v>
      </c>
      <c r="C1063" s="10" t="s">
        <v>41</v>
      </c>
      <c r="D1063" s="10" t="s">
        <v>42</v>
      </c>
      <c r="E1063" s="11" t="str">
        <f ca="1">IFERROR(__xludf.DUMMYFUNCTION("FILTER(Colegios!$B$2:$B2419,Colegios!$A$2:$A2419=L1063)"),"60133")</f>
        <v>60133</v>
      </c>
      <c r="F1063" s="11" t="s">
        <v>17</v>
      </c>
      <c r="G1063" s="10" t="s">
        <v>24</v>
      </c>
      <c r="H1063" s="11" t="s">
        <v>19</v>
      </c>
      <c r="I1063" s="11">
        <v>2022</v>
      </c>
      <c r="J1063" s="12" t="str">
        <f ca="1">IFERROR(__xludf.DUMMYFUNCTION("FILTER('CLASFICACIÓN'!$F$3:$F2419,'CLASFICACIÓN'!$G$3:$G2419=M1063)"),"LOS 3 AÑOS")</f>
        <v>LOS 3 AÑOS</v>
      </c>
      <c r="K1063" s="12" t="s">
        <v>2011</v>
      </c>
      <c r="L1063" s="11" t="s">
        <v>92</v>
      </c>
      <c r="M1063" s="12" t="str">
        <f t="shared" ca="1" si="4"/>
        <v>601332 Secundaria</v>
      </c>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4"/>
    </row>
    <row r="1064" spans="1:36" ht="12.5" x14ac:dyDescent="0.25">
      <c r="A1064" s="9">
        <v>2049</v>
      </c>
      <c r="B1064" s="10" t="s">
        <v>60</v>
      </c>
      <c r="C1064" s="10" t="s">
        <v>41</v>
      </c>
      <c r="D1064" s="10" t="s">
        <v>42</v>
      </c>
      <c r="E1064" s="11" t="str">
        <f ca="1">IFERROR(__xludf.DUMMYFUNCTION("FILTER(Colegios!$B$2:$B2419,Colegios!$A$2:$A2419=L1064)"),"60133")</f>
        <v>60133</v>
      </c>
      <c r="F1064" s="11" t="s">
        <v>17</v>
      </c>
      <c r="G1064" s="10" t="s">
        <v>24</v>
      </c>
      <c r="H1064" s="11" t="s">
        <v>19</v>
      </c>
      <c r="I1064" s="11">
        <v>2022</v>
      </c>
      <c r="J1064" s="12" t="str">
        <f ca="1">IFERROR(__xludf.DUMMYFUNCTION("FILTER('CLASFICACIÓN'!$F$3:$F2419,'CLASFICACIÓN'!$G$3:$G2419=M1064)"),"LOS 3 AÑOS")</f>
        <v>LOS 3 AÑOS</v>
      </c>
      <c r="K1064" s="12" t="s">
        <v>2011</v>
      </c>
      <c r="L1064" s="11" t="s">
        <v>92</v>
      </c>
      <c r="M1064" s="12" t="str">
        <f t="shared" ca="1" si="4"/>
        <v>601332 Secundaria</v>
      </c>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4"/>
    </row>
    <row r="1065" spans="1:36" ht="12.5" x14ac:dyDescent="0.25">
      <c r="A1065" s="9">
        <v>2050</v>
      </c>
      <c r="B1065" s="10" t="s">
        <v>60</v>
      </c>
      <c r="C1065" s="10" t="s">
        <v>41</v>
      </c>
      <c r="D1065" s="10" t="s">
        <v>42</v>
      </c>
      <c r="E1065" s="11" t="str">
        <f ca="1">IFERROR(__xludf.DUMMYFUNCTION("FILTER(Colegios!$B$2:$B2419,Colegios!$A$2:$A2419=L1065)"),"60133")</f>
        <v>60133</v>
      </c>
      <c r="F1065" s="11" t="s">
        <v>17</v>
      </c>
      <c r="G1065" s="10" t="s">
        <v>18</v>
      </c>
      <c r="H1065" s="11" t="s">
        <v>19</v>
      </c>
      <c r="I1065" s="11">
        <v>2022</v>
      </c>
      <c r="J1065" s="12" t="str">
        <f ca="1">IFERROR(__xludf.DUMMYFUNCTION("FILTER('CLASFICACIÓN'!$F$3:$F2419,'CLASFICACIÓN'!$G$3:$G2419=M1065)"),"LOS 3 AÑOS")</f>
        <v>LOS 3 AÑOS</v>
      </c>
      <c r="K1065" s="12" t="s">
        <v>2011</v>
      </c>
      <c r="L1065" s="11" t="s">
        <v>92</v>
      </c>
      <c r="M1065" s="12" t="str">
        <f t="shared" ca="1" si="4"/>
        <v>601332 Secundaria</v>
      </c>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4"/>
    </row>
    <row r="1066" spans="1:36" ht="12.5" x14ac:dyDescent="0.25">
      <c r="A1066" s="9">
        <v>2051</v>
      </c>
      <c r="B1066" s="10" t="s">
        <v>60</v>
      </c>
      <c r="C1066" s="10" t="s">
        <v>41</v>
      </c>
      <c r="D1066" s="10" t="s">
        <v>42</v>
      </c>
      <c r="E1066" s="11" t="str">
        <f ca="1">IFERROR(__xludf.DUMMYFUNCTION("FILTER(Colegios!$B$2:$B2419,Colegios!$A$2:$A2419=L1066)"),"60133")</f>
        <v>60133</v>
      </c>
      <c r="F1066" s="11" t="s">
        <v>17</v>
      </c>
      <c r="G1066" s="10" t="s">
        <v>18</v>
      </c>
      <c r="H1066" s="11" t="s">
        <v>19</v>
      </c>
      <c r="I1066" s="11">
        <v>2022</v>
      </c>
      <c r="J1066" s="12" t="str">
        <f ca="1">IFERROR(__xludf.DUMMYFUNCTION("FILTER('CLASFICACIÓN'!$F$3:$F2419,'CLASFICACIÓN'!$G$3:$G2419=M1066)"),"LOS 3 AÑOS")</f>
        <v>LOS 3 AÑOS</v>
      </c>
      <c r="K1066" s="12" t="s">
        <v>2011</v>
      </c>
      <c r="L1066" s="11" t="s">
        <v>92</v>
      </c>
      <c r="M1066" s="12" t="str">
        <f t="shared" ca="1" si="4"/>
        <v>601332 Secundaria</v>
      </c>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4"/>
    </row>
    <row r="1067" spans="1:36" ht="12.5" x14ac:dyDescent="0.25">
      <c r="A1067" s="9">
        <v>2052</v>
      </c>
      <c r="B1067" s="10" t="s">
        <v>60</v>
      </c>
      <c r="C1067" s="10" t="s">
        <v>41</v>
      </c>
      <c r="D1067" s="10" t="s">
        <v>42</v>
      </c>
      <c r="E1067" s="11" t="str">
        <f ca="1">IFERROR(__xludf.DUMMYFUNCTION("FILTER(Colegios!$B$2:$B2419,Colegios!$A$2:$A2419=L1067)"),"60133")</f>
        <v>60133</v>
      </c>
      <c r="F1067" s="11" t="s">
        <v>17</v>
      </c>
      <c r="G1067" s="10" t="s">
        <v>24</v>
      </c>
      <c r="H1067" s="11" t="s">
        <v>19</v>
      </c>
      <c r="I1067" s="11">
        <v>2022</v>
      </c>
      <c r="J1067" s="12" t="str">
        <f ca="1">IFERROR(__xludf.DUMMYFUNCTION("FILTER('CLASFICACIÓN'!$F$3:$F2419,'CLASFICACIÓN'!$G$3:$G2419=M1067)"),"LOS 3 AÑOS")</f>
        <v>LOS 3 AÑOS</v>
      </c>
      <c r="K1067" s="12" t="s">
        <v>2011</v>
      </c>
      <c r="L1067" s="11" t="s">
        <v>92</v>
      </c>
      <c r="M1067" s="12" t="str">
        <f t="shared" ca="1" si="4"/>
        <v>601332 Secundaria</v>
      </c>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4"/>
    </row>
    <row r="1068" spans="1:36" ht="12.5" x14ac:dyDescent="0.25">
      <c r="A1068" s="9">
        <v>2053</v>
      </c>
      <c r="B1068" s="10" t="s">
        <v>60</v>
      </c>
      <c r="C1068" s="10" t="s">
        <v>41</v>
      </c>
      <c r="D1068" s="10" t="s">
        <v>42</v>
      </c>
      <c r="E1068" s="11" t="str">
        <f ca="1">IFERROR(__xludf.DUMMYFUNCTION("FILTER(Colegios!$B$2:$B2419,Colegios!$A$2:$A2419=L1068)"),"60133")</f>
        <v>60133</v>
      </c>
      <c r="F1068" s="11" t="s">
        <v>17</v>
      </c>
      <c r="G1068" s="10" t="s">
        <v>18</v>
      </c>
      <c r="H1068" s="11" t="s">
        <v>19</v>
      </c>
      <c r="I1068" s="11">
        <v>2022</v>
      </c>
      <c r="J1068" s="12" t="str">
        <f ca="1">IFERROR(__xludf.DUMMYFUNCTION("FILTER('CLASFICACIÓN'!$F$3:$F2419,'CLASFICACIÓN'!$G$3:$G2419=M1068)"),"LOS 3 AÑOS")</f>
        <v>LOS 3 AÑOS</v>
      </c>
      <c r="K1068" s="12" t="s">
        <v>2011</v>
      </c>
      <c r="L1068" s="11" t="s">
        <v>92</v>
      </c>
      <c r="M1068" s="12" t="str">
        <f t="shared" ca="1" si="4"/>
        <v>601332 Secundaria</v>
      </c>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4"/>
    </row>
    <row r="1069" spans="1:36" ht="12.5" x14ac:dyDescent="0.25">
      <c r="A1069" s="9">
        <v>2054</v>
      </c>
      <c r="B1069" s="10" t="s">
        <v>60</v>
      </c>
      <c r="C1069" s="10" t="s">
        <v>41</v>
      </c>
      <c r="D1069" s="10" t="s">
        <v>42</v>
      </c>
      <c r="E1069" s="11" t="str">
        <f ca="1">IFERROR(__xludf.DUMMYFUNCTION("FILTER(Colegios!$B$2:$B2419,Colegios!$A$2:$A2419=L1069)"),"60133")</f>
        <v>60133</v>
      </c>
      <c r="F1069" s="11" t="s">
        <v>17</v>
      </c>
      <c r="G1069" s="10" t="s">
        <v>24</v>
      </c>
      <c r="H1069" s="11" t="s">
        <v>19</v>
      </c>
      <c r="I1069" s="11">
        <v>2022</v>
      </c>
      <c r="J1069" s="12" t="str">
        <f ca="1">IFERROR(__xludf.DUMMYFUNCTION("FILTER('CLASFICACIÓN'!$F$3:$F2419,'CLASFICACIÓN'!$G$3:$G2419=M1069)"),"LOS 3 AÑOS")</f>
        <v>LOS 3 AÑOS</v>
      </c>
      <c r="K1069" s="12" t="s">
        <v>2011</v>
      </c>
      <c r="L1069" s="11" t="s">
        <v>92</v>
      </c>
      <c r="M1069" s="12" t="str">
        <f t="shared" ca="1" si="4"/>
        <v>601332 Secundaria</v>
      </c>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4"/>
    </row>
    <row r="1070" spans="1:36" ht="12.5" x14ac:dyDescent="0.25">
      <c r="A1070" s="9">
        <v>2055</v>
      </c>
      <c r="B1070" s="10" t="s">
        <v>60</v>
      </c>
      <c r="C1070" s="10" t="s">
        <v>41</v>
      </c>
      <c r="D1070" s="10" t="s">
        <v>42</v>
      </c>
      <c r="E1070" s="11" t="str">
        <f ca="1">IFERROR(__xludf.DUMMYFUNCTION("FILTER(Colegios!$B$2:$B2419,Colegios!$A$2:$A2419=L1070)"),"60133")</f>
        <v>60133</v>
      </c>
      <c r="F1070" s="11" t="s">
        <v>17</v>
      </c>
      <c r="G1070" s="10" t="s">
        <v>24</v>
      </c>
      <c r="H1070" s="11" t="s">
        <v>19</v>
      </c>
      <c r="I1070" s="11">
        <v>2022</v>
      </c>
      <c r="J1070" s="12" t="str">
        <f ca="1">IFERROR(__xludf.DUMMYFUNCTION("FILTER('CLASFICACIÓN'!$F$3:$F2419,'CLASFICACIÓN'!$G$3:$G2419=M1070)"),"LOS 3 AÑOS")</f>
        <v>LOS 3 AÑOS</v>
      </c>
      <c r="K1070" s="12" t="s">
        <v>2011</v>
      </c>
      <c r="L1070" s="11" t="s">
        <v>92</v>
      </c>
      <c r="M1070" s="12" t="str">
        <f t="shared" ca="1" si="4"/>
        <v>601332 Secundaria</v>
      </c>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4"/>
    </row>
    <row r="1071" spans="1:36" ht="12.5" x14ac:dyDescent="0.25">
      <c r="A1071" s="9">
        <v>2056</v>
      </c>
      <c r="B1071" s="10" t="s">
        <v>60</v>
      </c>
      <c r="C1071" s="10" t="s">
        <v>41</v>
      </c>
      <c r="D1071" s="10" t="s">
        <v>42</v>
      </c>
      <c r="E1071" s="11" t="str">
        <f ca="1">IFERROR(__xludf.DUMMYFUNCTION("FILTER(Colegios!$B$2:$B2419,Colegios!$A$2:$A2419=L1071)"),"60133")</f>
        <v>60133</v>
      </c>
      <c r="F1071" s="11" t="s">
        <v>17</v>
      </c>
      <c r="G1071" s="10" t="s">
        <v>24</v>
      </c>
      <c r="H1071" s="11" t="s">
        <v>19</v>
      </c>
      <c r="I1071" s="11">
        <v>2022</v>
      </c>
      <c r="J1071" s="12" t="str">
        <f ca="1">IFERROR(__xludf.DUMMYFUNCTION("FILTER('CLASFICACIÓN'!$F$3:$F2419,'CLASFICACIÓN'!$G$3:$G2419=M1071)"),"LOS 3 AÑOS")</f>
        <v>LOS 3 AÑOS</v>
      </c>
      <c r="K1071" s="12" t="s">
        <v>2011</v>
      </c>
      <c r="L1071" s="11" t="s">
        <v>92</v>
      </c>
      <c r="M1071" s="12" t="str">
        <f t="shared" ca="1" si="4"/>
        <v>601332 Secundaria</v>
      </c>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4"/>
    </row>
    <row r="1072" spans="1:36" ht="12.5" x14ac:dyDescent="0.25">
      <c r="A1072" s="9">
        <v>2057</v>
      </c>
      <c r="B1072" s="10" t="s">
        <v>60</v>
      </c>
      <c r="C1072" s="10" t="s">
        <v>41</v>
      </c>
      <c r="D1072" s="10" t="s">
        <v>42</v>
      </c>
      <c r="E1072" s="11" t="str">
        <f ca="1">IFERROR(__xludf.DUMMYFUNCTION("FILTER(Colegios!$B$2:$B2419,Colegios!$A$2:$A2419=L1072)"),"60133")</f>
        <v>60133</v>
      </c>
      <c r="F1072" s="11" t="s">
        <v>17</v>
      </c>
      <c r="G1072" s="10" t="s">
        <v>24</v>
      </c>
      <c r="H1072" s="11" t="s">
        <v>19</v>
      </c>
      <c r="I1072" s="11">
        <v>2022</v>
      </c>
      <c r="J1072" s="12" t="str">
        <f ca="1">IFERROR(__xludf.DUMMYFUNCTION("FILTER('CLASFICACIÓN'!$F$3:$F2419,'CLASFICACIÓN'!$G$3:$G2419=M1072)"),"LOS 3 AÑOS")</f>
        <v>LOS 3 AÑOS</v>
      </c>
      <c r="K1072" s="12" t="s">
        <v>2011</v>
      </c>
      <c r="L1072" s="11" t="s">
        <v>92</v>
      </c>
      <c r="M1072" s="12" t="str">
        <f t="shared" ca="1" si="4"/>
        <v>601332 Secundaria</v>
      </c>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4"/>
    </row>
    <row r="1073" spans="1:36" ht="12.5" x14ac:dyDescent="0.25">
      <c r="A1073" s="9">
        <v>2058</v>
      </c>
      <c r="B1073" s="10" t="s">
        <v>60</v>
      </c>
      <c r="C1073" s="10" t="s">
        <v>41</v>
      </c>
      <c r="D1073" s="10" t="s">
        <v>42</v>
      </c>
      <c r="E1073" s="11" t="str">
        <f ca="1">IFERROR(__xludf.DUMMYFUNCTION("FILTER(Colegios!$B$2:$B2419,Colegios!$A$2:$A2419=L1073)"),"60133")</f>
        <v>60133</v>
      </c>
      <c r="F1073" s="11" t="s">
        <v>17</v>
      </c>
      <c r="G1073" s="10" t="s">
        <v>24</v>
      </c>
      <c r="H1073" s="11" t="s">
        <v>19</v>
      </c>
      <c r="I1073" s="11">
        <v>2022</v>
      </c>
      <c r="J1073" s="12" t="str">
        <f ca="1">IFERROR(__xludf.DUMMYFUNCTION("FILTER('CLASFICACIÓN'!$F$3:$F2419,'CLASFICACIÓN'!$G$3:$G2419=M1073)"),"LOS 3 AÑOS")</f>
        <v>LOS 3 AÑOS</v>
      </c>
      <c r="K1073" s="12" t="s">
        <v>2011</v>
      </c>
      <c r="L1073" s="11" t="s">
        <v>92</v>
      </c>
      <c r="M1073" s="12" t="str">
        <f t="shared" ca="1" si="4"/>
        <v>601332 Secundaria</v>
      </c>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4"/>
    </row>
    <row r="1074" spans="1:36" ht="12.5" x14ac:dyDescent="0.25">
      <c r="A1074" s="9">
        <v>2059</v>
      </c>
      <c r="B1074" s="10" t="s">
        <v>60</v>
      </c>
      <c r="C1074" s="10" t="s">
        <v>41</v>
      </c>
      <c r="D1074" s="10" t="s">
        <v>42</v>
      </c>
      <c r="E1074" s="11" t="str">
        <f ca="1">IFERROR(__xludf.DUMMYFUNCTION("FILTER(Colegios!$B$2:$B2419,Colegios!$A$2:$A2419=L1074)"),"60133")</f>
        <v>60133</v>
      </c>
      <c r="F1074" s="11" t="s">
        <v>17</v>
      </c>
      <c r="G1074" s="10" t="s">
        <v>24</v>
      </c>
      <c r="H1074" s="11" t="s">
        <v>19</v>
      </c>
      <c r="I1074" s="11">
        <v>2022</v>
      </c>
      <c r="J1074" s="12" t="str">
        <f ca="1">IFERROR(__xludf.DUMMYFUNCTION("FILTER('CLASFICACIÓN'!$F$3:$F2419,'CLASFICACIÓN'!$G$3:$G2419=M1074)"),"LOS 3 AÑOS")</f>
        <v>LOS 3 AÑOS</v>
      </c>
      <c r="K1074" s="12" t="s">
        <v>2011</v>
      </c>
      <c r="L1074" s="11" t="s">
        <v>92</v>
      </c>
      <c r="M1074" s="12" t="str">
        <f t="shared" ca="1" si="4"/>
        <v>601332 Secundaria</v>
      </c>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4"/>
    </row>
    <row r="1075" spans="1:36" ht="12.5" x14ac:dyDescent="0.25">
      <c r="A1075" s="9">
        <v>2060</v>
      </c>
      <c r="B1075" s="10" t="s">
        <v>60</v>
      </c>
      <c r="C1075" s="10" t="s">
        <v>41</v>
      </c>
      <c r="D1075" s="10" t="s">
        <v>42</v>
      </c>
      <c r="E1075" s="11" t="str">
        <f ca="1">IFERROR(__xludf.DUMMYFUNCTION("FILTER(Colegios!$B$2:$B2419,Colegios!$A$2:$A2419=L1075)"),"60133")</f>
        <v>60133</v>
      </c>
      <c r="F1075" s="11" t="s">
        <v>17</v>
      </c>
      <c r="G1075" s="10" t="s">
        <v>18</v>
      </c>
      <c r="H1075" s="11" t="s">
        <v>19</v>
      </c>
      <c r="I1075" s="11">
        <v>2022</v>
      </c>
      <c r="J1075" s="12" t="str">
        <f ca="1">IFERROR(__xludf.DUMMYFUNCTION("FILTER('CLASFICACIÓN'!$F$3:$F2419,'CLASFICACIÓN'!$G$3:$G2419=M1075)"),"LOS 3 AÑOS")</f>
        <v>LOS 3 AÑOS</v>
      </c>
      <c r="K1075" s="12" t="s">
        <v>2011</v>
      </c>
      <c r="L1075" s="11" t="s">
        <v>92</v>
      </c>
      <c r="M1075" s="12" t="str">
        <f t="shared" ca="1" si="4"/>
        <v>601332 Secundaria</v>
      </c>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4"/>
    </row>
    <row r="1076" spans="1:36" ht="12.5" x14ac:dyDescent="0.25">
      <c r="A1076" s="9">
        <v>2061</v>
      </c>
      <c r="B1076" s="10" t="s">
        <v>60</v>
      </c>
      <c r="C1076" s="10" t="s">
        <v>41</v>
      </c>
      <c r="D1076" s="10" t="s">
        <v>42</v>
      </c>
      <c r="E1076" s="11" t="str">
        <f ca="1">IFERROR(__xludf.DUMMYFUNCTION("FILTER(Colegios!$B$2:$B2419,Colegios!$A$2:$A2419=L1076)"),"60133")</f>
        <v>60133</v>
      </c>
      <c r="F1076" s="11" t="s">
        <v>17</v>
      </c>
      <c r="G1076" s="10" t="s">
        <v>18</v>
      </c>
      <c r="H1076" s="11" t="s">
        <v>19</v>
      </c>
      <c r="I1076" s="11">
        <v>2022</v>
      </c>
      <c r="J1076" s="12" t="str">
        <f ca="1">IFERROR(__xludf.DUMMYFUNCTION("FILTER('CLASFICACIÓN'!$F$3:$F2419,'CLASFICACIÓN'!$G$3:$G2419=M1076)"),"LOS 3 AÑOS")</f>
        <v>LOS 3 AÑOS</v>
      </c>
      <c r="K1076" s="12" t="s">
        <v>2011</v>
      </c>
      <c r="L1076" s="11" t="s">
        <v>92</v>
      </c>
      <c r="M1076" s="12" t="str">
        <f t="shared" ca="1" si="4"/>
        <v>601332 Secundaria</v>
      </c>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4"/>
    </row>
    <row r="1077" spans="1:36" ht="12.5" x14ac:dyDescent="0.25">
      <c r="A1077" s="9">
        <v>2062</v>
      </c>
      <c r="B1077" s="10" t="s">
        <v>60</v>
      </c>
      <c r="C1077" s="10" t="s">
        <v>41</v>
      </c>
      <c r="D1077" s="10" t="s">
        <v>42</v>
      </c>
      <c r="E1077" s="11" t="str">
        <f ca="1">IFERROR(__xludf.DUMMYFUNCTION("FILTER(Colegios!$B$2:$B2419,Colegios!$A$2:$A2419=L1077)"),"60133")</f>
        <v>60133</v>
      </c>
      <c r="F1077" s="11" t="s">
        <v>17</v>
      </c>
      <c r="G1077" s="10" t="s">
        <v>24</v>
      </c>
      <c r="H1077" s="11" t="s">
        <v>19</v>
      </c>
      <c r="I1077" s="11">
        <v>2022</v>
      </c>
      <c r="J1077" s="12" t="str">
        <f ca="1">IFERROR(__xludf.DUMMYFUNCTION("FILTER('CLASFICACIÓN'!$F$3:$F2419,'CLASFICACIÓN'!$G$3:$G2419=M1077)"),"LOS 3 AÑOS")</f>
        <v>LOS 3 AÑOS</v>
      </c>
      <c r="K1077" s="12" t="s">
        <v>2011</v>
      </c>
      <c r="L1077" s="11" t="s">
        <v>92</v>
      </c>
      <c r="M1077" s="12" t="str">
        <f t="shared" ca="1" si="4"/>
        <v>601332 Secundaria</v>
      </c>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4"/>
    </row>
    <row r="1078" spans="1:36" ht="12.5" x14ac:dyDescent="0.25">
      <c r="A1078" s="9">
        <v>2063</v>
      </c>
      <c r="B1078" s="10" t="s">
        <v>60</v>
      </c>
      <c r="C1078" s="10" t="s">
        <v>41</v>
      </c>
      <c r="D1078" s="10" t="s">
        <v>42</v>
      </c>
      <c r="E1078" s="11" t="str">
        <f ca="1">IFERROR(__xludf.DUMMYFUNCTION("FILTER(Colegios!$B$2:$B2419,Colegios!$A$2:$A2419=L1078)"),"60133")</f>
        <v>60133</v>
      </c>
      <c r="F1078" s="11" t="s">
        <v>17</v>
      </c>
      <c r="G1078" s="10" t="s">
        <v>18</v>
      </c>
      <c r="H1078" s="11" t="s">
        <v>19</v>
      </c>
      <c r="I1078" s="11">
        <v>2022</v>
      </c>
      <c r="J1078" s="12" t="str">
        <f ca="1">IFERROR(__xludf.DUMMYFUNCTION("FILTER('CLASFICACIÓN'!$F$3:$F2419,'CLASFICACIÓN'!$G$3:$G2419=M1078)"),"LOS 3 AÑOS")</f>
        <v>LOS 3 AÑOS</v>
      </c>
      <c r="K1078" s="12" t="s">
        <v>2011</v>
      </c>
      <c r="L1078" s="11" t="s">
        <v>92</v>
      </c>
      <c r="M1078" s="12" t="str">
        <f t="shared" ca="1" si="4"/>
        <v>601332 Secundaria</v>
      </c>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4"/>
    </row>
    <row r="1079" spans="1:36" ht="12.5" x14ac:dyDescent="0.25">
      <c r="A1079" s="9">
        <v>2064</v>
      </c>
      <c r="B1079" s="10" t="s">
        <v>60</v>
      </c>
      <c r="C1079" s="10" t="s">
        <v>41</v>
      </c>
      <c r="D1079" s="10" t="s">
        <v>42</v>
      </c>
      <c r="E1079" s="11" t="str">
        <f ca="1">IFERROR(__xludf.DUMMYFUNCTION("FILTER(Colegios!$B$2:$B2419,Colegios!$A$2:$A2419=L1079)"),"60133")</f>
        <v>60133</v>
      </c>
      <c r="F1079" s="11" t="s">
        <v>17</v>
      </c>
      <c r="G1079" s="10" t="s">
        <v>18</v>
      </c>
      <c r="H1079" s="11" t="s">
        <v>19</v>
      </c>
      <c r="I1079" s="11">
        <v>2022</v>
      </c>
      <c r="J1079" s="12" t="str">
        <f ca="1">IFERROR(__xludf.DUMMYFUNCTION("FILTER('CLASFICACIÓN'!$F$3:$F2419,'CLASFICACIÓN'!$G$3:$G2419=M1079)"),"LOS 3 AÑOS")</f>
        <v>LOS 3 AÑOS</v>
      </c>
      <c r="K1079" s="12" t="s">
        <v>2011</v>
      </c>
      <c r="L1079" s="11" t="s">
        <v>92</v>
      </c>
      <c r="M1079" s="12" t="str">
        <f t="shared" ca="1" si="4"/>
        <v>601332 Secundaria</v>
      </c>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4"/>
    </row>
    <row r="1080" spans="1:36" ht="12.5" x14ac:dyDescent="0.25">
      <c r="A1080" s="9">
        <v>2065</v>
      </c>
      <c r="B1080" s="10" t="s">
        <v>60</v>
      </c>
      <c r="C1080" s="10" t="s">
        <v>41</v>
      </c>
      <c r="D1080" s="10" t="s">
        <v>42</v>
      </c>
      <c r="E1080" s="11" t="str">
        <f ca="1">IFERROR(__xludf.DUMMYFUNCTION("FILTER(Colegios!$B$2:$B2419,Colegios!$A$2:$A2419=L1080)"),"60133")</f>
        <v>60133</v>
      </c>
      <c r="F1080" s="11" t="s">
        <v>17</v>
      </c>
      <c r="G1080" s="10" t="s">
        <v>24</v>
      </c>
      <c r="H1080" s="11" t="s">
        <v>19</v>
      </c>
      <c r="I1080" s="11">
        <v>2022</v>
      </c>
      <c r="J1080" s="12" t="str">
        <f ca="1">IFERROR(__xludf.DUMMYFUNCTION("FILTER('CLASFICACIÓN'!$F$3:$F2419,'CLASFICACIÓN'!$G$3:$G2419=M1080)"),"LOS 3 AÑOS")</f>
        <v>LOS 3 AÑOS</v>
      </c>
      <c r="K1080" s="12" t="s">
        <v>2011</v>
      </c>
      <c r="L1080" s="11" t="s">
        <v>92</v>
      </c>
      <c r="M1080" s="12" t="str">
        <f t="shared" ca="1" si="4"/>
        <v>601332 Secundaria</v>
      </c>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4"/>
    </row>
    <row r="1081" spans="1:36" ht="12.5" x14ac:dyDescent="0.25">
      <c r="A1081" s="9">
        <v>2066</v>
      </c>
      <c r="B1081" s="10" t="s">
        <v>60</v>
      </c>
      <c r="C1081" s="10" t="s">
        <v>41</v>
      </c>
      <c r="D1081" s="10" t="s">
        <v>42</v>
      </c>
      <c r="E1081" s="11" t="str">
        <f ca="1">IFERROR(__xludf.DUMMYFUNCTION("FILTER(Colegios!$B$2:$B2419,Colegios!$A$2:$A2419=L1081)"),"60133")</f>
        <v>60133</v>
      </c>
      <c r="F1081" s="11" t="s">
        <v>17</v>
      </c>
      <c r="G1081" s="10" t="s">
        <v>24</v>
      </c>
      <c r="H1081" s="11" t="s">
        <v>19</v>
      </c>
      <c r="I1081" s="11">
        <v>2022</v>
      </c>
      <c r="J1081" s="12" t="str">
        <f ca="1">IFERROR(__xludf.DUMMYFUNCTION("FILTER('CLASFICACIÓN'!$F$3:$F2419,'CLASFICACIÓN'!$G$3:$G2419=M1081)"),"LOS 3 AÑOS")</f>
        <v>LOS 3 AÑOS</v>
      </c>
      <c r="K1081" s="12" t="s">
        <v>2011</v>
      </c>
      <c r="L1081" s="11" t="s">
        <v>92</v>
      </c>
      <c r="M1081" s="12" t="str">
        <f t="shared" ca="1" si="4"/>
        <v>601332 Secundaria</v>
      </c>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4"/>
    </row>
    <row r="1082" spans="1:36" ht="12.5" x14ac:dyDescent="0.25">
      <c r="A1082" s="9">
        <v>2067</v>
      </c>
      <c r="B1082" s="10" t="s">
        <v>60</v>
      </c>
      <c r="C1082" s="10" t="s">
        <v>41</v>
      </c>
      <c r="D1082" s="10" t="s">
        <v>42</v>
      </c>
      <c r="E1082" s="11" t="str">
        <f ca="1">IFERROR(__xludf.DUMMYFUNCTION("FILTER(Colegios!$B$2:$B2419,Colegios!$A$2:$A2419=L1082)"),"60133")</f>
        <v>60133</v>
      </c>
      <c r="F1082" s="11" t="s">
        <v>17</v>
      </c>
      <c r="G1082" s="10" t="s">
        <v>18</v>
      </c>
      <c r="H1082" s="11" t="s">
        <v>19</v>
      </c>
      <c r="I1082" s="11">
        <v>2022</v>
      </c>
      <c r="J1082" s="12" t="str">
        <f ca="1">IFERROR(__xludf.DUMMYFUNCTION("FILTER('CLASFICACIÓN'!$F$3:$F2419,'CLASFICACIÓN'!$G$3:$G2419=M1082)"),"LOS 3 AÑOS")</f>
        <v>LOS 3 AÑOS</v>
      </c>
      <c r="K1082" s="12" t="s">
        <v>2011</v>
      </c>
      <c r="L1082" s="11" t="s">
        <v>92</v>
      </c>
      <c r="M1082" s="12" t="str">
        <f t="shared" ca="1" si="4"/>
        <v>601332 Secundaria</v>
      </c>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4"/>
    </row>
    <row r="1083" spans="1:36" ht="12.5" x14ac:dyDescent="0.25">
      <c r="A1083" s="9">
        <v>2068</v>
      </c>
      <c r="B1083" s="10" t="s">
        <v>60</v>
      </c>
      <c r="C1083" s="10" t="s">
        <v>41</v>
      </c>
      <c r="D1083" s="10" t="s">
        <v>42</v>
      </c>
      <c r="E1083" s="11" t="str">
        <f ca="1">IFERROR(__xludf.DUMMYFUNCTION("FILTER(Colegios!$B$2:$B2419,Colegios!$A$2:$A2419=L1083)"),"60133")</f>
        <v>60133</v>
      </c>
      <c r="F1083" s="11" t="s">
        <v>17</v>
      </c>
      <c r="G1083" s="10" t="s">
        <v>18</v>
      </c>
      <c r="H1083" s="11" t="s">
        <v>19</v>
      </c>
      <c r="I1083" s="11">
        <v>2022</v>
      </c>
      <c r="J1083" s="12" t="str">
        <f ca="1">IFERROR(__xludf.DUMMYFUNCTION("FILTER('CLASFICACIÓN'!$F$3:$F2419,'CLASFICACIÓN'!$G$3:$G2419=M1083)"),"LOS 3 AÑOS")</f>
        <v>LOS 3 AÑOS</v>
      </c>
      <c r="K1083" s="12" t="s">
        <v>2011</v>
      </c>
      <c r="L1083" s="11" t="s">
        <v>92</v>
      </c>
      <c r="M1083" s="12" t="str">
        <f t="shared" ca="1" si="4"/>
        <v>601332 Secundaria</v>
      </c>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4"/>
    </row>
    <row r="1084" spans="1:36" ht="12.5" x14ac:dyDescent="0.25">
      <c r="A1084" s="9">
        <v>2069</v>
      </c>
      <c r="B1084" s="10" t="s">
        <v>60</v>
      </c>
      <c r="C1084" s="10" t="s">
        <v>41</v>
      </c>
      <c r="D1084" s="10" t="s">
        <v>42</v>
      </c>
      <c r="E1084" s="11" t="str">
        <f ca="1">IFERROR(__xludf.DUMMYFUNCTION("FILTER(Colegios!$B$2:$B2419,Colegios!$A$2:$A2419=L1084)"),"60133")</f>
        <v>60133</v>
      </c>
      <c r="F1084" s="11" t="s">
        <v>17</v>
      </c>
      <c r="G1084" s="10" t="s">
        <v>24</v>
      </c>
      <c r="H1084" s="11" t="s">
        <v>19</v>
      </c>
      <c r="I1084" s="11">
        <v>2022</v>
      </c>
      <c r="J1084" s="12" t="str">
        <f ca="1">IFERROR(__xludf.DUMMYFUNCTION("FILTER('CLASFICACIÓN'!$F$3:$F2419,'CLASFICACIÓN'!$G$3:$G2419=M1084)"),"LOS 3 AÑOS")</f>
        <v>LOS 3 AÑOS</v>
      </c>
      <c r="K1084" s="12" t="s">
        <v>2011</v>
      </c>
      <c r="L1084" s="11" t="s">
        <v>92</v>
      </c>
      <c r="M1084" s="12" t="str">
        <f t="shared" ca="1" si="4"/>
        <v>601332 Secundaria</v>
      </c>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4"/>
    </row>
    <row r="1085" spans="1:36" ht="12.5" x14ac:dyDescent="0.25">
      <c r="A1085" s="9">
        <v>2070</v>
      </c>
      <c r="B1085" s="10" t="s">
        <v>60</v>
      </c>
      <c r="C1085" s="10" t="s">
        <v>41</v>
      </c>
      <c r="D1085" s="10" t="s">
        <v>42</v>
      </c>
      <c r="E1085" s="11" t="str">
        <f ca="1">IFERROR(__xludf.DUMMYFUNCTION("FILTER(Colegios!$B$2:$B2419,Colegios!$A$2:$A2419=L1085)"),"60133")</f>
        <v>60133</v>
      </c>
      <c r="F1085" s="11" t="s">
        <v>17</v>
      </c>
      <c r="G1085" s="10" t="s">
        <v>18</v>
      </c>
      <c r="H1085" s="11" t="s">
        <v>19</v>
      </c>
      <c r="I1085" s="11">
        <v>2022</v>
      </c>
      <c r="J1085" s="12" t="str">
        <f ca="1">IFERROR(__xludf.DUMMYFUNCTION("FILTER('CLASFICACIÓN'!$F$3:$F2419,'CLASFICACIÓN'!$G$3:$G2419=M1085)"),"LOS 3 AÑOS")</f>
        <v>LOS 3 AÑOS</v>
      </c>
      <c r="K1085" s="12" t="s">
        <v>2011</v>
      </c>
      <c r="L1085" s="11" t="s">
        <v>92</v>
      </c>
      <c r="M1085" s="12" t="str">
        <f t="shared" ca="1" si="4"/>
        <v>601332 Secundaria</v>
      </c>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4"/>
    </row>
    <row r="1086" spans="1:36" ht="12.5" x14ac:dyDescent="0.25">
      <c r="A1086" s="9">
        <v>2071</v>
      </c>
      <c r="B1086" s="10" t="s">
        <v>60</v>
      </c>
      <c r="C1086" s="10" t="s">
        <v>41</v>
      </c>
      <c r="D1086" s="10" t="s">
        <v>42</v>
      </c>
      <c r="E1086" s="11" t="str">
        <f ca="1">IFERROR(__xludf.DUMMYFUNCTION("FILTER(Colegios!$B$2:$B2419,Colegios!$A$2:$A2419=L1086)"),"60133")</f>
        <v>60133</v>
      </c>
      <c r="F1086" s="11" t="s">
        <v>17</v>
      </c>
      <c r="G1086" s="10" t="s">
        <v>24</v>
      </c>
      <c r="H1086" s="11" t="s">
        <v>19</v>
      </c>
      <c r="I1086" s="11">
        <v>2022</v>
      </c>
      <c r="J1086" s="12" t="str">
        <f ca="1">IFERROR(__xludf.DUMMYFUNCTION("FILTER('CLASFICACIÓN'!$F$3:$F2419,'CLASFICACIÓN'!$G$3:$G2419=M1086)"),"LOS 3 AÑOS")</f>
        <v>LOS 3 AÑOS</v>
      </c>
      <c r="K1086" s="12" t="s">
        <v>2011</v>
      </c>
      <c r="L1086" s="11" t="s">
        <v>92</v>
      </c>
      <c r="M1086" s="12" t="str">
        <f t="shared" ca="1" si="4"/>
        <v>601332 Secundaria</v>
      </c>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4"/>
    </row>
    <row r="1087" spans="1:36" ht="12.5" x14ac:dyDescent="0.25">
      <c r="A1087" s="9">
        <v>2072</v>
      </c>
      <c r="B1087" s="10" t="s">
        <v>60</v>
      </c>
      <c r="C1087" s="10" t="s">
        <v>41</v>
      </c>
      <c r="D1087" s="10" t="s">
        <v>42</v>
      </c>
      <c r="E1087" s="11" t="str">
        <f ca="1">IFERROR(__xludf.DUMMYFUNCTION("FILTER(Colegios!$B$2:$B2419,Colegios!$A$2:$A2419=L1087)"),"60133")</f>
        <v>60133</v>
      </c>
      <c r="F1087" s="11" t="s">
        <v>17</v>
      </c>
      <c r="G1087" s="10" t="s">
        <v>24</v>
      </c>
      <c r="H1087" s="11" t="s">
        <v>19</v>
      </c>
      <c r="I1087" s="11">
        <v>2022</v>
      </c>
      <c r="J1087" s="12" t="str">
        <f ca="1">IFERROR(__xludf.DUMMYFUNCTION("FILTER('CLASFICACIÓN'!$F$3:$F2419,'CLASFICACIÓN'!$G$3:$G2419=M1087)"),"LOS 3 AÑOS")</f>
        <v>LOS 3 AÑOS</v>
      </c>
      <c r="K1087" s="12" t="s">
        <v>2011</v>
      </c>
      <c r="L1087" s="11" t="s">
        <v>92</v>
      </c>
      <c r="M1087" s="12" t="str">
        <f t="shared" ca="1" si="4"/>
        <v>601332 Secundaria</v>
      </c>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4"/>
    </row>
    <row r="1088" spans="1:36" ht="12.5" x14ac:dyDescent="0.25">
      <c r="A1088" s="9">
        <v>2073</v>
      </c>
      <c r="B1088" s="10" t="s">
        <v>60</v>
      </c>
      <c r="C1088" s="10" t="s">
        <v>41</v>
      </c>
      <c r="D1088" s="10" t="s">
        <v>42</v>
      </c>
      <c r="E1088" s="11" t="str">
        <f ca="1">IFERROR(__xludf.DUMMYFUNCTION("FILTER(Colegios!$B$2:$B2419,Colegios!$A$2:$A2419=L1088)"),"60133")</f>
        <v>60133</v>
      </c>
      <c r="F1088" s="11" t="s">
        <v>17</v>
      </c>
      <c r="G1088" s="10" t="s">
        <v>18</v>
      </c>
      <c r="H1088" s="11" t="s">
        <v>19</v>
      </c>
      <c r="I1088" s="11">
        <v>2022</v>
      </c>
      <c r="J1088" s="12" t="str">
        <f ca="1">IFERROR(__xludf.DUMMYFUNCTION("FILTER('CLASFICACIÓN'!$F$3:$F2419,'CLASFICACIÓN'!$G$3:$G2419=M1088)"),"LOS 3 AÑOS")</f>
        <v>LOS 3 AÑOS</v>
      </c>
      <c r="K1088" s="12" t="s">
        <v>2011</v>
      </c>
      <c r="L1088" s="11" t="s">
        <v>92</v>
      </c>
      <c r="M1088" s="12" t="str">
        <f t="shared" ca="1" si="4"/>
        <v>601332 Secundaria</v>
      </c>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4"/>
    </row>
    <row r="1089" spans="1:36" ht="12.5" x14ac:dyDescent="0.25">
      <c r="A1089" s="9">
        <v>2074</v>
      </c>
      <c r="B1089" s="10" t="s">
        <v>60</v>
      </c>
      <c r="C1089" s="10" t="s">
        <v>41</v>
      </c>
      <c r="D1089" s="10" t="s">
        <v>42</v>
      </c>
      <c r="E1089" s="11" t="str">
        <f ca="1">IFERROR(__xludf.DUMMYFUNCTION("FILTER(Colegios!$B$2:$B2419,Colegios!$A$2:$A2419=L1089)"),"60133")</f>
        <v>60133</v>
      </c>
      <c r="F1089" s="11" t="s">
        <v>17</v>
      </c>
      <c r="G1089" s="10" t="s">
        <v>18</v>
      </c>
      <c r="H1089" s="11" t="s">
        <v>19</v>
      </c>
      <c r="I1089" s="11">
        <v>2022</v>
      </c>
      <c r="J1089" s="12" t="str">
        <f ca="1">IFERROR(__xludf.DUMMYFUNCTION("FILTER('CLASFICACIÓN'!$F$3:$F2419,'CLASFICACIÓN'!$G$3:$G2419=M1089)"),"LOS 3 AÑOS")</f>
        <v>LOS 3 AÑOS</v>
      </c>
      <c r="K1089" s="12" t="s">
        <v>2011</v>
      </c>
      <c r="L1089" s="11" t="s">
        <v>92</v>
      </c>
      <c r="M1089" s="12" t="str">
        <f t="shared" ca="1" si="4"/>
        <v>601332 Secundaria</v>
      </c>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4"/>
    </row>
    <row r="1090" spans="1:36" ht="12.5" x14ac:dyDescent="0.25">
      <c r="A1090" s="9">
        <v>2075</v>
      </c>
      <c r="B1090" s="10" t="s">
        <v>60</v>
      </c>
      <c r="C1090" s="10" t="s">
        <v>41</v>
      </c>
      <c r="D1090" s="10" t="s">
        <v>42</v>
      </c>
      <c r="E1090" s="11" t="str">
        <f ca="1">IFERROR(__xludf.DUMMYFUNCTION("FILTER(Colegios!$B$2:$B2419,Colegios!$A$2:$A2419=L1090)"),"60133")</f>
        <v>60133</v>
      </c>
      <c r="F1090" s="11" t="s">
        <v>17</v>
      </c>
      <c r="G1090" s="10" t="s">
        <v>18</v>
      </c>
      <c r="H1090" s="11" t="s">
        <v>19</v>
      </c>
      <c r="I1090" s="11">
        <v>2022</v>
      </c>
      <c r="J1090" s="12" t="str">
        <f ca="1">IFERROR(__xludf.DUMMYFUNCTION("FILTER('CLASFICACIÓN'!$F$3:$F2419,'CLASFICACIÓN'!$G$3:$G2419=M1090)"),"LOS 3 AÑOS")</f>
        <v>LOS 3 AÑOS</v>
      </c>
      <c r="K1090" s="12" t="s">
        <v>2011</v>
      </c>
      <c r="L1090" s="11" t="s">
        <v>92</v>
      </c>
      <c r="M1090" s="12" t="str">
        <f t="shared" ca="1" si="4"/>
        <v>601332 Secundaria</v>
      </c>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4"/>
    </row>
    <row r="1091" spans="1:36" ht="12.5" x14ac:dyDescent="0.25">
      <c r="A1091" s="9">
        <v>2076</v>
      </c>
      <c r="B1091" s="10" t="s">
        <v>60</v>
      </c>
      <c r="C1091" s="10" t="s">
        <v>41</v>
      </c>
      <c r="D1091" s="10" t="s">
        <v>42</v>
      </c>
      <c r="E1091" s="11" t="str">
        <f ca="1">IFERROR(__xludf.DUMMYFUNCTION("FILTER(Colegios!$B$2:$B2419,Colegios!$A$2:$A2419=L1091)"),"60133")</f>
        <v>60133</v>
      </c>
      <c r="F1091" s="11" t="s">
        <v>17</v>
      </c>
      <c r="G1091" s="10" t="s">
        <v>24</v>
      </c>
      <c r="H1091" s="11" t="s">
        <v>19</v>
      </c>
      <c r="I1091" s="11">
        <v>2022</v>
      </c>
      <c r="J1091" s="12" t="str">
        <f ca="1">IFERROR(__xludf.DUMMYFUNCTION("FILTER('CLASFICACIÓN'!$F$3:$F2419,'CLASFICACIÓN'!$G$3:$G2419=M1091)"),"LOS 3 AÑOS")</f>
        <v>LOS 3 AÑOS</v>
      </c>
      <c r="K1091" s="12" t="s">
        <v>2011</v>
      </c>
      <c r="L1091" s="11" t="s">
        <v>92</v>
      </c>
      <c r="M1091" s="12" t="str">
        <f t="shared" ca="1" si="4"/>
        <v>601332 Secundaria</v>
      </c>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4"/>
    </row>
    <row r="1092" spans="1:36" ht="12.5" x14ac:dyDescent="0.25">
      <c r="A1092" s="9">
        <v>2077</v>
      </c>
      <c r="B1092" s="10" t="s">
        <v>60</v>
      </c>
      <c r="C1092" s="10" t="s">
        <v>15</v>
      </c>
      <c r="D1092" s="10" t="s">
        <v>16</v>
      </c>
      <c r="E1092" s="11" t="str">
        <f ca="1">IFERROR(__xludf.DUMMYFUNCTION("FILTER(Colegios!$B$2:$B2419,Colegios!$A$2:$A2419=L1092)"),"601448")</f>
        <v>601448</v>
      </c>
      <c r="F1092" s="11" t="s">
        <v>17</v>
      </c>
      <c r="G1092" s="10" t="s">
        <v>24</v>
      </c>
      <c r="H1092" s="11" t="s">
        <v>19</v>
      </c>
      <c r="I1092" s="11">
        <v>2022</v>
      </c>
      <c r="J1092" s="12" t="str">
        <f ca="1">IFERROR(__xludf.DUMMYFUNCTION("FILTER('CLASFICACIÓN'!$F$3:$F2419,'CLASFICACIÓN'!$G$3:$G2419=M1092)"),"LOS 3 AÑOS")</f>
        <v>LOS 3 AÑOS</v>
      </c>
      <c r="K1092" s="12" t="s">
        <v>2011</v>
      </c>
      <c r="L1092" s="11" t="s">
        <v>94</v>
      </c>
      <c r="M1092" s="12" t="str">
        <f t="shared" ca="1" si="4"/>
        <v>6014484 Primaria</v>
      </c>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4"/>
    </row>
    <row r="1093" spans="1:36" ht="12.5" x14ac:dyDescent="0.25">
      <c r="A1093" s="9">
        <v>2078</v>
      </c>
      <c r="B1093" s="10" t="s">
        <v>60</v>
      </c>
      <c r="C1093" s="10" t="s">
        <v>15</v>
      </c>
      <c r="D1093" s="10" t="s">
        <v>16</v>
      </c>
      <c r="E1093" s="11" t="str">
        <f ca="1">IFERROR(__xludf.DUMMYFUNCTION("FILTER(Colegios!$B$2:$B2419,Colegios!$A$2:$A2419=L1093)"),"601448")</f>
        <v>601448</v>
      </c>
      <c r="F1093" s="11" t="s">
        <v>17</v>
      </c>
      <c r="G1093" s="10" t="s">
        <v>24</v>
      </c>
      <c r="H1093" s="11" t="s">
        <v>19</v>
      </c>
      <c r="I1093" s="11">
        <v>2022</v>
      </c>
      <c r="J1093" s="12" t="str">
        <f ca="1">IFERROR(__xludf.DUMMYFUNCTION("FILTER('CLASFICACIÓN'!$F$3:$F2419,'CLASFICACIÓN'!$G$3:$G2419=M1093)"),"LOS 3 AÑOS")</f>
        <v>LOS 3 AÑOS</v>
      </c>
      <c r="K1093" s="12" t="s">
        <v>2011</v>
      </c>
      <c r="L1093" s="11" t="s">
        <v>94</v>
      </c>
      <c r="M1093" s="12" t="str">
        <f t="shared" ca="1" si="4"/>
        <v>6014484 Primaria</v>
      </c>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4"/>
    </row>
    <row r="1094" spans="1:36" ht="12.5" x14ac:dyDescent="0.25">
      <c r="A1094" s="9">
        <v>2079</v>
      </c>
      <c r="B1094" s="10" t="s">
        <v>60</v>
      </c>
      <c r="C1094" s="10" t="s">
        <v>15</v>
      </c>
      <c r="D1094" s="10" t="s">
        <v>16</v>
      </c>
      <c r="E1094" s="11" t="str">
        <f ca="1">IFERROR(__xludf.DUMMYFUNCTION("FILTER(Colegios!$B$2:$B2419,Colegios!$A$2:$A2419=L1094)"),"601448")</f>
        <v>601448</v>
      </c>
      <c r="F1094" s="11" t="s">
        <v>17</v>
      </c>
      <c r="G1094" s="10" t="s">
        <v>18</v>
      </c>
      <c r="H1094" s="11" t="s">
        <v>19</v>
      </c>
      <c r="I1094" s="11">
        <v>2022</v>
      </c>
      <c r="J1094" s="12" t="str">
        <f ca="1">IFERROR(__xludf.DUMMYFUNCTION("FILTER('CLASFICACIÓN'!$F$3:$F2419,'CLASFICACIÓN'!$G$3:$G2419=M1094)"),"LOS 3 AÑOS")</f>
        <v>LOS 3 AÑOS</v>
      </c>
      <c r="K1094" s="12" t="s">
        <v>2011</v>
      </c>
      <c r="L1094" s="11" t="s">
        <v>94</v>
      </c>
      <c r="M1094" s="12" t="str">
        <f t="shared" ca="1" si="4"/>
        <v>6014484 Primaria</v>
      </c>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4"/>
    </row>
    <row r="1095" spans="1:36" ht="12.5" x14ac:dyDescent="0.25">
      <c r="A1095" s="9">
        <v>2080</v>
      </c>
      <c r="B1095" s="10" t="s">
        <v>60</v>
      </c>
      <c r="C1095" s="10" t="s">
        <v>15</v>
      </c>
      <c r="D1095" s="10" t="s">
        <v>16</v>
      </c>
      <c r="E1095" s="11" t="str">
        <f ca="1">IFERROR(__xludf.DUMMYFUNCTION("FILTER(Colegios!$B$2:$B2419,Colegios!$A$2:$A2419=L1095)"),"601331")</f>
        <v>601331</v>
      </c>
      <c r="F1095" s="11" t="s">
        <v>17</v>
      </c>
      <c r="G1095" s="10" t="s">
        <v>24</v>
      </c>
      <c r="H1095" s="11" t="s">
        <v>25</v>
      </c>
      <c r="I1095" s="11">
        <v>2022</v>
      </c>
      <c r="J1095" s="12" t="str">
        <f ca="1">IFERROR(__xludf.DUMMYFUNCTION("FILTER('CLASFICACIÓN'!$F$3:$F2419,'CLASFICACIÓN'!$G$3:$G2419=M1095)"),"LOS 3 AÑOS")</f>
        <v>LOS 3 AÑOS</v>
      </c>
      <c r="K1095" s="12" t="s">
        <v>2012</v>
      </c>
      <c r="L1095" s="11" t="s">
        <v>91</v>
      </c>
      <c r="M1095" s="12" t="str">
        <f t="shared" ca="1" si="4"/>
        <v>6013314 Primaria</v>
      </c>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4"/>
    </row>
    <row r="1096" spans="1:36" ht="12.5" x14ac:dyDescent="0.25">
      <c r="A1096" s="9">
        <v>2081</v>
      </c>
      <c r="B1096" s="10" t="s">
        <v>60</v>
      </c>
      <c r="C1096" s="10" t="s">
        <v>15</v>
      </c>
      <c r="D1096" s="10" t="s">
        <v>16</v>
      </c>
      <c r="E1096" s="11" t="str">
        <f ca="1">IFERROR(__xludf.DUMMYFUNCTION("FILTER(Colegios!$B$2:$B2419,Colegios!$A$2:$A2419=L1096)"),"6010230 BARBARA D'ACHILLE")</f>
        <v>6010230 BARBARA D'ACHILLE</v>
      </c>
      <c r="F1096" s="11" t="s">
        <v>17</v>
      </c>
      <c r="G1096" s="10" t="s">
        <v>18</v>
      </c>
      <c r="H1096" s="11" t="s">
        <v>19</v>
      </c>
      <c r="I1096" s="11">
        <v>2022</v>
      </c>
      <c r="J1096" s="12" t="str">
        <f ca="1">IFERROR(__xludf.DUMMYFUNCTION("FILTER('CLASFICACIÓN'!$F$3:$F2419,'CLASFICACIÓN'!$G$3:$G2419=M1096)"),"LOS 3 AÑOS")</f>
        <v>LOS 3 AÑOS</v>
      </c>
      <c r="K1096" s="12" t="s">
        <v>2011</v>
      </c>
      <c r="L1096" s="11" t="s">
        <v>93</v>
      </c>
      <c r="M1096" s="12" t="str">
        <f t="shared" ca="1" si="4"/>
        <v>6010230 BARBARA D'ACHILLE4 Primaria</v>
      </c>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4"/>
    </row>
    <row r="1097" spans="1:36" ht="12.5" x14ac:dyDescent="0.25">
      <c r="A1097" s="9">
        <v>2082</v>
      </c>
      <c r="B1097" s="10" t="s">
        <v>60</v>
      </c>
      <c r="C1097" s="10" t="s">
        <v>15</v>
      </c>
      <c r="D1097" s="10" t="s">
        <v>16</v>
      </c>
      <c r="E1097" s="11" t="str">
        <f ca="1">IFERROR(__xludf.DUMMYFUNCTION("FILTER(Colegios!$B$2:$B2419,Colegios!$A$2:$A2419=L1097)"),"6010230 BARBARA D'ACHILLE")</f>
        <v>6010230 BARBARA D'ACHILLE</v>
      </c>
      <c r="F1097" s="11" t="s">
        <v>17</v>
      </c>
      <c r="G1097" s="10" t="s">
        <v>18</v>
      </c>
      <c r="H1097" s="11" t="s">
        <v>19</v>
      </c>
      <c r="I1097" s="11">
        <v>2022</v>
      </c>
      <c r="J1097" s="12" t="str">
        <f ca="1">IFERROR(__xludf.DUMMYFUNCTION("FILTER('CLASFICACIÓN'!$F$3:$F2419,'CLASFICACIÓN'!$G$3:$G2419=M1097)"),"LOS 3 AÑOS")</f>
        <v>LOS 3 AÑOS</v>
      </c>
      <c r="K1097" s="12" t="s">
        <v>2011</v>
      </c>
      <c r="L1097" s="11" t="s">
        <v>93</v>
      </c>
      <c r="M1097" s="12" t="str">
        <f t="shared" ca="1" si="4"/>
        <v>6010230 BARBARA D'ACHILLE4 Primaria</v>
      </c>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4"/>
    </row>
    <row r="1098" spans="1:36" ht="12.5" x14ac:dyDescent="0.25">
      <c r="A1098" s="9">
        <v>2083</v>
      </c>
      <c r="B1098" s="10" t="s">
        <v>60</v>
      </c>
      <c r="C1098" s="10" t="s">
        <v>15</v>
      </c>
      <c r="D1098" s="10" t="s">
        <v>16</v>
      </c>
      <c r="E1098" s="11" t="str">
        <f ca="1">IFERROR(__xludf.DUMMYFUNCTION("FILTER(Colegios!$B$2:$B2419,Colegios!$A$2:$A2419=L1098)"),"6010230 BARBARA D'ACHILLE")</f>
        <v>6010230 BARBARA D'ACHILLE</v>
      </c>
      <c r="F1098" s="11" t="s">
        <v>17</v>
      </c>
      <c r="G1098" s="10" t="s">
        <v>18</v>
      </c>
      <c r="H1098" s="11" t="s">
        <v>19</v>
      </c>
      <c r="I1098" s="11">
        <v>2022</v>
      </c>
      <c r="J1098" s="12" t="str">
        <f ca="1">IFERROR(__xludf.DUMMYFUNCTION("FILTER('CLASFICACIÓN'!$F$3:$F2419,'CLASFICACIÓN'!$G$3:$G2419=M1098)"),"LOS 3 AÑOS")</f>
        <v>LOS 3 AÑOS</v>
      </c>
      <c r="K1098" s="12" t="s">
        <v>2011</v>
      </c>
      <c r="L1098" s="11" t="s">
        <v>93</v>
      </c>
      <c r="M1098" s="12" t="str">
        <f t="shared" ca="1" si="4"/>
        <v>6010230 BARBARA D'ACHILLE4 Primaria</v>
      </c>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4"/>
    </row>
    <row r="1099" spans="1:36" ht="12.5" x14ac:dyDescent="0.25">
      <c r="A1099" s="9">
        <v>2084</v>
      </c>
      <c r="B1099" s="10" t="s">
        <v>60</v>
      </c>
      <c r="C1099" s="10" t="s">
        <v>15</v>
      </c>
      <c r="D1099" s="10" t="s">
        <v>16</v>
      </c>
      <c r="E1099" s="11" t="str">
        <f ca="1">IFERROR(__xludf.DUMMYFUNCTION("FILTER(Colegios!$B$2:$B2419,Colegios!$A$2:$A2419=L1099)"),"6010230 BARBARA D'ACHILLE")</f>
        <v>6010230 BARBARA D'ACHILLE</v>
      </c>
      <c r="F1099" s="11" t="s">
        <v>17</v>
      </c>
      <c r="G1099" s="10" t="s">
        <v>18</v>
      </c>
      <c r="H1099" s="11" t="s">
        <v>19</v>
      </c>
      <c r="I1099" s="11">
        <v>2022</v>
      </c>
      <c r="J1099" s="12" t="str">
        <f ca="1">IFERROR(__xludf.DUMMYFUNCTION("FILTER('CLASFICACIÓN'!$F$3:$F2419,'CLASFICACIÓN'!$G$3:$G2419=M1099)"),"LOS 3 AÑOS")</f>
        <v>LOS 3 AÑOS</v>
      </c>
      <c r="K1099" s="12" t="s">
        <v>2011</v>
      </c>
      <c r="L1099" s="11" t="s">
        <v>93</v>
      </c>
      <c r="M1099" s="12" t="str">
        <f t="shared" ca="1" si="4"/>
        <v>6010230 BARBARA D'ACHILLE4 Primaria</v>
      </c>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4"/>
    </row>
    <row r="1100" spans="1:36" ht="12.5" x14ac:dyDescent="0.25">
      <c r="A1100" s="9">
        <v>2085</v>
      </c>
      <c r="B1100" s="10" t="s">
        <v>60</v>
      </c>
      <c r="C1100" s="10" t="s">
        <v>15</v>
      </c>
      <c r="D1100" s="10" t="s">
        <v>16</v>
      </c>
      <c r="E1100" s="11" t="str">
        <f ca="1">IFERROR(__xludf.DUMMYFUNCTION("FILTER(Colegios!$B$2:$B2419,Colegios!$A$2:$A2419=L1100)"),"6010230 BARBARA D'ACHILLE")</f>
        <v>6010230 BARBARA D'ACHILLE</v>
      </c>
      <c r="F1100" s="11" t="s">
        <v>17</v>
      </c>
      <c r="G1100" s="10" t="s">
        <v>24</v>
      </c>
      <c r="H1100" s="11" t="s">
        <v>19</v>
      </c>
      <c r="I1100" s="11">
        <v>2022</v>
      </c>
      <c r="J1100" s="12" t="str">
        <f ca="1">IFERROR(__xludf.DUMMYFUNCTION("FILTER('CLASFICACIÓN'!$F$3:$F2419,'CLASFICACIÓN'!$G$3:$G2419=M1100)"),"LOS 3 AÑOS")</f>
        <v>LOS 3 AÑOS</v>
      </c>
      <c r="K1100" s="12" t="s">
        <v>2011</v>
      </c>
      <c r="L1100" s="11" t="s">
        <v>93</v>
      </c>
      <c r="M1100" s="12" t="str">
        <f t="shared" ca="1" si="4"/>
        <v>6010230 BARBARA D'ACHILLE4 Primaria</v>
      </c>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4"/>
    </row>
    <row r="1101" spans="1:36" ht="12.5" x14ac:dyDescent="0.25">
      <c r="A1101" s="9">
        <v>2086</v>
      </c>
      <c r="B1101" s="10" t="s">
        <v>60</v>
      </c>
      <c r="C1101" s="10" t="s">
        <v>15</v>
      </c>
      <c r="D1101" s="10" t="s">
        <v>16</v>
      </c>
      <c r="E1101" s="11" t="str">
        <f ca="1">IFERROR(__xludf.DUMMYFUNCTION("FILTER(Colegios!$B$2:$B2419,Colegios!$A$2:$A2419=L1101)"),"6010230 BARBARA D'ACHILLE")</f>
        <v>6010230 BARBARA D'ACHILLE</v>
      </c>
      <c r="F1101" s="11" t="s">
        <v>17</v>
      </c>
      <c r="G1101" s="10" t="s">
        <v>18</v>
      </c>
      <c r="H1101" s="11" t="s">
        <v>19</v>
      </c>
      <c r="I1101" s="11">
        <v>2022</v>
      </c>
      <c r="J1101" s="12" t="str">
        <f ca="1">IFERROR(__xludf.DUMMYFUNCTION("FILTER('CLASFICACIÓN'!$F$3:$F2419,'CLASFICACIÓN'!$G$3:$G2419=M1101)"),"LOS 3 AÑOS")</f>
        <v>LOS 3 AÑOS</v>
      </c>
      <c r="K1101" s="12" t="s">
        <v>2011</v>
      </c>
      <c r="L1101" s="11" t="s">
        <v>93</v>
      </c>
      <c r="M1101" s="12" t="str">
        <f t="shared" ca="1" si="4"/>
        <v>6010230 BARBARA D'ACHILLE4 Primaria</v>
      </c>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4"/>
    </row>
    <row r="1102" spans="1:36" ht="12.5" x14ac:dyDescent="0.25">
      <c r="A1102" s="9">
        <v>2087</v>
      </c>
      <c r="B1102" s="10" t="s">
        <v>60</v>
      </c>
      <c r="C1102" s="10" t="s">
        <v>15</v>
      </c>
      <c r="D1102" s="10" t="s">
        <v>16</v>
      </c>
      <c r="E1102" s="11" t="str">
        <f ca="1">IFERROR(__xludf.DUMMYFUNCTION("FILTER(Colegios!$B$2:$B2419,Colegios!$A$2:$A2419=L1102)"),"6010230 BARBARA D'ACHILLE")</f>
        <v>6010230 BARBARA D'ACHILLE</v>
      </c>
      <c r="F1102" s="11" t="s">
        <v>17</v>
      </c>
      <c r="G1102" s="10" t="s">
        <v>24</v>
      </c>
      <c r="H1102" s="11" t="s">
        <v>19</v>
      </c>
      <c r="I1102" s="11">
        <v>2022</v>
      </c>
      <c r="J1102" s="12" t="str">
        <f ca="1">IFERROR(__xludf.DUMMYFUNCTION("FILTER('CLASFICACIÓN'!$F$3:$F2419,'CLASFICACIÓN'!$G$3:$G2419=M1102)"),"LOS 3 AÑOS")</f>
        <v>LOS 3 AÑOS</v>
      </c>
      <c r="K1102" s="12" t="s">
        <v>2011</v>
      </c>
      <c r="L1102" s="11" t="s">
        <v>93</v>
      </c>
      <c r="M1102" s="12" t="str">
        <f t="shared" ca="1" si="4"/>
        <v>6010230 BARBARA D'ACHILLE4 Primaria</v>
      </c>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4"/>
    </row>
    <row r="1103" spans="1:36" ht="12.5" x14ac:dyDescent="0.25">
      <c r="A1103" s="9">
        <v>2088</v>
      </c>
      <c r="B1103" s="10" t="s">
        <v>60</v>
      </c>
      <c r="C1103" s="10" t="s">
        <v>15</v>
      </c>
      <c r="D1103" s="10" t="s">
        <v>16</v>
      </c>
      <c r="E1103" s="11" t="str">
        <f ca="1">IFERROR(__xludf.DUMMYFUNCTION("FILTER(Colegios!$B$2:$B2419,Colegios!$A$2:$A2419=L1103)"),"6010230 BARBARA D'ACHILLE")</f>
        <v>6010230 BARBARA D'ACHILLE</v>
      </c>
      <c r="F1103" s="11" t="s">
        <v>17</v>
      </c>
      <c r="G1103" s="10" t="s">
        <v>18</v>
      </c>
      <c r="H1103" s="11" t="s">
        <v>19</v>
      </c>
      <c r="I1103" s="11">
        <v>2022</v>
      </c>
      <c r="J1103" s="12" t="str">
        <f ca="1">IFERROR(__xludf.DUMMYFUNCTION("FILTER('CLASFICACIÓN'!$F$3:$F2419,'CLASFICACIÓN'!$G$3:$G2419=M1103)"),"LOS 3 AÑOS")</f>
        <v>LOS 3 AÑOS</v>
      </c>
      <c r="K1103" s="12" t="s">
        <v>2011</v>
      </c>
      <c r="L1103" s="11" t="s">
        <v>93</v>
      </c>
      <c r="M1103" s="12" t="str">
        <f t="shared" ca="1" si="4"/>
        <v>6010230 BARBARA D'ACHILLE4 Primaria</v>
      </c>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4"/>
    </row>
    <row r="1104" spans="1:36" ht="12.5" x14ac:dyDescent="0.25">
      <c r="A1104" s="9">
        <v>2089</v>
      </c>
      <c r="B1104" s="10" t="s">
        <v>60</v>
      </c>
      <c r="C1104" s="10" t="s">
        <v>15</v>
      </c>
      <c r="D1104" s="10" t="s">
        <v>16</v>
      </c>
      <c r="E1104" s="11" t="str">
        <f ca="1">IFERROR(__xludf.DUMMYFUNCTION("FILTER(Colegios!$B$2:$B2419,Colegios!$A$2:$A2419=L1104)"),"6010230 BARBARA D'ACHILLE")</f>
        <v>6010230 BARBARA D'ACHILLE</v>
      </c>
      <c r="F1104" s="11" t="s">
        <v>17</v>
      </c>
      <c r="G1104" s="10" t="s">
        <v>24</v>
      </c>
      <c r="H1104" s="11" t="s">
        <v>19</v>
      </c>
      <c r="I1104" s="11">
        <v>2022</v>
      </c>
      <c r="J1104" s="12" t="str">
        <f ca="1">IFERROR(__xludf.DUMMYFUNCTION("FILTER('CLASFICACIÓN'!$F$3:$F2419,'CLASFICACIÓN'!$G$3:$G2419=M1104)"),"LOS 3 AÑOS")</f>
        <v>LOS 3 AÑOS</v>
      </c>
      <c r="K1104" s="12" t="s">
        <v>2011</v>
      </c>
      <c r="L1104" s="11" t="s">
        <v>93</v>
      </c>
      <c r="M1104" s="12" t="str">
        <f t="shared" ca="1" si="4"/>
        <v>6010230 BARBARA D'ACHILLE4 Primaria</v>
      </c>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4"/>
    </row>
    <row r="1105" spans="1:36" ht="12.5" x14ac:dyDescent="0.25">
      <c r="A1105" s="9">
        <v>2090</v>
      </c>
      <c r="B1105" s="10" t="s">
        <v>60</v>
      </c>
      <c r="C1105" s="10" t="s">
        <v>41</v>
      </c>
      <c r="D1105" s="10" t="s">
        <v>43</v>
      </c>
      <c r="E1105" s="11" t="str">
        <f ca="1">IFERROR(__xludf.DUMMYFUNCTION("FILTER(Colegios!$B$2:$B2419,Colegios!$A$2:$A2419=L1105)"),"EL MILAGRO")</f>
        <v>EL MILAGRO</v>
      </c>
      <c r="F1105" s="11" t="s">
        <v>17</v>
      </c>
      <c r="G1105" s="10" t="s">
        <v>18</v>
      </c>
      <c r="H1105" s="11" t="s">
        <v>19</v>
      </c>
      <c r="I1105" s="11">
        <v>2022</v>
      </c>
      <c r="J1105" s="12" t="str">
        <f ca="1">IFERROR(__xludf.DUMMYFUNCTION("FILTER('CLASFICACIÓN'!$F$3:$F2419,'CLASFICACIÓN'!$G$3:$G2419=M1105)"),"LOS 3 AÑOS")</f>
        <v>LOS 3 AÑOS</v>
      </c>
      <c r="K1105" s="12" t="s">
        <v>2013</v>
      </c>
      <c r="L1105" s="11" t="s">
        <v>65</v>
      </c>
      <c r="M1105" s="12" t="str">
        <f t="shared" ca="1" si="4"/>
        <v>EL MILAGRO4 Secundaria</v>
      </c>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4"/>
    </row>
    <row r="1106" spans="1:36" ht="12.5" x14ac:dyDescent="0.25">
      <c r="A1106" s="9">
        <v>2091</v>
      </c>
      <c r="B1106" s="10" t="s">
        <v>60</v>
      </c>
      <c r="C1106" s="10" t="s">
        <v>41</v>
      </c>
      <c r="D1106" s="10" t="s">
        <v>43</v>
      </c>
      <c r="E1106" s="11" t="str">
        <f ca="1">IFERROR(__xludf.DUMMYFUNCTION("FILTER(Colegios!$B$2:$B2419,Colegios!$A$2:$A2419=L1106)"),"EL MILAGRO")</f>
        <v>EL MILAGRO</v>
      </c>
      <c r="F1106" s="11" t="s">
        <v>17</v>
      </c>
      <c r="G1106" s="10" t="s">
        <v>24</v>
      </c>
      <c r="H1106" s="11" t="s">
        <v>19</v>
      </c>
      <c r="I1106" s="11">
        <v>2022</v>
      </c>
      <c r="J1106" s="12" t="str">
        <f ca="1">IFERROR(__xludf.DUMMYFUNCTION("FILTER('CLASFICACIÓN'!$F$3:$F2419,'CLASFICACIÓN'!$G$3:$G2419=M1106)"),"LOS 3 AÑOS")</f>
        <v>LOS 3 AÑOS</v>
      </c>
      <c r="K1106" s="12" t="s">
        <v>2013</v>
      </c>
      <c r="L1106" s="11" t="s">
        <v>65</v>
      </c>
      <c r="M1106" s="12" t="str">
        <f t="shared" ca="1" si="4"/>
        <v>EL MILAGRO4 Secundaria</v>
      </c>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4"/>
    </row>
    <row r="1107" spans="1:36" ht="12.5" x14ac:dyDescent="0.25">
      <c r="A1107" s="9">
        <v>2092</v>
      </c>
      <c r="B1107" s="10" t="s">
        <v>60</v>
      </c>
      <c r="C1107" s="10" t="s">
        <v>41</v>
      </c>
      <c r="D1107" s="10" t="s">
        <v>43</v>
      </c>
      <c r="E1107" s="11" t="str">
        <f ca="1">IFERROR(__xludf.DUMMYFUNCTION("FILTER(Colegios!$B$2:$B2419,Colegios!$A$2:$A2419=L1107)"),"EL MILAGRO")</f>
        <v>EL MILAGRO</v>
      </c>
      <c r="F1107" s="11" t="s">
        <v>17</v>
      </c>
      <c r="G1107" s="10" t="s">
        <v>18</v>
      </c>
      <c r="H1107" s="11" t="s">
        <v>23</v>
      </c>
      <c r="I1107" s="11">
        <v>2022</v>
      </c>
      <c r="J1107" s="12" t="str">
        <f ca="1">IFERROR(__xludf.DUMMYFUNCTION("FILTER('CLASFICACIÓN'!$F$3:$F2419,'CLASFICACIÓN'!$G$3:$G2419=M1107)"),"LOS 3 AÑOS")</f>
        <v>LOS 3 AÑOS</v>
      </c>
      <c r="K1107" s="12" t="s">
        <v>2013</v>
      </c>
      <c r="L1107" s="11" t="s">
        <v>65</v>
      </c>
      <c r="M1107" s="12" t="str">
        <f t="shared" ca="1" si="4"/>
        <v>EL MILAGRO4 Secundaria</v>
      </c>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4"/>
    </row>
    <row r="1108" spans="1:36" ht="12.5" x14ac:dyDescent="0.25">
      <c r="A1108" s="9">
        <v>2093</v>
      </c>
      <c r="B1108" s="10" t="s">
        <v>60</v>
      </c>
      <c r="C1108" s="10" t="s">
        <v>41</v>
      </c>
      <c r="D1108" s="10" t="s">
        <v>43</v>
      </c>
      <c r="E1108" s="11" t="str">
        <f ca="1">IFERROR(__xludf.DUMMYFUNCTION("FILTER(Colegios!$B$2:$B2419,Colegios!$A$2:$A2419=L1108)"),"EL MILAGRO")</f>
        <v>EL MILAGRO</v>
      </c>
      <c r="F1108" s="11" t="s">
        <v>17</v>
      </c>
      <c r="G1108" s="10" t="s">
        <v>18</v>
      </c>
      <c r="H1108" s="11" t="s">
        <v>19</v>
      </c>
      <c r="I1108" s="11">
        <v>2022</v>
      </c>
      <c r="J1108" s="12" t="str">
        <f ca="1">IFERROR(__xludf.DUMMYFUNCTION("FILTER('CLASFICACIÓN'!$F$3:$F2419,'CLASFICACIÓN'!$G$3:$G2419=M1108)"),"LOS 3 AÑOS")</f>
        <v>LOS 3 AÑOS</v>
      </c>
      <c r="K1108" s="12" t="s">
        <v>2013</v>
      </c>
      <c r="L1108" s="11" t="s">
        <v>65</v>
      </c>
      <c r="M1108" s="12" t="str">
        <f t="shared" ca="1" si="4"/>
        <v>EL MILAGRO4 Secundaria</v>
      </c>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4"/>
    </row>
    <row r="1109" spans="1:36" ht="12.5" x14ac:dyDescent="0.25">
      <c r="A1109" s="9">
        <v>2094</v>
      </c>
      <c r="B1109" s="10" t="s">
        <v>60</v>
      </c>
      <c r="C1109" s="10" t="s">
        <v>41</v>
      </c>
      <c r="D1109" s="10" t="s">
        <v>43</v>
      </c>
      <c r="E1109" s="11" t="str">
        <f ca="1">IFERROR(__xludf.DUMMYFUNCTION("FILTER(Colegios!$B$2:$B2419,Colegios!$A$2:$A2419=L1109)"),"EL MILAGRO")</f>
        <v>EL MILAGRO</v>
      </c>
      <c r="F1109" s="11" t="s">
        <v>17</v>
      </c>
      <c r="G1109" s="10" t="s">
        <v>24</v>
      </c>
      <c r="H1109" s="11" t="s">
        <v>19</v>
      </c>
      <c r="I1109" s="11">
        <v>2022</v>
      </c>
      <c r="J1109" s="12" t="str">
        <f ca="1">IFERROR(__xludf.DUMMYFUNCTION("FILTER('CLASFICACIÓN'!$F$3:$F2419,'CLASFICACIÓN'!$G$3:$G2419=M1109)"),"LOS 3 AÑOS")</f>
        <v>LOS 3 AÑOS</v>
      </c>
      <c r="K1109" s="12" t="s">
        <v>2013</v>
      </c>
      <c r="L1109" s="11" t="s">
        <v>65</v>
      </c>
      <c r="M1109" s="12" t="str">
        <f t="shared" ca="1" si="4"/>
        <v>EL MILAGRO4 Secundaria</v>
      </c>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4"/>
    </row>
    <row r="1110" spans="1:36" ht="12.5" x14ac:dyDescent="0.25">
      <c r="A1110" s="9">
        <v>2095</v>
      </c>
      <c r="B1110" s="10" t="s">
        <v>60</v>
      </c>
      <c r="C1110" s="10" t="s">
        <v>41</v>
      </c>
      <c r="D1110" s="10" t="s">
        <v>43</v>
      </c>
      <c r="E1110" s="11" t="str">
        <f ca="1">IFERROR(__xludf.DUMMYFUNCTION("FILTER(Colegios!$B$2:$B2419,Colegios!$A$2:$A2419=L1110)"),"EL MILAGRO")</f>
        <v>EL MILAGRO</v>
      </c>
      <c r="F1110" s="11" t="s">
        <v>17</v>
      </c>
      <c r="G1110" s="10" t="s">
        <v>24</v>
      </c>
      <c r="H1110" s="11" t="s">
        <v>19</v>
      </c>
      <c r="I1110" s="11">
        <v>2022</v>
      </c>
      <c r="J1110" s="12" t="str">
        <f ca="1">IFERROR(__xludf.DUMMYFUNCTION("FILTER('CLASFICACIÓN'!$F$3:$F2419,'CLASFICACIÓN'!$G$3:$G2419=M1110)"),"LOS 3 AÑOS")</f>
        <v>LOS 3 AÑOS</v>
      </c>
      <c r="K1110" s="12" t="s">
        <v>2013</v>
      </c>
      <c r="L1110" s="11" t="s">
        <v>65</v>
      </c>
      <c r="M1110" s="12" t="str">
        <f t="shared" ca="1" si="4"/>
        <v>EL MILAGRO4 Secundaria</v>
      </c>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4"/>
    </row>
    <row r="1111" spans="1:36" ht="12.5" x14ac:dyDescent="0.25">
      <c r="A1111" s="9">
        <v>2096</v>
      </c>
      <c r="B1111" s="10" t="s">
        <v>60</v>
      </c>
      <c r="C1111" s="10" t="s">
        <v>41</v>
      </c>
      <c r="D1111" s="10" t="s">
        <v>43</v>
      </c>
      <c r="E1111" s="11" t="str">
        <f ca="1">IFERROR(__xludf.DUMMYFUNCTION("FILTER(Colegios!$B$2:$B2419,Colegios!$A$2:$A2419=L1111)"),"EL MILAGRO")</f>
        <v>EL MILAGRO</v>
      </c>
      <c r="F1111" s="11" t="s">
        <v>17</v>
      </c>
      <c r="G1111" s="10" t="s">
        <v>24</v>
      </c>
      <c r="H1111" s="11" t="s">
        <v>19</v>
      </c>
      <c r="I1111" s="11">
        <v>2022</v>
      </c>
      <c r="J1111" s="12" t="str">
        <f ca="1">IFERROR(__xludf.DUMMYFUNCTION("FILTER('CLASFICACIÓN'!$F$3:$F2419,'CLASFICACIÓN'!$G$3:$G2419=M1111)"),"LOS 3 AÑOS")</f>
        <v>LOS 3 AÑOS</v>
      </c>
      <c r="K1111" s="12" t="s">
        <v>2013</v>
      </c>
      <c r="L1111" s="11" t="s">
        <v>65</v>
      </c>
      <c r="M1111" s="12" t="str">
        <f t="shared" ca="1" si="4"/>
        <v>EL MILAGRO4 Secundaria</v>
      </c>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4"/>
    </row>
    <row r="1112" spans="1:36" ht="12.5" x14ac:dyDescent="0.25">
      <c r="A1112" s="9">
        <v>2097</v>
      </c>
      <c r="B1112" s="10" t="s">
        <v>60</v>
      </c>
      <c r="C1112" s="10" t="s">
        <v>41</v>
      </c>
      <c r="D1112" s="10" t="s">
        <v>43</v>
      </c>
      <c r="E1112" s="11" t="str">
        <f ca="1">IFERROR(__xludf.DUMMYFUNCTION("FILTER(Colegios!$B$2:$B2419,Colegios!$A$2:$A2419=L1112)"),"EL MILAGRO")</f>
        <v>EL MILAGRO</v>
      </c>
      <c r="F1112" s="11" t="s">
        <v>17</v>
      </c>
      <c r="G1112" s="10" t="s">
        <v>18</v>
      </c>
      <c r="H1112" s="11" t="s">
        <v>19</v>
      </c>
      <c r="I1112" s="11">
        <v>2022</v>
      </c>
      <c r="J1112" s="12" t="str">
        <f ca="1">IFERROR(__xludf.DUMMYFUNCTION("FILTER('CLASFICACIÓN'!$F$3:$F2419,'CLASFICACIÓN'!$G$3:$G2419=M1112)"),"LOS 3 AÑOS")</f>
        <v>LOS 3 AÑOS</v>
      </c>
      <c r="K1112" s="12" t="s">
        <v>2013</v>
      </c>
      <c r="L1112" s="11" t="s">
        <v>65</v>
      </c>
      <c r="M1112" s="12" t="str">
        <f t="shared" ca="1" si="4"/>
        <v>EL MILAGRO4 Secundaria</v>
      </c>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4"/>
    </row>
    <row r="1113" spans="1:36" ht="12.5" x14ac:dyDescent="0.25">
      <c r="A1113" s="9">
        <v>2098</v>
      </c>
      <c r="B1113" s="10" t="s">
        <v>60</v>
      </c>
      <c r="C1113" s="10" t="s">
        <v>41</v>
      </c>
      <c r="D1113" s="10" t="s">
        <v>43</v>
      </c>
      <c r="E1113" s="11" t="str">
        <f ca="1">IFERROR(__xludf.DUMMYFUNCTION("FILTER(Colegios!$B$2:$B2419,Colegios!$A$2:$A2419=L1113)"),"EL MILAGRO")</f>
        <v>EL MILAGRO</v>
      </c>
      <c r="F1113" s="11" t="s">
        <v>17</v>
      </c>
      <c r="G1113" s="10" t="s">
        <v>18</v>
      </c>
      <c r="H1113" s="11" t="s">
        <v>19</v>
      </c>
      <c r="I1113" s="11">
        <v>2022</v>
      </c>
      <c r="J1113" s="12" t="str">
        <f ca="1">IFERROR(__xludf.DUMMYFUNCTION("FILTER('CLASFICACIÓN'!$F$3:$F2419,'CLASFICACIÓN'!$G$3:$G2419=M1113)"),"LOS 3 AÑOS")</f>
        <v>LOS 3 AÑOS</v>
      </c>
      <c r="K1113" s="12" t="s">
        <v>2013</v>
      </c>
      <c r="L1113" s="11" t="s">
        <v>65</v>
      </c>
      <c r="M1113" s="12" t="str">
        <f t="shared" ca="1" si="4"/>
        <v>EL MILAGRO4 Secundaria</v>
      </c>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4"/>
    </row>
    <row r="1114" spans="1:36" ht="12.5" x14ac:dyDescent="0.25">
      <c r="A1114" s="9">
        <v>2099</v>
      </c>
      <c r="B1114" s="10" t="s">
        <v>60</v>
      </c>
      <c r="C1114" s="10" t="s">
        <v>41</v>
      </c>
      <c r="D1114" s="10" t="s">
        <v>43</v>
      </c>
      <c r="E1114" s="11" t="str">
        <f ca="1">IFERROR(__xludf.DUMMYFUNCTION("FILTER(Colegios!$B$2:$B2419,Colegios!$A$2:$A2419=L1114)"),"EL MILAGRO")</f>
        <v>EL MILAGRO</v>
      </c>
      <c r="F1114" s="11" t="s">
        <v>17</v>
      </c>
      <c r="G1114" s="10" t="s">
        <v>18</v>
      </c>
      <c r="H1114" s="11" t="s">
        <v>19</v>
      </c>
      <c r="I1114" s="11">
        <v>2022</v>
      </c>
      <c r="J1114" s="12" t="str">
        <f ca="1">IFERROR(__xludf.DUMMYFUNCTION("FILTER('CLASFICACIÓN'!$F$3:$F2419,'CLASFICACIÓN'!$G$3:$G2419=M1114)"),"LOS 3 AÑOS")</f>
        <v>LOS 3 AÑOS</v>
      </c>
      <c r="K1114" s="12" t="s">
        <v>2013</v>
      </c>
      <c r="L1114" s="11" t="s">
        <v>65</v>
      </c>
      <c r="M1114" s="12" t="str">
        <f t="shared" ca="1" si="4"/>
        <v>EL MILAGRO4 Secundaria</v>
      </c>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4"/>
    </row>
    <row r="1115" spans="1:36" ht="12.5" x14ac:dyDescent="0.25">
      <c r="A1115" s="9">
        <v>2100</v>
      </c>
      <c r="B1115" s="10" t="s">
        <v>60</v>
      </c>
      <c r="C1115" s="10" t="s">
        <v>41</v>
      </c>
      <c r="D1115" s="10" t="s">
        <v>43</v>
      </c>
      <c r="E1115" s="11" t="str">
        <f ca="1">IFERROR(__xludf.DUMMYFUNCTION("FILTER(Colegios!$B$2:$B2419,Colegios!$A$2:$A2419=L1115)"),"EL MILAGRO")</f>
        <v>EL MILAGRO</v>
      </c>
      <c r="F1115" s="11" t="s">
        <v>17</v>
      </c>
      <c r="G1115" s="10" t="s">
        <v>18</v>
      </c>
      <c r="H1115" s="11" t="s">
        <v>19</v>
      </c>
      <c r="I1115" s="11">
        <v>2022</v>
      </c>
      <c r="J1115" s="12" t="str">
        <f ca="1">IFERROR(__xludf.DUMMYFUNCTION("FILTER('CLASFICACIÓN'!$F$3:$F2419,'CLASFICACIÓN'!$G$3:$G2419=M1115)"),"LOS 3 AÑOS")</f>
        <v>LOS 3 AÑOS</v>
      </c>
      <c r="K1115" s="12" t="s">
        <v>2013</v>
      </c>
      <c r="L1115" s="11" t="s">
        <v>65</v>
      </c>
      <c r="M1115" s="12" t="str">
        <f t="shared" ca="1" si="4"/>
        <v>EL MILAGRO4 Secundaria</v>
      </c>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4"/>
    </row>
    <row r="1116" spans="1:36" ht="12.5" x14ac:dyDescent="0.25">
      <c r="A1116" s="9">
        <v>2101</v>
      </c>
      <c r="B1116" s="10" t="s">
        <v>60</v>
      </c>
      <c r="C1116" s="10" t="s">
        <v>41</v>
      </c>
      <c r="D1116" s="10" t="s">
        <v>43</v>
      </c>
      <c r="E1116" s="11" t="str">
        <f ca="1">IFERROR(__xludf.DUMMYFUNCTION("FILTER(Colegios!$B$2:$B2419,Colegios!$A$2:$A2419=L1116)"),"EL MILAGRO")</f>
        <v>EL MILAGRO</v>
      </c>
      <c r="F1116" s="11" t="s">
        <v>17</v>
      </c>
      <c r="G1116" s="10" t="s">
        <v>24</v>
      </c>
      <c r="H1116" s="11" t="s">
        <v>19</v>
      </c>
      <c r="I1116" s="11">
        <v>2022</v>
      </c>
      <c r="J1116" s="12" t="str">
        <f ca="1">IFERROR(__xludf.DUMMYFUNCTION("FILTER('CLASFICACIÓN'!$F$3:$F2419,'CLASFICACIÓN'!$G$3:$G2419=M1116)"),"LOS 3 AÑOS")</f>
        <v>LOS 3 AÑOS</v>
      </c>
      <c r="K1116" s="12" t="s">
        <v>2013</v>
      </c>
      <c r="L1116" s="11" t="s">
        <v>65</v>
      </c>
      <c r="M1116" s="12" t="str">
        <f t="shared" ca="1" si="4"/>
        <v>EL MILAGRO4 Secundaria</v>
      </c>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4"/>
    </row>
    <row r="1117" spans="1:36" ht="12.5" x14ac:dyDescent="0.25">
      <c r="A1117" s="9">
        <v>2102</v>
      </c>
      <c r="B1117" s="10" t="s">
        <v>60</v>
      </c>
      <c r="C1117" s="10" t="s">
        <v>41</v>
      </c>
      <c r="D1117" s="10" t="s">
        <v>43</v>
      </c>
      <c r="E1117" s="11" t="str">
        <f ca="1">IFERROR(__xludf.DUMMYFUNCTION("FILTER(Colegios!$B$2:$B2419,Colegios!$A$2:$A2419=L1117)"),"EL MILAGRO")</f>
        <v>EL MILAGRO</v>
      </c>
      <c r="F1117" s="11" t="s">
        <v>17</v>
      </c>
      <c r="G1117" s="10" t="s">
        <v>24</v>
      </c>
      <c r="H1117" s="11" t="s">
        <v>19</v>
      </c>
      <c r="I1117" s="11">
        <v>2022</v>
      </c>
      <c r="J1117" s="12" t="str">
        <f ca="1">IFERROR(__xludf.DUMMYFUNCTION("FILTER('CLASFICACIÓN'!$F$3:$F2419,'CLASFICACIÓN'!$G$3:$G2419=M1117)"),"LOS 3 AÑOS")</f>
        <v>LOS 3 AÑOS</v>
      </c>
      <c r="K1117" s="12" t="s">
        <v>2013</v>
      </c>
      <c r="L1117" s="11" t="s">
        <v>65</v>
      </c>
      <c r="M1117" s="12" t="str">
        <f t="shared" ca="1" si="4"/>
        <v>EL MILAGRO4 Secundaria</v>
      </c>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4"/>
    </row>
    <row r="1118" spans="1:36" ht="12.5" x14ac:dyDescent="0.25">
      <c r="A1118" s="9">
        <v>2103</v>
      </c>
      <c r="B1118" s="10" t="s">
        <v>60</v>
      </c>
      <c r="C1118" s="10" t="s">
        <v>41</v>
      </c>
      <c r="D1118" s="10" t="s">
        <v>43</v>
      </c>
      <c r="E1118" s="11" t="str">
        <f ca="1">IFERROR(__xludf.DUMMYFUNCTION("FILTER(Colegios!$B$2:$B2419,Colegios!$A$2:$A2419=L1118)"),"EL MILAGRO")</f>
        <v>EL MILAGRO</v>
      </c>
      <c r="F1118" s="11" t="s">
        <v>17</v>
      </c>
      <c r="G1118" s="10" t="s">
        <v>24</v>
      </c>
      <c r="H1118" s="11" t="s">
        <v>19</v>
      </c>
      <c r="I1118" s="11">
        <v>2022</v>
      </c>
      <c r="J1118" s="12" t="str">
        <f ca="1">IFERROR(__xludf.DUMMYFUNCTION("FILTER('CLASFICACIÓN'!$F$3:$F2419,'CLASFICACIÓN'!$G$3:$G2419=M1118)"),"LOS 3 AÑOS")</f>
        <v>LOS 3 AÑOS</v>
      </c>
      <c r="K1118" s="12" t="s">
        <v>2013</v>
      </c>
      <c r="L1118" s="11" t="s">
        <v>65</v>
      </c>
      <c r="M1118" s="12" t="str">
        <f t="shared" ca="1" si="4"/>
        <v>EL MILAGRO4 Secundaria</v>
      </c>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4"/>
    </row>
    <row r="1119" spans="1:36" ht="12.5" x14ac:dyDescent="0.25">
      <c r="A1119" s="9">
        <v>2104</v>
      </c>
      <c r="B1119" s="10" t="s">
        <v>60</v>
      </c>
      <c r="C1119" s="10" t="s">
        <v>41</v>
      </c>
      <c r="D1119" s="10" t="s">
        <v>43</v>
      </c>
      <c r="E1119" s="11" t="str">
        <f ca="1">IFERROR(__xludf.DUMMYFUNCTION("FILTER(Colegios!$B$2:$B2419,Colegios!$A$2:$A2419=L1119)"),"EL MILAGRO")</f>
        <v>EL MILAGRO</v>
      </c>
      <c r="F1119" s="11" t="s">
        <v>17</v>
      </c>
      <c r="G1119" s="10" t="s">
        <v>18</v>
      </c>
      <c r="H1119" s="11" t="s">
        <v>19</v>
      </c>
      <c r="I1119" s="11">
        <v>2022</v>
      </c>
      <c r="J1119" s="12" t="str">
        <f ca="1">IFERROR(__xludf.DUMMYFUNCTION("FILTER('CLASFICACIÓN'!$F$3:$F2419,'CLASFICACIÓN'!$G$3:$G2419=M1119)"),"LOS 3 AÑOS")</f>
        <v>LOS 3 AÑOS</v>
      </c>
      <c r="K1119" s="12" t="s">
        <v>2013</v>
      </c>
      <c r="L1119" s="11" t="s">
        <v>65</v>
      </c>
      <c r="M1119" s="12" t="str">
        <f t="shared" ca="1" si="4"/>
        <v>EL MILAGRO4 Secundaria</v>
      </c>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4"/>
    </row>
    <row r="1120" spans="1:36" ht="12.5" x14ac:dyDescent="0.25">
      <c r="A1120" s="9">
        <v>2105</v>
      </c>
      <c r="B1120" s="10" t="s">
        <v>60</v>
      </c>
      <c r="C1120" s="10" t="s">
        <v>41</v>
      </c>
      <c r="D1120" s="10" t="s">
        <v>43</v>
      </c>
      <c r="E1120" s="11" t="str">
        <f ca="1">IFERROR(__xludf.DUMMYFUNCTION("FILTER(Colegios!$B$2:$B2419,Colegios!$A$2:$A2419=L1120)"),"EL MILAGRO")</f>
        <v>EL MILAGRO</v>
      </c>
      <c r="F1120" s="11" t="s">
        <v>17</v>
      </c>
      <c r="G1120" s="10" t="s">
        <v>18</v>
      </c>
      <c r="H1120" s="11" t="s">
        <v>19</v>
      </c>
      <c r="I1120" s="11">
        <v>2022</v>
      </c>
      <c r="J1120" s="12" t="str">
        <f ca="1">IFERROR(__xludf.DUMMYFUNCTION("FILTER('CLASFICACIÓN'!$F$3:$F2419,'CLASFICACIÓN'!$G$3:$G2419=M1120)"),"LOS 3 AÑOS")</f>
        <v>LOS 3 AÑOS</v>
      </c>
      <c r="K1120" s="12" t="s">
        <v>2013</v>
      </c>
      <c r="L1120" s="11" t="s">
        <v>65</v>
      </c>
      <c r="M1120" s="12" t="str">
        <f t="shared" ca="1" si="4"/>
        <v>EL MILAGRO4 Secundaria</v>
      </c>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4"/>
    </row>
    <row r="1121" spans="1:36" ht="12.5" x14ac:dyDescent="0.25">
      <c r="A1121" s="9">
        <v>2106</v>
      </c>
      <c r="B1121" s="10" t="s">
        <v>60</v>
      </c>
      <c r="C1121" s="10" t="s">
        <v>41</v>
      </c>
      <c r="D1121" s="10" t="s">
        <v>43</v>
      </c>
      <c r="E1121" s="11" t="str">
        <f ca="1">IFERROR(__xludf.DUMMYFUNCTION("FILTER(Colegios!$B$2:$B2419,Colegios!$A$2:$A2419=L1121)"),"EL MILAGRO")</f>
        <v>EL MILAGRO</v>
      </c>
      <c r="F1121" s="11" t="s">
        <v>17</v>
      </c>
      <c r="G1121" s="10" t="s">
        <v>18</v>
      </c>
      <c r="H1121" s="11" t="s">
        <v>19</v>
      </c>
      <c r="I1121" s="11">
        <v>2022</v>
      </c>
      <c r="J1121" s="12" t="str">
        <f ca="1">IFERROR(__xludf.DUMMYFUNCTION("FILTER('CLASFICACIÓN'!$F$3:$F2419,'CLASFICACIÓN'!$G$3:$G2419=M1121)"),"LOS 3 AÑOS")</f>
        <v>LOS 3 AÑOS</v>
      </c>
      <c r="K1121" s="12" t="s">
        <v>2013</v>
      </c>
      <c r="L1121" s="11" t="s">
        <v>65</v>
      </c>
      <c r="M1121" s="12" t="str">
        <f t="shared" ca="1" si="4"/>
        <v>EL MILAGRO4 Secundaria</v>
      </c>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4"/>
    </row>
    <row r="1122" spans="1:36" ht="12.5" x14ac:dyDescent="0.25">
      <c r="A1122" s="9">
        <v>2107</v>
      </c>
      <c r="B1122" s="10" t="s">
        <v>60</v>
      </c>
      <c r="C1122" s="10" t="s">
        <v>41</v>
      </c>
      <c r="D1122" s="10" t="s">
        <v>43</v>
      </c>
      <c r="E1122" s="11" t="str">
        <f ca="1">IFERROR(__xludf.DUMMYFUNCTION("FILTER(Colegios!$B$2:$B2419,Colegios!$A$2:$A2419=L1122)"),"EL MILAGRO")</f>
        <v>EL MILAGRO</v>
      </c>
      <c r="F1122" s="11" t="s">
        <v>17</v>
      </c>
      <c r="G1122" s="10" t="s">
        <v>18</v>
      </c>
      <c r="H1122" s="11" t="s">
        <v>19</v>
      </c>
      <c r="I1122" s="11">
        <v>2022</v>
      </c>
      <c r="J1122" s="12" t="str">
        <f ca="1">IFERROR(__xludf.DUMMYFUNCTION("FILTER('CLASFICACIÓN'!$F$3:$F2419,'CLASFICACIÓN'!$G$3:$G2419=M1122)"),"LOS 3 AÑOS")</f>
        <v>LOS 3 AÑOS</v>
      </c>
      <c r="K1122" s="12" t="s">
        <v>2013</v>
      </c>
      <c r="L1122" s="11" t="s">
        <v>65</v>
      </c>
      <c r="M1122" s="12" t="str">
        <f t="shared" ca="1" si="4"/>
        <v>EL MILAGRO4 Secundaria</v>
      </c>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4"/>
    </row>
    <row r="1123" spans="1:36" ht="12.5" x14ac:dyDescent="0.25">
      <c r="A1123" s="9">
        <v>2108</v>
      </c>
      <c r="B1123" s="10" t="s">
        <v>60</v>
      </c>
      <c r="C1123" s="10" t="s">
        <v>41</v>
      </c>
      <c r="D1123" s="10" t="s">
        <v>43</v>
      </c>
      <c r="E1123" s="11" t="str">
        <f ca="1">IFERROR(__xludf.DUMMYFUNCTION("FILTER(Colegios!$B$2:$B2419,Colegios!$A$2:$A2419=L1123)"),"EL MILAGRO")</f>
        <v>EL MILAGRO</v>
      </c>
      <c r="F1123" s="11" t="s">
        <v>17</v>
      </c>
      <c r="G1123" s="10" t="s">
        <v>18</v>
      </c>
      <c r="H1123" s="11" t="s">
        <v>19</v>
      </c>
      <c r="I1123" s="11">
        <v>2022</v>
      </c>
      <c r="J1123" s="12" t="str">
        <f ca="1">IFERROR(__xludf.DUMMYFUNCTION("FILTER('CLASFICACIÓN'!$F$3:$F2419,'CLASFICACIÓN'!$G$3:$G2419=M1123)"),"LOS 3 AÑOS")</f>
        <v>LOS 3 AÑOS</v>
      </c>
      <c r="K1123" s="12" t="s">
        <v>2013</v>
      </c>
      <c r="L1123" s="11" t="s">
        <v>65</v>
      </c>
      <c r="M1123" s="12" t="str">
        <f t="shared" ca="1" si="4"/>
        <v>EL MILAGRO4 Secundaria</v>
      </c>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4"/>
    </row>
    <row r="1124" spans="1:36" ht="12.5" x14ac:dyDescent="0.25">
      <c r="A1124" s="9">
        <v>2109</v>
      </c>
      <c r="B1124" s="10" t="s">
        <v>60</v>
      </c>
      <c r="C1124" s="10" t="s">
        <v>41</v>
      </c>
      <c r="D1124" s="10" t="s">
        <v>43</v>
      </c>
      <c r="E1124" s="11" t="str">
        <f ca="1">IFERROR(__xludf.DUMMYFUNCTION("FILTER(Colegios!$B$2:$B2419,Colegios!$A$2:$A2419=L1124)"),"EL MILAGRO")</f>
        <v>EL MILAGRO</v>
      </c>
      <c r="F1124" s="11" t="s">
        <v>17</v>
      </c>
      <c r="G1124" s="10" t="s">
        <v>18</v>
      </c>
      <c r="H1124" s="11" t="s">
        <v>19</v>
      </c>
      <c r="I1124" s="11">
        <v>2022</v>
      </c>
      <c r="J1124" s="12" t="str">
        <f ca="1">IFERROR(__xludf.DUMMYFUNCTION("FILTER('CLASFICACIÓN'!$F$3:$F2419,'CLASFICACIÓN'!$G$3:$G2419=M1124)"),"LOS 3 AÑOS")</f>
        <v>LOS 3 AÑOS</v>
      </c>
      <c r="K1124" s="12" t="s">
        <v>2013</v>
      </c>
      <c r="L1124" s="11" t="s">
        <v>65</v>
      </c>
      <c r="M1124" s="12" t="str">
        <f t="shared" ca="1" si="4"/>
        <v>EL MILAGRO4 Secundaria</v>
      </c>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4"/>
    </row>
    <row r="1125" spans="1:36" ht="12.5" x14ac:dyDescent="0.25">
      <c r="A1125" s="9">
        <v>2110</v>
      </c>
      <c r="B1125" s="10" t="s">
        <v>60</v>
      </c>
      <c r="C1125" s="10" t="s">
        <v>41</v>
      </c>
      <c r="D1125" s="10" t="s">
        <v>43</v>
      </c>
      <c r="E1125" s="11" t="str">
        <f ca="1">IFERROR(__xludf.DUMMYFUNCTION("FILTER(Colegios!$B$2:$B2419,Colegios!$A$2:$A2419=L1125)"),"EL MILAGRO")</f>
        <v>EL MILAGRO</v>
      </c>
      <c r="F1125" s="11" t="s">
        <v>17</v>
      </c>
      <c r="G1125" s="10" t="s">
        <v>24</v>
      </c>
      <c r="H1125" s="11" t="s">
        <v>19</v>
      </c>
      <c r="I1125" s="11">
        <v>2022</v>
      </c>
      <c r="J1125" s="12" t="str">
        <f ca="1">IFERROR(__xludf.DUMMYFUNCTION("FILTER('CLASFICACIÓN'!$F$3:$F2419,'CLASFICACIÓN'!$G$3:$G2419=M1125)"),"LOS 3 AÑOS")</f>
        <v>LOS 3 AÑOS</v>
      </c>
      <c r="K1125" s="12" t="s">
        <v>2013</v>
      </c>
      <c r="L1125" s="11" t="s">
        <v>65</v>
      </c>
      <c r="M1125" s="12" t="str">
        <f t="shared" ca="1" si="4"/>
        <v>EL MILAGRO4 Secundaria</v>
      </c>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4"/>
    </row>
    <row r="1126" spans="1:36" ht="12.5" x14ac:dyDescent="0.25">
      <c r="A1126" s="9">
        <v>2111</v>
      </c>
      <c r="B1126" s="10" t="s">
        <v>60</v>
      </c>
      <c r="C1126" s="10" t="s">
        <v>41</v>
      </c>
      <c r="D1126" s="10" t="s">
        <v>43</v>
      </c>
      <c r="E1126" s="11" t="str">
        <f ca="1">IFERROR(__xludf.DUMMYFUNCTION("FILTER(Colegios!$B$2:$B2419,Colegios!$A$2:$A2419=L1126)"),"EL MILAGRO")</f>
        <v>EL MILAGRO</v>
      </c>
      <c r="F1126" s="11" t="s">
        <v>17</v>
      </c>
      <c r="G1126" s="10" t="s">
        <v>18</v>
      </c>
      <c r="H1126" s="11" t="s">
        <v>19</v>
      </c>
      <c r="I1126" s="11">
        <v>2022</v>
      </c>
      <c r="J1126" s="12" t="str">
        <f ca="1">IFERROR(__xludf.DUMMYFUNCTION("FILTER('CLASFICACIÓN'!$F$3:$F2419,'CLASFICACIÓN'!$G$3:$G2419=M1126)"),"LOS 3 AÑOS")</f>
        <v>LOS 3 AÑOS</v>
      </c>
      <c r="K1126" s="12" t="s">
        <v>2013</v>
      </c>
      <c r="L1126" s="11" t="s">
        <v>65</v>
      </c>
      <c r="M1126" s="12" t="str">
        <f t="shared" ca="1" si="4"/>
        <v>EL MILAGRO4 Secundaria</v>
      </c>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4"/>
    </row>
    <row r="1127" spans="1:36" ht="12.5" x14ac:dyDescent="0.25">
      <c r="A1127" s="9">
        <v>2112</v>
      </c>
      <c r="B1127" s="10" t="s">
        <v>60</v>
      </c>
      <c r="C1127" s="10" t="s">
        <v>41</v>
      </c>
      <c r="D1127" s="10" t="s">
        <v>43</v>
      </c>
      <c r="E1127" s="11" t="str">
        <f ca="1">IFERROR(__xludf.DUMMYFUNCTION("FILTER(Colegios!$B$2:$B2419,Colegios!$A$2:$A2419=L1127)"),"EL MILAGRO")</f>
        <v>EL MILAGRO</v>
      </c>
      <c r="F1127" s="11" t="s">
        <v>17</v>
      </c>
      <c r="G1127" s="10" t="s">
        <v>18</v>
      </c>
      <c r="H1127" s="11" t="s">
        <v>19</v>
      </c>
      <c r="I1127" s="11">
        <v>2022</v>
      </c>
      <c r="J1127" s="12" t="str">
        <f ca="1">IFERROR(__xludf.DUMMYFUNCTION("FILTER('CLASFICACIÓN'!$F$3:$F2419,'CLASFICACIÓN'!$G$3:$G2419=M1127)"),"LOS 3 AÑOS")</f>
        <v>LOS 3 AÑOS</v>
      </c>
      <c r="K1127" s="12" t="s">
        <v>2013</v>
      </c>
      <c r="L1127" s="11" t="s">
        <v>65</v>
      </c>
      <c r="M1127" s="12" t="str">
        <f t="shared" ca="1" si="4"/>
        <v>EL MILAGRO4 Secundaria</v>
      </c>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4"/>
    </row>
    <row r="1128" spans="1:36" ht="12.5" x14ac:dyDescent="0.25">
      <c r="A1128" s="9">
        <v>2113</v>
      </c>
      <c r="B1128" s="10" t="s">
        <v>60</v>
      </c>
      <c r="C1128" s="10" t="s">
        <v>41</v>
      </c>
      <c r="D1128" s="10" t="s">
        <v>43</v>
      </c>
      <c r="E1128" s="11" t="str">
        <f ca="1">IFERROR(__xludf.DUMMYFUNCTION("FILTER(Colegios!$B$2:$B2419,Colegios!$A$2:$A2419=L1128)"),"EL MILAGRO")</f>
        <v>EL MILAGRO</v>
      </c>
      <c r="F1128" s="11" t="s">
        <v>17</v>
      </c>
      <c r="G1128" s="10" t="s">
        <v>24</v>
      </c>
      <c r="H1128" s="11" t="s">
        <v>19</v>
      </c>
      <c r="I1128" s="11">
        <v>2022</v>
      </c>
      <c r="J1128" s="12" t="str">
        <f ca="1">IFERROR(__xludf.DUMMYFUNCTION("FILTER('CLASFICACIÓN'!$F$3:$F2419,'CLASFICACIÓN'!$G$3:$G2419=M1128)"),"LOS 3 AÑOS")</f>
        <v>LOS 3 AÑOS</v>
      </c>
      <c r="K1128" s="12" t="s">
        <v>2013</v>
      </c>
      <c r="L1128" s="11" t="s">
        <v>65</v>
      </c>
      <c r="M1128" s="12" t="str">
        <f t="shared" ca="1" si="4"/>
        <v>EL MILAGRO4 Secundaria</v>
      </c>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4"/>
    </row>
    <row r="1129" spans="1:36" ht="12.5" x14ac:dyDescent="0.25">
      <c r="A1129" s="9">
        <v>2114</v>
      </c>
      <c r="B1129" s="10" t="s">
        <v>60</v>
      </c>
      <c r="C1129" s="10" t="s">
        <v>41</v>
      </c>
      <c r="D1129" s="10" t="s">
        <v>43</v>
      </c>
      <c r="E1129" s="11" t="str">
        <f ca="1">IFERROR(__xludf.DUMMYFUNCTION("FILTER(Colegios!$B$2:$B2419,Colegios!$A$2:$A2419=L1129)"),"601331")</f>
        <v>601331</v>
      </c>
      <c r="F1129" s="11" t="s">
        <v>17</v>
      </c>
      <c r="G1129" s="10" t="s">
        <v>24</v>
      </c>
      <c r="H1129" s="11" t="s">
        <v>25</v>
      </c>
      <c r="I1129" s="11">
        <v>2022</v>
      </c>
      <c r="J1129" s="12" t="str">
        <f ca="1">IFERROR(__xludf.DUMMYFUNCTION("FILTER('CLASFICACIÓN'!$F$3:$F2419,'CLASFICACIÓN'!$G$3:$G2419=M1129)"),"LOS 3 AÑOS")</f>
        <v>LOS 3 AÑOS</v>
      </c>
      <c r="K1129" s="12" t="s">
        <v>2012</v>
      </c>
      <c r="L1129" s="11" t="s">
        <v>91</v>
      </c>
      <c r="M1129" s="12" t="str">
        <f t="shared" ca="1" si="4"/>
        <v>6013314 Secundaria</v>
      </c>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4"/>
    </row>
    <row r="1130" spans="1:36" ht="12.5" x14ac:dyDescent="0.25">
      <c r="A1130" s="9">
        <v>2115</v>
      </c>
      <c r="B1130" s="10" t="s">
        <v>60</v>
      </c>
      <c r="C1130" s="10" t="s">
        <v>41</v>
      </c>
      <c r="D1130" s="10" t="s">
        <v>43</v>
      </c>
      <c r="E1130" s="11" t="str">
        <f ca="1">IFERROR(__xludf.DUMMYFUNCTION("FILTER(Colegios!$B$2:$B2419,Colegios!$A$2:$A2419=L1130)"),"601331")</f>
        <v>601331</v>
      </c>
      <c r="F1130" s="11" t="s">
        <v>17</v>
      </c>
      <c r="G1130" s="10" t="s">
        <v>18</v>
      </c>
      <c r="H1130" s="11" t="s">
        <v>19</v>
      </c>
      <c r="I1130" s="11">
        <v>2022</v>
      </c>
      <c r="J1130" s="12" t="str">
        <f ca="1">IFERROR(__xludf.DUMMYFUNCTION("FILTER('CLASFICACIÓN'!$F$3:$F2419,'CLASFICACIÓN'!$G$3:$G2419=M1130)"),"LOS 3 AÑOS")</f>
        <v>LOS 3 AÑOS</v>
      </c>
      <c r="K1130" s="12" t="s">
        <v>2012</v>
      </c>
      <c r="L1130" s="11" t="s">
        <v>91</v>
      </c>
      <c r="M1130" s="12" t="str">
        <f t="shared" ca="1" si="4"/>
        <v>6013314 Secundaria</v>
      </c>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4"/>
    </row>
    <row r="1131" spans="1:36" ht="12.5" x14ac:dyDescent="0.25">
      <c r="A1131" s="9">
        <v>2116</v>
      </c>
      <c r="B1131" s="10" t="s">
        <v>60</v>
      </c>
      <c r="C1131" s="10" t="s">
        <v>41</v>
      </c>
      <c r="D1131" s="10" t="s">
        <v>43</v>
      </c>
      <c r="E1131" s="11" t="str">
        <f ca="1">IFERROR(__xludf.DUMMYFUNCTION("FILTER(Colegios!$B$2:$B2419,Colegios!$A$2:$A2419=L1131)"),"601331")</f>
        <v>601331</v>
      </c>
      <c r="F1131" s="11" t="s">
        <v>17</v>
      </c>
      <c r="G1131" s="10" t="s">
        <v>24</v>
      </c>
      <c r="H1131" s="11" t="s">
        <v>19</v>
      </c>
      <c r="I1131" s="11">
        <v>2022</v>
      </c>
      <c r="J1131" s="12" t="str">
        <f ca="1">IFERROR(__xludf.DUMMYFUNCTION("FILTER('CLASFICACIÓN'!$F$3:$F2419,'CLASFICACIÓN'!$G$3:$G2419=M1131)"),"LOS 3 AÑOS")</f>
        <v>LOS 3 AÑOS</v>
      </c>
      <c r="K1131" s="12" t="s">
        <v>2012</v>
      </c>
      <c r="L1131" s="11" t="s">
        <v>91</v>
      </c>
      <c r="M1131" s="12" t="str">
        <f t="shared" ca="1" si="4"/>
        <v>6013314 Secundaria</v>
      </c>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4"/>
    </row>
    <row r="1132" spans="1:36" ht="12.5" x14ac:dyDescent="0.25">
      <c r="A1132" s="9">
        <v>2117</v>
      </c>
      <c r="B1132" s="10" t="s">
        <v>60</v>
      </c>
      <c r="C1132" s="10" t="s">
        <v>41</v>
      </c>
      <c r="D1132" s="10" t="s">
        <v>43</v>
      </c>
      <c r="E1132" s="11" t="str">
        <f ca="1">IFERROR(__xludf.DUMMYFUNCTION("FILTER(Colegios!$B$2:$B2419,Colegios!$A$2:$A2419=L1132)"),"601331")</f>
        <v>601331</v>
      </c>
      <c r="F1132" s="11" t="s">
        <v>17</v>
      </c>
      <c r="G1132" s="10" t="s">
        <v>18</v>
      </c>
      <c r="H1132" s="11" t="s">
        <v>23</v>
      </c>
      <c r="I1132" s="11">
        <v>2022</v>
      </c>
      <c r="J1132" s="12" t="str">
        <f ca="1">IFERROR(__xludf.DUMMYFUNCTION("FILTER('CLASFICACIÓN'!$F$3:$F2419,'CLASFICACIÓN'!$G$3:$G2419=M1132)"),"LOS 3 AÑOS")</f>
        <v>LOS 3 AÑOS</v>
      </c>
      <c r="K1132" s="12" t="s">
        <v>2012</v>
      </c>
      <c r="L1132" s="11" t="s">
        <v>91</v>
      </c>
      <c r="M1132" s="12" t="str">
        <f t="shared" ca="1" si="4"/>
        <v>6013314 Secundaria</v>
      </c>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4"/>
    </row>
    <row r="1133" spans="1:36" ht="12.5" x14ac:dyDescent="0.25">
      <c r="A1133" s="9">
        <v>2118</v>
      </c>
      <c r="B1133" s="10" t="s">
        <v>60</v>
      </c>
      <c r="C1133" s="10" t="s">
        <v>41</v>
      </c>
      <c r="D1133" s="10" t="s">
        <v>43</v>
      </c>
      <c r="E1133" s="11" t="str">
        <f ca="1">IFERROR(__xludf.DUMMYFUNCTION("FILTER(Colegios!$B$2:$B2419,Colegios!$A$2:$A2419=L1133)"),"601331")</f>
        <v>601331</v>
      </c>
      <c r="F1133" s="11" t="s">
        <v>17</v>
      </c>
      <c r="G1133" s="10" t="s">
        <v>18</v>
      </c>
      <c r="H1133" s="11" t="s">
        <v>25</v>
      </c>
      <c r="I1133" s="11">
        <v>2022</v>
      </c>
      <c r="J1133" s="12" t="str">
        <f ca="1">IFERROR(__xludf.DUMMYFUNCTION("FILTER('CLASFICACIÓN'!$F$3:$F2419,'CLASFICACIÓN'!$G$3:$G2419=M1133)"),"LOS 3 AÑOS")</f>
        <v>LOS 3 AÑOS</v>
      </c>
      <c r="K1133" s="12" t="s">
        <v>2012</v>
      </c>
      <c r="L1133" s="11" t="s">
        <v>91</v>
      </c>
      <c r="M1133" s="12" t="str">
        <f t="shared" ca="1" si="4"/>
        <v>6013314 Secundaria</v>
      </c>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4"/>
    </row>
    <row r="1134" spans="1:36" ht="12.5" x14ac:dyDescent="0.25">
      <c r="A1134" s="9">
        <v>2119</v>
      </c>
      <c r="B1134" s="10" t="s">
        <v>60</v>
      </c>
      <c r="C1134" s="10" t="s">
        <v>41</v>
      </c>
      <c r="D1134" s="10" t="s">
        <v>43</v>
      </c>
      <c r="E1134" s="11" t="str">
        <f ca="1">IFERROR(__xludf.DUMMYFUNCTION("FILTER(Colegios!$B$2:$B2419,Colegios!$A$2:$A2419=L1134)"),"601331")</f>
        <v>601331</v>
      </c>
      <c r="F1134" s="11" t="s">
        <v>17</v>
      </c>
      <c r="G1134" s="10" t="s">
        <v>18</v>
      </c>
      <c r="H1134" s="11" t="s">
        <v>19</v>
      </c>
      <c r="I1134" s="11">
        <v>2022</v>
      </c>
      <c r="J1134" s="12" t="str">
        <f ca="1">IFERROR(__xludf.DUMMYFUNCTION("FILTER('CLASFICACIÓN'!$F$3:$F2419,'CLASFICACIÓN'!$G$3:$G2419=M1134)"),"LOS 3 AÑOS")</f>
        <v>LOS 3 AÑOS</v>
      </c>
      <c r="K1134" s="12" t="s">
        <v>2012</v>
      </c>
      <c r="L1134" s="11" t="s">
        <v>91</v>
      </c>
      <c r="M1134" s="12" t="str">
        <f t="shared" ca="1" si="4"/>
        <v>6013314 Secundaria</v>
      </c>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4"/>
    </row>
    <row r="1135" spans="1:36" ht="12.5" x14ac:dyDescent="0.25">
      <c r="A1135" s="9">
        <v>2120</v>
      </c>
      <c r="B1135" s="10" t="s">
        <v>60</v>
      </c>
      <c r="C1135" s="10" t="s">
        <v>41</v>
      </c>
      <c r="D1135" s="10" t="s">
        <v>43</v>
      </c>
      <c r="E1135" s="11" t="str">
        <f ca="1">IFERROR(__xludf.DUMMYFUNCTION("FILTER(Colegios!$B$2:$B2419,Colegios!$A$2:$A2419=L1135)"),"601331")</f>
        <v>601331</v>
      </c>
      <c r="F1135" s="11" t="s">
        <v>17</v>
      </c>
      <c r="G1135" s="10" t="s">
        <v>18</v>
      </c>
      <c r="H1135" s="11" t="s">
        <v>23</v>
      </c>
      <c r="I1135" s="11">
        <v>2022</v>
      </c>
      <c r="J1135" s="12" t="str">
        <f ca="1">IFERROR(__xludf.DUMMYFUNCTION("FILTER('CLASFICACIÓN'!$F$3:$F2419,'CLASFICACIÓN'!$G$3:$G2419=M1135)"),"LOS 3 AÑOS")</f>
        <v>LOS 3 AÑOS</v>
      </c>
      <c r="K1135" s="12" t="s">
        <v>2012</v>
      </c>
      <c r="L1135" s="11" t="s">
        <v>91</v>
      </c>
      <c r="M1135" s="12" t="str">
        <f t="shared" ca="1" si="4"/>
        <v>6013314 Secundaria</v>
      </c>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4"/>
    </row>
    <row r="1136" spans="1:36" ht="12.5" x14ac:dyDescent="0.25">
      <c r="A1136" s="9">
        <v>2121</v>
      </c>
      <c r="B1136" s="10" t="s">
        <v>60</v>
      </c>
      <c r="C1136" s="10" t="s">
        <v>41</v>
      </c>
      <c r="D1136" s="10" t="s">
        <v>43</v>
      </c>
      <c r="E1136" s="11" t="str">
        <f ca="1">IFERROR(__xludf.DUMMYFUNCTION("FILTER(Colegios!$B$2:$B2419,Colegios!$A$2:$A2419=L1136)"),"601331")</f>
        <v>601331</v>
      </c>
      <c r="F1136" s="11" t="s">
        <v>17</v>
      </c>
      <c r="G1136" s="10" t="s">
        <v>24</v>
      </c>
      <c r="H1136" s="11" t="s">
        <v>19</v>
      </c>
      <c r="I1136" s="11">
        <v>2022</v>
      </c>
      <c r="J1136" s="12" t="str">
        <f ca="1">IFERROR(__xludf.DUMMYFUNCTION("FILTER('CLASFICACIÓN'!$F$3:$F2419,'CLASFICACIÓN'!$G$3:$G2419=M1136)"),"LOS 3 AÑOS")</f>
        <v>LOS 3 AÑOS</v>
      </c>
      <c r="K1136" s="12" t="s">
        <v>2012</v>
      </c>
      <c r="L1136" s="11" t="s">
        <v>91</v>
      </c>
      <c r="M1136" s="12" t="str">
        <f t="shared" ca="1" si="4"/>
        <v>6013314 Secundaria</v>
      </c>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4"/>
    </row>
    <row r="1137" spans="1:36" ht="12.5" x14ac:dyDescent="0.25">
      <c r="A1137" s="9">
        <v>2122</v>
      </c>
      <c r="B1137" s="10" t="s">
        <v>60</v>
      </c>
      <c r="C1137" s="10" t="s">
        <v>41</v>
      </c>
      <c r="D1137" s="10" t="s">
        <v>43</v>
      </c>
      <c r="E1137" s="11" t="str">
        <f ca="1">IFERROR(__xludf.DUMMYFUNCTION("FILTER(Colegios!$B$2:$B2419,Colegios!$A$2:$A2419=L1137)"),"601331")</f>
        <v>601331</v>
      </c>
      <c r="F1137" s="11" t="s">
        <v>17</v>
      </c>
      <c r="G1137" s="10" t="s">
        <v>18</v>
      </c>
      <c r="H1137" s="11" t="s">
        <v>19</v>
      </c>
      <c r="I1137" s="11">
        <v>2022</v>
      </c>
      <c r="J1137" s="12" t="str">
        <f ca="1">IFERROR(__xludf.DUMMYFUNCTION("FILTER('CLASFICACIÓN'!$F$3:$F2419,'CLASFICACIÓN'!$G$3:$G2419=M1137)"),"LOS 3 AÑOS")</f>
        <v>LOS 3 AÑOS</v>
      </c>
      <c r="K1137" s="12" t="s">
        <v>2012</v>
      </c>
      <c r="L1137" s="11" t="s">
        <v>91</v>
      </c>
      <c r="M1137" s="12" t="str">
        <f t="shared" ca="1" si="4"/>
        <v>6013314 Secundaria</v>
      </c>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4"/>
    </row>
    <row r="1138" spans="1:36" ht="12.5" x14ac:dyDescent="0.25">
      <c r="A1138" s="9">
        <v>2123</v>
      </c>
      <c r="B1138" s="10" t="s">
        <v>60</v>
      </c>
      <c r="C1138" s="10" t="s">
        <v>41</v>
      </c>
      <c r="D1138" s="10" t="s">
        <v>43</v>
      </c>
      <c r="E1138" s="11" t="str">
        <f ca="1">IFERROR(__xludf.DUMMYFUNCTION("FILTER(Colegios!$B$2:$B2419,Colegios!$A$2:$A2419=L1138)"),"601331")</f>
        <v>601331</v>
      </c>
      <c r="F1138" s="11" t="s">
        <v>17</v>
      </c>
      <c r="G1138" s="10" t="s">
        <v>18</v>
      </c>
      <c r="H1138" s="11" t="s">
        <v>19</v>
      </c>
      <c r="I1138" s="11">
        <v>2022</v>
      </c>
      <c r="J1138" s="12" t="str">
        <f ca="1">IFERROR(__xludf.DUMMYFUNCTION("FILTER('CLASFICACIÓN'!$F$3:$F2419,'CLASFICACIÓN'!$G$3:$G2419=M1138)"),"LOS 3 AÑOS")</f>
        <v>LOS 3 AÑOS</v>
      </c>
      <c r="K1138" s="12" t="s">
        <v>2012</v>
      </c>
      <c r="L1138" s="11" t="s">
        <v>91</v>
      </c>
      <c r="M1138" s="12" t="str">
        <f t="shared" ca="1" si="4"/>
        <v>6013314 Secundaria</v>
      </c>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4"/>
    </row>
    <row r="1139" spans="1:36" ht="12.5" x14ac:dyDescent="0.25">
      <c r="A1139" s="9">
        <v>2124</v>
      </c>
      <c r="B1139" s="10" t="s">
        <v>60</v>
      </c>
      <c r="C1139" s="10" t="s">
        <v>41</v>
      </c>
      <c r="D1139" s="10" t="s">
        <v>43</v>
      </c>
      <c r="E1139" s="11" t="str">
        <f ca="1">IFERROR(__xludf.DUMMYFUNCTION("FILTER(Colegios!$B$2:$B2419,Colegios!$A$2:$A2419=L1139)"),"601331")</f>
        <v>601331</v>
      </c>
      <c r="F1139" s="11" t="s">
        <v>17</v>
      </c>
      <c r="G1139" s="10" t="s">
        <v>24</v>
      </c>
      <c r="H1139" s="11" t="s">
        <v>25</v>
      </c>
      <c r="I1139" s="11">
        <v>2022</v>
      </c>
      <c r="J1139" s="12" t="str">
        <f ca="1">IFERROR(__xludf.DUMMYFUNCTION("FILTER('CLASFICACIÓN'!$F$3:$F2419,'CLASFICACIÓN'!$G$3:$G2419=M1139)"),"LOS 3 AÑOS")</f>
        <v>LOS 3 AÑOS</v>
      </c>
      <c r="K1139" s="12" t="s">
        <v>2012</v>
      </c>
      <c r="L1139" s="11" t="s">
        <v>91</v>
      </c>
      <c r="M1139" s="12" t="str">
        <f t="shared" ca="1" si="4"/>
        <v>6013314 Secundaria</v>
      </c>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4"/>
    </row>
    <row r="1140" spans="1:36" ht="12.5" x14ac:dyDescent="0.25">
      <c r="A1140" s="9">
        <v>2125</v>
      </c>
      <c r="B1140" s="10" t="s">
        <v>60</v>
      </c>
      <c r="C1140" s="10" t="s">
        <v>41</v>
      </c>
      <c r="D1140" s="10" t="s">
        <v>43</v>
      </c>
      <c r="E1140" s="11" t="str">
        <f ca="1">IFERROR(__xludf.DUMMYFUNCTION("FILTER(Colegios!$B$2:$B2419,Colegios!$A$2:$A2419=L1140)"),"601331")</f>
        <v>601331</v>
      </c>
      <c r="F1140" s="11" t="s">
        <v>17</v>
      </c>
      <c r="G1140" s="10" t="s">
        <v>24</v>
      </c>
      <c r="H1140" s="11" t="s">
        <v>19</v>
      </c>
      <c r="I1140" s="11">
        <v>2022</v>
      </c>
      <c r="J1140" s="12" t="str">
        <f ca="1">IFERROR(__xludf.DUMMYFUNCTION("FILTER('CLASFICACIÓN'!$F$3:$F2419,'CLASFICACIÓN'!$G$3:$G2419=M1140)"),"LOS 3 AÑOS")</f>
        <v>LOS 3 AÑOS</v>
      </c>
      <c r="K1140" s="12" t="s">
        <v>2012</v>
      </c>
      <c r="L1140" s="11" t="s">
        <v>91</v>
      </c>
      <c r="M1140" s="12" t="str">
        <f t="shared" ca="1" si="4"/>
        <v>6013314 Secundaria</v>
      </c>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4"/>
    </row>
    <row r="1141" spans="1:36" ht="12.5" x14ac:dyDescent="0.25">
      <c r="A1141" s="9">
        <v>2126</v>
      </c>
      <c r="B1141" s="10" t="s">
        <v>60</v>
      </c>
      <c r="C1141" s="10" t="s">
        <v>41</v>
      </c>
      <c r="D1141" s="10" t="s">
        <v>43</v>
      </c>
      <c r="E1141" s="11" t="str">
        <f ca="1">IFERROR(__xludf.DUMMYFUNCTION("FILTER(Colegios!$B$2:$B2419,Colegios!$A$2:$A2419=L1141)"),"601331")</f>
        <v>601331</v>
      </c>
      <c r="F1141" s="11" t="s">
        <v>17</v>
      </c>
      <c r="G1141" s="10" t="s">
        <v>24</v>
      </c>
      <c r="H1141" s="11" t="s">
        <v>19</v>
      </c>
      <c r="I1141" s="11">
        <v>2022</v>
      </c>
      <c r="J1141" s="12" t="str">
        <f ca="1">IFERROR(__xludf.DUMMYFUNCTION("FILTER('CLASFICACIÓN'!$F$3:$F2419,'CLASFICACIÓN'!$G$3:$G2419=M1141)"),"LOS 3 AÑOS")</f>
        <v>LOS 3 AÑOS</v>
      </c>
      <c r="K1141" s="12" t="s">
        <v>2012</v>
      </c>
      <c r="L1141" s="11" t="s">
        <v>91</v>
      </c>
      <c r="M1141" s="12" t="str">
        <f t="shared" ca="1" si="4"/>
        <v>6013314 Secundaria</v>
      </c>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4"/>
    </row>
    <row r="1142" spans="1:36" ht="12.5" x14ac:dyDescent="0.25">
      <c r="A1142" s="9">
        <v>2127</v>
      </c>
      <c r="B1142" s="10" t="s">
        <v>60</v>
      </c>
      <c r="C1142" s="10" t="s">
        <v>41</v>
      </c>
      <c r="D1142" s="10" t="s">
        <v>43</v>
      </c>
      <c r="E1142" s="11" t="str">
        <f ca="1">IFERROR(__xludf.DUMMYFUNCTION("FILTER(Colegios!$B$2:$B2419,Colegios!$A$2:$A2419=L1142)"),"601331")</f>
        <v>601331</v>
      </c>
      <c r="F1142" s="11" t="s">
        <v>17</v>
      </c>
      <c r="G1142" s="10" t="s">
        <v>24</v>
      </c>
      <c r="H1142" s="11" t="s">
        <v>19</v>
      </c>
      <c r="I1142" s="11">
        <v>2022</v>
      </c>
      <c r="J1142" s="12" t="str">
        <f ca="1">IFERROR(__xludf.DUMMYFUNCTION("FILTER('CLASFICACIÓN'!$F$3:$F2419,'CLASFICACIÓN'!$G$3:$G2419=M1142)"),"LOS 3 AÑOS")</f>
        <v>LOS 3 AÑOS</v>
      </c>
      <c r="K1142" s="12" t="s">
        <v>2012</v>
      </c>
      <c r="L1142" s="11" t="s">
        <v>91</v>
      </c>
      <c r="M1142" s="12" t="str">
        <f t="shared" ca="1" si="4"/>
        <v>6013314 Secundaria</v>
      </c>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4"/>
    </row>
    <row r="1143" spans="1:36" ht="12.5" x14ac:dyDescent="0.25">
      <c r="A1143" s="9">
        <v>2128</v>
      </c>
      <c r="B1143" s="10" t="s">
        <v>60</v>
      </c>
      <c r="C1143" s="10" t="s">
        <v>41</v>
      </c>
      <c r="D1143" s="10" t="s">
        <v>43</v>
      </c>
      <c r="E1143" s="11" t="str">
        <f ca="1">IFERROR(__xludf.DUMMYFUNCTION("FILTER(Colegios!$B$2:$B2419,Colegios!$A$2:$A2419=L1143)"),"601331")</f>
        <v>601331</v>
      </c>
      <c r="F1143" s="11" t="s">
        <v>17</v>
      </c>
      <c r="G1143" s="10" t="s">
        <v>18</v>
      </c>
      <c r="H1143" s="11" t="s">
        <v>19</v>
      </c>
      <c r="I1143" s="11">
        <v>2022</v>
      </c>
      <c r="J1143" s="12" t="str">
        <f ca="1">IFERROR(__xludf.DUMMYFUNCTION("FILTER('CLASFICACIÓN'!$F$3:$F2419,'CLASFICACIÓN'!$G$3:$G2419=M1143)"),"LOS 3 AÑOS")</f>
        <v>LOS 3 AÑOS</v>
      </c>
      <c r="K1143" s="12" t="s">
        <v>2012</v>
      </c>
      <c r="L1143" s="11" t="s">
        <v>91</v>
      </c>
      <c r="M1143" s="12" t="str">
        <f t="shared" ca="1" si="4"/>
        <v>6013314 Secundaria</v>
      </c>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4"/>
    </row>
    <row r="1144" spans="1:36" ht="12.5" x14ac:dyDescent="0.25">
      <c r="A1144" s="9">
        <v>2129</v>
      </c>
      <c r="B1144" s="10" t="s">
        <v>60</v>
      </c>
      <c r="C1144" s="10" t="s">
        <v>41</v>
      </c>
      <c r="D1144" s="10" t="s">
        <v>43</v>
      </c>
      <c r="E1144" s="11" t="str">
        <f ca="1">IFERROR(__xludf.DUMMYFUNCTION("FILTER(Colegios!$B$2:$B2419,Colegios!$A$2:$A2419=L1144)"),"601331")</f>
        <v>601331</v>
      </c>
      <c r="F1144" s="11" t="s">
        <v>17</v>
      </c>
      <c r="G1144" s="10" t="s">
        <v>24</v>
      </c>
      <c r="H1144" s="11" t="s">
        <v>25</v>
      </c>
      <c r="I1144" s="11">
        <v>2022</v>
      </c>
      <c r="J1144" s="12" t="str">
        <f ca="1">IFERROR(__xludf.DUMMYFUNCTION("FILTER('CLASFICACIÓN'!$F$3:$F2419,'CLASFICACIÓN'!$G$3:$G2419=M1144)"),"LOS 3 AÑOS")</f>
        <v>LOS 3 AÑOS</v>
      </c>
      <c r="K1144" s="12" t="s">
        <v>2012</v>
      </c>
      <c r="L1144" s="11" t="s">
        <v>91</v>
      </c>
      <c r="M1144" s="12" t="str">
        <f t="shared" ca="1" si="4"/>
        <v>6013314 Secundaria</v>
      </c>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4"/>
    </row>
    <row r="1145" spans="1:36" ht="12.5" x14ac:dyDescent="0.25">
      <c r="A1145" s="9">
        <v>2130</v>
      </c>
      <c r="B1145" s="10" t="s">
        <v>60</v>
      </c>
      <c r="C1145" s="10" t="s">
        <v>41</v>
      </c>
      <c r="D1145" s="10" t="s">
        <v>43</v>
      </c>
      <c r="E1145" s="11" t="str">
        <f ca="1">IFERROR(__xludf.DUMMYFUNCTION("FILTER(Colegios!$B$2:$B2419,Colegios!$A$2:$A2419=L1145)"),"6010230 BARBARA D'ACHILLE")</f>
        <v>6010230 BARBARA D'ACHILLE</v>
      </c>
      <c r="F1145" s="11" t="s">
        <v>17</v>
      </c>
      <c r="G1145" s="10" t="s">
        <v>18</v>
      </c>
      <c r="H1145" s="11" t="s">
        <v>19</v>
      </c>
      <c r="I1145" s="11">
        <v>2022</v>
      </c>
      <c r="J1145" s="12" t="str">
        <f ca="1">IFERROR(__xludf.DUMMYFUNCTION("FILTER('CLASFICACIÓN'!$F$3:$F2419,'CLASFICACIÓN'!$G$3:$G2419=M1145)"),"LOS 3 AÑOS")</f>
        <v>LOS 3 AÑOS</v>
      </c>
      <c r="K1145" s="12" t="s">
        <v>2011</v>
      </c>
      <c r="L1145" s="11" t="s">
        <v>93</v>
      </c>
      <c r="M1145" s="12" t="str">
        <f t="shared" ca="1" si="4"/>
        <v>6010230 BARBARA D'ACHILLE4 Secundaria</v>
      </c>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4"/>
    </row>
    <row r="1146" spans="1:36" ht="12.5" x14ac:dyDescent="0.25">
      <c r="A1146" s="9">
        <v>2131</v>
      </c>
      <c r="B1146" s="10" t="s">
        <v>60</v>
      </c>
      <c r="C1146" s="10" t="s">
        <v>41</v>
      </c>
      <c r="D1146" s="10" t="s">
        <v>43</v>
      </c>
      <c r="E1146" s="11" t="str">
        <f ca="1">IFERROR(__xludf.DUMMYFUNCTION("FILTER(Colegios!$B$2:$B2419,Colegios!$A$2:$A2419=L1146)"),"6010230 BARBARA D'ACHILLE")</f>
        <v>6010230 BARBARA D'ACHILLE</v>
      </c>
      <c r="F1146" s="11" t="s">
        <v>17</v>
      </c>
      <c r="G1146" s="10" t="s">
        <v>18</v>
      </c>
      <c r="H1146" s="11" t="s">
        <v>19</v>
      </c>
      <c r="I1146" s="11">
        <v>2022</v>
      </c>
      <c r="J1146" s="12" t="str">
        <f ca="1">IFERROR(__xludf.DUMMYFUNCTION("FILTER('CLASFICACIÓN'!$F$3:$F2419,'CLASFICACIÓN'!$G$3:$G2419=M1146)"),"LOS 3 AÑOS")</f>
        <v>LOS 3 AÑOS</v>
      </c>
      <c r="K1146" s="12" t="s">
        <v>2011</v>
      </c>
      <c r="L1146" s="11" t="s">
        <v>93</v>
      </c>
      <c r="M1146" s="12" t="str">
        <f t="shared" ca="1" si="4"/>
        <v>6010230 BARBARA D'ACHILLE4 Secundaria</v>
      </c>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4"/>
    </row>
    <row r="1147" spans="1:36" ht="12.5" x14ac:dyDescent="0.25">
      <c r="A1147" s="9">
        <v>2132</v>
      </c>
      <c r="B1147" s="10" t="s">
        <v>60</v>
      </c>
      <c r="C1147" s="10" t="s">
        <v>41</v>
      </c>
      <c r="D1147" s="10" t="s">
        <v>43</v>
      </c>
      <c r="E1147" s="11" t="str">
        <f ca="1">IFERROR(__xludf.DUMMYFUNCTION("FILTER(Colegios!$B$2:$B2419,Colegios!$A$2:$A2419=L1147)"),"6010230 BARBARA D'ACHILLE")</f>
        <v>6010230 BARBARA D'ACHILLE</v>
      </c>
      <c r="F1147" s="11" t="s">
        <v>17</v>
      </c>
      <c r="G1147" s="10" t="s">
        <v>18</v>
      </c>
      <c r="H1147" s="11" t="s">
        <v>19</v>
      </c>
      <c r="I1147" s="11">
        <v>2022</v>
      </c>
      <c r="J1147" s="12" t="str">
        <f ca="1">IFERROR(__xludf.DUMMYFUNCTION("FILTER('CLASFICACIÓN'!$F$3:$F2419,'CLASFICACIÓN'!$G$3:$G2419=M1147)"),"LOS 3 AÑOS")</f>
        <v>LOS 3 AÑOS</v>
      </c>
      <c r="K1147" s="12" t="s">
        <v>2011</v>
      </c>
      <c r="L1147" s="11" t="s">
        <v>93</v>
      </c>
      <c r="M1147" s="12" t="str">
        <f t="shared" ca="1" si="4"/>
        <v>6010230 BARBARA D'ACHILLE4 Secundaria</v>
      </c>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4"/>
    </row>
    <row r="1148" spans="1:36" ht="12.5" x14ac:dyDescent="0.25">
      <c r="A1148" s="9">
        <v>2133</v>
      </c>
      <c r="B1148" s="10" t="s">
        <v>60</v>
      </c>
      <c r="C1148" s="10" t="s">
        <v>41</v>
      </c>
      <c r="D1148" s="10" t="s">
        <v>43</v>
      </c>
      <c r="E1148" s="11" t="str">
        <f ca="1">IFERROR(__xludf.DUMMYFUNCTION("FILTER(Colegios!$B$2:$B2419,Colegios!$A$2:$A2419=L1148)"),"6010230 BARBARA D'ACHILLE")</f>
        <v>6010230 BARBARA D'ACHILLE</v>
      </c>
      <c r="F1148" s="11" t="s">
        <v>17</v>
      </c>
      <c r="G1148" s="10" t="s">
        <v>24</v>
      </c>
      <c r="H1148" s="11" t="s">
        <v>19</v>
      </c>
      <c r="I1148" s="11">
        <v>2022</v>
      </c>
      <c r="J1148" s="12" t="str">
        <f ca="1">IFERROR(__xludf.DUMMYFUNCTION("FILTER('CLASFICACIÓN'!$F$3:$F2419,'CLASFICACIÓN'!$G$3:$G2419=M1148)"),"LOS 3 AÑOS")</f>
        <v>LOS 3 AÑOS</v>
      </c>
      <c r="K1148" s="12" t="s">
        <v>2011</v>
      </c>
      <c r="L1148" s="11" t="s">
        <v>93</v>
      </c>
      <c r="M1148" s="12" t="str">
        <f t="shared" ca="1" si="4"/>
        <v>6010230 BARBARA D'ACHILLE4 Secundaria</v>
      </c>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4"/>
    </row>
    <row r="1149" spans="1:36" ht="12.5" x14ac:dyDescent="0.25">
      <c r="A1149" s="9">
        <v>2134</v>
      </c>
      <c r="B1149" s="10" t="s">
        <v>60</v>
      </c>
      <c r="C1149" s="10" t="s">
        <v>41</v>
      </c>
      <c r="D1149" s="10" t="s">
        <v>43</v>
      </c>
      <c r="E1149" s="11" t="str">
        <f ca="1">IFERROR(__xludf.DUMMYFUNCTION("FILTER(Colegios!$B$2:$B2419,Colegios!$A$2:$A2419=L1149)"),"6010230 BARBARA D'ACHILLE")</f>
        <v>6010230 BARBARA D'ACHILLE</v>
      </c>
      <c r="F1149" s="11" t="s">
        <v>17</v>
      </c>
      <c r="G1149" s="10" t="s">
        <v>24</v>
      </c>
      <c r="H1149" s="11" t="s">
        <v>19</v>
      </c>
      <c r="I1149" s="11">
        <v>2022</v>
      </c>
      <c r="J1149" s="12" t="str">
        <f ca="1">IFERROR(__xludf.DUMMYFUNCTION("FILTER('CLASFICACIÓN'!$F$3:$F2419,'CLASFICACIÓN'!$G$3:$G2419=M1149)"),"LOS 3 AÑOS")</f>
        <v>LOS 3 AÑOS</v>
      </c>
      <c r="K1149" s="12" t="s">
        <v>2011</v>
      </c>
      <c r="L1149" s="11" t="s">
        <v>93</v>
      </c>
      <c r="M1149" s="12" t="str">
        <f t="shared" ca="1" si="4"/>
        <v>6010230 BARBARA D'ACHILLE4 Secundaria</v>
      </c>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4"/>
    </row>
    <row r="1150" spans="1:36" ht="12.5" x14ac:dyDescent="0.25">
      <c r="A1150" s="9">
        <v>2135</v>
      </c>
      <c r="B1150" s="10" t="s">
        <v>60</v>
      </c>
      <c r="C1150" s="10" t="s">
        <v>41</v>
      </c>
      <c r="D1150" s="10" t="s">
        <v>43</v>
      </c>
      <c r="E1150" s="11" t="str">
        <f ca="1">IFERROR(__xludf.DUMMYFUNCTION("FILTER(Colegios!$B$2:$B2419,Colegios!$A$2:$A2419=L1150)"),"6010230 BARBARA D'ACHILLE")</f>
        <v>6010230 BARBARA D'ACHILLE</v>
      </c>
      <c r="F1150" s="11" t="s">
        <v>17</v>
      </c>
      <c r="G1150" s="10" t="s">
        <v>24</v>
      </c>
      <c r="H1150" s="11" t="s">
        <v>19</v>
      </c>
      <c r="I1150" s="11">
        <v>2022</v>
      </c>
      <c r="J1150" s="12" t="str">
        <f ca="1">IFERROR(__xludf.DUMMYFUNCTION("FILTER('CLASFICACIÓN'!$F$3:$F2419,'CLASFICACIÓN'!$G$3:$G2419=M1150)"),"LOS 3 AÑOS")</f>
        <v>LOS 3 AÑOS</v>
      </c>
      <c r="K1150" s="12" t="s">
        <v>2011</v>
      </c>
      <c r="L1150" s="11" t="s">
        <v>93</v>
      </c>
      <c r="M1150" s="12" t="str">
        <f t="shared" ca="1" si="4"/>
        <v>6010230 BARBARA D'ACHILLE4 Secundaria</v>
      </c>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4"/>
    </row>
    <row r="1151" spans="1:36" ht="12.5" x14ac:dyDescent="0.25">
      <c r="A1151" s="9">
        <v>2136</v>
      </c>
      <c r="B1151" s="10" t="s">
        <v>60</v>
      </c>
      <c r="C1151" s="10" t="s">
        <v>41</v>
      </c>
      <c r="D1151" s="10" t="s">
        <v>43</v>
      </c>
      <c r="E1151" s="11" t="str">
        <f ca="1">IFERROR(__xludf.DUMMYFUNCTION("FILTER(Colegios!$B$2:$B2419,Colegios!$A$2:$A2419=L1151)"),"6010230 BARBARA D'ACHILLE")</f>
        <v>6010230 BARBARA D'ACHILLE</v>
      </c>
      <c r="F1151" s="11" t="s">
        <v>17</v>
      </c>
      <c r="G1151" s="10" t="s">
        <v>24</v>
      </c>
      <c r="H1151" s="11" t="s">
        <v>19</v>
      </c>
      <c r="I1151" s="11">
        <v>2022</v>
      </c>
      <c r="J1151" s="12" t="str">
        <f ca="1">IFERROR(__xludf.DUMMYFUNCTION("FILTER('CLASFICACIÓN'!$F$3:$F2419,'CLASFICACIÓN'!$G$3:$G2419=M1151)"),"LOS 3 AÑOS")</f>
        <v>LOS 3 AÑOS</v>
      </c>
      <c r="K1151" s="12" t="s">
        <v>2011</v>
      </c>
      <c r="L1151" s="11" t="s">
        <v>93</v>
      </c>
      <c r="M1151" s="12" t="str">
        <f t="shared" ca="1" si="4"/>
        <v>6010230 BARBARA D'ACHILLE4 Secundaria</v>
      </c>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4"/>
    </row>
    <row r="1152" spans="1:36" ht="12.5" x14ac:dyDescent="0.25">
      <c r="A1152" s="9">
        <v>2137</v>
      </c>
      <c r="B1152" s="10" t="s">
        <v>60</v>
      </c>
      <c r="C1152" s="10" t="s">
        <v>41</v>
      </c>
      <c r="D1152" s="10" t="s">
        <v>43</v>
      </c>
      <c r="E1152" s="11" t="str">
        <f ca="1">IFERROR(__xludf.DUMMYFUNCTION("FILTER(Colegios!$B$2:$B2419,Colegios!$A$2:$A2419=L1152)"),"6010230 BARBARA D'ACHILLE")</f>
        <v>6010230 BARBARA D'ACHILLE</v>
      </c>
      <c r="F1152" s="11" t="s">
        <v>17</v>
      </c>
      <c r="G1152" s="10" t="s">
        <v>18</v>
      </c>
      <c r="H1152" s="11" t="s">
        <v>19</v>
      </c>
      <c r="I1152" s="11">
        <v>2022</v>
      </c>
      <c r="J1152" s="12" t="str">
        <f ca="1">IFERROR(__xludf.DUMMYFUNCTION("FILTER('CLASFICACIÓN'!$F$3:$F2419,'CLASFICACIÓN'!$G$3:$G2419=M1152)"),"LOS 3 AÑOS")</f>
        <v>LOS 3 AÑOS</v>
      </c>
      <c r="K1152" s="12" t="s">
        <v>2011</v>
      </c>
      <c r="L1152" s="11" t="s">
        <v>93</v>
      </c>
      <c r="M1152" s="12" t="str">
        <f t="shared" ca="1" si="4"/>
        <v>6010230 BARBARA D'ACHILLE4 Secundaria</v>
      </c>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4"/>
    </row>
    <row r="1153" spans="1:36" ht="12.5" x14ac:dyDescent="0.25">
      <c r="A1153" s="9">
        <v>2138</v>
      </c>
      <c r="B1153" s="10" t="s">
        <v>60</v>
      </c>
      <c r="C1153" s="10" t="s">
        <v>41</v>
      </c>
      <c r="D1153" s="10" t="s">
        <v>43</v>
      </c>
      <c r="E1153" s="11" t="str">
        <f ca="1">IFERROR(__xludf.DUMMYFUNCTION("FILTER(Colegios!$B$2:$B2419,Colegios!$A$2:$A2419=L1153)"),"6010230 BARBARA D'ACHILLE")</f>
        <v>6010230 BARBARA D'ACHILLE</v>
      </c>
      <c r="F1153" s="11" t="s">
        <v>17</v>
      </c>
      <c r="G1153" s="10" t="s">
        <v>18</v>
      </c>
      <c r="H1153" s="11" t="s">
        <v>19</v>
      </c>
      <c r="I1153" s="11">
        <v>2022</v>
      </c>
      <c r="J1153" s="12" t="str">
        <f ca="1">IFERROR(__xludf.DUMMYFUNCTION("FILTER('CLASFICACIÓN'!$F$3:$F2419,'CLASFICACIÓN'!$G$3:$G2419=M1153)"),"LOS 3 AÑOS")</f>
        <v>LOS 3 AÑOS</v>
      </c>
      <c r="K1153" s="12" t="s">
        <v>2011</v>
      </c>
      <c r="L1153" s="11" t="s">
        <v>93</v>
      </c>
      <c r="M1153" s="12" t="str">
        <f t="shared" ca="1" si="4"/>
        <v>6010230 BARBARA D'ACHILLE4 Secundaria</v>
      </c>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4"/>
    </row>
    <row r="1154" spans="1:36" ht="12.5" x14ac:dyDescent="0.25">
      <c r="A1154" s="9">
        <v>2139</v>
      </c>
      <c r="B1154" s="10" t="s">
        <v>60</v>
      </c>
      <c r="C1154" s="10" t="s">
        <v>41</v>
      </c>
      <c r="D1154" s="10" t="s">
        <v>43</v>
      </c>
      <c r="E1154" s="11" t="str">
        <f ca="1">IFERROR(__xludf.DUMMYFUNCTION("FILTER(Colegios!$B$2:$B2419,Colegios!$A$2:$A2419=L1154)"),"60133")</f>
        <v>60133</v>
      </c>
      <c r="F1154" s="11" t="s">
        <v>17</v>
      </c>
      <c r="G1154" s="10" t="s">
        <v>24</v>
      </c>
      <c r="H1154" s="11" t="s">
        <v>19</v>
      </c>
      <c r="I1154" s="11">
        <v>2022</v>
      </c>
      <c r="J1154" s="12" t="str">
        <f ca="1">IFERROR(__xludf.DUMMYFUNCTION("FILTER('CLASFICACIÓN'!$F$3:$F2419,'CLASFICACIÓN'!$G$3:$G2419=M1154)"),"LOS 3 AÑOS")</f>
        <v>LOS 3 AÑOS</v>
      </c>
      <c r="K1154" s="12" t="s">
        <v>2011</v>
      </c>
      <c r="L1154" s="11" t="s">
        <v>92</v>
      </c>
      <c r="M1154" s="12" t="str">
        <f t="shared" ca="1" si="4"/>
        <v>601334 Secundaria</v>
      </c>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4"/>
    </row>
    <row r="1155" spans="1:36" ht="12.5" x14ac:dyDescent="0.25">
      <c r="A1155" s="9">
        <v>2140</v>
      </c>
      <c r="B1155" s="10" t="s">
        <v>60</v>
      </c>
      <c r="C1155" s="10" t="s">
        <v>41</v>
      </c>
      <c r="D1155" s="10" t="s">
        <v>43</v>
      </c>
      <c r="E1155" s="11" t="str">
        <f ca="1">IFERROR(__xludf.DUMMYFUNCTION("FILTER(Colegios!$B$2:$B2419,Colegios!$A$2:$A2419=L1155)"),"60133")</f>
        <v>60133</v>
      </c>
      <c r="F1155" s="11" t="s">
        <v>17</v>
      </c>
      <c r="G1155" s="10" t="s">
        <v>18</v>
      </c>
      <c r="H1155" s="11" t="s">
        <v>19</v>
      </c>
      <c r="I1155" s="11">
        <v>2022</v>
      </c>
      <c r="J1155" s="12" t="str">
        <f ca="1">IFERROR(__xludf.DUMMYFUNCTION("FILTER('CLASFICACIÓN'!$F$3:$F2419,'CLASFICACIÓN'!$G$3:$G2419=M1155)"),"LOS 3 AÑOS")</f>
        <v>LOS 3 AÑOS</v>
      </c>
      <c r="K1155" s="12" t="s">
        <v>2011</v>
      </c>
      <c r="L1155" s="11" t="s">
        <v>92</v>
      </c>
      <c r="M1155" s="12" t="str">
        <f t="shared" ca="1" si="4"/>
        <v>601334 Secundaria</v>
      </c>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4"/>
    </row>
    <row r="1156" spans="1:36" ht="12.5" x14ac:dyDescent="0.25">
      <c r="A1156" s="9">
        <v>2141</v>
      </c>
      <c r="B1156" s="10" t="s">
        <v>60</v>
      </c>
      <c r="C1156" s="10" t="s">
        <v>41</v>
      </c>
      <c r="D1156" s="10" t="s">
        <v>43</v>
      </c>
      <c r="E1156" s="11" t="str">
        <f ca="1">IFERROR(__xludf.DUMMYFUNCTION("FILTER(Colegios!$B$2:$B2419,Colegios!$A$2:$A2419=L1156)"),"60133")</f>
        <v>60133</v>
      </c>
      <c r="F1156" s="11" t="s">
        <v>17</v>
      </c>
      <c r="G1156" s="10" t="s">
        <v>18</v>
      </c>
      <c r="H1156" s="11" t="s">
        <v>19</v>
      </c>
      <c r="I1156" s="11">
        <v>2022</v>
      </c>
      <c r="J1156" s="12" t="str">
        <f ca="1">IFERROR(__xludf.DUMMYFUNCTION("FILTER('CLASFICACIÓN'!$F$3:$F2419,'CLASFICACIÓN'!$G$3:$G2419=M1156)"),"LOS 3 AÑOS")</f>
        <v>LOS 3 AÑOS</v>
      </c>
      <c r="K1156" s="12" t="s">
        <v>2011</v>
      </c>
      <c r="L1156" s="11" t="s">
        <v>92</v>
      </c>
      <c r="M1156" s="12" t="str">
        <f t="shared" ca="1" si="4"/>
        <v>601334 Secundaria</v>
      </c>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4"/>
    </row>
    <row r="1157" spans="1:36" ht="12.5" x14ac:dyDescent="0.25">
      <c r="A1157" s="9">
        <v>2142</v>
      </c>
      <c r="B1157" s="10" t="s">
        <v>60</v>
      </c>
      <c r="C1157" s="10" t="s">
        <v>41</v>
      </c>
      <c r="D1157" s="10" t="s">
        <v>43</v>
      </c>
      <c r="E1157" s="11" t="str">
        <f ca="1">IFERROR(__xludf.DUMMYFUNCTION("FILTER(Colegios!$B$2:$B2419,Colegios!$A$2:$A2419=L1157)"),"60133")</f>
        <v>60133</v>
      </c>
      <c r="F1157" s="11" t="s">
        <v>17</v>
      </c>
      <c r="G1157" s="10" t="s">
        <v>18</v>
      </c>
      <c r="H1157" s="11" t="s">
        <v>19</v>
      </c>
      <c r="I1157" s="11">
        <v>2022</v>
      </c>
      <c r="J1157" s="12" t="str">
        <f ca="1">IFERROR(__xludf.DUMMYFUNCTION("FILTER('CLASFICACIÓN'!$F$3:$F2419,'CLASFICACIÓN'!$G$3:$G2419=M1157)"),"LOS 3 AÑOS")</f>
        <v>LOS 3 AÑOS</v>
      </c>
      <c r="K1157" s="12" t="s">
        <v>2011</v>
      </c>
      <c r="L1157" s="11" t="s">
        <v>92</v>
      </c>
      <c r="M1157" s="12" t="str">
        <f t="shared" ca="1" si="4"/>
        <v>601334 Secundaria</v>
      </c>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4"/>
    </row>
    <row r="1158" spans="1:36" ht="12.5" x14ac:dyDescent="0.25">
      <c r="A1158" s="9">
        <v>2143</v>
      </c>
      <c r="B1158" s="10" t="s">
        <v>60</v>
      </c>
      <c r="C1158" s="10" t="s">
        <v>41</v>
      </c>
      <c r="D1158" s="10" t="s">
        <v>43</v>
      </c>
      <c r="E1158" s="11" t="str">
        <f ca="1">IFERROR(__xludf.DUMMYFUNCTION("FILTER(Colegios!$B$2:$B2419,Colegios!$A$2:$A2419=L1158)"),"60133")</f>
        <v>60133</v>
      </c>
      <c r="F1158" s="11" t="s">
        <v>17</v>
      </c>
      <c r="G1158" s="10" t="s">
        <v>24</v>
      </c>
      <c r="H1158" s="11" t="s">
        <v>19</v>
      </c>
      <c r="I1158" s="11">
        <v>2022</v>
      </c>
      <c r="J1158" s="12" t="str">
        <f ca="1">IFERROR(__xludf.DUMMYFUNCTION("FILTER('CLASFICACIÓN'!$F$3:$F2419,'CLASFICACIÓN'!$G$3:$G2419=M1158)"),"LOS 3 AÑOS")</f>
        <v>LOS 3 AÑOS</v>
      </c>
      <c r="K1158" s="12" t="s">
        <v>2011</v>
      </c>
      <c r="L1158" s="11" t="s">
        <v>92</v>
      </c>
      <c r="M1158" s="12" t="str">
        <f t="shared" ca="1" si="4"/>
        <v>601334 Secundaria</v>
      </c>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4"/>
    </row>
    <row r="1159" spans="1:36" ht="12.5" x14ac:dyDescent="0.25">
      <c r="A1159" s="9">
        <v>2144</v>
      </c>
      <c r="B1159" s="10" t="s">
        <v>60</v>
      </c>
      <c r="C1159" s="10" t="s">
        <v>41</v>
      </c>
      <c r="D1159" s="10" t="s">
        <v>43</v>
      </c>
      <c r="E1159" s="11" t="str">
        <f ca="1">IFERROR(__xludf.DUMMYFUNCTION("FILTER(Colegios!$B$2:$B2419,Colegios!$A$2:$A2419=L1159)"),"60133")</f>
        <v>60133</v>
      </c>
      <c r="F1159" s="11" t="s">
        <v>17</v>
      </c>
      <c r="G1159" s="10" t="s">
        <v>24</v>
      </c>
      <c r="H1159" s="11" t="s">
        <v>19</v>
      </c>
      <c r="I1159" s="11">
        <v>2022</v>
      </c>
      <c r="J1159" s="12" t="str">
        <f ca="1">IFERROR(__xludf.DUMMYFUNCTION("FILTER('CLASFICACIÓN'!$F$3:$F2419,'CLASFICACIÓN'!$G$3:$G2419=M1159)"),"LOS 3 AÑOS")</f>
        <v>LOS 3 AÑOS</v>
      </c>
      <c r="K1159" s="12" t="s">
        <v>2011</v>
      </c>
      <c r="L1159" s="11" t="s">
        <v>92</v>
      </c>
      <c r="M1159" s="12" t="str">
        <f t="shared" ca="1" si="4"/>
        <v>601334 Secundaria</v>
      </c>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4"/>
    </row>
    <row r="1160" spans="1:36" ht="12.5" x14ac:dyDescent="0.25">
      <c r="A1160" s="9">
        <v>2145</v>
      </c>
      <c r="B1160" s="10" t="s">
        <v>60</v>
      </c>
      <c r="C1160" s="10" t="s">
        <v>41</v>
      </c>
      <c r="D1160" s="10" t="s">
        <v>43</v>
      </c>
      <c r="E1160" s="11" t="str">
        <f ca="1">IFERROR(__xludf.DUMMYFUNCTION("FILTER(Colegios!$B$2:$B2419,Colegios!$A$2:$A2419=L1160)"),"60133")</f>
        <v>60133</v>
      </c>
      <c r="F1160" s="11" t="s">
        <v>17</v>
      </c>
      <c r="G1160" s="10" t="s">
        <v>24</v>
      </c>
      <c r="H1160" s="11" t="s">
        <v>19</v>
      </c>
      <c r="I1160" s="11">
        <v>2022</v>
      </c>
      <c r="J1160" s="12" t="str">
        <f ca="1">IFERROR(__xludf.DUMMYFUNCTION("FILTER('CLASFICACIÓN'!$F$3:$F2419,'CLASFICACIÓN'!$G$3:$G2419=M1160)"),"LOS 3 AÑOS")</f>
        <v>LOS 3 AÑOS</v>
      </c>
      <c r="K1160" s="12" t="s">
        <v>2011</v>
      </c>
      <c r="L1160" s="11" t="s">
        <v>92</v>
      </c>
      <c r="M1160" s="12" t="str">
        <f t="shared" ca="1" si="4"/>
        <v>601334 Secundaria</v>
      </c>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4"/>
    </row>
    <row r="1161" spans="1:36" ht="12.5" x14ac:dyDescent="0.25">
      <c r="A1161" s="9">
        <v>2146</v>
      </c>
      <c r="B1161" s="10" t="s">
        <v>60</v>
      </c>
      <c r="C1161" s="10" t="s">
        <v>41</v>
      </c>
      <c r="D1161" s="10" t="s">
        <v>43</v>
      </c>
      <c r="E1161" s="11" t="str">
        <f ca="1">IFERROR(__xludf.DUMMYFUNCTION("FILTER(Colegios!$B$2:$B2419,Colegios!$A$2:$A2419=L1161)"),"60133")</f>
        <v>60133</v>
      </c>
      <c r="F1161" s="11" t="s">
        <v>17</v>
      </c>
      <c r="G1161" s="10" t="s">
        <v>24</v>
      </c>
      <c r="H1161" s="11" t="s">
        <v>19</v>
      </c>
      <c r="I1161" s="11">
        <v>2022</v>
      </c>
      <c r="J1161" s="12" t="str">
        <f ca="1">IFERROR(__xludf.DUMMYFUNCTION("FILTER('CLASFICACIÓN'!$F$3:$F2419,'CLASFICACIÓN'!$G$3:$G2419=M1161)"),"LOS 3 AÑOS")</f>
        <v>LOS 3 AÑOS</v>
      </c>
      <c r="K1161" s="12" t="s">
        <v>2011</v>
      </c>
      <c r="L1161" s="11" t="s">
        <v>92</v>
      </c>
      <c r="M1161" s="12" t="str">
        <f t="shared" ca="1" si="4"/>
        <v>601334 Secundaria</v>
      </c>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4"/>
    </row>
    <row r="1162" spans="1:36" ht="12.5" x14ac:dyDescent="0.25">
      <c r="A1162" s="9">
        <v>2147</v>
      </c>
      <c r="B1162" s="10" t="s">
        <v>60</v>
      </c>
      <c r="C1162" s="10" t="s">
        <v>41</v>
      </c>
      <c r="D1162" s="10" t="s">
        <v>43</v>
      </c>
      <c r="E1162" s="11" t="str">
        <f ca="1">IFERROR(__xludf.DUMMYFUNCTION("FILTER(Colegios!$B$2:$B2419,Colegios!$A$2:$A2419=L1162)"),"60133")</f>
        <v>60133</v>
      </c>
      <c r="F1162" s="11" t="s">
        <v>17</v>
      </c>
      <c r="G1162" s="10" t="s">
        <v>18</v>
      </c>
      <c r="H1162" s="11" t="s">
        <v>19</v>
      </c>
      <c r="I1162" s="11">
        <v>2022</v>
      </c>
      <c r="J1162" s="12" t="str">
        <f ca="1">IFERROR(__xludf.DUMMYFUNCTION("FILTER('CLASFICACIÓN'!$F$3:$F2419,'CLASFICACIÓN'!$G$3:$G2419=M1162)"),"LOS 3 AÑOS")</f>
        <v>LOS 3 AÑOS</v>
      </c>
      <c r="K1162" s="12" t="s">
        <v>2011</v>
      </c>
      <c r="L1162" s="11" t="s">
        <v>92</v>
      </c>
      <c r="M1162" s="12" t="str">
        <f t="shared" ca="1" si="4"/>
        <v>601334 Secundaria</v>
      </c>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4"/>
    </row>
    <row r="1163" spans="1:36" ht="12.5" x14ac:dyDescent="0.25">
      <c r="A1163" s="9">
        <v>2148</v>
      </c>
      <c r="B1163" s="10" t="s">
        <v>60</v>
      </c>
      <c r="C1163" s="10" t="s">
        <v>41</v>
      </c>
      <c r="D1163" s="10" t="s">
        <v>43</v>
      </c>
      <c r="E1163" s="11" t="str">
        <f ca="1">IFERROR(__xludf.DUMMYFUNCTION("FILTER(Colegios!$B$2:$B2419,Colegios!$A$2:$A2419=L1163)"),"60133")</f>
        <v>60133</v>
      </c>
      <c r="F1163" s="11" t="s">
        <v>17</v>
      </c>
      <c r="G1163" s="10" t="s">
        <v>18</v>
      </c>
      <c r="H1163" s="11" t="s">
        <v>19</v>
      </c>
      <c r="I1163" s="11">
        <v>2022</v>
      </c>
      <c r="J1163" s="12" t="str">
        <f ca="1">IFERROR(__xludf.DUMMYFUNCTION("FILTER('CLASFICACIÓN'!$F$3:$F2419,'CLASFICACIÓN'!$G$3:$G2419=M1163)"),"LOS 3 AÑOS")</f>
        <v>LOS 3 AÑOS</v>
      </c>
      <c r="K1163" s="12" t="s">
        <v>2011</v>
      </c>
      <c r="L1163" s="11" t="s">
        <v>92</v>
      </c>
      <c r="M1163" s="12" t="str">
        <f t="shared" ca="1" si="4"/>
        <v>601334 Secundaria</v>
      </c>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4"/>
    </row>
    <row r="1164" spans="1:36" ht="12.5" x14ac:dyDescent="0.25">
      <c r="A1164" s="9">
        <v>2149</v>
      </c>
      <c r="B1164" s="10" t="s">
        <v>60</v>
      </c>
      <c r="C1164" s="10" t="s">
        <v>41</v>
      </c>
      <c r="D1164" s="10" t="s">
        <v>43</v>
      </c>
      <c r="E1164" s="11" t="str">
        <f ca="1">IFERROR(__xludf.DUMMYFUNCTION("FILTER(Colegios!$B$2:$B2419,Colegios!$A$2:$A2419=L1164)"),"60133")</f>
        <v>60133</v>
      </c>
      <c r="F1164" s="11" t="s">
        <v>17</v>
      </c>
      <c r="G1164" s="10" t="s">
        <v>24</v>
      </c>
      <c r="H1164" s="11" t="s">
        <v>19</v>
      </c>
      <c r="I1164" s="11">
        <v>2022</v>
      </c>
      <c r="J1164" s="12" t="str">
        <f ca="1">IFERROR(__xludf.DUMMYFUNCTION("FILTER('CLASFICACIÓN'!$F$3:$F2419,'CLASFICACIÓN'!$G$3:$G2419=M1164)"),"LOS 3 AÑOS")</f>
        <v>LOS 3 AÑOS</v>
      </c>
      <c r="K1164" s="12" t="s">
        <v>2011</v>
      </c>
      <c r="L1164" s="11" t="s">
        <v>92</v>
      </c>
      <c r="M1164" s="12" t="str">
        <f t="shared" ca="1" si="4"/>
        <v>601334 Secundaria</v>
      </c>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4"/>
    </row>
    <row r="1165" spans="1:36" ht="12.5" x14ac:dyDescent="0.25">
      <c r="A1165" s="9">
        <v>2150</v>
      </c>
      <c r="B1165" s="10" t="s">
        <v>60</v>
      </c>
      <c r="C1165" s="10" t="s">
        <v>41</v>
      </c>
      <c r="D1165" s="10" t="s">
        <v>43</v>
      </c>
      <c r="E1165" s="11" t="str">
        <f ca="1">IFERROR(__xludf.DUMMYFUNCTION("FILTER(Colegios!$B$2:$B2419,Colegios!$A$2:$A2419=L1165)"),"60133")</f>
        <v>60133</v>
      </c>
      <c r="F1165" s="11" t="s">
        <v>17</v>
      </c>
      <c r="G1165" s="10" t="s">
        <v>18</v>
      </c>
      <c r="H1165" s="11" t="s">
        <v>19</v>
      </c>
      <c r="I1165" s="11">
        <v>2022</v>
      </c>
      <c r="J1165" s="12" t="str">
        <f ca="1">IFERROR(__xludf.DUMMYFUNCTION("FILTER('CLASFICACIÓN'!$F$3:$F2419,'CLASFICACIÓN'!$G$3:$G2419=M1165)"),"LOS 3 AÑOS")</f>
        <v>LOS 3 AÑOS</v>
      </c>
      <c r="K1165" s="12" t="s">
        <v>2011</v>
      </c>
      <c r="L1165" s="11" t="s">
        <v>92</v>
      </c>
      <c r="M1165" s="12" t="str">
        <f t="shared" ca="1" si="4"/>
        <v>601334 Secundaria</v>
      </c>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4"/>
    </row>
    <row r="1166" spans="1:36" ht="12.5" x14ac:dyDescent="0.25">
      <c r="A1166" s="9">
        <v>2151</v>
      </c>
      <c r="B1166" s="10" t="s">
        <v>60</v>
      </c>
      <c r="C1166" s="10" t="s">
        <v>41</v>
      </c>
      <c r="D1166" s="10" t="s">
        <v>43</v>
      </c>
      <c r="E1166" s="11" t="str">
        <f ca="1">IFERROR(__xludf.DUMMYFUNCTION("FILTER(Colegios!$B$2:$B2419,Colegios!$A$2:$A2419=L1166)"),"60133")</f>
        <v>60133</v>
      </c>
      <c r="F1166" s="11" t="s">
        <v>17</v>
      </c>
      <c r="G1166" s="10" t="s">
        <v>24</v>
      </c>
      <c r="H1166" s="11" t="s">
        <v>19</v>
      </c>
      <c r="I1166" s="11">
        <v>2022</v>
      </c>
      <c r="J1166" s="12" t="str">
        <f ca="1">IFERROR(__xludf.DUMMYFUNCTION("FILTER('CLASFICACIÓN'!$F$3:$F2419,'CLASFICACIÓN'!$G$3:$G2419=M1166)"),"LOS 3 AÑOS")</f>
        <v>LOS 3 AÑOS</v>
      </c>
      <c r="K1166" s="12" t="s">
        <v>2011</v>
      </c>
      <c r="L1166" s="11" t="s">
        <v>92</v>
      </c>
      <c r="M1166" s="12" t="str">
        <f t="shared" ca="1" si="4"/>
        <v>601334 Secundaria</v>
      </c>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4"/>
    </row>
    <row r="1167" spans="1:36" ht="12.5" x14ac:dyDescent="0.25">
      <c r="A1167" s="9">
        <v>2152</v>
      </c>
      <c r="B1167" s="10" t="s">
        <v>60</v>
      </c>
      <c r="C1167" s="10" t="s">
        <v>41</v>
      </c>
      <c r="D1167" s="10" t="s">
        <v>43</v>
      </c>
      <c r="E1167" s="11" t="str">
        <f ca="1">IFERROR(__xludf.DUMMYFUNCTION("FILTER(Colegios!$B$2:$B2419,Colegios!$A$2:$A2419=L1167)"),"60133")</f>
        <v>60133</v>
      </c>
      <c r="F1167" s="11" t="s">
        <v>17</v>
      </c>
      <c r="G1167" s="10" t="s">
        <v>24</v>
      </c>
      <c r="H1167" s="11" t="s">
        <v>19</v>
      </c>
      <c r="I1167" s="11">
        <v>2022</v>
      </c>
      <c r="J1167" s="12" t="str">
        <f ca="1">IFERROR(__xludf.DUMMYFUNCTION("FILTER('CLASFICACIÓN'!$F$3:$F2419,'CLASFICACIÓN'!$G$3:$G2419=M1167)"),"LOS 3 AÑOS")</f>
        <v>LOS 3 AÑOS</v>
      </c>
      <c r="K1167" s="12" t="s">
        <v>2011</v>
      </c>
      <c r="L1167" s="11" t="s">
        <v>92</v>
      </c>
      <c r="M1167" s="12" t="str">
        <f t="shared" ca="1" si="4"/>
        <v>601334 Secundaria</v>
      </c>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4"/>
    </row>
    <row r="1168" spans="1:36" ht="12.5" x14ac:dyDescent="0.25">
      <c r="A1168" s="9">
        <v>2153</v>
      </c>
      <c r="B1168" s="10" t="s">
        <v>60</v>
      </c>
      <c r="C1168" s="10" t="s">
        <v>41</v>
      </c>
      <c r="D1168" s="10" t="s">
        <v>43</v>
      </c>
      <c r="E1168" s="11" t="str">
        <f ca="1">IFERROR(__xludf.DUMMYFUNCTION("FILTER(Colegios!$B$2:$B2419,Colegios!$A$2:$A2419=L1168)"),"60133")</f>
        <v>60133</v>
      </c>
      <c r="F1168" s="11" t="s">
        <v>17</v>
      </c>
      <c r="G1168" s="10" t="s">
        <v>24</v>
      </c>
      <c r="H1168" s="11" t="s">
        <v>19</v>
      </c>
      <c r="I1168" s="11">
        <v>2022</v>
      </c>
      <c r="J1168" s="12" t="str">
        <f ca="1">IFERROR(__xludf.DUMMYFUNCTION("FILTER('CLASFICACIÓN'!$F$3:$F2419,'CLASFICACIÓN'!$G$3:$G2419=M1168)"),"LOS 3 AÑOS")</f>
        <v>LOS 3 AÑOS</v>
      </c>
      <c r="K1168" s="12" t="s">
        <v>2011</v>
      </c>
      <c r="L1168" s="11" t="s">
        <v>92</v>
      </c>
      <c r="M1168" s="12" t="str">
        <f t="shared" ca="1" si="4"/>
        <v>601334 Secundaria</v>
      </c>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4"/>
    </row>
    <row r="1169" spans="1:36" ht="12.5" x14ac:dyDescent="0.25">
      <c r="A1169" s="9">
        <v>2154</v>
      </c>
      <c r="B1169" s="10" t="s">
        <v>60</v>
      </c>
      <c r="C1169" s="10" t="s">
        <v>41</v>
      </c>
      <c r="D1169" s="10" t="s">
        <v>43</v>
      </c>
      <c r="E1169" s="11" t="str">
        <f ca="1">IFERROR(__xludf.DUMMYFUNCTION("FILTER(Colegios!$B$2:$B2419,Colegios!$A$2:$A2419=L1169)"),"60133")</f>
        <v>60133</v>
      </c>
      <c r="F1169" s="11" t="s">
        <v>17</v>
      </c>
      <c r="G1169" s="10" t="s">
        <v>18</v>
      </c>
      <c r="H1169" s="11" t="s">
        <v>19</v>
      </c>
      <c r="I1169" s="11">
        <v>2022</v>
      </c>
      <c r="J1169" s="12" t="str">
        <f ca="1">IFERROR(__xludf.DUMMYFUNCTION("FILTER('CLASFICACIÓN'!$F$3:$F2419,'CLASFICACIÓN'!$G$3:$G2419=M1169)"),"LOS 3 AÑOS")</f>
        <v>LOS 3 AÑOS</v>
      </c>
      <c r="K1169" s="12" t="s">
        <v>2011</v>
      </c>
      <c r="L1169" s="11" t="s">
        <v>92</v>
      </c>
      <c r="M1169" s="12" t="str">
        <f t="shared" ca="1" si="4"/>
        <v>601334 Secundaria</v>
      </c>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4"/>
    </row>
    <row r="1170" spans="1:36" ht="12.5" x14ac:dyDescent="0.25">
      <c r="A1170" s="9">
        <v>2155</v>
      </c>
      <c r="B1170" s="10" t="s">
        <v>60</v>
      </c>
      <c r="C1170" s="10" t="s">
        <v>41</v>
      </c>
      <c r="D1170" s="10" t="s">
        <v>43</v>
      </c>
      <c r="E1170" s="11" t="str">
        <f ca="1">IFERROR(__xludf.DUMMYFUNCTION("FILTER(Colegios!$B$2:$B2419,Colegios!$A$2:$A2419=L1170)"),"60133")</f>
        <v>60133</v>
      </c>
      <c r="F1170" s="11" t="s">
        <v>17</v>
      </c>
      <c r="G1170" s="10" t="s">
        <v>18</v>
      </c>
      <c r="H1170" s="11" t="s">
        <v>19</v>
      </c>
      <c r="I1170" s="11">
        <v>2022</v>
      </c>
      <c r="J1170" s="12" t="str">
        <f ca="1">IFERROR(__xludf.DUMMYFUNCTION("FILTER('CLASFICACIÓN'!$F$3:$F2419,'CLASFICACIÓN'!$G$3:$G2419=M1170)"),"LOS 3 AÑOS")</f>
        <v>LOS 3 AÑOS</v>
      </c>
      <c r="K1170" s="12" t="s">
        <v>2011</v>
      </c>
      <c r="L1170" s="11" t="s">
        <v>92</v>
      </c>
      <c r="M1170" s="12" t="str">
        <f t="shared" ca="1" si="4"/>
        <v>601334 Secundaria</v>
      </c>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4"/>
    </row>
    <row r="1171" spans="1:36" ht="12.5" x14ac:dyDescent="0.25">
      <c r="A1171" s="9">
        <v>2156</v>
      </c>
      <c r="B1171" s="10" t="s">
        <v>60</v>
      </c>
      <c r="C1171" s="10" t="s">
        <v>41</v>
      </c>
      <c r="D1171" s="10" t="s">
        <v>43</v>
      </c>
      <c r="E1171" s="11" t="str">
        <f ca="1">IFERROR(__xludf.DUMMYFUNCTION("FILTER(Colegios!$B$2:$B2419,Colegios!$A$2:$A2419=L1171)"),"60133")</f>
        <v>60133</v>
      </c>
      <c r="F1171" s="11" t="s">
        <v>17</v>
      </c>
      <c r="G1171" s="10" t="s">
        <v>18</v>
      </c>
      <c r="H1171" s="11" t="s">
        <v>19</v>
      </c>
      <c r="I1171" s="11">
        <v>2022</v>
      </c>
      <c r="J1171" s="12" t="str">
        <f ca="1">IFERROR(__xludf.DUMMYFUNCTION("FILTER('CLASFICACIÓN'!$F$3:$F2419,'CLASFICACIÓN'!$G$3:$G2419=M1171)"),"LOS 3 AÑOS")</f>
        <v>LOS 3 AÑOS</v>
      </c>
      <c r="K1171" s="12" t="s">
        <v>2011</v>
      </c>
      <c r="L1171" s="11" t="s">
        <v>92</v>
      </c>
      <c r="M1171" s="12" t="str">
        <f t="shared" ca="1" si="4"/>
        <v>601334 Secundaria</v>
      </c>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4"/>
    </row>
    <row r="1172" spans="1:36" ht="12.5" x14ac:dyDescent="0.25">
      <c r="A1172" s="9">
        <v>2157</v>
      </c>
      <c r="B1172" s="10" t="s">
        <v>60</v>
      </c>
      <c r="C1172" s="10" t="s">
        <v>15</v>
      </c>
      <c r="D1172" s="10" t="s">
        <v>37</v>
      </c>
      <c r="E1172" s="11" t="str">
        <f ca="1">IFERROR(__xludf.DUMMYFUNCTION("FILTER(Colegios!$B$2:$B2419,Colegios!$A$2:$A2419=L1172)"),"601331")</f>
        <v>601331</v>
      </c>
      <c r="F1172" s="11" t="s">
        <v>17</v>
      </c>
      <c r="G1172" s="10" t="s">
        <v>24</v>
      </c>
      <c r="H1172" s="11" t="s">
        <v>19</v>
      </c>
      <c r="I1172" s="11">
        <v>2022</v>
      </c>
      <c r="J1172" s="12" t="str">
        <f ca="1">IFERROR(__xludf.DUMMYFUNCTION("FILTER('CLASFICACIÓN'!$F$3:$F2419,'CLASFICACIÓN'!$G$3:$G2419=M1172)"),"LOS 3 AÑOS")</f>
        <v>LOS 3 AÑOS</v>
      </c>
      <c r="K1172" s="12" t="s">
        <v>2012</v>
      </c>
      <c r="L1172" s="11" t="s">
        <v>91</v>
      </c>
      <c r="M1172" s="12" t="str">
        <f t="shared" ca="1" si="4"/>
        <v>6013316 Primaria</v>
      </c>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4"/>
    </row>
    <row r="1173" spans="1:36" ht="12.5" x14ac:dyDescent="0.25">
      <c r="A1173" s="9">
        <v>2158</v>
      </c>
      <c r="B1173" s="10" t="s">
        <v>60</v>
      </c>
      <c r="C1173" s="10" t="s">
        <v>15</v>
      </c>
      <c r="D1173" s="10" t="s">
        <v>37</v>
      </c>
      <c r="E1173" s="11" t="str">
        <f ca="1">IFERROR(__xludf.DUMMYFUNCTION("FILTER(Colegios!$B$2:$B2419,Colegios!$A$2:$A2419=L1173)"),"601331")</f>
        <v>601331</v>
      </c>
      <c r="F1173" s="11" t="s">
        <v>17</v>
      </c>
      <c r="G1173" s="10" t="s">
        <v>18</v>
      </c>
      <c r="H1173" s="11" t="s">
        <v>19</v>
      </c>
      <c r="I1173" s="11">
        <v>2022</v>
      </c>
      <c r="J1173" s="12" t="str">
        <f ca="1">IFERROR(__xludf.DUMMYFUNCTION("FILTER('CLASFICACIÓN'!$F$3:$F2419,'CLASFICACIÓN'!$G$3:$G2419=M1173)"),"LOS 3 AÑOS")</f>
        <v>LOS 3 AÑOS</v>
      </c>
      <c r="K1173" s="12" t="s">
        <v>2012</v>
      </c>
      <c r="L1173" s="11" t="s">
        <v>91</v>
      </c>
      <c r="M1173" s="12" t="str">
        <f t="shared" ca="1" si="4"/>
        <v>6013316 Primaria</v>
      </c>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4"/>
    </row>
    <row r="1174" spans="1:36" ht="12.5" x14ac:dyDescent="0.25">
      <c r="A1174" s="9">
        <v>2159</v>
      </c>
      <c r="B1174" s="10" t="s">
        <v>60</v>
      </c>
      <c r="C1174" s="10" t="s">
        <v>15</v>
      </c>
      <c r="D1174" s="10" t="s">
        <v>37</v>
      </c>
      <c r="E1174" s="11" t="str">
        <f ca="1">IFERROR(__xludf.DUMMYFUNCTION("FILTER(Colegios!$B$2:$B2419,Colegios!$A$2:$A2419=L1174)"),"601331")</f>
        <v>601331</v>
      </c>
      <c r="F1174" s="11" t="s">
        <v>17</v>
      </c>
      <c r="G1174" s="10" t="s">
        <v>18</v>
      </c>
      <c r="H1174" s="11" t="s">
        <v>19</v>
      </c>
      <c r="I1174" s="11">
        <v>2022</v>
      </c>
      <c r="J1174" s="12" t="str">
        <f ca="1">IFERROR(__xludf.DUMMYFUNCTION("FILTER('CLASFICACIÓN'!$F$3:$F2419,'CLASFICACIÓN'!$G$3:$G2419=M1174)"),"LOS 3 AÑOS")</f>
        <v>LOS 3 AÑOS</v>
      </c>
      <c r="K1174" s="12" t="s">
        <v>2012</v>
      </c>
      <c r="L1174" s="11" t="s">
        <v>91</v>
      </c>
      <c r="M1174" s="12" t="str">
        <f t="shared" ca="1" si="4"/>
        <v>6013316 Primaria</v>
      </c>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4"/>
    </row>
    <row r="1175" spans="1:36" ht="12.5" x14ac:dyDescent="0.25">
      <c r="A1175" s="9">
        <v>2160</v>
      </c>
      <c r="B1175" s="10" t="s">
        <v>60</v>
      </c>
      <c r="C1175" s="10" t="s">
        <v>15</v>
      </c>
      <c r="D1175" s="10" t="s">
        <v>37</v>
      </c>
      <c r="E1175" s="11" t="str">
        <f ca="1">IFERROR(__xludf.DUMMYFUNCTION("FILTER(Colegios!$B$2:$B2419,Colegios!$A$2:$A2419=L1175)"),"601331")</f>
        <v>601331</v>
      </c>
      <c r="F1175" s="11" t="s">
        <v>17</v>
      </c>
      <c r="G1175" s="10" t="s">
        <v>18</v>
      </c>
      <c r="H1175" s="11" t="s">
        <v>19</v>
      </c>
      <c r="I1175" s="11">
        <v>2022</v>
      </c>
      <c r="J1175" s="12" t="str">
        <f ca="1">IFERROR(__xludf.DUMMYFUNCTION("FILTER('CLASFICACIÓN'!$F$3:$F2419,'CLASFICACIÓN'!$G$3:$G2419=M1175)"),"LOS 3 AÑOS")</f>
        <v>LOS 3 AÑOS</v>
      </c>
      <c r="K1175" s="12" t="s">
        <v>2012</v>
      </c>
      <c r="L1175" s="11" t="s">
        <v>91</v>
      </c>
      <c r="M1175" s="12" t="str">
        <f t="shared" ca="1" si="4"/>
        <v>6013316 Primaria</v>
      </c>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4"/>
    </row>
    <row r="1176" spans="1:36" ht="12.5" x14ac:dyDescent="0.25">
      <c r="A1176" s="9">
        <v>2161</v>
      </c>
      <c r="B1176" s="10" t="s">
        <v>60</v>
      </c>
      <c r="C1176" s="10" t="s">
        <v>15</v>
      </c>
      <c r="D1176" s="10" t="s">
        <v>37</v>
      </c>
      <c r="E1176" s="11" t="str">
        <f ca="1">IFERROR(__xludf.DUMMYFUNCTION("FILTER(Colegios!$B$2:$B2419,Colegios!$A$2:$A2419=L1176)"),"601331")</f>
        <v>601331</v>
      </c>
      <c r="F1176" s="11" t="s">
        <v>17</v>
      </c>
      <c r="G1176" s="10" t="s">
        <v>24</v>
      </c>
      <c r="H1176" s="11" t="s">
        <v>19</v>
      </c>
      <c r="I1176" s="11">
        <v>2022</v>
      </c>
      <c r="J1176" s="12" t="str">
        <f ca="1">IFERROR(__xludf.DUMMYFUNCTION("FILTER('CLASFICACIÓN'!$F$3:$F2419,'CLASFICACIÓN'!$G$3:$G2419=M1176)"),"LOS 3 AÑOS")</f>
        <v>LOS 3 AÑOS</v>
      </c>
      <c r="K1176" s="12" t="s">
        <v>2012</v>
      </c>
      <c r="L1176" s="11" t="s">
        <v>91</v>
      </c>
      <c r="M1176" s="12" t="str">
        <f t="shared" ca="1" si="4"/>
        <v>6013316 Primaria</v>
      </c>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4"/>
    </row>
    <row r="1177" spans="1:36" ht="12.5" x14ac:dyDescent="0.25">
      <c r="A1177" s="9">
        <v>2162</v>
      </c>
      <c r="B1177" s="10" t="s">
        <v>60</v>
      </c>
      <c r="C1177" s="10" t="s">
        <v>15</v>
      </c>
      <c r="D1177" s="10" t="s">
        <v>37</v>
      </c>
      <c r="E1177" s="11" t="str">
        <f ca="1">IFERROR(__xludf.DUMMYFUNCTION("FILTER(Colegios!$B$2:$B2419,Colegios!$A$2:$A2419=L1177)"),"601331")</f>
        <v>601331</v>
      </c>
      <c r="F1177" s="11" t="s">
        <v>17</v>
      </c>
      <c r="G1177" s="10" t="s">
        <v>24</v>
      </c>
      <c r="H1177" s="11" t="s">
        <v>19</v>
      </c>
      <c r="I1177" s="11">
        <v>2022</v>
      </c>
      <c r="J1177" s="12" t="str">
        <f ca="1">IFERROR(__xludf.DUMMYFUNCTION("FILTER('CLASFICACIÓN'!$F$3:$F2419,'CLASFICACIÓN'!$G$3:$G2419=M1177)"),"LOS 3 AÑOS")</f>
        <v>LOS 3 AÑOS</v>
      </c>
      <c r="K1177" s="12" t="s">
        <v>2012</v>
      </c>
      <c r="L1177" s="11" t="s">
        <v>91</v>
      </c>
      <c r="M1177" s="12" t="str">
        <f t="shared" ca="1" si="4"/>
        <v>6013316 Primaria</v>
      </c>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4"/>
    </row>
    <row r="1178" spans="1:36" ht="12.5" x14ac:dyDescent="0.25">
      <c r="A1178" s="9">
        <v>2163</v>
      </c>
      <c r="B1178" s="10" t="s">
        <v>60</v>
      </c>
      <c r="C1178" s="10" t="s">
        <v>15</v>
      </c>
      <c r="D1178" s="10" t="s">
        <v>37</v>
      </c>
      <c r="E1178" s="11" t="str">
        <f ca="1">IFERROR(__xludf.DUMMYFUNCTION("FILTER(Colegios!$B$2:$B2419,Colegios!$A$2:$A2419=L1178)"),"601331")</f>
        <v>601331</v>
      </c>
      <c r="F1178" s="11" t="s">
        <v>17</v>
      </c>
      <c r="G1178" s="10" t="s">
        <v>24</v>
      </c>
      <c r="H1178" s="11" t="s">
        <v>19</v>
      </c>
      <c r="I1178" s="11">
        <v>2022</v>
      </c>
      <c r="J1178" s="12" t="str">
        <f ca="1">IFERROR(__xludf.DUMMYFUNCTION("FILTER('CLASFICACIÓN'!$F$3:$F2419,'CLASFICACIÓN'!$G$3:$G2419=M1178)"),"LOS 3 AÑOS")</f>
        <v>LOS 3 AÑOS</v>
      </c>
      <c r="K1178" s="12" t="s">
        <v>2012</v>
      </c>
      <c r="L1178" s="11" t="s">
        <v>91</v>
      </c>
      <c r="M1178" s="12" t="str">
        <f t="shared" ca="1" si="4"/>
        <v>6013316 Primaria</v>
      </c>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4"/>
    </row>
    <row r="1179" spans="1:36" ht="12.5" x14ac:dyDescent="0.25">
      <c r="A1179" s="9">
        <v>2164</v>
      </c>
      <c r="B1179" s="10" t="s">
        <v>60</v>
      </c>
      <c r="C1179" s="10" t="s">
        <v>15</v>
      </c>
      <c r="D1179" s="10" t="s">
        <v>37</v>
      </c>
      <c r="E1179" s="11" t="str">
        <f ca="1">IFERROR(__xludf.DUMMYFUNCTION("FILTER(Colegios!$B$2:$B2419,Colegios!$A$2:$A2419=L1179)"),"601331")</f>
        <v>601331</v>
      </c>
      <c r="F1179" s="11" t="s">
        <v>17</v>
      </c>
      <c r="G1179" s="10" t="s">
        <v>18</v>
      </c>
      <c r="H1179" s="11" t="s">
        <v>19</v>
      </c>
      <c r="I1179" s="11">
        <v>2022</v>
      </c>
      <c r="J1179" s="12" t="str">
        <f ca="1">IFERROR(__xludf.DUMMYFUNCTION("FILTER('CLASFICACIÓN'!$F$3:$F2419,'CLASFICACIÓN'!$G$3:$G2419=M1179)"),"LOS 3 AÑOS")</f>
        <v>LOS 3 AÑOS</v>
      </c>
      <c r="K1179" s="12" t="s">
        <v>2012</v>
      </c>
      <c r="L1179" s="11" t="s">
        <v>91</v>
      </c>
      <c r="M1179" s="12" t="str">
        <f t="shared" ca="1" si="4"/>
        <v>6013316 Primaria</v>
      </c>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4"/>
    </row>
    <row r="1180" spans="1:36" ht="12.5" x14ac:dyDescent="0.25">
      <c r="A1180" s="9">
        <v>2165</v>
      </c>
      <c r="B1180" s="10" t="s">
        <v>60</v>
      </c>
      <c r="C1180" s="10" t="s">
        <v>15</v>
      </c>
      <c r="D1180" s="10" t="s">
        <v>37</v>
      </c>
      <c r="E1180" s="11" t="str">
        <f ca="1">IFERROR(__xludf.DUMMYFUNCTION("FILTER(Colegios!$B$2:$B2419,Colegios!$A$2:$A2419=L1180)"),"601331")</f>
        <v>601331</v>
      </c>
      <c r="F1180" s="11" t="s">
        <v>17</v>
      </c>
      <c r="G1180" s="10" t="s">
        <v>24</v>
      </c>
      <c r="H1180" s="11" t="s">
        <v>19</v>
      </c>
      <c r="I1180" s="11">
        <v>2022</v>
      </c>
      <c r="J1180" s="12" t="str">
        <f ca="1">IFERROR(__xludf.DUMMYFUNCTION("FILTER('CLASFICACIÓN'!$F$3:$F2419,'CLASFICACIÓN'!$G$3:$G2419=M1180)"),"LOS 3 AÑOS")</f>
        <v>LOS 3 AÑOS</v>
      </c>
      <c r="K1180" s="12" t="s">
        <v>2012</v>
      </c>
      <c r="L1180" s="11" t="s">
        <v>91</v>
      </c>
      <c r="M1180" s="12" t="str">
        <f t="shared" ca="1" si="4"/>
        <v>6013316 Primaria</v>
      </c>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4"/>
    </row>
    <row r="1181" spans="1:36" ht="12.5" x14ac:dyDescent="0.25">
      <c r="A1181" s="9">
        <v>2166</v>
      </c>
      <c r="B1181" s="10" t="s">
        <v>60</v>
      </c>
      <c r="C1181" s="10" t="s">
        <v>15</v>
      </c>
      <c r="D1181" s="10" t="s">
        <v>37</v>
      </c>
      <c r="E1181" s="11" t="str">
        <f ca="1">IFERROR(__xludf.DUMMYFUNCTION("FILTER(Colegios!$B$2:$B2419,Colegios!$A$2:$A2419=L1181)"),"6010230 BARBARA D'ACHILLE")</f>
        <v>6010230 BARBARA D'ACHILLE</v>
      </c>
      <c r="F1181" s="11" t="s">
        <v>17</v>
      </c>
      <c r="G1181" s="10" t="s">
        <v>18</v>
      </c>
      <c r="H1181" s="11" t="s">
        <v>19</v>
      </c>
      <c r="I1181" s="11">
        <v>2022</v>
      </c>
      <c r="J1181" s="12" t="str">
        <f ca="1">IFERROR(__xludf.DUMMYFUNCTION("FILTER('CLASFICACIÓN'!$F$3:$F2419,'CLASFICACIÓN'!$G$3:$G2419=M1181)"),"LOS 3 AÑOS")</f>
        <v>LOS 3 AÑOS</v>
      </c>
      <c r="K1181" s="12" t="s">
        <v>2011</v>
      </c>
      <c r="L1181" s="11" t="s">
        <v>93</v>
      </c>
      <c r="M1181" s="12" t="str">
        <f t="shared" ca="1" si="4"/>
        <v>6010230 BARBARA D'ACHILLE6 Primaria</v>
      </c>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4"/>
    </row>
    <row r="1182" spans="1:36" ht="12.5" x14ac:dyDescent="0.25">
      <c r="A1182" s="9">
        <v>2167</v>
      </c>
      <c r="B1182" s="10" t="s">
        <v>60</v>
      </c>
      <c r="C1182" s="10" t="s">
        <v>15</v>
      </c>
      <c r="D1182" s="10" t="s">
        <v>37</v>
      </c>
      <c r="E1182" s="11" t="str">
        <f ca="1">IFERROR(__xludf.DUMMYFUNCTION("FILTER(Colegios!$B$2:$B2419,Colegios!$A$2:$A2419=L1182)"),"6010230 BARBARA D'ACHILLE")</f>
        <v>6010230 BARBARA D'ACHILLE</v>
      </c>
      <c r="F1182" s="11" t="s">
        <v>17</v>
      </c>
      <c r="G1182" s="10" t="s">
        <v>24</v>
      </c>
      <c r="H1182" s="11" t="s">
        <v>19</v>
      </c>
      <c r="I1182" s="11">
        <v>2022</v>
      </c>
      <c r="J1182" s="12" t="str">
        <f ca="1">IFERROR(__xludf.DUMMYFUNCTION("FILTER('CLASFICACIÓN'!$F$3:$F2419,'CLASFICACIÓN'!$G$3:$G2419=M1182)"),"LOS 3 AÑOS")</f>
        <v>LOS 3 AÑOS</v>
      </c>
      <c r="K1182" s="12" t="s">
        <v>2011</v>
      </c>
      <c r="L1182" s="11" t="s">
        <v>93</v>
      </c>
      <c r="M1182" s="12" t="str">
        <f t="shared" ca="1" si="4"/>
        <v>6010230 BARBARA D'ACHILLE6 Primaria</v>
      </c>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4"/>
    </row>
    <row r="1183" spans="1:36" ht="12.5" x14ac:dyDescent="0.25">
      <c r="A1183" s="9">
        <v>2168</v>
      </c>
      <c r="B1183" s="10" t="s">
        <v>60</v>
      </c>
      <c r="C1183" s="10" t="s">
        <v>15</v>
      </c>
      <c r="D1183" s="10" t="s">
        <v>37</v>
      </c>
      <c r="E1183" s="11" t="str">
        <f ca="1">IFERROR(__xludf.DUMMYFUNCTION("FILTER(Colegios!$B$2:$B2419,Colegios!$A$2:$A2419=L1183)"),"6010230 BARBARA D'ACHILLE")</f>
        <v>6010230 BARBARA D'ACHILLE</v>
      </c>
      <c r="F1183" s="11" t="s">
        <v>17</v>
      </c>
      <c r="G1183" s="10" t="s">
        <v>18</v>
      </c>
      <c r="H1183" s="11" t="s">
        <v>19</v>
      </c>
      <c r="I1183" s="11">
        <v>2022</v>
      </c>
      <c r="J1183" s="12" t="str">
        <f ca="1">IFERROR(__xludf.DUMMYFUNCTION("FILTER('CLASFICACIÓN'!$F$3:$F2419,'CLASFICACIÓN'!$G$3:$G2419=M1183)"),"LOS 3 AÑOS")</f>
        <v>LOS 3 AÑOS</v>
      </c>
      <c r="K1183" s="12" t="s">
        <v>2011</v>
      </c>
      <c r="L1183" s="11" t="s">
        <v>93</v>
      </c>
      <c r="M1183" s="12" t="str">
        <f t="shared" ca="1" si="4"/>
        <v>6010230 BARBARA D'ACHILLE6 Primaria</v>
      </c>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4"/>
    </row>
    <row r="1184" spans="1:36" ht="12.5" x14ac:dyDescent="0.25">
      <c r="A1184" s="9">
        <v>2169</v>
      </c>
      <c r="B1184" s="10" t="s">
        <v>60</v>
      </c>
      <c r="C1184" s="10" t="s">
        <v>15</v>
      </c>
      <c r="D1184" s="10" t="s">
        <v>37</v>
      </c>
      <c r="E1184" s="11" t="str">
        <f ca="1">IFERROR(__xludf.DUMMYFUNCTION("FILTER(Colegios!$B$2:$B2419,Colegios!$A$2:$A2419=L1184)"),"6010230 BARBARA D'ACHILLE")</f>
        <v>6010230 BARBARA D'ACHILLE</v>
      </c>
      <c r="F1184" s="11" t="s">
        <v>17</v>
      </c>
      <c r="G1184" s="10" t="s">
        <v>18</v>
      </c>
      <c r="H1184" s="11" t="s">
        <v>19</v>
      </c>
      <c r="I1184" s="11">
        <v>2022</v>
      </c>
      <c r="J1184" s="12" t="str">
        <f ca="1">IFERROR(__xludf.DUMMYFUNCTION("FILTER('CLASFICACIÓN'!$F$3:$F2419,'CLASFICACIÓN'!$G$3:$G2419=M1184)"),"LOS 3 AÑOS")</f>
        <v>LOS 3 AÑOS</v>
      </c>
      <c r="K1184" s="12" t="s">
        <v>2011</v>
      </c>
      <c r="L1184" s="11" t="s">
        <v>93</v>
      </c>
      <c r="M1184" s="12" t="str">
        <f t="shared" ca="1" si="4"/>
        <v>6010230 BARBARA D'ACHILLE6 Primaria</v>
      </c>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4"/>
    </row>
    <row r="1185" spans="1:36" ht="12.5" x14ac:dyDescent="0.25">
      <c r="A1185" s="9">
        <v>2170</v>
      </c>
      <c r="B1185" s="10" t="s">
        <v>60</v>
      </c>
      <c r="C1185" s="10" t="s">
        <v>15</v>
      </c>
      <c r="D1185" s="10" t="s">
        <v>37</v>
      </c>
      <c r="E1185" s="11" t="str">
        <f ca="1">IFERROR(__xludf.DUMMYFUNCTION("FILTER(Colegios!$B$2:$B2419,Colegios!$A$2:$A2419=L1185)"),"60133")</f>
        <v>60133</v>
      </c>
      <c r="F1185" s="11" t="s">
        <v>17</v>
      </c>
      <c r="G1185" s="10" t="s">
        <v>18</v>
      </c>
      <c r="H1185" s="11" t="s">
        <v>19</v>
      </c>
      <c r="I1185" s="11">
        <v>2022</v>
      </c>
      <c r="J1185" s="12" t="str">
        <f ca="1">IFERROR(__xludf.DUMMYFUNCTION("FILTER('CLASFICACIÓN'!$F$3:$F2419,'CLASFICACIÓN'!$G$3:$G2419=M1185)"),"LOS 3 AÑOS")</f>
        <v>LOS 3 AÑOS</v>
      </c>
      <c r="K1185" s="12" t="s">
        <v>2011</v>
      </c>
      <c r="L1185" s="11" t="s">
        <v>92</v>
      </c>
      <c r="M1185" s="12" t="str">
        <f t="shared" ca="1" si="4"/>
        <v>601336 Primaria</v>
      </c>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4"/>
    </row>
    <row r="1186" spans="1:36" ht="12.5" x14ac:dyDescent="0.25">
      <c r="A1186" s="9">
        <v>2171</v>
      </c>
      <c r="B1186" s="10" t="s">
        <v>60</v>
      </c>
      <c r="C1186" s="10" t="s">
        <v>15</v>
      </c>
      <c r="D1186" s="10" t="s">
        <v>37</v>
      </c>
      <c r="E1186" s="11" t="str">
        <f ca="1">IFERROR(__xludf.DUMMYFUNCTION("FILTER(Colegios!$B$2:$B2419,Colegios!$A$2:$A2419=L1186)"),"60133")</f>
        <v>60133</v>
      </c>
      <c r="F1186" s="11" t="s">
        <v>17</v>
      </c>
      <c r="G1186" s="10" t="s">
        <v>18</v>
      </c>
      <c r="H1186" s="11" t="s">
        <v>19</v>
      </c>
      <c r="I1186" s="11">
        <v>2022</v>
      </c>
      <c r="J1186" s="12" t="str">
        <f ca="1">IFERROR(__xludf.DUMMYFUNCTION("FILTER('CLASFICACIÓN'!$F$3:$F2419,'CLASFICACIÓN'!$G$3:$G2419=M1186)"),"LOS 3 AÑOS")</f>
        <v>LOS 3 AÑOS</v>
      </c>
      <c r="K1186" s="12" t="s">
        <v>2011</v>
      </c>
      <c r="L1186" s="11" t="s">
        <v>92</v>
      </c>
      <c r="M1186" s="12" t="str">
        <f t="shared" ca="1" si="4"/>
        <v>601336 Primaria</v>
      </c>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4"/>
    </row>
    <row r="1187" spans="1:36" ht="12.5" x14ac:dyDescent="0.25">
      <c r="A1187" s="9">
        <v>2172</v>
      </c>
      <c r="B1187" s="10" t="s">
        <v>60</v>
      </c>
      <c r="C1187" s="10" t="s">
        <v>15</v>
      </c>
      <c r="D1187" s="10" t="s">
        <v>37</v>
      </c>
      <c r="E1187" s="11" t="str">
        <f ca="1">IFERROR(__xludf.DUMMYFUNCTION("FILTER(Colegios!$B$2:$B2419,Colegios!$A$2:$A2419=L1187)"),"60133")</f>
        <v>60133</v>
      </c>
      <c r="F1187" s="11" t="s">
        <v>17</v>
      </c>
      <c r="G1187" s="10" t="s">
        <v>18</v>
      </c>
      <c r="H1187" s="11" t="s">
        <v>23</v>
      </c>
      <c r="I1187" s="11">
        <v>2022</v>
      </c>
      <c r="J1187" s="12" t="str">
        <f ca="1">IFERROR(__xludf.DUMMYFUNCTION("FILTER('CLASFICACIÓN'!$F$3:$F2419,'CLASFICACIÓN'!$G$3:$G2419=M1187)"),"LOS 3 AÑOS")</f>
        <v>LOS 3 AÑOS</v>
      </c>
      <c r="K1187" s="12" t="s">
        <v>2011</v>
      </c>
      <c r="L1187" s="11" t="s">
        <v>92</v>
      </c>
      <c r="M1187" s="12" t="str">
        <f t="shared" ca="1" si="4"/>
        <v>601336 Primaria</v>
      </c>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4"/>
    </row>
    <row r="1188" spans="1:36" ht="12.5" x14ac:dyDescent="0.25">
      <c r="A1188" s="9">
        <v>2731</v>
      </c>
      <c r="B1188" s="10" t="s">
        <v>83</v>
      </c>
      <c r="C1188" s="10" t="s">
        <v>15</v>
      </c>
      <c r="D1188" s="10" t="s">
        <v>45</v>
      </c>
      <c r="E1188" s="11" t="str">
        <f ca="1">IFERROR(__xludf.DUMMYFUNCTION("FILTER(Colegios!$B$2:$B2419,Colegios!$A$2:$A2419=L1188)"),"88225 CAPTUY")</f>
        <v>88225 CAPTUY</v>
      </c>
      <c r="F1188" s="11" t="s">
        <v>17</v>
      </c>
      <c r="G1188" s="10" t="s">
        <v>24</v>
      </c>
      <c r="H1188" s="11" t="s">
        <v>19</v>
      </c>
      <c r="I1188" s="11">
        <v>2022</v>
      </c>
      <c r="J1188" s="12" t="str">
        <f ca="1">IFERROR(__xludf.DUMMYFUNCTION("FILTER('CLASFICACIÓN'!$F$3:$F2419,'CLASFICACIÓN'!$G$3:$G2419=M1188)"),"SOLO LINEA BASE")</f>
        <v>SOLO LINEA BASE</v>
      </c>
      <c r="K1188" s="12" t="s">
        <v>2013</v>
      </c>
      <c r="L1188" s="11" t="s">
        <v>95</v>
      </c>
      <c r="M1188" s="12" t="str">
        <f t="shared" ca="1" si="4"/>
        <v>88225 CAPTUY2 Primaria</v>
      </c>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4"/>
    </row>
    <row r="1189" spans="1:36" ht="12.5" x14ac:dyDescent="0.25">
      <c r="A1189" s="9">
        <v>2732</v>
      </c>
      <c r="B1189" s="10" t="s">
        <v>83</v>
      </c>
      <c r="C1189" s="10" t="s">
        <v>15</v>
      </c>
      <c r="D1189" s="10" t="s">
        <v>45</v>
      </c>
      <c r="E1189" s="11" t="str">
        <f ca="1">IFERROR(__xludf.DUMMYFUNCTION("FILTER(Colegios!$B$2:$B2419,Colegios!$A$2:$A2419=L1189)"),"86809")</f>
        <v>86809</v>
      </c>
      <c r="F1189" s="11" t="s">
        <v>17</v>
      </c>
      <c r="G1189" s="10" t="s">
        <v>18</v>
      </c>
      <c r="H1189" s="11" t="s">
        <v>19</v>
      </c>
      <c r="I1189" s="11">
        <v>2022</v>
      </c>
      <c r="J1189" s="12" t="str">
        <f ca="1">IFERROR(__xludf.DUMMYFUNCTION("FILTER('CLASFICACIÓN'!$F$3:$F2419,'CLASFICACIÓN'!$G$3:$G2419=M1189)"),"LOS 3 AÑOS")</f>
        <v>LOS 3 AÑOS</v>
      </c>
      <c r="K1189" s="12" t="s">
        <v>2012</v>
      </c>
      <c r="L1189" s="11" t="s">
        <v>96</v>
      </c>
      <c r="M1189" s="12" t="str">
        <f t="shared" ca="1" si="4"/>
        <v>868092 Primaria</v>
      </c>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4"/>
    </row>
    <row r="1190" spans="1:36" ht="12.5" x14ac:dyDescent="0.25">
      <c r="A1190" s="9">
        <v>2733</v>
      </c>
      <c r="B1190" s="10" t="s">
        <v>83</v>
      </c>
      <c r="C1190" s="10" t="s">
        <v>15</v>
      </c>
      <c r="D1190" s="10" t="s">
        <v>45</v>
      </c>
      <c r="E1190" s="11" t="str">
        <f ca="1">IFERROR(__xludf.DUMMYFUNCTION("FILTER(Colegios!$B$2:$B2419,Colegios!$A$2:$A2419=L1190)"),"88327")</f>
        <v>88327</v>
      </c>
      <c r="F1190" s="11" t="s">
        <v>17</v>
      </c>
      <c r="G1190" s="10" t="s">
        <v>18</v>
      </c>
      <c r="H1190" s="11" t="s">
        <v>19</v>
      </c>
      <c r="I1190" s="11">
        <v>2022</v>
      </c>
      <c r="J1190" s="12" t="str">
        <f ca="1">IFERROR(__xludf.DUMMYFUNCTION("FILTER('CLASFICACIÓN'!$F$3:$F2419,'CLASFICACIÓN'!$G$3:$G2419=M1190)"),"SOLO 2022 Y 2024")</f>
        <v>SOLO 2022 Y 2024</v>
      </c>
      <c r="K1190" s="12" t="s">
        <v>2011</v>
      </c>
      <c r="L1190" s="11" t="s">
        <v>86</v>
      </c>
      <c r="M1190" s="12" t="str">
        <f t="shared" ca="1" si="4"/>
        <v>883272 Primaria</v>
      </c>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4"/>
    </row>
    <row r="1191" spans="1:36" ht="12.5" x14ac:dyDescent="0.25">
      <c r="A1191" s="9">
        <v>2734</v>
      </c>
      <c r="B1191" s="10" t="s">
        <v>83</v>
      </c>
      <c r="C1191" s="10" t="s">
        <v>41</v>
      </c>
      <c r="D1191" s="10" t="s">
        <v>42</v>
      </c>
      <c r="E1191" s="11" t="str">
        <f ca="1">IFERROR(__xludf.DUMMYFUNCTION("FILTER(Colegios!$B$2:$B2419,Colegios!$A$2:$A2419=L1191)"),"86548 JOSE MARIA VELAZ")</f>
        <v>86548 JOSE MARIA VELAZ</v>
      </c>
      <c r="F1191" s="11" t="s">
        <v>17</v>
      </c>
      <c r="G1191" s="10" t="s">
        <v>24</v>
      </c>
      <c r="H1191" s="11" t="s">
        <v>19</v>
      </c>
      <c r="I1191" s="11">
        <v>2022</v>
      </c>
      <c r="J1191" s="12" t="str">
        <f ca="1">IFERROR(__xludf.DUMMYFUNCTION("FILTER('CLASFICACIÓN'!$F$3:$F2419,'CLASFICACIÓN'!$G$3:$G2419=M1191)"),"SOLO 2022 Y 2024")</f>
        <v>SOLO 2022 Y 2024</v>
      </c>
      <c r="K1191" s="12" t="s">
        <v>2011</v>
      </c>
      <c r="L1191" s="11" t="s">
        <v>85</v>
      </c>
      <c r="M1191" s="12" t="str">
        <f t="shared" ca="1" si="4"/>
        <v>86548 JOSE MARIA VELAZ2 Secundaria</v>
      </c>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4"/>
    </row>
    <row r="1192" spans="1:36" ht="12.5" x14ac:dyDescent="0.25">
      <c r="A1192" s="9">
        <v>2735</v>
      </c>
      <c r="B1192" s="10" t="s">
        <v>83</v>
      </c>
      <c r="C1192" s="10" t="s">
        <v>41</v>
      </c>
      <c r="D1192" s="10" t="s">
        <v>42</v>
      </c>
      <c r="E1192" s="11" t="str">
        <f ca="1">IFERROR(__xludf.DUMMYFUNCTION("FILTER(Colegios!$B$2:$B2419,Colegios!$A$2:$A2419=L1192)"),"86548 JOSE MARIA VELAZ")</f>
        <v>86548 JOSE MARIA VELAZ</v>
      </c>
      <c r="F1192" s="11" t="s">
        <v>17</v>
      </c>
      <c r="G1192" s="10" t="s">
        <v>24</v>
      </c>
      <c r="H1192" s="11" t="s">
        <v>19</v>
      </c>
      <c r="I1192" s="11">
        <v>2022</v>
      </c>
      <c r="J1192" s="12" t="str">
        <f ca="1">IFERROR(__xludf.DUMMYFUNCTION("FILTER('CLASFICACIÓN'!$F$3:$F2419,'CLASFICACIÓN'!$G$3:$G2419=M1192)"),"SOLO 2022 Y 2024")</f>
        <v>SOLO 2022 Y 2024</v>
      </c>
      <c r="K1192" s="12" t="s">
        <v>2011</v>
      </c>
      <c r="L1192" s="11" t="s">
        <v>85</v>
      </c>
      <c r="M1192" s="12" t="str">
        <f t="shared" ca="1" si="4"/>
        <v>86548 JOSE MARIA VELAZ2 Secundaria</v>
      </c>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4"/>
    </row>
    <row r="1193" spans="1:36" ht="12.5" x14ac:dyDescent="0.25">
      <c r="A1193" s="9">
        <v>2736</v>
      </c>
      <c r="B1193" s="10" t="s">
        <v>83</v>
      </c>
      <c r="C1193" s="10" t="s">
        <v>41</v>
      </c>
      <c r="D1193" s="10" t="s">
        <v>42</v>
      </c>
      <c r="E1193" s="11" t="str">
        <f ca="1">IFERROR(__xludf.DUMMYFUNCTION("FILTER(Colegios!$B$2:$B2419,Colegios!$A$2:$A2419=L1193)"),"86548 JOSE MARIA VELAZ")</f>
        <v>86548 JOSE MARIA VELAZ</v>
      </c>
      <c r="F1193" s="11" t="s">
        <v>17</v>
      </c>
      <c r="G1193" s="10" t="s">
        <v>24</v>
      </c>
      <c r="H1193" s="11" t="s">
        <v>19</v>
      </c>
      <c r="I1193" s="11">
        <v>2022</v>
      </c>
      <c r="J1193" s="12" t="str">
        <f ca="1">IFERROR(__xludf.DUMMYFUNCTION("FILTER('CLASFICACIÓN'!$F$3:$F2419,'CLASFICACIÓN'!$G$3:$G2419=M1193)"),"SOLO 2022 Y 2024")</f>
        <v>SOLO 2022 Y 2024</v>
      </c>
      <c r="K1193" s="12" t="s">
        <v>2011</v>
      </c>
      <c r="L1193" s="11" t="s">
        <v>85</v>
      </c>
      <c r="M1193" s="12" t="str">
        <f t="shared" ca="1" si="4"/>
        <v>86548 JOSE MARIA VELAZ2 Secundaria</v>
      </c>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4"/>
    </row>
    <row r="1194" spans="1:36" ht="12.5" x14ac:dyDescent="0.25">
      <c r="A1194" s="9">
        <v>2737</v>
      </c>
      <c r="B1194" s="10" t="s">
        <v>83</v>
      </c>
      <c r="C1194" s="10" t="s">
        <v>41</v>
      </c>
      <c r="D1194" s="10" t="s">
        <v>42</v>
      </c>
      <c r="E1194" s="11" t="str">
        <f ca="1">IFERROR(__xludf.DUMMYFUNCTION("FILTER(Colegios!$B$2:$B2419,Colegios!$A$2:$A2419=L1194)"),"86548 JOSE MARIA VELAZ")</f>
        <v>86548 JOSE MARIA VELAZ</v>
      </c>
      <c r="F1194" s="11" t="s">
        <v>17</v>
      </c>
      <c r="G1194" s="10" t="s">
        <v>18</v>
      </c>
      <c r="H1194" s="11" t="s">
        <v>19</v>
      </c>
      <c r="I1194" s="11">
        <v>2022</v>
      </c>
      <c r="J1194" s="12" t="str">
        <f ca="1">IFERROR(__xludf.DUMMYFUNCTION("FILTER('CLASFICACIÓN'!$F$3:$F2419,'CLASFICACIÓN'!$G$3:$G2419=M1194)"),"SOLO 2022 Y 2024")</f>
        <v>SOLO 2022 Y 2024</v>
      </c>
      <c r="K1194" s="12" t="s">
        <v>2011</v>
      </c>
      <c r="L1194" s="11" t="s">
        <v>85</v>
      </c>
      <c r="M1194" s="12" t="str">
        <f t="shared" ca="1" si="4"/>
        <v>86548 JOSE MARIA VELAZ2 Secundaria</v>
      </c>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4"/>
    </row>
    <row r="1195" spans="1:36" ht="12.5" x14ac:dyDescent="0.25">
      <c r="A1195" s="9">
        <v>2738</v>
      </c>
      <c r="B1195" s="10" t="s">
        <v>83</v>
      </c>
      <c r="C1195" s="10" t="s">
        <v>41</v>
      </c>
      <c r="D1195" s="10" t="s">
        <v>42</v>
      </c>
      <c r="E1195" s="11" t="str">
        <f ca="1">IFERROR(__xludf.DUMMYFUNCTION("FILTER(Colegios!$B$2:$B2419,Colegios!$A$2:$A2419=L1195)"),"86548 JOSE MARIA VELAZ")</f>
        <v>86548 JOSE MARIA VELAZ</v>
      </c>
      <c r="F1195" s="11" t="s">
        <v>17</v>
      </c>
      <c r="G1195" s="10" t="s">
        <v>24</v>
      </c>
      <c r="H1195" s="11" t="s">
        <v>19</v>
      </c>
      <c r="I1195" s="11">
        <v>2022</v>
      </c>
      <c r="J1195" s="12" t="str">
        <f ca="1">IFERROR(__xludf.DUMMYFUNCTION("FILTER('CLASFICACIÓN'!$F$3:$F2419,'CLASFICACIÓN'!$G$3:$G2419=M1195)"),"SOLO 2022 Y 2024")</f>
        <v>SOLO 2022 Y 2024</v>
      </c>
      <c r="K1195" s="12" t="s">
        <v>2011</v>
      </c>
      <c r="L1195" s="11" t="s">
        <v>85</v>
      </c>
      <c r="M1195" s="12" t="str">
        <f t="shared" ca="1" si="4"/>
        <v>86548 JOSE MARIA VELAZ2 Secundaria</v>
      </c>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4"/>
    </row>
    <row r="1196" spans="1:36" ht="12.5" x14ac:dyDescent="0.25">
      <c r="A1196" s="9">
        <v>2739</v>
      </c>
      <c r="B1196" s="10" t="s">
        <v>83</v>
      </c>
      <c r="C1196" s="10" t="s">
        <v>41</v>
      </c>
      <c r="D1196" s="10" t="s">
        <v>42</v>
      </c>
      <c r="E1196" s="11" t="str">
        <f ca="1">IFERROR(__xludf.DUMMYFUNCTION("FILTER(Colegios!$B$2:$B2419,Colegios!$A$2:$A2419=L1196)"),"86769 ABRAHAM VALDELOMAR")</f>
        <v>86769 ABRAHAM VALDELOMAR</v>
      </c>
      <c r="F1196" s="11" t="s">
        <v>17</v>
      </c>
      <c r="G1196" s="10" t="s">
        <v>24</v>
      </c>
      <c r="H1196" s="11" t="s">
        <v>19</v>
      </c>
      <c r="I1196" s="11">
        <v>2022</v>
      </c>
      <c r="J1196" s="12" t="str">
        <f ca="1">IFERROR(__xludf.DUMMYFUNCTION("FILTER('CLASFICACIÓN'!$F$3:$F2419,'CLASFICACIÓN'!$G$3:$G2419=M1196)"),"SOLO 2022 Y 2024")</f>
        <v>SOLO 2022 Y 2024</v>
      </c>
      <c r="K1196" s="12" t="s">
        <v>2014</v>
      </c>
      <c r="L1196" s="11" t="s">
        <v>97</v>
      </c>
      <c r="M1196" s="12" t="str">
        <f t="shared" ca="1" si="4"/>
        <v>86769 ABRAHAM VALDELOMAR2 Secundaria</v>
      </c>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4"/>
    </row>
    <row r="1197" spans="1:36" ht="12.5" x14ac:dyDescent="0.25">
      <c r="A1197" s="9">
        <v>2740</v>
      </c>
      <c r="B1197" s="10" t="s">
        <v>83</v>
      </c>
      <c r="C1197" s="10" t="s">
        <v>41</v>
      </c>
      <c r="D1197" s="10" t="s">
        <v>42</v>
      </c>
      <c r="E1197" s="11" t="str">
        <f ca="1">IFERROR(__xludf.DUMMYFUNCTION("FILTER(Colegios!$B$2:$B2419,Colegios!$A$2:$A2419=L1197)"),"86769 ABRAHAM VALDELOMAR")</f>
        <v>86769 ABRAHAM VALDELOMAR</v>
      </c>
      <c r="F1197" s="11" t="s">
        <v>17</v>
      </c>
      <c r="G1197" s="10" t="s">
        <v>24</v>
      </c>
      <c r="H1197" s="11" t="s">
        <v>19</v>
      </c>
      <c r="I1197" s="11">
        <v>2022</v>
      </c>
      <c r="J1197" s="12" t="str">
        <f ca="1">IFERROR(__xludf.DUMMYFUNCTION("FILTER('CLASFICACIÓN'!$F$3:$F2419,'CLASFICACIÓN'!$G$3:$G2419=M1197)"),"SOLO 2022 Y 2024")</f>
        <v>SOLO 2022 Y 2024</v>
      </c>
      <c r="K1197" s="12" t="s">
        <v>2014</v>
      </c>
      <c r="L1197" s="11" t="s">
        <v>97</v>
      </c>
      <c r="M1197" s="12" t="str">
        <f t="shared" ca="1" si="4"/>
        <v>86769 ABRAHAM VALDELOMAR2 Secundaria</v>
      </c>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4"/>
    </row>
    <row r="1198" spans="1:36" ht="12.5" x14ac:dyDescent="0.25">
      <c r="A1198" s="9">
        <v>2741</v>
      </c>
      <c r="B1198" s="10" t="s">
        <v>83</v>
      </c>
      <c r="C1198" s="10" t="s">
        <v>41</v>
      </c>
      <c r="D1198" s="10" t="s">
        <v>42</v>
      </c>
      <c r="E1198" s="11" t="str">
        <f ca="1">IFERROR(__xludf.DUMMYFUNCTION("FILTER(Colegios!$B$2:$B2419,Colegios!$A$2:$A2419=L1198)"),"86769 ABRAHAM VALDELOMAR")</f>
        <v>86769 ABRAHAM VALDELOMAR</v>
      </c>
      <c r="F1198" s="11" t="s">
        <v>17</v>
      </c>
      <c r="G1198" s="10" t="s">
        <v>18</v>
      </c>
      <c r="H1198" s="11" t="s">
        <v>19</v>
      </c>
      <c r="I1198" s="11">
        <v>2022</v>
      </c>
      <c r="J1198" s="12" t="str">
        <f ca="1">IFERROR(__xludf.DUMMYFUNCTION("FILTER('CLASFICACIÓN'!$F$3:$F2419,'CLASFICACIÓN'!$G$3:$G2419=M1198)"),"SOLO 2022 Y 2024")</f>
        <v>SOLO 2022 Y 2024</v>
      </c>
      <c r="K1198" s="12" t="s">
        <v>2014</v>
      </c>
      <c r="L1198" s="11" t="s">
        <v>97</v>
      </c>
      <c r="M1198" s="12" t="str">
        <f t="shared" ca="1" si="4"/>
        <v>86769 ABRAHAM VALDELOMAR2 Secundaria</v>
      </c>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4"/>
    </row>
    <row r="1199" spans="1:36" ht="12.5" x14ac:dyDescent="0.25">
      <c r="A1199" s="9">
        <v>2742</v>
      </c>
      <c r="B1199" s="10" t="s">
        <v>83</v>
      </c>
      <c r="C1199" s="10" t="s">
        <v>15</v>
      </c>
      <c r="D1199" s="10" t="s">
        <v>16</v>
      </c>
      <c r="E1199" s="11" t="str">
        <f ca="1">IFERROR(__xludf.DUMMYFUNCTION("FILTER(Colegios!$B$2:$B2419,Colegios!$A$2:$A2419=L1199)"),"88225 CAPTUY")</f>
        <v>88225 CAPTUY</v>
      </c>
      <c r="F1199" s="11" t="s">
        <v>17</v>
      </c>
      <c r="G1199" s="10" t="s">
        <v>18</v>
      </c>
      <c r="H1199" s="11" t="s">
        <v>19</v>
      </c>
      <c r="I1199" s="11">
        <v>2022</v>
      </c>
      <c r="J1199" s="12" t="str">
        <f ca="1">IFERROR(__xludf.DUMMYFUNCTION("FILTER('CLASFICACIÓN'!$F$3:$F2419,'CLASFICACIÓN'!$G$3:$G2419=M1199)"),"SOLO LINEA BASE")</f>
        <v>SOLO LINEA BASE</v>
      </c>
      <c r="K1199" s="12" t="s">
        <v>2013</v>
      </c>
      <c r="L1199" s="11" t="s">
        <v>95</v>
      </c>
      <c r="M1199" s="12" t="str">
        <f t="shared" ca="1" si="4"/>
        <v>88225 CAPTUY4 Primaria</v>
      </c>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4"/>
    </row>
    <row r="1200" spans="1:36" ht="12.5" x14ac:dyDescent="0.25">
      <c r="A1200" s="9">
        <v>2743</v>
      </c>
      <c r="B1200" s="10" t="s">
        <v>83</v>
      </c>
      <c r="C1200" s="10" t="s">
        <v>15</v>
      </c>
      <c r="D1200" s="10" t="s">
        <v>16</v>
      </c>
      <c r="E1200" s="11" t="str">
        <f ca="1">IFERROR(__xludf.DUMMYFUNCTION("FILTER(Colegios!$B$2:$B2419,Colegios!$A$2:$A2419=L1200)"),"88225 CAPTUY")</f>
        <v>88225 CAPTUY</v>
      </c>
      <c r="F1200" s="11" t="s">
        <v>17</v>
      </c>
      <c r="G1200" s="10" t="s">
        <v>24</v>
      </c>
      <c r="H1200" s="11" t="s">
        <v>19</v>
      </c>
      <c r="I1200" s="11">
        <v>2022</v>
      </c>
      <c r="J1200" s="12" t="str">
        <f ca="1">IFERROR(__xludf.DUMMYFUNCTION("FILTER('CLASFICACIÓN'!$F$3:$F2419,'CLASFICACIÓN'!$G$3:$G2419=M1200)"),"SOLO LINEA BASE")</f>
        <v>SOLO LINEA BASE</v>
      </c>
      <c r="K1200" s="12" t="s">
        <v>2013</v>
      </c>
      <c r="L1200" s="11" t="s">
        <v>95</v>
      </c>
      <c r="M1200" s="12" t="str">
        <f t="shared" ca="1" si="4"/>
        <v>88225 CAPTUY4 Primaria</v>
      </c>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4"/>
    </row>
    <row r="1201" spans="1:36" ht="12.5" x14ac:dyDescent="0.25">
      <c r="A1201" s="9">
        <v>2744</v>
      </c>
      <c r="B1201" s="10" t="s">
        <v>83</v>
      </c>
      <c r="C1201" s="10" t="s">
        <v>15</v>
      </c>
      <c r="D1201" s="10" t="s">
        <v>16</v>
      </c>
      <c r="E1201" s="11" t="str">
        <f ca="1">IFERROR(__xludf.DUMMYFUNCTION("FILTER(Colegios!$B$2:$B2419,Colegios!$A$2:$A2419=L1201)"),"88225 CAPTUY")</f>
        <v>88225 CAPTUY</v>
      </c>
      <c r="F1201" s="11" t="s">
        <v>17</v>
      </c>
      <c r="G1201" s="10" t="s">
        <v>18</v>
      </c>
      <c r="H1201" s="11" t="s">
        <v>19</v>
      </c>
      <c r="I1201" s="11">
        <v>2022</v>
      </c>
      <c r="J1201" s="12" t="str">
        <f ca="1">IFERROR(__xludf.DUMMYFUNCTION("FILTER('CLASFICACIÓN'!$F$3:$F2419,'CLASFICACIÓN'!$G$3:$G2419=M1201)"),"SOLO LINEA BASE")</f>
        <v>SOLO LINEA BASE</v>
      </c>
      <c r="K1201" s="12" t="s">
        <v>2013</v>
      </c>
      <c r="L1201" s="11" t="s">
        <v>95</v>
      </c>
      <c r="M1201" s="12" t="str">
        <f t="shared" ca="1" si="4"/>
        <v>88225 CAPTUY4 Primaria</v>
      </c>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4"/>
    </row>
    <row r="1202" spans="1:36" ht="12.5" x14ac:dyDescent="0.25">
      <c r="A1202" s="9">
        <v>2745</v>
      </c>
      <c r="B1202" s="10" t="s">
        <v>83</v>
      </c>
      <c r="C1202" s="10" t="s">
        <v>15</v>
      </c>
      <c r="D1202" s="10" t="s">
        <v>16</v>
      </c>
      <c r="E1202" s="11" t="str">
        <f ca="1">IFERROR(__xludf.DUMMYFUNCTION("FILTER(Colegios!$B$2:$B2419,Colegios!$A$2:$A2419=L1202)"),"86809")</f>
        <v>86809</v>
      </c>
      <c r="F1202" s="11" t="s">
        <v>17</v>
      </c>
      <c r="G1202" s="10" t="s">
        <v>18</v>
      </c>
      <c r="H1202" s="11" t="s">
        <v>19</v>
      </c>
      <c r="I1202" s="11">
        <v>2022</v>
      </c>
      <c r="J1202" s="12" t="str">
        <f ca="1">IFERROR(__xludf.DUMMYFUNCTION("FILTER('CLASFICACIÓN'!$F$3:$F2419,'CLASFICACIÓN'!$G$3:$G2419=M1202)"),"LOS 3 AÑOS")</f>
        <v>LOS 3 AÑOS</v>
      </c>
      <c r="K1202" s="12" t="s">
        <v>2012</v>
      </c>
      <c r="L1202" s="11" t="s">
        <v>96</v>
      </c>
      <c r="M1202" s="12" t="str">
        <f t="shared" ca="1" si="4"/>
        <v>868094 Primaria</v>
      </c>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4"/>
    </row>
    <row r="1203" spans="1:36" ht="12.5" x14ac:dyDescent="0.25">
      <c r="A1203" s="9">
        <v>2746</v>
      </c>
      <c r="B1203" s="10" t="s">
        <v>83</v>
      </c>
      <c r="C1203" s="10" t="s">
        <v>15</v>
      </c>
      <c r="D1203" s="10" t="s">
        <v>16</v>
      </c>
      <c r="E1203" s="11" t="str">
        <f ca="1">IFERROR(__xludf.DUMMYFUNCTION("FILTER(Colegios!$B$2:$B2419,Colegios!$A$2:$A2419=L1203)"),"86769 ABRAHAM VALDELOMAR")</f>
        <v>86769 ABRAHAM VALDELOMAR</v>
      </c>
      <c r="F1203" s="11" t="s">
        <v>17</v>
      </c>
      <c r="G1203" s="10" t="s">
        <v>18</v>
      </c>
      <c r="H1203" s="11" t="s">
        <v>19</v>
      </c>
      <c r="I1203" s="11">
        <v>2022</v>
      </c>
      <c r="J1203" s="12" t="str">
        <f ca="1">IFERROR(__xludf.DUMMYFUNCTION("FILTER('CLASFICACIÓN'!$F$3:$F2419,'CLASFICACIÓN'!$G$3:$G2419=M1203)"),"SOLO 2022 Y 2024")</f>
        <v>SOLO 2022 Y 2024</v>
      </c>
      <c r="K1203" s="12" t="s">
        <v>2014</v>
      </c>
      <c r="L1203" s="11" t="s">
        <v>97</v>
      </c>
      <c r="M1203" s="12" t="str">
        <f t="shared" ca="1" si="4"/>
        <v>86769 ABRAHAM VALDELOMAR4 Primaria</v>
      </c>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4"/>
    </row>
    <row r="1204" spans="1:36" ht="12.5" x14ac:dyDescent="0.25">
      <c r="A1204" s="9">
        <v>2747</v>
      </c>
      <c r="B1204" s="10" t="s">
        <v>83</v>
      </c>
      <c r="C1204" s="10" t="s">
        <v>15</v>
      </c>
      <c r="D1204" s="10" t="s">
        <v>16</v>
      </c>
      <c r="E1204" s="11" t="str">
        <f ca="1">IFERROR(__xludf.DUMMYFUNCTION("FILTER(Colegios!$B$2:$B2419,Colegios!$A$2:$A2419=L1204)"),"86769 ABRAHAM VALDELOMAR")</f>
        <v>86769 ABRAHAM VALDELOMAR</v>
      </c>
      <c r="F1204" s="11" t="s">
        <v>17</v>
      </c>
      <c r="G1204" s="10" t="s">
        <v>18</v>
      </c>
      <c r="H1204" s="11" t="s">
        <v>19</v>
      </c>
      <c r="I1204" s="11">
        <v>2022</v>
      </c>
      <c r="J1204" s="12" t="str">
        <f ca="1">IFERROR(__xludf.DUMMYFUNCTION("FILTER('CLASFICACIÓN'!$F$3:$F2419,'CLASFICACIÓN'!$G$3:$G2419=M1204)"),"SOLO 2022 Y 2024")</f>
        <v>SOLO 2022 Y 2024</v>
      </c>
      <c r="K1204" s="12" t="s">
        <v>2014</v>
      </c>
      <c r="L1204" s="11" t="s">
        <v>97</v>
      </c>
      <c r="M1204" s="12" t="str">
        <f t="shared" ca="1" si="4"/>
        <v>86769 ABRAHAM VALDELOMAR4 Primaria</v>
      </c>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4"/>
    </row>
    <row r="1205" spans="1:36" ht="12.5" x14ac:dyDescent="0.25">
      <c r="A1205" s="9">
        <v>2748</v>
      </c>
      <c r="B1205" s="10" t="s">
        <v>83</v>
      </c>
      <c r="C1205" s="10" t="s">
        <v>15</v>
      </c>
      <c r="D1205" s="10" t="s">
        <v>16</v>
      </c>
      <c r="E1205" s="11" t="str">
        <f ca="1">IFERROR(__xludf.DUMMYFUNCTION("FILTER(Colegios!$B$2:$B2419,Colegios!$A$2:$A2419=L1205)"),"86769 ABRAHAM VALDELOMAR")</f>
        <v>86769 ABRAHAM VALDELOMAR</v>
      </c>
      <c r="F1205" s="11" t="s">
        <v>17</v>
      </c>
      <c r="G1205" s="10" t="s">
        <v>18</v>
      </c>
      <c r="H1205" s="11" t="s">
        <v>19</v>
      </c>
      <c r="I1205" s="11">
        <v>2022</v>
      </c>
      <c r="J1205" s="12" t="str">
        <f ca="1">IFERROR(__xludf.DUMMYFUNCTION("FILTER('CLASFICACIÓN'!$F$3:$F2419,'CLASFICACIÓN'!$G$3:$G2419=M1205)"),"SOLO 2022 Y 2024")</f>
        <v>SOLO 2022 Y 2024</v>
      </c>
      <c r="K1205" s="12" t="s">
        <v>2014</v>
      </c>
      <c r="L1205" s="11" t="s">
        <v>97</v>
      </c>
      <c r="M1205" s="12" t="str">
        <f t="shared" ca="1" si="4"/>
        <v>86769 ABRAHAM VALDELOMAR4 Primaria</v>
      </c>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4"/>
    </row>
    <row r="1206" spans="1:36" ht="12.5" x14ac:dyDescent="0.25">
      <c r="A1206" s="9">
        <v>2749</v>
      </c>
      <c r="B1206" s="10" t="s">
        <v>83</v>
      </c>
      <c r="C1206" s="10" t="s">
        <v>41</v>
      </c>
      <c r="D1206" s="10" t="s">
        <v>43</v>
      </c>
      <c r="E1206" s="11" t="str">
        <f ca="1">IFERROR(__xludf.DUMMYFUNCTION("FILTER(Colegios!$B$2:$B2419,Colegios!$A$2:$A2419=L1206)"),"86548 JOSE MARIA VELAZ")</f>
        <v>86548 JOSE MARIA VELAZ</v>
      </c>
      <c r="F1206" s="11" t="s">
        <v>17</v>
      </c>
      <c r="G1206" s="10" t="s">
        <v>24</v>
      </c>
      <c r="H1206" s="11" t="s">
        <v>19</v>
      </c>
      <c r="I1206" s="11">
        <v>2022</v>
      </c>
      <c r="J1206" s="12" t="str">
        <f ca="1">IFERROR(__xludf.DUMMYFUNCTION("FILTER('CLASFICACIÓN'!$F$3:$F2419,'CLASFICACIÓN'!$G$3:$G2419=M1206)"),"SOLO 2022 Y 2024")</f>
        <v>SOLO 2022 Y 2024</v>
      </c>
      <c r="K1206" s="12" t="s">
        <v>2011</v>
      </c>
      <c r="L1206" s="11" t="s">
        <v>85</v>
      </c>
      <c r="M1206" s="12" t="str">
        <f t="shared" ca="1" si="4"/>
        <v>86548 JOSE MARIA VELAZ4 Secundaria</v>
      </c>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4"/>
    </row>
    <row r="1207" spans="1:36" ht="12.5" x14ac:dyDescent="0.25">
      <c r="A1207" s="9">
        <v>2750</v>
      </c>
      <c r="B1207" s="10" t="s">
        <v>83</v>
      </c>
      <c r="C1207" s="10" t="s">
        <v>41</v>
      </c>
      <c r="D1207" s="10" t="s">
        <v>43</v>
      </c>
      <c r="E1207" s="11" t="str">
        <f ca="1">IFERROR(__xludf.DUMMYFUNCTION("FILTER(Colegios!$B$2:$B2419,Colegios!$A$2:$A2419=L1207)"),"86548 JOSE MARIA VELAZ")</f>
        <v>86548 JOSE MARIA VELAZ</v>
      </c>
      <c r="F1207" s="11" t="s">
        <v>17</v>
      </c>
      <c r="G1207" s="10" t="s">
        <v>24</v>
      </c>
      <c r="H1207" s="11" t="s">
        <v>19</v>
      </c>
      <c r="I1207" s="11">
        <v>2022</v>
      </c>
      <c r="J1207" s="12" t="str">
        <f ca="1">IFERROR(__xludf.DUMMYFUNCTION("FILTER('CLASFICACIÓN'!$F$3:$F2419,'CLASFICACIÓN'!$G$3:$G2419=M1207)"),"SOLO 2022 Y 2024")</f>
        <v>SOLO 2022 Y 2024</v>
      </c>
      <c r="K1207" s="12" t="s">
        <v>2011</v>
      </c>
      <c r="L1207" s="11" t="s">
        <v>85</v>
      </c>
      <c r="M1207" s="12" t="str">
        <f t="shared" ca="1" si="4"/>
        <v>86548 JOSE MARIA VELAZ4 Secundaria</v>
      </c>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4"/>
    </row>
    <row r="1208" spans="1:36" ht="12.5" x14ac:dyDescent="0.25">
      <c r="A1208" s="9">
        <v>2751</v>
      </c>
      <c r="B1208" s="10" t="s">
        <v>83</v>
      </c>
      <c r="C1208" s="10" t="s">
        <v>15</v>
      </c>
      <c r="D1208" s="10" t="s">
        <v>37</v>
      </c>
      <c r="E1208" s="11" t="str">
        <f ca="1">IFERROR(__xludf.DUMMYFUNCTION("FILTER(Colegios!$B$2:$B2419,Colegios!$A$2:$A2419=L1208)"),"88225 CAPTUY")</f>
        <v>88225 CAPTUY</v>
      </c>
      <c r="F1208" s="11" t="s">
        <v>17</v>
      </c>
      <c r="G1208" s="10" t="s">
        <v>24</v>
      </c>
      <c r="H1208" s="11" t="s">
        <v>23</v>
      </c>
      <c r="I1208" s="11">
        <v>2022</v>
      </c>
      <c r="J1208" s="12" t="str">
        <f ca="1">IFERROR(__xludf.DUMMYFUNCTION("FILTER('CLASFICACIÓN'!$F$3:$F2419,'CLASFICACIÓN'!$G$3:$G2419=M1208)"),"SOLO LINEA BASE")</f>
        <v>SOLO LINEA BASE</v>
      </c>
      <c r="K1208" s="12" t="s">
        <v>2013</v>
      </c>
      <c r="L1208" s="11" t="s">
        <v>95</v>
      </c>
      <c r="M1208" s="12" t="str">
        <f t="shared" ca="1" si="4"/>
        <v>88225 CAPTUY6 Primaria</v>
      </c>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4"/>
    </row>
    <row r="1209" spans="1:36" ht="12.5" x14ac:dyDescent="0.25">
      <c r="A1209" s="9">
        <v>2752</v>
      </c>
      <c r="B1209" s="10" t="s">
        <v>83</v>
      </c>
      <c r="C1209" s="10" t="s">
        <v>15</v>
      </c>
      <c r="D1209" s="10" t="s">
        <v>37</v>
      </c>
      <c r="E1209" s="11" t="str">
        <f ca="1">IFERROR(__xludf.DUMMYFUNCTION("FILTER(Colegios!$B$2:$B2419,Colegios!$A$2:$A2419=L1209)"),"88225 CAPTUY")</f>
        <v>88225 CAPTUY</v>
      </c>
      <c r="F1209" s="11" t="s">
        <v>17</v>
      </c>
      <c r="G1209" s="10" t="s">
        <v>24</v>
      </c>
      <c r="H1209" s="11" t="s">
        <v>23</v>
      </c>
      <c r="I1209" s="11">
        <v>2022</v>
      </c>
      <c r="J1209" s="12" t="str">
        <f ca="1">IFERROR(__xludf.DUMMYFUNCTION("FILTER('CLASFICACIÓN'!$F$3:$F2419,'CLASFICACIÓN'!$G$3:$G2419=M1209)"),"SOLO LINEA BASE")</f>
        <v>SOLO LINEA BASE</v>
      </c>
      <c r="K1209" s="12" t="s">
        <v>2013</v>
      </c>
      <c r="L1209" s="11" t="s">
        <v>95</v>
      </c>
      <c r="M1209" s="12" t="str">
        <f t="shared" ca="1" si="4"/>
        <v>88225 CAPTUY6 Primaria</v>
      </c>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4"/>
    </row>
    <row r="1210" spans="1:36" ht="12.5" x14ac:dyDescent="0.25">
      <c r="A1210" s="9">
        <v>2753</v>
      </c>
      <c r="B1210" s="10" t="s">
        <v>83</v>
      </c>
      <c r="C1210" s="10" t="s">
        <v>15</v>
      </c>
      <c r="D1210" s="10" t="s">
        <v>37</v>
      </c>
      <c r="E1210" s="11" t="str">
        <f ca="1">IFERROR(__xludf.DUMMYFUNCTION("FILTER(Colegios!$B$2:$B2419,Colegios!$A$2:$A2419=L1210)"),"88225 CAPTUY")</f>
        <v>88225 CAPTUY</v>
      </c>
      <c r="F1210" s="11" t="s">
        <v>17</v>
      </c>
      <c r="G1210" s="10" t="s">
        <v>24</v>
      </c>
      <c r="H1210" s="11" t="s">
        <v>23</v>
      </c>
      <c r="I1210" s="11">
        <v>2022</v>
      </c>
      <c r="J1210" s="12" t="str">
        <f ca="1">IFERROR(__xludf.DUMMYFUNCTION("FILTER('CLASFICACIÓN'!$F$3:$F2419,'CLASFICACIÓN'!$G$3:$G2419=M1210)"),"SOLO LINEA BASE")</f>
        <v>SOLO LINEA BASE</v>
      </c>
      <c r="K1210" s="12" t="s">
        <v>2013</v>
      </c>
      <c r="L1210" s="11" t="s">
        <v>95</v>
      </c>
      <c r="M1210" s="12" t="str">
        <f t="shared" ca="1" si="4"/>
        <v>88225 CAPTUY6 Primaria</v>
      </c>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4"/>
    </row>
    <row r="1211" spans="1:36" ht="12.5" x14ac:dyDescent="0.25">
      <c r="A1211" s="9">
        <v>2754</v>
      </c>
      <c r="B1211" s="10" t="s">
        <v>83</v>
      </c>
      <c r="C1211" s="10" t="s">
        <v>15</v>
      </c>
      <c r="D1211" s="10" t="s">
        <v>37</v>
      </c>
      <c r="E1211" s="11" t="str">
        <f ca="1">IFERROR(__xludf.DUMMYFUNCTION("FILTER(Colegios!$B$2:$B2419,Colegios!$A$2:$A2419=L1211)"),"88225 CAPTUY")</f>
        <v>88225 CAPTUY</v>
      </c>
      <c r="F1211" s="11" t="s">
        <v>17</v>
      </c>
      <c r="G1211" s="10" t="s">
        <v>18</v>
      </c>
      <c r="H1211" s="11" t="s">
        <v>23</v>
      </c>
      <c r="I1211" s="11">
        <v>2022</v>
      </c>
      <c r="J1211" s="12" t="str">
        <f ca="1">IFERROR(__xludf.DUMMYFUNCTION("FILTER('CLASFICACIÓN'!$F$3:$F2419,'CLASFICACIÓN'!$G$3:$G2419=M1211)"),"SOLO LINEA BASE")</f>
        <v>SOLO LINEA BASE</v>
      </c>
      <c r="K1211" s="12" t="s">
        <v>2013</v>
      </c>
      <c r="L1211" s="11" t="s">
        <v>95</v>
      </c>
      <c r="M1211" s="12" t="str">
        <f t="shared" ca="1" si="4"/>
        <v>88225 CAPTUY6 Primaria</v>
      </c>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4"/>
    </row>
    <row r="1212" spans="1:36" ht="12.5" x14ac:dyDescent="0.25">
      <c r="A1212" s="9">
        <v>2755</v>
      </c>
      <c r="B1212" s="10" t="s">
        <v>83</v>
      </c>
      <c r="C1212" s="10" t="s">
        <v>15</v>
      </c>
      <c r="D1212" s="10" t="s">
        <v>37</v>
      </c>
      <c r="E1212" s="11" t="str">
        <f ca="1">IFERROR(__xludf.DUMMYFUNCTION("FILTER(Colegios!$B$2:$B2419,Colegios!$A$2:$A2419=L1212)"),"88225 CAPTUY")</f>
        <v>88225 CAPTUY</v>
      </c>
      <c r="F1212" s="11" t="s">
        <v>17</v>
      </c>
      <c r="G1212" s="10" t="s">
        <v>18</v>
      </c>
      <c r="H1212" s="11" t="s">
        <v>23</v>
      </c>
      <c r="I1212" s="11">
        <v>2022</v>
      </c>
      <c r="J1212" s="12" t="str">
        <f ca="1">IFERROR(__xludf.DUMMYFUNCTION("FILTER('CLASFICACIÓN'!$F$3:$F2419,'CLASFICACIÓN'!$G$3:$G2419=M1212)"),"SOLO LINEA BASE")</f>
        <v>SOLO LINEA BASE</v>
      </c>
      <c r="K1212" s="12" t="s">
        <v>2013</v>
      </c>
      <c r="L1212" s="11" t="s">
        <v>95</v>
      </c>
      <c r="M1212" s="12" t="str">
        <f t="shared" ca="1" si="4"/>
        <v>88225 CAPTUY6 Primaria</v>
      </c>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4"/>
    </row>
    <row r="1213" spans="1:36" ht="12.5" x14ac:dyDescent="0.25">
      <c r="A1213" s="9">
        <v>2756</v>
      </c>
      <c r="B1213" s="10" t="s">
        <v>83</v>
      </c>
      <c r="C1213" s="10" t="s">
        <v>15</v>
      </c>
      <c r="D1213" s="10" t="s">
        <v>37</v>
      </c>
      <c r="E1213" s="11" t="str">
        <f ca="1">IFERROR(__xludf.DUMMYFUNCTION("FILTER(Colegios!$B$2:$B2419,Colegios!$A$2:$A2419=L1213)"),"88225 CAPTUY")</f>
        <v>88225 CAPTUY</v>
      </c>
      <c r="F1213" s="11" t="s">
        <v>17</v>
      </c>
      <c r="G1213" s="10" t="s">
        <v>18</v>
      </c>
      <c r="H1213" s="11" t="s">
        <v>23</v>
      </c>
      <c r="I1213" s="11">
        <v>2022</v>
      </c>
      <c r="J1213" s="12" t="str">
        <f ca="1">IFERROR(__xludf.DUMMYFUNCTION("FILTER('CLASFICACIÓN'!$F$3:$F2419,'CLASFICACIÓN'!$G$3:$G2419=M1213)"),"SOLO LINEA BASE")</f>
        <v>SOLO LINEA BASE</v>
      </c>
      <c r="K1213" s="12" t="s">
        <v>2013</v>
      </c>
      <c r="L1213" s="11" t="s">
        <v>95</v>
      </c>
      <c r="M1213" s="12" t="str">
        <f t="shared" ca="1" si="4"/>
        <v>88225 CAPTUY6 Primaria</v>
      </c>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4"/>
    </row>
    <row r="1214" spans="1:36" ht="12.5" x14ac:dyDescent="0.25">
      <c r="A1214" s="9">
        <v>2757</v>
      </c>
      <c r="B1214" s="10" t="s">
        <v>83</v>
      </c>
      <c r="C1214" s="10" t="s">
        <v>15</v>
      </c>
      <c r="D1214" s="10" t="s">
        <v>37</v>
      </c>
      <c r="E1214" s="11" t="str">
        <f ca="1">IFERROR(__xludf.DUMMYFUNCTION("FILTER(Colegios!$B$2:$B2419,Colegios!$A$2:$A2419=L1214)"),"88225 CAPTUY")</f>
        <v>88225 CAPTUY</v>
      </c>
      <c r="F1214" s="11" t="s">
        <v>17</v>
      </c>
      <c r="G1214" s="10" t="s">
        <v>18</v>
      </c>
      <c r="H1214" s="11" t="s">
        <v>23</v>
      </c>
      <c r="I1214" s="11">
        <v>2022</v>
      </c>
      <c r="J1214" s="12" t="str">
        <f ca="1">IFERROR(__xludf.DUMMYFUNCTION("FILTER('CLASFICACIÓN'!$F$3:$F2419,'CLASFICACIÓN'!$G$3:$G2419=M1214)"),"SOLO LINEA BASE")</f>
        <v>SOLO LINEA BASE</v>
      </c>
      <c r="K1214" s="12" t="s">
        <v>2013</v>
      </c>
      <c r="L1214" s="11" t="s">
        <v>95</v>
      </c>
      <c r="M1214" s="12" t="str">
        <f t="shared" ca="1" si="4"/>
        <v>88225 CAPTUY6 Primaria</v>
      </c>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4"/>
    </row>
    <row r="1215" spans="1:36" ht="12.5" x14ac:dyDescent="0.25">
      <c r="A1215" s="9">
        <v>2758</v>
      </c>
      <c r="B1215" s="10" t="s">
        <v>83</v>
      </c>
      <c r="C1215" s="10" t="s">
        <v>15</v>
      </c>
      <c r="D1215" s="10" t="s">
        <v>37</v>
      </c>
      <c r="E1215" s="11" t="str">
        <f ca="1">IFERROR(__xludf.DUMMYFUNCTION("FILTER(Colegios!$B$2:$B2419,Colegios!$A$2:$A2419=L1215)"),"88225 CAPTUY")</f>
        <v>88225 CAPTUY</v>
      </c>
      <c r="F1215" s="11" t="s">
        <v>17</v>
      </c>
      <c r="G1215" s="10" t="s">
        <v>18</v>
      </c>
      <c r="H1215" s="11" t="s">
        <v>23</v>
      </c>
      <c r="I1215" s="11">
        <v>2022</v>
      </c>
      <c r="J1215" s="12" t="str">
        <f ca="1">IFERROR(__xludf.DUMMYFUNCTION("FILTER('CLASFICACIÓN'!$F$3:$F2419,'CLASFICACIÓN'!$G$3:$G2419=M1215)"),"SOLO LINEA BASE")</f>
        <v>SOLO LINEA BASE</v>
      </c>
      <c r="K1215" s="12" t="s">
        <v>2013</v>
      </c>
      <c r="L1215" s="11" t="s">
        <v>95</v>
      </c>
      <c r="M1215" s="12" t="str">
        <f t="shared" ca="1" si="4"/>
        <v>88225 CAPTUY6 Primaria</v>
      </c>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4"/>
    </row>
    <row r="1216" spans="1:36" ht="12.5" x14ac:dyDescent="0.25">
      <c r="A1216" s="9">
        <v>2759</v>
      </c>
      <c r="B1216" s="10" t="s">
        <v>83</v>
      </c>
      <c r="C1216" s="10" t="s">
        <v>15</v>
      </c>
      <c r="D1216" s="10" t="s">
        <v>37</v>
      </c>
      <c r="E1216" s="11" t="str">
        <f ca="1">IFERROR(__xludf.DUMMYFUNCTION("FILTER(Colegios!$B$2:$B2419,Colegios!$A$2:$A2419=L1216)"),"88225 CAPTUY")</f>
        <v>88225 CAPTUY</v>
      </c>
      <c r="F1216" s="11" t="s">
        <v>17</v>
      </c>
      <c r="G1216" s="10" t="s">
        <v>24</v>
      </c>
      <c r="H1216" s="11" t="s">
        <v>23</v>
      </c>
      <c r="I1216" s="11">
        <v>2022</v>
      </c>
      <c r="J1216" s="12" t="str">
        <f ca="1">IFERROR(__xludf.DUMMYFUNCTION("FILTER('CLASFICACIÓN'!$F$3:$F2419,'CLASFICACIÓN'!$G$3:$G2419=M1216)"),"SOLO LINEA BASE")</f>
        <v>SOLO LINEA BASE</v>
      </c>
      <c r="K1216" s="12" t="s">
        <v>2013</v>
      </c>
      <c r="L1216" s="11" t="s">
        <v>95</v>
      </c>
      <c r="M1216" s="12" t="str">
        <f t="shared" ca="1" si="4"/>
        <v>88225 CAPTUY6 Primaria</v>
      </c>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4"/>
    </row>
    <row r="1217" spans="1:36" ht="12.5" x14ac:dyDescent="0.25">
      <c r="A1217" s="9">
        <v>2760</v>
      </c>
      <c r="B1217" s="10" t="s">
        <v>83</v>
      </c>
      <c r="C1217" s="10" t="s">
        <v>15</v>
      </c>
      <c r="D1217" s="10" t="s">
        <v>37</v>
      </c>
      <c r="E1217" s="11" t="str">
        <f ca="1">IFERROR(__xludf.DUMMYFUNCTION("FILTER(Colegios!$B$2:$B2419,Colegios!$A$2:$A2419=L1217)"),"88225 CAPTUY")</f>
        <v>88225 CAPTUY</v>
      </c>
      <c r="F1217" s="11" t="s">
        <v>17</v>
      </c>
      <c r="G1217" s="10" t="s">
        <v>18</v>
      </c>
      <c r="H1217" s="11" t="s">
        <v>23</v>
      </c>
      <c r="I1217" s="11">
        <v>2022</v>
      </c>
      <c r="J1217" s="12" t="str">
        <f ca="1">IFERROR(__xludf.DUMMYFUNCTION("FILTER('CLASFICACIÓN'!$F$3:$F2419,'CLASFICACIÓN'!$G$3:$G2419=M1217)"),"SOLO LINEA BASE")</f>
        <v>SOLO LINEA BASE</v>
      </c>
      <c r="K1217" s="12" t="s">
        <v>2013</v>
      </c>
      <c r="L1217" s="11" t="s">
        <v>95</v>
      </c>
      <c r="M1217" s="12" t="str">
        <f t="shared" ca="1" si="4"/>
        <v>88225 CAPTUY6 Primaria</v>
      </c>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4"/>
    </row>
    <row r="1218" spans="1:36" ht="12.5" x14ac:dyDescent="0.25">
      <c r="A1218" s="9">
        <v>2761</v>
      </c>
      <c r="B1218" s="10" t="s">
        <v>83</v>
      </c>
      <c r="C1218" s="10" t="s">
        <v>15</v>
      </c>
      <c r="D1218" s="10" t="s">
        <v>37</v>
      </c>
      <c r="E1218" s="11" t="str">
        <f ca="1">IFERROR(__xludf.DUMMYFUNCTION("FILTER(Colegios!$B$2:$B2419,Colegios!$A$2:$A2419=L1218)"),"86809")</f>
        <v>86809</v>
      </c>
      <c r="F1218" s="11" t="s">
        <v>17</v>
      </c>
      <c r="G1218" s="10" t="s">
        <v>18</v>
      </c>
      <c r="H1218" s="11" t="s">
        <v>23</v>
      </c>
      <c r="I1218" s="11">
        <v>2022</v>
      </c>
      <c r="J1218" s="12" t="str">
        <f ca="1">IFERROR(__xludf.DUMMYFUNCTION("FILTER('CLASFICACIÓN'!$F$3:$F2419,'CLASFICACIÓN'!$G$3:$G2419=M1218)"),"LOS 3 AÑOS")</f>
        <v>LOS 3 AÑOS</v>
      </c>
      <c r="K1218" s="12" t="s">
        <v>2012</v>
      </c>
      <c r="L1218" s="11" t="s">
        <v>98</v>
      </c>
      <c r="M1218" s="12" t="str">
        <f t="shared" ca="1" si="4"/>
        <v>868096 Primaria</v>
      </c>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4"/>
    </row>
    <row r="1219" spans="1:36" ht="12.5" x14ac:dyDescent="0.25">
      <c r="A1219" s="9">
        <v>2762</v>
      </c>
      <c r="B1219" s="10" t="s">
        <v>83</v>
      </c>
      <c r="C1219" s="10" t="s">
        <v>15</v>
      </c>
      <c r="D1219" s="10" t="s">
        <v>37</v>
      </c>
      <c r="E1219" s="11" t="str">
        <f ca="1">IFERROR(__xludf.DUMMYFUNCTION("FILTER(Colegios!$B$2:$B2419,Colegios!$A$2:$A2419=L1219)"),"86809")</f>
        <v>86809</v>
      </c>
      <c r="F1219" s="11" t="s">
        <v>17</v>
      </c>
      <c r="G1219" s="10" t="s">
        <v>24</v>
      </c>
      <c r="H1219" s="11" t="s">
        <v>19</v>
      </c>
      <c r="I1219" s="11">
        <v>2022</v>
      </c>
      <c r="J1219" s="12" t="str">
        <f ca="1">IFERROR(__xludf.DUMMYFUNCTION("FILTER('CLASFICACIÓN'!$F$3:$F2419,'CLASFICACIÓN'!$G$3:$G2419=M1219)"),"LOS 3 AÑOS")</f>
        <v>LOS 3 AÑOS</v>
      </c>
      <c r="K1219" s="12" t="s">
        <v>2012</v>
      </c>
      <c r="L1219" s="11" t="s">
        <v>98</v>
      </c>
      <c r="M1219" s="12" t="str">
        <f t="shared" ca="1" si="4"/>
        <v>868096 Primaria</v>
      </c>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4"/>
    </row>
    <row r="1220" spans="1:36" ht="12.5" x14ac:dyDescent="0.25">
      <c r="A1220" s="9">
        <v>2763</v>
      </c>
      <c r="B1220" s="10" t="s">
        <v>83</v>
      </c>
      <c r="C1220" s="10" t="s">
        <v>15</v>
      </c>
      <c r="D1220" s="10" t="s">
        <v>37</v>
      </c>
      <c r="E1220" s="11" t="str">
        <f ca="1">IFERROR(__xludf.DUMMYFUNCTION("FILTER(Colegios!$B$2:$B2419,Colegios!$A$2:$A2419=L1220)"),"86809")</f>
        <v>86809</v>
      </c>
      <c r="F1220" s="11" t="s">
        <v>17</v>
      </c>
      <c r="G1220" s="10" t="s">
        <v>18</v>
      </c>
      <c r="H1220" s="11" t="s">
        <v>23</v>
      </c>
      <c r="I1220" s="11">
        <v>2022</v>
      </c>
      <c r="J1220" s="12" t="str">
        <f ca="1">IFERROR(__xludf.DUMMYFUNCTION("FILTER('CLASFICACIÓN'!$F$3:$F2419,'CLASFICACIÓN'!$G$3:$G2419=M1220)"),"LOS 3 AÑOS")</f>
        <v>LOS 3 AÑOS</v>
      </c>
      <c r="K1220" s="12" t="s">
        <v>2012</v>
      </c>
      <c r="L1220" s="11" t="s">
        <v>98</v>
      </c>
      <c r="M1220" s="12" t="str">
        <f t="shared" ca="1" si="4"/>
        <v>868096 Primaria</v>
      </c>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4"/>
    </row>
    <row r="1221" spans="1:36" ht="12.5" x14ac:dyDescent="0.25">
      <c r="A1221" s="9">
        <v>2764</v>
      </c>
      <c r="B1221" s="10" t="s">
        <v>83</v>
      </c>
      <c r="C1221" s="10" t="s">
        <v>15</v>
      </c>
      <c r="D1221" s="10" t="s">
        <v>37</v>
      </c>
      <c r="E1221" s="11" t="str">
        <f ca="1">IFERROR(__xludf.DUMMYFUNCTION("FILTER(Colegios!$B$2:$B2419,Colegios!$A$2:$A2419=L1221)"),"86809")</f>
        <v>86809</v>
      </c>
      <c r="F1221" s="11" t="s">
        <v>17</v>
      </c>
      <c r="G1221" s="10" t="s">
        <v>18</v>
      </c>
      <c r="H1221" s="11" t="s">
        <v>23</v>
      </c>
      <c r="I1221" s="11">
        <v>2022</v>
      </c>
      <c r="J1221" s="12" t="str">
        <f ca="1">IFERROR(__xludf.DUMMYFUNCTION("FILTER('CLASFICACIÓN'!$F$3:$F2419,'CLASFICACIÓN'!$G$3:$G2419=M1221)"),"LOS 3 AÑOS")</f>
        <v>LOS 3 AÑOS</v>
      </c>
      <c r="K1221" s="12" t="s">
        <v>2012</v>
      </c>
      <c r="L1221" s="11" t="s">
        <v>98</v>
      </c>
      <c r="M1221" s="12" t="str">
        <f t="shared" ca="1" si="4"/>
        <v>868096 Primaria</v>
      </c>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4"/>
    </row>
    <row r="1222" spans="1:36" ht="12.5" x14ac:dyDescent="0.25">
      <c r="A1222" s="9">
        <v>2765</v>
      </c>
      <c r="B1222" s="10" t="s">
        <v>83</v>
      </c>
      <c r="C1222" s="10" t="s">
        <v>15</v>
      </c>
      <c r="D1222" s="10" t="s">
        <v>37</v>
      </c>
      <c r="E1222" s="11" t="str">
        <f ca="1">IFERROR(__xludf.DUMMYFUNCTION("FILTER(Colegios!$B$2:$B2419,Colegios!$A$2:$A2419=L1222)"),"88327")</f>
        <v>88327</v>
      </c>
      <c r="F1222" s="11" t="s">
        <v>17</v>
      </c>
      <c r="G1222" s="10" t="s">
        <v>18</v>
      </c>
      <c r="H1222" s="11" t="s">
        <v>19</v>
      </c>
      <c r="I1222" s="11">
        <v>2022</v>
      </c>
      <c r="J1222" s="12" t="str">
        <f ca="1">IFERROR(__xludf.DUMMYFUNCTION("FILTER('CLASFICACIÓN'!$F$3:$F2419,'CLASFICACIÓN'!$G$3:$G2419=M1222)"),"SOLO 2022 Y 2024")</f>
        <v>SOLO 2022 Y 2024</v>
      </c>
      <c r="K1222" s="12" t="s">
        <v>2011</v>
      </c>
      <c r="L1222" s="11" t="s">
        <v>86</v>
      </c>
      <c r="M1222" s="12" t="str">
        <f t="shared" ca="1" si="4"/>
        <v>883276 Primaria</v>
      </c>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4"/>
    </row>
    <row r="1223" spans="1:36" ht="12.5" x14ac:dyDescent="0.25">
      <c r="A1223" s="9">
        <v>2766</v>
      </c>
      <c r="B1223" s="10" t="s">
        <v>83</v>
      </c>
      <c r="C1223" s="10" t="s">
        <v>15</v>
      </c>
      <c r="D1223" s="10" t="s">
        <v>37</v>
      </c>
      <c r="E1223" s="11" t="str">
        <f ca="1">IFERROR(__xludf.DUMMYFUNCTION("FILTER(Colegios!$B$2:$B2419,Colegios!$A$2:$A2419=L1223)"),"88327")</f>
        <v>88327</v>
      </c>
      <c r="F1223" s="11" t="s">
        <v>17</v>
      </c>
      <c r="G1223" s="10" t="s">
        <v>18</v>
      </c>
      <c r="H1223" s="11" t="s">
        <v>23</v>
      </c>
      <c r="I1223" s="11">
        <v>2022</v>
      </c>
      <c r="J1223" s="12" t="str">
        <f ca="1">IFERROR(__xludf.DUMMYFUNCTION("FILTER('CLASFICACIÓN'!$F$3:$F2419,'CLASFICACIÓN'!$G$3:$G2419=M1223)"),"SOLO 2022 Y 2024")</f>
        <v>SOLO 2022 Y 2024</v>
      </c>
      <c r="K1223" s="12" t="s">
        <v>2011</v>
      </c>
      <c r="L1223" s="11" t="s">
        <v>86</v>
      </c>
      <c r="M1223" s="12" t="str">
        <f t="shared" ca="1" si="4"/>
        <v>883276 Primaria</v>
      </c>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4"/>
    </row>
    <row r="1224" spans="1:36" ht="12.5" x14ac:dyDescent="0.25">
      <c r="A1224" s="9">
        <v>2767</v>
      </c>
      <c r="B1224" s="10" t="s">
        <v>83</v>
      </c>
      <c r="C1224" s="10" t="s">
        <v>15</v>
      </c>
      <c r="D1224" s="10" t="s">
        <v>37</v>
      </c>
      <c r="E1224" s="11" t="str">
        <f ca="1">IFERROR(__xludf.DUMMYFUNCTION("FILTER(Colegios!$B$2:$B2419,Colegios!$A$2:$A2419=L1224)"),"86769 ABRAHAM VALDELOMAR")</f>
        <v>86769 ABRAHAM VALDELOMAR</v>
      </c>
      <c r="F1224" s="11" t="s">
        <v>17</v>
      </c>
      <c r="G1224" s="10" t="s">
        <v>18</v>
      </c>
      <c r="H1224" s="11" t="s">
        <v>19</v>
      </c>
      <c r="I1224" s="11">
        <v>2022</v>
      </c>
      <c r="J1224" s="12" t="str">
        <f ca="1">IFERROR(__xludf.DUMMYFUNCTION("FILTER('CLASFICACIÓN'!$F$3:$F2419,'CLASFICACIÓN'!$G$3:$G2419=M1224)"),"SOLO 2022 Y 2024")</f>
        <v>SOLO 2022 Y 2024</v>
      </c>
      <c r="K1224" s="12" t="s">
        <v>2014</v>
      </c>
      <c r="L1224" s="11" t="s">
        <v>97</v>
      </c>
      <c r="M1224" s="12" t="str">
        <f t="shared" ca="1" si="4"/>
        <v>86769 ABRAHAM VALDELOMAR6 Primaria</v>
      </c>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4"/>
    </row>
    <row r="1225" spans="1:36" ht="12.5" x14ac:dyDescent="0.25">
      <c r="A1225" s="9">
        <v>3349</v>
      </c>
      <c r="B1225" s="10" t="s">
        <v>44</v>
      </c>
      <c r="C1225" s="10" t="s">
        <v>15</v>
      </c>
      <c r="D1225" s="10" t="s">
        <v>45</v>
      </c>
      <c r="E1225" s="11" t="str">
        <f ca="1">IFERROR(__xludf.DUMMYFUNCTION("FILTER(Colegios!$B$2:$B2419,Colegios!$A$2:$A2419=L1225)"),"64346")</f>
        <v>64346</v>
      </c>
      <c r="F1225" s="11" t="s">
        <v>17</v>
      </c>
      <c r="G1225" s="10" t="s">
        <v>18</v>
      </c>
      <c r="H1225" s="11" t="s">
        <v>23</v>
      </c>
      <c r="I1225" s="11">
        <v>2022</v>
      </c>
      <c r="J1225" s="12" t="str">
        <f ca="1">IFERROR(__xludf.DUMMYFUNCTION("FILTER('CLASFICACIÓN'!$F$3:$F2419,'CLASFICACIÓN'!$G$3:$G2419=M1225)"),"OTROS ESCENARIOS")</f>
        <v>OTROS ESCENARIOS</v>
      </c>
      <c r="K1225" s="12" t="s">
        <v>2012</v>
      </c>
      <c r="L1225" s="11" t="s">
        <v>99</v>
      </c>
      <c r="M1225" s="12" t="str">
        <f t="shared" ca="1" si="4"/>
        <v>643462 Primaria</v>
      </c>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4"/>
    </row>
    <row r="1226" spans="1:36" ht="12.5" x14ac:dyDescent="0.25">
      <c r="A1226" s="9">
        <v>3350</v>
      </c>
      <c r="B1226" s="10" t="s">
        <v>44</v>
      </c>
      <c r="C1226" s="10" t="s">
        <v>15</v>
      </c>
      <c r="D1226" s="10" t="s">
        <v>45</v>
      </c>
      <c r="E1226" s="11" t="str">
        <f ca="1">IFERROR(__xludf.DUMMYFUNCTION("FILTER(Colegios!$B$2:$B2419,Colegios!$A$2:$A2419=L1226)"),"64115")</f>
        <v>64115</v>
      </c>
      <c r="F1226" s="11" t="s">
        <v>17</v>
      </c>
      <c r="G1226" s="10" t="s">
        <v>18</v>
      </c>
      <c r="H1226" s="11" t="s">
        <v>23</v>
      </c>
      <c r="I1226" s="11">
        <v>2022</v>
      </c>
      <c r="J1226" s="12" t="str">
        <f ca="1">IFERROR(__xludf.DUMMYFUNCTION("FILTER('CLASFICACIÓN'!$F$3:$F2419,'CLASFICACIÓN'!$G$3:$G2419=M1226)"),"SOLO 2022 Y 2024")</f>
        <v>SOLO 2022 Y 2024</v>
      </c>
      <c r="K1226" s="12" t="s">
        <v>2012</v>
      </c>
      <c r="L1226" s="11" t="s">
        <v>100</v>
      </c>
      <c r="M1226" s="12" t="str">
        <f t="shared" ca="1" si="4"/>
        <v>641152 Primaria</v>
      </c>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4"/>
    </row>
    <row r="1227" spans="1:36" ht="12.5" x14ac:dyDescent="0.25">
      <c r="A1227" s="9">
        <v>3351</v>
      </c>
      <c r="B1227" s="10" t="s">
        <v>44</v>
      </c>
      <c r="C1227" s="10" t="s">
        <v>15</v>
      </c>
      <c r="D1227" s="10" t="s">
        <v>45</v>
      </c>
      <c r="E1227" s="11" t="str">
        <f ca="1">IFERROR(__xludf.DUMMYFUNCTION("FILTER(Colegios!$B$2:$B2419,Colegios!$A$2:$A2419=L1227)"),"64115")</f>
        <v>64115</v>
      </c>
      <c r="F1227" s="11" t="s">
        <v>17</v>
      </c>
      <c r="G1227" s="10" t="s">
        <v>18</v>
      </c>
      <c r="H1227" s="11" t="s">
        <v>23</v>
      </c>
      <c r="I1227" s="11">
        <v>2022</v>
      </c>
      <c r="J1227" s="12" t="str">
        <f ca="1">IFERROR(__xludf.DUMMYFUNCTION("FILTER('CLASFICACIÓN'!$F$3:$F2419,'CLASFICACIÓN'!$G$3:$G2419=M1227)"),"SOLO 2022 Y 2024")</f>
        <v>SOLO 2022 Y 2024</v>
      </c>
      <c r="K1227" s="12" t="s">
        <v>2012</v>
      </c>
      <c r="L1227" s="11" t="s">
        <v>100</v>
      </c>
      <c r="M1227" s="12" t="str">
        <f t="shared" ca="1" si="4"/>
        <v>641152 Primaria</v>
      </c>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4"/>
    </row>
    <row r="1228" spans="1:36" ht="12.5" x14ac:dyDescent="0.25">
      <c r="A1228" s="9">
        <v>3352</v>
      </c>
      <c r="B1228" s="10" t="s">
        <v>44</v>
      </c>
      <c r="C1228" s="10" t="s">
        <v>15</v>
      </c>
      <c r="D1228" s="10" t="s">
        <v>45</v>
      </c>
      <c r="E1228" s="11" t="str">
        <f ca="1">IFERROR(__xludf.DUMMYFUNCTION("FILTER(Colegios!$B$2:$B2419,Colegios!$A$2:$A2419=L1228)"),"64115")</f>
        <v>64115</v>
      </c>
      <c r="F1228" s="11" t="s">
        <v>17</v>
      </c>
      <c r="G1228" s="10" t="s">
        <v>24</v>
      </c>
      <c r="H1228" s="11" t="s">
        <v>23</v>
      </c>
      <c r="I1228" s="11">
        <v>2022</v>
      </c>
      <c r="J1228" s="12" t="str">
        <f ca="1">IFERROR(__xludf.DUMMYFUNCTION("FILTER('CLASFICACIÓN'!$F$3:$F2419,'CLASFICACIÓN'!$G$3:$G2419=M1228)"),"SOLO 2022 Y 2024")</f>
        <v>SOLO 2022 Y 2024</v>
      </c>
      <c r="K1228" s="12" t="s">
        <v>2012</v>
      </c>
      <c r="L1228" s="11" t="s">
        <v>100</v>
      </c>
      <c r="M1228" s="12" t="str">
        <f t="shared" ca="1" si="4"/>
        <v>641152 Primaria</v>
      </c>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4"/>
    </row>
    <row r="1229" spans="1:36" ht="12.5" x14ac:dyDescent="0.25">
      <c r="A1229" s="9">
        <v>3353</v>
      </c>
      <c r="B1229" s="10" t="s">
        <v>44</v>
      </c>
      <c r="C1229" s="10" t="s">
        <v>15</v>
      </c>
      <c r="D1229" s="10" t="s">
        <v>45</v>
      </c>
      <c r="E1229" s="11" t="str">
        <f ca="1">IFERROR(__xludf.DUMMYFUNCTION("FILTER(Colegios!$B$2:$B2419,Colegios!$A$2:$A2419=L1229)"),"64115")</f>
        <v>64115</v>
      </c>
      <c r="F1229" s="11" t="s">
        <v>17</v>
      </c>
      <c r="G1229" s="10" t="s">
        <v>18</v>
      </c>
      <c r="H1229" s="11" t="s">
        <v>23</v>
      </c>
      <c r="I1229" s="11">
        <v>2022</v>
      </c>
      <c r="J1229" s="12" t="str">
        <f ca="1">IFERROR(__xludf.DUMMYFUNCTION("FILTER('CLASFICACIÓN'!$F$3:$F2419,'CLASFICACIÓN'!$G$3:$G2419=M1229)"),"SOLO 2022 Y 2024")</f>
        <v>SOLO 2022 Y 2024</v>
      </c>
      <c r="K1229" s="12" t="s">
        <v>2012</v>
      </c>
      <c r="L1229" s="11" t="s">
        <v>100</v>
      </c>
      <c r="M1229" s="12" t="str">
        <f t="shared" ca="1" si="4"/>
        <v>641152 Primaria</v>
      </c>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4"/>
    </row>
    <row r="1230" spans="1:36" ht="12.5" x14ac:dyDescent="0.25">
      <c r="A1230" s="9">
        <v>3354</v>
      </c>
      <c r="B1230" s="10" t="s">
        <v>44</v>
      </c>
      <c r="C1230" s="10" t="s">
        <v>15</v>
      </c>
      <c r="D1230" s="10" t="s">
        <v>45</v>
      </c>
      <c r="E1230" s="11" t="str">
        <f ca="1">IFERROR(__xludf.DUMMYFUNCTION("FILTER(Colegios!$B$2:$B2419,Colegios!$A$2:$A2419=L1230)"),"64028")</f>
        <v>64028</v>
      </c>
      <c r="F1230" s="11" t="s">
        <v>17</v>
      </c>
      <c r="G1230" s="10" t="s">
        <v>18</v>
      </c>
      <c r="H1230" s="11" t="s">
        <v>23</v>
      </c>
      <c r="I1230" s="11">
        <v>2022</v>
      </c>
      <c r="J1230" s="12" t="str">
        <f ca="1">IFERROR(__xludf.DUMMYFUNCTION("FILTER('CLASFICACIÓN'!$F$3:$F2419,'CLASFICACIÓN'!$G$3:$G2419=M1230)"),"LOS 3 AÑOS")</f>
        <v>LOS 3 AÑOS</v>
      </c>
      <c r="K1230" s="12" t="s">
        <v>2011</v>
      </c>
      <c r="L1230" s="11" t="s">
        <v>101</v>
      </c>
      <c r="M1230" s="12" t="str">
        <f t="shared" ca="1" si="4"/>
        <v>640282 Primaria</v>
      </c>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4"/>
    </row>
    <row r="1231" spans="1:36" ht="12.5" x14ac:dyDescent="0.25">
      <c r="A1231" s="9">
        <v>3355</v>
      </c>
      <c r="B1231" s="10" t="s">
        <v>44</v>
      </c>
      <c r="C1231" s="10" t="s">
        <v>15</v>
      </c>
      <c r="D1231" s="10" t="s">
        <v>45</v>
      </c>
      <c r="E1231" s="11" t="str">
        <f ca="1">IFERROR(__xludf.DUMMYFUNCTION("FILTER(Colegios!$B$2:$B2419,Colegios!$A$2:$A2419=L1231)"),"64028")</f>
        <v>64028</v>
      </c>
      <c r="F1231" s="11" t="s">
        <v>17</v>
      </c>
      <c r="G1231" s="10" t="s">
        <v>24</v>
      </c>
      <c r="H1231" s="11" t="s">
        <v>23</v>
      </c>
      <c r="I1231" s="11">
        <v>2022</v>
      </c>
      <c r="J1231" s="12" t="str">
        <f ca="1">IFERROR(__xludf.DUMMYFUNCTION("FILTER('CLASFICACIÓN'!$F$3:$F2419,'CLASFICACIÓN'!$G$3:$G2419=M1231)"),"LOS 3 AÑOS")</f>
        <v>LOS 3 AÑOS</v>
      </c>
      <c r="K1231" s="12" t="s">
        <v>2011</v>
      </c>
      <c r="L1231" s="11" t="s">
        <v>101</v>
      </c>
      <c r="M1231" s="12" t="str">
        <f t="shared" ca="1" si="4"/>
        <v>640282 Primaria</v>
      </c>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4"/>
    </row>
    <row r="1232" spans="1:36" ht="12.5" x14ac:dyDescent="0.25">
      <c r="A1232" s="9">
        <v>3356</v>
      </c>
      <c r="B1232" s="10" t="s">
        <v>44</v>
      </c>
      <c r="C1232" s="10" t="s">
        <v>15</v>
      </c>
      <c r="D1232" s="10" t="s">
        <v>45</v>
      </c>
      <c r="E1232" s="11" t="str">
        <f ca="1">IFERROR(__xludf.DUMMYFUNCTION("FILTER(Colegios!$B$2:$B2419,Colegios!$A$2:$A2419=L1232)"),"64028")</f>
        <v>64028</v>
      </c>
      <c r="F1232" s="11" t="s">
        <v>17</v>
      </c>
      <c r="G1232" s="10" t="s">
        <v>24</v>
      </c>
      <c r="H1232" s="11" t="s">
        <v>23</v>
      </c>
      <c r="I1232" s="11">
        <v>2022</v>
      </c>
      <c r="J1232" s="12" t="str">
        <f ca="1">IFERROR(__xludf.DUMMYFUNCTION("FILTER('CLASFICACIÓN'!$F$3:$F2419,'CLASFICACIÓN'!$G$3:$G2419=M1232)"),"LOS 3 AÑOS")</f>
        <v>LOS 3 AÑOS</v>
      </c>
      <c r="K1232" s="12" t="s">
        <v>2011</v>
      </c>
      <c r="L1232" s="11" t="s">
        <v>101</v>
      </c>
      <c r="M1232" s="12" t="str">
        <f t="shared" ca="1" si="4"/>
        <v>640282 Primaria</v>
      </c>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4"/>
    </row>
    <row r="1233" spans="1:36" ht="12.5" x14ac:dyDescent="0.25">
      <c r="A1233" s="9">
        <v>3357</v>
      </c>
      <c r="B1233" s="10" t="s">
        <v>44</v>
      </c>
      <c r="C1233" s="10" t="s">
        <v>15</v>
      </c>
      <c r="D1233" s="10" t="s">
        <v>45</v>
      </c>
      <c r="E1233" s="11" t="str">
        <f ca="1">IFERROR(__xludf.DUMMYFUNCTION("FILTER(Colegios!$B$2:$B2419,Colegios!$A$2:$A2419=L1233)"),"64028")</f>
        <v>64028</v>
      </c>
      <c r="F1233" s="11" t="s">
        <v>17</v>
      </c>
      <c r="G1233" s="10" t="s">
        <v>24</v>
      </c>
      <c r="H1233" s="11" t="s">
        <v>25</v>
      </c>
      <c r="I1233" s="11">
        <v>2022</v>
      </c>
      <c r="J1233" s="12" t="str">
        <f ca="1">IFERROR(__xludf.DUMMYFUNCTION("FILTER('CLASFICACIÓN'!$F$3:$F2419,'CLASFICACIÓN'!$G$3:$G2419=M1233)"),"LOS 3 AÑOS")</f>
        <v>LOS 3 AÑOS</v>
      </c>
      <c r="K1233" s="12" t="s">
        <v>2011</v>
      </c>
      <c r="L1233" s="11" t="s">
        <v>101</v>
      </c>
      <c r="M1233" s="12" t="str">
        <f t="shared" ca="1" si="4"/>
        <v>640282 Primaria</v>
      </c>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4"/>
    </row>
    <row r="1234" spans="1:36" ht="12.5" x14ac:dyDescent="0.25">
      <c r="A1234" s="9">
        <v>3358</v>
      </c>
      <c r="B1234" s="10" t="s">
        <v>44</v>
      </c>
      <c r="C1234" s="10" t="s">
        <v>15</v>
      </c>
      <c r="D1234" s="10" t="s">
        <v>16</v>
      </c>
      <c r="E1234" s="11" t="str">
        <f ca="1">IFERROR(__xludf.DUMMYFUNCTION("FILTER(Colegios!$B$2:$B2419,Colegios!$A$2:$A2419=L1234)"),"65199")</f>
        <v>65199</v>
      </c>
      <c r="F1234" s="11" t="s">
        <v>17</v>
      </c>
      <c r="G1234" s="10" t="s">
        <v>18</v>
      </c>
      <c r="H1234" s="11" t="s">
        <v>25</v>
      </c>
      <c r="I1234" s="11">
        <v>2022</v>
      </c>
      <c r="J1234" s="12" t="str">
        <f ca="1">IFERROR(__xludf.DUMMYFUNCTION("FILTER('CLASFICACIÓN'!$F$3:$F2419,'CLASFICACIÓN'!$G$3:$G2419=M1234)"),"SOLO LINEA BASE")</f>
        <v>SOLO LINEA BASE</v>
      </c>
      <c r="K1234" s="12" t="s">
        <v>2014</v>
      </c>
      <c r="L1234" s="11" t="s">
        <v>102</v>
      </c>
      <c r="M1234" s="12" t="str">
        <f t="shared" ca="1" si="4"/>
        <v>651994 Primaria</v>
      </c>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4"/>
    </row>
    <row r="1235" spans="1:36" ht="12.5" x14ac:dyDescent="0.25">
      <c r="A1235" s="9">
        <v>3359</v>
      </c>
      <c r="B1235" s="10" t="s">
        <v>44</v>
      </c>
      <c r="C1235" s="10" t="s">
        <v>15</v>
      </c>
      <c r="D1235" s="10" t="s">
        <v>16</v>
      </c>
      <c r="E1235" s="11" t="str">
        <f ca="1">IFERROR(__xludf.DUMMYFUNCTION("FILTER(Colegios!$B$2:$B2419,Colegios!$A$2:$A2419=L1235)"),"64829")</f>
        <v>64829</v>
      </c>
      <c r="F1235" s="11" t="s">
        <v>17</v>
      </c>
      <c r="G1235" s="10" t="s">
        <v>18</v>
      </c>
      <c r="H1235" s="11" t="s">
        <v>23</v>
      </c>
      <c r="I1235" s="11">
        <v>2022</v>
      </c>
      <c r="J1235" s="12" t="str">
        <f ca="1">IFERROR(__xludf.DUMMYFUNCTION("FILTER('CLASFICACIÓN'!$F$3:$F2419,'CLASFICACIÓN'!$G$3:$G2419=M1235)"),"SOLO LINEA BASE")</f>
        <v>SOLO LINEA BASE</v>
      </c>
      <c r="K1235" s="12" t="s">
        <v>2011</v>
      </c>
      <c r="L1235" s="11" t="s">
        <v>103</v>
      </c>
      <c r="M1235" s="12" t="str">
        <f t="shared" ca="1" si="4"/>
        <v>648294 Primaria</v>
      </c>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4"/>
    </row>
    <row r="1236" spans="1:36" ht="12.5" x14ac:dyDescent="0.25">
      <c r="A1236" s="9">
        <v>3360</v>
      </c>
      <c r="B1236" s="10" t="s">
        <v>44</v>
      </c>
      <c r="C1236" s="10" t="s">
        <v>15</v>
      </c>
      <c r="D1236" s="10" t="s">
        <v>16</v>
      </c>
      <c r="E1236" s="11" t="str">
        <f ca="1">IFERROR(__xludf.DUMMYFUNCTION("FILTER(Colegios!$B$2:$B2419,Colegios!$A$2:$A2419=L1236)"),"65199")</f>
        <v>65199</v>
      </c>
      <c r="F1236" s="11" t="s">
        <v>17</v>
      </c>
      <c r="G1236" s="10" t="s">
        <v>24</v>
      </c>
      <c r="H1236" s="11" t="s">
        <v>25</v>
      </c>
      <c r="I1236" s="11">
        <v>2022</v>
      </c>
      <c r="J1236" s="12" t="str">
        <f ca="1">IFERROR(__xludf.DUMMYFUNCTION("FILTER('CLASFICACIÓN'!$F$3:$F2419,'CLASFICACIÓN'!$G$3:$G2419=M1236)"),"SOLO LINEA BASE")</f>
        <v>SOLO LINEA BASE</v>
      </c>
      <c r="K1236" s="12" t="s">
        <v>2014</v>
      </c>
      <c r="L1236" s="11" t="s">
        <v>102</v>
      </c>
      <c r="M1236" s="12" t="str">
        <f t="shared" ca="1" si="4"/>
        <v>651994 Primaria</v>
      </c>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4"/>
    </row>
    <row r="1237" spans="1:36" ht="12.5" x14ac:dyDescent="0.25">
      <c r="A1237" s="9">
        <v>3361</v>
      </c>
      <c r="B1237" s="10" t="s">
        <v>44</v>
      </c>
      <c r="C1237" s="10" t="s">
        <v>15</v>
      </c>
      <c r="D1237" s="10" t="s">
        <v>16</v>
      </c>
      <c r="E1237" s="11" t="str">
        <f ca="1">IFERROR(__xludf.DUMMYFUNCTION("FILTER(Colegios!$B$2:$B2419,Colegios!$A$2:$A2419=L1237)"),"64115")</f>
        <v>64115</v>
      </c>
      <c r="F1237" s="11" t="s">
        <v>17</v>
      </c>
      <c r="G1237" s="10" t="s">
        <v>18</v>
      </c>
      <c r="H1237" s="11" t="s">
        <v>25</v>
      </c>
      <c r="I1237" s="11">
        <v>2022</v>
      </c>
      <c r="J1237" s="12" t="str">
        <f ca="1">IFERROR(__xludf.DUMMYFUNCTION("FILTER('CLASFICACIÓN'!$F$3:$F2419,'CLASFICACIÓN'!$G$3:$G2419=M1237)"),"SOLO 2022 Y 2024")</f>
        <v>SOLO 2022 Y 2024</v>
      </c>
      <c r="K1237" s="12" t="s">
        <v>2012</v>
      </c>
      <c r="L1237" s="11" t="s">
        <v>100</v>
      </c>
      <c r="M1237" s="12" t="str">
        <f t="shared" ca="1" si="4"/>
        <v>641154 Primaria</v>
      </c>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4"/>
    </row>
    <row r="1238" spans="1:36" ht="12.5" x14ac:dyDescent="0.25">
      <c r="A1238" s="9">
        <v>3362</v>
      </c>
      <c r="B1238" s="10" t="s">
        <v>44</v>
      </c>
      <c r="C1238" s="10" t="s">
        <v>15</v>
      </c>
      <c r="D1238" s="10" t="s">
        <v>16</v>
      </c>
      <c r="E1238" s="11" t="str">
        <f ca="1">IFERROR(__xludf.DUMMYFUNCTION("FILTER(Colegios!$B$2:$B2419,Colegios!$A$2:$A2419=L1238)"),"65199")</f>
        <v>65199</v>
      </c>
      <c r="F1238" s="11" t="s">
        <v>17</v>
      </c>
      <c r="G1238" s="10" t="s">
        <v>24</v>
      </c>
      <c r="H1238" s="11" t="s">
        <v>25</v>
      </c>
      <c r="I1238" s="11">
        <v>2022</v>
      </c>
      <c r="J1238" s="12" t="str">
        <f ca="1">IFERROR(__xludf.DUMMYFUNCTION("FILTER('CLASFICACIÓN'!$F$3:$F2419,'CLASFICACIÓN'!$G$3:$G2419=M1238)"),"SOLO LINEA BASE")</f>
        <v>SOLO LINEA BASE</v>
      </c>
      <c r="K1238" s="12" t="s">
        <v>2014</v>
      </c>
      <c r="L1238" s="11" t="s">
        <v>102</v>
      </c>
      <c r="M1238" s="12" t="str">
        <f t="shared" ca="1" si="4"/>
        <v>651994 Primaria</v>
      </c>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4"/>
    </row>
    <row r="1239" spans="1:36" ht="12.5" x14ac:dyDescent="0.25">
      <c r="A1239" s="9">
        <v>3363</v>
      </c>
      <c r="B1239" s="10" t="s">
        <v>44</v>
      </c>
      <c r="C1239" s="10" t="s">
        <v>15</v>
      </c>
      <c r="D1239" s="10" t="s">
        <v>16</v>
      </c>
      <c r="E1239" s="11" t="str">
        <f ca="1">IFERROR(__xludf.DUMMYFUNCTION("FILTER(Colegios!$B$2:$B2419,Colegios!$A$2:$A2419=L1239)"),"65199")</f>
        <v>65199</v>
      </c>
      <c r="F1239" s="11" t="s">
        <v>17</v>
      </c>
      <c r="G1239" s="10" t="s">
        <v>24</v>
      </c>
      <c r="H1239" s="11" t="s">
        <v>25</v>
      </c>
      <c r="I1239" s="11">
        <v>2022</v>
      </c>
      <c r="J1239" s="12" t="str">
        <f ca="1">IFERROR(__xludf.DUMMYFUNCTION("FILTER('CLASFICACIÓN'!$F$3:$F2419,'CLASFICACIÓN'!$G$3:$G2419=M1239)"),"SOLO LINEA BASE")</f>
        <v>SOLO LINEA BASE</v>
      </c>
      <c r="K1239" s="12" t="s">
        <v>2014</v>
      </c>
      <c r="L1239" s="11" t="s">
        <v>102</v>
      </c>
      <c r="M1239" s="12" t="str">
        <f t="shared" ca="1" si="4"/>
        <v>651994 Primaria</v>
      </c>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4"/>
    </row>
    <row r="1240" spans="1:36" ht="12.5" x14ac:dyDescent="0.25">
      <c r="A1240" s="9">
        <v>3364</v>
      </c>
      <c r="B1240" s="10" t="s">
        <v>44</v>
      </c>
      <c r="C1240" s="10" t="s">
        <v>15</v>
      </c>
      <c r="D1240" s="10" t="s">
        <v>16</v>
      </c>
      <c r="E1240" s="11" t="str">
        <f ca="1">IFERROR(__xludf.DUMMYFUNCTION("FILTER(Colegios!$B$2:$B2419,Colegios!$A$2:$A2419=L1240)"),"64048")</f>
        <v>64048</v>
      </c>
      <c r="F1240" s="11" t="s">
        <v>17</v>
      </c>
      <c r="G1240" s="10" t="s">
        <v>18</v>
      </c>
      <c r="H1240" s="11" t="s">
        <v>23</v>
      </c>
      <c r="I1240" s="11">
        <v>2022</v>
      </c>
      <c r="J1240" s="12" t="str">
        <f ca="1">IFERROR(__xludf.DUMMYFUNCTION("FILTER('CLASFICACIÓN'!$F$3:$F2419,'CLASFICACIÓN'!$G$3:$G2419=M1240)"),"SOLO 2022 Y 2024")</f>
        <v>SOLO 2022 Y 2024</v>
      </c>
      <c r="K1240" s="12" t="s">
        <v>2014</v>
      </c>
      <c r="L1240" s="11" t="s">
        <v>104</v>
      </c>
      <c r="M1240" s="12" t="str">
        <f t="shared" ca="1" si="4"/>
        <v>640484 Primaria</v>
      </c>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4"/>
    </row>
    <row r="1241" spans="1:36" ht="12.5" x14ac:dyDescent="0.25">
      <c r="A1241" s="9">
        <v>3365</v>
      </c>
      <c r="B1241" s="10" t="s">
        <v>44</v>
      </c>
      <c r="C1241" s="10" t="s">
        <v>15</v>
      </c>
      <c r="D1241" s="10" t="s">
        <v>16</v>
      </c>
      <c r="E1241" s="11" t="str">
        <f ca="1">IFERROR(__xludf.DUMMYFUNCTION("FILTER(Colegios!$B$2:$B2419,Colegios!$A$2:$A2419=L1241)"),"64048")</f>
        <v>64048</v>
      </c>
      <c r="F1241" s="11" t="s">
        <v>17</v>
      </c>
      <c r="G1241" s="10" t="s">
        <v>18</v>
      </c>
      <c r="H1241" s="11" t="s">
        <v>23</v>
      </c>
      <c r="I1241" s="11">
        <v>2022</v>
      </c>
      <c r="J1241" s="12" t="str">
        <f ca="1">IFERROR(__xludf.DUMMYFUNCTION("FILTER('CLASFICACIÓN'!$F$3:$F2419,'CLASFICACIÓN'!$G$3:$G2419=M1241)"),"SOLO 2022 Y 2024")</f>
        <v>SOLO 2022 Y 2024</v>
      </c>
      <c r="K1241" s="12" t="s">
        <v>2014</v>
      </c>
      <c r="L1241" s="11" t="s">
        <v>104</v>
      </c>
      <c r="M1241" s="12" t="str">
        <f t="shared" ca="1" si="4"/>
        <v>640484 Primaria</v>
      </c>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4"/>
    </row>
    <row r="1242" spans="1:36" ht="12.5" x14ac:dyDescent="0.25">
      <c r="A1242" s="9">
        <v>3366</v>
      </c>
      <c r="B1242" s="10" t="s">
        <v>44</v>
      </c>
      <c r="C1242" s="10" t="s">
        <v>15</v>
      </c>
      <c r="D1242" s="10" t="s">
        <v>16</v>
      </c>
      <c r="E1242" s="11" t="str">
        <f ca="1">IFERROR(__xludf.DUMMYFUNCTION("FILTER(Colegios!$B$2:$B2419,Colegios!$A$2:$A2419=L1242)"),"64028")</f>
        <v>64028</v>
      </c>
      <c r="F1242" s="11" t="s">
        <v>17</v>
      </c>
      <c r="G1242" s="10" t="s">
        <v>18</v>
      </c>
      <c r="H1242" s="11" t="s">
        <v>23</v>
      </c>
      <c r="I1242" s="11">
        <v>2022</v>
      </c>
      <c r="J1242" s="12" t="str">
        <f ca="1">IFERROR(__xludf.DUMMYFUNCTION("FILTER('CLASFICACIÓN'!$F$3:$F2419,'CLASFICACIÓN'!$G$3:$G2419=M1242)"),"LOS 3 AÑOS")</f>
        <v>LOS 3 AÑOS</v>
      </c>
      <c r="K1242" s="12" t="s">
        <v>2011</v>
      </c>
      <c r="L1242" s="11" t="s">
        <v>101</v>
      </c>
      <c r="M1242" s="12" t="str">
        <f t="shared" ca="1" si="4"/>
        <v>640284 Primaria</v>
      </c>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4"/>
    </row>
    <row r="1243" spans="1:36" ht="12.5" x14ac:dyDescent="0.25">
      <c r="A1243" s="9">
        <v>3367</v>
      </c>
      <c r="B1243" s="10" t="s">
        <v>44</v>
      </c>
      <c r="C1243" s="10" t="s">
        <v>15</v>
      </c>
      <c r="D1243" s="10" t="s">
        <v>16</v>
      </c>
      <c r="E1243" s="11" t="str">
        <f ca="1">IFERROR(__xludf.DUMMYFUNCTION("FILTER(Colegios!$B$2:$B2419,Colegios!$A$2:$A2419=L1243)"),"64028")</f>
        <v>64028</v>
      </c>
      <c r="F1243" s="11" t="s">
        <v>17</v>
      </c>
      <c r="G1243" s="10" t="s">
        <v>18</v>
      </c>
      <c r="H1243" s="11" t="s">
        <v>23</v>
      </c>
      <c r="I1243" s="11">
        <v>2022</v>
      </c>
      <c r="J1243" s="12" t="str">
        <f ca="1">IFERROR(__xludf.DUMMYFUNCTION("FILTER('CLASFICACIÓN'!$F$3:$F2419,'CLASFICACIÓN'!$G$3:$G2419=M1243)"),"LOS 3 AÑOS")</f>
        <v>LOS 3 AÑOS</v>
      </c>
      <c r="K1243" s="12" t="s">
        <v>2011</v>
      </c>
      <c r="L1243" s="11" t="s">
        <v>101</v>
      </c>
      <c r="M1243" s="12" t="str">
        <f t="shared" ca="1" si="4"/>
        <v>640284 Primaria</v>
      </c>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4"/>
    </row>
    <row r="1244" spans="1:36" ht="12.5" x14ac:dyDescent="0.25">
      <c r="A1244" s="9">
        <v>3368</v>
      </c>
      <c r="B1244" s="10" t="s">
        <v>44</v>
      </c>
      <c r="C1244" s="10" t="s">
        <v>15</v>
      </c>
      <c r="D1244" s="10" t="s">
        <v>16</v>
      </c>
      <c r="E1244" s="11" t="str">
        <f ca="1">IFERROR(__xludf.DUMMYFUNCTION("FILTER(Colegios!$B$2:$B2419,Colegios!$A$2:$A2419=L1244)"),"64028")</f>
        <v>64028</v>
      </c>
      <c r="F1244" s="11" t="s">
        <v>17</v>
      </c>
      <c r="G1244" s="10" t="s">
        <v>18</v>
      </c>
      <c r="H1244" s="11" t="s">
        <v>25</v>
      </c>
      <c r="I1244" s="11">
        <v>2022</v>
      </c>
      <c r="J1244" s="12" t="str">
        <f ca="1">IFERROR(__xludf.DUMMYFUNCTION("FILTER('CLASFICACIÓN'!$F$3:$F2419,'CLASFICACIÓN'!$G$3:$G2419=M1244)"),"LOS 3 AÑOS")</f>
        <v>LOS 3 AÑOS</v>
      </c>
      <c r="K1244" s="12" t="s">
        <v>2011</v>
      </c>
      <c r="L1244" s="11" t="s">
        <v>101</v>
      </c>
      <c r="M1244" s="12" t="str">
        <f t="shared" ca="1" si="4"/>
        <v>640284 Primaria</v>
      </c>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4"/>
    </row>
    <row r="1245" spans="1:36" ht="12.5" x14ac:dyDescent="0.25">
      <c r="A1245" s="9">
        <v>3369</v>
      </c>
      <c r="B1245" s="10" t="s">
        <v>44</v>
      </c>
      <c r="C1245" s="10" t="s">
        <v>15</v>
      </c>
      <c r="D1245" s="10" t="s">
        <v>16</v>
      </c>
      <c r="E1245" s="11" t="str">
        <f ca="1">IFERROR(__xludf.DUMMYFUNCTION("FILTER(Colegios!$B$2:$B2419,Colegios!$A$2:$A2419=L1245)"),"64028")</f>
        <v>64028</v>
      </c>
      <c r="F1245" s="11" t="s">
        <v>17</v>
      </c>
      <c r="G1245" s="10" t="s">
        <v>24</v>
      </c>
      <c r="H1245" s="11" t="s">
        <v>23</v>
      </c>
      <c r="I1245" s="11">
        <v>2022</v>
      </c>
      <c r="J1245" s="12" t="str">
        <f ca="1">IFERROR(__xludf.DUMMYFUNCTION("FILTER('CLASFICACIÓN'!$F$3:$F2419,'CLASFICACIÓN'!$G$3:$G2419=M1245)"),"LOS 3 AÑOS")</f>
        <v>LOS 3 AÑOS</v>
      </c>
      <c r="K1245" s="12" t="s">
        <v>2011</v>
      </c>
      <c r="L1245" s="11" t="s">
        <v>101</v>
      </c>
      <c r="M1245" s="12" t="str">
        <f t="shared" ca="1" si="4"/>
        <v>640284 Primaria</v>
      </c>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4"/>
    </row>
    <row r="1246" spans="1:36" ht="12.5" x14ac:dyDescent="0.25">
      <c r="A1246" s="9">
        <v>3370</v>
      </c>
      <c r="B1246" s="10" t="s">
        <v>44</v>
      </c>
      <c r="C1246" s="10" t="s">
        <v>15</v>
      </c>
      <c r="D1246" s="10" t="s">
        <v>16</v>
      </c>
      <c r="E1246" s="11" t="str">
        <f ca="1">IFERROR(__xludf.DUMMYFUNCTION("FILTER(Colegios!$B$2:$B2419,Colegios!$A$2:$A2419=L1246)"),"64028")</f>
        <v>64028</v>
      </c>
      <c r="F1246" s="11" t="s">
        <v>17</v>
      </c>
      <c r="G1246" s="10" t="s">
        <v>24</v>
      </c>
      <c r="H1246" s="11" t="s">
        <v>25</v>
      </c>
      <c r="I1246" s="11">
        <v>2022</v>
      </c>
      <c r="J1246" s="12" t="str">
        <f ca="1">IFERROR(__xludf.DUMMYFUNCTION("FILTER('CLASFICACIÓN'!$F$3:$F2419,'CLASFICACIÓN'!$G$3:$G2419=M1246)"),"LOS 3 AÑOS")</f>
        <v>LOS 3 AÑOS</v>
      </c>
      <c r="K1246" s="12" t="s">
        <v>2011</v>
      </c>
      <c r="L1246" s="11" t="s">
        <v>101</v>
      </c>
      <c r="M1246" s="12" t="str">
        <f t="shared" ca="1" si="4"/>
        <v>640284 Primaria</v>
      </c>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4"/>
    </row>
    <row r="1247" spans="1:36" ht="12.5" x14ac:dyDescent="0.25">
      <c r="A1247" s="9">
        <v>3371</v>
      </c>
      <c r="B1247" s="10" t="s">
        <v>44</v>
      </c>
      <c r="C1247" s="10" t="s">
        <v>15</v>
      </c>
      <c r="D1247" s="10" t="s">
        <v>16</v>
      </c>
      <c r="E1247" s="11" t="str">
        <f ca="1">IFERROR(__xludf.DUMMYFUNCTION("FILTER(Colegios!$B$2:$B2419,Colegios!$A$2:$A2419=L1247)"),"64028")</f>
        <v>64028</v>
      </c>
      <c r="F1247" s="11" t="s">
        <v>17</v>
      </c>
      <c r="G1247" s="10" t="s">
        <v>24</v>
      </c>
      <c r="H1247" s="11" t="s">
        <v>23</v>
      </c>
      <c r="I1247" s="11">
        <v>2022</v>
      </c>
      <c r="J1247" s="12" t="str">
        <f ca="1">IFERROR(__xludf.DUMMYFUNCTION("FILTER('CLASFICACIÓN'!$F$3:$F2419,'CLASFICACIÓN'!$G$3:$G2419=M1247)"),"LOS 3 AÑOS")</f>
        <v>LOS 3 AÑOS</v>
      </c>
      <c r="K1247" s="12" t="s">
        <v>2011</v>
      </c>
      <c r="L1247" s="11" t="s">
        <v>101</v>
      </c>
      <c r="M1247" s="12" t="str">
        <f t="shared" ca="1" si="4"/>
        <v>640284 Primaria</v>
      </c>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4"/>
    </row>
    <row r="1248" spans="1:36" ht="12.5" x14ac:dyDescent="0.25">
      <c r="A1248" s="9">
        <v>3372</v>
      </c>
      <c r="B1248" s="10" t="s">
        <v>44</v>
      </c>
      <c r="C1248" s="10" t="s">
        <v>15</v>
      </c>
      <c r="D1248" s="10" t="s">
        <v>16</v>
      </c>
      <c r="E1248" s="11" t="str">
        <f ca="1">IFERROR(__xludf.DUMMYFUNCTION("FILTER(Colegios!$B$2:$B2419,Colegios!$A$2:$A2419=L1248)"),"64028")</f>
        <v>64028</v>
      </c>
      <c r="F1248" s="11" t="s">
        <v>17</v>
      </c>
      <c r="G1248" s="10" t="s">
        <v>24</v>
      </c>
      <c r="H1248" s="11" t="s">
        <v>23</v>
      </c>
      <c r="I1248" s="11">
        <v>2022</v>
      </c>
      <c r="J1248" s="12" t="str">
        <f ca="1">IFERROR(__xludf.DUMMYFUNCTION("FILTER('CLASFICACIÓN'!$F$3:$F2419,'CLASFICACIÓN'!$G$3:$G2419=M1248)"),"LOS 3 AÑOS")</f>
        <v>LOS 3 AÑOS</v>
      </c>
      <c r="K1248" s="12" t="s">
        <v>2011</v>
      </c>
      <c r="L1248" s="11" t="s">
        <v>101</v>
      </c>
      <c r="M1248" s="12" t="str">
        <f t="shared" ca="1" si="4"/>
        <v>640284 Primaria</v>
      </c>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4"/>
    </row>
    <row r="1249" spans="1:36" ht="12.5" x14ac:dyDescent="0.25">
      <c r="A1249" s="9">
        <v>3373</v>
      </c>
      <c r="B1249" s="10" t="s">
        <v>44</v>
      </c>
      <c r="C1249" s="10" t="s">
        <v>15</v>
      </c>
      <c r="D1249" s="10" t="s">
        <v>16</v>
      </c>
      <c r="E1249" s="11" t="str">
        <f ca="1">IFERROR(__xludf.DUMMYFUNCTION("FILTER(Colegios!$B$2:$B2419,Colegios!$A$2:$A2419=L1249)"),"64028")</f>
        <v>64028</v>
      </c>
      <c r="F1249" s="11" t="s">
        <v>17</v>
      </c>
      <c r="G1249" s="10" t="s">
        <v>24</v>
      </c>
      <c r="H1249" s="11" t="s">
        <v>25</v>
      </c>
      <c r="I1249" s="11">
        <v>2022</v>
      </c>
      <c r="J1249" s="12" t="str">
        <f ca="1">IFERROR(__xludf.DUMMYFUNCTION("FILTER('CLASFICACIÓN'!$F$3:$F2419,'CLASFICACIÓN'!$G$3:$G2419=M1249)"),"LOS 3 AÑOS")</f>
        <v>LOS 3 AÑOS</v>
      </c>
      <c r="K1249" s="12" t="s">
        <v>2011</v>
      </c>
      <c r="L1249" s="11" t="s">
        <v>101</v>
      </c>
      <c r="M1249" s="12" t="str">
        <f t="shared" ca="1" si="4"/>
        <v>640284 Primaria</v>
      </c>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4"/>
    </row>
    <row r="1250" spans="1:36" ht="12.5" x14ac:dyDescent="0.25">
      <c r="A1250" s="9">
        <v>3374</v>
      </c>
      <c r="B1250" s="10" t="s">
        <v>44</v>
      </c>
      <c r="C1250" s="10" t="s">
        <v>15</v>
      </c>
      <c r="D1250" s="10" t="s">
        <v>16</v>
      </c>
      <c r="E1250" s="11" t="str">
        <f ca="1">IFERROR(__xludf.DUMMYFUNCTION("FILTER(Colegios!$B$2:$B2419,Colegios!$A$2:$A2419=L1250)"),"64028")</f>
        <v>64028</v>
      </c>
      <c r="F1250" s="11" t="s">
        <v>17</v>
      </c>
      <c r="G1250" s="10" t="s">
        <v>24</v>
      </c>
      <c r="H1250" s="11" t="s">
        <v>25</v>
      </c>
      <c r="I1250" s="11">
        <v>2022</v>
      </c>
      <c r="J1250" s="12" t="str">
        <f ca="1">IFERROR(__xludf.DUMMYFUNCTION("FILTER('CLASFICACIÓN'!$F$3:$F2419,'CLASFICACIÓN'!$G$3:$G2419=M1250)"),"LOS 3 AÑOS")</f>
        <v>LOS 3 AÑOS</v>
      </c>
      <c r="K1250" s="12" t="s">
        <v>2011</v>
      </c>
      <c r="L1250" s="11" t="s">
        <v>101</v>
      </c>
      <c r="M1250" s="12" t="str">
        <f t="shared" ca="1" si="4"/>
        <v>640284 Primaria</v>
      </c>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4"/>
    </row>
    <row r="1251" spans="1:36" ht="12.5" x14ac:dyDescent="0.25">
      <c r="A1251" s="9">
        <v>3375</v>
      </c>
      <c r="B1251" s="10" t="s">
        <v>44</v>
      </c>
      <c r="C1251" s="10" t="s">
        <v>15</v>
      </c>
      <c r="D1251" s="10" t="s">
        <v>16</v>
      </c>
      <c r="E1251" s="11" t="str">
        <f ca="1">IFERROR(__xludf.DUMMYFUNCTION("FILTER(Colegios!$B$2:$B2419,Colegios!$A$2:$A2419=L1251)"),"64028")</f>
        <v>64028</v>
      </c>
      <c r="F1251" s="11" t="s">
        <v>17</v>
      </c>
      <c r="G1251" s="10" t="s">
        <v>24</v>
      </c>
      <c r="H1251" s="11" t="s">
        <v>23</v>
      </c>
      <c r="I1251" s="11">
        <v>2022</v>
      </c>
      <c r="J1251" s="12" t="str">
        <f ca="1">IFERROR(__xludf.DUMMYFUNCTION("FILTER('CLASFICACIÓN'!$F$3:$F2419,'CLASFICACIÓN'!$G$3:$G2419=M1251)"),"LOS 3 AÑOS")</f>
        <v>LOS 3 AÑOS</v>
      </c>
      <c r="K1251" s="12" t="s">
        <v>2011</v>
      </c>
      <c r="L1251" s="11" t="s">
        <v>101</v>
      </c>
      <c r="M1251" s="12" t="str">
        <f t="shared" ca="1" si="4"/>
        <v>640284 Primaria</v>
      </c>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4"/>
    </row>
    <row r="1252" spans="1:36" ht="12.5" x14ac:dyDescent="0.25">
      <c r="A1252" s="9">
        <v>3376</v>
      </c>
      <c r="B1252" s="10" t="s">
        <v>44</v>
      </c>
      <c r="C1252" s="10" t="s">
        <v>15</v>
      </c>
      <c r="D1252" s="10" t="s">
        <v>16</v>
      </c>
      <c r="E1252" s="11" t="str">
        <f ca="1">IFERROR(__xludf.DUMMYFUNCTION("FILTER(Colegios!$B$2:$B2419,Colegios!$A$2:$A2419=L1252)"),"64028")</f>
        <v>64028</v>
      </c>
      <c r="F1252" s="11" t="s">
        <v>17</v>
      </c>
      <c r="G1252" s="10" t="s">
        <v>24</v>
      </c>
      <c r="H1252" s="11" t="s">
        <v>25</v>
      </c>
      <c r="I1252" s="11">
        <v>2022</v>
      </c>
      <c r="J1252" s="12" t="str">
        <f ca="1">IFERROR(__xludf.DUMMYFUNCTION("FILTER('CLASFICACIÓN'!$F$3:$F2419,'CLASFICACIÓN'!$G$3:$G2419=M1252)"),"LOS 3 AÑOS")</f>
        <v>LOS 3 AÑOS</v>
      </c>
      <c r="K1252" s="12" t="s">
        <v>2011</v>
      </c>
      <c r="L1252" s="11" t="s">
        <v>101</v>
      </c>
      <c r="M1252" s="12" t="str">
        <f t="shared" ca="1" si="4"/>
        <v>640284 Primaria</v>
      </c>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4"/>
    </row>
    <row r="1253" spans="1:36" ht="12.5" x14ac:dyDescent="0.25">
      <c r="A1253" s="9">
        <v>3377</v>
      </c>
      <c r="B1253" s="10" t="s">
        <v>44</v>
      </c>
      <c r="C1253" s="10" t="s">
        <v>15</v>
      </c>
      <c r="D1253" s="10" t="s">
        <v>16</v>
      </c>
      <c r="E1253" s="11" t="str">
        <f ca="1">IFERROR(__xludf.DUMMYFUNCTION("FILTER(Colegios!$B$2:$B2419,Colegios!$A$2:$A2419=L1253)"),"64028")</f>
        <v>64028</v>
      </c>
      <c r="F1253" s="11" t="s">
        <v>17</v>
      </c>
      <c r="G1253" s="10" t="s">
        <v>18</v>
      </c>
      <c r="H1253" s="11" t="s">
        <v>25</v>
      </c>
      <c r="I1253" s="11">
        <v>2022</v>
      </c>
      <c r="J1253" s="12" t="str">
        <f ca="1">IFERROR(__xludf.DUMMYFUNCTION("FILTER('CLASFICACIÓN'!$F$3:$F2419,'CLASFICACIÓN'!$G$3:$G2419=M1253)"),"LOS 3 AÑOS")</f>
        <v>LOS 3 AÑOS</v>
      </c>
      <c r="K1253" s="12" t="s">
        <v>2011</v>
      </c>
      <c r="L1253" s="11" t="s">
        <v>101</v>
      </c>
      <c r="M1253" s="12" t="str">
        <f t="shared" ca="1" si="4"/>
        <v>640284 Primaria</v>
      </c>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4"/>
    </row>
    <row r="1254" spans="1:36" ht="12.5" x14ac:dyDescent="0.25">
      <c r="A1254" s="9">
        <v>3378</v>
      </c>
      <c r="B1254" s="10" t="s">
        <v>44</v>
      </c>
      <c r="C1254" s="10" t="s">
        <v>15</v>
      </c>
      <c r="D1254" s="10" t="s">
        <v>37</v>
      </c>
      <c r="E1254" s="11" t="str">
        <f ca="1">IFERROR(__xludf.DUMMYFUNCTION("FILTER(Colegios!$B$2:$B2419,Colegios!$A$2:$A2419=L1254)"),"64346")</f>
        <v>64346</v>
      </c>
      <c r="F1254" s="11" t="s">
        <v>17</v>
      </c>
      <c r="G1254" s="10" t="s">
        <v>18</v>
      </c>
      <c r="H1254" s="11" t="s">
        <v>25</v>
      </c>
      <c r="I1254" s="11">
        <v>2022</v>
      </c>
      <c r="J1254" s="12" t="str">
        <f ca="1">IFERROR(__xludf.DUMMYFUNCTION("FILTER('CLASFICACIÓN'!$F$3:$F2419,'CLASFICACIÓN'!$G$3:$G2419=M1254)"),"OTROS ESCENARIOS")</f>
        <v>OTROS ESCENARIOS</v>
      </c>
      <c r="K1254" s="12" t="s">
        <v>2012</v>
      </c>
      <c r="L1254" s="11" t="s">
        <v>99</v>
      </c>
      <c r="M1254" s="12" t="str">
        <f t="shared" ca="1" si="4"/>
        <v>643466 Primaria</v>
      </c>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4"/>
    </row>
    <row r="1255" spans="1:36" ht="12.5" x14ac:dyDescent="0.25">
      <c r="A1255" s="9">
        <v>3379</v>
      </c>
      <c r="B1255" s="10" t="s">
        <v>44</v>
      </c>
      <c r="C1255" s="10" t="s">
        <v>15</v>
      </c>
      <c r="D1255" s="10" t="s">
        <v>37</v>
      </c>
      <c r="E1255" s="11" t="str">
        <f ca="1">IFERROR(__xludf.DUMMYFUNCTION("FILTER(Colegios!$B$2:$B2419,Colegios!$A$2:$A2419=L1255)"),"64829")</f>
        <v>64829</v>
      </c>
      <c r="F1255" s="11" t="s">
        <v>17</v>
      </c>
      <c r="G1255" s="10" t="s">
        <v>18</v>
      </c>
      <c r="H1255" s="11" t="s">
        <v>25</v>
      </c>
      <c r="I1255" s="11">
        <v>2022</v>
      </c>
      <c r="J1255" s="12" t="str">
        <f ca="1">IFERROR(__xludf.DUMMYFUNCTION("FILTER('CLASFICACIÓN'!$F$3:$F2419,'CLASFICACIÓN'!$G$3:$G2419=M1255)"),"SOLO LINEA BASE")</f>
        <v>SOLO LINEA BASE</v>
      </c>
      <c r="K1255" s="12" t="s">
        <v>2011</v>
      </c>
      <c r="L1255" s="11" t="s">
        <v>103</v>
      </c>
      <c r="M1255" s="12" t="str">
        <f t="shared" ca="1" si="4"/>
        <v>648296 Primaria</v>
      </c>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4"/>
    </row>
    <row r="1256" spans="1:36" ht="12.5" x14ac:dyDescent="0.25">
      <c r="A1256" s="9">
        <v>3380</v>
      </c>
      <c r="B1256" s="10" t="s">
        <v>44</v>
      </c>
      <c r="C1256" s="10" t="s">
        <v>15</v>
      </c>
      <c r="D1256" s="10" t="s">
        <v>37</v>
      </c>
      <c r="E1256" s="11" t="str">
        <f ca="1">IFERROR(__xludf.DUMMYFUNCTION("FILTER(Colegios!$B$2:$B2419,Colegios!$A$2:$A2419=L1256)"),"65199")</f>
        <v>65199</v>
      </c>
      <c r="F1256" s="11" t="s">
        <v>17</v>
      </c>
      <c r="G1256" s="10" t="s">
        <v>18</v>
      </c>
      <c r="H1256" s="11" t="s">
        <v>25</v>
      </c>
      <c r="I1256" s="11">
        <v>2022</v>
      </c>
      <c r="J1256" s="12" t="str">
        <f ca="1">IFERROR(__xludf.DUMMYFUNCTION("FILTER('CLASFICACIÓN'!$F$3:$F2419,'CLASFICACIÓN'!$G$3:$G2419=M1256)"),"SOLO LINEA BASE")</f>
        <v>SOLO LINEA BASE</v>
      </c>
      <c r="K1256" s="12" t="s">
        <v>2014</v>
      </c>
      <c r="L1256" s="11" t="s">
        <v>102</v>
      </c>
      <c r="M1256" s="12" t="str">
        <f t="shared" ca="1" si="4"/>
        <v>651996 Primaria</v>
      </c>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4"/>
    </row>
    <row r="1257" spans="1:36" ht="12.5" x14ac:dyDescent="0.25">
      <c r="A1257" s="9">
        <v>3381</v>
      </c>
      <c r="B1257" s="10" t="s">
        <v>44</v>
      </c>
      <c r="C1257" s="10" t="s">
        <v>15</v>
      </c>
      <c r="D1257" s="10" t="s">
        <v>37</v>
      </c>
      <c r="E1257" s="11" t="str">
        <f ca="1">IFERROR(__xludf.DUMMYFUNCTION("FILTER(Colegios!$B$2:$B2419,Colegios!$A$2:$A2419=L1257)"),"65199")</f>
        <v>65199</v>
      </c>
      <c r="F1257" s="11" t="s">
        <v>17</v>
      </c>
      <c r="G1257" s="10" t="s">
        <v>18</v>
      </c>
      <c r="H1257" s="11" t="s">
        <v>25</v>
      </c>
      <c r="I1257" s="11">
        <v>2022</v>
      </c>
      <c r="J1257" s="12" t="str">
        <f ca="1">IFERROR(__xludf.DUMMYFUNCTION("FILTER('CLASFICACIÓN'!$F$3:$F2419,'CLASFICACIÓN'!$G$3:$G2419=M1257)"),"SOLO LINEA BASE")</f>
        <v>SOLO LINEA BASE</v>
      </c>
      <c r="K1257" s="12" t="s">
        <v>2014</v>
      </c>
      <c r="L1257" s="11" t="s">
        <v>102</v>
      </c>
      <c r="M1257" s="12" t="str">
        <f t="shared" ca="1" si="4"/>
        <v>651996 Primaria</v>
      </c>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4"/>
    </row>
    <row r="1258" spans="1:36" ht="12.5" x14ac:dyDescent="0.25">
      <c r="A1258" s="9">
        <v>3382</v>
      </c>
      <c r="B1258" s="10" t="s">
        <v>44</v>
      </c>
      <c r="C1258" s="10" t="s">
        <v>15</v>
      </c>
      <c r="D1258" s="10" t="s">
        <v>37</v>
      </c>
      <c r="E1258" s="11" t="str">
        <f ca="1">IFERROR(__xludf.DUMMYFUNCTION("FILTER(Colegios!$B$2:$B2419,Colegios!$A$2:$A2419=L1258)"),"65199")</f>
        <v>65199</v>
      </c>
      <c r="F1258" s="11" t="s">
        <v>17</v>
      </c>
      <c r="G1258" s="10" t="s">
        <v>18</v>
      </c>
      <c r="H1258" s="11" t="s">
        <v>25</v>
      </c>
      <c r="I1258" s="11">
        <v>2022</v>
      </c>
      <c r="J1258" s="12" t="str">
        <f ca="1">IFERROR(__xludf.DUMMYFUNCTION("FILTER('CLASFICACIÓN'!$F$3:$F2419,'CLASFICACIÓN'!$G$3:$G2419=M1258)"),"SOLO LINEA BASE")</f>
        <v>SOLO LINEA BASE</v>
      </c>
      <c r="K1258" s="12" t="s">
        <v>2014</v>
      </c>
      <c r="L1258" s="11" t="s">
        <v>102</v>
      </c>
      <c r="M1258" s="12" t="str">
        <f t="shared" ca="1" si="4"/>
        <v>651996 Primaria</v>
      </c>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4"/>
    </row>
    <row r="1259" spans="1:36" ht="12.5" x14ac:dyDescent="0.25">
      <c r="A1259" s="9">
        <v>3383</v>
      </c>
      <c r="B1259" s="10" t="s">
        <v>44</v>
      </c>
      <c r="C1259" s="10" t="s">
        <v>15</v>
      </c>
      <c r="D1259" s="10" t="s">
        <v>37</v>
      </c>
      <c r="E1259" s="11" t="str">
        <f ca="1">IFERROR(__xludf.DUMMYFUNCTION("FILTER(Colegios!$B$2:$B2419,Colegios!$A$2:$A2419=L1259)"),"64115")</f>
        <v>64115</v>
      </c>
      <c r="F1259" s="11" t="s">
        <v>17</v>
      </c>
      <c r="G1259" s="10" t="s">
        <v>18</v>
      </c>
      <c r="H1259" s="11" t="s">
        <v>25</v>
      </c>
      <c r="I1259" s="11">
        <v>2022</v>
      </c>
      <c r="J1259" s="12" t="str">
        <f ca="1">IFERROR(__xludf.DUMMYFUNCTION("FILTER('CLASFICACIÓN'!$F$3:$F2419,'CLASFICACIÓN'!$G$3:$G2419=M1259)"),"SOLO 2022 Y 2024")</f>
        <v>SOLO 2022 Y 2024</v>
      </c>
      <c r="K1259" s="12" t="s">
        <v>2012</v>
      </c>
      <c r="L1259" s="11" t="s">
        <v>100</v>
      </c>
      <c r="M1259" s="12" t="str">
        <f t="shared" ca="1" si="4"/>
        <v>641156 Primaria</v>
      </c>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4"/>
    </row>
    <row r="1260" spans="1:36" ht="12.5" x14ac:dyDescent="0.25">
      <c r="A1260" s="9">
        <v>3384</v>
      </c>
      <c r="B1260" s="10" t="s">
        <v>44</v>
      </c>
      <c r="C1260" s="10" t="s">
        <v>15</v>
      </c>
      <c r="D1260" s="10" t="s">
        <v>37</v>
      </c>
      <c r="E1260" s="11" t="str">
        <f ca="1">IFERROR(__xludf.DUMMYFUNCTION("FILTER(Colegios!$B$2:$B2419,Colegios!$A$2:$A2419=L1260)"),"64115")</f>
        <v>64115</v>
      </c>
      <c r="F1260" s="11" t="s">
        <v>17</v>
      </c>
      <c r="G1260" s="10" t="s">
        <v>24</v>
      </c>
      <c r="H1260" s="11" t="s">
        <v>23</v>
      </c>
      <c r="I1260" s="11">
        <v>2022</v>
      </c>
      <c r="J1260" s="12" t="str">
        <f ca="1">IFERROR(__xludf.DUMMYFUNCTION("FILTER('CLASFICACIÓN'!$F$3:$F2419,'CLASFICACIÓN'!$G$3:$G2419=M1260)"),"SOLO 2022 Y 2024")</f>
        <v>SOLO 2022 Y 2024</v>
      </c>
      <c r="K1260" s="12" t="s">
        <v>2012</v>
      </c>
      <c r="L1260" s="11" t="s">
        <v>100</v>
      </c>
      <c r="M1260" s="12" t="str">
        <f t="shared" ca="1" si="4"/>
        <v>641156 Primaria</v>
      </c>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4"/>
    </row>
    <row r="1261" spans="1:36" ht="12.5" x14ac:dyDescent="0.25">
      <c r="A1261" s="9">
        <v>3385</v>
      </c>
      <c r="B1261" s="10" t="s">
        <v>44</v>
      </c>
      <c r="C1261" s="10" t="s">
        <v>15</v>
      </c>
      <c r="D1261" s="10" t="s">
        <v>37</v>
      </c>
      <c r="E1261" s="11" t="str">
        <f ca="1">IFERROR(__xludf.DUMMYFUNCTION("FILTER(Colegios!$B$2:$B2419,Colegios!$A$2:$A2419=L1261)"),"64048")</f>
        <v>64048</v>
      </c>
      <c r="F1261" s="11" t="s">
        <v>17</v>
      </c>
      <c r="G1261" s="10" t="s">
        <v>18</v>
      </c>
      <c r="H1261" s="11" t="s">
        <v>23</v>
      </c>
      <c r="I1261" s="11">
        <v>2022</v>
      </c>
      <c r="J1261" s="12" t="str">
        <f ca="1">IFERROR(__xludf.DUMMYFUNCTION("FILTER('CLASFICACIÓN'!$F$3:$F2419,'CLASFICACIÓN'!$G$3:$G2419=M1261)"),"SOLO 2022 Y 2024")</f>
        <v>SOLO 2022 Y 2024</v>
      </c>
      <c r="K1261" s="12" t="s">
        <v>2014</v>
      </c>
      <c r="L1261" s="11" t="s">
        <v>104</v>
      </c>
      <c r="M1261" s="12" t="str">
        <f t="shared" ca="1" si="4"/>
        <v>640486 Primaria</v>
      </c>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4"/>
    </row>
    <row r="1262" spans="1:36" ht="12.5" x14ac:dyDescent="0.25">
      <c r="A1262" s="9">
        <v>3386</v>
      </c>
      <c r="B1262" s="10" t="s">
        <v>44</v>
      </c>
      <c r="C1262" s="10" t="s">
        <v>15</v>
      </c>
      <c r="D1262" s="10" t="s">
        <v>37</v>
      </c>
      <c r="E1262" s="11" t="str">
        <f ca="1">IFERROR(__xludf.DUMMYFUNCTION("FILTER(Colegios!$B$2:$B2419,Colegios!$A$2:$A2419=L1262)"),"64048")</f>
        <v>64048</v>
      </c>
      <c r="F1262" s="11" t="s">
        <v>17</v>
      </c>
      <c r="G1262" s="10" t="s">
        <v>18</v>
      </c>
      <c r="H1262" s="11" t="s">
        <v>23</v>
      </c>
      <c r="I1262" s="11">
        <v>2022</v>
      </c>
      <c r="J1262" s="12" t="str">
        <f ca="1">IFERROR(__xludf.DUMMYFUNCTION("FILTER('CLASFICACIÓN'!$F$3:$F2419,'CLASFICACIÓN'!$G$3:$G2419=M1262)"),"SOLO 2022 Y 2024")</f>
        <v>SOLO 2022 Y 2024</v>
      </c>
      <c r="K1262" s="12" t="s">
        <v>2014</v>
      </c>
      <c r="L1262" s="11" t="s">
        <v>104</v>
      </c>
      <c r="M1262" s="12" t="str">
        <f t="shared" ca="1" si="4"/>
        <v>640486 Primaria</v>
      </c>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4"/>
    </row>
    <row r="1263" spans="1:36" ht="12.5" x14ac:dyDescent="0.25">
      <c r="A1263" s="9">
        <v>3387</v>
      </c>
      <c r="B1263" s="10" t="s">
        <v>44</v>
      </c>
      <c r="C1263" s="10" t="s">
        <v>15</v>
      </c>
      <c r="D1263" s="10" t="s">
        <v>37</v>
      </c>
      <c r="E1263" s="11" t="str">
        <f ca="1">IFERROR(__xludf.DUMMYFUNCTION("FILTER(Colegios!$B$2:$B2419,Colegios!$A$2:$A2419=L1263)"),"64115")</f>
        <v>64115</v>
      </c>
      <c r="F1263" s="11" t="s">
        <v>17</v>
      </c>
      <c r="G1263" s="10" t="s">
        <v>24</v>
      </c>
      <c r="H1263" s="11" t="s">
        <v>23</v>
      </c>
      <c r="I1263" s="11">
        <v>2022</v>
      </c>
      <c r="J1263" s="12" t="str">
        <f ca="1">IFERROR(__xludf.DUMMYFUNCTION("FILTER('CLASFICACIÓN'!$F$3:$F2419,'CLASFICACIÓN'!$G$3:$G2419=M1263)"),"SOLO 2022 Y 2024")</f>
        <v>SOLO 2022 Y 2024</v>
      </c>
      <c r="K1263" s="12" t="s">
        <v>2012</v>
      </c>
      <c r="L1263" s="11" t="s">
        <v>100</v>
      </c>
      <c r="M1263" s="12" t="str">
        <f t="shared" ca="1" si="4"/>
        <v>641156 Primaria</v>
      </c>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4"/>
    </row>
    <row r="1264" spans="1:36" ht="12.5" x14ac:dyDescent="0.25">
      <c r="A1264" s="9">
        <v>3388</v>
      </c>
      <c r="B1264" s="10" t="s">
        <v>44</v>
      </c>
      <c r="C1264" s="10" t="s">
        <v>15</v>
      </c>
      <c r="D1264" s="10" t="s">
        <v>37</v>
      </c>
      <c r="E1264" s="11" t="str">
        <f ca="1">IFERROR(__xludf.DUMMYFUNCTION("FILTER(Colegios!$B$2:$B2419,Colegios!$A$2:$A2419=L1264)"),"64048")</f>
        <v>64048</v>
      </c>
      <c r="F1264" s="11" t="s">
        <v>17</v>
      </c>
      <c r="G1264" s="10" t="s">
        <v>24</v>
      </c>
      <c r="H1264" s="11" t="s">
        <v>25</v>
      </c>
      <c r="I1264" s="11">
        <v>2022</v>
      </c>
      <c r="J1264" s="12" t="str">
        <f ca="1">IFERROR(__xludf.DUMMYFUNCTION("FILTER('CLASFICACIÓN'!$F$3:$F2419,'CLASFICACIÓN'!$G$3:$G2419=M1264)"),"SOLO 2022 Y 2024")</f>
        <v>SOLO 2022 Y 2024</v>
      </c>
      <c r="K1264" s="12" t="s">
        <v>2014</v>
      </c>
      <c r="L1264" s="11" t="s">
        <v>104</v>
      </c>
      <c r="M1264" s="12" t="str">
        <f t="shared" ca="1" si="4"/>
        <v>640486 Primaria</v>
      </c>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4"/>
    </row>
    <row r="1265" spans="1:36" ht="12.5" x14ac:dyDescent="0.25">
      <c r="A1265" s="9">
        <v>3389</v>
      </c>
      <c r="B1265" s="10" t="s">
        <v>44</v>
      </c>
      <c r="C1265" s="10" t="s">
        <v>15</v>
      </c>
      <c r="D1265" s="10" t="s">
        <v>37</v>
      </c>
      <c r="E1265" s="11" t="str">
        <f ca="1">IFERROR(__xludf.DUMMYFUNCTION("FILTER(Colegios!$B$2:$B2419,Colegios!$A$2:$A2419=L1265)"),"64048")</f>
        <v>64048</v>
      </c>
      <c r="F1265" s="11" t="s">
        <v>17</v>
      </c>
      <c r="G1265" s="10" t="s">
        <v>24</v>
      </c>
      <c r="H1265" s="11" t="s">
        <v>25</v>
      </c>
      <c r="I1265" s="11">
        <v>2022</v>
      </c>
      <c r="J1265" s="12" t="str">
        <f ca="1">IFERROR(__xludf.DUMMYFUNCTION("FILTER('CLASFICACIÓN'!$F$3:$F2419,'CLASFICACIÓN'!$G$3:$G2419=M1265)"),"SOLO 2022 Y 2024")</f>
        <v>SOLO 2022 Y 2024</v>
      </c>
      <c r="K1265" s="12" t="s">
        <v>2014</v>
      </c>
      <c r="L1265" s="11" t="s">
        <v>104</v>
      </c>
      <c r="M1265" s="12" t="str">
        <f t="shared" ca="1" si="4"/>
        <v>640486 Primaria</v>
      </c>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4"/>
    </row>
    <row r="1266" spans="1:36" ht="12.5" x14ac:dyDescent="0.25">
      <c r="A1266" s="9">
        <v>3390</v>
      </c>
      <c r="B1266" s="10" t="s">
        <v>44</v>
      </c>
      <c r="C1266" s="10" t="s">
        <v>15</v>
      </c>
      <c r="D1266" s="10" t="s">
        <v>37</v>
      </c>
      <c r="E1266" s="11" t="str">
        <f ca="1">IFERROR(__xludf.DUMMYFUNCTION("FILTER(Colegios!$B$2:$B2419,Colegios!$A$2:$A2419=L1266)"),"64028")</f>
        <v>64028</v>
      </c>
      <c r="F1266" s="11" t="s">
        <v>17</v>
      </c>
      <c r="G1266" s="10" t="s">
        <v>18</v>
      </c>
      <c r="H1266" s="11" t="s">
        <v>23</v>
      </c>
      <c r="I1266" s="11">
        <v>2022</v>
      </c>
      <c r="J1266" s="12" t="str">
        <f ca="1">IFERROR(__xludf.DUMMYFUNCTION("FILTER('CLASFICACIÓN'!$F$3:$F2419,'CLASFICACIÓN'!$G$3:$G2419=M1266)"),"SOLO 2022 Y 2024")</f>
        <v>SOLO 2022 Y 2024</v>
      </c>
      <c r="K1266" s="12" t="s">
        <v>2011</v>
      </c>
      <c r="L1266" s="11" t="s">
        <v>101</v>
      </c>
      <c r="M1266" s="12" t="str">
        <f t="shared" ca="1" si="4"/>
        <v>640286 Primaria</v>
      </c>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4"/>
    </row>
    <row r="1267" spans="1:36" ht="12.5" x14ac:dyDescent="0.25">
      <c r="A1267" s="9">
        <v>3391</v>
      </c>
      <c r="B1267" s="10" t="s">
        <v>44</v>
      </c>
      <c r="C1267" s="10" t="s">
        <v>15</v>
      </c>
      <c r="D1267" s="10" t="s">
        <v>37</v>
      </c>
      <c r="E1267" s="11" t="str">
        <f ca="1">IFERROR(__xludf.DUMMYFUNCTION("FILTER(Colegios!$B$2:$B2419,Colegios!$A$2:$A2419=L1267)"),"64028")</f>
        <v>64028</v>
      </c>
      <c r="F1267" s="11" t="s">
        <v>17</v>
      </c>
      <c r="G1267" s="10" t="s">
        <v>24</v>
      </c>
      <c r="H1267" s="11" t="s">
        <v>25</v>
      </c>
      <c r="I1267" s="11">
        <v>2022</v>
      </c>
      <c r="J1267" s="12" t="str">
        <f ca="1">IFERROR(__xludf.DUMMYFUNCTION("FILTER('CLASFICACIÓN'!$F$3:$F2419,'CLASFICACIÓN'!$G$3:$G2419=M1267)"),"SOLO 2022 Y 2024")</f>
        <v>SOLO 2022 Y 2024</v>
      </c>
      <c r="K1267" s="12" t="s">
        <v>2011</v>
      </c>
      <c r="L1267" s="11" t="s">
        <v>101</v>
      </c>
      <c r="M1267" s="12" t="str">
        <f t="shared" ca="1" si="4"/>
        <v>640286 Primaria</v>
      </c>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4"/>
    </row>
    <row r="1268" spans="1:36" ht="12.5" x14ac:dyDescent="0.25">
      <c r="A1268" s="9">
        <v>3392</v>
      </c>
      <c r="B1268" s="10" t="s">
        <v>44</v>
      </c>
      <c r="C1268" s="10" t="s">
        <v>15</v>
      </c>
      <c r="D1268" s="10" t="s">
        <v>37</v>
      </c>
      <c r="E1268" s="11" t="str">
        <f ca="1">IFERROR(__xludf.DUMMYFUNCTION("FILTER(Colegios!$B$2:$B2419,Colegios!$A$2:$A2419=L1268)"),"64028")</f>
        <v>64028</v>
      </c>
      <c r="F1268" s="11" t="s">
        <v>17</v>
      </c>
      <c r="G1268" s="10" t="s">
        <v>24</v>
      </c>
      <c r="H1268" s="11" t="s">
        <v>25</v>
      </c>
      <c r="I1268" s="11">
        <v>2022</v>
      </c>
      <c r="J1268" s="12" t="str">
        <f ca="1">IFERROR(__xludf.DUMMYFUNCTION("FILTER('CLASFICACIÓN'!$F$3:$F2419,'CLASFICACIÓN'!$G$3:$G2419=M1268)"),"SOLO 2022 Y 2024")</f>
        <v>SOLO 2022 Y 2024</v>
      </c>
      <c r="K1268" s="12" t="s">
        <v>2011</v>
      </c>
      <c r="L1268" s="11" t="s">
        <v>101</v>
      </c>
      <c r="M1268" s="12" t="str">
        <f t="shared" ca="1" si="4"/>
        <v>640286 Primaria</v>
      </c>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4"/>
    </row>
    <row r="1269" spans="1:36" ht="12.5" x14ac:dyDescent="0.25">
      <c r="A1269" s="9">
        <v>3393</v>
      </c>
      <c r="B1269" s="10" t="s">
        <v>44</v>
      </c>
      <c r="C1269" s="10" t="s">
        <v>15</v>
      </c>
      <c r="D1269" s="10" t="s">
        <v>37</v>
      </c>
      <c r="E1269" s="11" t="str">
        <f ca="1">IFERROR(__xludf.DUMMYFUNCTION("FILTER(Colegios!$B$2:$B2419,Colegios!$A$2:$A2419=L1269)"),"64028")</f>
        <v>64028</v>
      </c>
      <c r="F1269" s="11" t="s">
        <v>17</v>
      </c>
      <c r="G1269" s="10" t="s">
        <v>18</v>
      </c>
      <c r="H1269" s="11" t="s">
        <v>25</v>
      </c>
      <c r="I1269" s="11">
        <v>2022</v>
      </c>
      <c r="J1269" s="12" t="str">
        <f ca="1">IFERROR(__xludf.DUMMYFUNCTION("FILTER('CLASFICACIÓN'!$F$3:$F2419,'CLASFICACIÓN'!$G$3:$G2419=M1269)"),"SOLO 2022 Y 2024")</f>
        <v>SOLO 2022 Y 2024</v>
      </c>
      <c r="K1269" s="12" t="s">
        <v>2011</v>
      </c>
      <c r="L1269" s="11" t="s">
        <v>101</v>
      </c>
      <c r="M1269" s="12" t="str">
        <f t="shared" ca="1" si="4"/>
        <v>640286 Primaria</v>
      </c>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4"/>
    </row>
    <row r="1270" spans="1:36" ht="12.5" x14ac:dyDescent="0.25">
      <c r="A1270" s="9">
        <v>3394</v>
      </c>
      <c r="B1270" s="10" t="s">
        <v>44</v>
      </c>
      <c r="C1270" s="10" t="s">
        <v>15</v>
      </c>
      <c r="D1270" s="10" t="s">
        <v>37</v>
      </c>
      <c r="E1270" s="11" t="str">
        <f ca="1">IFERROR(__xludf.DUMMYFUNCTION("FILTER(Colegios!$B$2:$B2419,Colegios!$A$2:$A2419=L1270)"),"64028")</f>
        <v>64028</v>
      </c>
      <c r="F1270" s="11" t="s">
        <v>17</v>
      </c>
      <c r="G1270" s="10" t="s">
        <v>18</v>
      </c>
      <c r="H1270" s="11" t="s">
        <v>25</v>
      </c>
      <c r="I1270" s="11">
        <v>2022</v>
      </c>
      <c r="J1270" s="12" t="str">
        <f ca="1">IFERROR(__xludf.DUMMYFUNCTION("FILTER('CLASFICACIÓN'!$F$3:$F2419,'CLASFICACIÓN'!$G$3:$G2419=M1270)"),"SOLO 2022 Y 2024")</f>
        <v>SOLO 2022 Y 2024</v>
      </c>
      <c r="K1270" s="12" t="s">
        <v>2011</v>
      </c>
      <c r="L1270" s="11" t="s">
        <v>101</v>
      </c>
      <c r="M1270" s="12" t="str">
        <f t="shared" ca="1" si="4"/>
        <v>640286 Primaria</v>
      </c>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4"/>
    </row>
    <row r="1271" spans="1:36" ht="12.5" x14ac:dyDescent="0.25">
      <c r="A1271" s="9">
        <v>3395</v>
      </c>
      <c r="B1271" s="10" t="s">
        <v>44</v>
      </c>
      <c r="C1271" s="10" t="s">
        <v>15</v>
      </c>
      <c r="D1271" s="10" t="s">
        <v>37</v>
      </c>
      <c r="E1271" s="11" t="str">
        <f ca="1">IFERROR(__xludf.DUMMYFUNCTION("FILTER(Colegios!$B$2:$B2419,Colegios!$A$2:$A2419=L1271)"),"64028")</f>
        <v>64028</v>
      </c>
      <c r="F1271" s="11" t="s">
        <v>17</v>
      </c>
      <c r="G1271" s="10" t="s">
        <v>18</v>
      </c>
      <c r="H1271" s="11" t="s">
        <v>25</v>
      </c>
      <c r="I1271" s="11">
        <v>2022</v>
      </c>
      <c r="J1271" s="12" t="str">
        <f ca="1">IFERROR(__xludf.DUMMYFUNCTION("FILTER('CLASFICACIÓN'!$F$3:$F2419,'CLASFICACIÓN'!$G$3:$G2419=M1271)"),"SOLO 2022 Y 2024")</f>
        <v>SOLO 2022 Y 2024</v>
      </c>
      <c r="K1271" s="12" t="s">
        <v>2011</v>
      </c>
      <c r="L1271" s="11" t="s">
        <v>101</v>
      </c>
      <c r="M1271" s="12" t="str">
        <f t="shared" ca="1" si="4"/>
        <v>640286 Primaria</v>
      </c>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4"/>
    </row>
    <row r="1272" spans="1:36" ht="12.5" x14ac:dyDescent="0.25">
      <c r="A1272" s="9">
        <v>3396</v>
      </c>
      <c r="B1272" s="10" t="s">
        <v>44</v>
      </c>
      <c r="C1272" s="10" t="s">
        <v>15</v>
      </c>
      <c r="D1272" s="10" t="s">
        <v>37</v>
      </c>
      <c r="E1272" s="11" t="str">
        <f ca="1">IFERROR(__xludf.DUMMYFUNCTION("FILTER(Colegios!$B$2:$B2419,Colegios!$A$2:$A2419=L1272)"),"64028")</f>
        <v>64028</v>
      </c>
      <c r="F1272" s="11" t="s">
        <v>17</v>
      </c>
      <c r="G1272" s="10" t="s">
        <v>24</v>
      </c>
      <c r="H1272" s="11" t="s">
        <v>25</v>
      </c>
      <c r="I1272" s="11">
        <v>2022</v>
      </c>
      <c r="J1272" s="12" t="str">
        <f ca="1">IFERROR(__xludf.DUMMYFUNCTION("FILTER('CLASFICACIÓN'!$F$3:$F2419,'CLASFICACIÓN'!$G$3:$G2419=M1272)"),"SOLO 2022 Y 2024")</f>
        <v>SOLO 2022 Y 2024</v>
      </c>
      <c r="K1272" s="12" t="s">
        <v>2011</v>
      </c>
      <c r="L1272" s="11" t="s">
        <v>101</v>
      </c>
      <c r="M1272" s="12" t="str">
        <f t="shared" ca="1" si="4"/>
        <v>640286 Primaria</v>
      </c>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4"/>
    </row>
    <row r="1273" spans="1:36" ht="12.5" x14ac:dyDescent="0.25">
      <c r="A1273" s="9">
        <v>3540</v>
      </c>
      <c r="B1273" s="10" t="s">
        <v>54</v>
      </c>
      <c r="C1273" s="10" t="s">
        <v>15</v>
      </c>
      <c r="D1273" s="10" t="s">
        <v>45</v>
      </c>
      <c r="E1273" s="11" t="str">
        <f ca="1">IFERROR(__xludf.DUMMYFUNCTION("FILTER(Colegios!$B$2:$B2419,Colegios!$A$2:$A2419=L1273)"),"36161 SAN VICENTE DE PAUL")</f>
        <v>36161 SAN VICENTE DE PAUL</v>
      </c>
      <c r="F1273" s="11" t="s">
        <v>17</v>
      </c>
      <c r="G1273" s="10" t="s">
        <v>24</v>
      </c>
      <c r="H1273" s="11" t="s">
        <v>19</v>
      </c>
      <c r="I1273" s="11">
        <v>2022</v>
      </c>
      <c r="J1273" s="12" t="str">
        <f ca="1">IFERROR(__xludf.DUMMYFUNCTION("FILTER('CLASFICACIÓN'!$F$3:$F2419,'CLASFICACIÓN'!$G$3:$G2419=M1273)"),"SOLO LINEA BASE")</f>
        <v>SOLO LINEA BASE</v>
      </c>
      <c r="K1273" s="12" t="s">
        <v>2013</v>
      </c>
      <c r="L1273" s="11" t="s">
        <v>105</v>
      </c>
      <c r="M1273" s="12" t="str">
        <f t="shared" ca="1" si="4"/>
        <v>36161 SAN VICENTE DE PAUL2 Primaria</v>
      </c>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4"/>
    </row>
    <row r="1274" spans="1:36" ht="12.5" x14ac:dyDescent="0.25">
      <c r="A1274" s="9">
        <v>3541</v>
      </c>
      <c r="B1274" s="10" t="s">
        <v>54</v>
      </c>
      <c r="C1274" s="10" t="s">
        <v>15</v>
      </c>
      <c r="D1274" s="10" t="s">
        <v>45</v>
      </c>
      <c r="E1274" s="11" t="str">
        <f ca="1">IFERROR(__xludf.DUMMYFUNCTION("FILTER(Colegios!$B$2:$B2419,Colegios!$A$2:$A2419=L1274)"),"36161 SAN VICENTE DE PAUL")</f>
        <v>36161 SAN VICENTE DE PAUL</v>
      </c>
      <c r="F1274" s="11" t="s">
        <v>17</v>
      </c>
      <c r="G1274" s="10" t="s">
        <v>24</v>
      </c>
      <c r="H1274" s="11" t="s">
        <v>19</v>
      </c>
      <c r="I1274" s="11">
        <v>2022</v>
      </c>
      <c r="J1274" s="12" t="str">
        <f ca="1">IFERROR(__xludf.DUMMYFUNCTION("FILTER('CLASFICACIÓN'!$F$3:$F2419,'CLASFICACIÓN'!$G$3:$G2419=M1274)"),"SOLO LINEA BASE")</f>
        <v>SOLO LINEA BASE</v>
      </c>
      <c r="K1274" s="12" t="s">
        <v>2013</v>
      </c>
      <c r="L1274" s="11" t="s">
        <v>105</v>
      </c>
      <c r="M1274" s="12" t="str">
        <f t="shared" ca="1" si="4"/>
        <v>36161 SAN VICENTE DE PAUL2 Primaria</v>
      </c>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4"/>
    </row>
    <row r="1275" spans="1:36" ht="12.5" x14ac:dyDescent="0.25">
      <c r="A1275" s="9">
        <v>3542</v>
      </c>
      <c r="B1275" s="10" t="s">
        <v>54</v>
      </c>
      <c r="C1275" s="10" t="s">
        <v>15</v>
      </c>
      <c r="D1275" s="10" t="s">
        <v>45</v>
      </c>
      <c r="E1275" s="11" t="str">
        <f ca="1">IFERROR(__xludf.DUMMYFUNCTION("FILTER(Colegios!$B$2:$B2419,Colegios!$A$2:$A2419=L1275)"),"36161 SAN VICENTE DE PAUL")</f>
        <v>36161 SAN VICENTE DE PAUL</v>
      </c>
      <c r="F1275" s="11" t="s">
        <v>17</v>
      </c>
      <c r="G1275" s="10" t="s">
        <v>18</v>
      </c>
      <c r="H1275" s="11" t="s">
        <v>19</v>
      </c>
      <c r="I1275" s="11">
        <v>2022</v>
      </c>
      <c r="J1275" s="12" t="str">
        <f ca="1">IFERROR(__xludf.DUMMYFUNCTION("FILTER('CLASFICACIÓN'!$F$3:$F2419,'CLASFICACIÓN'!$G$3:$G2419=M1275)"),"SOLO LINEA BASE")</f>
        <v>SOLO LINEA BASE</v>
      </c>
      <c r="K1275" s="12" t="s">
        <v>2013</v>
      </c>
      <c r="L1275" s="11" t="s">
        <v>105</v>
      </c>
      <c r="M1275" s="12" t="str">
        <f t="shared" ca="1" si="4"/>
        <v>36161 SAN VICENTE DE PAUL2 Primaria</v>
      </c>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4"/>
    </row>
    <row r="1276" spans="1:36" ht="12.5" x14ac:dyDescent="0.25">
      <c r="A1276" s="9">
        <v>3543</v>
      </c>
      <c r="B1276" s="10" t="s">
        <v>54</v>
      </c>
      <c r="C1276" s="10" t="s">
        <v>15</v>
      </c>
      <c r="D1276" s="10" t="s">
        <v>45</v>
      </c>
      <c r="E1276" s="11" t="str">
        <f ca="1">IFERROR(__xludf.DUMMYFUNCTION("FILTER(Colegios!$B$2:$B2419,Colegios!$A$2:$A2419=L1276)"),"36161 SAN VICENTE DE PAUL")</f>
        <v>36161 SAN VICENTE DE PAUL</v>
      </c>
      <c r="F1276" s="11" t="s">
        <v>17</v>
      </c>
      <c r="G1276" s="10" t="s">
        <v>24</v>
      </c>
      <c r="H1276" s="11" t="s">
        <v>19</v>
      </c>
      <c r="I1276" s="11">
        <v>2022</v>
      </c>
      <c r="J1276" s="12" t="str">
        <f ca="1">IFERROR(__xludf.DUMMYFUNCTION("FILTER('CLASFICACIÓN'!$F$3:$F2419,'CLASFICACIÓN'!$G$3:$G2419=M1276)"),"SOLO LINEA BASE")</f>
        <v>SOLO LINEA BASE</v>
      </c>
      <c r="K1276" s="12" t="s">
        <v>2013</v>
      </c>
      <c r="L1276" s="11" t="s">
        <v>105</v>
      </c>
      <c r="M1276" s="12" t="str">
        <f t="shared" ca="1" si="4"/>
        <v>36161 SAN VICENTE DE PAUL2 Primaria</v>
      </c>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4"/>
    </row>
    <row r="1277" spans="1:36" ht="12.5" x14ac:dyDescent="0.25">
      <c r="A1277" s="9">
        <v>3544</v>
      </c>
      <c r="B1277" s="10" t="s">
        <v>54</v>
      </c>
      <c r="C1277" s="10" t="s">
        <v>15</v>
      </c>
      <c r="D1277" s="10" t="s">
        <v>45</v>
      </c>
      <c r="E1277" s="11" t="str">
        <f ca="1">IFERROR(__xludf.DUMMYFUNCTION("FILTER(Colegios!$B$2:$B2419,Colegios!$A$2:$A2419=L1277)"),"36166 HEROES 29 DE AGOSTO")</f>
        <v>36166 HEROES 29 DE AGOSTO</v>
      </c>
      <c r="F1277" s="11" t="s">
        <v>17</v>
      </c>
      <c r="G1277" s="10" t="s">
        <v>24</v>
      </c>
      <c r="H1277" s="11" t="s">
        <v>19</v>
      </c>
      <c r="I1277" s="11">
        <v>2022</v>
      </c>
      <c r="J1277" s="12" t="str">
        <f ca="1">IFERROR(__xludf.DUMMYFUNCTION("FILTER('CLASFICACIÓN'!$F$3:$F2419,'CLASFICACIÓN'!$G$3:$G2419=M1277)"),"SOLO LINEA BASE")</f>
        <v>SOLO LINEA BASE</v>
      </c>
      <c r="K1277" s="12" t="s">
        <v>2013</v>
      </c>
      <c r="L1277" s="11" t="s">
        <v>106</v>
      </c>
      <c r="M1277" s="12" t="str">
        <f t="shared" ref="M1277:M1531" ca="1" si="5">E1277&amp;D1277</f>
        <v>36166 HEROES 29 DE AGOSTO2 Primaria</v>
      </c>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4"/>
    </row>
    <row r="1278" spans="1:36" ht="12.5" x14ac:dyDescent="0.25">
      <c r="A1278" s="9">
        <v>3545</v>
      </c>
      <c r="B1278" s="10" t="s">
        <v>54</v>
      </c>
      <c r="C1278" s="10" t="s">
        <v>15</v>
      </c>
      <c r="D1278" s="10" t="s">
        <v>45</v>
      </c>
      <c r="E1278" s="11" t="str">
        <f ca="1">IFERROR(__xludf.DUMMYFUNCTION("FILTER(Colegios!$B$2:$B2419,Colegios!$A$2:$A2419=L1278)"),"36166 HEROES 29 DE AGOSTO")</f>
        <v>36166 HEROES 29 DE AGOSTO</v>
      </c>
      <c r="F1278" s="11" t="s">
        <v>17</v>
      </c>
      <c r="G1278" s="10" t="s">
        <v>24</v>
      </c>
      <c r="H1278" s="11" t="s">
        <v>23</v>
      </c>
      <c r="I1278" s="11">
        <v>2022</v>
      </c>
      <c r="J1278" s="12" t="str">
        <f ca="1">IFERROR(__xludf.DUMMYFUNCTION("FILTER('CLASFICACIÓN'!$F$3:$F2419,'CLASFICACIÓN'!$G$3:$G2419=M1278)"),"SOLO LINEA BASE")</f>
        <v>SOLO LINEA BASE</v>
      </c>
      <c r="K1278" s="12" t="s">
        <v>2013</v>
      </c>
      <c r="L1278" s="11" t="s">
        <v>106</v>
      </c>
      <c r="M1278" s="12" t="str">
        <f t="shared" ca="1" si="5"/>
        <v>36166 HEROES 29 DE AGOSTO2 Primaria</v>
      </c>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4"/>
    </row>
    <row r="1279" spans="1:36" ht="12.5" x14ac:dyDescent="0.25">
      <c r="A1279" s="9">
        <v>3546</v>
      </c>
      <c r="B1279" s="10" t="s">
        <v>54</v>
      </c>
      <c r="C1279" s="10" t="s">
        <v>15</v>
      </c>
      <c r="D1279" s="10" t="s">
        <v>45</v>
      </c>
      <c r="E1279" s="11" t="str">
        <f ca="1">IFERROR(__xludf.DUMMYFUNCTION("FILTER(Colegios!$B$2:$B2419,Colegios!$A$2:$A2419=L1279)"),"36166 HEROES 29 DE AGOSTO")</f>
        <v>36166 HEROES 29 DE AGOSTO</v>
      </c>
      <c r="F1279" s="11" t="s">
        <v>17</v>
      </c>
      <c r="G1279" s="10" t="s">
        <v>24</v>
      </c>
      <c r="H1279" s="11" t="s">
        <v>19</v>
      </c>
      <c r="I1279" s="11">
        <v>2022</v>
      </c>
      <c r="J1279" s="12" t="str">
        <f ca="1">IFERROR(__xludf.DUMMYFUNCTION("FILTER('CLASFICACIÓN'!$F$3:$F2419,'CLASFICACIÓN'!$G$3:$G2419=M1279)"),"SOLO LINEA BASE")</f>
        <v>SOLO LINEA BASE</v>
      </c>
      <c r="K1279" s="12" t="s">
        <v>2013</v>
      </c>
      <c r="L1279" s="11" t="s">
        <v>106</v>
      </c>
      <c r="M1279" s="12" t="str">
        <f t="shared" ca="1" si="5"/>
        <v>36166 HEROES 29 DE AGOSTO2 Primaria</v>
      </c>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4"/>
    </row>
    <row r="1280" spans="1:36" ht="12.5" x14ac:dyDescent="0.25">
      <c r="A1280" s="9">
        <v>3547</v>
      </c>
      <c r="B1280" s="10" t="s">
        <v>54</v>
      </c>
      <c r="C1280" s="10" t="s">
        <v>15</v>
      </c>
      <c r="D1280" s="10" t="s">
        <v>45</v>
      </c>
      <c r="E1280" s="11" t="str">
        <f ca="1">IFERROR(__xludf.DUMMYFUNCTION("FILTER(Colegios!$B$2:$B2419,Colegios!$A$2:$A2419=L1280)"),"36166 HEROES 29 DE AGOSTO")</f>
        <v>36166 HEROES 29 DE AGOSTO</v>
      </c>
      <c r="F1280" s="11" t="s">
        <v>17</v>
      </c>
      <c r="G1280" s="10" t="s">
        <v>18</v>
      </c>
      <c r="H1280" s="11" t="s">
        <v>19</v>
      </c>
      <c r="I1280" s="11">
        <v>2022</v>
      </c>
      <c r="J1280" s="12" t="str">
        <f ca="1">IFERROR(__xludf.DUMMYFUNCTION("FILTER('CLASFICACIÓN'!$F$3:$F2419,'CLASFICACIÓN'!$G$3:$G2419=M1280)"),"SOLO LINEA BASE")</f>
        <v>SOLO LINEA BASE</v>
      </c>
      <c r="K1280" s="12" t="s">
        <v>2013</v>
      </c>
      <c r="L1280" s="11" t="s">
        <v>106</v>
      </c>
      <c r="M1280" s="12" t="str">
        <f t="shared" ca="1" si="5"/>
        <v>36166 HEROES 29 DE AGOSTO2 Primaria</v>
      </c>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4"/>
    </row>
    <row r="1281" spans="1:36" ht="12.5" x14ac:dyDescent="0.25">
      <c r="A1281" s="9">
        <v>3548</v>
      </c>
      <c r="B1281" s="10" t="s">
        <v>54</v>
      </c>
      <c r="C1281" s="10" t="s">
        <v>15</v>
      </c>
      <c r="D1281" s="10" t="s">
        <v>45</v>
      </c>
      <c r="E1281" s="11" t="str">
        <f ca="1">IFERROR(__xludf.DUMMYFUNCTION("FILTER(Colegios!$B$2:$B2419,Colegios!$A$2:$A2419=L1281)"),"36166 HEROES 29 DE AGOSTO")</f>
        <v>36166 HEROES 29 DE AGOSTO</v>
      </c>
      <c r="F1281" s="11" t="s">
        <v>17</v>
      </c>
      <c r="G1281" s="10" t="s">
        <v>24</v>
      </c>
      <c r="H1281" s="11" t="s">
        <v>19</v>
      </c>
      <c r="I1281" s="11">
        <v>2022</v>
      </c>
      <c r="J1281" s="12" t="str">
        <f ca="1">IFERROR(__xludf.DUMMYFUNCTION("FILTER('CLASFICACIÓN'!$F$3:$F2419,'CLASFICACIÓN'!$G$3:$G2419=M1281)"),"SOLO LINEA BASE")</f>
        <v>SOLO LINEA BASE</v>
      </c>
      <c r="K1281" s="12" t="s">
        <v>2013</v>
      </c>
      <c r="L1281" s="11" t="s">
        <v>106</v>
      </c>
      <c r="M1281" s="12" t="str">
        <f t="shared" ca="1" si="5"/>
        <v>36166 HEROES 29 DE AGOSTO2 Primaria</v>
      </c>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4"/>
    </row>
    <row r="1282" spans="1:36" ht="12.5" x14ac:dyDescent="0.25">
      <c r="A1282" s="9">
        <v>3549</v>
      </c>
      <c r="B1282" s="10" t="s">
        <v>54</v>
      </c>
      <c r="C1282" s="10" t="s">
        <v>15</v>
      </c>
      <c r="D1282" s="10" t="s">
        <v>45</v>
      </c>
      <c r="E1282" s="11" t="str">
        <f ca="1">IFERROR(__xludf.DUMMYFUNCTION("FILTER(Colegios!$B$2:$B2419,Colegios!$A$2:$A2419=L1282)"),"36207")</f>
        <v>36207</v>
      </c>
      <c r="F1282" s="11" t="s">
        <v>17</v>
      </c>
      <c r="G1282" s="10" t="s">
        <v>24</v>
      </c>
      <c r="H1282" s="11" t="s">
        <v>19</v>
      </c>
      <c r="I1282" s="11">
        <v>2022</v>
      </c>
      <c r="J1282" s="12" t="str">
        <f ca="1">IFERROR(__xludf.DUMMYFUNCTION("FILTER('CLASFICACIÓN'!$F$3:$F2419,'CLASFICACIÓN'!$G$3:$G2419=M1282)"),"SOLO 2022 Y 2024")</f>
        <v>SOLO 2022 Y 2024</v>
      </c>
      <c r="K1282" s="12" t="s">
        <v>2011</v>
      </c>
      <c r="L1282" s="11" t="s">
        <v>57</v>
      </c>
      <c r="M1282" s="12" t="str">
        <f t="shared" ca="1" si="5"/>
        <v>362072 Primaria</v>
      </c>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4"/>
    </row>
    <row r="1283" spans="1:36" ht="12.5" x14ac:dyDescent="0.25">
      <c r="A1283" s="9">
        <v>3550</v>
      </c>
      <c r="B1283" s="10" t="s">
        <v>54</v>
      </c>
      <c r="C1283" s="10" t="s">
        <v>41</v>
      </c>
      <c r="D1283" s="10" t="s">
        <v>42</v>
      </c>
      <c r="E1283" s="11" t="str">
        <f ca="1">IFERROR(__xludf.DUMMYFUNCTION("FILTER(Colegios!$B$2:$B2419,Colegios!$A$2:$A2419=L1283)"),"JORGE CHAVEZ")</f>
        <v>JORGE CHAVEZ</v>
      </c>
      <c r="F1283" s="11" t="s">
        <v>17</v>
      </c>
      <c r="G1283" s="10" t="s">
        <v>18</v>
      </c>
      <c r="H1283" s="11" t="s">
        <v>23</v>
      </c>
      <c r="I1283" s="11">
        <v>2022</v>
      </c>
      <c r="J1283" s="12" t="str">
        <f ca="1">IFERROR(__xludf.DUMMYFUNCTION("FILTER('CLASFICACIÓN'!$F$3:$F2419,'CLASFICACIÓN'!$G$3:$G2419=M1283)"),"SOLO LINEA BASE")</f>
        <v>SOLO LINEA BASE</v>
      </c>
      <c r="K1283" s="12" t="s">
        <v>2012</v>
      </c>
      <c r="L1283" s="11" t="s">
        <v>107</v>
      </c>
      <c r="M1283" s="12" t="str">
        <f t="shared" ca="1" si="5"/>
        <v>JORGE CHAVEZ2 Secundaria</v>
      </c>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4"/>
    </row>
    <row r="1284" spans="1:36" ht="12.5" x14ac:dyDescent="0.25">
      <c r="A1284" s="9">
        <v>3551</v>
      </c>
      <c r="B1284" s="10" t="s">
        <v>54</v>
      </c>
      <c r="C1284" s="10" t="s">
        <v>41</v>
      </c>
      <c r="D1284" s="10" t="s">
        <v>42</v>
      </c>
      <c r="E1284" s="11" t="str">
        <f ca="1">IFERROR(__xludf.DUMMYFUNCTION("FILTER(Colegios!$B$2:$B2419,Colegios!$A$2:$A2419=L1284)"),"JORGE CHAVEZ")</f>
        <v>JORGE CHAVEZ</v>
      </c>
      <c r="F1284" s="11" t="s">
        <v>17</v>
      </c>
      <c r="G1284" s="10" t="s">
        <v>24</v>
      </c>
      <c r="H1284" s="11" t="s">
        <v>25</v>
      </c>
      <c r="I1284" s="11">
        <v>2022</v>
      </c>
      <c r="J1284" s="12" t="str">
        <f ca="1">IFERROR(__xludf.DUMMYFUNCTION("FILTER('CLASFICACIÓN'!$F$3:$F2419,'CLASFICACIÓN'!$G$3:$G2419=M1284)"),"SOLO LINEA BASE")</f>
        <v>SOLO LINEA BASE</v>
      </c>
      <c r="K1284" s="12" t="s">
        <v>2012</v>
      </c>
      <c r="L1284" s="11" t="s">
        <v>107</v>
      </c>
      <c r="M1284" s="12" t="str">
        <f t="shared" ca="1" si="5"/>
        <v>JORGE CHAVEZ2 Secundaria</v>
      </c>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4"/>
    </row>
    <row r="1285" spans="1:36" ht="12.5" x14ac:dyDescent="0.25">
      <c r="A1285" s="9">
        <v>3552</v>
      </c>
      <c r="B1285" s="10" t="s">
        <v>54</v>
      </c>
      <c r="C1285" s="10" t="s">
        <v>41</v>
      </c>
      <c r="D1285" s="10" t="s">
        <v>42</v>
      </c>
      <c r="E1285" s="11" t="str">
        <f ca="1">IFERROR(__xludf.DUMMYFUNCTION("FILTER(Colegios!$B$2:$B2419,Colegios!$A$2:$A2419=L1285)"),"JORGE CHAVEZ")</f>
        <v>JORGE CHAVEZ</v>
      </c>
      <c r="F1285" s="11" t="s">
        <v>17</v>
      </c>
      <c r="G1285" s="10" t="s">
        <v>18</v>
      </c>
      <c r="H1285" s="11" t="s">
        <v>19</v>
      </c>
      <c r="I1285" s="11">
        <v>2022</v>
      </c>
      <c r="J1285" s="12" t="str">
        <f ca="1">IFERROR(__xludf.DUMMYFUNCTION("FILTER('CLASFICACIÓN'!$F$3:$F2419,'CLASFICACIÓN'!$G$3:$G2419=M1285)"),"SOLO LINEA BASE")</f>
        <v>SOLO LINEA BASE</v>
      </c>
      <c r="K1285" s="12" t="s">
        <v>2012</v>
      </c>
      <c r="L1285" s="11" t="s">
        <v>107</v>
      </c>
      <c r="M1285" s="12" t="str">
        <f t="shared" ca="1" si="5"/>
        <v>JORGE CHAVEZ2 Secundaria</v>
      </c>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4"/>
    </row>
    <row r="1286" spans="1:36" ht="12.5" x14ac:dyDescent="0.25">
      <c r="A1286" s="9">
        <v>3553</v>
      </c>
      <c r="B1286" s="10" t="s">
        <v>54</v>
      </c>
      <c r="C1286" s="10" t="s">
        <v>41</v>
      </c>
      <c r="D1286" s="10" t="s">
        <v>42</v>
      </c>
      <c r="E1286" s="11" t="str">
        <f ca="1">IFERROR(__xludf.DUMMYFUNCTION("FILTER(Colegios!$B$2:$B2419,Colegios!$A$2:$A2419=L1286)"),"JORGE CHAVEZ")</f>
        <v>JORGE CHAVEZ</v>
      </c>
      <c r="F1286" s="11" t="s">
        <v>17</v>
      </c>
      <c r="G1286" s="10" t="s">
        <v>18</v>
      </c>
      <c r="H1286" s="11" t="s">
        <v>19</v>
      </c>
      <c r="I1286" s="11">
        <v>2022</v>
      </c>
      <c r="J1286" s="12" t="str">
        <f ca="1">IFERROR(__xludf.DUMMYFUNCTION("FILTER('CLASFICACIÓN'!$F$3:$F2419,'CLASFICACIÓN'!$G$3:$G2419=M1286)"),"SOLO LINEA BASE")</f>
        <v>SOLO LINEA BASE</v>
      </c>
      <c r="K1286" s="12" t="s">
        <v>2012</v>
      </c>
      <c r="L1286" s="11" t="s">
        <v>107</v>
      </c>
      <c r="M1286" s="12" t="str">
        <f t="shared" ca="1" si="5"/>
        <v>JORGE CHAVEZ2 Secundaria</v>
      </c>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4"/>
    </row>
    <row r="1287" spans="1:36" ht="12.5" x14ac:dyDescent="0.25">
      <c r="A1287" s="9">
        <v>3554</v>
      </c>
      <c r="B1287" s="10" t="s">
        <v>54</v>
      </c>
      <c r="C1287" s="10" t="s">
        <v>41</v>
      </c>
      <c r="D1287" s="10" t="s">
        <v>42</v>
      </c>
      <c r="E1287" s="11" t="str">
        <f ca="1">IFERROR(__xludf.DUMMYFUNCTION("FILTER(Colegios!$B$2:$B2419,Colegios!$A$2:$A2419=L1287)"),"JORGE CHAVEZ")</f>
        <v>JORGE CHAVEZ</v>
      </c>
      <c r="F1287" s="11" t="s">
        <v>17</v>
      </c>
      <c r="G1287" s="10" t="s">
        <v>24</v>
      </c>
      <c r="H1287" s="11" t="s">
        <v>19</v>
      </c>
      <c r="I1287" s="11">
        <v>2022</v>
      </c>
      <c r="J1287" s="12" t="str">
        <f ca="1">IFERROR(__xludf.DUMMYFUNCTION("FILTER('CLASFICACIÓN'!$F$3:$F2419,'CLASFICACIÓN'!$G$3:$G2419=M1287)"),"SOLO LINEA BASE")</f>
        <v>SOLO LINEA BASE</v>
      </c>
      <c r="K1287" s="12" t="s">
        <v>2012</v>
      </c>
      <c r="L1287" s="11" t="s">
        <v>107</v>
      </c>
      <c r="M1287" s="12" t="str">
        <f t="shared" ca="1" si="5"/>
        <v>JORGE CHAVEZ2 Secundaria</v>
      </c>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4"/>
    </row>
    <row r="1288" spans="1:36" ht="12.5" x14ac:dyDescent="0.25">
      <c r="A1288" s="9">
        <v>3555</v>
      </c>
      <c r="B1288" s="10" t="s">
        <v>54</v>
      </c>
      <c r="C1288" s="10" t="s">
        <v>41</v>
      </c>
      <c r="D1288" s="10" t="s">
        <v>42</v>
      </c>
      <c r="E1288" s="11" t="str">
        <f ca="1">IFERROR(__xludf.DUMMYFUNCTION("FILTER(Colegios!$B$2:$B2419,Colegios!$A$2:$A2419=L1288)"),"JORGE CHAVEZ")</f>
        <v>JORGE CHAVEZ</v>
      </c>
      <c r="F1288" s="11" t="s">
        <v>17</v>
      </c>
      <c r="G1288" s="10" t="s">
        <v>24</v>
      </c>
      <c r="H1288" s="11" t="s">
        <v>25</v>
      </c>
      <c r="I1288" s="11">
        <v>2022</v>
      </c>
      <c r="J1288" s="12" t="str">
        <f ca="1">IFERROR(__xludf.DUMMYFUNCTION("FILTER('CLASFICACIÓN'!$F$3:$F2419,'CLASFICACIÓN'!$G$3:$G2419=M1288)"),"SOLO LINEA BASE")</f>
        <v>SOLO LINEA BASE</v>
      </c>
      <c r="K1288" s="12" t="s">
        <v>2012</v>
      </c>
      <c r="L1288" s="11" t="s">
        <v>107</v>
      </c>
      <c r="M1288" s="12" t="str">
        <f t="shared" ca="1" si="5"/>
        <v>JORGE CHAVEZ2 Secundaria</v>
      </c>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4"/>
    </row>
    <row r="1289" spans="1:36" ht="12.5" x14ac:dyDescent="0.25">
      <c r="A1289" s="9">
        <v>3556</v>
      </c>
      <c r="B1289" s="10" t="s">
        <v>54</v>
      </c>
      <c r="C1289" s="10" t="s">
        <v>41</v>
      </c>
      <c r="D1289" s="10" t="s">
        <v>42</v>
      </c>
      <c r="E1289" s="11" t="str">
        <f ca="1">IFERROR(__xludf.DUMMYFUNCTION("FILTER(Colegios!$B$2:$B2419,Colegios!$A$2:$A2419=L1289)"),"JORGE CHAVEZ")</f>
        <v>JORGE CHAVEZ</v>
      </c>
      <c r="F1289" s="11" t="s">
        <v>17</v>
      </c>
      <c r="G1289" s="10" t="s">
        <v>18</v>
      </c>
      <c r="H1289" s="11" t="s">
        <v>25</v>
      </c>
      <c r="I1289" s="11">
        <v>2022</v>
      </c>
      <c r="J1289" s="12" t="str">
        <f ca="1">IFERROR(__xludf.DUMMYFUNCTION("FILTER('CLASFICACIÓN'!$F$3:$F2419,'CLASFICACIÓN'!$G$3:$G2419=M1289)"),"SOLO LINEA BASE")</f>
        <v>SOLO LINEA BASE</v>
      </c>
      <c r="K1289" s="12" t="s">
        <v>2012</v>
      </c>
      <c r="L1289" s="11" t="s">
        <v>107</v>
      </c>
      <c r="M1289" s="12" t="str">
        <f t="shared" ca="1" si="5"/>
        <v>JORGE CHAVEZ2 Secundaria</v>
      </c>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4"/>
    </row>
    <row r="1290" spans="1:36" ht="12.5" x14ac:dyDescent="0.25">
      <c r="A1290" s="9">
        <v>3557</v>
      </c>
      <c r="B1290" s="10" t="s">
        <v>54</v>
      </c>
      <c r="C1290" s="10" t="s">
        <v>41</v>
      </c>
      <c r="D1290" s="10" t="s">
        <v>42</v>
      </c>
      <c r="E1290" s="11" t="str">
        <f ca="1">IFERROR(__xludf.DUMMYFUNCTION("FILTER(Colegios!$B$2:$B2419,Colegios!$A$2:$A2419=L1290)"),"JORGE CHAVEZ")</f>
        <v>JORGE CHAVEZ</v>
      </c>
      <c r="F1290" s="11" t="s">
        <v>17</v>
      </c>
      <c r="G1290" s="10" t="s">
        <v>18</v>
      </c>
      <c r="H1290" s="11" t="s">
        <v>19</v>
      </c>
      <c r="I1290" s="11">
        <v>2022</v>
      </c>
      <c r="J1290" s="12" t="str">
        <f ca="1">IFERROR(__xludf.DUMMYFUNCTION("FILTER('CLASFICACIÓN'!$F$3:$F2419,'CLASFICACIÓN'!$G$3:$G2419=M1290)"),"SOLO LINEA BASE")</f>
        <v>SOLO LINEA BASE</v>
      </c>
      <c r="K1290" s="12" t="s">
        <v>2012</v>
      </c>
      <c r="L1290" s="11" t="s">
        <v>107</v>
      </c>
      <c r="M1290" s="12" t="str">
        <f t="shared" ca="1" si="5"/>
        <v>JORGE CHAVEZ2 Secundaria</v>
      </c>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4"/>
    </row>
    <row r="1291" spans="1:36" ht="12.5" x14ac:dyDescent="0.25">
      <c r="A1291" s="9">
        <v>3558</v>
      </c>
      <c r="B1291" s="10" t="s">
        <v>54</v>
      </c>
      <c r="C1291" s="10" t="s">
        <v>41</v>
      </c>
      <c r="D1291" s="10" t="s">
        <v>42</v>
      </c>
      <c r="E1291" s="11" t="str">
        <f ca="1">IFERROR(__xludf.DUMMYFUNCTION("FILTER(Colegios!$B$2:$B2419,Colegios!$A$2:$A2419=L1291)"),"JORGE CHAVEZ")</f>
        <v>JORGE CHAVEZ</v>
      </c>
      <c r="F1291" s="11" t="s">
        <v>17</v>
      </c>
      <c r="G1291" s="10" t="s">
        <v>18</v>
      </c>
      <c r="H1291" s="11" t="s">
        <v>23</v>
      </c>
      <c r="I1291" s="11">
        <v>2022</v>
      </c>
      <c r="J1291" s="12" t="str">
        <f ca="1">IFERROR(__xludf.DUMMYFUNCTION("FILTER('CLASFICACIÓN'!$F$3:$F2419,'CLASFICACIÓN'!$G$3:$G2419=M1291)"),"SOLO LINEA BASE")</f>
        <v>SOLO LINEA BASE</v>
      </c>
      <c r="K1291" s="12" t="s">
        <v>2012</v>
      </c>
      <c r="L1291" s="11" t="s">
        <v>107</v>
      </c>
      <c r="M1291" s="12" t="str">
        <f t="shared" ca="1" si="5"/>
        <v>JORGE CHAVEZ2 Secundaria</v>
      </c>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4"/>
    </row>
    <row r="1292" spans="1:36" ht="12.5" x14ac:dyDescent="0.25">
      <c r="A1292" s="9">
        <v>3559</v>
      </c>
      <c r="B1292" s="10" t="s">
        <v>54</v>
      </c>
      <c r="C1292" s="10" t="s">
        <v>41</v>
      </c>
      <c r="D1292" s="10" t="s">
        <v>42</v>
      </c>
      <c r="E1292" s="11" t="str">
        <f ca="1">IFERROR(__xludf.DUMMYFUNCTION("FILTER(Colegios!$B$2:$B2419,Colegios!$A$2:$A2419=L1292)"),"JORGE CHAVEZ")</f>
        <v>JORGE CHAVEZ</v>
      </c>
      <c r="F1292" s="11" t="s">
        <v>17</v>
      </c>
      <c r="G1292" s="10" t="s">
        <v>18</v>
      </c>
      <c r="H1292" s="11" t="s">
        <v>19</v>
      </c>
      <c r="I1292" s="11">
        <v>2022</v>
      </c>
      <c r="J1292" s="12" t="str">
        <f ca="1">IFERROR(__xludf.DUMMYFUNCTION("FILTER('CLASFICACIÓN'!$F$3:$F2419,'CLASFICACIÓN'!$G$3:$G2419=M1292)"),"SOLO LINEA BASE")</f>
        <v>SOLO LINEA BASE</v>
      </c>
      <c r="K1292" s="12" t="s">
        <v>2012</v>
      </c>
      <c r="L1292" s="11" t="s">
        <v>107</v>
      </c>
      <c r="M1292" s="12" t="str">
        <f t="shared" ca="1" si="5"/>
        <v>JORGE CHAVEZ2 Secundaria</v>
      </c>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4"/>
    </row>
    <row r="1293" spans="1:36" ht="12.5" x14ac:dyDescent="0.25">
      <c r="A1293" s="9">
        <v>3560</v>
      </c>
      <c r="B1293" s="10" t="s">
        <v>54</v>
      </c>
      <c r="C1293" s="10" t="s">
        <v>41</v>
      </c>
      <c r="D1293" s="10" t="s">
        <v>42</v>
      </c>
      <c r="E1293" s="11" t="str">
        <f ca="1">IFERROR(__xludf.DUMMYFUNCTION("FILTER(Colegios!$B$2:$B2419,Colegios!$A$2:$A2419=L1293)"),"JORGE CHAVEZ")</f>
        <v>JORGE CHAVEZ</v>
      </c>
      <c r="F1293" s="11" t="s">
        <v>17</v>
      </c>
      <c r="G1293" s="10" t="s">
        <v>18</v>
      </c>
      <c r="H1293" s="11" t="s">
        <v>25</v>
      </c>
      <c r="I1293" s="11">
        <v>2022</v>
      </c>
      <c r="J1293" s="12" t="str">
        <f ca="1">IFERROR(__xludf.DUMMYFUNCTION("FILTER('CLASFICACIÓN'!$F$3:$F2419,'CLASFICACIÓN'!$G$3:$G2419=M1293)"),"SOLO LINEA BASE")</f>
        <v>SOLO LINEA BASE</v>
      </c>
      <c r="K1293" s="12" t="s">
        <v>2012</v>
      </c>
      <c r="L1293" s="11" t="s">
        <v>107</v>
      </c>
      <c r="M1293" s="12" t="str">
        <f t="shared" ca="1" si="5"/>
        <v>JORGE CHAVEZ2 Secundaria</v>
      </c>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4"/>
    </row>
    <row r="1294" spans="1:36" ht="12.5" x14ac:dyDescent="0.25">
      <c r="A1294" s="9">
        <v>3561</v>
      </c>
      <c r="B1294" s="10" t="s">
        <v>54</v>
      </c>
      <c r="C1294" s="10" t="s">
        <v>41</v>
      </c>
      <c r="D1294" s="10" t="s">
        <v>42</v>
      </c>
      <c r="E1294" s="11" t="str">
        <f ca="1">IFERROR(__xludf.DUMMYFUNCTION("FILTER(Colegios!$B$2:$B2419,Colegios!$A$2:$A2419=L1294)"),"JORGE CHAVEZ")</f>
        <v>JORGE CHAVEZ</v>
      </c>
      <c r="F1294" s="11" t="s">
        <v>17</v>
      </c>
      <c r="G1294" s="10" t="s">
        <v>18</v>
      </c>
      <c r="H1294" s="11" t="s">
        <v>19</v>
      </c>
      <c r="I1294" s="11">
        <v>2022</v>
      </c>
      <c r="J1294" s="12" t="str">
        <f ca="1">IFERROR(__xludf.DUMMYFUNCTION("FILTER('CLASFICACIÓN'!$F$3:$F2419,'CLASFICACIÓN'!$G$3:$G2419=M1294)"),"SOLO LINEA BASE")</f>
        <v>SOLO LINEA BASE</v>
      </c>
      <c r="K1294" s="12" t="s">
        <v>2012</v>
      </c>
      <c r="L1294" s="11" t="s">
        <v>107</v>
      </c>
      <c r="M1294" s="12" t="str">
        <f t="shared" ca="1" si="5"/>
        <v>JORGE CHAVEZ2 Secundaria</v>
      </c>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4"/>
    </row>
    <row r="1295" spans="1:36" ht="12.5" x14ac:dyDescent="0.25">
      <c r="A1295" s="9">
        <v>3562</v>
      </c>
      <c r="B1295" s="10" t="s">
        <v>54</v>
      </c>
      <c r="C1295" s="10" t="s">
        <v>41</v>
      </c>
      <c r="D1295" s="10" t="s">
        <v>42</v>
      </c>
      <c r="E1295" s="11" t="str">
        <f ca="1">IFERROR(__xludf.DUMMYFUNCTION("FILTER(Colegios!$B$2:$B2419,Colegios!$A$2:$A2419=L1295)"),"JORGE CHAVEZ")</f>
        <v>JORGE CHAVEZ</v>
      </c>
      <c r="F1295" s="11" t="s">
        <v>17</v>
      </c>
      <c r="G1295" s="10" t="s">
        <v>24</v>
      </c>
      <c r="H1295" s="11" t="s">
        <v>25</v>
      </c>
      <c r="I1295" s="11">
        <v>2022</v>
      </c>
      <c r="J1295" s="12" t="str">
        <f ca="1">IFERROR(__xludf.DUMMYFUNCTION("FILTER('CLASFICACIÓN'!$F$3:$F2419,'CLASFICACIÓN'!$G$3:$G2419=M1295)"),"SOLO LINEA BASE")</f>
        <v>SOLO LINEA BASE</v>
      </c>
      <c r="K1295" s="12" t="s">
        <v>2012</v>
      </c>
      <c r="L1295" s="11" t="s">
        <v>107</v>
      </c>
      <c r="M1295" s="12" t="str">
        <f t="shared" ca="1" si="5"/>
        <v>JORGE CHAVEZ2 Secundaria</v>
      </c>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4"/>
    </row>
    <row r="1296" spans="1:36" ht="12.5" x14ac:dyDescent="0.25">
      <c r="A1296" s="9">
        <v>3563</v>
      </c>
      <c r="B1296" s="10" t="s">
        <v>54</v>
      </c>
      <c r="C1296" s="10" t="s">
        <v>41</v>
      </c>
      <c r="D1296" s="10" t="s">
        <v>42</v>
      </c>
      <c r="E1296" s="11" t="str">
        <f ca="1">IFERROR(__xludf.DUMMYFUNCTION("FILTER(Colegios!$B$2:$B2419,Colegios!$A$2:$A2419=L1296)"),"JORGE CHAVEZ")</f>
        <v>JORGE CHAVEZ</v>
      </c>
      <c r="F1296" s="11" t="s">
        <v>17</v>
      </c>
      <c r="G1296" s="10" t="s">
        <v>24</v>
      </c>
      <c r="H1296" s="11" t="s">
        <v>19</v>
      </c>
      <c r="I1296" s="11">
        <v>2022</v>
      </c>
      <c r="J1296" s="12" t="str">
        <f ca="1">IFERROR(__xludf.DUMMYFUNCTION("FILTER('CLASFICACIÓN'!$F$3:$F2419,'CLASFICACIÓN'!$G$3:$G2419=M1296)"),"SOLO LINEA BASE")</f>
        <v>SOLO LINEA BASE</v>
      </c>
      <c r="K1296" s="12" t="s">
        <v>2012</v>
      </c>
      <c r="L1296" s="11" t="s">
        <v>107</v>
      </c>
      <c r="M1296" s="12" t="str">
        <f t="shared" ca="1" si="5"/>
        <v>JORGE CHAVEZ2 Secundaria</v>
      </c>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4"/>
    </row>
    <row r="1297" spans="1:36" ht="12.5" x14ac:dyDescent="0.25">
      <c r="A1297" s="9">
        <v>3564</v>
      </c>
      <c r="B1297" s="10" t="s">
        <v>54</v>
      </c>
      <c r="C1297" s="10" t="s">
        <v>41</v>
      </c>
      <c r="D1297" s="10" t="s">
        <v>42</v>
      </c>
      <c r="E1297" s="11" t="str">
        <f ca="1">IFERROR(__xludf.DUMMYFUNCTION("FILTER(Colegios!$B$2:$B2419,Colegios!$A$2:$A2419=L1297)"),"JORGE CHAVEZ")</f>
        <v>JORGE CHAVEZ</v>
      </c>
      <c r="F1297" s="11" t="s">
        <v>17</v>
      </c>
      <c r="G1297" s="10" t="s">
        <v>24</v>
      </c>
      <c r="H1297" s="11" t="s">
        <v>19</v>
      </c>
      <c r="I1297" s="11">
        <v>2022</v>
      </c>
      <c r="J1297" s="12" t="str">
        <f ca="1">IFERROR(__xludf.DUMMYFUNCTION("FILTER('CLASFICACIÓN'!$F$3:$F2419,'CLASFICACIÓN'!$G$3:$G2419=M1297)"),"SOLO LINEA BASE")</f>
        <v>SOLO LINEA BASE</v>
      </c>
      <c r="K1297" s="12" t="s">
        <v>2012</v>
      </c>
      <c r="L1297" s="11" t="s">
        <v>107</v>
      </c>
      <c r="M1297" s="12" t="str">
        <f t="shared" ca="1" si="5"/>
        <v>JORGE CHAVEZ2 Secundaria</v>
      </c>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4"/>
    </row>
    <row r="1298" spans="1:36" ht="12.5" x14ac:dyDescent="0.25">
      <c r="A1298" s="9">
        <v>3565</v>
      </c>
      <c r="B1298" s="10" t="s">
        <v>54</v>
      </c>
      <c r="C1298" s="10" t="s">
        <v>41</v>
      </c>
      <c r="D1298" s="10" t="s">
        <v>42</v>
      </c>
      <c r="E1298" s="11" t="str">
        <f ca="1">IFERROR(__xludf.DUMMYFUNCTION("FILTER(Colegios!$B$2:$B2419,Colegios!$A$2:$A2419=L1298)"),"JORGE CHAVEZ")</f>
        <v>JORGE CHAVEZ</v>
      </c>
      <c r="F1298" s="11" t="s">
        <v>17</v>
      </c>
      <c r="G1298" s="10" t="s">
        <v>24</v>
      </c>
      <c r="H1298" s="11" t="s">
        <v>25</v>
      </c>
      <c r="I1298" s="11">
        <v>2022</v>
      </c>
      <c r="J1298" s="12" t="str">
        <f ca="1">IFERROR(__xludf.DUMMYFUNCTION("FILTER('CLASFICACIÓN'!$F$3:$F2419,'CLASFICACIÓN'!$G$3:$G2419=M1298)"),"SOLO LINEA BASE")</f>
        <v>SOLO LINEA BASE</v>
      </c>
      <c r="K1298" s="12" t="s">
        <v>2012</v>
      </c>
      <c r="L1298" s="11" t="s">
        <v>107</v>
      </c>
      <c r="M1298" s="12" t="str">
        <f t="shared" ca="1" si="5"/>
        <v>JORGE CHAVEZ2 Secundaria</v>
      </c>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4"/>
    </row>
    <row r="1299" spans="1:36" ht="12.5" x14ac:dyDescent="0.25">
      <c r="A1299" s="9">
        <v>3566</v>
      </c>
      <c r="B1299" s="10" t="s">
        <v>54</v>
      </c>
      <c r="C1299" s="10" t="s">
        <v>41</v>
      </c>
      <c r="D1299" s="10" t="s">
        <v>42</v>
      </c>
      <c r="E1299" s="11" t="str">
        <f ca="1">IFERROR(__xludf.DUMMYFUNCTION("FILTER(Colegios!$B$2:$B2419,Colegios!$A$2:$A2419=L1299)"),"JOSE CARLOS MARIATEGUI")</f>
        <v>JOSE CARLOS MARIATEGUI</v>
      </c>
      <c r="F1299" s="11" t="s">
        <v>17</v>
      </c>
      <c r="G1299" s="10" t="s">
        <v>24</v>
      </c>
      <c r="H1299" s="11" t="s">
        <v>19</v>
      </c>
      <c r="I1299" s="11">
        <v>2022</v>
      </c>
      <c r="J1299" s="12" t="str">
        <f ca="1">IFERROR(__xludf.DUMMYFUNCTION("FILTER('CLASFICACIÓN'!$F$3:$F2419,'CLASFICACIÓN'!$G$3:$G2419=M1299)"),"SOLO LINEA BASE")</f>
        <v>SOLO LINEA BASE</v>
      </c>
      <c r="K1299" s="12" t="s">
        <v>2013</v>
      </c>
      <c r="L1299" s="11" t="s">
        <v>108</v>
      </c>
      <c r="M1299" s="12" t="str">
        <f t="shared" ca="1" si="5"/>
        <v>JOSE CARLOS MARIATEGUI2 Secundaria</v>
      </c>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4"/>
    </row>
    <row r="1300" spans="1:36" ht="12.5" x14ac:dyDescent="0.25">
      <c r="A1300" s="9">
        <v>3567</v>
      </c>
      <c r="B1300" s="10" t="s">
        <v>54</v>
      </c>
      <c r="C1300" s="10" t="s">
        <v>41</v>
      </c>
      <c r="D1300" s="10" t="s">
        <v>42</v>
      </c>
      <c r="E1300" s="11" t="str">
        <f ca="1">IFERROR(__xludf.DUMMYFUNCTION("FILTER(Colegios!$B$2:$B2419,Colegios!$A$2:$A2419=L1300)"),"RAMON CASTILLA MARQUEZADO")</f>
        <v>RAMON CASTILLA MARQUEZADO</v>
      </c>
      <c r="F1300" s="11" t="s">
        <v>17</v>
      </c>
      <c r="G1300" s="10" t="s">
        <v>18</v>
      </c>
      <c r="H1300" s="11" t="s">
        <v>23</v>
      </c>
      <c r="I1300" s="11">
        <v>2022</v>
      </c>
      <c r="J1300" s="12" t="str">
        <f ca="1">IFERROR(__xludf.DUMMYFUNCTION("FILTER('CLASFICACIÓN'!$F$3:$F2419,'CLASFICACIÓN'!$G$3:$G2419=M1300)"),"SOLO LINEA BASE")</f>
        <v>SOLO LINEA BASE</v>
      </c>
      <c r="K1300" s="12" t="s">
        <v>2013</v>
      </c>
      <c r="L1300" s="11" t="s">
        <v>109</v>
      </c>
      <c r="M1300" s="12" t="str">
        <f t="shared" ca="1" si="5"/>
        <v>RAMON CASTILLA MARQUEZADO2 Secundaria</v>
      </c>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4"/>
    </row>
    <row r="1301" spans="1:36" ht="12.5" x14ac:dyDescent="0.25">
      <c r="A1301" s="9">
        <v>3568</v>
      </c>
      <c r="B1301" s="10" t="s">
        <v>54</v>
      </c>
      <c r="C1301" s="10" t="s">
        <v>41</v>
      </c>
      <c r="D1301" s="10" t="s">
        <v>42</v>
      </c>
      <c r="E1301" s="11" t="str">
        <f ca="1">IFERROR(__xludf.DUMMYFUNCTION("FILTER(Colegios!$B$2:$B2419,Colegios!$A$2:$A2419=L1301)"),"RAMON CASTILLA MARQUEZADO")</f>
        <v>RAMON CASTILLA MARQUEZADO</v>
      </c>
      <c r="F1301" s="11" t="s">
        <v>17</v>
      </c>
      <c r="G1301" s="10" t="s">
        <v>18</v>
      </c>
      <c r="H1301" s="11" t="s">
        <v>25</v>
      </c>
      <c r="I1301" s="11">
        <v>2022</v>
      </c>
      <c r="J1301" s="12" t="str">
        <f ca="1">IFERROR(__xludf.DUMMYFUNCTION("FILTER('CLASFICACIÓN'!$F$3:$F2419,'CLASFICACIÓN'!$G$3:$G2419=M1301)"),"SOLO LINEA BASE")</f>
        <v>SOLO LINEA BASE</v>
      </c>
      <c r="K1301" s="12" t="s">
        <v>2013</v>
      </c>
      <c r="L1301" s="11" t="s">
        <v>109</v>
      </c>
      <c r="M1301" s="12" t="str">
        <f t="shared" ca="1" si="5"/>
        <v>RAMON CASTILLA MARQUEZADO2 Secundaria</v>
      </c>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4"/>
    </row>
    <row r="1302" spans="1:36" ht="12.5" x14ac:dyDescent="0.25">
      <c r="A1302" s="9">
        <v>3569</v>
      </c>
      <c r="B1302" s="10" t="s">
        <v>54</v>
      </c>
      <c r="C1302" s="10" t="s">
        <v>41</v>
      </c>
      <c r="D1302" s="10" t="s">
        <v>42</v>
      </c>
      <c r="E1302" s="11" t="str">
        <f ca="1">IFERROR(__xludf.DUMMYFUNCTION("FILTER(Colegios!$B$2:$B2419,Colegios!$A$2:$A2419=L1302)"),"RAMON CASTILLA MARQUEZADO")</f>
        <v>RAMON CASTILLA MARQUEZADO</v>
      </c>
      <c r="F1302" s="11" t="s">
        <v>17</v>
      </c>
      <c r="G1302" s="10" t="s">
        <v>18</v>
      </c>
      <c r="H1302" s="11" t="s">
        <v>19</v>
      </c>
      <c r="I1302" s="11">
        <v>2022</v>
      </c>
      <c r="J1302" s="12" t="str">
        <f ca="1">IFERROR(__xludf.DUMMYFUNCTION("FILTER('CLASFICACIÓN'!$F$3:$F2419,'CLASFICACIÓN'!$G$3:$G2419=M1302)"),"SOLO LINEA BASE")</f>
        <v>SOLO LINEA BASE</v>
      </c>
      <c r="K1302" s="12" t="s">
        <v>2013</v>
      </c>
      <c r="L1302" s="11" t="s">
        <v>109</v>
      </c>
      <c r="M1302" s="12" t="str">
        <f t="shared" ca="1" si="5"/>
        <v>RAMON CASTILLA MARQUEZADO2 Secundaria</v>
      </c>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4"/>
    </row>
    <row r="1303" spans="1:36" ht="12.5" x14ac:dyDescent="0.25">
      <c r="A1303" s="9">
        <v>3570</v>
      </c>
      <c r="B1303" s="10" t="s">
        <v>54</v>
      </c>
      <c r="C1303" s="10" t="s">
        <v>41</v>
      </c>
      <c r="D1303" s="10" t="s">
        <v>42</v>
      </c>
      <c r="E1303" s="11" t="str">
        <f ca="1">IFERROR(__xludf.DUMMYFUNCTION("FILTER(Colegios!$B$2:$B2419,Colegios!$A$2:$A2419=L1303)"),"RAMON CASTILLA MARQUEZADO")</f>
        <v>RAMON CASTILLA MARQUEZADO</v>
      </c>
      <c r="F1303" s="11" t="s">
        <v>17</v>
      </c>
      <c r="G1303" s="10" t="s">
        <v>24</v>
      </c>
      <c r="H1303" s="11" t="s">
        <v>25</v>
      </c>
      <c r="I1303" s="11">
        <v>2022</v>
      </c>
      <c r="J1303" s="12" t="str">
        <f ca="1">IFERROR(__xludf.DUMMYFUNCTION("FILTER('CLASFICACIÓN'!$F$3:$F2419,'CLASFICACIÓN'!$G$3:$G2419=M1303)"),"SOLO LINEA BASE")</f>
        <v>SOLO LINEA BASE</v>
      </c>
      <c r="K1303" s="12" t="s">
        <v>2013</v>
      </c>
      <c r="L1303" s="11" t="s">
        <v>109</v>
      </c>
      <c r="M1303" s="12" t="str">
        <f t="shared" ca="1" si="5"/>
        <v>RAMON CASTILLA MARQUEZADO2 Secundaria</v>
      </c>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4"/>
    </row>
    <row r="1304" spans="1:36" ht="12.5" x14ac:dyDescent="0.25">
      <c r="A1304" s="9">
        <v>3571</v>
      </c>
      <c r="B1304" s="10" t="s">
        <v>54</v>
      </c>
      <c r="C1304" s="10" t="s">
        <v>41</v>
      </c>
      <c r="D1304" s="10" t="s">
        <v>42</v>
      </c>
      <c r="E1304" s="11" t="str">
        <f ca="1">IFERROR(__xludf.DUMMYFUNCTION("FILTER(Colegios!$B$2:$B2419,Colegios!$A$2:$A2419=L1304)"),"RAMON CASTILLA MARQUEZADO")</f>
        <v>RAMON CASTILLA MARQUEZADO</v>
      </c>
      <c r="F1304" s="11" t="s">
        <v>17</v>
      </c>
      <c r="G1304" s="10" t="s">
        <v>24</v>
      </c>
      <c r="H1304" s="11" t="s">
        <v>25</v>
      </c>
      <c r="I1304" s="11">
        <v>2022</v>
      </c>
      <c r="J1304" s="12" t="str">
        <f ca="1">IFERROR(__xludf.DUMMYFUNCTION("FILTER('CLASFICACIÓN'!$F$3:$F2419,'CLASFICACIÓN'!$G$3:$G2419=M1304)"),"SOLO LINEA BASE")</f>
        <v>SOLO LINEA BASE</v>
      </c>
      <c r="K1304" s="12" t="s">
        <v>2013</v>
      </c>
      <c r="L1304" s="11" t="s">
        <v>109</v>
      </c>
      <c r="M1304" s="12" t="str">
        <f t="shared" ca="1" si="5"/>
        <v>RAMON CASTILLA MARQUEZADO2 Secundaria</v>
      </c>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4"/>
    </row>
    <row r="1305" spans="1:36" ht="12.5" x14ac:dyDescent="0.25">
      <c r="A1305" s="9">
        <v>3572</v>
      </c>
      <c r="B1305" s="10" t="s">
        <v>54</v>
      </c>
      <c r="C1305" s="10" t="s">
        <v>41</v>
      </c>
      <c r="D1305" s="10" t="s">
        <v>42</v>
      </c>
      <c r="E1305" s="11" t="str">
        <f ca="1">IFERROR(__xludf.DUMMYFUNCTION("FILTER(Colegios!$B$2:$B2419,Colegios!$A$2:$A2419=L1305)"),"RAMON CASTILLA MARQUEZADO")</f>
        <v>RAMON CASTILLA MARQUEZADO</v>
      </c>
      <c r="F1305" s="11" t="s">
        <v>17</v>
      </c>
      <c r="G1305" s="10" t="s">
        <v>24</v>
      </c>
      <c r="H1305" s="11" t="s">
        <v>19</v>
      </c>
      <c r="I1305" s="11">
        <v>2022</v>
      </c>
      <c r="J1305" s="12" t="str">
        <f ca="1">IFERROR(__xludf.DUMMYFUNCTION("FILTER('CLASFICACIÓN'!$F$3:$F2419,'CLASFICACIÓN'!$G$3:$G2419=M1305)"),"SOLO LINEA BASE")</f>
        <v>SOLO LINEA BASE</v>
      </c>
      <c r="K1305" s="12" t="s">
        <v>2013</v>
      </c>
      <c r="L1305" s="11" t="s">
        <v>109</v>
      </c>
      <c r="M1305" s="12" t="str">
        <f t="shared" ca="1" si="5"/>
        <v>RAMON CASTILLA MARQUEZADO2 Secundaria</v>
      </c>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4"/>
    </row>
    <row r="1306" spans="1:36" ht="12.5" x14ac:dyDescent="0.25">
      <c r="A1306" s="9">
        <v>3573</v>
      </c>
      <c r="B1306" s="10" t="s">
        <v>54</v>
      </c>
      <c r="C1306" s="10" t="s">
        <v>41</v>
      </c>
      <c r="D1306" s="10" t="s">
        <v>42</v>
      </c>
      <c r="E1306" s="11" t="str">
        <f ca="1">IFERROR(__xludf.DUMMYFUNCTION("FILTER(Colegios!$B$2:$B2419,Colegios!$A$2:$A2419=L1306)"),"RAMON CASTILLA MARQUEZADO")</f>
        <v>RAMON CASTILLA MARQUEZADO</v>
      </c>
      <c r="F1306" s="11" t="s">
        <v>17</v>
      </c>
      <c r="G1306" s="10" t="s">
        <v>24</v>
      </c>
      <c r="H1306" s="11" t="s">
        <v>23</v>
      </c>
      <c r="I1306" s="11">
        <v>2022</v>
      </c>
      <c r="J1306" s="12" t="str">
        <f ca="1">IFERROR(__xludf.DUMMYFUNCTION("FILTER('CLASFICACIÓN'!$F$3:$F2419,'CLASFICACIÓN'!$G$3:$G2419=M1306)"),"SOLO LINEA BASE")</f>
        <v>SOLO LINEA BASE</v>
      </c>
      <c r="K1306" s="12" t="s">
        <v>2013</v>
      </c>
      <c r="L1306" s="11" t="s">
        <v>109</v>
      </c>
      <c r="M1306" s="12" t="str">
        <f t="shared" ca="1" si="5"/>
        <v>RAMON CASTILLA MARQUEZADO2 Secundaria</v>
      </c>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4"/>
    </row>
    <row r="1307" spans="1:36" ht="12.5" x14ac:dyDescent="0.25">
      <c r="A1307" s="9">
        <v>3574</v>
      </c>
      <c r="B1307" s="10" t="s">
        <v>54</v>
      </c>
      <c r="C1307" s="10" t="s">
        <v>41</v>
      </c>
      <c r="D1307" s="10" t="s">
        <v>42</v>
      </c>
      <c r="E1307" s="11" t="str">
        <f ca="1">IFERROR(__xludf.DUMMYFUNCTION("FILTER(Colegios!$B$2:$B2419,Colegios!$A$2:$A2419=L1307)"),"RAMON CASTILLA MARQUEZADO")</f>
        <v>RAMON CASTILLA MARQUEZADO</v>
      </c>
      <c r="F1307" s="11" t="s">
        <v>17</v>
      </c>
      <c r="G1307" s="10" t="s">
        <v>24</v>
      </c>
      <c r="H1307" s="11" t="s">
        <v>19</v>
      </c>
      <c r="I1307" s="11">
        <v>2022</v>
      </c>
      <c r="J1307" s="12" t="str">
        <f ca="1">IFERROR(__xludf.DUMMYFUNCTION("FILTER('CLASFICACIÓN'!$F$3:$F2419,'CLASFICACIÓN'!$G$3:$G2419=M1307)"),"SOLO LINEA BASE")</f>
        <v>SOLO LINEA BASE</v>
      </c>
      <c r="K1307" s="12" t="s">
        <v>2013</v>
      </c>
      <c r="L1307" s="11" t="s">
        <v>109</v>
      </c>
      <c r="M1307" s="12" t="str">
        <f t="shared" ca="1" si="5"/>
        <v>RAMON CASTILLA MARQUEZADO2 Secundaria</v>
      </c>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4"/>
    </row>
    <row r="1308" spans="1:36" ht="12.5" x14ac:dyDescent="0.25">
      <c r="A1308" s="9">
        <v>3575</v>
      </c>
      <c r="B1308" s="10" t="s">
        <v>54</v>
      </c>
      <c r="C1308" s="10" t="s">
        <v>41</v>
      </c>
      <c r="D1308" s="10" t="s">
        <v>42</v>
      </c>
      <c r="E1308" s="11" t="str">
        <f ca="1">IFERROR(__xludf.DUMMYFUNCTION("FILTER(Colegios!$B$2:$B2419,Colegios!$A$2:$A2419=L1308)"),"RAMON CASTILLA MARQUEZADO")</f>
        <v>RAMON CASTILLA MARQUEZADO</v>
      </c>
      <c r="F1308" s="11" t="s">
        <v>17</v>
      </c>
      <c r="G1308" s="10" t="s">
        <v>24</v>
      </c>
      <c r="H1308" s="11" t="s">
        <v>19</v>
      </c>
      <c r="I1308" s="11">
        <v>2022</v>
      </c>
      <c r="J1308" s="12" t="str">
        <f ca="1">IFERROR(__xludf.DUMMYFUNCTION("FILTER('CLASFICACIÓN'!$F$3:$F2419,'CLASFICACIÓN'!$G$3:$G2419=M1308)"),"SOLO LINEA BASE")</f>
        <v>SOLO LINEA BASE</v>
      </c>
      <c r="K1308" s="12" t="s">
        <v>2013</v>
      </c>
      <c r="L1308" s="11" t="s">
        <v>109</v>
      </c>
      <c r="M1308" s="12" t="str">
        <f t="shared" ca="1" si="5"/>
        <v>RAMON CASTILLA MARQUEZADO2 Secundaria</v>
      </c>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4"/>
    </row>
    <row r="1309" spans="1:36" ht="12.5" x14ac:dyDescent="0.25">
      <c r="A1309" s="9">
        <v>3576</v>
      </c>
      <c r="B1309" s="10" t="s">
        <v>54</v>
      </c>
      <c r="C1309" s="10" t="s">
        <v>41</v>
      </c>
      <c r="D1309" s="10" t="s">
        <v>42</v>
      </c>
      <c r="E1309" s="11" t="str">
        <f ca="1">IFERROR(__xludf.DUMMYFUNCTION("FILTER(Colegios!$B$2:$B2419,Colegios!$A$2:$A2419=L1309)"),"RAMON CASTILLA MARQUEZADO")</f>
        <v>RAMON CASTILLA MARQUEZADO</v>
      </c>
      <c r="F1309" s="11" t="s">
        <v>17</v>
      </c>
      <c r="G1309" s="10" t="s">
        <v>24</v>
      </c>
      <c r="H1309" s="11" t="s">
        <v>23</v>
      </c>
      <c r="I1309" s="11">
        <v>2022</v>
      </c>
      <c r="J1309" s="12" t="str">
        <f ca="1">IFERROR(__xludf.DUMMYFUNCTION("FILTER('CLASFICACIÓN'!$F$3:$F2419,'CLASFICACIÓN'!$G$3:$G2419=M1309)"),"SOLO LINEA BASE")</f>
        <v>SOLO LINEA BASE</v>
      </c>
      <c r="K1309" s="12" t="s">
        <v>2013</v>
      </c>
      <c r="L1309" s="11" t="s">
        <v>109</v>
      </c>
      <c r="M1309" s="12" t="str">
        <f t="shared" ca="1" si="5"/>
        <v>RAMON CASTILLA MARQUEZADO2 Secundaria</v>
      </c>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4"/>
    </row>
    <row r="1310" spans="1:36" ht="12.5" x14ac:dyDescent="0.25">
      <c r="A1310" s="9">
        <v>3577</v>
      </c>
      <c r="B1310" s="10" t="s">
        <v>54</v>
      </c>
      <c r="C1310" s="10" t="s">
        <v>41</v>
      </c>
      <c r="D1310" s="10" t="s">
        <v>42</v>
      </c>
      <c r="E1310" s="11" t="str">
        <f ca="1">IFERROR(__xludf.DUMMYFUNCTION("FILTER(Colegios!$B$2:$B2419,Colegios!$A$2:$A2419=L1310)"),"RAMON CASTILLA MARQUEZADO")</f>
        <v>RAMON CASTILLA MARQUEZADO</v>
      </c>
      <c r="F1310" s="11" t="s">
        <v>17</v>
      </c>
      <c r="G1310" s="10" t="s">
        <v>18</v>
      </c>
      <c r="H1310" s="11" t="s">
        <v>25</v>
      </c>
      <c r="I1310" s="11">
        <v>2022</v>
      </c>
      <c r="J1310" s="12" t="str">
        <f ca="1">IFERROR(__xludf.DUMMYFUNCTION("FILTER('CLASFICACIÓN'!$F$3:$F2419,'CLASFICACIÓN'!$G$3:$G2419=M1310)"),"SOLO LINEA BASE")</f>
        <v>SOLO LINEA BASE</v>
      </c>
      <c r="K1310" s="12" t="s">
        <v>2013</v>
      </c>
      <c r="L1310" s="11" t="s">
        <v>109</v>
      </c>
      <c r="M1310" s="12" t="str">
        <f t="shared" ca="1" si="5"/>
        <v>RAMON CASTILLA MARQUEZADO2 Secundaria</v>
      </c>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4"/>
    </row>
    <row r="1311" spans="1:36" ht="12.5" x14ac:dyDescent="0.25">
      <c r="A1311" s="9">
        <v>3578</v>
      </c>
      <c r="B1311" s="10" t="s">
        <v>54</v>
      </c>
      <c r="C1311" s="10" t="s">
        <v>41</v>
      </c>
      <c r="D1311" s="10" t="s">
        <v>42</v>
      </c>
      <c r="E1311" s="11" t="str">
        <f ca="1">IFERROR(__xludf.DUMMYFUNCTION("FILTER(Colegios!$B$2:$B2419,Colegios!$A$2:$A2419=L1311)"),"RAMON CASTILLA MARQUEZADO")</f>
        <v>RAMON CASTILLA MARQUEZADO</v>
      </c>
      <c r="F1311" s="11" t="s">
        <v>17</v>
      </c>
      <c r="G1311" s="10" t="s">
        <v>18</v>
      </c>
      <c r="H1311" s="11" t="s">
        <v>25</v>
      </c>
      <c r="I1311" s="11">
        <v>2022</v>
      </c>
      <c r="J1311" s="12" t="str">
        <f ca="1">IFERROR(__xludf.DUMMYFUNCTION("FILTER('CLASFICACIÓN'!$F$3:$F2419,'CLASFICACIÓN'!$G$3:$G2419=M1311)"),"SOLO LINEA BASE")</f>
        <v>SOLO LINEA BASE</v>
      </c>
      <c r="K1311" s="12" t="s">
        <v>2013</v>
      </c>
      <c r="L1311" s="11" t="s">
        <v>109</v>
      </c>
      <c r="M1311" s="12" t="str">
        <f t="shared" ca="1" si="5"/>
        <v>RAMON CASTILLA MARQUEZADO2 Secundaria</v>
      </c>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4"/>
    </row>
    <row r="1312" spans="1:36" ht="12.5" x14ac:dyDescent="0.25">
      <c r="A1312" s="9">
        <v>3579</v>
      </c>
      <c r="B1312" s="10" t="s">
        <v>54</v>
      </c>
      <c r="C1312" s="10" t="s">
        <v>41</v>
      </c>
      <c r="D1312" s="10" t="s">
        <v>42</v>
      </c>
      <c r="E1312" s="11" t="str">
        <f ca="1">IFERROR(__xludf.DUMMYFUNCTION("FILTER(Colegios!$B$2:$B2419,Colegios!$A$2:$A2419=L1312)"),"RAMON CASTILLA MARQUEZADO")</f>
        <v>RAMON CASTILLA MARQUEZADO</v>
      </c>
      <c r="F1312" s="11" t="s">
        <v>17</v>
      </c>
      <c r="G1312" s="10" t="s">
        <v>18</v>
      </c>
      <c r="H1312" s="11" t="s">
        <v>23</v>
      </c>
      <c r="I1312" s="11">
        <v>2022</v>
      </c>
      <c r="J1312" s="12" t="str">
        <f ca="1">IFERROR(__xludf.DUMMYFUNCTION("FILTER('CLASFICACIÓN'!$F$3:$F2419,'CLASFICACIÓN'!$G$3:$G2419=M1312)"),"SOLO LINEA BASE")</f>
        <v>SOLO LINEA BASE</v>
      </c>
      <c r="K1312" s="12" t="s">
        <v>2013</v>
      </c>
      <c r="L1312" s="11" t="s">
        <v>109</v>
      </c>
      <c r="M1312" s="12" t="str">
        <f t="shared" ca="1" si="5"/>
        <v>RAMON CASTILLA MARQUEZADO2 Secundaria</v>
      </c>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4"/>
    </row>
    <row r="1313" spans="1:36" ht="12.5" x14ac:dyDescent="0.25">
      <c r="A1313" s="9">
        <v>3580</v>
      </c>
      <c r="B1313" s="10" t="s">
        <v>54</v>
      </c>
      <c r="C1313" s="10" t="s">
        <v>41</v>
      </c>
      <c r="D1313" s="10" t="s">
        <v>42</v>
      </c>
      <c r="E1313" s="11" t="str">
        <f ca="1">IFERROR(__xludf.DUMMYFUNCTION("FILTER(Colegios!$B$2:$B2419,Colegios!$A$2:$A2419=L1313)"),"RAMON CASTILLA MARQUEZADO")</f>
        <v>RAMON CASTILLA MARQUEZADO</v>
      </c>
      <c r="F1313" s="11" t="s">
        <v>17</v>
      </c>
      <c r="G1313" s="10" t="s">
        <v>18</v>
      </c>
      <c r="H1313" s="11" t="s">
        <v>19</v>
      </c>
      <c r="I1313" s="11">
        <v>2022</v>
      </c>
      <c r="J1313" s="12" t="str">
        <f ca="1">IFERROR(__xludf.DUMMYFUNCTION("FILTER('CLASFICACIÓN'!$F$3:$F2419,'CLASFICACIÓN'!$G$3:$G2419=M1313)"),"SOLO LINEA BASE")</f>
        <v>SOLO LINEA BASE</v>
      </c>
      <c r="K1313" s="12" t="s">
        <v>2013</v>
      </c>
      <c r="L1313" s="11" t="s">
        <v>109</v>
      </c>
      <c r="M1313" s="12" t="str">
        <f t="shared" ca="1" si="5"/>
        <v>RAMON CASTILLA MARQUEZADO2 Secundaria</v>
      </c>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4"/>
    </row>
    <row r="1314" spans="1:36" ht="12.5" x14ac:dyDescent="0.25">
      <c r="A1314" s="9">
        <v>3581</v>
      </c>
      <c r="B1314" s="10" t="s">
        <v>54</v>
      </c>
      <c r="C1314" s="10" t="s">
        <v>41</v>
      </c>
      <c r="D1314" s="10" t="s">
        <v>42</v>
      </c>
      <c r="E1314" s="11" t="str">
        <f ca="1">IFERROR(__xludf.DUMMYFUNCTION("FILTER(Colegios!$B$2:$B2419,Colegios!$A$2:$A2419=L1314)"),"RAMON CASTILLA MARQUEZADO")</f>
        <v>RAMON CASTILLA MARQUEZADO</v>
      </c>
      <c r="F1314" s="11" t="s">
        <v>17</v>
      </c>
      <c r="G1314" s="10" t="s">
        <v>24</v>
      </c>
      <c r="H1314" s="11" t="s">
        <v>19</v>
      </c>
      <c r="I1314" s="11">
        <v>2022</v>
      </c>
      <c r="J1314" s="12" t="str">
        <f ca="1">IFERROR(__xludf.DUMMYFUNCTION("FILTER('CLASFICACIÓN'!$F$3:$F2419,'CLASFICACIÓN'!$G$3:$G2419=M1314)"),"SOLO LINEA BASE")</f>
        <v>SOLO LINEA BASE</v>
      </c>
      <c r="K1314" s="12" t="s">
        <v>2013</v>
      </c>
      <c r="L1314" s="11" t="s">
        <v>109</v>
      </c>
      <c r="M1314" s="12" t="str">
        <f t="shared" ca="1" si="5"/>
        <v>RAMON CASTILLA MARQUEZADO2 Secundaria</v>
      </c>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4"/>
    </row>
    <row r="1315" spans="1:36" ht="12.5" x14ac:dyDescent="0.25">
      <c r="A1315" s="9">
        <v>3582</v>
      </c>
      <c r="B1315" s="10" t="s">
        <v>54</v>
      </c>
      <c r="C1315" s="10" t="s">
        <v>41</v>
      </c>
      <c r="D1315" s="10" t="s">
        <v>42</v>
      </c>
      <c r="E1315" s="11" t="str">
        <f ca="1">IFERROR(__xludf.DUMMYFUNCTION("FILTER(Colegios!$B$2:$B2419,Colegios!$A$2:$A2419=L1315)"),"RAMON CASTILLA MARQUEZADO")</f>
        <v>RAMON CASTILLA MARQUEZADO</v>
      </c>
      <c r="F1315" s="11" t="s">
        <v>17</v>
      </c>
      <c r="G1315" s="10" t="s">
        <v>18</v>
      </c>
      <c r="H1315" s="11" t="s">
        <v>25</v>
      </c>
      <c r="I1315" s="11">
        <v>2022</v>
      </c>
      <c r="J1315" s="12" t="str">
        <f ca="1">IFERROR(__xludf.DUMMYFUNCTION("FILTER('CLASFICACIÓN'!$F$3:$F2419,'CLASFICACIÓN'!$G$3:$G2419=M1315)"),"SOLO LINEA BASE")</f>
        <v>SOLO LINEA BASE</v>
      </c>
      <c r="K1315" s="12" t="s">
        <v>2013</v>
      </c>
      <c r="L1315" s="11" t="s">
        <v>109</v>
      </c>
      <c r="M1315" s="12" t="str">
        <f t="shared" ca="1" si="5"/>
        <v>RAMON CASTILLA MARQUEZADO2 Secundaria</v>
      </c>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4"/>
    </row>
    <row r="1316" spans="1:36" ht="12.5" x14ac:dyDescent="0.25">
      <c r="A1316" s="9">
        <v>3583</v>
      </c>
      <c r="B1316" s="10" t="s">
        <v>54</v>
      </c>
      <c r="C1316" s="10" t="s">
        <v>15</v>
      </c>
      <c r="D1316" s="10" t="s">
        <v>16</v>
      </c>
      <c r="E1316" s="11" t="str">
        <f ca="1">IFERROR(__xludf.DUMMYFUNCTION("FILTER(Colegios!$B$2:$B2419,Colegios!$A$2:$A2419=L1316)"),"36207")</f>
        <v>36207</v>
      </c>
      <c r="F1316" s="11" t="s">
        <v>17</v>
      </c>
      <c r="G1316" s="10" t="s">
        <v>24</v>
      </c>
      <c r="H1316" s="11" t="s">
        <v>19</v>
      </c>
      <c r="I1316" s="11">
        <v>2022</v>
      </c>
      <c r="J1316" s="12" t="str">
        <f ca="1">IFERROR(__xludf.DUMMYFUNCTION("FILTER('CLASFICACIÓN'!$F$3:$F2419,'CLASFICACIÓN'!$G$3:$G2419=M1316)"),"SOLO 2022 Y 2024")</f>
        <v>SOLO 2022 Y 2024</v>
      </c>
      <c r="K1316" s="12" t="s">
        <v>2011</v>
      </c>
      <c r="L1316" s="11" t="s">
        <v>57</v>
      </c>
      <c r="M1316" s="12" t="str">
        <f t="shared" ca="1" si="5"/>
        <v>362074 Primaria</v>
      </c>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4"/>
    </row>
    <row r="1317" spans="1:36" ht="12.5" x14ac:dyDescent="0.25">
      <c r="A1317" s="9">
        <v>3584</v>
      </c>
      <c r="B1317" s="10" t="s">
        <v>54</v>
      </c>
      <c r="C1317" s="10" t="s">
        <v>15</v>
      </c>
      <c r="D1317" s="10" t="s">
        <v>16</v>
      </c>
      <c r="E1317" s="11" t="str">
        <f ca="1">IFERROR(__xludf.DUMMYFUNCTION("FILTER(Colegios!$B$2:$B2419,Colegios!$A$2:$A2419=L1317)"),"36207")</f>
        <v>36207</v>
      </c>
      <c r="F1317" s="11" t="s">
        <v>17</v>
      </c>
      <c r="G1317" s="10" t="s">
        <v>24</v>
      </c>
      <c r="H1317" s="11" t="s">
        <v>25</v>
      </c>
      <c r="I1317" s="11">
        <v>2022</v>
      </c>
      <c r="J1317" s="12" t="str">
        <f ca="1">IFERROR(__xludf.DUMMYFUNCTION("FILTER('CLASFICACIÓN'!$F$3:$F2419,'CLASFICACIÓN'!$G$3:$G2419=M1317)"),"SOLO 2022 Y 2024")</f>
        <v>SOLO 2022 Y 2024</v>
      </c>
      <c r="K1317" s="12" t="s">
        <v>2011</v>
      </c>
      <c r="L1317" s="11" t="s">
        <v>57</v>
      </c>
      <c r="M1317" s="12" t="str">
        <f t="shared" ca="1" si="5"/>
        <v>362074 Primaria</v>
      </c>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4"/>
    </row>
    <row r="1318" spans="1:36" ht="12.5" x14ac:dyDescent="0.25">
      <c r="A1318" s="9">
        <v>3585</v>
      </c>
      <c r="B1318" s="10" t="s">
        <v>54</v>
      </c>
      <c r="C1318" s="10" t="s">
        <v>41</v>
      </c>
      <c r="D1318" s="10" t="s">
        <v>43</v>
      </c>
      <c r="E1318" s="11" t="str">
        <f ca="1">IFERROR(__xludf.DUMMYFUNCTION("FILTER(Colegios!$B$2:$B2419,Colegios!$A$2:$A2419=L1318)"),"JORGE CHAVEZ")</f>
        <v>JORGE CHAVEZ</v>
      </c>
      <c r="F1318" s="11" t="s">
        <v>17</v>
      </c>
      <c r="G1318" s="10" t="s">
        <v>24</v>
      </c>
      <c r="H1318" s="11" t="s">
        <v>19</v>
      </c>
      <c r="I1318" s="11">
        <v>2022</v>
      </c>
      <c r="J1318" s="12" t="str">
        <f ca="1">IFERROR(__xludf.DUMMYFUNCTION("FILTER('CLASFICACIÓN'!$F$3:$F2419,'CLASFICACIÓN'!$G$3:$G2419=M1318)"),"SOLO LINEA BASE")</f>
        <v>SOLO LINEA BASE</v>
      </c>
      <c r="K1318" s="12" t="s">
        <v>2012</v>
      </c>
      <c r="L1318" s="11" t="s">
        <v>110</v>
      </c>
      <c r="M1318" s="12" t="str">
        <f t="shared" ca="1" si="5"/>
        <v>JORGE CHAVEZ4 Secundaria</v>
      </c>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4"/>
    </row>
    <row r="1319" spans="1:36" ht="12.5" x14ac:dyDescent="0.25">
      <c r="A1319" s="9">
        <v>3586</v>
      </c>
      <c r="B1319" s="10" t="s">
        <v>54</v>
      </c>
      <c r="C1319" s="10" t="s">
        <v>41</v>
      </c>
      <c r="D1319" s="10" t="s">
        <v>43</v>
      </c>
      <c r="E1319" s="11" t="str">
        <f ca="1">IFERROR(__xludf.DUMMYFUNCTION("FILTER(Colegios!$B$2:$B2419,Colegios!$A$2:$A2419=L1319)"),"JORGE CHAVEZ")</f>
        <v>JORGE CHAVEZ</v>
      </c>
      <c r="F1319" s="11" t="s">
        <v>17</v>
      </c>
      <c r="G1319" s="10" t="s">
        <v>18</v>
      </c>
      <c r="H1319" s="11" t="s">
        <v>19</v>
      </c>
      <c r="I1319" s="11">
        <v>2022</v>
      </c>
      <c r="J1319" s="12" t="str">
        <f ca="1">IFERROR(__xludf.DUMMYFUNCTION("FILTER('CLASFICACIÓN'!$F$3:$F2419,'CLASFICACIÓN'!$G$3:$G2419=M1319)"),"SOLO LINEA BASE")</f>
        <v>SOLO LINEA BASE</v>
      </c>
      <c r="K1319" s="12" t="s">
        <v>2012</v>
      </c>
      <c r="L1319" s="11" t="s">
        <v>110</v>
      </c>
      <c r="M1319" s="12" t="str">
        <f t="shared" ca="1" si="5"/>
        <v>JORGE CHAVEZ4 Secundaria</v>
      </c>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4"/>
    </row>
    <row r="1320" spans="1:36" ht="12.5" x14ac:dyDescent="0.25">
      <c r="A1320" s="9">
        <v>3587</v>
      </c>
      <c r="B1320" s="10" t="s">
        <v>54</v>
      </c>
      <c r="C1320" s="10" t="s">
        <v>41</v>
      </c>
      <c r="D1320" s="10" t="s">
        <v>43</v>
      </c>
      <c r="E1320" s="11" t="str">
        <f ca="1">IFERROR(__xludf.DUMMYFUNCTION("FILTER(Colegios!$B$2:$B2419,Colegios!$A$2:$A2419=L1320)"),"JORGE CHAVEZ")</f>
        <v>JORGE CHAVEZ</v>
      </c>
      <c r="F1320" s="11" t="s">
        <v>17</v>
      </c>
      <c r="G1320" s="10" t="s">
        <v>18</v>
      </c>
      <c r="H1320" s="11" t="s">
        <v>19</v>
      </c>
      <c r="I1320" s="11">
        <v>2022</v>
      </c>
      <c r="J1320" s="12" t="str">
        <f ca="1">IFERROR(__xludf.DUMMYFUNCTION("FILTER('CLASFICACIÓN'!$F$3:$F2419,'CLASFICACIÓN'!$G$3:$G2419=M1320)"),"SOLO LINEA BASE")</f>
        <v>SOLO LINEA BASE</v>
      </c>
      <c r="K1320" s="12" t="s">
        <v>2012</v>
      </c>
      <c r="L1320" s="11" t="s">
        <v>110</v>
      </c>
      <c r="M1320" s="12" t="str">
        <f t="shared" ca="1" si="5"/>
        <v>JORGE CHAVEZ4 Secundaria</v>
      </c>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4"/>
    </row>
    <row r="1321" spans="1:36" ht="12.5" x14ac:dyDescent="0.25">
      <c r="A1321" s="9">
        <v>3588</v>
      </c>
      <c r="B1321" s="10" t="s">
        <v>54</v>
      </c>
      <c r="C1321" s="10" t="s">
        <v>41</v>
      </c>
      <c r="D1321" s="10" t="s">
        <v>43</v>
      </c>
      <c r="E1321" s="11" t="str">
        <f ca="1">IFERROR(__xludf.DUMMYFUNCTION("FILTER(Colegios!$B$2:$B2419,Colegios!$A$2:$A2419=L1321)"),"JORGE CHAVEZ")</f>
        <v>JORGE CHAVEZ</v>
      </c>
      <c r="F1321" s="11" t="s">
        <v>17</v>
      </c>
      <c r="G1321" s="10" t="s">
        <v>18</v>
      </c>
      <c r="H1321" s="11" t="s">
        <v>19</v>
      </c>
      <c r="I1321" s="11">
        <v>2022</v>
      </c>
      <c r="J1321" s="12" t="str">
        <f ca="1">IFERROR(__xludf.DUMMYFUNCTION("FILTER('CLASFICACIÓN'!$F$3:$F2419,'CLASFICACIÓN'!$G$3:$G2419=M1321)"),"SOLO LINEA BASE")</f>
        <v>SOLO LINEA BASE</v>
      </c>
      <c r="K1321" s="12" t="s">
        <v>2012</v>
      </c>
      <c r="L1321" s="11" t="s">
        <v>110</v>
      </c>
      <c r="M1321" s="12" t="str">
        <f t="shared" ca="1" si="5"/>
        <v>JORGE CHAVEZ4 Secundaria</v>
      </c>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4"/>
    </row>
    <row r="1322" spans="1:36" ht="12.5" x14ac:dyDescent="0.25">
      <c r="A1322" s="9">
        <v>3589</v>
      </c>
      <c r="B1322" s="10" t="s">
        <v>54</v>
      </c>
      <c r="C1322" s="10" t="s">
        <v>41</v>
      </c>
      <c r="D1322" s="10" t="s">
        <v>43</v>
      </c>
      <c r="E1322" s="11" t="str">
        <f ca="1">IFERROR(__xludf.DUMMYFUNCTION("FILTER(Colegios!$B$2:$B2419,Colegios!$A$2:$A2419=L1322)"),"JORGE CHAVEZ")</f>
        <v>JORGE CHAVEZ</v>
      </c>
      <c r="F1322" s="11" t="s">
        <v>17</v>
      </c>
      <c r="G1322" s="10" t="s">
        <v>18</v>
      </c>
      <c r="H1322" s="11" t="s">
        <v>23</v>
      </c>
      <c r="I1322" s="11">
        <v>2022</v>
      </c>
      <c r="J1322" s="12" t="str">
        <f ca="1">IFERROR(__xludf.DUMMYFUNCTION("FILTER('CLASFICACIÓN'!$F$3:$F2419,'CLASFICACIÓN'!$G$3:$G2419=M1322)"),"SOLO LINEA BASE")</f>
        <v>SOLO LINEA BASE</v>
      </c>
      <c r="K1322" s="12" t="s">
        <v>2012</v>
      </c>
      <c r="L1322" s="11" t="s">
        <v>110</v>
      </c>
      <c r="M1322" s="12" t="str">
        <f t="shared" ca="1" si="5"/>
        <v>JORGE CHAVEZ4 Secundaria</v>
      </c>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4"/>
    </row>
    <row r="1323" spans="1:36" ht="12.5" x14ac:dyDescent="0.25">
      <c r="A1323" s="9">
        <v>3590</v>
      </c>
      <c r="B1323" s="10" t="s">
        <v>54</v>
      </c>
      <c r="C1323" s="10" t="s">
        <v>41</v>
      </c>
      <c r="D1323" s="10" t="s">
        <v>43</v>
      </c>
      <c r="E1323" s="11" t="str">
        <f ca="1">IFERROR(__xludf.DUMMYFUNCTION("FILTER(Colegios!$B$2:$B2419,Colegios!$A$2:$A2419=L1323)"),"JORGE CHAVEZ")</f>
        <v>JORGE CHAVEZ</v>
      </c>
      <c r="F1323" s="11" t="s">
        <v>17</v>
      </c>
      <c r="G1323" s="10" t="s">
        <v>24</v>
      </c>
      <c r="H1323" s="11" t="s">
        <v>19</v>
      </c>
      <c r="I1323" s="11">
        <v>2022</v>
      </c>
      <c r="J1323" s="12" t="str">
        <f ca="1">IFERROR(__xludf.DUMMYFUNCTION("FILTER('CLASFICACIÓN'!$F$3:$F2419,'CLASFICACIÓN'!$G$3:$G2419=M1323)"),"SOLO LINEA BASE")</f>
        <v>SOLO LINEA BASE</v>
      </c>
      <c r="K1323" s="12" t="s">
        <v>2012</v>
      </c>
      <c r="L1323" s="11" t="s">
        <v>110</v>
      </c>
      <c r="M1323" s="12" t="str">
        <f t="shared" ca="1" si="5"/>
        <v>JORGE CHAVEZ4 Secundaria</v>
      </c>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4"/>
    </row>
    <row r="1324" spans="1:36" ht="12.5" x14ac:dyDescent="0.25">
      <c r="A1324" s="9">
        <v>3591</v>
      </c>
      <c r="B1324" s="10" t="s">
        <v>54</v>
      </c>
      <c r="C1324" s="10" t="s">
        <v>41</v>
      </c>
      <c r="D1324" s="10" t="s">
        <v>43</v>
      </c>
      <c r="E1324" s="11" t="str">
        <f ca="1">IFERROR(__xludf.DUMMYFUNCTION("FILTER(Colegios!$B$2:$B2419,Colegios!$A$2:$A2419=L1324)"),"JORGE CHAVEZ")</f>
        <v>JORGE CHAVEZ</v>
      </c>
      <c r="F1324" s="11" t="s">
        <v>17</v>
      </c>
      <c r="G1324" s="10" t="s">
        <v>18</v>
      </c>
      <c r="H1324" s="11" t="s">
        <v>19</v>
      </c>
      <c r="I1324" s="11">
        <v>2022</v>
      </c>
      <c r="J1324" s="12" t="str">
        <f ca="1">IFERROR(__xludf.DUMMYFUNCTION("FILTER('CLASFICACIÓN'!$F$3:$F2419,'CLASFICACIÓN'!$G$3:$G2419=M1324)"),"SOLO LINEA BASE")</f>
        <v>SOLO LINEA BASE</v>
      </c>
      <c r="K1324" s="12" t="s">
        <v>2012</v>
      </c>
      <c r="L1324" s="11" t="s">
        <v>110</v>
      </c>
      <c r="M1324" s="12" t="str">
        <f t="shared" ca="1" si="5"/>
        <v>JORGE CHAVEZ4 Secundaria</v>
      </c>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4"/>
    </row>
    <row r="1325" spans="1:36" ht="12.5" x14ac:dyDescent="0.25">
      <c r="A1325" s="9">
        <v>3592</v>
      </c>
      <c r="B1325" s="10" t="s">
        <v>54</v>
      </c>
      <c r="C1325" s="10" t="s">
        <v>41</v>
      </c>
      <c r="D1325" s="10" t="s">
        <v>43</v>
      </c>
      <c r="E1325" s="11" t="str">
        <f ca="1">IFERROR(__xludf.DUMMYFUNCTION("FILTER(Colegios!$B$2:$B2419,Colegios!$A$2:$A2419=L1325)"),"JORGE CHAVEZ")</f>
        <v>JORGE CHAVEZ</v>
      </c>
      <c r="F1325" s="11" t="s">
        <v>17</v>
      </c>
      <c r="G1325" s="10" t="s">
        <v>24</v>
      </c>
      <c r="H1325" s="11" t="s">
        <v>19</v>
      </c>
      <c r="I1325" s="11">
        <v>2022</v>
      </c>
      <c r="J1325" s="12" t="str">
        <f ca="1">IFERROR(__xludf.DUMMYFUNCTION("FILTER('CLASFICACIÓN'!$F$3:$F2419,'CLASFICACIÓN'!$G$3:$G2419=M1325)"),"SOLO LINEA BASE")</f>
        <v>SOLO LINEA BASE</v>
      </c>
      <c r="K1325" s="12" t="s">
        <v>2012</v>
      </c>
      <c r="L1325" s="11" t="s">
        <v>110</v>
      </c>
      <c r="M1325" s="12" t="str">
        <f t="shared" ca="1" si="5"/>
        <v>JORGE CHAVEZ4 Secundaria</v>
      </c>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4"/>
    </row>
    <row r="1326" spans="1:36" ht="12.5" x14ac:dyDescent="0.25">
      <c r="A1326" s="9">
        <v>3593</v>
      </c>
      <c r="B1326" s="10" t="s">
        <v>54</v>
      </c>
      <c r="C1326" s="10" t="s">
        <v>41</v>
      </c>
      <c r="D1326" s="10" t="s">
        <v>43</v>
      </c>
      <c r="E1326" s="11" t="str">
        <f ca="1">IFERROR(__xludf.DUMMYFUNCTION("FILTER(Colegios!$B$2:$B2419,Colegios!$A$2:$A2419=L1326)"),"JORGE CHAVEZ")</f>
        <v>JORGE CHAVEZ</v>
      </c>
      <c r="F1326" s="11" t="s">
        <v>17</v>
      </c>
      <c r="G1326" s="10" t="s">
        <v>18</v>
      </c>
      <c r="H1326" s="11" t="s">
        <v>19</v>
      </c>
      <c r="I1326" s="11">
        <v>2022</v>
      </c>
      <c r="J1326" s="12" t="str">
        <f ca="1">IFERROR(__xludf.DUMMYFUNCTION("FILTER('CLASFICACIÓN'!$F$3:$F2419,'CLASFICACIÓN'!$G$3:$G2419=M1326)"),"SOLO LINEA BASE")</f>
        <v>SOLO LINEA BASE</v>
      </c>
      <c r="K1326" s="12" t="s">
        <v>2012</v>
      </c>
      <c r="L1326" s="11" t="s">
        <v>110</v>
      </c>
      <c r="M1326" s="12" t="str">
        <f t="shared" ca="1" si="5"/>
        <v>JORGE CHAVEZ4 Secundaria</v>
      </c>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4"/>
    </row>
    <row r="1327" spans="1:36" ht="12.5" x14ac:dyDescent="0.25">
      <c r="A1327" s="9">
        <v>3594</v>
      </c>
      <c r="B1327" s="10" t="s">
        <v>54</v>
      </c>
      <c r="C1327" s="10" t="s">
        <v>41</v>
      </c>
      <c r="D1327" s="10" t="s">
        <v>43</v>
      </c>
      <c r="E1327" s="11" t="str">
        <f ca="1">IFERROR(__xludf.DUMMYFUNCTION("FILTER(Colegios!$B$2:$B2419,Colegios!$A$2:$A2419=L1327)"),"JORGE CHAVEZ")</f>
        <v>JORGE CHAVEZ</v>
      </c>
      <c r="F1327" s="11" t="s">
        <v>17</v>
      </c>
      <c r="G1327" s="10" t="s">
        <v>18</v>
      </c>
      <c r="H1327" s="11" t="s">
        <v>19</v>
      </c>
      <c r="I1327" s="11">
        <v>2022</v>
      </c>
      <c r="J1327" s="12" t="str">
        <f ca="1">IFERROR(__xludf.DUMMYFUNCTION("FILTER('CLASFICACIÓN'!$F$3:$F2419,'CLASFICACIÓN'!$G$3:$G2419=M1327)"),"SOLO LINEA BASE")</f>
        <v>SOLO LINEA BASE</v>
      </c>
      <c r="K1327" s="12" t="s">
        <v>2012</v>
      </c>
      <c r="L1327" s="11" t="s">
        <v>110</v>
      </c>
      <c r="M1327" s="12" t="str">
        <f t="shared" ca="1" si="5"/>
        <v>JORGE CHAVEZ4 Secundaria</v>
      </c>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4"/>
    </row>
    <row r="1328" spans="1:36" ht="12.5" x14ac:dyDescent="0.25">
      <c r="A1328" s="9">
        <v>3595</v>
      </c>
      <c r="B1328" s="10" t="s">
        <v>54</v>
      </c>
      <c r="C1328" s="10" t="s">
        <v>41</v>
      </c>
      <c r="D1328" s="10" t="s">
        <v>43</v>
      </c>
      <c r="E1328" s="11" t="str">
        <f ca="1">IFERROR(__xludf.DUMMYFUNCTION("FILTER(Colegios!$B$2:$B2419,Colegios!$A$2:$A2419=L1328)"),"JORGE CHAVEZ")</f>
        <v>JORGE CHAVEZ</v>
      </c>
      <c r="F1328" s="11" t="s">
        <v>17</v>
      </c>
      <c r="G1328" s="10" t="s">
        <v>24</v>
      </c>
      <c r="H1328" s="11" t="s">
        <v>19</v>
      </c>
      <c r="I1328" s="11">
        <v>2022</v>
      </c>
      <c r="J1328" s="12" t="str">
        <f ca="1">IFERROR(__xludf.DUMMYFUNCTION("FILTER('CLASFICACIÓN'!$F$3:$F2419,'CLASFICACIÓN'!$G$3:$G2419=M1328)"),"SOLO LINEA BASE")</f>
        <v>SOLO LINEA BASE</v>
      </c>
      <c r="K1328" s="12" t="s">
        <v>2012</v>
      </c>
      <c r="L1328" s="11" t="s">
        <v>110</v>
      </c>
      <c r="M1328" s="12" t="str">
        <f t="shared" ca="1" si="5"/>
        <v>JORGE CHAVEZ4 Secundaria</v>
      </c>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4"/>
    </row>
    <row r="1329" spans="1:36" ht="12.5" x14ac:dyDescent="0.25">
      <c r="A1329" s="9">
        <v>3596</v>
      </c>
      <c r="B1329" s="10" t="s">
        <v>54</v>
      </c>
      <c r="C1329" s="10" t="s">
        <v>41</v>
      </c>
      <c r="D1329" s="10" t="s">
        <v>43</v>
      </c>
      <c r="E1329" s="11" t="str">
        <f ca="1">IFERROR(__xludf.DUMMYFUNCTION("FILTER(Colegios!$B$2:$B2419,Colegios!$A$2:$A2419=L1329)"),"JORGE CHAVEZ")</f>
        <v>JORGE CHAVEZ</v>
      </c>
      <c r="F1329" s="11" t="s">
        <v>17</v>
      </c>
      <c r="G1329" s="10" t="s">
        <v>24</v>
      </c>
      <c r="H1329" s="11" t="s">
        <v>23</v>
      </c>
      <c r="I1329" s="11">
        <v>2022</v>
      </c>
      <c r="J1329" s="12" t="str">
        <f ca="1">IFERROR(__xludf.DUMMYFUNCTION("FILTER('CLASFICACIÓN'!$F$3:$F2419,'CLASFICACIÓN'!$G$3:$G2419=M1329)"),"SOLO LINEA BASE")</f>
        <v>SOLO LINEA BASE</v>
      </c>
      <c r="K1329" s="12" t="s">
        <v>2012</v>
      </c>
      <c r="L1329" s="11" t="s">
        <v>110</v>
      </c>
      <c r="M1329" s="12" t="str">
        <f t="shared" ca="1" si="5"/>
        <v>JORGE CHAVEZ4 Secundaria</v>
      </c>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4"/>
    </row>
    <row r="1330" spans="1:36" ht="12.5" x14ac:dyDescent="0.25">
      <c r="A1330" s="9">
        <v>3597</v>
      </c>
      <c r="B1330" s="10" t="s">
        <v>54</v>
      </c>
      <c r="C1330" s="10" t="s">
        <v>41</v>
      </c>
      <c r="D1330" s="10" t="s">
        <v>43</v>
      </c>
      <c r="E1330" s="11" t="str">
        <f ca="1">IFERROR(__xludf.DUMMYFUNCTION("FILTER(Colegios!$B$2:$B2419,Colegios!$A$2:$A2419=L1330)"),"JORGE CHAVEZ")</f>
        <v>JORGE CHAVEZ</v>
      </c>
      <c r="F1330" s="11" t="s">
        <v>17</v>
      </c>
      <c r="G1330" s="10" t="s">
        <v>18</v>
      </c>
      <c r="H1330" s="11" t="s">
        <v>25</v>
      </c>
      <c r="I1330" s="11">
        <v>2022</v>
      </c>
      <c r="J1330" s="12" t="str">
        <f ca="1">IFERROR(__xludf.DUMMYFUNCTION("FILTER('CLASFICACIÓN'!$F$3:$F2419,'CLASFICACIÓN'!$G$3:$G2419=M1330)"),"SOLO LINEA BASE")</f>
        <v>SOLO LINEA BASE</v>
      </c>
      <c r="K1330" s="12" t="s">
        <v>2012</v>
      </c>
      <c r="L1330" s="11" t="s">
        <v>110</v>
      </c>
      <c r="M1330" s="12" t="str">
        <f t="shared" ca="1" si="5"/>
        <v>JORGE CHAVEZ4 Secundaria</v>
      </c>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4"/>
    </row>
    <row r="1331" spans="1:36" ht="12.5" x14ac:dyDescent="0.25">
      <c r="A1331" s="9">
        <v>3598</v>
      </c>
      <c r="B1331" s="10" t="s">
        <v>54</v>
      </c>
      <c r="C1331" s="10" t="s">
        <v>41</v>
      </c>
      <c r="D1331" s="10" t="s">
        <v>43</v>
      </c>
      <c r="E1331" s="11" t="str">
        <f ca="1">IFERROR(__xludf.DUMMYFUNCTION("FILTER(Colegios!$B$2:$B2419,Colegios!$A$2:$A2419=L1331)"),"JORGE CHAVEZ")</f>
        <v>JORGE CHAVEZ</v>
      </c>
      <c r="F1331" s="11" t="s">
        <v>17</v>
      </c>
      <c r="G1331" s="10" t="s">
        <v>24</v>
      </c>
      <c r="H1331" s="11" t="s">
        <v>23</v>
      </c>
      <c r="I1331" s="11">
        <v>2022</v>
      </c>
      <c r="J1331" s="12" t="str">
        <f ca="1">IFERROR(__xludf.DUMMYFUNCTION("FILTER('CLASFICACIÓN'!$F$3:$F2419,'CLASFICACIÓN'!$G$3:$G2419=M1331)"),"SOLO LINEA BASE")</f>
        <v>SOLO LINEA BASE</v>
      </c>
      <c r="K1331" s="12" t="s">
        <v>2012</v>
      </c>
      <c r="L1331" s="11" t="s">
        <v>110</v>
      </c>
      <c r="M1331" s="12" t="str">
        <f t="shared" ca="1" si="5"/>
        <v>JORGE CHAVEZ4 Secundaria</v>
      </c>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4"/>
    </row>
    <row r="1332" spans="1:36" ht="12.5" x14ac:dyDescent="0.25">
      <c r="A1332" s="9">
        <v>3599</v>
      </c>
      <c r="B1332" s="10" t="s">
        <v>54</v>
      </c>
      <c r="C1332" s="10" t="s">
        <v>41</v>
      </c>
      <c r="D1332" s="10" t="s">
        <v>43</v>
      </c>
      <c r="E1332" s="11" t="str">
        <f ca="1">IFERROR(__xludf.DUMMYFUNCTION("FILTER(Colegios!$B$2:$B2419,Colegios!$A$2:$A2419=L1332)"),"JORGE CHAVEZ")</f>
        <v>JORGE CHAVEZ</v>
      </c>
      <c r="F1332" s="11" t="s">
        <v>17</v>
      </c>
      <c r="G1332" s="10" t="s">
        <v>18</v>
      </c>
      <c r="H1332" s="11" t="s">
        <v>19</v>
      </c>
      <c r="I1332" s="11">
        <v>2022</v>
      </c>
      <c r="J1332" s="12" t="str">
        <f ca="1">IFERROR(__xludf.DUMMYFUNCTION("FILTER('CLASFICACIÓN'!$F$3:$F2419,'CLASFICACIÓN'!$G$3:$G2419=M1332)"),"SOLO LINEA BASE")</f>
        <v>SOLO LINEA BASE</v>
      </c>
      <c r="K1332" s="12" t="s">
        <v>2012</v>
      </c>
      <c r="L1332" s="11" t="s">
        <v>110</v>
      </c>
      <c r="M1332" s="12" t="str">
        <f t="shared" ca="1" si="5"/>
        <v>JORGE CHAVEZ4 Secundaria</v>
      </c>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4"/>
    </row>
    <row r="1333" spans="1:36" ht="12.5" x14ac:dyDescent="0.25">
      <c r="A1333" s="9">
        <v>3600</v>
      </c>
      <c r="B1333" s="10" t="s">
        <v>54</v>
      </c>
      <c r="C1333" s="10" t="s">
        <v>41</v>
      </c>
      <c r="D1333" s="10" t="s">
        <v>43</v>
      </c>
      <c r="E1333" s="11" t="str">
        <f ca="1">IFERROR(__xludf.DUMMYFUNCTION("FILTER(Colegios!$B$2:$B2419,Colegios!$A$2:$A2419=L1333)"),"JORGE CHAVEZ")</f>
        <v>JORGE CHAVEZ</v>
      </c>
      <c r="F1333" s="11" t="s">
        <v>17</v>
      </c>
      <c r="G1333" s="10" t="s">
        <v>18</v>
      </c>
      <c r="H1333" s="11" t="s">
        <v>19</v>
      </c>
      <c r="I1333" s="11">
        <v>2022</v>
      </c>
      <c r="J1333" s="12" t="str">
        <f ca="1">IFERROR(__xludf.DUMMYFUNCTION("FILTER('CLASFICACIÓN'!$F$3:$F2419,'CLASFICACIÓN'!$G$3:$G2419=M1333)"),"SOLO LINEA BASE")</f>
        <v>SOLO LINEA BASE</v>
      </c>
      <c r="K1333" s="12" t="s">
        <v>2012</v>
      </c>
      <c r="L1333" s="11" t="s">
        <v>110</v>
      </c>
      <c r="M1333" s="12" t="str">
        <f t="shared" ca="1" si="5"/>
        <v>JORGE CHAVEZ4 Secundaria</v>
      </c>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4"/>
    </row>
    <row r="1334" spans="1:36" ht="12.5" x14ac:dyDescent="0.25">
      <c r="A1334" s="9">
        <v>3601</v>
      </c>
      <c r="B1334" s="10" t="s">
        <v>54</v>
      </c>
      <c r="C1334" s="10" t="s">
        <v>41</v>
      </c>
      <c r="D1334" s="10" t="s">
        <v>43</v>
      </c>
      <c r="E1334" s="11" t="str">
        <f ca="1">IFERROR(__xludf.DUMMYFUNCTION("FILTER(Colegios!$B$2:$B2419,Colegios!$A$2:$A2419=L1334)"),"JORGE CHAVEZ")</f>
        <v>JORGE CHAVEZ</v>
      </c>
      <c r="F1334" s="11" t="s">
        <v>17</v>
      </c>
      <c r="G1334" s="10" t="s">
        <v>18</v>
      </c>
      <c r="H1334" s="11" t="s">
        <v>19</v>
      </c>
      <c r="I1334" s="11">
        <v>2022</v>
      </c>
      <c r="J1334" s="12" t="str">
        <f ca="1">IFERROR(__xludf.DUMMYFUNCTION("FILTER('CLASFICACIÓN'!$F$3:$F2419,'CLASFICACIÓN'!$G$3:$G2419=M1334)"),"SOLO LINEA BASE")</f>
        <v>SOLO LINEA BASE</v>
      </c>
      <c r="K1334" s="12" t="s">
        <v>2012</v>
      </c>
      <c r="L1334" s="11" t="s">
        <v>110</v>
      </c>
      <c r="M1334" s="12" t="str">
        <f t="shared" ca="1" si="5"/>
        <v>JORGE CHAVEZ4 Secundaria</v>
      </c>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4"/>
    </row>
    <row r="1335" spans="1:36" ht="12.5" x14ac:dyDescent="0.25">
      <c r="A1335" s="9">
        <v>3602</v>
      </c>
      <c r="B1335" s="10" t="s">
        <v>54</v>
      </c>
      <c r="C1335" s="10" t="s">
        <v>41</v>
      </c>
      <c r="D1335" s="10" t="s">
        <v>43</v>
      </c>
      <c r="E1335" s="11" t="str">
        <f ca="1">IFERROR(__xludf.DUMMYFUNCTION("FILTER(Colegios!$B$2:$B2419,Colegios!$A$2:$A2419=L1335)"),"JORGE CHAVEZ")</f>
        <v>JORGE CHAVEZ</v>
      </c>
      <c r="F1335" s="11" t="s">
        <v>17</v>
      </c>
      <c r="G1335" s="10" t="s">
        <v>18</v>
      </c>
      <c r="H1335" s="11" t="s">
        <v>23</v>
      </c>
      <c r="I1335" s="11">
        <v>2022</v>
      </c>
      <c r="J1335" s="12" t="str">
        <f ca="1">IFERROR(__xludf.DUMMYFUNCTION("FILTER('CLASFICACIÓN'!$F$3:$F2419,'CLASFICACIÓN'!$G$3:$G2419=M1335)"),"SOLO LINEA BASE")</f>
        <v>SOLO LINEA BASE</v>
      </c>
      <c r="K1335" s="12" t="s">
        <v>2012</v>
      </c>
      <c r="L1335" s="11" t="s">
        <v>110</v>
      </c>
      <c r="M1335" s="12" t="str">
        <f t="shared" ca="1" si="5"/>
        <v>JORGE CHAVEZ4 Secundaria</v>
      </c>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4"/>
    </row>
    <row r="1336" spans="1:36" ht="12.5" x14ac:dyDescent="0.25">
      <c r="A1336" s="9">
        <v>3603</v>
      </c>
      <c r="B1336" s="10" t="s">
        <v>54</v>
      </c>
      <c r="C1336" s="10" t="s">
        <v>41</v>
      </c>
      <c r="D1336" s="10" t="s">
        <v>43</v>
      </c>
      <c r="E1336" s="11" t="str">
        <f ca="1">IFERROR(__xludf.DUMMYFUNCTION("FILTER(Colegios!$B$2:$B2419,Colegios!$A$2:$A2419=L1336)"),"JORGE CHAVEZ")</f>
        <v>JORGE CHAVEZ</v>
      </c>
      <c r="F1336" s="11" t="s">
        <v>17</v>
      </c>
      <c r="G1336" s="10" t="s">
        <v>24</v>
      </c>
      <c r="H1336" s="11" t="s">
        <v>19</v>
      </c>
      <c r="I1336" s="11">
        <v>2022</v>
      </c>
      <c r="J1336" s="12" t="str">
        <f ca="1">IFERROR(__xludf.DUMMYFUNCTION("FILTER('CLASFICACIÓN'!$F$3:$F2419,'CLASFICACIÓN'!$G$3:$G2419=M1336)"),"SOLO LINEA BASE")</f>
        <v>SOLO LINEA BASE</v>
      </c>
      <c r="K1336" s="12" t="s">
        <v>2012</v>
      </c>
      <c r="L1336" s="11" t="s">
        <v>110</v>
      </c>
      <c r="M1336" s="12" t="str">
        <f t="shared" ca="1" si="5"/>
        <v>JORGE CHAVEZ4 Secundaria</v>
      </c>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4"/>
    </row>
    <row r="1337" spans="1:36" ht="12.5" x14ac:dyDescent="0.25">
      <c r="A1337" s="9">
        <v>3604</v>
      </c>
      <c r="B1337" s="10" t="s">
        <v>54</v>
      </c>
      <c r="C1337" s="10" t="s">
        <v>41</v>
      </c>
      <c r="D1337" s="10" t="s">
        <v>43</v>
      </c>
      <c r="E1337" s="11" t="str">
        <f ca="1">IFERROR(__xludf.DUMMYFUNCTION("FILTER(Colegios!$B$2:$B2419,Colegios!$A$2:$A2419=L1337)"),"JORGE CHAVEZ")</f>
        <v>JORGE CHAVEZ</v>
      </c>
      <c r="F1337" s="11" t="s">
        <v>17</v>
      </c>
      <c r="G1337" s="10" t="s">
        <v>18</v>
      </c>
      <c r="H1337" s="11" t="s">
        <v>19</v>
      </c>
      <c r="I1337" s="11">
        <v>2022</v>
      </c>
      <c r="J1337" s="12" t="str">
        <f ca="1">IFERROR(__xludf.DUMMYFUNCTION("FILTER('CLASFICACIÓN'!$F$3:$F2419,'CLASFICACIÓN'!$G$3:$G2419=M1337)"),"SOLO LINEA BASE")</f>
        <v>SOLO LINEA BASE</v>
      </c>
      <c r="K1337" s="12" t="s">
        <v>2012</v>
      </c>
      <c r="L1337" s="11" t="s">
        <v>110</v>
      </c>
      <c r="M1337" s="12" t="str">
        <f t="shared" ca="1" si="5"/>
        <v>JORGE CHAVEZ4 Secundaria</v>
      </c>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4"/>
    </row>
    <row r="1338" spans="1:36" ht="12.5" x14ac:dyDescent="0.25">
      <c r="A1338" s="9">
        <v>3605</v>
      </c>
      <c r="B1338" s="10" t="s">
        <v>54</v>
      </c>
      <c r="C1338" s="10" t="s">
        <v>41</v>
      </c>
      <c r="D1338" s="10" t="s">
        <v>43</v>
      </c>
      <c r="E1338" s="11" t="str">
        <f ca="1">IFERROR(__xludf.DUMMYFUNCTION("FILTER(Colegios!$B$2:$B2419,Colegios!$A$2:$A2419=L1338)"),"JORGE CHAVEZ")</f>
        <v>JORGE CHAVEZ</v>
      </c>
      <c r="F1338" s="11" t="s">
        <v>17</v>
      </c>
      <c r="G1338" s="10" t="s">
        <v>24</v>
      </c>
      <c r="H1338" s="11" t="s">
        <v>23</v>
      </c>
      <c r="I1338" s="11">
        <v>2022</v>
      </c>
      <c r="J1338" s="12" t="str">
        <f ca="1">IFERROR(__xludf.DUMMYFUNCTION("FILTER('CLASFICACIÓN'!$F$3:$F2419,'CLASFICACIÓN'!$G$3:$G2419=M1338)"),"SOLO LINEA BASE")</f>
        <v>SOLO LINEA BASE</v>
      </c>
      <c r="K1338" s="12" t="s">
        <v>2012</v>
      </c>
      <c r="L1338" s="11" t="s">
        <v>110</v>
      </c>
      <c r="M1338" s="12" t="str">
        <f t="shared" ca="1" si="5"/>
        <v>JORGE CHAVEZ4 Secundaria</v>
      </c>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4"/>
    </row>
    <row r="1339" spans="1:36" ht="12.5" x14ac:dyDescent="0.25">
      <c r="A1339" s="9">
        <v>3606</v>
      </c>
      <c r="B1339" s="10" t="s">
        <v>54</v>
      </c>
      <c r="C1339" s="10" t="s">
        <v>41</v>
      </c>
      <c r="D1339" s="10" t="s">
        <v>43</v>
      </c>
      <c r="E1339" s="11" t="str">
        <f ca="1">IFERROR(__xludf.DUMMYFUNCTION("FILTER(Colegios!$B$2:$B2419,Colegios!$A$2:$A2419=L1339)"),"JORGE CHAVEZ")</f>
        <v>JORGE CHAVEZ</v>
      </c>
      <c r="F1339" s="11" t="s">
        <v>17</v>
      </c>
      <c r="G1339" s="10" t="s">
        <v>24</v>
      </c>
      <c r="H1339" s="11" t="s">
        <v>23</v>
      </c>
      <c r="I1339" s="11">
        <v>2022</v>
      </c>
      <c r="J1339" s="12" t="str">
        <f ca="1">IFERROR(__xludf.DUMMYFUNCTION("FILTER('CLASFICACIÓN'!$F$3:$F2419,'CLASFICACIÓN'!$G$3:$G2419=M1339)"),"SOLO LINEA BASE")</f>
        <v>SOLO LINEA BASE</v>
      </c>
      <c r="K1339" s="12" t="s">
        <v>2012</v>
      </c>
      <c r="L1339" s="11" t="s">
        <v>110</v>
      </c>
      <c r="M1339" s="12" t="str">
        <f t="shared" ca="1" si="5"/>
        <v>JORGE CHAVEZ4 Secundaria</v>
      </c>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4"/>
    </row>
    <row r="1340" spans="1:36" ht="12.5" x14ac:dyDescent="0.25">
      <c r="A1340" s="9">
        <v>3607</v>
      </c>
      <c r="B1340" s="10" t="s">
        <v>54</v>
      </c>
      <c r="C1340" s="10" t="s">
        <v>41</v>
      </c>
      <c r="D1340" s="10" t="s">
        <v>43</v>
      </c>
      <c r="E1340" s="11" t="str">
        <f ca="1">IFERROR(__xludf.DUMMYFUNCTION("FILTER(Colegios!$B$2:$B2419,Colegios!$A$2:$A2419=L1340)"),"JOSE CARLOS MARIATEGUI")</f>
        <v>JOSE CARLOS MARIATEGUI</v>
      </c>
      <c r="F1340" s="11" t="s">
        <v>17</v>
      </c>
      <c r="G1340" s="10" t="s">
        <v>18</v>
      </c>
      <c r="H1340" s="11" t="s">
        <v>23</v>
      </c>
      <c r="I1340" s="11">
        <v>2022</v>
      </c>
      <c r="J1340" s="12" t="str">
        <f ca="1">IFERROR(__xludf.DUMMYFUNCTION("FILTER('CLASFICACIÓN'!$F$3:$F2419,'CLASFICACIÓN'!$G$3:$G2419=M1340)"),"SOLO LINEA BASE")</f>
        <v>SOLO LINEA BASE</v>
      </c>
      <c r="K1340" s="12" t="s">
        <v>2013</v>
      </c>
      <c r="L1340" s="11" t="s">
        <v>111</v>
      </c>
      <c r="M1340" s="12" t="str">
        <f t="shared" ca="1" si="5"/>
        <v>JOSE CARLOS MARIATEGUI4 Secundaria</v>
      </c>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4"/>
    </row>
    <row r="1341" spans="1:36" ht="12.5" x14ac:dyDescent="0.25">
      <c r="A1341" s="9">
        <v>3608</v>
      </c>
      <c r="B1341" s="10" t="s">
        <v>54</v>
      </c>
      <c r="C1341" s="10" t="s">
        <v>41</v>
      </c>
      <c r="D1341" s="10" t="s">
        <v>43</v>
      </c>
      <c r="E1341" s="11" t="str">
        <f ca="1">IFERROR(__xludf.DUMMYFUNCTION("FILTER(Colegios!$B$2:$B2419,Colegios!$A$2:$A2419=L1341)"),"JOSE CARLOS MARIATEGUI")</f>
        <v>JOSE CARLOS MARIATEGUI</v>
      </c>
      <c r="F1341" s="11" t="s">
        <v>17</v>
      </c>
      <c r="G1341" s="10" t="s">
        <v>18</v>
      </c>
      <c r="H1341" s="11" t="s">
        <v>19</v>
      </c>
      <c r="I1341" s="11">
        <v>2022</v>
      </c>
      <c r="J1341" s="12" t="str">
        <f ca="1">IFERROR(__xludf.DUMMYFUNCTION("FILTER('CLASFICACIÓN'!$F$3:$F2419,'CLASFICACIÓN'!$G$3:$G2419=M1341)"),"SOLO LINEA BASE")</f>
        <v>SOLO LINEA BASE</v>
      </c>
      <c r="K1341" s="12" t="s">
        <v>2013</v>
      </c>
      <c r="L1341" s="11" t="s">
        <v>111</v>
      </c>
      <c r="M1341" s="12" t="str">
        <f t="shared" ca="1" si="5"/>
        <v>JOSE CARLOS MARIATEGUI4 Secundaria</v>
      </c>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4"/>
    </row>
    <row r="1342" spans="1:36" ht="12.5" x14ac:dyDescent="0.25">
      <c r="A1342" s="9">
        <v>3609</v>
      </c>
      <c r="B1342" s="10" t="s">
        <v>54</v>
      </c>
      <c r="C1342" s="10" t="s">
        <v>41</v>
      </c>
      <c r="D1342" s="10" t="s">
        <v>43</v>
      </c>
      <c r="E1342" s="11" t="str">
        <f ca="1">IFERROR(__xludf.DUMMYFUNCTION("FILTER(Colegios!$B$2:$B2419,Colegios!$A$2:$A2419=L1342)"),"JOSE CARLOS MARIATEGUI")</f>
        <v>JOSE CARLOS MARIATEGUI</v>
      </c>
      <c r="F1342" s="11" t="s">
        <v>17</v>
      </c>
      <c r="G1342" s="10" t="s">
        <v>24</v>
      </c>
      <c r="H1342" s="11" t="s">
        <v>23</v>
      </c>
      <c r="I1342" s="11">
        <v>2022</v>
      </c>
      <c r="J1342" s="12" t="str">
        <f ca="1">IFERROR(__xludf.DUMMYFUNCTION("FILTER('CLASFICACIÓN'!$F$3:$F2419,'CLASFICACIÓN'!$G$3:$G2419=M1342)"),"SOLO LINEA BASE")</f>
        <v>SOLO LINEA BASE</v>
      </c>
      <c r="K1342" s="12" t="s">
        <v>2013</v>
      </c>
      <c r="L1342" s="11" t="s">
        <v>111</v>
      </c>
      <c r="M1342" s="12" t="str">
        <f t="shared" ca="1" si="5"/>
        <v>JOSE CARLOS MARIATEGUI4 Secundaria</v>
      </c>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4"/>
    </row>
    <row r="1343" spans="1:36" ht="12.5" x14ac:dyDescent="0.25">
      <c r="A1343" s="9">
        <v>3610</v>
      </c>
      <c r="B1343" s="10" t="s">
        <v>54</v>
      </c>
      <c r="C1343" s="10" t="s">
        <v>41</v>
      </c>
      <c r="D1343" s="10" t="s">
        <v>43</v>
      </c>
      <c r="E1343" s="11" t="str">
        <f ca="1">IFERROR(__xludf.DUMMYFUNCTION("FILTER(Colegios!$B$2:$B2419,Colegios!$A$2:$A2419=L1343)"),"JOSE CARLOS MARIATEGUI")</f>
        <v>JOSE CARLOS MARIATEGUI</v>
      </c>
      <c r="F1343" s="11" t="s">
        <v>17</v>
      </c>
      <c r="G1343" s="10" t="s">
        <v>18</v>
      </c>
      <c r="H1343" s="11" t="s">
        <v>23</v>
      </c>
      <c r="I1343" s="11">
        <v>2022</v>
      </c>
      <c r="J1343" s="12" t="str">
        <f ca="1">IFERROR(__xludf.DUMMYFUNCTION("FILTER('CLASFICACIÓN'!$F$3:$F2419,'CLASFICACIÓN'!$G$3:$G2419=M1343)"),"SOLO LINEA BASE")</f>
        <v>SOLO LINEA BASE</v>
      </c>
      <c r="K1343" s="12" t="s">
        <v>2013</v>
      </c>
      <c r="L1343" s="11" t="s">
        <v>111</v>
      </c>
      <c r="M1343" s="12" t="str">
        <f t="shared" ca="1" si="5"/>
        <v>JOSE CARLOS MARIATEGUI4 Secundaria</v>
      </c>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4"/>
    </row>
    <row r="1344" spans="1:36" ht="12.5" x14ac:dyDescent="0.25">
      <c r="A1344" s="9">
        <v>3611</v>
      </c>
      <c r="B1344" s="10" t="s">
        <v>54</v>
      </c>
      <c r="C1344" s="10" t="s">
        <v>41</v>
      </c>
      <c r="D1344" s="10" t="s">
        <v>43</v>
      </c>
      <c r="E1344" s="11" t="str">
        <f ca="1">IFERROR(__xludf.DUMMYFUNCTION("FILTER(Colegios!$B$2:$B2419,Colegios!$A$2:$A2419=L1344)"),"JOSE CARLOS MARIATEGUI")</f>
        <v>JOSE CARLOS MARIATEGUI</v>
      </c>
      <c r="F1344" s="11" t="s">
        <v>17</v>
      </c>
      <c r="G1344" s="10" t="s">
        <v>18</v>
      </c>
      <c r="H1344" s="11" t="s">
        <v>19</v>
      </c>
      <c r="I1344" s="11">
        <v>2022</v>
      </c>
      <c r="J1344" s="12" t="str">
        <f ca="1">IFERROR(__xludf.DUMMYFUNCTION("FILTER('CLASFICACIÓN'!$F$3:$F2419,'CLASFICACIÓN'!$G$3:$G2419=M1344)"),"SOLO LINEA BASE")</f>
        <v>SOLO LINEA BASE</v>
      </c>
      <c r="K1344" s="12" t="s">
        <v>2013</v>
      </c>
      <c r="L1344" s="11" t="s">
        <v>111</v>
      </c>
      <c r="M1344" s="12" t="str">
        <f t="shared" ca="1" si="5"/>
        <v>JOSE CARLOS MARIATEGUI4 Secundaria</v>
      </c>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4"/>
    </row>
    <row r="1345" spans="1:36" ht="12.5" x14ac:dyDescent="0.25">
      <c r="A1345" s="9">
        <v>3612</v>
      </c>
      <c r="B1345" s="10" t="s">
        <v>54</v>
      </c>
      <c r="C1345" s="10" t="s">
        <v>41</v>
      </c>
      <c r="D1345" s="10" t="s">
        <v>43</v>
      </c>
      <c r="E1345" s="11" t="str">
        <f ca="1">IFERROR(__xludf.DUMMYFUNCTION("FILTER(Colegios!$B$2:$B2419,Colegios!$A$2:$A2419=L1345)"),"JOSE CARLOS MARIATEGUI")</f>
        <v>JOSE CARLOS MARIATEGUI</v>
      </c>
      <c r="F1345" s="11" t="s">
        <v>17</v>
      </c>
      <c r="G1345" s="10" t="s">
        <v>24</v>
      </c>
      <c r="H1345" s="11" t="s">
        <v>25</v>
      </c>
      <c r="I1345" s="11">
        <v>2022</v>
      </c>
      <c r="J1345" s="12" t="str">
        <f ca="1">IFERROR(__xludf.DUMMYFUNCTION("FILTER('CLASFICACIÓN'!$F$3:$F2419,'CLASFICACIÓN'!$G$3:$G2419=M1345)"),"SOLO LINEA BASE")</f>
        <v>SOLO LINEA BASE</v>
      </c>
      <c r="K1345" s="12" t="s">
        <v>2013</v>
      </c>
      <c r="L1345" s="11" t="s">
        <v>111</v>
      </c>
      <c r="M1345" s="12" t="str">
        <f t="shared" ca="1" si="5"/>
        <v>JOSE CARLOS MARIATEGUI4 Secundaria</v>
      </c>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4"/>
    </row>
    <row r="1346" spans="1:36" ht="12.5" x14ac:dyDescent="0.25">
      <c r="A1346" s="9">
        <v>3613</v>
      </c>
      <c r="B1346" s="10" t="s">
        <v>54</v>
      </c>
      <c r="C1346" s="10" t="s">
        <v>41</v>
      </c>
      <c r="D1346" s="10" t="s">
        <v>43</v>
      </c>
      <c r="E1346" s="11" t="str">
        <f ca="1">IFERROR(__xludf.DUMMYFUNCTION("FILTER(Colegios!$B$2:$B2419,Colegios!$A$2:$A2419=L1346)"),"JOSE CARLOS MARIATEGUI")</f>
        <v>JOSE CARLOS MARIATEGUI</v>
      </c>
      <c r="F1346" s="11" t="s">
        <v>17</v>
      </c>
      <c r="G1346" s="10" t="s">
        <v>18</v>
      </c>
      <c r="H1346" s="11" t="s">
        <v>19</v>
      </c>
      <c r="I1346" s="11">
        <v>2022</v>
      </c>
      <c r="J1346" s="12" t="str">
        <f ca="1">IFERROR(__xludf.DUMMYFUNCTION("FILTER('CLASFICACIÓN'!$F$3:$F2419,'CLASFICACIÓN'!$G$3:$G2419=M1346)"),"SOLO LINEA BASE")</f>
        <v>SOLO LINEA BASE</v>
      </c>
      <c r="K1346" s="12" t="s">
        <v>2013</v>
      </c>
      <c r="L1346" s="11" t="s">
        <v>111</v>
      </c>
      <c r="M1346" s="12" t="str">
        <f t="shared" ca="1" si="5"/>
        <v>JOSE CARLOS MARIATEGUI4 Secundaria</v>
      </c>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4"/>
    </row>
    <row r="1347" spans="1:36" ht="12.5" x14ac:dyDescent="0.25">
      <c r="A1347" s="9">
        <v>3614</v>
      </c>
      <c r="B1347" s="10" t="s">
        <v>54</v>
      </c>
      <c r="C1347" s="10" t="s">
        <v>41</v>
      </c>
      <c r="D1347" s="10" t="s">
        <v>43</v>
      </c>
      <c r="E1347" s="11" t="str">
        <f ca="1">IFERROR(__xludf.DUMMYFUNCTION("FILTER(Colegios!$B$2:$B2419,Colegios!$A$2:$A2419=L1347)"),"JOSE CARLOS MARIATEGUI")</f>
        <v>JOSE CARLOS MARIATEGUI</v>
      </c>
      <c r="F1347" s="11" t="s">
        <v>17</v>
      </c>
      <c r="G1347" s="10" t="s">
        <v>24</v>
      </c>
      <c r="H1347" s="11" t="s">
        <v>19</v>
      </c>
      <c r="I1347" s="11">
        <v>2022</v>
      </c>
      <c r="J1347" s="12" t="str">
        <f ca="1">IFERROR(__xludf.DUMMYFUNCTION("FILTER('CLASFICACIÓN'!$F$3:$F2419,'CLASFICACIÓN'!$G$3:$G2419=M1347)"),"SOLO LINEA BASE")</f>
        <v>SOLO LINEA BASE</v>
      </c>
      <c r="K1347" s="12" t="s">
        <v>2013</v>
      </c>
      <c r="L1347" s="11" t="s">
        <v>111</v>
      </c>
      <c r="M1347" s="12" t="str">
        <f t="shared" ca="1" si="5"/>
        <v>JOSE CARLOS MARIATEGUI4 Secundaria</v>
      </c>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4"/>
    </row>
    <row r="1348" spans="1:36" ht="12.5" x14ac:dyDescent="0.25">
      <c r="A1348" s="9">
        <v>3615</v>
      </c>
      <c r="B1348" s="10" t="s">
        <v>54</v>
      </c>
      <c r="C1348" s="10" t="s">
        <v>41</v>
      </c>
      <c r="D1348" s="10" t="s">
        <v>43</v>
      </c>
      <c r="E1348" s="11" t="str">
        <f ca="1">IFERROR(__xludf.DUMMYFUNCTION("FILTER(Colegios!$B$2:$B2419,Colegios!$A$2:$A2419=L1348)"),"JOSE CARLOS MARIATEGUI")</f>
        <v>JOSE CARLOS MARIATEGUI</v>
      </c>
      <c r="F1348" s="11" t="s">
        <v>17</v>
      </c>
      <c r="G1348" s="10" t="s">
        <v>24</v>
      </c>
      <c r="H1348" s="11" t="s">
        <v>23</v>
      </c>
      <c r="I1348" s="11">
        <v>2022</v>
      </c>
      <c r="J1348" s="12" t="str">
        <f ca="1">IFERROR(__xludf.DUMMYFUNCTION("FILTER('CLASFICACIÓN'!$F$3:$F2419,'CLASFICACIÓN'!$G$3:$G2419=M1348)"),"SOLO LINEA BASE")</f>
        <v>SOLO LINEA BASE</v>
      </c>
      <c r="K1348" s="12" t="s">
        <v>2013</v>
      </c>
      <c r="L1348" s="11" t="s">
        <v>111</v>
      </c>
      <c r="M1348" s="12" t="str">
        <f t="shared" ca="1" si="5"/>
        <v>JOSE CARLOS MARIATEGUI4 Secundaria</v>
      </c>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4"/>
    </row>
    <row r="1349" spans="1:36" ht="12.5" x14ac:dyDescent="0.25">
      <c r="A1349" s="9">
        <v>3616</v>
      </c>
      <c r="B1349" s="10" t="s">
        <v>54</v>
      </c>
      <c r="C1349" s="10" t="s">
        <v>41</v>
      </c>
      <c r="D1349" s="10" t="s">
        <v>43</v>
      </c>
      <c r="E1349" s="11" t="str">
        <f ca="1">IFERROR(__xludf.DUMMYFUNCTION("FILTER(Colegios!$B$2:$B2419,Colegios!$A$2:$A2419=L1349)"),"JOSE CARLOS MARIATEGUI")</f>
        <v>JOSE CARLOS MARIATEGUI</v>
      </c>
      <c r="F1349" s="11" t="s">
        <v>17</v>
      </c>
      <c r="G1349" s="10" t="s">
        <v>18</v>
      </c>
      <c r="H1349" s="11" t="s">
        <v>19</v>
      </c>
      <c r="I1349" s="11">
        <v>2022</v>
      </c>
      <c r="J1349" s="12" t="str">
        <f ca="1">IFERROR(__xludf.DUMMYFUNCTION("FILTER('CLASFICACIÓN'!$F$3:$F2419,'CLASFICACIÓN'!$G$3:$G2419=M1349)"),"SOLO LINEA BASE")</f>
        <v>SOLO LINEA BASE</v>
      </c>
      <c r="K1349" s="12" t="s">
        <v>2013</v>
      </c>
      <c r="L1349" s="11" t="s">
        <v>111</v>
      </c>
      <c r="M1349" s="12" t="str">
        <f t="shared" ca="1" si="5"/>
        <v>JOSE CARLOS MARIATEGUI4 Secundaria</v>
      </c>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4"/>
    </row>
    <row r="1350" spans="1:36" ht="12.5" x14ac:dyDescent="0.25">
      <c r="A1350" s="9">
        <v>3617</v>
      </c>
      <c r="B1350" s="10" t="s">
        <v>54</v>
      </c>
      <c r="C1350" s="10" t="s">
        <v>41</v>
      </c>
      <c r="D1350" s="10" t="s">
        <v>43</v>
      </c>
      <c r="E1350" s="11" t="str">
        <f ca="1">IFERROR(__xludf.DUMMYFUNCTION("FILTER(Colegios!$B$2:$B2419,Colegios!$A$2:$A2419=L1350)"),"JOSE CARLOS MARIATEGUI")</f>
        <v>JOSE CARLOS MARIATEGUI</v>
      </c>
      <c r="F1350" s="11" t="s">
        <v>17</v>
      </c>
      <c r="G1350" s="10" t="s">
        <v>24</v>
      </c>
      <c r="H1350" s="11" t="s">
        <v>19</v>
      </c>
      <c r="I1350" s="11">
        <v>2022</v>
      </c>
      <c r="J1350" s="12" t="str">
        <f ca="1">IFERROR(__xludf.DUMMYFUNCTION("FILTER('CLASFICACIÓN'!$F$3:$F2419,'CLASFICACIÓN'!$G$3:$G2419=M1350)"),"SOLO LINEA BASE")</f>
        <v>SOLO LINEA BASE</v>
      </c>
      <c r="K1350" s="12" t="s">
        <v>2013</v>
      </c>
      <c r="L1350" s="11" t="s">
        <v>111</v>
      </c>
      <c r="M1350" s="12" t="str">
        <f t="shared" ca="1" si="5"/>
        <v>JOSE CARLOS MARIATEGUI4 Secundaria</v>
      </c>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4"/>
    </row>
    <row r="1351" spans="1:36" ht="12.5" x14ac:dyDescent="0.25">
      <c r="A1351" s="9">
        <v>3618</v>
      </c>
      <c r="B1351" s="10" t="s">
        <v>54</v>
      </c>
      <c r="C1351" s="10" t="s">
        <v>41</v>
      </c>
      <c r="D1351" s="10" t="s">
        <v>43</v>
      </c>
      <c r="E1351" s="11" t="str">
        <f ca="1">IFERROR(__xludf.DUMMYFUNCTION("FILTER(Colegios!$B$2:$B2419,Colegios!$A$2:$A2419=L1351)"),"JOSE CARLOS MARIATEGUI")</f>
        <v>JOSE CARLOS MARIATEGUI</v>
      </c>
      <c r="F1351" s="11" t="s">
        <v>17</v>
      </c>
      <c r="G1351" s="10" t="s">
        <v>24</v>
      </c>
      <c r="H1351" s="11" t="s">
        <v>19</v>
      </c>
      <c r="I1351" s="11">
        <v>2022</v>
      </c>
      <c r="J1351" s="12" t="str">
        <f ca="1">IFERROR(__xludf.DUMMYFUNCTION("FILTER('CLASFICACIÓN'!$F$3:$F2419,'CLASFICACIÓN'!$G$3:$G2419=M1351)"),"SOLO LINEA BASE")</f>
        <v>SOLO LINEA BASE</v>
      </c>
      <c r="K1351" s="12" t="s">
        <v>2013</v>
      </c>
      <c r="L1351" s="11" t="s">
        <v>111</v>
      </c>
      <c r="M1351" s="12" t="str">
        <f t="shared" ca="1" si="5"/>
        <v>JOSE CARLOS MARIATEGUI4 Secundaria</v>
      </c>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4"/>
    </row>
    <row r="1352" spans="1:36" ht="12.5" x14ac:dyDescent="0.25">
      <c r="A1352" s="9">
        <v>3619</v>
      </c>
      <c r="B1352" s="10" t="s">
        <v>54</v>
      </c>
      <c r="C1352" s="10" t="s">
        <v>41</v>
      </c>
      <c r="D1352" s="10" t="s">
        <v>43</v>
      </c>
      <c r="E1352" s="11" t="str">
        <f ca="1">IFERROR(__xludf.DUMMYFUNCTION("FILTER(Colegios!$B$2:$B2419,Colegios!$A$2:$A2419=L1352)"),"JOSE CARLOS MARIATEGUI")</f>
        <v>JOSE CARLOS MARIATEGUI</v>
      </c>
      <c r="F1352" s="11" t="s">
        <v>17</v>
      </c>
      <c r="G1352" s="10" t="s">
        <v>24</v>
      </c>
      <c r="H1352" s="11" t="s">
        <v>19</v>
      </c>
      <c r="I1352" s="11">
        <v>2022</v>
      </c>
      <c r="J1352" s="12" t="str">
        <f ca="1">IFERROR(__xludf.DUMMYFUNCTION("FILTER('CLASFICACIÓN'!$F$3:$F2419,'CLASFICACIÓN'!$G$3:$G2419=M1352)"),"SOLO LINEA BASE")</f>
        <v>SOLO LINEA BASE</v>
      </c>
      <c r="K1352" s="12" t="s">
        <v>2013</v>
      </c>
      <c r="L1352" s="11" t="s">
        <v>111</v>
      </c>
      <c r="M1352" s="12" t="str">
        <f t="shared" ca="1" si="5"/>
        <v>JOSE CARLOS MARIATEGUI4 Secundaria</v>
      </c>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4"/>
    </row>
    <row r="1353" spans="1:36" ht="12.5" x14ac:dyDescent="0.25">
      <c r="A1353" s="9">
        <v>3620</v>
      </c>
      <c r="B1353" s="10" t="s">
        <v>54</v>
      </c>
      <c r="C1353" s="10" t="s">
        <v>41</v>
      </c>
      <c r="D1353" s="10" t="s">
        <v>43</v>
      </c>
      <c r="E1353" s="11" t="str">
        <f ca="1">IFERROR(__xludf.DUMMYFUNCTION("FILTER(Colegios!$B$2:$B2419,Colegios!$A$2:$A2419=L1353)"),"JOSE CARLOS MARIATEGUI")</f>
        <v>JOSE CARLOS MARIATEGUI</v>
      </c>
      <c r="F1353" s="11" t="s">
        <v>17</v>
      </c>
      <c r="G1353" s="10" t="s">
        <v>18</v>
      </c>
      <c r="H1353" s="11" t="s">
        <v>23</v>
      </c>
      <c r="I1353" s="11">
        <v>2022</v>
      </c>
      <c r="J1353" s="12" t="str">
        <f ca="1">IFERROR(__xludf.DUMMYFUNCTION("FILTER('CLASFICACIÓN'!$F$3:$F2419,'CLASFICACIÓN'!$G$3:$G2419=M1353)"),"SOLO LINEA BASE")</f>
        <v>SOLO LINEA BASE</v>
      </c>
      <c r="K1353" s="12" t="s">
        <v>2013</v>
      </c>
      <c r="L1353" s="11" t="s">
        <v>111</v>
      </c>
      <c r="M1353" s="12" t="str">
        <f t="shared" ca="1" si="5"/>
        <v>JOSE CARLOS MARIATEGUI4 Secundaria</v>
      </c>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4"/>
    </row>
    <row r="1354" spans="1:36" ht="12.5" x14ac:dyDescent="0.25">
      <c r="A1354" s="9">
        <v>3621</v>
      </c>
      <c r="B1354" s="10" t="s">
        <v>54</v>
      </c>
      <c r="C1354" s="10" t="s">
        <v>41</v>
      </c>
      <c r="D1354" s="10" t="s">
        <v>43</v>
      </c>
      <c r="E1354" s="11" t="str">
        <f ca="1">IFERROR(__xludf.DUMMYFUNCTION("FILTER(Colegios!$B$2:$B2419,Colegios!$A$2:$A2419=L1354)"),"RAMON CASTILLA MARQUEZADO")</f>
        <v>RAMON CASTILLA MARQUEZADO</v>
      </c>
      <c r="F1354" s="11" t="s">
        <v>17</v>
      </c>
      <c r="G1354" s="10" t="s">
        <v>24</v>
      </c>
      <c r="H1354" s="11" t="s">
        <v>19</v>
      </c>
      <c r="I1354" s="11">
        <v>2022</v>
      </c>
      <c r="J1354" s="12" t="str">
        <f ca="1">IFERROR(__xludf.DUMMYFUNCTION("FILTER('CLASFICACIÓN'!$F$3:$F2419,'CLASFICACIÓN'!$G$3:$G2419=M1354)"),"SOLO LINEA BASE")</f>
        <v>SOLO LINEA BASE</v>
      </c>
      <c r="K1354" s="12" t="s">
        <v>2013</v>
      </c>
      <c r="L1354" s="11" t="s">
        <v>112</v>
      </c>
      <c r="M1354" s="12" t="str">
        <f t="shared" ca="1" si="5"/>
        <v>RAMON CASTILLA MARQUEZADO4 Secundaria</v>
      </c>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4"/>
    </row>
    <row r="1355" spans="1:36" ht="12.5" x14ac:dyDescent="0.25">
      <c r="A1355" s="9">
        <v>3622</v>
      </c>
      <c r="B1355" s="10" t="s">
        <v>54</v>
      </c>
      <c r="C1355" s="10" t="s">
        <v>41</v>
      </c>
      <c r="D1355" s="10" t="s">
        <v>43</v>
      </c>
      <c r="E1355" s="11" t="str">
        <f ca="1">IFERROR(__xludf.DUMMYFUNCTION("FILTER(Colegios!$B$2:$B2419,Colegios!$A$2:$A2419=L1355)"),"RAMON CASTILLA MARQUEZADO")</f>
        <v>RAMON CASTILLA MARQUEZADO</v>
      </c>
      <c r="F1355" s="11" t="s">
        <v>17</v>
      </c>
      <c r="G1355" s="10" t="s">
        <v>18</v>
      </c>
      <c r="H1355" s="11" t="s">
        <v>19</v>
      </c>
      <c r="I1355" s="11">
        <v>2022</v>
      </c>
      <c r="J1355" s="12" t="str">
        <f ca="1">IFERROR(__xludf.DUMMYFUNCTION("FILTER('CLASFICACIÓN'!$F$3:$F2419,'CLASFICACIÓN'!$G$3:$G2419=M1355)"),"SOLO LINEA BASE")</f>
        <v>SOLO LINEA BASE</v>
      </c>
      <c r="K1355" s="12" t="s">
        <v>2013</v>
      </c>
      <c r="L1355" s="11" t="s">
        <v>112</v>
      </c>
      <c r="M1355" s="12" t="str">
        <f t="shared" ca="1" si="5"/>
        <v>RAMON CASTILLA MARQUEZADO4 Secundaria</v>
      </c>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4"/>
    </row>
    <row r="1356" spans="1:36" ht="12.5" x14ac:dyDescent="0.25">
      <c r="A1356" s="9">
        <v>3623</v>
      </c>
      <c r="B1356" s="10" t="s">
        <v>54</v>
      </c>
      <c r="C1356" s="10" t="s">
        <v>41</v>
      </c>
      <c r="D1356" s="10" t="s">
        <v>43</v>
      </c>
      <c r="E1356" s="11" t="str">
        <f ca="1">IFERROR(__xludf.DUMMYFUNCTION("FILTER(Colegios!$B$2:$B2419,Colegios!$A$2:$A2419=L1356)"),"RAMON CASTILLA MARQUEZADO")</f>
        <v>RAMON CASTILLA MARQUEZADO</v>
      </c>
      <c r="F1356" s="11" t="s">
        <v>17</v>
      </c>
      <c r="G1356" s="10" t="s">
        <v>18</v>
      </c>
      <c r="H1356" s="11" t="s">
        <v>23</v>
      </c>
      <c r="I1356" s="11">
        <v>2022</v>
      </c>
      <c r="J1356" s="12" t="str">
        <f ca="1">IFERROR(__xludf.DUMMYFUNCTION("FILTER('CLASFICACIÓN'!$F$3:$F2419,'CLASFICACIÓN'!$G$3:$G2419=M1356)"),"SOLO LINEA BASE")</f>
        <v>SOLO LINEA BASE</v>
      </c>
      <c r="K1356" s="12" t="s">
        <v>2013</v>
      </c>
      <c r="L1356" s="11" t="s">
        <v>112</v>
      </c>
      <c r="M1356" s="12" t="str">
        <f t="shared" ca="1" si="5"/>
        <v>RAMON CASTILLA MARQUEZADO4 Secundaria</v>
      </c>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4"/>
    </row>
    <row r="1357" spans="1:36" ht="12.5" x14ac:dyDescent="0.25">
      <c r="A1357" s="9">
        <v>3624</v>
      </c>
      <c r="B1357" s="10" t="s">
        <v>54</v>
      </c>
      <c r="C1357" s="10" t="s">
        <v>41</v>
      </c>
      <c r="D1357" s="10" t="s">
        <v>43</v>
      </c>
      <c r="E1357" s="11" t="str">
        <f ca="1">IFERROR(__xludf.DUMMYFUNCTION("FILTER(Colegios!$B$2:$B2419,Colegios!$A$2:$A2419=L1357)"),"RAMON CASTILLA MARQUEZADO")</f>
        <v>RAMON CASTILLA MARQUEZADO</v>
      </c>
      <c r="F1357" s="11" t="s">
        <v>17</v>
      </c>
      <c r="G1357" s="10" t="s">
        <v>24</v>
      </c>
      <c r="H1357" s="11" t="s">
        <v>23</v>
      </c>
      <c r="I1357" s="11">
        <v>2022</v>
      </c>
      <c r="J1357" s="12" t="str">
        <f ca="1">IFERROR(__xludf.DUMMYFUNCTION("FILTER('CLASFICACIÓN'!$F$3:$F2419,'CLASFICACIÓN'!$G$3:$G2419=M1357)"),"SOLO LINEA BASE")</f>
        <v>SOLO LINEA BASE</v>
      </c>
      <c r="K1357" s="12" t="s">
        <v>2013</v>
      </c>
      <c r="L1357" s="11" t="s">
        <v>112</v>
      </c>
      <c r="M1357" s="12" t="str">
        <f t="shared" ca="1" si="5"/>
        <v>RAMON CASTILLA MARQUEZADO4 Secundaria</v>
      </c>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4"/>
    </row>
    <row r="1358" spans="1:36" ht="12.5" x14ac:dyDescent="0.25">
      <c r="A1358" s="9">
        <v>3625</v>
      </c>
      <c r="B1358" s="10" t="s">
        <v>54</v>
      </c>
      <c r="C1358" s="10" t="s">
        <v>41</v>
      </c>
      <c r="D1358" s="10" t="s">
        <v>43</v>
      </c>
      <c r="E1358" s="11" t="str">
        <f ca="1">IFERROR(__xludf.DUMMYFUNCTION("FILTER(Colegios!$B$2:$B2419,Colegios!$A$2:$A2419=L1358)"),"RAMON CASTILLA MARQUEZADO")</f>
        <v>RAMON CASTILLA MARQUEZADO</v>
      </c>
      <c r="F1358" s="11" t="s">
        <v>17</v>
      </c>
      <c r="G1358" s="10" t="s">
        <v>24</v>
      </c>
      <c r="H1358" s="11" t="s">
        <v>23</v>
      </c>
      <c r="I1358" s="11">
        <v>2022</v>
      </c>
      <c r="J1358" s="12" t="str">
        <f ca="1">IFERROR(__xludf.DUMMYFUNCTION("FILTER('CLASFICACIÓN'!$F$3:$F2419,'CLASFICACIÓN'!$G$3:$G2419=M1358)"),"SOLO LINEA BASE")</f>
        <v>SOLO LINEA BASE</v>
      </c>
      <c r="K1358" s="12" t="s">
        <v>2013</v>
      </c>
      <c r="L1358" s="11" t="s">
        <v>112</v>
      </c>
      <c r="M1358" s="12" t="str">
        <f t="shared" ca="1" si="5"/>
        <v>RAMON CASTILLA MARQUEZADO4 Secundaria</v>
      </c>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4"/>
    </row>
    <row r="1359" spans="1:36" ht="12.5" x14ac:dyDescent="0.25">
      <c r="A1359" s="9">
        <v>3626</v>
      </c>
      <c r="B1359" s="10" t="s">
        <v>54</v>
      </c>
      <c r="C1359" s="10" t="s">
        <v>41</v>
      </c>
      <c r="D1359" s="10" t="s">
        <v>43</v>
      </c>
      <c r="E1359" s="11" t="str">
        <f ca="1">IFERROR(__xludf.DUMMYFUNCTION("FILTER(Colegios!$B$2:$B2419,Colegios!$A$2:$A2419=L1359)"),"RAMON CASTILLA MARQUEZADO")</f>
        <v>RAMON CASTILLA MARQUEZADO</v>
      </c>
      <c r="F1359" s="11" t="s">
        <v>17</v>
      </c>
      <c r="G1359" s="10" t="s">
        <v>18</v>
      </c>
      <c r="H1359" s="11" t="s">
        <v>19</v>
      </c>
      <c r="I1359" s="11">
        <v>2022</v>
      </c>
      <c r="J1359" s="12" t="str">
        <f ca="1">IFERROR(__xludf.DUMMYFUNCTION("FILTER('CLASFICACIÓN'!$F$3:$F2419,'CLASFICACIÓN'!$G$3:$G2419=M1359)"),"SOLO LINEA BASE")</f>
        <v>SOLO LINEA BASE</v>
      </c>
      <c r="K1359" s="12" t="s">
        <v>2013</v>
      </c>
      <c r="L1359" s="11" t="s">
        <v>112</v>
      </c>
      <c r="M1359" s="12" t="str">
        <f t="shared" ca="1" si="5"/>
        <v>RAMON CASTILLA MARQUEZADO4 Secundaria</v>
      </c>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4"/>
    </row>
    <row r="1360" spans="1:36" ht="12.5" x14ac:dyDescent="0.25">
      <c r="A1360" s="9">
        <v>3627</v>
      </c>
      <c r="B1360" s="10" t="s">
        <v>54</v>
      </c>
      <c r="C1360" s="10" t="s">
        <v>41</v>
      </c>
      <c r="D1360" s="10" t="s">
        <v>43</v>
      </c>
      <c r="E1360" s="11" t="str">
        <f ca="1">IFERROR(__xludf.DUMMYFUNCTION("FILTER(Colegios!$B$2:$B2419,Colegios!$A$2:$A2419=L1360)"),"RAMON CASTILLA MARQUEZADO")</f>
        <v>RAMON CASTILLA MARQUEZADO</v>
      </c>
      <c r="F1360" s="11" t="s">
        <v>17</v>
      </c>
      <c r="G1360" s="10" t="s">
        <v>24</v>
      </c>
      <c r="H1360" s="11" t="s">
        <v>23</v>
      </c>
      <c r="I1360" s="11">
        <v>2022</v>
      </c>
      <c r="J1360" s="12" t="str">
        <f ca="1">IFERROR(__xludf.DUMMYFUNCTION("FILTER('CLASFICACIÓN'!$F$3:$F2419,'CLASFICACIÓN'!$G$3:$G2419=M1360)"),"SOLO LINEA BASE")</f>
        <v>SOLO LINEA BASE</v>
      </c>
      <c r="K1360" s="12" t="s">
        <v>2013</v>
      </c>
      <c r="L1360" s="11" t="s">
        <v>112</v>
      </c>
      <c r="M1360" s="12" t="str">
        <f t="shared" ca="1" si="5"/>
        <v>RAMON CASTILLA MARQUEZADO4 Secundaria</v>
      </c>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4"/>
    </row>
    <row r="1361" spans="1:36" ht="12.5" x14ac:dyDescent="0.25">
      <c r="A1361" s="9">
        <v>3628</v>
      </c>
      <c r="B1361" s="10" t="s">
        <v>54</v>
      </c>
      <c r="C1361" s="10" t="s">
        <v>15</v>
      </c>
      <c r="D1361" s="10" t="s">
        <v>37</v>
      </c>
      <c r="E1361" s="11" t="str">
        <f ca="1">IFERROR(__xludf.DUMMYFUNCTION("FILTER(Colegios!$B$2:$B2419,Colegios!$A$2:$A2419=L1361)"),"36166 HEROES 29 DE AGOSTO")</f>
        <v>36166 HEROES 29 DE AGOSTO</v>
      </c>
      <c r="F1361" s="11" t="s">
        <v>17</v>
      </c>
      <c r="G1361" s="10" t="s">
        <v>18</v>
      </c>
      <c r="H1361" s="11" t="s">
        <v>19</v>
      </c>
      <c r="I1361" s="11">
        <v>2022</v>
      </c>
      <c r="J1361" s="12" t="str">
        <f ca="1">IFERROR(__xludf.DUMMYFUNCTION("FILTER('CLASFICACIÓN'!$F$3:$F2419,'CLASFICACIÓN'!$G$3:$G2419=M1361)"),"SOLO LINEA BASE")</f>
        <v>SOLO LINEA BASE</v>
      </c>
      <c r="K1361" s="12" t="s">
        <v>2013</v>
      </c>
      <c r="L1361" s="11" t="s">
        <v>106</v>
      </c>
      <c r="M1361" s="12" t="str">
        <f t="shared" ca="1" si="5"/>
        <v>36166 HEROES 29 DE AGOSTO6 Primaria</v>
      </c>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4"/>
    </row>
    <row r="1362" spans="1:36" ht="12.5" x14ac:dyDescent="0.25">
      <c r="A1362" s="9">
        <v>3629</v>
      </c>
      <c r="B1362" s="10" t="s">
        <v>54</v>
      </c>
      <c r="C1362" s="10" t="s">
        <v>15</v>
      </c>
      <c r="D1362" s="10" t="s">
        <v>37</v>
      </c>
      <c r="E1362" s="11" t="str">
        <f ca="1">IFERROR(__xludf.DUMMYFUNCTION("FILTER(Colegios!$B$2:$B2419,Colegios!$A$2:$A2419=L1362)"),"36166 HEROES 29 DE AGOSTO")</f>
        <v>36166 HEROES 29 DE AGOSTO</v>
      </c>
      <c r="F1362" s="11" t="s">
        <v>17</v>
      </c>
      <c r="G1362" s="10" t="s">
        <v>24</v>
      </c>
      <c r="H1362" s="11" t="s">
        <v>23</v>
      </c>
      <c r="I1362" s="11">
        <v>2022</v>
      </c>
      <c r="J1362" s="12" t="str">
        <f ca="1">IFERROR(__xludf.DUMMYFUNCTION("FILTER('CLASFICACIÓN'!$F$3:$F2419,'CLASFICACIÓN'!$G$3:$G2419=M1362)"),"SOLO LINEA BASE")</f>
        <v>SOLO LINEA BASE</v>
      </c>
      <c r="K1362" s="12" t="s">
        <v>2013</v>
      </c>
      <c r="L1362" s="11" t="s">
        <v>106</v>
      </c>
      <c r="M1362" s="12" t="str">
        <f t="shared" ca="1" si="5"/>
        <v>36166 HEROES 29 DE AGOSTO6 Primaria</v>
      </c>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4"/>
    </row>
    <row r="1363" spans="1:36" ht="12.5" x14ac:dyDescent="0.25">
      <c r="A1363" s="9">
        <v>3630</v>
      </c>
      <c r="B1363" s="10" t="s">
        <v>54</v>
      </c>
      <c r="C1363" s="10" t="s">
        <v>15</v>
      </c>
      <c r="D1363" s="10" t="s">
        <v>37</v>
      </c>
      <c r="E1363" s="11" t="str">
        <f ca="1">IFERROR(__xludf.DUMMYFUNCTION("FILTER(Colegios!$B$2:$B2419,Colegios!$A$2:$A2419=L1363)"),"36166 HEROES 29 DE AGOSTO")</f>
        <v>36166 HEROES 29 DE AGOSTO</v>
      </c>
      <c r="F1363" s="11" t="s">
        <v>17</v>
      </c>
      <c r="G1363" s="10" t="s">
        <v>18</v>
      </c>
      <c r="H1363" s="11" t="s">
        <v>23</v>
      </c>
      <c r="I1363" s="11">
        <v>2022</v>
      </c>
      <c r="J1363" s="12" t="str">
        <f ca="1">IFERROR(__xludf.DUMMYFUNCTION("FILTER('CLASFICACIÓN'!$F$3:$F2419,'CLASFICACIÓN'!$G$3:$G2419=M1363)"),"SOLO LINEA BASE")</f>
        <v>SOLO LINEA BASE</v>
      </c>
      <c r="K1363" s="12" t="s">
        <v>2013</v>
      </c>
      <c r="L1363" s="11" t="s">
        <v>106</v>
      </c>
      <c r="M1363" s="12" t="str">
        <f t="shared" ca="1" si="5"/>
        <v>36166 HEROES 29 DE AGOSTO6 Primaria</v>
      </c>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4"/>
    </row>
    <row r="1364" spans="1:36" ht="12.5" x14ac:dyDescent="0.25">
      <c r="A1364" s="9">
        <v>3631</v>
      </c>
      <c r="B1364" s="10" t="s">
        <v>54</v>
      </c>
      <c r="C1364" s="10" t="s">
        <v>15</v>
      </c>
      <c r="D1364" s="10" t="s">
        <v>37</v>
      </c>
      <c r="E1364" s="11" t="str">
        <f ca="1">IFERROR(__xludf.DUMMYFUNCTION("FILTER(Colegios!$B$2:$B2419,Colegios!$A$2:$A2419=L1364)"),"36166 HEROES 29 DE AGOSTO")</f>
        <v>36166 HEROES 29 DE AGOSTO</v>
      </c>
      <c r="F1364" s="11" t="s">
        <v>17</v>
      </c>
      <c r="G1364" s="10" t="s">
        <v>18</v>
      </c>
      <c r="H1364" s="11" t="s">
        <v>23</v>
      </c>
      <c r="I1364" s="11">
        <v>2022</v>
      </c>
      <c r="J1364" s="12" t="str">
        <f ca="1">IFERROR(__xludf.DUMMYFUNCTION("FILTER('CLASFICACIÓN'!$F$3:$F2419,'CLASFICACIÓN'!$G$3:$G2419=M1364)"),"SOLO LINEA BASE")</f>
        <v>SOLO LINEA BASE</v>
      </c>
      <c r="K1364" s="12" t="s">
        <v>2013</v>
      </c>
      <c r="L1364" s="11" t="s">
        <v>106</v>
      </c>
      <c r="M1364" s="12" t="str">
        <f t="shared" ca="1" si="5"/>
        <v>36166 HEROES 29 DE AGOSTO6 Primaria</v>
      </c>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4"/>
    </row>
    <row r="1365" spans="1:36" ht="12.5" x14ac:dyDescent="0.25">
      <c r="A1365" s="9">
        <v>3632</v>
      </c>
      <c r="B1365" s="10" t="s">
        <v>54</v>
      </c>
      <c r="C1365" s="10" t="s">
        <v>15</v>
      </c>
      <c r="D1365" s="10" t="s">
        <v>37</v>
      </c>
      <c r="E1365" s="11" t="str">
        <f ca="1">IFERROR(__xludf.DUMMYFUNCTION("FILTER(Colegios!$B$2:$B2419,Colegios!$A$2:$A2419=L1365)"),"36166 HEROES 29 DE AGOSTO")</f>
        <v>36166 HEROES 29 DE AGOSTO</v>
      </c>
      <c r="F1365" s="11" t="s">
        <v>17</v>
      </c>
      <c r="G1365" s="10" t="s">
        <v>18</v>
      </c>
      <c r="H1365" s="11" t="s">
        <v>23</v>
      </c>
      <c r="I1365" s="11">
        <v>2022</v>
      </c>
      <c r="J1365" s="12" t="str">
        <f ca="1">IFERROR(__xludf.DUMMYFUNCTION("FILTER('CLASFICACIÓN'!$F$3:$F2419,'CLASFICACIÓN'!$G$3:$G2419=M1365)"),"SOLO LINEA BASE")</f>
        <v>SOLO LINEA BASE</v>
      </c>
      <c r="K1365" s="12" t="s">
        <v>2013</v>
      </c>
      <c r="L1365" s="11" t="s">
        <v>106</v>
      </c>
      <c r="M1365" s="12" t="str">
        <f t="shared" ca="1" si="5"/>
        <v>36166 HEROES 29 DE AGOSTO6 Primaria</v>
      </c>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4"/>
    </row>
    <row r="1366" spans="1:36" ht="12.5" x14ac:dyDescent="0.25">
      <c r="A1366" s="9">
        <v>3633</v>
      </c>
      <c r="B1366" s="10" t="s">
        <v>54</v>
      </c>
      <c r="C1366" s="10" t="s">
        <v>15</v>
      </c>
      <c r="D1366" s="10" t="s">
        <v>37</v>
      </c>
      <c r="E1366" s="11" t="str">
        <f ca="1">IFERROR(__xludf.DUMMYFUNCTION("FILTER(Colegios!$B$2:$B2419,Colegios!$A$2:$A2419=L1366)"),"36166 HEROES 29 DE AGOSTO")</f>
        <v>36166 HEROES 29 DE AGOSTO</v>
      </c>
      <c r="F1366" s="11" t="s">
        <v>17</v>
      </c>
      <c r="G1366" s="10" t="s">
        <v>18</v>
      </c>
      <c r="H1366" s="11" t="s">
        <v>23</v>
      </c>
      <c r="I1366" s="11">
        <v>2022</v>
      </c>
      <c r="J1366" s="12" t="str">
        <f ca="1">IFERROR(__xludf.DUMMYFUNCTION("FILTER('CLASFICACIÓN'!$F$3:$F2419,'CLASFICACIÓN'!$G$3:$G2419=M1366)"),"SOLO LINEA BASE")</f>
        <v>SOLO LINEA BASE</v>
      </c>
      <c r="K1366" s="12" t="s">
        <v>2013</v>
      </c>
      <c r="L1366" s="11" t="s">
        <v>106</v>
      </c>
      <c r="M1366" s="12" t="str">
        <f t="shared" ca="1" si="5"/>
        <v>36166 HEROES 29 DE AGOSTO6 Primaria</v>
      </c>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4"/>
    </row>
    <row r="1367" spans="1:36" ht="12.5" x14ac:dyDescent="0.25">
      <c r="A1367" s="9">
        <v>3634</v>
      </c>
      <c r="B1367" s="10" t="s">
        <v>54</v>
      </c>
      <c r="C1367" s="10" t="s">
        <v>15</v>
      </c>
      <c r="D1367" s="10" t="s">
        <v>37</v>
      </c>
      <c r="E1367" s="11" t="str">
        <f ca="1">IFERROR(__xludf.DUMMYFUNCTION("FILTER(Colegios!$B$2:$B2419,Colegios!$A$2:$A2419=L1367)"),"36166 HEROES 29 DE AGOSTO")</f>
        <v>36166 HEROES 29 DE AGOSTO</v>
      </c>
      <c r="F1367" s="11" t="s">
        <v>17</v>
      </c>
      <c r="G1367" s="10" t="s">
        <v>18</v>
      </c>
      <c r="H1367" s="11" t="s">
        <v>23</v>
      </c>
      <c r="I1367" s="11">
        <v>2022</v>
      </c>
      <c r="J1367" s="12" t="str">
        <f ca="1">IFERROR(__xludf.DUMMYFUNCTION("FILTER('CLASFICACIÓN'!$F$3:$F2419,'CLASFICACIÓN'!$G$3:$G2419=M1367)"),"SOLO LINEA BASE")</f>
        <v>SOLO LINEA BASE</v>
      </c>
      <c r="K1367" s="12" t="s">
        <v>2013</v>
      </c>
      <c r="L1367" s="11" t="s">
        <v>106</v>
      </c>
      <c r="M1367" s="12" t="str">
        <f t="shared" ca="1" si="5"/>
        <v>36166 HEROES 29 DE AGOSTO6 Primaria</v>
      </c>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4"/>
    </row>
    <row r="1368" spans="1:36" ht="12.5" x14ac:dyDescent="0.25">
      <c r="A1368" s="9">
        <v>3635</v>
      </c>
      <c r="B1368" s="10" t="s">
        <v>54</v>
      </c>
      <c r="C1368" s="10" t="s">
        <v>15</v>
      </c>
      <c r="D1368" s="10" t="s">
        <v>37</v>
      </c>
      <c r="E1368" s="11" t="str">
        <f ca="1">IFERROR(__xludf.DUMMYFUNCTION("FILTER(Colegios!$B$2:$B2419,Colegios!$A$2:$A2419=L1368)"),"36166 HEROES 29 DE AGOSTO")</f>
        <v>36166 HEROES 29 DE AGOSTO</v>
      </c>
      <c r="F1368" s="11" t="s">
        <v>17</v>
      </c>
      <c r="G1368" s="10" t="s">
        <v>18</v>
      </c>
      <c r="H1368" s="11" t="s">
        <v>23</v>
      </c>
      <c r="I1368" s="11">
        <v>2022</v>
      </c>
      <c r="J1368" s="12" t="str">
        <f ca="1">IFERROR(__xludf.DUMMYFUNCTION("FILTER('CLASFICACIÓN'!$F$3:$F2419,'CLASFICACIÓN'!$G$3:$G2419=M1368)"),"SOLO LINEA BASE")</f>
        <v>SOLO LINEA BASE</v>
      </c>
      <c r="K1368" s="12" t="s">
        <v>2013</v>
      </c>
      <c r="L1368" s="11" t="s">
        <v>106</v>
      </c>
      <c r="M1368" s="12" t="str">
        <f t="shared" ca="1" si="5"/>
        <v>36166 HEROES 29 DE AGOSTO6 Primaria</v>
      </c>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4"/>
    </row>
    <row r="1369" spans="1:36" ht="12.5" x14ac:dyDescent="0.25">
      <c r="A1369" s="9">
        <v>3636</v>
      </c>
      <c r="B1369" s="10" t="s">
        <v>54</v>
      </c>
      <c r="C1369" s="10" t="s">
        <v>15</v>
      </c>
      <c r="D1369" s="10" t="s">
        <v>37</v>
      </c>
      <c r="E1369" s="11" t="str">
        <f ca="1">IFERROR(__xludf.DUMMYFUNCTION("FILTER(Colegios!$B$2:$B2419,Colegios!$A$2:$A2419=L1369)"),"36166 HEROES 29 DE AGOSTO")</f>
        <v>36166 HEROES 29 DE AGOSTO</v>
      </c>
      <c r="F1369" s="11" t="s">
        <v>17</v>
      </c>
      <c r="G1369" s="10" t="s">
        <v>18</v>
      </c>
      <c r="H1369" s="11" t="s">
        <v>23</v>
      </c>
      <c r="I1369" s="11">
        <v>2022</v>
      </c>
      <c r="J1369" s="12" t="str">
        <f ca="1">IFERROR(__xludf.DUMMYFUNCTION("FILTER('CLASFICACIÓN'!$F$3:$F2419,'CLASFICACIÓN'!$G$3:$G2419=M1369)"),"SOLO LINEA BASE")</f>
        <v>SOLO LINEA BASE</v>
      </c>
      <c r="K1369" s="12" t="s">
        <v>2013</v>
      </c>
      <c r="L1369" s="11" t="s">
        <v>106</v>
      </c>
      <c r="M1369" s="12" t="str">
        <f t="shared" ca="1" si="5"/>
        <v>36166 HEROES 29 DE AGOSTO6 Primaria</v>
      </c>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4"/>
    </row>
    <row r="1370" spans="1:36" ht="12.5" x14ac:dyDescent="0.25">
      <c r="A1370" s="9">
        <v>3637</v>
      </c>
      <c r="B1370" s="10" t="s">
        <v>54</v>
      </c>
      <c r="C1370" s="10" t="s">
        <v>15</v>
      </c>
      <c r="D1370" s="10" t="s">
        <v>37</v>
      </c>
      <c r="E1370" s="11" t="str">
        <f ca="1">IFERROR(__xludf.DUMMYFUNCTION("FILTER(Colegios!$B$2:$B2419,Colegios!$A$2:$A2419=L1370)"),"36207")</f>
        <v>36207</v>
      </c>
      <c r="F1370" s="11" t="s">
        <v>17</v>
      </c>
      <c r="G1370" s="10" t="s">
        <v>18</v>
      </c>
      <c r="H1370" s="11" t="s">
        <v>23</v>
      </c>
      <c r="I1370" s="11">
        <v>2022</v>
      </c>
      <c r="J1370" s="12" t="str">
        <f ca="1">IFERROR(__xludf.DUMMYFUNCTION("FILTER('CLASFICACIÓN'!$F$3:$F2419,'CLASFICACIÓN'!$G$3:$G2419=M1370)"),"SOLO 2022 Y 2024")</f>
        <v>SOLO 2022 Y 2024</v>
      </c>
      <c r="K1370" s="12" t="s">
        <v>2011</v>
      </c>
      <c r="L1370" s="11" t="s">
        <v>57</v>
      </c>
      <c r="M1370" s="12" t="str">
        <f t="shared" ca="1" si="5"/>
        <v>362076 Primaria</v>
      </c>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4"/>
    </row>
    <row r="1371" spans="1:36" ht="12.5" x14ac:dyDescent="0.25">
      <c r="A1371" s="9">
        <v>3638</v>
      </c>
      <c r="B1371" s="10" t="s">
        <v>54</v>
      </c>
      <c r="C1371" s="10" t="s">
        <v>15</v>
      </c>
      <c r="D1371" s="10" t="s">
        <v>37</v>
      </c>
      <c r="E1371" s="11" t="str">
        <f ca="1">IFERROR(__xludf.DUMMYFUNCTION("FILTER(Colegios!$B$2:$B2419,Colegios!$A$2:$A2419=L1371)"),"36207")</f>
        <v>36207</v>
      </c>
      <c r="F1371" s="11" t="s">
        <v>17</v>
      </c>
      <c r="G1371" s="10" t="s">
        <v>24</v>
      </c>
      <c r="H1371" s="11" t="s">
        <v>23</v>
      </c>
      <c r="I1371" s="11">
        <v>2022</v>
      </c>
      <c r="J1371" s="12" t="str">
        <f ca="1">IFERROR(__xludf.DUMMYFUNCTION("FILTER('CLASFICACIÓN'!$F$3:$F2419,'CLASFICACIÓN'!$G$3:$G2419=M1371)"),"SOLO 2022 Y 2024")</f>
        <v>SOLO 2022 Y 2024</v>
      </c>
      <c r="K1371" s="12" t="s">
        <v>2011</v>
      </c>
      <c r="L1371" s="11" t="s">
        <v>57</v>
      </c>
      <c r="M1371" s="12" t="str">
        <f t="shared" ca="1" si="5"/>
        <v>362076 Primaria</v>
      </c>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4"/>
    </row>
    <row r="1372" spans="1:36" ht="12.5" x14ac:dyDescent="0.25">
      <c r="A1372" s="9">
        <v>3639</v>
      </c>
      <c r="B1372" s="10" t="s">
        <v>54</v>
      </c>
      <c r="C1372" s="10" t="s">
        <v>15</v>
      </c>
      <c r="D1372" s="10" t="s">
        <v>37</v>
      </c>
      <c r="E1372" s="11" t="str">
        <f ca="1">IFERROR(__xludf.DUMMYFUNCTION("FILTER(Colegios!$B$2:$B2419,Colegios!$A$2:$A2419=L1372)"),"36207")</f>
        <v>36207</v>
      </c>
      <c r="F1372" s="11" t="s">
        <v>17</v>
      </c>
      <c r="G1372" s="10" t="s">
        <v>18</v>
      </c>
      <c r="H1372" s="11" t="s">
        <v>23</v>
      </c>
      <c r="I1372" s="11">
        <v>2022</v>
      </c>
      <c r="J1372" s="12" t="str">
        <f ca="1">IFERROR(__xludf.DUMMYFUNCTION("FILTER('CLASFICACIÓN'!$F$3:$F2419,'CLASFICACIÓN'!$G$3:$G2419=M1372)"),"SOLO 2022 Y 2024")</f>
        <v>SOLO 2022 Y 2024</v>
      </c>
      <c r="K1372" s="12" t="s">
        <v>2011</v>
      </c>
      <c r="L1372" s="11" t="s">
        <v>57</v>
      </c>
      <c r="M1372" s="12" t="str">
        <f t="shared" ca="1" si="5"/>
        <v>362076 Primaria</v>
      </c>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4"/>
    </row>
    <row r="1373" spans="1:36" ht="12.5" x14ac:dyDescent="0.25">
      <c r="A1373" s="9">
        <v>3640</v>
      </c>
      <c r="B1373" s="10" t="s">
        <v>54</v>
      </c>
      <c r="C1373" s="10" t="s">
        <v>15</v>
      </c>
      <c r="D1373" s="10" t="s">
        <v>37</v>
      </c>
      <c r="E1373" s="11" t="str">
        <f ca="1">IFERROR(__xludf.DUMMYFUNCTION("FILTER(Colegios!$B$2:$B2419,Colegios!$A$2:$A2419=L1373)"),"36207")</f>
        <v>36207</v>
      </c>
      <c r="F1373" s="11" t="s">
        <v>17</v>
      </c>
      <c r="G1373" s="10" t="s">
        <v>24</v>
      </c>
      <c r="H1373" s="11" t="s">
        <v>23</v>
      </c>
      <c r="I1373" s="11">
        <v>2022</v>
      </c>
      <c r="J1373" s="12" t="str">
        <f ca="1">IFERROR(__xludf.DUMMYFUNCTION("FILTER('CLASFICACIÓN'!$F$3:$F2419,'CLASFICACIÓN'!$G$3:$G2419=M1373)"),"SOLO 2022 Y 2024")</f>
        <v>SOLO 2022 Y 2024</v>
      </c>
      <c r="K1373" s="12" t="s">
        <v>2011</v>
      </c>
      <c r="L1373" s="11" t="s">
        <v>57</v>
      </c>
      <c r="M1373" s="12" t="str">
        <f t="shared" ca="1" si="5"/>
        <v>362076 Primaria</v>
      </c>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4"/>
    </row>
    <row r="1374" spans="1:36" ht="12.5" x14ac:dyDescent="0.25">
      <c r="A1374" s="9">
        <v>3641</v>
      </c>
      <c r="B1374" s="10" t="s">
        <v>54</v>
      </c>
      <c r="C1374" s="10" t="s">
        <v>15</v>
      </c>
      <c r="D1374" s="10" t="s">
        <v>37</v>
      </c>
      <c r="E1374" s="11" t="str">
        <f ca="1">IFERROR(__xludf.DUMMYFUNCTION("FILTER(Colegios!$B$2:$B2419,Colegios!$A$2:$A2419=L1374)"),"36207")</f>
        <v>36207</v>
      </c>
      <c r="F1374" s="11" t="s">
        <v>17</v>
      </c>
      <c r="G1374" s="10" t="s">
        <v>18</v>
      </c>
      <c r="H1374" s="11" t="s">
        <v>23</v>
      </c>
      <c r="I1374" s="11">
        <v>2022</v>
      </c>
      <c r="J1374" s="12" t="str">
        <f ca="1">IFERROR(__xludf.DUMMYFUNCTION("FILTER('CLASFICACIÓN'!$F$3:$F2419,'CLASFICACIÓN'!$G$3:$G2419=M1374)"),"SOLO 2022 Y 2024")</f>
        <v>SOLO 2022 Y 2024</v>
      </c>
      <c r="K1374" s="12" t="s">
        <v>2011</v>
      </c>
      <c r="L1374" s="11" t="s">
        <v>57</v>
      </c>
      <c r="M1374" s="12" t="str">
        <f t="shared" ca="1" si="5"/>
        <v>362076 Primaria</v>
      </c>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4"/>
    </row>
    <row r="1375" spans="1:36" ht="12.5" x14ac:dyDescent="0.25">
      <c r="A1375" s="9">
        <v>3642</v>
      </c>
      <c r="B1375" s="10" t="s">
        <v>54</v>
      </c>
      <c r="C1375" s="10" t="s">
        <v>15</v>
      </c>
      <c r="D1375" s="10" t="s">
        <v>37</v>
      </c>
      <c r="E1375" s="11" t="str">
        <f ca="1">IFERROR(__xludf.DUMMYFUNCTION("FILTER(Colegios!$B$2:$B2419,Colegios!$A$2:$A2419=L1375)"),"36161 SAN VICENTE DE PAUL")</f>
        <v>36161 SAN VICENTE DE PAUL</v>
      </c>
      <c r="F1375" s="11" t="s">
        <v>17</v>
      </c>
      <c r="G1375" s="10" t="s">
        <v>24</v>
      </c>
      <c r="H1375" s="11" t="s">
        <v>25</v>
      </c>
      <c r="I1375" s="11">
        <v>2022</v>
      </c>
      <c r="J1375" s="12" t="str">
        <f ca="1">IFERROR(__xludf.DUMMYFUNCTION("FILTER('CLASFICACIÓN'!$F$3:$F2419,'CLASFICACIÓN'!$G$3:$G2419=M1375)"),"SOLO LINEA BASE")</f>
        <v>SOLO LINEA BASE</v>
      </c>
      <c r="K1375" s="12" t="s">
        <v>2013</v>
      </c>
      <c r="L1375" s="11" t="s">
        <v>105</v>
      </c>
      <c r="M1375" s="12" t="str">
        <f t="shared" ca="1" si="5"/>
        <v>36161 SAN VICENTE DE PAUL6 Primaria</v>
      </c>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4"/>
    </row>
    <row r="1376" spans="1:36" ht="12.5" x14ac:dyDescent="0.25">
      <c r="A1376" s="9">
        <v>3643</v>
      </c>
      <c r="B1376" s="10" t="s">
        <v>54</v>
      </c>
      <c r="C1376" s="10" t="s">
        <v>15</v>
      </c>
      <c r="D1376" s="10" t="s">
        <v>37</v>
      </c>
      <c r="E1376" s="11" t="str">
        <f ca="1">IFERROR(__xludf.DUMMYFUNCTION("FILTER(Colegios!$B$2:$B2419,Colegios!$A$2:$A2419=L1376)"),"36161 SAN VICENTE DE PAUL")</f>
        <v>36161 SAN VICENTE DE PAUL</v>
      </c>
      <c r="F1376" s="11" t="s">
        <v>17</v>
      </c>
      <c r="G1376" s="10" t="s">
        <v>24</v>
      </c>
      <c r="H1376" s="11" t="s">
        <v>23</v>
      </c>
      <c r="I1376" s="11">
        <v>2022</v>
      </c>
      <c r="J1376" s="12" t="str">
        <f ca="1">IFERROR(__xludf.DUMMYFUNCTION("FILTER('CLASFICACIÓN'!$F$3:$F2419,'CLASFICACIÓN'!$G$3:$G2419=M1376)"),"SOLO LINEA BASE")</f>
        <v>SOLO LINEA BASE</v>
      </c>
      <c r="K1376" s="12" t="s">
        <v>2013</v>
      </c>
      <c r="L1376" s="11" t="s">
        <v>105</v>
      </c>
      <c r="M1376" s="12" t="str">
        <f t="shared" ca="1" si="5"/>
        <v>36161 SAN VICENTE DE PAUL6 Primaria</v>
      </c>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4"/>
    </row>
    <row r="1377" spans="1:36" ht="12.5" x14ac:dyDescent="0.25">
      <c r="A1377" s="9">
        <v>3644</v>
      </c>
      <c r="B1377" s="10" t="s">
        <v>54</v>
      </c>
      <c r="C1377" s="10" t="s">
        <v>15</v>
      </c>
      <c r="D1377" s="10" t="s">
        <v>37</v>
      </c>
      <c r="E1377" s="11" t="str">
        <f ca="1">IFERROR(__xludf.DUMMYFUNCTION("FILTER(Colegios!$B$2:$B2419,Colegios!$A$2:$A2419=L1377)"),"36161 SAN VICENTE DE PAUL")</f>
        <v>36161 SAN VICENTE DE PAUL</v>
      </c>
      <c r="F1377" s="11" t="s">
        <v>17</v>
      </c>
      <c r="G1377" s="10" t="s">
        <v>24</v>
      </c>
      <c r="H1377" s="11" t="s">
        <v>25</v>
      </c>
      <c r="I1377" s="11">
        <v>2022</v>
      </c>
      <c r="J1377" s="12" t="str">
        <f ca="1">IFERROR(__xludf.DUMMYFUNCTION("FILTER('CLASFICACIÓN'!$F$3:$F2419,'CLASFICACIÓN'!$G$3:$G2419=M1377)"),"SOLO LINEA BASE")</f>
        <v>SOLO LINEA BASE</v>
      </c>
      <c r="K1377" s="12" t="s">
        <v>2013</v>
      </c>
      <c r="L1377" s="11" t="s">
        <v>105</v>
      </c>
      <c r="M1377" s="12" t="str">
        <f t="shared" ca="1" si="5"/>
        <v>36161 SAN VICENTE DE PAUL6 Primaria</v>
      </c>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4"/>
    </row>
    <row r="1378" spans="1:36" ht="12.5" x14ac:dyDescent="0.25">
      <c r="A1378" s="9">
        <v>1</v>
      </c>
      <c r="B1378" s="10" t="s">
        <v>54</v>
      </c>
      <c r="C1378" s="10" t="s">
        <v>41</v>
      </c>
      <c r="D1378" s="10" t="s">
        <v>42</v>
      </c>
      <c r="E1378" s="11" t="str">
        <f ca="1">IFERROR(__xludf.DUMMYFUNCTION("FILTER(Colegios!$B$2:$B2419,Colegios!$A$2:$A2419=L1378)"),"NUESTRA SEÑORA DE LA CANDELARIA")</f>
        <v>NUESTRA SEÑORA DE LA CANDELARIA</v>
      </c>
      <c r="F1378" s="11" t="s">
        <v>17</v>
      </c>
      <c r="G1378" s="10" t="s">
        <v>24</v>
      </c>
      <c r="H1378" s="11" t="s">
        <v>19</v>
      </c>
      <c r="I1378" s="11" t="s">
        <v>113</v>
      </c>
      <c r="J1378" s="12" t="str">
        <f ca="1">IFERROR(__xludf.DUMMYFUNCTION("FILTER('CLASFICACIÓN'!$F$3:$F2419,'CLASFICACIÓN'!$G$3:$G2419=M1378)"),"2023 Y 2024")</f>
        <v>2023 Y 2024</v>
      </c>
      <c r="K1378" s="12" t="s">
        <v>2011</v>
      </c>
      <c r="L1378" s="11" t="s">
        <v>114</v>
      </c>
      <c r="M1378" s="12" t="str">
        <f t="shared" ca="1" si="5"/>
        <v>NUESTRA SEÑORA DE LA CANDELARIA2 Secundaria</v>
      </c>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4"/>
    </row>
    <row r="1379" spans="1:36" ht="12.5" x14ac:dyDescent="0.25">
      <c r="A1379" s="9">
        <v>2</v>
      </c>
      <c r="B1379" s="10" t="s">
        <v>54</v>
      </c>
      <c r="C1379" s="10" t="s">
        <v>41</v>
      </c>
      <c r="D1379" s="10" t="s">
        <v>42</v>
      </c>
      <c r="E1379" s="11" t="str">
        <f ca="1">IFERROR(__xludf.DUMMYFUNCTION("FILTER(Colegios!$B$2:$B2419,Colegios!$A$2:$A2419=L1379)"),"NUESTRA SEÑORA DE LA CANDELARIA")</f>
        <v>NUESTRA SEÑORA DE LA CANDELARIA</v>
      </c>
      <c r="F1379" s="11" t="s">
        <v>17</v>
      </c>
      <c r="G1379" s="10" t="s">
        <v>18</v>
      </c>
      <c r="H1379" s="11" t="s">
        <v>23</v>
      </c>
      <c r="I1379" s="11" t="s">
        <v>113</v>
      </c>
      <c r="J1379" s="12" t="str">
        <f ca="1">IFERROR(__xludf.DUMMYFUNCTION("FILTER('CLASFICACIÓN'!$F$3:$F2419,'CLASFICACIÓN'!$G$3:$G2419=M1379)"),"2023 Y 2024")</f>
        <v>2023 Y 2024</v>
      </c>
      <c r="K1379" s="12" t="s">
        <v>2011</v>
      </c>
      <c r="L1379" s="11" t="s">
        <v>114</v>
      </c>
      <c r="M1379" s="12" t="str">
        <f t="shared" ca="1" si="5"/>
        <v>NUESTRA SEÑORA DE LA CANDELARIA2 Secundaria</v>
      </c>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4"/>
    </row>
    <row r="1380" spans="1:36" ht="12.5" x14ac:dyDescent="0.25">
      <c r="A1380" s="9">
        <v>3</v>
      </c>
      <c r="B1380" s="10" t="s">
        <v>54</v>
      </c>
      <c r="C1380" s="10" t="s">
        <v>41</v>
      </c>
      <c r="D1380" s="10" t="s">
        <v>42</v>
      </c>
      <c r="E1380" s="11" t="str">
        <f ca="1">IFERROR(__xludf.DUMMYFUNCTION("FILTER(Colegios!$B$2:$B2419,Colegios!$A$2:$A2419=L1380)"),"NUESTRA SEÑORA DE LA CANDELARIA")</f>
        <v>NUESTRA SEÑORA DE LA CANDELARIA</v>
      </c>
      <c r="F1380" s="11" t="s">
        <v>17</v>
      </c>
      <c r="G1380" s="10" t="s">
        <v>18</v>
      </c>
      <c r="H1380" s="11" t="s">
        <v>19</v>
      </c>
      <c r="I1380" s="11" t="s">
        <v>113</v>
      </c>
      <c r="J1380" s="12" t="str">
        <f ca="1">IFERROR(__xludf.DUMMYFUNCTION("FILTER('CLASFICACIÓN'!$F$3:$F2419,'CLASFICACIÓN'!$G$3:$G2419=M1380)"),"2023 Y 2024")</f>
        <v>2023 Y 2024</v>
      </c>
      <c r="K1380" s="12" t="s">
        <v>2011</v>
      </c>
      <c r="L1380" s="11" t="s">
        <v>114</v>
      </c>
      <c r="M1380" s="12" t="str">
        <f t="shared" ca="1" si="5"/>
        <v>NUESTRA SEÑORA DE LA CANDELARIA2 Secundaria</v>
      </c>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4"/>
    </row>
    <row r="1381" spans="1:36" ht="12.5" x14ac:dyDescent="0.25">
      <c r="A1381" s="9">
        <v>4</v>
      </c>
      <c r="B1381" s="10" t="s">
        <v>54</v>
      </c>
      <c r="C1381" s="10" t="s">
        <v>41</v>
      </c>
      <c r="D1381" s="10" t="s">
        <v>42</v>
      </c>
      <c r="E1381" s="11" t="str">
        <f ca="1">IFERROR(__xludf.DUMMYFUNCTION("FILTER(Colegios!$B$2:$B2419,Colegios!$A$2:$A2419=L1381)"),"NUESTRA SEÑORA DE LA CANDELARIA")</f>
        <v>NUESTRA SEÑORA DE LA CANDELARIA</v>
      </c>
      <c r="F1381" s="11" t="s">
        <v>17</v>
      </c>
      <c r="G1381" s="10" t="s">
        <v>24</v>
      </c>
      <c r="H1381" s="11" t="s">
        <v>19</v>
      </c>
      <c r="I1381" s="11" t="s">
        <v>113</v>
      </c>
      <c r="J1381" s="12" t="str">
        <f ca="1">IFERROR(__xludf.DUMMYFUNCTION("FILTER('CLASFICACIÓN'!$F$3:$F2419,'CLASFICACIÓN'!$G$3:$G2419=M1381)"),"2023 Y 2024")</f>
        <v>2023 Y 2024</v>
      </c>
      <c r="K1381" s="12" t="s">
        <v>2011</v>
      </c>
      <c r="L1381" s="11" t="s">
        <v>114</v>
      </c>
      <c r="M1381" s="12" t="str">
        <f t="shared" ca="1" si="5"/>
        <v>NUESTRA SEÑORA DE LA CANDELARIA2 Secundaria</v>
      </c>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4"/>
    </row>
    <row r="1382" spans="1:36" ht="12.5" x14ac:dyDescent="0.25">
      <c r="A1382" s="9">
        <v>5</v>
      </c>
      <c r="B1382" s="10" t="s">
        <v>54</v>
      </c>
      <c r="C1382" s="10" t="s">
        <v>41</v>
      </c>
      <c r="D1382" s="10" t="s">
        <v>42</v>
      </c>
      <c r="E1382" s="11" t="str">
        <f ca="1">IFERROR(__xludf.DUMMYFUNCTION("FILTER(Colegios!$B$2:$B2419,Colegios!$A$2:$A2419=L1382)"),"NUESTRA SEÑORA DE LA CANDELARIA")</f>
        <v>NUESTRA SEÑORA DE LA CANDELARIA</v>
      </c>
      <c r="F1382" s="11" t="s">
        <v>17</v>
      </c>
      <c r="G1382" s="10" t="s">
        <v>18</v>
      </c>
      <c r="H1382" s="11" t="s">
        <v>19</v>
      </c>
      <c r="I1382" s="11" t="s">
        <v>113</v>
      </c>
      <c r="J1382" s="12" t="str">
        <f ca="1">IFERROR(__xludf.DUMMYFUNCTION("FILTER('CLASFICACIÓN'!$F$3:$F2419,'CLASFICACIÓN'!$G$3:$G2419=M1382)"),"2023 Y 2024")</f>
        <v>2023 Y 2024</v>
      </c>
      <c r="K1382" s="12" t="s">
        <v>2011</v>
      </c>
      <c r="L1382" s="11" t="s">
        <v>114</v>
      </c>
      <c r="M1382" s="12" t="str">
        <f t="shared" ca="1" si="5"/>
        <v>NUESTRA SEÑORA DE LA CANDELARIA2 Secundaria</v>
      </c>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4"/>
    </row>
    <row r="1383" spans="1:36" ht="12.5" x14ac:dyDescent="0.25">
      <c r="A1383" s="9">
        <v>6</v>
      </c>
      <c r="B1383" s="10" t="s">
        <v>54</v>
      </c>
      <c r="C1383" s="10" t="s">
        <v>41</v>
      </c>
      <c r="D1383" s="10" t="s">
        <v>42</v>
      </c>
      <c r="E1383" s="11" t="str">
        <f ca="1">IFERROR(__xludf.DUMMYFUNCTION("FILTER(Colegios!$B$2:$B2419,Colegios!$A$2:$A2419=L1383)"),"NUESTRA SEÑORA DE LA CANDELARIA")</f>
        <v>NUESTRA SEÑORA DE LA CANDELARIA</v>
      </c>
      <c r="F1383" s="11" t="s">
        <v>17</v>
      </c>
      <c r="G1383" s="10" t="s">
        <v>18</v>
      </c>
      <c r="H1383" s="11" t="s">
        <v>23</v>
      </c>
      <c r="I1383" s="11" t="s">
        <v>113</v>
      </c>
      <c r="J1383" s="12" t="str">
        <f ca="1">IFERROR(__xludf.DUMMYFUNCTION("FILTER('CLASFICACIÓN'!$F$3:$F2419,'CLASFICACIÓN'!$G$3:$G2419=M1383)"),"2023 Y 2024")</f>
        <v>2023 Y 2024</v>
      </c>
      <c r="K1383" s="12" t="s">
        <v>2011</v>
      </c>
      <c r="L1383" s="11" t="s">
        <v>114</v>
      </c>
      <c r="M1383" s="12" t="str">
        <f t="shared" ca="1" si="5"/>
        <v>NUESTRA SEÑORA DE LA CANDELARIA2 Secundaria</v>
      </c>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4"/>
    </row>
    <row r="1384" spans="1:36" ht="12.5" x14ac:dyDescent="0.25">
      <c r="A1384" s="9">
        <v>7</v>
      </c>
      <c r="B1384" s="10" t="s">
        <v>54</v>
      </c>
      <c r="C1384" s="10" t="s">
        <v>41</v>
      </c>
      <c r="D1384" s="10" t="s">
        <v>42</v>
      </c>
      <c r="E1384" s="11" t="str">
        <f ca="1">IFERROR(__xludf.DUMMYFUNCTION("FILTER(Colegios!$B$2:$B2419,Colegios!$A$2:$A2419=L1384)"),"NUESTRA SEÑORA DE LA CANDELARIA")</f>
        <v>NUESTRA SEÑORA DE LA CANDELARIA</v>
      </c>
      <c r="F1384" s="11" t="s">
        <v>17</v>
      </c>
      <c r="G1384" s="10" t="s">
        <v>18</v>
      </c>
      <c r="H1384" s="11" t="s">
        <v>19</v>
      </c>
      <c r="I1384" s="11" t="s">
        <v>113</v>
      </c>
      <c r="J1384" s="12" t="str">
        <f ca="1">IFERROR(__xludf.DUMMYFUNCTION("FILTER('CLASFICACIÓN'!$F$3:$F2419,'CLASFICACIÓN'!$G$3:$G2419=M1384)"),"2023 Y 2024")</f>
        <v>2023 Y 2024</v>
      </c>
      <c r="K1384" s="12" t="s">
        <v>2011</v>
      </c>
      <c r="L1384" s="11" t="s">
        <v>114</v>
      </c>
      <c r="M1384" s="12" t="str">
        <f t="shared" ca="1" si="5"/>
        <v>NUESTRA SEÑORA DE LA CANDELARIA2 Secundaria</v>
      </c>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4"/>
    </row>
    <row r="1385" spans="1:36" ht="12.5" x14ac:dyDescent="0.25">
      <c r="A1385" s="9">
        <v>8</v>
      </c>
      <c r="B1385" s="10" t="s">
        <v>54</v>
      </c>
      <c r="C1385" s="10" t="s">
        <v>41</v>
      </c>
      <c r="D1385" s="10" t="s">
        <v>42</v>
      </c>
      <c r="E1385" s="11" t="str">
        <f ca="1">IFERROR(__xludf.DUMMYFUNCTION("FILTER(Colegios!$B$2:$B2419,Colegios!$A$2:$A2419=L1385)"),"NUESTRA SEÑORA DE LA CANDELARIA")</f>
        <v>NUESTRA SEÑORA DE LA CANDELARIA</v>
      </c>
      <c r="F1385" s="11" t="s">
        <v>17</v>
      </c>
      <c r="G1385" s="10" t="s">
        <v>24</v>
      </c>
      <c r="H1385" s="11" t="s">
        <v>19</v>
      </c>
      <c r="I1385" s="11" t="s">
        <v>113</v>
      </c>
      <c r="J1385" s="12" t="str">
        <f ca="1">IFERROR(__xludf.DUMMYFUNCTION("FILTER('CLASFICACIÓN'!$F$3:$F2419,'CLASFICACIÓN'!$G$3:$G2419=M1385)"),"2023 Y 2024")</f>
        <v>2023 Y 2024</v>
      </c>
      <c r="K1385" s="12" t="s">
        <v>2011</v>
      </c>
      <c r="L1385" s="11" t="s">
        <v>114</v>
      </c>
      <c r="M1385" s="12" t="str">
        <f t="shared" ca="1" si="5"/>
        <v>NUESTRA SEÑORA DE LA CANDELARIA2 Secundaria</v>
      </c>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4"/>
    </row>
    <row r="1386" spans="1:36" ht="12.5" x14ac:dyDescent="0.25">
      <c r="A1386" s="9">
        <v>9</v>
      </c>
      <c r="B1386" s="10" t="s">
        <v>54</v>
      </c>
      <c r="C1386" s="10" t="s">
        <v>41</v>
      </c>
      <c r="D1386" s="10" t="s">
        <v>42</v>
      </c>
      <c r="E1386" s="11" t="str">
        <f ca="1">IFERROR(__xludf.DUMMYFUNCTION("FILTER(Colegios!$B$2:$B2419,Colegios!$A$2:$A2419=L1386)"),"NUESTRA SEÑORA DE LA CANDELARIA")</f>
        <v>NUESTRA SEÑORA DE LA CANDELARIA</v>
      </c>
      <c r="F1386" s="11" t="s">
        <v>17</v>
      </c>
      <c r="G1386" s="10" t="s">
        <v>24</v>
      </c>
      <c r="H1386" s="11" t="s">
        <v>19</v>
      </c>
      <c r="I1386" s="11" t="s">
        <v>113</v>
      </c>
      <c r="J1386" s="12" t="str">
        <f ca="1">IFERROR(__xludf.DUMMYFUNCTION("FILTER('CLASFICACIÓN'!$F$3:$F2419,'CLASFICACIÓN'!$G$3:$G2419=M1386)"),"2023 Y 2024")</f>
        <v>2023 Y 2024</v>
      </c>
      <c r="K1386" s="12" t="s">
        <v>2011</v>
      </c>
      <c r="L1386" s="11" t="s">
        <v>114</v>
      </c>
      <c r="M1386" s="12" t="str">
        <f t="shared" ca="1" si="5"/>
        <v>NUESTRA SEÑORA DE LA CANDELARIA2 Secundaria</v>
      </c>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4"/>
    </row>
    <row r="1387" spans="1:36" ht="12.5" x14ac:dyDescent="0.25">
      <c r="A1387" s="9">
        <v>10</v>
      </c>
      <c r="B1387" s="10" t="s">
        <v>54</v>
      </c>
      <c r="C1387" s="10" t="s">
        <v>41</v>
      </c>
      <c r="D1387" s="10" t="s">
        <v>42</v>
      </c>
      <c r="E1387" s="11" t="str">
        <f ca="1">IFERROR(__xludf.DUMMYFUNCTION("FILTER(Colegios!$B$2:$B2419,Colegios!$A$2:$A2419=L1387)"),"NUESTRA SEÑORA DE LA CANDELARIA")</f>
        <v>NUESTRA SEÑORA DE LA CANDELARIA</v>
      </c>
      <c r="F1387" s="11" t="s">
        <v>17</v>
      </c>
      <c r="G1387" s="10" t="s">
        <v>18</v>
      </c>
      <c r="H1387" s="11" t="s">
        <v>25</v>
      </c>
      <c r="I1387" s="11" t="s">
        <v>113</v>
      </c>
      <c r="J1387" s="12" t="str">
        <f ca="1">IFERROR(__xludf.DUMMYFUNCTION("FILTER('CLASFICACIÓN'!$F$3:$F2419,'CLASFICACIÓN'!$G$3:$G2419=M1387)"),"2023 Y 2024")</f>
        <v>2023 Y 2024</v>
      </c>
      <c r="K1387" s="12" t="s">
        <v>2011</v>
      </c>
      <c r="L1387" s="11" t="s">
        <v>114</v>
      </c>
      <c r="M1387" s="12" t="str">
        <f t="shared" ca="1" si="5"/>
        <v>NUESTRA SEÑORA DE LA CANDELARIA2 Secundaria</v>
      </c>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4"/>
    </row>
    <row r="1388" spans="1:36" ht="12.5" x14ac:dyDescent="0.25">
      <c r="A1388" s="9">
        <v>11</v>
      </c>
      <c r="B1388" s="10" t="s">
        <v>54</v>
      </c>
      <c r="C1388" s="10" t="s">
        <v>41</v>
      </c>
      <c r="D1388" s="10" t="s">
        <v>42</v>
      </c>
      <c r="E1388" s="11" t="str">
        <f ca="1">IFERROR(__xludf.DUMMYFUNCTION("FILTER(Colegios!$B$2:$B2419,Colegios!$A$2:$A2419=L1388)"),"NUESTRA SEÑORA DE LA CANDELARIA")</f>
        <v>NUESTRA SEÑORA DE LA CANDELARIA</v>
      </c>
      <c r="F1388" s="11" t="s">
        <v>17</v>
      </c>
      <c r="G1388" s="10" t="s">
        <v>24</v>
      </c>
      <c r="H1388" s="11" t="s">
        <v>19</v>
      </c>
      <c r="I1388" s="11" t="s">
        <v>113</v>
      </c>
      <c r="J1388" s="12" t="str">
        <f ca="1">IFERROR(__xludf.DUMMYFUNCTION("FILTER('CLASFICACIÓN'!$F$3:$F2419,'CLASFICACIÓN'!$G$3:$G2419=M1388)"),"2023 Y 2024")</f>
        <v>2023 Y 2024</v>
      </c>
      <c r="K1388" s="12" t="s">
        <v>2011</v>
      </c>
      <c r="L1388" s="11" t="s">
        <v>114</v>
      </c>
      <c r="M1388" s="12" t="str">
        <f t="shared" ca="1" si="5"/>
        <v>NUESTRA SEÑORA DE LA CANDELARIA2 Secundaria</v>
      </c>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4"/>
    </row>
    <row r="1389" spans="1:36" ht="12.5" x14ac:dyDescent="0.25">
      <c r="A1389" s="9">
        <v>12</v>
      </c>
      <c r="B1389" s="10" t="s">
        <v>54</v>
      </c>
      <c r="C1389" s="10" t="s">
        <v>41</v>
      </c>
      <c r="D1389" s="10" t="s">
        <v>42</v>
      </c>
      <c r="E1389" s="11" t="str">
        <f ca="1">IFERROR(__xludf.DUMMYFUNCTION("FILTER(Colegios!$B$2:$B2419,Colegios!$A$2:$A2419=L1389)"),"NUESTRA SEÑORA DE LA CANDELARIA")</f>
        <v>NUESTRA SEÑORA DE LA CANDELARIA</v>
      </c>
      <c r="F1389" s="11" t="s">
        <v>17</v>
      </c>
      <c r="G1389" s="10" t="s">
        <v>18</v>
      </c>
      <c r="H1389" s="11" t="s">
        <v>19</v>
      </c>
      <c r="I1389" s="11" t="s">
        <v>113</v>
      </c>
      <c r="J1389" s="12" t="str">
        <f ca="1">IFERROR(__xludf.DUMMYFUNCTION("FILTER('CLASFICACIÓN'!$F$3:$F2419,'CLASFICACIÓN'!$G$3:$G2419=M1389)"),"2023 Y 2024")</f>
        <v>2023 Y 2024</v>
      </c>
      <c r="K1389" s="12" t="s">
        <v>2011</v>
      </c>
      <c r="L1389" s="11" t="s">
        <v>114</v>
      </c>
      <c r="M1389" s="12" t="str">
        <f t="shared" ca="1" si="5"/>
        <v>NUESTRA SEÑORA DE LA CANDELARIA2 Secundaria</v>
      </c>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4"/>
    </row>
    <row r="1390" spans="1:36" ht="12.5" x14ac:dyDescent="0.25">
      <c r="A1390" s="9">
        <v>13</v>
      </c>
      <c r="B1390" s="10" t="s">
        <v>54</v>
      </c>
      <c r="C1390" s="10" t="s">
        <v>41</v>
      </c>
      <c r="D1390" s="10" t="s">
        <v>42</v>
      </c>
      <c r="E1390" s="11" t="str">
        <f ca="1">IFERROR(__xludf.DUMMYFUNCTION("FILTER(Colegios!$B$2:$B2419,Colegios!$A$2:$A2419=L1390)"),"NUESTRA SEÑORA DE LA CANDELARIA")</f>
        <v>NUESTRA SEÑORA DE LA CANDELARIA</v>
      </c>
      <c r="F1390" s="11" t="s">
        <v>17</v>
      </c>
      <c r="G1390" s="10" t="s">
        <v>24</v>
      </c>
      <c r="H1390" s="11" t="s">
        <v>19</v>
      </c>
      <c r="I1390" s="11" t="s">
        <v>113</v>
      </c>
      <c r="J1390" s="12" t="str">
        <f ca="1">IFERROR(__xludf.DUMMYFUNCTION("FILTER('CLASFICACIÓN'!$F$3:$F2419,'CLASFICACIÓN'!$G$3:$G2419=M1390)"),"2023 Y 2024")</f>
        <v>2023 Y 2024</v>
      </c>
      <c r="K1390" s="12" t="s">
        <v>2011</v>
      </c>
      <c r="L1390" s="11" t="s">
        <v>114</v>
      </c>
      <c r="M1390" s="12" t="str">
        <f t="shared" ca="1" si="5"/>
        <v>NUESTRA SEÑORA DE LA CANDELARIA2 Secundaria</v>
      </c>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4"/>
    </row>
    <row r="1391" spans="1:36" ht="12.5" x14ac:dyDescent="0.25">
      <c r="A1391" s="9">
        <v>14</v>
      </c>
      <c r="B1391" s="10" t="s">
        <v>54</v>
      </c>
      <c r="C1391" s="10" t="s">
        <v>41</v>
      </c>
      <c r="D1391" s="10" t="s">
        <v>42</v>
      </c>
      <c r="E1391" s="11" t="str">
        <f ca="1">IFERROR(__xludf.DUMMYFUNCTION("FILTER(Colegios!$B$2:$B2419,Colegios!$A$2:$A2419=L1391)"),"NUESTRA SEÑORA DE LA CANDELARIA")</f>
        <v>NUESTRA SEÑORA DE LA CANDELARIA</v>
      </c>
      <c r="F1391" s="11" t="s">
        <v>17</v>
      </c>
      <c r="G1391" s="10" t="s">
        <v>24</v>
      </c>
      <c r="H1391" s="11" t="s">
        <v>19</v>
      </c>
      <c r="I1391" s="11" t="s">
        <v>113</v>
      </c>
      <c r="J1391" s="12" t="str">
        <f ca="1">IFERROR(__xludf.DUMMYFUNCTION("FILTER('CLASFICACIÓN'!$F$3:$F2419,'CLASFICACIÓN'!$G$3:$G2419=M1391)"),"2023 Y 2024")</f>
        <v>2023 Y 2024</v>
      </c>
      <c r="K1391" s="12" t="s">
        <v>2011</v>
      </c>
      <c r="L1391" s="11" t="s">
        <v>114</v>
      </c>
      <c r="M1391" s="12" t="str">
        <f t="shared" ca="1" si="5"/>
        <v>NUESTRA SEÑORA DE LA CANDELARIA2 Secundaria</v>
      </c>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4"/>
    </row>
    <row r="1392" spans="1:36" ht="12.5" x14ac:dyDescent="0.25">
      <c r="A1392" s="9">
        <v>15</v>
      </c>
      <c r="B1392" s="10" t="s">
        <v>54</v>
      </c>
      <c r="C1392" s="10" t="s">
        <v>41</v>
      </c>
      <c r="D1392" s="10" t="s">
        <v>42</v>
      </c>
      <c r="E1392" s="11" t="str">
        <f ca="1">IFERROR(__xludf.DUMMYFUNCTION("FILTER(Colegios!$B$2:$B2419,Colegios!$A$2:$A2419=L1392)"),"NUESTRA SEÑORA DE LA CANDELARIA")</f>
        <v>NUESTRA SEÑORA DE LA CANDELARIA</v>
      </c>
      <c r="F1392" s="11" t="s">
        <v>17</v>
      </c>
      <c r="G1392" s="10" t="s">
        <v>24</v>
      </c>
      <c r="H1392" s="11" t="s">
        <v>19</v>
      </c>
      <c r="I1392" s="11" t="s">
        <v>113</v>
      </c>
      <c r="J1392" s="12" t="str">
        <f ca="1">IFERROR(__xludf.DUMMYFUNCTION("FILTER('CLASFICACIÓN'!$F$3:$F2419,'CLASFICACIÓN'!$G$3:$G2419=M1392)"),"2023 Y 2024")</f>
        <v>2023 Y 2024</v>
      </c>
      <c r="K1392" s="12" t="s">
        <v>2011</v>
      </c>
      <c r="L1392" s="11" t="s">
        <v>114</v>
      </c>
      <c r="M1392" s="12" t="str">
        <f t="shared" ca="1" si="5"/>
        <v>NUESTRA SEÑORA DE LA CANDELARIA2 Secundaria</v>
      </c>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4"/>
    </row>
    <row r="1393" spans="1:36" ht="12.5" x14ac:dyDescent="0.25">
      <c r="A1393" s="9">
        <v>16</v>
      </c>
      <c r="B1393" s="10" t="s">
        <v>54</v>
      </c>
      <c r="C1393" s="10" t="s">
        <v>41</v>
      </c>
      <c r="D1393" s="10" t="s">
        <v>42</v>
      </c>
      <c r="E1393" s="11" t="str">
        <f ca="1">IFERROR(__xludf.DUMMYFUNCTION("FILTER(Colegios!$B$2:$B2419,Colegios!$A$2:$A2419=L1393)"),"NUESTRA SEÑORA DE LA CANDELARIA")</f>
        <v>NUESTRA SEÑORA DE LA CANDELARIA</v>
      </c>
      <c r="F1393" s="11" t="s">
        <v>17</v>
      </c>
      <c r="G1393" s="10" t="s">
        <v>18</v>
      </c>
      <c r="H1393" s="11" t="s">
        <v>19</v>
      </c>
      <c r="I1393" s="11" t="s">
        <v>113</v>
      </c>
      <c r="J1393" s="12" t="str">
        <f ca="1">IFERROR(__xludf.DUMMYFUNCTION("FILTER('CLASFICACIÓN'!$F$3:$F2419,'CLASFICACIÓN'!$G$3:$G2419=M1393)"),"2023 Y 2024")</f>
        <v>2023 Y 2024</v>
      </c>
      <c r="K1393" s="12" t="s">
        <v>2011</v>
      </c>
      <c r="L1393" s="11" t="s">
        <v>114</v>
      </c>
      <c r="M1393" s="12" t="str">
        <f t="shared" ca="1" si="5"/>
        <v>NUESTRA SEÑORA DE LA CANDELARIA2 Secundaria</v>
      </c>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4"/>
    </row>
    <row r="1394" spans="1:36" ht="12.5" x14ac:dyDescent="0.25">
      <c r="A1394" s="9">
        <v>17</v>
      </c>
      <c r="B1394" s="10" t="s">
        <v>54</v>
      </c>
      <c r="C1394" s="10" t="s">
        <v>41</v>
      </c>
      <c r="D1394" s="10" t="s">
        <v>42</v>
      </c>
      <c r="E1394" s="11" t="str">
        <f ca="1">IFERROR(__xludf.DUMMYFUNCTION("FILTER(Colegios!$B$2:$B2419,Colegios!$A$2:$A2419=L1394)"),"NUESTRA SEÑORA DE LA CANDELARIA")</f>
        <v>NUESTRA SEÑORA DE LA CANDELARIA</v>
      </c>
      <c r="F1394" s="11" t="s">
        <v>17</v>
      </c>
      <c r="G1394" s="10" t="s">
        <v>18</v>
      </c>
      <c r="H1394" s="11" t="s">
        <v>19</v>
      </c>
      <c r="I1394" s="11" t="s">
        <v>113</v>
      </c>
      <c r="J1394" s="12" t="str">
        <f ca="1">IFERROR(__xludf.DUMMYFUNCTION("FILTER('CLASFICACIÓN'!$F$3:$F2419,'CLASFICACIÓN'!$G$3:$G2419=M1394)"),"2023 Y 2024")</f>
        <v>2023 Y 2024</v>
      </c>
      <c r="K1394" s="12" t="s">
        <v>2011</v>
      </c>
      <c r="L1394" s="11" t="s">
        <v>114</v>
      </c>
      <c r="M1394" s="12" t="str">
        <f t="shared" ca="1" si="5"/>
        <v>NUESTRA SEÑORA DE LA CANDELARIA2 Secundaria</v>
      </c>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4"/>
    </row>
    <row r="1395" spans="1:36" ht="12.5" x14ac:dyDescent="0.25">
      <c r="A1395" s="9">
        <v>18</v>
      </c>
      <c r="B1395" s="10" t="s">
        <v>54</v>
      </c>
      <c r="C1395" s="10" t="s">
        <v>41</v>
      </c>
      <c r="D1395" s="10" t="s">
        <v>42</v>
      </c>
      <c r="E1395" s="11" t="str">
        <f ca="1">IFERROR(__xludf.DUMMYFUNCTION("FILTER(Colegios!$B$2:$B2419,Colegios!$A$2:$A2419=L1395)"),"NUESTRA SEÑORA DE LA CANDELARIA")</f>
        <v>NUESTRA SEÑORA DE LA CANDELARIA</v>
      </c>
      <c r="F1395" s="11" t="s">
        <v>17</v>
      </c>
      <c r="G1395" s="10" t="s">
        <v>24</v>
      </c>
      <c r="H1395" s="11" t="s">
        <v>19</v>
      </c>
      <c r="I1395" s="11" t="s">
        <v>113</v>
      </c>
      <c r="J1395" s="12" t="str">
        <f ca="1">IFERROR(__xludf.DUMMYFUNCTION("FILTER('CLASFICACIÓN'!$F$3:$F2419,'CLASFICACIÓN'!$G$3:$G2419=M1395)"),"2023 Y 2024")</f>
        <v>2023 Y 2024</v>
      </c>
      <c r="K1395" s="12" t="s">
        <v>2011</v>
      </c>
      <c r="L1395" s="11" t="s">
        <v>114</v>
      </c>
      <c r="M1395" s="12" t="str">
        <f t="shared" ca="1" si="5"/>
        <v>NUESTRA SEÑORA DE LA CANDELARIA2 Secundaria</v>
      </c>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4"/>
    </row>
    <row r="1396" spans="1:36" ht="12.5" x14ac:dyDescent="0.25">
      <c r="A1396" s="9">
        <v>19</v>
      </c>
      <c r="B1396" s="10" t="s">
        <v>54</v>
      </c>
      <c r="C1396" s="10" t="s">
        <v>41</v>
      </c>
      <c r="D1396" s="10" t="s">
        <v>42</v>
      </c>
      <c r="E1396" s="11" t="str">
        <f ca="1">IFERROR(__xludf.DUMMYFUNCTION("FILTER(Colegios!$B$2:$B2419,Colegios!$A$2:$A2419=L1396)"),"NUESTRA SEÑORA DE LA CANDELARIA")</f>
        <v>NUESTRA SEÑORA DE LA CANDELARIA</v>
      </c>
      <c r="F1396" s="11" t="s">
        <v>17</v>
      </c>
      <c r="G1396" s="10" t="s">
        <v>18</v>
      </c>
      <c r="H1396" s="11" t="s">
        <v>19</v>
      </c>
      <c r="I1396" s="11" t="s">
        <v>113</v>
      </c>
      <c r="J1396" s="12" t="str">
        <f ca="1">IFERROR(__xludf.DUMMYFUNCTION("FILTER('CLASFICACIÓN'!$F$3:$F2419,'CLASFICACIÓN'!$G$3:$G2419=M1396)"),"2023 Y 2024")</f>
        <v>2023 Y 2024</v>
      </c>
      <c r="K1396" s="12" t="s">
        <v>2011</v>
      </c>
      <c r="L1396" s="11" t="s">
        <v>114</v>
      </c>
      <c r="M1396" s="12" t="str">
        <f t="shared" ca="1" si="5"/>
        <v>NUESTRA SEÑORA DE LA CANDELARIA2 Secundaria</v>
      </c>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4"/>
    </row>
    <row r="1397" spans="1:36" ht="12.5" x14ac:dyDescent="0.25">
      <c r="A1397" s="9">
        <v>20</v>
      </c>
      <c r="B1397" s="10" t="s">
        <v>54</v>
      </c>
      <c r="C1397" s="10" t="s">
        <v>41</v>
      </c>
      <c r="D1397" s="10" t="s">
        <v>42</v>
      </c>
      <c r="E1397" s="11" t="str">
        <f ca="1">IFERROR(__xludf.DUMMYFUNCTION("FILTER(Colegios!$B$2:$B2419,Colegios!$A$2:$A2419=L1397)"),"NUESTRA SEÑORA DE LA CANDELARIA")</f>
        <v>NUESTRA SEÑORA DE LA CANDELARIA</v>
      </c>
      <c r="F1397" s="11" t="s">
        <v>17</v>
      </c>
      <c r="G1397" s="10" t="s">
        <v>18</v>
      </c>
      <c r="H1397" s="11" t="s">
        <v>19</v>
      </c>
      <c r="I1397" s="11" t="s">
        <v>113</v>
      </c>
      <c r="J1397" s="12" t="str">
        <f ca="1">IFERROR(__xludf.DUMMYFUNCTION("FILTER('CLASFICACIÓN'!$F$3:$F2419,'CLASFICACIÓN'!$G$3:$G2419=M1397)"),"2023 Y 2024")</f>
        <v>2023 Y 2024</v>
      </c>
      <c r="K1397" s="12" t="s">
        <v>2011</v>
      </c>
      <c r="L1397" s="11" t="s">
        <v>114</v>
      </c>
      <c r="M1397" s="12" t="str">
        <f t="shared" ca="1" si="5"/>
        <v>NUESTRA SEÑORA DE LA CANDELARIA2 Secundaria</v>
      </c>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4"/>
    </row>
    <row r="1398" spans="1:36" ht="12.5" x14ac:dyDescent="0.25">
      <c r="A1398" s="9">
        <v>21</v>
      </c>
      <c r="B1398" s="10" t="s">
        <v>54</v>
      </c>
      <c r="C1398" s="10" t="s">
        <v>41</v>
      </c>
      <c r="D1398" s="10" t="s">
        <v>42</v>
      </c>
      <c r="E1398" s="11" t="str">
        <f ca="1">IFERROR(__xludf.DUMMYFUNCTION("FILTER(Colegios!$B$2:$B2419,Colegios!$A$2:$A2419=L1398)"),"NUESTRA SEÑORA DE LA CANDELARIA")</f>
        <v>NUESTRA SEÑORA DE LA CANDELARIA</v>
      </c>
      <c r="F1398" s="11" t="s">
        <v>17</v>
      </c>
      <c r="G1398" s="10" t="s">
        <v>24</v>
      </c>
      <c r="H1398" s="11" t="s">
        <v>19</v>
      </c>
      <c r="I1398" s="11" t="s">
        <v>113</v>
      </c>
      <c r="J1398" s="12" t="str">
        <f ca="1">IFERROR(__xludf.DUMMYFUNCTION("FILTER('CLASFICACIÓN'!$F$3:$F2419,'CLASFICACIÓN'!$G$3:$G2419=M1398)"),"2023 Y 2024")</f>
        <v>2023 Y 2024</v>
      </c>
      <c r="K1398" s="12" t="s">
        <v>2011</v>
      </c>
      <c r="L1398" s="11" t="s">
        <v>114</v>
      </c>
      <c r="M1398" s="12" t="str">
        <f t="shared" ca="1" si="5"/>
        <v>NUESTRA SEÑORA DE LA CANDELARIA2 Secundaria</v>
      </c>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4"/>
    </row>
    <row r="1399" spans="1:36" ht="12.5" x14ac:dyDescent="0.25">
      <c r="A1399" s="9">
        <v>22</v>
      </c>
      <c r="B1399" s="10" t="s">
        <v>54</v>
      </c>
      <c r="C1399" s="10" t="s">
        <v>41</v>
      </c>
      <c r="D1399" s="10" t="s">
        <v>42</v>
      </c>
      <c r="E1399" s="11" t="str">
        <f ca="1">IFERROR(__xludf.DUMMYFUNCTION("FILTER(Colegios!$B$2:$B2419,Colegios!$A$2:$A2419=L1399)"),"NUESTRA SEÑORA DE LA CANDELARIA")</f>
        <v>NUESTRA SEÑORA DE LA CANDELARIA</v>
      </c>
      <c r="F1399" s="11" t="s">
        <v>17</v>
      </c>
      <c r="G1399" s="10" t="s">
        <v>18</v>
      </c>
      <c r="H1399" s="11" t="s">
        <v>19</v>
      </c>
      <c r="I1399" s="11" t="s">
        <v>113</v>
      </c>
      <c r="J1399" s="12" t="str">
        <f ca="1">IFERROR(__xludf.DUMMYFUNCTION("FILTER('CLASFICACIÓN'!$F$3:$F2419,'CLASFICACIÓN'!$G$3:$G2419=M1399)"),"2023 Y 2024")</f>
        <v>2023 Y 2024</v>
      </c>
      <c r="K1399" s="12" t="s">
        <v>2011</v>
      </c>
      <c r="L1399" s="11" t="s">
        <v>114</v>
      </c>
      <c r="M1399" s="12" t="str">
        <f t="shared" ca="1" si="5"/>
        <v>NUESTRA SEÑORA DE LA CANDELARIA2 Secundaria</v>
      </c>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4"/>
    </row>
    <row r="1400" spans="1:36" ht="12.5" x14ac:dyDescent="0.25">
      <c r="A1400" s="9">
        <v>23</v>
      </c>
      <c r="B1400" s="10" t="s">
        <v>54</v>
      </c>
      <c r="C1400" s="10" t="s">
        <v>41</v>
      </c>
      <c r="D1400" s="10" t="s">
        <v>42</v>
      </c>
      <c r="E1400" s="11" t="str">
        <f ca="1">IFERROR(__xludf.DUMMYFUNCTION("FILTER(Colegios!$B$2:$B2419,Colegios!$A$2:$A2419=L1400)"),"NUESTRA SEÑORA DE LA CANDELARIA")</f>
        <v>NUESTRA SEÑORA DE LA CANDELARIA</v>
      </c>
      <c r="F1400" s="11" t="s">
        <v>17</v>
      </c>
      <c r="G1400" s="10" t="s">
        <v>18</v>
      </c>
      <c r="H1400" s="11" t="s">
        <v>19</v>
      </c>
      <c r="I1400" s="11" t="s">
        <v>113</v>
      </c>
      <c r="J1400" s="12" t="str">
        <f ca="1">IFERROR(__xludf.DUMMYFUNCTION("FILTER('CLASFICACIÓN'!$F$3:$F2419,'CLASFICACIÓN'!$G$3:$G2419=M1400)"),"2023 Y 2024")</f>
        <v>2023 Y 2024</v>
      </c>
      <c r="K1400" s="12" t="s">
        <v>2011</v>
      </c>
      <c r="L1400" s="11" t="s">
        <v>114</v>
      </c>
      <c r="M1400" s="12" t="str">
        <f t="shared" ca="1" si="5"/>
        <v>NUESTRA SEÑORA DE LA CANDELARIA2 Secundaria</v>
      </c>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4"/>
    </row>
    <row r="1401" spans="1:36" ht="12.5" x14ac:dyDescent="0.25">
      <c r="A1401" s="9">
        <v>24</v>
      </c>
      <c r="B1401" s="10" t="s">
        <v>54</v>
      </c>
      <c r="C1401" s="10" t="s">
        <v>41</v>
      </c>
      <c r="D1401" s="10" t="s">
        <v>42</v>
      </c>
      <c r="E1401" s="11" t="str">
        <f ca="1">IFERROR(__xludf.DUMMYFUNCTION("FILTER(Colegios!$B$2:$B2419,Colegios!$A$2:$A2419=L1401)"),"NUESTRA SEÑORA DE LA CANDELARIA")</f>
        <v>NUESTRA SEÑORA DE LA CANDELARIA</v>
      </c>
      <c r="F1401" s="11" t="s">
        <v>17</v>
      </c>
      <c r="G1401" s="10" t="s">
        <v>18</v>
      </c>
      <c r="H1401" s="11" t="s">
        <v>19</v>
      </c>
      <c r="I1401" s="11" t="s">
        <v>113</v>
      </c>
      <c r="J1401" s="12" t="str">
        <f ca="1">IFERROR(__xludf.DUMMYFUNCTION("FILTER('CLASFICACIÓN'!$F$3:$F2419,'CLASFICACIÓN'!$G$3:$G2419=M1401)"),"2023 Y 2024")</f>
        <v>2023 Y 2024</v>
      </c>
      <c r="K1401" s="12" t="s">
        <v>2011</v>
      </c>
      <c r="L1401" s="11" t="s">
        <v>114</v>
      </c>
      <c r="M1401" s="12" t="str">
        <f t="shared" ca="1" si="5"/>
        <v>NUESTRA SEÑORA DE LA CANDELARIA2 Secundaria</v>
      </c>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4"/>
    </row>
    <row r="1402" spans="1:36" ht="12.5" x14ac:dyDescent="0.25">
      <c r="A1402" s="9">
        <v>25</v>
      </c>
      <c r="B1402" s="10" t="s">
        <v>54</v>
      </c>
      <c r="C1402" s="10" t="s">
        <v>41</v>
      </c>
      <c r="D1402" s="10" t="s">
        <v>42</v>
      </c>
      <c r="E1402" s="11" t="str">
        <f ca="1">IFERROR(__xludf.DUMMYFUNCTION("FILTER(Colegios!$B$2:$B2419,Colegios!$A$2:$A2419=L1402)"),"NUESTRA SEÑORA DE LA CANDELARIA")</f>
        <v>NUESTRA SEÑORA DE LA CANDELARIA</v>
      </c>
      <c r="F1402" s="11" t="s">
        <v>17</v>
      </c>
      <c r="G1402" s="10" t="s">
        <v>24</v>
      </c>
      <c r="H1402" s="11" t="s">
        <v>19</v>
      </c>
      <c r="I1402" s="11" t="s">
        <v>113</v>
      </c>
      <c r="J1402" s="12" t="str">
        <f ca="1">IFERROR(__xludf.DUMMYFUNCTION("FILTER('CLASFICACIÓN'!$F$3:$F2419,'CLASFICACIÓN'!$G$3:$G2419=M1402)"),"2023 Y 2024")</f>
        <v>2023 Y 2024</v>
      </c>
      <c r="K1402" s="12" t="s">
        <v>2011</v>
      </c>
      <c r="L1402" s="11" t="s">
        <v>114</v>
      </c>
      <c r="M1402" s="12" t="str">
        <f t="shared" ca="1" si="5"/>
        <v>NUESTRA SEÑORA DE LA CANDELARIA2 Secundaria</v>
      </c>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4"/>
    </row>
    <row r="1403" spans="1:36" ht="12.5" x14ac:dyDescent="0.25">
      <c r="A1403" s="9">
        <v>26</v>
      </c>
      <c r="B1403" s="10" t="s">
        <v>54</v>
      </c>
      <c r="C1403" s="10" t="s">
        <v>41</v>
      </c>
      <c r="D1403" s="10" t="s">
        <v>42</v>
      </c>
      <c r="E1403" s="11" t="str">
        <f ca="1">IFERROR(__xludf.DUMMYFUNCTION("FILTER(Colegios!$B$2:$B2419,Colegios!$A$2:$A2419=L1403)"),"NUESTRA SEÑORA DE LA CANDELARIA")</f>
        <v>NUESTRA SEÑORA DE LA CANDELARIA</v>
      </c>
      <c r="F1403" s="11" t="s">
        <v>17</v>
      </c>
      <c r="G1403" s="10" t="s">
        <v>18</v>
      </c>
      <c r="H1403" s="11" t="s">
        <v>19</v>
      </c>
      <c r="I1403" s="11" t="s">
        <v>113</v>
      </c>
      <c r="J1403" s="12" t="str">
        <f ca="1">IFERROR(__xludf.DUMMYFUNCTION("FILTER('CLASFICACIÓN'!$F$3:$F2419,'CLASFICACIÓN'!$G$3:$G2419=M1403)"),"2023 Y 2024")</f>
        <v>2023 Y 2024</v>
      </c>
      <c r="K1403" s="12" t="s">
        <v>2011</v>
      </c>
      <c r="L1403" s="11" t="s">
        <v>114</v>
      </c>
      <c r="M1403" s="12" t="str">
        <f t="shared" ca="1" si="5"/>
        <v>NUESTRA SEÑORA DE LA CANDELARIA2 Secundaria</v>
      </c>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4"/>
    </row>
    <row r="1404" spans="1:36" ht="12.5" x14ac:dyDescent="0.25">
      <c r="A1404" s="9">
        <v>27</v>
      </c>
      <c r="B1404" s="10" t="s">
        <v>54</v>
      </c>
      <c r="C1404" s="10" t="s">
        <v>41</v>
      </c>
      <c r="D1404" s="10" t="s">
        <v>42</v>
      </c>
      <c r="E1404" s="11" t="str">
        <f ca="1">IFERROR(__xludf.DUMMYFUNCTION("FILTER(Colegios!$B$2:$B2419,Colegios!$A$2:$A2419=L1404)"),"NUESTRA SEÑORA DE LA CANDELARIA")</f>
        <v>NUESTRA SEÑORA DE LA CANDELARIA</v>
      </c>
      <c r="F1404" s="11" t="s">
        <v>17</v>
      </c>
      <c r="G1404" s="10" t="s">
        <v>18</v>
      </c>
      <c r="H1404" s="11" t="s">
        <v>19</v>
      </c>
      <c r="I1404" s="11" t="s">
        <v>113</v>
      </c>
      <c r="J1404" s="12" t="str">
        <f ca="1">IFERROR(__xludf.DUMMYFUNCTION("FILTER('CLASFICACIÓN'!$F$3:$F2419,'CLASFICACIÓN'!$G$3:$G2419=M1404)"),"2023 Y 2024")</f>
        <v>2023 Y 2024</v>
      </c>
      <c r="K1404" s="12" t="s">
        <v>2011</v>
      </c>
      <c r="L1404" s="11" t="s">
        <v>114</v>
      </c>
      <c r="M1404" s="12" t="str">
        <f t="shared" ca="1" si="5"/>
        <v>NUESTRA SEÑORA DE LA CANDELARIA2 Secundaria</v>
      </c>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4"/>
    </row>
    <row r="1405" spans="1:36" ht="12.5" x14ac:dyDescent="0.25">
      <c r="A1405" s="9">
        <v>28</v>
      </c>
      <c r="B1405" s="10" t="s">
        <v>54</v>
      </c>
      <c r="C1405" s="10" t="s">
        <v>41</v>
      </c>
      <c r="D1405" s="10" t="s">
        <v>42</v>
      </c>
      <c r="E1405" s="11" t="str">
        <f ca="1">IFERROR(__xludf.DUMMYFUNCTION("FILTER(Colegios!$B$2:$B2419,Colegios!$A$2:$A2419=L1405)"),"NUESTRA SEÑORA DE LA CANDELARIA")</f>
        <v>NUESTRA SEÑORA DE LA CANDELARIA</v>
      </c>
      <c r="F1405" s="11" t="s">
        <v>17</v>
      </c>
      <c r="G1405" s="10" t="s">
        <v>24</v>
      </c>
      <c r="H1405" s="11" t="s">
        <v>19</v>
      </c>
      <c r="I1405" s="11" t="s">
        <v>113</v>
      </c>
      <c r="J1405" s="12" t="str">
        <f ca="1">IFERROR(__xludf.DUMMYFUNCTION("FILTER('CLASFICACIÓN'!$F$3:$F2419,'CLASFICACIÓN'!$G$3:$G2419=M1405)"),"2023 Y 2024")</f>
        <v>2023 Y 2024</v>
      </c>
      <c r="K1405" s="12" t="s">
        <v>2011</v>
      </c>
      <c r="L1405" s="11" t="s">
        <v>114</v>
      </c>
      <c r="M1405" s="12" t="str">
        <f t="shared" ca="1" si="5"/>
        <v>NUESTRA SEÑORA DE LA CANDELARIA2 Secundaria</v>
      </c>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4"/>
    </row>
    <row r="1406" spans="1:36" ht="12.5" x14ac:dyDescent="0.25">
      <c r="A1406" s="9">
        <v>29</v>
      </c>
      <c r="B1406" s="10" t="s">
        <v>54</v>
      </c>
      <c r="C1406" s="10" t="s">
        <v>41</v>
      </c>
      <c r="D1406" s="10" t="s">
        <v>42</v>
      </c>
      <c r="E1406" s="11" t="str">
        <f ca="1">IFERROR(__xludf.DUMMYFUNCTION("FILTER(Colegios!$B$2:$B2419,Colegios!$A$2:$A2419=L1406)"),"NUESTRA SEÑORA DE LA CANDELARIA")</f>
        <v>NUESTRA SEÑORA DE LA CANDELARIA</v>
      </c>
      <c r="F1406" s="11" t="s">
        <v>17</v>
      </c>
      <c r="G1406" s="10" t="s">
        <v>18</v>
      </c>
      <c r="H1406" s="11" t="s">
        <v>19</v>
      </c>
      <c r="I1406" s="11" t="s">
        <v>113</v>
      </c>
      <c r="J1406" s="12" t="str">
        <f ca="1">IFERROR(__xludf.DUMMYFUNCTION("FILTER('CLASFICACIÓN'!$F$3:$F2419,'CLASFICACIÓN'!$G$3:$G2419=M1406)"),"2023 Y 2024")</f>
        <v>2023 Y 2024</v>
      </c>
      <c r="K1406" s="12" t="s">
        <v>2011</v>
      </c>
      <c r="L1406" s="11" t="s">
        <v>114</v>
      </c>
      <c r="M1406" s="12" t="str">
        <f t="shared" ca="1" si="5"/>
        <v>NUESTRA SEÑORA DE LA CANDELARIA2 Secundaria</v>
      </c>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4"/>
    </row>
    <row r="1407" spans="1:36" ht="12.5" x14ac:dyDescent="0.25">
      <c r="A1407" s="9">
        <v>30</v>
      </c>
      <c r="B1407" s="10" t="s">
        <v>54</v>
      </c>
      <c r="C1407" s="10" t="s">
        <v>41</v>
      </c>
      <c r="D1407" s="10" t="s">
        <v>42</v>
      </c>
      <c r="E1407" s="11" t="str">
        <f ca="1">IFERROR(__xludf.DUMMYFUNCTION("FILTER(Colegios!$B$2:$B2419,Colegios!$A$2:$A2419=L1407)"),"NUESTRA SEÑORA DE LA CANDELARIA")</f>
        <v>NUESTRA SEÑORA DE LA CANDELARIA</v>
      </c>
      <c r="F1407" s="11" t="s">
        <v>17</v>
      </c>
      <c r="G1407" s="10" t="s">
        <v>24</v>
      </c>
      <c r="H1407" s="11" t="s">
        <v>19</v>
      </c>
      <c r="I1407" s="11" t="s">
        <v>113</v>
      </c>
      <c r="J1407" s="12" t="str">
        <f ca="1">IFERROR(__xludf.DUMMYFUNCTION("FILTER('CLASFICACIÓN'!$F$3:$F2419,'CLASFICACIÓN'!$G$3:$G2419=M1407)"),"2023 Y 2024")</f>
        <v>2023 Y 2024</v>
      </c>
      <c r="K1407" s="12" t="s">
        <v>2011</v>
      </c>
      <c r="L1407" s="11" t="s">
        <v>114</v>
      </c>
      <c r="M1407" s="12" t="str">
        <f t="shared" ca="1" si="5"/>
        <v>NUESTRA SEÑORA DE LA CANDELARIA2 Secundaria</v>
      </c>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4"/>
    </row>
    <row r="1408" spans="1:36" ht="12.5" x14ac:dyDescent="0.25">
      <c r="A1408" s="9">
        <v>31</v>
      </c>
      <c r="B1408" s="10" t="s">
        <v>54</v>
      </c>
      <c r="C1408" s="10" t="s">
        <v>41</v>
      </c>
      <c r="D1408" s="10" t="s">
        <v>42</v>
      </c>
      <c r="E1408" s="11" t="str">
        <f ca="1">IFERROR(__xludf.DUMMYFUNCTION("FILTER(Colegios!$B$2:$B2419,Colegios!$A$2:$A2419=L1408)"),"NUESTRA SEÑORA DE LA CANDELARIA")</f>
        <v>NUESTRA SEÑORA DE LA CANDELARIA</v>
      </c>
      <c r="F1408" s="11" t="s">
        <v>17</v>
      </c>
      <c r="G1408" s="10" t="s">
        <v>24</v>
      </c>
      <c r="H1408" s="11" t="s">
        <v>19</v>
      </c>
      <c r="I1408" s="11" t="s">
        <v>113</v>
      </c>
      <c r="J1408" s="12" t="str">
        <f ca="1">IFERROR(__xludf.DUMMYFUNCTION("FILTER('CLASFICACIÓN'!$F$3:$F2419,'CLASFICACIÓN'!$G$3:$G2419=M1408)"),"2023 Y 2024")</f>
        <v>2023 Y 2024</v>
      </c>
      <c r="K1408" s="12" t="s">
        <v>2011</v>
      </c>
      <c r="L1408" s="11" t="s">
        <v>114</v>
      </c>
      <c r="M1408" s="12" t="str">
        <f t="shared" ca="1" si="5"/>
        <v>NUESTRA SEÑORA DE LA CANDELARIA2 Secundaria</v>
      </c>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4"/>
    </row>
    <row r="1409" spans="1:36" ht="12.5" x14ac:dyDescent="0.25">
      <c r="A1409" s="9">
        <v>32</v>
      </c>
      <c r="B1409" s="10" t="s">
        <v>54</v>
      </c>
      <c r="C1409" s="10" t="s">
        <v>41</v>
      </c>
      <c r="D1409" s="10" t="s">
        <v>42</v>
      </c>
      <c r="E1409" s="11" t="str">
        <f ca="1">IFERROR(__xludf.DUMMYFUNCTION("FILTER(Colegios!$B$2:$B2419,Colegios!$A$2:$A2419=L1409)"),"NUESTRA SEÑORA DE LA CANDELARIA")</f>
        <v>NUESTRA SEÑORA DE LA CANDELARIA</v>
      </c>
      <c r="F1409" s="11" t="s">
        <v>17</v>
      </c>
      <c r="G1409" s="10" t="s">
        <v>24</v>
      </c>
      <c r="H1409" s="11" t="s">
        <v>19</v>
      </c>
      <c r="I1409" s="11" t="s">
        <v>113</v>
      </c>
      <c r="J1409" s="12" t="str">
        <f ca="1">IFERROR(__xludf.DUMMYFUNCTION("FILTER('CLASFICACIÓN'!$F$3:$F2419,'CLASFICACIÓN'!$G$3:$G2419=M1409)"),"2023 Y 2024")</f>
        <v>2023 Y 2024</v>
      </c>
      <c r="K1409" s="12" t="s">
        <v>2011</v>
      </c>
      <c r="L1409" s="11" t="s">
        <v>114</v>
      </c>
      <c r="M1409" s="12" t="str">
        <f t="shared" ca="1" si="5"/>
        <v>NUESTRA SEÑORA DE LA CANDELARIA2 Secundaria</v>
      </c>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4"/>
    </row>
    <row r="1410" spans="1:36" ht="12.5" x14ac:dyDescent="0.25">
      <c r="A1410" s="9">
        <v>33</v>
      </c>
      <c r="B1410" s="10" t="s">
        <v>54</v>
      </c>
      <c r="C1410" s="10" t="s">
        <v>41</v>
      </c>
      <c r="D1410" s="10" t="s">
        <v>42</v>
      </c>
      <c r="E1410" s="11" t="str">
        <f ca="1">IFERROR(__xludf.DUMMYFUNCTION("FILTER(Colegios!$B$2:$B2419,Colegios!$A$2:$A2419=L1410)"),"NUESTRA SEÑORA DE LA CANDELARIA")</f>
        <v>NUESTRA SEÑORA DE LA CANDELARIA</v>
      </c>
      <c r="F1410" s="11" t="s">
        <v>17</v>
      </c>
      <c r="G1410" s="10" t="s">
        <v>24</v>
      </c>
      <c r="H1410" s="11" t="s">
        <v>19</v>
      </c>
      <c r="I1410" s="11" t="s">
        <v>113</v>
      </c>
      <c r="J1410" s="12" t="str">
        <f ca="1">IFERROR(__xludf.DUMMYFUNCTION("FILTER('CLASFICACIÓN'!$F$3:$F2419,'CLASFICACIÓN'!$G$3:$G2419=M1410)"),"2023 Y 2024")</f>
        <v>2023 Y 2024</v>
      </c>
      <c r="K1410" s="12" t="s">
        <v>2011</v>
      </c>
      <c r="L1410" s="11" t="s">
        <v>114</v>
      </c>
      <c r="M1410" s="12" t="str">
        <f t="shared" ca="1" si="5"/>
        <v>NUESTRA SEÑORA DE LA CANDELARIA2 Secundaria</v>
      </c>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4"/>
    </row>
    <row r="1411" spans="1:36" ht="12.5" x14ac:dyDescent="0.25">
      <c r="A1411" s="9">
        <v>34</v>
      </c>
      <c r="B1411" s="10" t="s">
        <v>54</v>
      </c>
      <c r="C1411" s="10" t="s">
        <v>41</v>
      </c>
      <c r="D1411" s="10" t="s">
        <v>42</v>
      </c>
      <c r="E1411" s="11" t="str">
        <f ca="1">IFERROR(__xludf.DUMMYFUNCTION("FILTER(Colegios!$B$2:$B2419,Colegios!$A$2:$A2419=L1411)"),"NUESTRA SEÑORA DE LA CANDELARIA")</f>
        <v>NUESTRA SEÑORA DE LA CANDELARIA</v>
      </c>
      <c r="F1411" s="11" t="s">
        <v>17</v>
      </c>
      <c r="G1411" s="10" t="s">
        <v>24</v>
      </c>
      <c r="H1411" s="11" t="s">
        <v>19</v>
      </c>
      <c r="I1411" s="11" t="s">
        <v>113</v>
      </c>
      <c r="J1411" s="12" t="str">
        <f ca="1">IFERROR(__xludf.DUMMYFUNCTION("FILTER('CLASFICACIÓN'!$F$3:$F2419,'CLASFICACIÓN'!$G$3:$G2419=M1411)"),"2023 Y 2024")</f>
        <v>2023 Y 2024</v>
      </c>
      <c r="K1411" s="12" t="s">
        <v>2011</v>
      </c>
      <c r="L1411" s="11" t="s">
        <v>114</v>
      </c>
      <c r="M1411" s="12" t="str">
        <f t="shared" ca="1" si="5"/>
        <v>NUESTRA SEÑORA DE LA CANDELARIA2 Secundaria</v>
      </c>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4"/>
    </row>
    <row r="1412" spans="1:36" ht="12.5" x14ac:dyDescent="0.25">
      <c r="A1412" s="9">
        <v>35</v>
      </c>
      <c r="B1412" s="10" t="s">
        <v>54</v>
      </c>
      <c r="C1412" s="10" t="s">
        <v>41</v>
      </c>
      <c r="D1412" s="10" t="s">
        <v>42</v>
      </c>
      <c r="E1412" s="11" t="str">
        <f ca="1">IFERROR(__xludf.DUMMYFUNCTION("FILTER(Colegios!$B$2:$B2419,Colegios!$A$2:$A2419=L1412)"),"NUESTRA SEÑORA DE LA CANDELARIA")</f>
        <v>NUESTRA SEÑORA DE LA CANDELARIA</v>
      </c>
      <c r="F1412" s="11" t="s">
        <v>17</v>
      </c>
      <c r="G1412" s="10" t="s">
        <v>18</v>
      </c>
      <c r="H1412" s="11" t="s">
        <v>23</v>
      </c>
      <c r="I1412" s="11" t="s">
        <v>113</v>
      </c>
      <c r="J1412" s="12" t="str">
        <f ca="1">IFERROR(__xludf.DUMMYFUNCTION("FILTER('CLASFICACIÓN'!$F$3:$F2419,'CLASFICACIÓN'!$G$3:$G2419=M1412)"),"2023 Y 2024")</f>
        <v>2023 Y 2024</v>
      </c>
      <c r="K1412" s="12" t="s">
        <v>2011</v>
      </c>
      <c r="L1412" s="11" t="s">
        <v>114</v>
      </c>
      <c r="M1412" s="12" t="str">
        <f t="shared" ca="1" si="5"/>
        <v>NUESTRA SEÑORA DE LA CANDELARIA2 Secundaria</v>
      </c>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4"/>
    </row>
    <row r="1413" spans="1:36" ht="12.5" x14ac:dyDescent="0.25">
      <c r="A1413" s="9">
        <v>36</v>
      </c>
      <c r="B1413" s="10" t="s">
        <v>54</v>
      </c>
      <c r="C1413" s="10" t="s">
        <v>41</v>
      </c>
      <c r="D1413" s="10" t="s">
        <v>42</v>
      </c>
      <c r="E1413" s="11" t="str">
        <f ca="1">IFERROR(__xludf.DUMMYFUNCTION("FILTER(Colegios!$B$2:$B2419,Colegios!$A$2:$A2419=L1413)"),"NUESTRA SEÑORA DE LA CANDELARIA")</f>
        <v>NUESTRA SEÑORA DE LA CANDELARIA</v>
      </c>
      <c r="F1413" s="11" t="s">
        <v>17</v>
      </c>
      <c r="G1413" s="10" t="s">
        <v>24</v>
      </c>
      <c r="H1413" s="11" t="s">
        <v>19</v>
      </c>
      <c r="I1413" s="11" t="s">
        <v>113</v>
      </c>
      <c r="J1413" s="12" t="str">
        <f ca="1">IFERROR(__xludf.DUMMYFUNCTION("FILTER('CLASFICACIÓN'!$F$3:$F2419,'CLASFICACIÓN'!$G$3:$G2419=M1413)"),"2023 Y 2024")</f>
        <v>2023 Y 2024</v>
      </c>
      <c r="K1413" s="12" t="s">
        <v>2011</v>
      </c>
      <c r="L1413" s="11" t="s">
        <v>114</v>
      </c>
      <c r="M1413" s="12" t="str">
        <f t="shared" ca="1" si="5"/>
        <v>NUESTRA SEÑORA DE LA CANDELARIA2 Secundaria</v>
      </c>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4"/>
    </row>
    <row r="1414" spans="1:36" ht="12.5" x14ac:dyDescent="0.25">
      <c r="A1414" s="9">
        <v>37</v>
      </c>
      <c r="B1414" s="10" t="s">
        <v>54</v>
      </c>
      <c r="C1414" s="10" t="s">
        <v>41</v>
      </c>
      <c r="D1414" s="10" t="s">
        <v>42</v>
      </c>
      <c r="E1414" s="11" t="str">
        <f ca="1">IFERROR(__xludf.DUMMYFUNCTION("FILTER(Colegios!$B$2:$B2419,Colegios!$A$2:$A2419=L1414)"),"NUESTRA SEÑORA DE LA CANDELARIA")</f>
        <v>NUESTRA SEÑORA DE LA CANDELARIA</v>
      </c>
      <c r="F1414" s="11" t="s">
        <v>17</v>
      </c>
      <c r="G1414" s="10" t="s">
        <v>18</v>
      </c>
      <c r="H1414" s="11" t="s">
        <v>19</v>
      </c>
      <c r="I1414" s="11" t="s">
        <v>113</v>
      </c>
      <c r="J1414" s="12" t="str">
        <f ca="1">IFERROR(__xludf.DUMMYFUNCTION("FILTER('CLASFICACIÓN'!$F$3:$F2419,'CLASFICACIÓN'!$G$3:$G2419=M1414)"),"2023 Y 2024")</f>
        <v>2023 Y 2024</v>
      </c>
      <c r="K1414" s="12" t="s">
        <v>2011</v>
      </c>
      <c r="L1414" s="11" t="s">
        <v>114</v>
      </c>
      <c r="M1414" s="12" t="str">
        <f t="shared" ca="1" si="5"/>
        <v>NUESTRA SEÑORA DE LA CANDELARIA2 Secundaria</v>
      </c>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4"/>
    </row>
    <row r="1415" spans="1:36" ht="12.5" x14ac:dyDescent="0.25">
      <c r="A1415" s="9">
        <v>38</v>
      </c>
      <c r="B1415" s="10" t="s">
        <v>54</v>
      </c>
      <c r="C1415" s="10" t="s">
        <v>41</v>
      </c>
      <c r="D1415" s="10" t="s">
        <v>42</v>
      </c>
      <c r="E1415" s="11" t="str">
        <f ca="1">IFERROR(__xludf.DUMMYFUNCTION("FILTER(Colegios!$B$2:$B2419,Colegios!$A$2:$A2419=L1415)"),"NUESTRA SEÑORA DE LA CANDELARIA")</f>
        <v>NUESTRA SEÑORA DE LA CANDELARIA</v>
      </c>
      <c r="F1415" s="11" t="s">
        <v>17</v>
      </c>
      <c r="G1415" s="10" t="s">
        <v>24</v>
      </c>
      <c r="H1415" s="11" t="s">
        <v>19</v>
      </c>
      <c r="I1415" s="11" t="s">
        <v>113</v>
      </c>
      <c r="J1415" s="12" t="str">
        <f ca="1">IFERROR(__xludf.DUMMYFUNCTION("FILTER('CLASFICACIÓN'!$F$3:$F2419,'CLASFICACIÓN'!$G$3:$G2419=M1415)"),"2023 Y 2024")</f>
        <v>2023 Y 2024</v>
      </c>
      <c r="K1415" s="12" t="s">
        <v>2011</v>
      </c>
      <c r="L1415" s="11" t="s">
        <v>114</v>
      </c>
      <c r="M1415" s="12" t="str">
        <f t="shared" ca="1" si="5"/>
        <v>NUESTRA SEÑORA DE LA CANDELARIA2 Secundaria</v>
      </c>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4"/>
    </row>
    <row r="1416" spans="1:36" ht="12.5" x14ac:dyDescent="0.25">
      <c r="A1416" s="9">
        <v>39</v>
      </c>
      <c r="B1416" s="10" t="s">
        <v>54</v>
      </c>
      <c r="C1416" s="10" t="s">
        <v>41</v>
      </c>
      <c r="D1416" s="10" t="s">
        <v>42</v>
      </c>
      <c r="E1416" s="11" t="str">
        <f ca="1">IFERROR(__xludf.DUMMYFUNCTION("FILTER(Colegios!$B$2:$B2419,Colegios!$A$2:$A2419=L1416)"),"NUESTRA SEÑORA DE LA CANDELARIA")</f>
        <v>NUESTRA SEÑORA DE LA CANDELARIA</v>
      </c>
      <c r="F1416" s="11" t="s">
        <v>17</v>
      </c>
      <c r="G1416" s="10" t="s">
        <v>24</v>
      </c>
      <c r="H1416" s="11" t="s">
        <v>19</v>
      </c>
      <c r="I1416" s="11" t="s">
        <v>113</v>
      </c>
      <c r="J1416" s="12" t="str">
        <f ca="1">IFERROR(__xludf.DUMMYFUNCTION("FILTER('CLASFICACIÓN'!$F$3:$F2419,'CLASFICACIÓN'!$G$3:$G2419=M1416)"),"2023 Y 2024")</f>
        <v>2023 Y 2024</v>
      </c>
      <c r="K1416" s="12" t="s">
        <v>2011</v>
      </c>
      <c r="L1416" s="11" t="s">
        <v>114</v>
      </c>
      <c r="M1416" s="12" t="str">
        <f t="shared" ca="1" si="5"/>
        <v>NUESTRA SEÑORA DE LA CANDELARIA2 Secundaria</v>
      </c>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4"/>
    </row>
    <row r="1417" spans="1:36" ht="12.5" x14ac:dyDescent="0.25">
      <c r="A1417" s="9">
        <v>40</v>
      </c>
      <c r="B1417" s="10" t="s">
        <v>54</v>
      </c>
      <c r="C1417" s="10" t="s">
        <v>41</v>
      </c>
      <c r="D1417" s="10" t="s">
        <v>42</v>
      </c>
      <c r="E1417" s="11" t="str">
        <f ca="1">IFERROR(__xludf.DUMMYFUNCTION("FILTER(Colegios!$B$2:$B2419,Colegios!$A$2:$A2419=L1417)"),"NUESTRA SEÑORA DE LA CANDELARIA")</f>
        <v>NUESTRA SEÑORA DE LA CANDELARIA</v>
      </c>
      <c r="F1417" s="11" t="s">
        <v>17</v>
      </c>
      <c r="G1417" s="10" t="s">
        <v>18</v>
      </c>
      <c r="H1417" s="11" t="s">
        <v>19</v>
      </c>
      <c r="I1417" s="11" t="s">
        <v>113</v>
      </c>
      <c r="J1417" s="12" t="str">
        <f ca="1">IFERROR(__xludf.DUMMYFUNCTION("FILTER('CLASFICACIÓN'!$F$3:$F2419,'CLASFICACIÓN'!$G$3:$G2419=M1417)"),"2023 Y 2024")</f>
        <v>2023 Y 2024</v>
      </c>
      <c r="K1417" s="12" t="s">
        <v>2011</v>
      </c>
      <c r="L1417" s="11" t="s">
        <v>114</v>
      </c>
      <c r="M1417" s="12" t="str">
        <f t="shared" ca="1" si="5"/>
        <v>NUESTRA SEÑORA DE LA CANDELARIA2 Secundaria</v>
      </c>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4"/>
    </row>
    <row r="1418" spans="1:36" ht="12.5" x14ac:dyDescent="0.25">
      <c r="A1418" s="9">
        <v>41</v>
      </c>
      <c r="B1418" s="10" t="s">
        <v>54</v>
      </c>
      <c r="C1418" s="10" t="s">
        <v>41</v>
      </c>
      <c r="D1418" s="10" t="s">
        <v>43</v>
      </c>
      <c r="E1418" s="11" t="str">
        <f ca="1">IFERROR(__xludf.DUMMYFUNCTION("FILTER(Colegios!$B$2:$B2419,Colegios!$A$2:$A2419=L1418)"),"NUESTRA SEÑORA DE LA CANDELARIA")</f>
        <v>NUESTRA SEÑORA DE LA CANDELARIA</v>
      </c>
      <c r="F1418" s="11" t="s">
        <v>17</v>
      </c>
      <c r="G1418" s="10" t="s">
        <v>18</v>
      </c>
      <c r="H1418" s="11" t="s">
        <v>19</v>
      </c>
      <c r="I1418" s="11" t="s">
        <v>113</v>
      </c>
      <c r="J1418" s="12" t="str">
        <f ca="1">IFERROR(__xludf.DUMMYFUNCTION("FILTER('CLASFICACIÓN'!$F$3:$F2419,'CLASFICACIÓN'!$G$3:$G2419=M1418)"),"2023 Y 2024")</f>
        <v>2023 Y 2024</v>
      </c>
      <c r="K1418" s="12" t="s">
        <v>2011</v>
      </c>
      <c r="L1418" s="11" t="s">
        <v>114</v>
      </c>
      <c r="M1418" s="12" t="str">
        <f t="shared" ca="1" si="5"/>
        <v>NUESTRA SEÑORA DE LA CANDELARIA4 Secundaria</v>
      </c>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4"/>
    </row>
    <row r="1419" spans="1:36" ht="12.5" x14ac:dyDescent="0.25">
      <c r="A1419" s="9">
        <v>42</v>
      </c>
      <c r="B1419" s="10" t="s">
        <v>54</v>
      </c>
      <c r="C1419" s="10" t="s">
        <v>41</v>
      </c>
      <c r="D1419" s="10" t="s">
        <v>43</v>
      </c>
      <c r="E1419" s="11" t="str">
        <f ca="1">IFERROR(__xludf.DUMMYFUNCTION("FILTER(Colegios!$B$2:$B2419,Colegios!$A$2:$A2419=L1419)"),"NUESTRA SEÑORA DE LA CANDELARIA")</f>
        <v>NUESTRA SEÑORA DE LA CANDELARIA</v>
      </c>
      <c r="F1419" s="11" t="s">
        <v>17</v>
      </c>
      <c r="G1419" s="10" t="s">
        <v>24</v>
      </c>
      <c r="H1419" s="11" t="s">
        <v>19</v>
      </c>
      <c r="I1419" s="11" t="s">
        <v>113</v>
      </c>
      <c r="J1419" s="12" t="str">
        <f ca="1">IFERROR(__xludf.DUMMYFUNCTION("FILTER('CLASFICACIÓN'!$F$3:$F2419,'CLASFICACIÓN'!$G$3:$G2419=M1419)"),"2023 Y 2024")</f>
        <v>2023 Y 2024</v>
      </c>
      <c r="K1419" s="12" t="s">
        <v>2011</v>
      </c>
      <c r="L1419" s="11" t="s">
        <v>114</v>
      </c>
      <c r="M1419" s="12" t="str">
        <f t="shared" ca="1" si="5"/>
        <v>NUESTRA SEÑORA DE LA CANDELARIA4 Secundaria</v>
      </c>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4"/>
    </row>
    <row r="1420" spans="1:36" ht="12.5" x14ac:dyDescent="0.25">
      <c r="A1420" s="9">
        <v>43</v>
      </c>
      <c r="B1420" s="10" t="s">
        <v>54</v>
      </c>
      <c r="C1420" s="10" t="s">
        <v>41</v>
      </c>
      <c r="D1420" s="10" t="s">
        <v>43</v>
      </c>
      <c r="E1420" s="11" t="str">
        <f ca="1">IFERROR(__xludf.DUMMYFUNCTION("FILTER(Colegios!$B$2:$B2419,Colegios!$A$2:$A2419=L1420)"),"NUESTRA SEÑORA DE LA CANDELARIA")</f>
        <v>NUESTRA SEÑORA DE LA CANDELARIA</v>
      </c>
      <c r="F1420" s="11" t="s">
        <v>17</v>
      </c>
      <c r="G1420" s="10" t="s">
        <v>18</v>
      </c>
      <c r="H1420" s="11" t="s">
        <v>23</v>
      </c>
      <c r="I1420" s="11" t="s">
        <v>113</v>
      </c>
      <c r="J1420" s="12" t="str">
        <f ca="1">IFERROR(__xludf.DUMMYFUNCTION("FILTER('CLASFICACIÓN'!$F$3:$F2419,'CLASFICACIÓN'!$G$3:$G2419=M1420)"),"2023 Y 2024")</f>
        <v>2023 Y 2024</v>
      </c>
      <c r="K1420" s="12" t="s">
        <v>2011</v>
      </c>
      <c r="L1420" s="11" t="s">
        <v>114</v>
      </c>
      <c r="M1420" s="12" t="str">
        <f t="shared" ca="1" si="5"/>
        <v>NUESTRA SEÑORA DE LA CANDELARIA4 Secundaria</v>
      </c>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4"/>
    </row>
    <row r="1421" spans="1:36" ht="12.5" x14ac:dyDescent="0.25">
      <c r="A1421" s="9">
        <v>44</v>
      </c>
      <c r="B1421" s="10" t="s">
        <v>54</v>
      </c>
      <c r="C1421" s="10" t="s">
        <v>41</v>
      </c>
      <c r="D1421" s="10" t="s">
        <v>43</v>
      </c>
      <c r="E1421" s="11" t="str">
        <f ca="1">IFERROR(__xludf.DUMMYFUNCTION("FILTER(Colegios!$B$2:$B2419,Colegios!$A$2:$A2419=L1421)"),"NUESTRA SEÑORA DE LA CANDELARIA")</f>
        <v>NUESTRA SEÑORA DE LA CANDELARIA</v>
      </c>
      <c r="F1421" s="11" t="s">
        <v>17</v>
      </c>
      <c r="G1421" s="10" t="s">
        <v>24</v>
      </c>
      <c r="H1421" s="11" t="s">
        <v>23</v>
      </c>
      <c r="I1421" s="11" t="s">
        <v>113</v>
      </c>
      <c r="J1421" s="12" t="str">
        <f ca="1">IFERROR(__xludf.DUMMYFUNCTION("FILTER('CLASFICACIÓN'!$F$3:$F2419,'CLASFICACIÓN'!$G$3:$G2419=M1421)"),"2023 Y 2024")</f>
        <v>2023 Y 2024</v>
      </c>
      <c r="K1421" s="12" t="s">
        <v>2011</v>
      </c>
      <c r="L1421" s="11" t="s">
        <v>114</v>
      </c>
      <c r="M1421" s="12" t="str">
        <f t="shared" ca="1" si="5"/>
        <v>NUESTRA SEÑORA DE LA CANDELARIA4 Secundaria</v>
      </c>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4"/>
    </row>
    <row r="1422" spans="1:36" ht="12.5" x14ac:dyDescent="0.25">
      <c r="A1422" s="9">
        <v>45</v>
      </c>
      <c r="B1422" s="10" t="s">
        <v>54</v>
      </c>
      <c r="C1422" s="10" t="s">
        <v>41</v>
      </c>
      <c r="D1422" s="10" t="s">
        <v>43</v>
      </c>
      <c r="E1422" s="11" t="str">
        <f ca="1">IFERROR(__xludf.DUMMYFUNCTION("FILTER(Colegios!$B$2:$B2419,Colegios!$A$2:$A2419=L1422)"),"NUESTRA SEÑORA DE LA CANDELARIA")</f>
        <v>NUESTRA SEÑORA DE LA CANDELARIA</v>
      </c>
      <c r="F1422" s="11" t="s">
        <v>17</v>
      </c>
      <c r="G1422" s="10" t="s">
        <v>18</v>
      </c>
      <c r="H1422" s="11" t="s">
        <v>19</v>
      </c>
      <c r="I1422" s="11" t="s">
        <v>113</v>
      </c>
      <c r="J1422" s="12" t="str">
        <f ca="1">IFERROR(__xludf.DUMMYFUNCTION("FILTER('CLASFICACIÓN'!$F$3:$F2419,'CLASFICACIÓN'!$G$3:$G2419=M1422)"),"2023 Y 2024")</f>
        <v>2023 Y 2024</v>
      </c>
      <c r="K1422" s="12" t="s">
        <v>2011</v>
      </c>
      <c r="L1422" s="11" t="s">
        <v>114</v>
      </c>
      <c r="M1422" s="12" t="str">
        <f t="shared" ca="1" si="5"/>
        <v>NUESTRA SEÑORA DE LA CANDELARIA4 Secundaria</v>
      </c>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4"/>
    </row>
    <row r="1423" spans="1:36" ht="12.5" x14ac:dyDescent="0.25">
      <c r="A1423" s="9">
        <v>46</v>
      </c>
      <c r="B1423" s="10" t="s">
        <v>54</v>
      </c>
      <c r="C1423" s="10" t="s">
        <v>41</v>
      </c>
      <c r="D1423" s="10" t="s">
        <v>43</v>
      </c>
      <c r="E1423" s="11" t="str">
        <f ca="1">IFERROR(__xludf.DUMMYFUNCTION("FILTER(Colegios!$B$2:$B2419,Colegios!$A$2:$A2419=L1423)"),"NUESTRA SEÑORA DE LA CANDELARIA")</f>
        <v>NUESTRA SEÑORA DE LA CANDELARIA</v>
      </c>
      <c r="F1423" s="11" t="s">
        <v>17</v>
      </c>
      <c r="G1423" s="10" t="s">
        <v>18</v>
      </c>
      <c r="H1423" s="11" t="s">
        <v>23</v>
      </c>
      <c r="I1423" s="11" t="s">
        <v>113</v>
      </c>
      <c r="J1423" s="12" t="str">
        <f ca="1">IFERROR(__xludf.DUMMYFUNCTION("FILTER('CLASFICACIÓN'!$F$3:$F2419,'CLASFICACIÓN'!$G$3:$G2419=M1423)"),"2023 Y 2024")</f>
        <v>2023 Y 2024</v>
      </c>
      <c r="K1423" s="12" t="s">
        <v>2011</v>
      </c>
      <c r="L1423" s="11" t="s">
        <v>114</v>
      </c>
      <c r="M1423" s="12" t="str">
        <f t="shared" ca="1" si="5"/>
        <v>NUESTRA SEÑORA DE LA CANDELARIA4 Secundaria</v>
      </c>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4"/>
    </row>
    <row r="1424" spans="1:36" ht="12.5" x14ac:dyDescent="0.25">
      <c r="A1424" s="9">
        <v>47</v>
      </c>
      <c r="B1424" s="10" t="s">
        <v>54</v>
      </c>
      <c r="C1424" s="10" t="s">
        <v>41</v>
      </c>
      <c r="D1424" s="10" t="s">
        <v>43</v>
      </c>
      <c r="E1424" s="11" t="str">
        <f ca="1">IFERROR(__xludf.DUMMYFUNCTION("FILTER(Colegios!$B$2:$B2419,Colegios!$A$2:$A2419=L1424)"),"NUESTRA SEÑORA DE LA CANDELARIA")</f>
        <v>NUESTRA SEÑORA DE LA CANDELARIA</v>
      </c>
      <c r="F1424" s="11" t="s">
        <v>17</v>
      </c>
      <c r="G1424" s="10" t="s">
        <v>24</v>
      </c>
      <c r="H1424" s="11" t="s">
        <v>19</v>
      </c>
      <c r="I1424" s="11" t="s">
        <v>113</v>
      </c>
      <c r="J1424" s="12" t="str">
        <f ca="1">IFERROR(__xludf.DUMMYFUNCTION("FILTER('CLASFICACIÓN'!$F$3:$F2419,'CLASFICACIÓN'!$G$3:$G2419=M1424)"),"2023 Y 2024")</f>
        <v>2023 Y 2024</v>
      </c>
      <c r="K1424" s="12" t="s">
        <v>2011</v>
      </c>
      <c r="L1424" s="11" t="s">
        <v>114</v>
      </c>
      <c r="M1424" s="12" t="str">
        <f t="shared" ca="1" si="5"/>
        <v>NUESTRA SEÑORA DE LA CANDELARIA4 Secundaria</v>
      </c>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4"/>
    </row>
    <row r="1425" spans="1:36" ht="12.5" x14ac:dyDescent="0.25">
      <c r="A1425" s="9">
        <v>48</v>
      </c>
      <c r="B1425" s="10" t="s">
        <v>54</v>
      </c>
      <c r="C1425" s="10" t="s">
        <v>41</v>
      </c>
      <c r="D1425" s="10" t="s">
        <v>43</v>
      </c>
      <c r="E1425" s="11" t="str">
        <f ca="1">IFERROR(__xludf.DUMMYFUNCTION("FILTER(Colegios!$B$2:$B2419,Colegios!$A$2:$A2419=L1425)"),"NUESTRA SEÑORA DE LA CANDELARIA")</f>
        <v>NUESTRA SEÑORA DE LA CANDELARIA</v>
      </c>
      <c r="F1425" s="11" t="s">
        <v>17</v>
      </c>
      <c r="G1425" s="10" t="s">
        <v>24</v>
      </c>
      <c r="H1425" s="11" t="s">
        <v>19</v>
      </c>
      <c r="I1425" s="11" t="s">
        <v>113</v>
      </c>
      <c r="J1425" s="12" t="str">
        <f ca="1">IFERROR(__xludf.DUMMYFUNCTION("FILTER('CLASFICACIÓN'!$F$3:$F2419,'CLASFICACIÓN'!$G$3:$G2419=M1425)"),"2023 Y 2024")</f>
        <v>2023 Y 2024</v>
      </c>
      <c r="K1425" s="12" t="s">
        <v>2011</v>
      </c>
      <c r="L1425" s="11" t="s">
        <v>114</v>
      </c>
      <c r="M1425" s="12" t="str">
        <f t="shared" ca="1" si="5"/>
        <v>NUESTRA SEÑORA DE LA CANDELARIA4 Secundaria</v>
      </c>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4"/>
    </row>
    <row r="1426" spans="1:36" ht="12.5" x14ac:dyDescent="0.25">
      <c r="A1426" s="9">
        <v>49</v>
      </c>
      <c r="B1426" s="10" t="s">
        <v>54</v>
      </c>
      <c r="C1426" s="10" t="s">
        <v>41</v>
      </c>
      <c r="D1426" s="10" t="s">
        <v>43</v>
      </c>
      <c r="E1426" s="11" t="str">
        <f ca="1">IFERROR(__xludf.DUMMYFUNCTION("FILTER(Colegios!$B$2:$B2419,Colegios!$A$2:$A2419=L1426)"),"NUESTRA SEÑORA DE LA CANDELARIA")</f>
        <v>NUESTRA SEÑORA DE LA CANDELARIA</v>
      </c>
      <c r="F1426" s="11" t="s">
        <v>17</v>
      </c>
      <c r="G1426" s="10" t="s">
        <v>18</v>
      </c>
      <c r="H1426" s="11" t="s">
        <v>19</v>
      </c>
      <c r="I1426" s="11" t="s">
        <v>113</v>
      </c>
      <c r="J1426" s="12" t="str">
        <f ca="1">IFERROR(__xludf.DUMMYFUNCTION("FILTER('CLASFICACIÓN'!$F$3:$F2419,'CLASFICACIÓN'!$G$3:$G2419=M1426)"),"2023 Y 2024")</f>
        <v>2023 Y 2024</v>
      </c>
      <c r="K1426" s="12" t="s">
        <v>2011</v>
      </c>
      <c r="L1426" s="11" t="s">
        <v>114</v>
      </c>
      <c r="M1426" s="12" t="str">
        <f t="shared" ca="1" si="5"/>
        <v>NUESTRA SEÑORA DE LA CANDELARIA4 Secundaria</v>
      </c>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4"/>
    </row>
    <row r="1427" spans="1:36" ht="12.5" x14ac:dyDescent="0.25">
      <c r="A1427" s="9">
        <v>50</v>
      </c>
      <c r="B1427" s="10" t="s">
        <v>54</v>
      </c>
      <c r="C1427" s="10" t="s">
        <v>41</v>
      </c>
      <c r="D1427" s="10" t="s">
        <v>43</v>
      </c>
      <c r="E1427" s="11" t="str">
        <f ca="1">IFERROR(__xludf.DUMMYFUNCTION("FILTER(Colegios!$B$2:$B2419,Colegios!$A$2:$A2419=L1427)"),"NUESTRA SEÑORA DE LA CANDELARIA")</f>
        <v>NUESTRA SEÑORA DE LA CANDELARIA</v>
      </c>
      <c r="F1427" s="11" t="s">
        <v>17</v>
      </c>
      <c r="G1427" s="10" t="s">
        <v>24</v>
      </c>
      <c r="H1427" s="11" t="s">
        <v>19</v>
      </c>
      <c r="I1427" s="11" t="s">
        <v>113</v>
      </c>
      <c r="J1427" s="12" t="str">
        <f ca="1">IFERROR(__xludf.DUMMYFUNCTION("FILTER('CLASFICACIÓN'!$F$3:$F2419,'CLASFICACIÓN'!$G$3:$G2419=M1427)"),"2023 Y 2024")</f>
        <v>2023 Y 2024</v>
      </c>
      <c r="K1427" s="12" t="s">
        <v>2011</v>
      </c>
      <c r="L1427" s="11" t="s">
        <v>114</v>
      </c>
      <c r="M1427" s="12" t="str">
        <f t="shared" ca="1" si="5"/>
        <v>NUESTRA SEÑORA DE LA CANDELARIA4 Secundaria</v>
      </c>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4"/>
    </row>
    <row r="1428" spans="1:36" ht="12.5" x14ac:dyDescent="0.25">
      <c r="A1428" s="9">
        <v>51</v>
      </c>
      <c r="B1428" s="10" t="s">
        <v>54</v>
      </c>
      <c r="C1428" s="10" t="s">
        <v>41</v>
      </c>
      <c r="D1428" s="10" t="s">
        <v>43</v>
      </c>
      <c r="E1428" s="11" t="str">
        <f ca="1">IFERROR(__xludf.DUMMYFUNCTION("FILTER(Colegios!$B$2:$B2419,Colegios!$A$2:$A2419=L1428)"),"NUESTRA SEÑORA DE LA CANDELARIA")</f>
        <v>NUESTRA SEÑORA DE LA CANDELARIA</v>
      </c>
      <c r="F1428" s="11" t="s">
        <v>17</v>
      </c>
      <c r="G1428" s="10" t="s">
        <v>18</v>
      </c>
      <c r="H1428" s="11" t="s">
        <v>19</v>
      </c>
      <c r="I1428" s="11" t="s">
        <v>113</v>
      </c>
      <c r="J1428" s="12" t="str">
        <f ca="1">IFERROR(__xludf.DUMMYFUNCTION("FILTER('CLASFICACIÓN'!$F$3:$F2419,'CLASFICACIÓN'!$G$3:$G2419=M1428)"),"2023 Y 2024")</f>
        <v>2023 Y 2024</v>
      </c>
      <c r="K1428" s="12" t="s">
        <v>2011</v>
      </c>
      <c r="L1428" s="11" t="s">
        <v>114</v>
      </c>
      <c r="M1428" s="12" t="str">
        <f t="shared" ca="1" si="5"/>
        <v>NUESTRA SEÑORA DE LA CANDELARIA4 Secundaria</v>
      </c>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4"/>
    </row>
    <row r="1429" spans="1:36" ht="12.5" x14ac:dyDescent="0.25">
      <c r="A1429" s="9">
        <v>52</v>
      </c>
      <c r="B1429" s="10" t="s">
        <v>54</v>
      </c>
      <c r="C1429" s="10" t="s">
        <v>41</v>
      </c>
      <c r="D1429" s="10" t="s">
        <v>43</v>
      </c>
      <c r="E1429" s="11" t="str">
        <f ca="1">IFERROR(__xludf.DUMMYFUNCTION("FILTER(Colegios!$B$2:$B2419,Colegios!$A$2:$A2419=L1429)"),"NUESTRA SEÑORA DE LA CANDELARIA")</f>
        <v>NUESTRA SEÑORA DE LA CANDELARIA</v>
      </c>
      <c r="F1429" s="11" t="s">
        <v>17</v>
      </c>
      <c r="G1429" s="10" t="s">
        <v>24</v>
      </c>
      <c r="H1429" s="11" t="s">
        <v>19</v>
      </c>
      <c r="I1429" s="11" t="s">
        <v>113</v>
      </c>
      <c r="J1429" s="12" t="str">
        <f ca="1">IFERROR(__xludf.DUMMYFUNCTION("FILTER('CLASFICACIÓN'!$F$3:$F2419,'CLASFICACIÓN'!$G$3:$G2419=M1429)"),"2023 Y 2024")</f>
        <v>2023 Y 2024</v>
      </c>
      <c r="K1429" s="12" t="s">
        <v>2011</v>
      </c>
      <c r="L1429" s="11" t="s">
        <v>114</v>
      </c>
      <c r="M1429" s="12" t="str">
        <f t="shared" ca="1" si="5"/>
        <v>NUESTRA SEÑORA DE LA CANDELARIA4 Secundaria</v>
      </c>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4"/>
    </row>
    <row r="1430" spans="1:36" ht="12.5" x14ac:dyDescent="0.25">
      <c r="A1430" s="9">
        <v>53</v>
      </c>
      <c r="B1430" s="10" t="s">
        <v>54</v>
      </c>
      <c r="C1430" s="10" t="s">
        <v>41</v>
      </c>
      <c r="D1430" s="10" t="s">
        <v>43</v>
      </c>
      <c r="E1430" s="11" t="str">
        <f ca="1">IFERROR(__xludf.DUMMYFUNCTION("FILTER(Colegios!$B$2:$B2419,Colegios!$A$2:$A2419=L1430)"),"NUESTRA SEÑORA DE LA CANDELARIA")</f>
        <v>NUESTRA SEÑORA DE LA CANDELARIA</v>
      </c>
      <c r="F1430" s="11" t="s">
        <v>17</v>
      </c>
      <c r="G1430" s="10" t="s">
        <v>24</v>
      </c>
      <c r="H1430" s="11" t="s">
        <v>19</v>
      </c>
      <c r="I1430" s="11" t="s">
        <v>113</v>
      </c>
      <c r="J1430" s="12" t="str">
        <f ca="1">IFERROR(__xludf.DUMMYFUNCTION("FILTER('CLASFICACIÓN'!$F$3:$F2419,'CLASFICACIÓN'!$G$3:$G2419=M1430)"),"2023 Y 2024")</f>
        <v>2023 Y 2024</v>
      </c>
      <c r="K1430" s="12" t="s">
        <v>2011</v>
      </c>
      <c r="L1430" s="11" t="s">
        <v>114</v>
      </c>
      <c r="M1430" s="12" t="str">
        <f t="shared" ca="1" si="5"/>
        <v>NUESTRA SEÑORA DE LA CANDELARIA4 Secundaria</v>
      </c>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4"/>
    </row>
    <row r="1431" spans="1:36" ht="12.5" x14ac:dyDescent="0.25">
      <c r="A1431" s="9">
        <v>54</v>
      </c>
      <c r="B1431" s="10" t="s">
        <v>54</v>
      </c>
      <c r="C1431" s="10" t="s">
        <v>41</v>
      </c>
      <c r="D1431" s="10" t="s">
        <v>43</v>
      </c>
      <c r="E1431" s="11" t="str">
        <f ca="1">IFERROR(__xludf.DUMMYFUNCTION("FILTER(Colegios!$B$2:$B2419,Colegios!$A$2:$A2419=L1431)"),"NUESTRA SEÑORA DE LA CANDELARIA")</f>
        <v>NUESTRA SEÑORA DE LA CANDELARIA</v>
      </c>
      <c r="F1431" s="11" t="s">
        <v>17</v>
      </c>
      <c r="G1431" s="10" t="s">
        <v>18</v>
      </c>
      <c r="H1431" s="11" t="s">
        <v>19</v>
      </c>
      <c r="I1431" s="11" t="s">
        <v>113</v>
      </c>
      <c r="J1431" s="12" t="str">
        <f ca="1">IFERROR(__xludf.DUMMYFUNCTION("FILTER('CLASFICACIÓN'!$F$3:$F2419,'CLASFICACIÓN'!$G$3:$G2419=M1431)"),"2023 Y 2024")</f>
        <v>2023 Y 2024</v>
      </c>
      <c r="K1431" s="12" t="s">
        <v>2011</v>
      </c>
      <c r="L1431" s="11" t="s">
        <v>114</v>
      </c>
      <c r="M1431" s="12" t="str">
        <f t="shared" ca="1" si="5"/>
        <v>NUESTRA SEÑORA DE LA CANDELARIA4 Secundaria</v>
      </c>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4"/>
    </row>
    <row r="1432" spans="1:36" ht="12.5" x14ac:dyDescent="0.25">
      <c r="A1432" s="9">
        <v>55</v>
      </c>
      <c r="B1432" s="10" t="s">
        <v>54</v>
      </c>
      <c r="C1432" s="10" t="s">
        <v>41</v>
      </c>
      <c r="D1432" s="10" t="s">
        <v>43</v>
      </c>
      <c r="E1432" s="11" t="str">
        <f ca="1">IFERROR(__xludf.DUMMYFUNCTION("FILTER(Colegios!$B$2:$B2419,Colegios!$A$2:$A2419=L1432)"),"NUESTRA SEÑORA DE LA CANDELARIA")</f>
        <v>NUESTRA SEÑORA DE LA CANDELARIA</v>
      </c>
      <c r="F1432" s="11" t="s">
        <v>17</v>
      </c>
      <c r="G1432" s="10" t="s">
        <v>18</v>
      </c>
      <c r="H1432" s="11" t="s">
        <v>19</v>
      </c>
      <c r="I1432" s="11" t="s">
        <v>113</v>
      </c>
      <c r="J1432" s="12" t="str">
        <f ca="1">IFERROR(__xludf.DUMMYFUNCTION("FILTER('CLASFICACIÓN'!$F$3:$F2419,'CLASFICACIÓN'!$G$3:$G2419=M1432)"),"2023 Y 2024")</f>
        <v>2023 Y 2024</v>
      </c>
      <c r="K1432" s="12" t="s">
        <v>2011</v>
      </c>
      <c r="L1432" s="11" t="s">
        <v>114</v>
      </c>
      <c r="M1432" s="12" t="str">
        <f t="shared" ca="1" si="5"/>
        <v>NUESTRA SEÑORA DE LA CANDELARIA4 Secundaria</v>
      </c>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4"/>
    </row>
    <row r="1433" spans="1:36" ht="12.5" x14ac:dyDescent="0.25">
      <c r="A1433" s="9">
        <v>56</v>
      </c>
      <c r="B1433" s="10" t="s">
        <v>54</v>
      </c>
      <c r="C1433" s="10" t="s">
        <v>41</v>
      </c>
      <c r="D1433" s="10" t="s">
        <v>43</v>
      </c>
      <c r="E1433" s="11" t="str">
        <f ca="1">IFERROR(__xludf.DUMMYFUNCTION("FILTER(Colegios!$B$2:$B2419,Colegios!$A$2:$A2419=L1433)"),"NUESTRA SEÑORA DE LA CANDELARIA")</f>
        <v>NUESTRA SEÑORA DE LA CANDELARIA</v>
      </c>
      <c r="F1433" s="11" t="s">
        <v>17</v>
      </c>
      <c r="G1433" s="10" t="s">
        <v>18</v>
      </c>
      <c r="H1433" s="11" t="s">
        <v>19</v>
      </c>
      <c r="I1433" s="11" t="s">
        <v>113</v>
      </c>
      <c r="J1433" s="12" t="str">
        <f ca="1">IFERROR(__xludf.DUMMYFUNCTION("FILTER('CLASFICACIÓN'!$F$3:$F2419,'CLASFICACIÓN'!$G$3:$G2419=M1433)"),"2023 Y 2024")</f>
        <v>2023 Y 2024</v>
      </c>
      <c r="K1433" s="12" t="s">
        <v>2011</v>
      </c>
      <c r="L1433" s="11" t="s">
        <v>114</v>
      </c>
      <c r="M1433" s="12" t="str">
        <f t="shared" ca="1" si="5"/>
        <v>NUESTRA SEÑORA DE LA CANDELARIA4 Secundaria</v>
      </c>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4"/>
    </row>
    <row r="1434" spans="1:36" ht="12.5" x14ac:dyDescent="0.25">
      <c r="A1434" s="9">
        <v>57</v>
      </c>
      <c r="B1434" s="10" t="s">
        <v>54</v>
      </c>
      <c r="C1434" s="10" t="s">
        <v>41</v>
      </c>
      <c r="D1434" s="10" t="s">
        <v>43</v>
      </c>
      <c r="E1434" s="11" t="str">
        <f ca="1">IFERROR(__xludf.DUMMYFUNCTION("FILTER(Colegios!$B$2:$B2419,Colegios!$A$2:$A2419=L1434)"),"NUESTRA SEÑORA DE LA CANDELARIA")</f>
        <v>NUESTRA SEÑORA DE LA CANDELARIA</v>
      </c>
      <c r="F1434" s="11" t="s">
        <v>17</v>
      </c>
      <c r="G1434" s="10" t="s">
        <v>24</v>
      </c>
      <c r="H1434" s="11" t="s">
        <v>19</v>
      </c>
      <c r="I1434" s="11" t="s">
        <v>113</v>
      </c>
      <c r="J1434" s="12" t="str">
        <f ca="1">IFERROR(__xludf.DUMMYFUNCTION("FILTER('CLASFICACIÓN'!$F$3:$F2419,'CLASFICACIÓN'!$G$3:$G2419=M1434)"),"2023 Y 2024")</f>
        <v>2023 Y 2024</v>
      </c>
      <c r="K1434" s="12" t="s">
        <v>2011</v>
      </c>
      <c r="L1434" s="11" t="s">
        <v>114</v>
      </c>
      <c r="M1434" s="12" t="str">
        <f t="shared" ca="1" si="5"/>
        <v>NUESTRA SEÑORA DE LA CANDELARIA4 Secundaria</v>
      </c>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4"/>
    </row>
    <row r="1435" spans="1:36" ht="12.5" x14ac:dyDescent="0.25">
      <c r="A1435" s="9">
        <v>58</v>
      </c>
      <c r="B1435" s="10" t="s">
        <v>54</v>
      </c>
      <c r="C1435" s="10" t="s">
        <v>41</v>
      </c>
      <c r="D1435" s="10" t="s">
        <v>43</v>
      </c>
      <c r="E1435" s="11" t="str">
        <f ca="1">IFERROR(__xludf.DUMMYFUNCTION("FILTER(Colegios!$B$2:$B2419,Colegios!$A$2:$A2419=L1435)"),"NUESTRA SEÑORA DE LA CANDELARIA")</f>
        <v>NUESTRA SEÑORA DE LA CANDELARIA</v>
      </c>
      <c r="F1435" s="11" t="s">
        <v>17</v>
      </c>
      <c r="G1435" s="10" t="s">
        <v>24</v>
      </c>
      <c r="H1435" s="11" t="s">
        <v>19</v>
      </c>
      <c r="I1435" s="11" t="s">
        <v>113</v>
      </c>
      <c r="J1435" s="12" t="str">
        <f ca="1">IFERROR(__xludf.DUMMYFUNCTION("FILTER('CLASFICACIÓN'!$F$3:$F2419,'CLASFICACIÓN'!$G$3:$G2419=M1435)"),"2023 Y 2024")</f>
        <v>2023 Y 2024</v>
      </c>
      <c r="K1435" s="12" t="s">
        <v>2011</v>
      </c>
      <c r="L1435" s="11" t="s">
        <v>114</v>
      </c>
      <c r="M1435" s="12" t="str">
        <f t="shared" ca="1" si="5"/>
        <v>NUESTRA SEÑORA DE LA CANDELARIA4 Secundaria</v>
      </c>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4"/>
    </row>
    <row r="1436" spans="1:36" ht="12.5" x14ac:dyDescent="0.25">
      <c r="A1436" s="9">
        <v>59</v>
      </c>
      <c r="B1436" s="10" t="s">
        <v>54</v>
      </c>
      <c r="C1436" s="10" t="s">
        <v>41</v>
      </c>
      <c r="D1436" s="10" t="s">
        <v>43</v>
      </c>
      <c r="E1436" s="11" t="str">
        <f ca="1">IFERROR(__xludf.DUMMYFUNCTION("FILTER(Colegios!$B$2:$B2419,Colegios!$A$2:$A2419=L1436)"),"NUESTRA SEÑORA DE LA CANDELARIA")</f>
        <v>NUESTRA SEÑORA DE LA CANDELARIA</v>
      </c>
      <c r="F1436" s="11" t="s">
        <v>17</v>
      </c>
      <c r="G1436" s="10" t="s">
        <v>18</v>
      </c>
      <c r="H1436" s="11" t="s">
        <v>19</v>
      </c>
      <c r="I1436" s="11" t="s">
        <v>113</v>
      </c>
      <c r="J1436" s="12" t="str">
        <f ca="1">IFERROR(__xludf.DUMMYFUNCTION("FILTER('CLASFICACIÓN'!$F$3:$F2419,'CLASFICACIÓN'!$G$3:$G2419=M1436)"),"2023 Y 2024")</f>
        <v>2023 Y 2024</v>
      </c>
      <c r="K1436" s="12" t="s">
        <v>2011</v>
      </c>
      <c r="L1436" s="11" t="s">
        <v>114</v>
      </c>
      <c r="M1436" s="12" t="str">
        <f t="shared" ca="1" si="5"/>
        <v>NUESTRA SEÑORA DE LA CANDELARIA4 Secundaria</v>
      </c>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4"/>
    </row>
    <row r="1437" spans="1:36" ht="12.5" x14ac:dyDescent="0.25">
      <c r="A1437" s="9">
        <v>60</v>
      </c>
      <c r="B1437" s="10" t="s">
        <v>54</v>
      </c>
      <c r="C1437" s="10" t="s">
        <v>41</v>
      </c>
      <c r="D1437" s="10" t="s">
        <v>43</v>
      </c>
      <c r="E1437" s="11" t="str">
        <f ca="1">IFERROR(__xludf.DUMMYFUNCTION("FILTER(Colegios!$B$2:$B2419,Colegios!$A$2:$A2419=L1437)"),"NUESTRA SEÑORA DE LA CANDELARIA")</f>
        <v>NUESTRA SEÑORA DE LA CANDELARIA</v>
      </c>
      <c r="F1437" s="11" t="s">
        <v>17</v>
      </c>
      <c r="G1437" s="10" t="s">
        <v>18</v>
      </c>
      <c r="H1437" s="11" t="s">
        <v>19</v>
      </c>
      <c r="I1437" s="11" t="s">
        <v>113</v>
      </c>
      <c r="J1437" s="12" t="str">
        <f ca="1">IFERROR(__xludf.DUMMYFUNCTION("FILTER('CLASFICACIÓN'!$F$3:$F2419,'CLASFICACIÓN'!$G$3:$G2419=M1437)"),"2023 Y 2024")</f>
        <v>2023 Y 2024</v>
      </c>
      <c r="K1437" s="12" t="s">
        <v>2011</v>
      </c>
      <c r="L1437" s="11" t="s">
        <v>114</v>
      </c>
      <c r="M1437" s="12" t="str">
        <f t="shared" ca="1" si="5"/>
        <v>NUESTRA SEÑORA DE LA CANDELARIA4 Secundaria</v>
      </c>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4"/>
    </row>
    <row r="1438" spans="1:36" ht="12.5" x14ac:dyDescent="0.25">
      <c r="A1438" s="9">
        <v>61</v>
      </c>
      <c r="B1438" s="10" t="s">
        <v>54</v>
      </c>
      <c r="C1438" s="10" t="s">
        <v>41</v>
      </c>
      <c r="D1438" s="10" t="s">
        <v>43</v>
      </c>
      <c r="E1438" s="11" t="str">
        <f ca="1">IFERROR(__xludf.DUMMYFUNCTION("FILTER(Colegios!$B$2:$B2419,Colegios!$A$2:$A2419=L1438)"),"NUESTRA SEÑORA DE LA CANDELARIA")</f>
        <v>NUESTRA SEÑORA DE LA CANDELARIA</v>
      </c>
      <c r="F1438" s="11" t="s">
        <v>17</v>
      </c>
      <c r="G1438" s="10" t="s">
        <v>18</v>
      </c>
      <c r="H1438" s="11" t="s">
        <v>19</v>
      </c>
      <c r="I1438" s="11" t="s">
        <v>113</v>
      </c>
      <c r="J1438" s="12" t="str">
        <f ca="1">IFERROR(__xludf.DUMMYFUNCTION("FILTER('CLASFICACIÓN'!$F$3:$F2419,'CLASFICACIÓN'!$G$3:$G2419=M1438)"),"2023 Y 2024")</f>
        <v>2023 Y 2024</v>
      </c>
      <c r="K1438" s="12" t="s">
        <v>2011</v>
      </c>
      <c r="L1438" s="11" t="s">
        <v>114</v>
      </c>
      <c r="M1438" s="12" t="str">
        <f t="shared" ca="1" si="5"/>
        <v>NUESTRA SEÑORA DE LA CANDELARIA4 Secundaria</v>
      </c>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4"/>
    </row>
    <row r="1439" spans="1:36" ht="12.5" x14ac:dyDescent="0.25">
      <c r="A1439" s="9">
        <v>62</v>
      </c>
      <c r="B1439" s="10" t="s">
        <v>54</v>
      </c>
      <c r="C1439" s="10" t="s">
        <v>41</v>
      </c>
      <c r="D1439" s="10" t="s">
        <v>43</v>
      </c>
      <c r="E1439" s="11" t="str">
        <f ca="1">IFERROR(__xludf.DUMMYFUNCTION("FILTER(Colegios!$B$2:$B2419,Colegios!$A$2:$A2419=L1439)"),"NUESTRA SEÑORA DE LA CANDELARIA")</f>
        <v>NUESTRA SEÑORA DE LA CANDELARIA</v>
      </c>
      <c r="F1439" s="11" t="s">
        <v>17</v>
      </c>
      <c r="G1439" s="10" t="s">
        <v>24</v>
      </c>
      <c r="H1439" s="11" t="s">
        <v>19</v>
      </c>
      <c r="I1439" s="11" t="s">
        <v>113</v>
      </c>
      <c r="J1439" s="12" t="str">
        <f ca="1">IFERROR(__xludf.DUMMYFUNCTION("FILTER('CLASFICACIÓN'!$F$3:$F2419,'CLASFICACIÓN'!$G$3:$G2419=M1439)"),"2023 Y 2024")</f>
        <v>2023 Y 2024</v>
      </c>
      <c r="K1439" s="12" t="s">
        <v>2011</v>
      </c>
      <c r="L1439" s="11" t="s">
        <v>114</v>
      </c>
      <c r="M1439" s="12" t="str">
        <f t="shared" ca="1" si="5"/>
        <v>NUESTRA SEÑORA DE LA CANDELARIA4 Secundaria</v>
      </c>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4"/>
    </row>
    <row r="1440" spans="1:36" ht="12.5" x14ac:dyDescent="0.25">
      <c r="A1440" s="9">
        <v>63</v>
      </c>
      <c r="B1440" s="10" t="s">
        <v>54</v>
      </c>
      <c r="C1440" s="10" t="s">
        <v>41</v>
      </c>
      <c r="D1440" s="10" t="s">
        <v>43</v>
      </c>
      <c r="E1440" s="11" t="str">
        <f ca="1">IFERROR(__xludf.DUMMYFUNCTION("FILTER(Colegios!$B$2:$B2419,Colegios!$A$2:$A2419=L1440)"),"NUESTRA SEÑORA DE LA CANDELARIA")</f>
        <v>NUESTRA SEÑORA DE LA CANDELARIA</v>
      </c>
      <c r="F1440" s="11" t="s">
        <v>17</v>
      </c>
      <c r="G1440" s="10" t="s">
        <v>24</v>
      </c>
      <c r="H1440" s="11" t="s">
        <v>19</v>
      </c>
      <c r="I1440" s="11" t="s">
        <v>113</v>
      </c>
      <c r="J1440" s="12" t="str">
        <f ca="1">IFERROR(__xludf.DUMMYFUNCTION("FILTER('CLASFICACIÓN'!$F$3:$F2419,'CLASFICACIÓN'!$G$3:$G2419=M1440)"),"2023 Y 2024")</f>
        <v>2023 Y 2024</v>
      </c>
      <c r="K1440" s="12" t="s">
        <v>2011</v>
      </c>
      <c r="L1440" s="11" t="s">
        <v>114</v>
      </c>
      <c r="M1440" s="12" t="str">
        <f t="shared" ca="1" si="5"/>
        <v>NUESTRA SEÑORA DE LA CANDELARIA4 Secundaria</v>
      </c>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4"/>
    </row>
    <row r="1441" spans="1:36" ht="12.5" x14ac:dyDescent="0.25">
      <c r="A1441" s="9">
        <v>64</v>
      </c>
      <c r="B1441" s="10" t="s">
        <v>54</v>
      </c>
      <c r="C1441" s="10" t="s">
        <v>41</v>
      </c>
      <c r="D1441" s="10" t="s">
        <v>43</v>
      </c>
      <c r="E1441" s="11" t="str">
        <f ca="1">IFERROR(__xludf.DUMMYFUNCTION("FILTER(Colegios!$B$2:$B2419,Colegios!$A$2:$A2419=L1441)"),"NUESTRA SEÑORA DE LA CANDELARIA")</f>
        <v>NUESTRA SEÑORA DE LA CANDELARIA</v>
      </c>
      <c r="F1441" s="11" t="s">
        <v>17</v>
      </c>
      <c r="G1441" s="10" t="s">
        <v>24</v>
      </c>
      <c r="H1441" s="11" t="s">
        <v>19</v>
      </c>
      <c r="I1441" s="11" t="s">
        <v>113</v>
      </c>
      <c r="J1441" s="12" t="str">
        <f ca="1">IFERROR(__xludf.DUMMYFUNCTION("FILTER('CLASFICACIÓN'!$F$3:$F2419,'CLASFICACIÓN'!$G$3:$G2419=M1441)"),"2023 Y 2024")</f>
        <v>2023 Y 2024</v>
      </c>
      <c r="K1441" s="12" t="s">
        <v>2011</v>
      </c>
      <c r="L1441" s="11" t="s">
        <v>114</v>
      </c>
      <c r="M1441" s="12" t="str">
        <f t="shared" ca="1" si="5"/>
        <v>NUESTRA SEÑORA DE LA CANDELARIA4 Secundaria</v>
      </c>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4"/>
    </row>
    <row r="1442" spans="1:36" ht="12.5" x14ac:dyDescent="0.25">
      <c r="A1442" s="9">
        <v>65</v>
      </c>
      <c r="B1442" s="10" t="s">
        <v>54</v>
      </c>
      <c r="C1442" s="10" t="s">
        <v>41</v>
      </c>
      <c r="D1442" s="10" t="s">
        <v>43</v>
      </c>
      <c r="E1442" s="11" t="str">
        <f ca="1">IFERROR(__xludf.DUMMYFUNCTION("FILTER(Colegios!$B$2:$B2419,Colegios!$A$2:$A2419=L1442)"),"NUESTRA SEÑORA DE LA CANDELARIA")</f>
        <v>NUESTRA SEÑORA DE LA CANDELARIA</v>
      </c>
      <c r="F1442" s="11" t="s">
        <v>17</v>
      </c>
      <c r="G1442" s="10" t="s">
        <v>18</v>
      </c>
      <c r="H1442" s="11" t="s">
        <v>19</v>
      </c>
      <c r="I1442" s="11" t="s">
        <v>113</v>
      </c>
      <c r="J1442" s="12" t="str">
        <f ca="1">IFERROR(__xludf.DUMMYFUNCTION("FILTER('CLASFICACIÓN'!$F$3:$F2419,'CLASFICACIÓN'!$G$3:$G2419=M1442)"),"2023 Y 2024")</f>
        <v>2023 Y 2024</v>
      </c>
      <c r="K1442" s="12" t="s">
        <v>2011</v>
      </c>
      <c r="L1442" s="11" t="s">
        <v>114</v>
      </c>
      <c r="M1442" s="12" t="str">
        <f t="shared" ca="1" si="5"/>
        <v>NUESTRA SEÑORA DE LA CANDELARIA4 Secundaria</v>
      </c>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4"/>
    </row>
    <row r="1443" spans="1:36" ht="12.5" x14ac:dyDescent="0.25">
      <c r="A1443" s="9">
        <v>66</v>
      </c>
      <c r="B1443" s="10" t="s">
        <v>54</v>
      </c>
      <c r="C1443" s="10" t="s">
        <v>41</v>
      </c>
      <c r="D1443" s="10" t="s">
        <v>43</v>
      </c>
      <c r="E1443" s="11" t="str">
        <f ca="1">IFERROR(__xludf.DUMMYFUNCTION("FILTER(Colegios!$B$2:$B2419,Colegios!$A$2:$A2419=L1443)"),"NUESTRA SEÑORA DE LA CANDELARIA")</f>
        <v>NUESTRA SEÑORA DE LA CANDELARIA</v>
      </c>
      <c r="F1443" s="11" t="s">
        <v>17</v>
      </c>
      <c r="G1443" s="10" t="s">
        <v>18</v>
      </c>
      <c r="H1443" s="11" t="s">
        <v>19</v>
      </c>
      <c r="I1443" s="11" t="s">
        <v>113</v>
      </c>
      <c r="J1443" s="12" t="str">
        <f ca="1">IFERROR(__xludf.DUMMYFUNCTION("FILTER('CLASFICACIÓN'!$F$3:$F2419,'CLASFICACIÓN'!$G$3:$G2419=M1443)"),"2023 Y 2024")</f>
        <v>2023 Y 2024</v>
      </c>
      <c r="K1443" s="12" t="s">
        <v>2011</v>
      </c>
      <c r="L1443" s="11" t="s">
        <v>114</v>
      </c>
      <c r="M1443" s="12" t="str">
        <f t="shared" ca="1" si="5"/>
        <v>NUESTRA SEÑORA DE LA CANDELARIA4 Secundaria</v>
      </c>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4"/>
    </row>
    <row r="1444" spans="1:36" ht="12.5" x14ac:dyDescent="0.25">
      <c r="A1444" s="9">
        <v>67</v>
      </c>
      <c r="B1444" s="10" t="s">
        <v>54</v>
      </c>
      <c r="C1444" s="10" t="s">
        <v>41</v>
      </c>
      <c r="D1444" s="10" t="s">
        <v>43</v>
      </c>
      <c r="E1444" s="11" t="str">
        <f ca="1">IFERROR(__xludf.DUMMYFUNCTION("FILTER(Colegios!$B$2:$B2419,Colegios!$A$2:$A2419=L1444)"),"NUESTRA SEÑORA DE LA CANDELARIA")</f>
        <v>NUESTRA SEÑORA DE LA CANDELARIA</v>
      </c>
      <c r="F1444" s="11" t="s">
        <v>17</v>
      </c>
      <c r="G1444" s="10" t="s">
        <v>24</v>
      </c>
      <c r="H1444" s="11" t="s">
        <v>19</v>
      </c>
      <c r="I1444" s="11" t="s">
        <v>113</v>
      </c>
      <c r="J1444" s="12" t="str">
        <f ca="1">IFERROR(__xludf.DUMMYFUNCTION("FILTER('CLASFICACIÓN'!$F$3:$F2419,'CLASFICACIÓN'!$G$3:$G2419=M1444)"),"2023 Y 2024")</f>
        <v>2023 Y 2024</v>
      </c>
      <c r="K1444" s="12" t="s">
        <v>2011</v>
      </c>
      <c r="L1444" s="11" t="s">
        <v>114</v>
      </c>
      <c r="M1444" s="12" t="str">
        <f t="shared" ca="1" si="5"/>
        <v>NUESTRA SEÑORA DE LA CANDELARIA4 Secundaria</v>
      </c>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4"/>
    </row>
    <row r="1445" spans="1:36" ht="12.5" x14ac:dyDescent="0.25">
      <c r="A1445" s="9">
        <v>68</v>
      </c>
      <c r="B1445" s="10" t="s">
        <v>54</v>
      </c>
      <c r="C1445" s="10" t="s">
        <v>41</v>
      </c>
      <c r="D1445" s="10" t="s">
        <v>43</v>
      </c>
      <c r="E1445" s="11" t="str">
        <f ca="1">IFERROR(__xludf.DUMMYFUNCTION("FILTER(Colegios!$B$2:$B2419,Colegios!$A$2:$A2419=L1445)"),"NUESTRA SEÑORA DE LA CANDELARIA")</f>
        <v>NUESTRA SEÑORA DE LA CANDELARIA</v>
      </c>
      <c r="F1445" s="11" t="s">
        <v>17</v>
      </c>
      <c r="G1445" s="10" t="s">
        <v>18</v>
      </c>
      <c r="H1445" s="11" t="s">
        <v>19</v>
      </c>
      <c r="I1445" s="11" t="s">
        <v>113</v>
      </c>
      <c r="J1445" s="12" t="str">
        <f ca="1">IFERROR(__xludf.DUMMYFUNCTION("FILTER('CLASFICACIÓN'!$F$3:$F2419,'CLASFICACIÓN'!$G$3:$G2419=M1445)"),"2023 Y 2024")</f>
        <v>2023 Y 2024</v>
      </c>
      <c r="K1445" s="12" t="s">
        <v>2011</v>
      </c>
      <c r="L1445" s="11" t="s">
        <v>114</v>
      </c>
      <c r="M1445" s="12" t="str">
        <f t="shared" ca="1" si="5"/>
        <v>NUESTRA SEÑORA DE LA CANDELARIA4 Secundaria</v>
      </c>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4"/>
    </row>
    <row r="1446" spans="1:36" ht="12.5" x14ac:dyDescent="0.25">
      <c r="A1446" s="9">
        <v>69</v>
      </c>
      <c r="B1446" s="10" t="s">
        <v>54</v>
      </c>
      <c r="C1446" s="10" t="s">
        <v>41</v>
      </c>
      <c r="D1446" s="10" t="s">
        <v>43</v>
      </c>
      <c r="E1446" s="11" t="str">
        <f ca="1">IFERROR(__xludf.DUMMYFUNCTION("FILTER(Colegios!$B$2:$B2419,Colegios!$A$2:$A2419=L1446)"),"NUESTRA SEÑORA DE LA CANDELARIA")</f>
        <v>NUESTRA SEÑORA DE LA CANDELARIA</v>
      </c>
      <c r="F1446" s="11" t="s">
        <v>17</v>
      </c>
      <c r="G1446" s="10" t="s">
        <v>18</v>
      </c>
      <c r="H1446" s="11" t="s">
        <v>19</v>
      </c>
      <c r="I1446" s="11" t="s">
        <v>113</v>
      </c>
      <c r="J1446" s="12" t="str">
        <f ca="1">IFERROR(__xludf.DUMMYFUNCTION("FILTER('CLASFICACIÓN'!$F$3:$F2419,'CLASFICACIÓN'!$G$3:$G2419=M1446)"),"2023 Y 2024")</f>
        <v>2023 Y 2024</v>
      </c>
      <c r="K1446" s="12" t="s">
        <v>2011</v>
      </c>
      <c r="L1446" s="11" t="s">
        <v>114</v>
      </c>
      <c r="M1446" s="12" t="str">
        <f t="shared" ca="1" si="5"/>
        <v>NUESTRA SEÑORA DE LA CANDELARIA4 Secundaria</v>
      </c>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4"/>
    </row>
    <row r="1447" spans="1:36" ht="12.5" x14ac:dyDescent="0.25">
      <c r="A1447" s="9">
        <v>70</v>
      </c>
      <c r="B1447" s="10" t="s">
        <v>54</v>
      </c>
      <c r="C1447" s="10" t="s">
        <v>41</v>
      </c>
      <c r="D1447" s="10" t="s">
        <v>43</v>
      </c>
      <c r="E1447" s="11" t="str">
        <f ca="1">IFERROR(__xludf.DUMMYFUNCTION("FILTER(Colegios!$B$2:$B2419,Colegios!$A$2:$A2419=L1447)"),"NUESTRA SEÑORA DE LA CANDELARIA")</f>
        <v>NUESTRA SEÑORA DE LA CANDELARIA</v>
      </c>
      <c r="F1447" s="11" t="s">
        <v>17</v>
      </c>
      <c r="G1447" s="10" t="s">
        <v>24</v>
      </c>
      <c r="H1447" s="11" t="s">
        <v>19</v>
      </c>
      <c r="I1447" s="11" t="s">
        <v>113</v>
      </c>
      <c r="J1447" s="12" t="str">
        <f ca="1">IFERROR(__xludf.DUMMYFUNCTION("FILTER('CLASFICACIÓN'!$F$3:$F2419,'CLASFICACIÓN'!$G$3:$G2419=M1447)"),"2023 Y 2024")</f>
        <v>2023 Y 2024</v>
      </c>
      <c r="K1447" s="12" t="s">
        <v>2011</v>
      </c>
      <c r="L1447" s="11" t="s">
        <v>114</v>
      </c>
      <c r="M1447" s="12" t="str">
        <f t="shared" ca="1" si="5"/>
        <v>NUESTRA SEÑORA DE LA CANDELARIA4 Secundaria</v>
      </c>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4"/>
    </row>
    <row r="1448" spans="1:36" ht="12.5" x14ac:dyDescent="0.25">
      <c r="A1448" s="9">
        <v>71</v>
      </c>
      <c r="B1448" s="10" t="s">
        <v>54</v>
      </c>
      <c r="C1448" s="10" t="s">
        <v>41</v>
      </c>
      <c r="D1448" s="10" t="s">
        <v>43</v>
      </c>
      <c r="E1448" s="11" t="str">
        <f ca="1">IFERROR(__xludf.DUMMYFUNCTION("FILTER(Colegios!$B$2:$B2419,Colegios!$A$2:$A2419=L1448)"),"NUESTRA SEÑORA DE LA CANDELARIA")</f>
        <v>NUESTRA SEÑORA DE LA CANDELARIA</v>
      </c>
      <c r="F1448" s="11" t="s">
        <v>17</v>
      </c>
      <c r="G1448" s="10" t="s">
        <v>24</v>
      </c>
      <c r="H1448" s="11" t="s">
        <v>19</v>
      </c>
      <c r="I1448" s="11" t="s">
        <v>113</v>
      </c>
      <c r="J1448" s="12" t="str">
        <f ca="1">IFERROR(__xludf.DUMMYFUNCTION("FILTER('CLASFICACIÓN'!$F$3:$F2419,'CLASFICACIÓN'!$G$3:$G2419=M1448)"),"2023 Y 2024")</f>
        <v>2023 Y 2024</v>
      </c>
      <c r="K1448" s="12" t="s">
        <v>2011</v>
      </c>
      <c r="L1448" s="11" t="s">
        <v>114</v>
      </c>
      <c r="M1448" s="12" t="str">
        <f t="shared" ca="1" si="5"/>
        <v>NUESTRA SEÑORA DE LA CANDELARIA4 Secundaria</v>
      </c>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4"/>
    </row>
    <row r="1449" spans="1:36" ht="12.5" x14ac:dyDescent="0.25">
      <c r="A1449" s="9">
        <v>72</v>
      </c>
      <c r="B1449" s="10" t="s">
        <v>54</v>
      </c>
      <c r="C1449" s="10" t="s">
        <v>41</v>
      </c>
      <c r="D1449" s="10" t="s">
        <v>43</v>
      </c>
      <c r="E1449" s="11" t="str">
        <f ca="1">IFERROR(__xludf.DUMMYFUNCTION("FILTER(Colegios!$B$2:$B2419,Colegios!$A$2:$A2419=L1449)"),"NUESTRA SEÑORA DE LA CANDELARIA")</f>
        <v>NUESTRA SEÑORA DE LA CANDELARIA</v>
      </c>
      <c r="F1449" s="11" t="s">
        <v>17</v>
      </c>
      <c r="G1449" s="10" t="s">
        <v>24</v>
      </c>
      <c r="H1449" s="11" t="s">
        <v>19</v>
      </c>
      <c r="I1449" s="11" t="s">
        <v>113</v>
      </c>
      <c r="J1449" s="12" t="str">
        <f ca="1">IFERROR(__xludf.DUMMYFUNCTION("FILTER('CLASFICACIÓN'!$F$3:$F2419,'CLASFICACIÓN'!$G$3:$G2419=M1449)"),"2023 Y 2024")</f>
        <v>2023 Y 2024</v>
      </c>
      <c r="K1449" s="12" t="s">
        <v>2011</v>
      </c>
      <c r="L1449" s="11" t="s">
        <v>114</v>
      </c>
      <c r="M1449" s="12" t="str">
        <f t="shared" ca="1" si="5"/>
        <v>NUESTRA SEÑORA DE LA CANDELARIA4 Secundaria</v>
      </c>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4"/>
    </row>
    <row r="1450" spans="1:36" ht="12.5" x14ac:dyDescent="0.25">
      <c r="A1450" s="9">
        <v>73</v>
      </c>
      <c r="B1450" s="10" t="s">
        <v>54</v>
      </c>
      <c r="C1450" s="10" t="s">
        <v>41</v>
      </c>
      <c r="D1450" s="10" t="s">
        <v>43</v>
      </c>
      <c r="E1450" s="11" t="str">
        <f ca="1">IFERROR(__xludf.DUMMYFUNCTION("FILTER(Colegios!$B$2:$B2419,Colegios!$A$2:$A2419=L1450)"),"NUESTRA SEÑORA DE LA CANDELARIA")</f>
        <v>NUESTRA SEÑORA DE LA CANDELARIA</v>
      </c>
      <c r="F1450" s="11" t="s">
        <v>17</v>
      </c>
      <c r="G1450" s="10" t="s">
        <v>18</v>
      </c>
      <c r="H1450" s="11" t="s">
        <v>19</v>
      </c>
      <c r="I1450" s="11" t="s">
        <v>113</v>
      </c>
      <c r="J1450" s="12" t="str">
        <f ca="1">IFERROR(__xludf.DUMMYFUNCTION("FILTER('CLASFICACIÓN'!$F$3:$F2419,'CLASFICACIÓN'!$G$3:$G2419=M1450)"),"2023 Y 2024")</f>
        <v>2023 Y 2024</v>
      </c>
      <c r="K1450" s="12" t="s">
        <v>2011</v>
      </c>
      <c r="L1450" s="11" t="s">
        <v>114</v>
      </c>
      <c r="M1450" s="12" t="str">
        <f t="shared" ca="1" si="5"/>
        <v>NUESTRA SEÑORA DE LA CANDELARIA4 Secundaria</v>
      </c>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4"/>
    </row>
    <row r="1451" spans="1:36" ht="12.5" x14ac:dyDescent="0.25">
      <c r="A1451" s="9">
        <v>74</v>
      </c>
      <c r="B1451" s="10" t="s">
        <v>54</v>
      </c>
      <c r="C1451" s="10" t="s">
        <v>41</v>
      </c>
      <c r="D1451" s="10" t="s">
        <v>43</v>
      </c>
      <c r="E1451" s="11" t="str">
        <f ca="1">IFERROR(__xludf.DUMMYFUNCTION("FILTER(Colegios!$B$2:$B2419,Colegios!$A$2:$A2419=L1451)"),"NUESTRA SEÑORA DE LA CANDELARIA")</f>
        <v>NUESTRA SEÑORA DE LA CANDELARIA</v>
      </c>
      <c r="F1451" s="11" t="s">
        <v>17</v>
      </c>
      <c r="G1451" s="10" t="s">
        <v>18</v>
      </c>
      <c r="H1451" s="11" t="s">
        <v>19</v>
      </c>
      <c r="I1451" s="11" t="s">
        <v>113</v>
      </c>
      <c r="J1451" s="12" t="str">
        <f ca="1">IFERROR(__xludf.DUMMYFUNCTION("FILTER('CLASFICACIÓN'!$F$3:$F2419,'CLASFICACIÓN'!$G$3:$G2419=M1451)"),"2023 Y 2024")</f>
        <v>2023 Y 2024</v>
      </c>
      <c r="K1451" s="12" t="s">
        <v>2011</v>
      </c>
      <c r="L1451" s="11" t="s">
        <v>114</v>
      </c>
      <c r="M1451" s="12" t="str">
        <f t="shared" ca="1" si="5"/>
        <v>NUESTRA SEÑORA DE LA CANDELARIA4 Secundaria</v>
      </c>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4"/>
    </row>
    <row r="1452" spans="1:36" ht="12.5" x14ac:dyDescent="0.25">
      <c r="A1452" s="9">
        <v>75</v>
      </c>
      <c r="B1452" s="10" t="s">
        <v>54</v>
      </c>
      <c r="C1452" s="10" t="s">
        <v>41</v>
      </c>
      <c r="D1452" s="10" t="s">
        <v>43</v>
      </c>
      <c r="E1452" s="11" t="str">
        <f ca="1">IFERROR(__xludf.DUMMYFUNCTION("FILTER(Colegios!$B$2:$B2419,Colegios!$A$2:$A2419=L1452)"),"NUESTRA SEÑORA DE LA CANDELARIA")</f>
        <v>NUESTRA SEÑORA DE LA CANDELARIA</v>
      </c>
      <c r="F1452" s="11" t="s">
        <v>17</v>
      </c>
      <c r="G1452" s="10" t="s">
        <v>24</v>
      </c>
      <c r="H1452" s="11" t="s">
        <v>19</v>
      </c>
      <c r="I1452" s="11" t="s">
        <v>113</v>
      </c>
      <c r="J1452" s="12" t="str">
        <f ca="1">IFERROR(__xludf.DUMMYFUNCTION("FILTER('CLASFICACIÓN'!$F$3:$F2419,'CLASFICACIÓN'!$G$3:$G2419=M1452)"),"2023 Y 2024")</f>
        <v>2023 Y 2024</v>
      </c>
      <c r="K1452" s="12" t="s">
        <v>2011</v>
      </c>
      <c r="L1452" s="11" t="s">
        <v>114</v>
      </c>
      <c r="M1452" s="12" t="str">
        <f t="shared" ca="1" si="5"/>
        <v>NUESTRA SEÑORA DE LA CANDELARIA4 Secundaria</v>
      </c>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4"/>
    </row>
    <row r="1453" spans="1:36" ht="12.5" x14ac:dyDescent="0.25">
      <c r="A1453" s="9">
        <v>76</v>
      </c>
      <c r="B1453" s="10" t="s">
        <v>54</v>
      </c>
      <c r="C1453" s="10" t="s">
        <v>41</v>
      </c>
      <c r="D1453" s="10" t="s">
        <v>43</v>
      </c>
      <c r="E1453" s="11" t="str">
        <f ca="1">IFERROR(__xludf.DUMMYFUNCTION("FILTER(Colegios!$B$2:$B2419,Colegios!$A$2:$A2419=L1453)"),"NUESTRA SEÑORA DE LA CANDELARIA")</f>
        <v>NUESTRA SEÑORA DE LA CANDELARIA</v>
      </c>
      <c r="F1453" s="11" t="s">
        <v>17</v>
      </c>
      <c r="G1453" s="10" t="s">
        <v>18</v>
      </c>
      <c r="H1453" s="11" t="s">
        <v>19</v>
      </c>
      <c r="I1453" s="11" t="s">
        <v>113</v>
      </c>
      <c r="J1453" s="12" t="str">
        <f ca="1">IFERROR(__xludf.DUMMYFUNCTION("FILTER('CLASFICACIÓN'!$F$3:$F2419,'CLASFICACIÓN'!$G$3:$G2419=M1453)"),"2023 Y 2024")</f>
        <v>2023 Y 2024</v>
      </c>
      <c r="K1453" s="12" t="s">
        <v>2011</v>
      </c>
      <c r="L1453" s="11" t="s">
        <v>114</v>
      </c>
      <c r="M1453" s="12" t="str">
        <f t="shared" ca="1" si="5"/>
        <v>NUESTRA SEÑORA DE LA CANDELARIA4 Secundaria</v>
      </c>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4"/>
    </row>
    <row r="1454" spans="1:36" ht="12.5" x14ac:dyDescent="0.25">
      <c r="A1454" s="9">
        <v>77</v>
      </c>
      <c r="B1454" s="10" t="s">
        <v>54</v>
      </c>
      <c r="C1454" s="10" t="s">
        <v>41</v>
      </c>
      <c r="D1454" s="10" t="s">
        <v>43</v>
      </c>
      <c r="E1454" s="11" t="str">
        <f ca="1">IFERROR(__xludf.DUMMYFUNCTION("FILTER(Colegios!$B$2:$B2419,Colegios!$A$2:$A2419=L1454)"),"NUESTRA SEÑORA DE LA CANDELARIA")</f>
        <v>NUESTRA SEÑORA DE LA CANDELARIA</v>
      </c>
      <c r="F1454" s="11" t="s">
        <v>17</v>
      </c>
      <c r="G1454" s="10" t="s">
        <v>18</v>
      </c>
      <c r="H1454" s="11" t="s">
        <v>19</v>
      </c>
      <c r="I1454" s="11" t="s">
        <v>113</v>
      </c>
      <c r="J1454" s="12" t="str">
        <f ca="1">IFERROR(__xludf.DUMMYFUNCTION("FILTER('CLASFICACIÓN'!$F$3:$F2419,'CLASFICACIÓN'!$G$3:$G2419=M1454)"),"2023 Y 2024")</f>
        <v>2023 Y 2024</v>
      </c>
      <c r="K1454" s="12" t="s">
        <v>2011</v>
      </c>
      <c r="L1454" s="11" t="s">
        <v>114</v>
      </c>
      <c r="M1454" s="12" t="str">
        <f t="shared" ca="1" si="5"/>
        <v>NUESTRA SEÑORA DE LA CANDELARIA4 Secundaria</v>
      </c>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4"/>
    </row>
    <row r="1455" spans="1:36" ht="12.5" x14ac:dyDescent="0.25">
      <c r="A1455" s="9">
        <v>78</v>
      </c>
      <c r="B1455" s="10" t="s">
        <v>54</v>
      </c>
      <c r="C1455" s="10" t="s">
        <v>41</v>
      </c>
      <c r="D1455" s="10" t="s">
        <v>43</v>
      </c>
      <c r="E1455" s="11" t="str">
        <f ca="1">IFERROR(__xludf.DUMMYFUNCTION("FILTER(Colegios!$B$2:$B2419,Colegios!$A$2:$A2419=L1455)"),"NUESTRA SEÑORA DE LA CANDELARIA")</f>
        <v>NUESTRA SEÑORA DE LA CANDELARIA</v>
      </c>
      <c r="F1455" s="11" t="s">
        <v>17</v>
      </c>
      <c r="G1455" s="10" t="s">
        <v>24</v>
      </c>
      <c r="H1455" s="11" t="s">
        <v>19</v>
      </c>
      <c r="I1455" s="11" t="s">
        <v>113</v>
      </c>
      <c r="J1455" s="12" t="str">
        <f ca="1">IFERROR(__xludf.DUMMYFUNCTION("FILTER('CLASFICACIÓN'!$F$3:$F2419,'CLASFICACIÓN'!$G$3:$G2419=M1455)"),"2023 Y 2024")</f>
        <v>2023 Y 2024</v>
      </c>
      <c r="K1455" s="12" t="s">
        <v>2011</v>
      </c>
      <c r="L1455" s="11" t="s">
        <v>114</v>
      </c>
      <c r="M1455" s="12" t="str">
        <f t="shared" ca="1" si="5"/>
        <v>NUESTRA SEÑORA DE LA CANDELARIA4 Secundaria</v>
      </c>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4"/>
    </row>
    <row r="1456" spans="1:36" ht="12.5" x14ac:dyDescent="0.25">
      <c r="A1456" s="9">
        <v>79</v>
      </c>
      <c r="B1456" s="10" t="s">
        <v>54</v>
      </c>
      <c r="C1456" s="10" t="s">
        <v>41</v>
      </c>
      <c r="D1456" s="10" t="s">
        <v>43</v>
      </c>
      <c r="E1456" s="11" t="str">
        <f ca="1">IFERROR(__xludf.DUMMYFUNCTION("FILTER(Colegios!$B$2:$B2419,Colegios!$A$2:$A2419=L1456)"),"NUESTRA SEÑORA DE LA CANDELARIA")</f>
        <v>NUESTRA SEÑORA DE LA CANDELARIA</v>
      </c>
      <c r="F1456" s="11" t="s">
        <v>17</v>
      </c>
      <c r="G1456" s="10" t="s">
        <v>18</v>
      </c>
      <c r="H1456" s="11" t="s">
        <v>23</v>
      </c>
      <c r="I1456" s="11" t="s">
        <v>113</v>
      </c>
      <c r="J1456" s="12" t="str">
        <f ca="1">IFERROR(__xludf.DUMMYFUNCTION("FILTER('CLASFICACIÓN'!$F$3:$F2419,'CLASFICACIÓN'!$G$3:$G2419=M1456)"),"2023 Y 2024")</f>
        <v>2023 Y 2024</v>
      </c>
      <c r="K1456" s="12" t="s">
        <v>2011</v>
      </c>
      <c r="L1456" s="11" t="s">
        <v>114</v>
      </c>
      <c r="M1456" s="12" t="str">
        <f t="shared" ca="1" si="5"/>
        <v>NUESTRA SEÑORA DE LA CANDELARIA4 Secundaria</v>
      </c>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4"/>
    </row>
    <row r="1457" spans="1:36" ht="12.5" x14ac:dyDescent="0.25">
      <c r="A1457" s="9">
        <v>80</v>
      </c>
      <c r="B1457" s="10" t="s">
        <v>44</v>
      </c>
      <c r="C1457" s="10" t="s">
        <v>15</v>
      </c>
      <c r="D1457" s="10" t="s">
        <v>45</v>
      </c>
      <c r="E1457" s="11" t="str">
        <f ca="1">IFERROR(__xludf.DUMMYFUNCTION("FILTER(Colegios!$B$2:$B2419,Colegios!$A$2:$A2419=L1457)"),"64155")</f>
        <v>64155</v>
      </c>
      <c r="F1457" s="11" t="s">
        <v>17</v>
      </c>
      <c r="G1457" s="10" t="s">
        <v>24</v>
      </c>
      <c r="H1457" s="11" t="s">
        <v>19</v>
      </c>
      <c r="I1457" s="11" t="s">
        <v>113</v>
      </c>
      <c r="J1457" s="12" t="str">
        <f ca="1">IFERROR(__xludf.DUMMYFUNCTION("FILTER('CLASFICACIÓN'!$F$3:$F2419,'CLASFICACIÓN'!$G$3:$G2419=M1457)"),"SOLO 2023")</f>
        <v>SOLO 2023</v>
      </c>
      <c r="K1457" s="12" t="s">
        <v>2013</v>
      </c>
      <c r="L1457" s="11" t="s">
        <v>115</v>
      </c>
      <c r="M1457" s="12" t="str">
        <f t="shared" ca="1" si="5"/>
        <v>641552 Primaria</v>
      </c>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4"/>
    </row>
    <row r="1458" spans="1:36" ht="12.5" x14ac:dyDescent="0.25">
      <c r="A1458" s="9">
        <v>81</v>
      </c>
      <c r="B1458" s="10" t="s">
        <v>44</v>
      </c>
      <c r="C1458" s="10" t="s">
        <v>15</v>
      </c>
      <c r="D1458" s="10" t="s">
        <v>45</v>
      </c>
      <c r="E1458" s="11" t="str">
        <f ca="1">IFERROR(__xludf.DUMMYFUNCTION("FILTER(Colegios!$B$2:$B2419,Colegios!$A$2:$A2419=L1458)"),"64155")</f>
        <v>64155</v>
      </c>
      <c r="F1458" s="11" t="s">
        <v>17</v>
      </c>
      <c r="G1458" s="10" t="s">
        <v>18</v>
      </c>
      <c r="H1458" s="11" t="s">
        <v>19</v>
      </c>
      <c r="I1458" s="11" t="s">
        <v>113</v>
      </c>
      <c r="J1458" s="12" t="str">
        <f ca="1">IFERROR(__xludf.DUMMYFUNCTION("FILTER('CLASFICACIÓN'!$F$3:$F2419,'CLASFICACIÓN'!$G$3:$G2419=M1458)"),"SOLO 2023")</f>
        <v>SOLO 2023</v>
      </c>
      <c r="K1458" s="12" t="s">
        <v>2013</v>
      </c>
      <c r="L1458" s="11" t="s">
        <v>115</v>
      </c>
      <c r="M1458" s="12" t="str">
        <f t="shared" ca="1" si="5"/>
        <v>641552 Primaria</v>
      </c>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4"/>
    </row>
    <row r="1459" spans="1:36" ht="12.5" x14ac:dyDescent="0.25">
      <c r="A1459" s="9">
        <v>82</v>
      </c>
      <c r="B1459" s="10" t="s">
        <v>44</v>
      </c>
      <c r="C1459" s="10" t="s">
        <v>15</v>
      </c>
      <c r="D1459" s="10" t="s">
        <v>45</v>
      </c>
      <c r="E1459" s="11" t="str">
        <f ca="1">IFERROR(__xludf.DUMMYFUNCTION("FILTER(Colegios!$B$2:$B2419,Colegios!$A$2:$A2419=L1459)"),"64346")</f>
        <v>64346</v>
      </c>
      <c r="F1459" s="11" t="s">
        <v>17</v>
      </c>
      <c r="G1459" s="10" t="s">
        <v>24</v>
      </c>
      <c r="H1459" s="11" t="s">
        <v>19</v>
      </c>
      <c r="I1459" s="11" t="s">
        <v>113</v>
      </c>
      <c r="J1459" s="12" t="str">
        <f ca="1">IFERROR(__xludf.DUMMYFUNCTION("FILTER('CLASFICACIÓN'!$F$3:$F2419,'CLASFICACIÓN'!$G$3:$G2419=M1459)"),"OTROS ESCENARIOS")</f>
        <v>OTROS ESCENARIOS</v>
      </c>
      <c r="K1459" s="12" t="s">
        <v>2012</v>
      </c>
      <c r="L1459" s="11" t="s">
        <v>116</v>
      </c>
      <c r="M1459" s="12" t="str">
        <f t="shared" ca="1" si="5"/>
        <v>643462 Primaria</v>
      </c>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4"/>
    </row>
    <row r="1460" spans="1:36" ht="12.5" x14ac:dyDescent="0.25">
      <c r="A1460" s="9">
        <v>83</v>
      </c>
      <c r="B1460" s="10" t="s">
        <v>44</v>
      </c>
      <c r="C1460" s="10" t="s">
        <v>15</v>
      </c>
      <c r="D1460" s="10" t="s">
        <v>45</v>
      </c>
      <c r="E1460" s="11" t="str">
        <f ca="1">IFERROR(__xludf.DUMMYFUNCTION("FILTER(Colegios!$B$2:$B2419,Colegios!$A$2:$A2419=L1460)"),"64346")</f>
        <v>64346</v>
      </c>
      <c r="F1460" s="11" t="s">
        <v>17</v>
      </c>
      <c r="G1460" s="10" t="s">
        <v>24</v>
      </c>
      <c r="H1460" s="11" t="s">
        <v>19</v>
      </c>
      <c r="I1460" s="11" t="s">
        <v>113</v>
      </c>
      <c r="J1460" s="12" t="str">
        <f ca="1">IFERROR(__xludf.DUMMYFUNCTION("FILTER('CLASFICACIÓN'!$F$3:$F2419,'CLASFICACIÓN'!$G$3:$G2419=M1460)"),"OTROS ESCENARIOS")</f>
        <v>OTROS ESCENARIOS</v>
      </c>
      <c r="K1460" s="12" t="s">
        <v>2012</v>
      </c>
      <c r="L1460" s="11" t="s">
        <v>116</v>
      </c>
      <c r="M1460" s="12" t="str">
        <f t="shared" ca="1" si="5"/>
        <v>643462 Primaria</v>
      </c>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4"/>
    </row>
    <row r="1461" spans="1:36" ht="12.5" x14ac:dyDescent="0.25">
      <c r="A1461" s="9">
        <v>84</v>
      </c>
      <c r="B1461" s="10" t="s">
        <v>44</v>
      </c>
      <c r="C1461" s="10" t="s">
        <v>15</v>
      </c>
      <c r="D1461" s="10" t="s">
        <v>37</v>
      </c>
      <c r="E1461" s="11" t="str">
        <f ca="1">IFERROR(__xludf.DUMMYFUNCTION("FILTER(Colegios!$B$2:$B2419,Colegios!$A$2:$A2419=L1461)"),"64346")</f>
        <v>64346</v>
      </c>
      <c r="F1461" s="11" t="s">
        <v>17</v>
      </c>
      <c r="G1461" s="10" t="s">
        <v>18</v>
      </c>
      <c r="H1461" s="11" t="s">
        <v>19</v>
      </c>
      <c r="I1461" s="11" t="s">
        <v>113</v>
      </c>
      <c r="J1461" s="12" t="str">
        <f ca="1">IFERROR(__xludf.DUMMYFUNCTION("FILTER('CLASFICACIÓN'!$F$3:$F2419,'CLASFICACIÓN'!$G$3:$G2419=M1461)"),"OTROS ESCENARIOS")</f>
        <v>OTROS ESCENARIOS</v>
      </c>
      <c r="K1461" s="12" t="s">
        <v>2012</v>
      </c>
      <c r="L1461" s="11" t="s">
        <v>116</v>
      </c>
      <c r="M1461" s="12" t="str">
        <f t="shared" ca="1" si="5"/>
        <v>643466 Primaria</v>
      </c>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4"/>
    </row>
    <row r="1462" spans="1:36" ht="12.5" x14ac:dyDescent="0.25">
      <c r="A1462" s="9">
        <v>85</v>
      </c>
      <c r="B1462" s="10" t="s">
        <v>44</v>
      </c>
      <c r="C1462" s="10" t="s">
        <v>15</v>
      </c>
      <c r="D1462" s="10" t="s">
        <v>37</v>
      </c>
      <c r="E1462" s="11" t="str">
        <f ca="1">IFERROR(__xludf.DUMMYFUNCTION("FILTER(Colegios!$B$2:$B2419,Colegios!$A$2:$A2419=L1462)"),"64346")</f>
        <v>64346</v>
      </c>
      <c r="F1462" s="11" t="s">
        <v>17</v>
      </c>
      <c r="G1462" s="10" t="s">
        <v>24</v>
      </c>
      <c r="H1462" s="11" t="s">
        <v>19</v>
      </c>
      <c r="I1462" s="11" t="s">
        <v>113</v>
      </c>
      <c r="J1462" s="12" t="str">
        <f ca="1">IFERROR(__xludf.DUMMYFUNCTION("FILTER('CLASFICACIÓN'!$F$3:$F2419,'CLASFICACIÓN'!$G$3:$G2419=M1462)"),"OTROS ESCENARIOS")</f>
        <v>OTROS ESCENARIOS</v>
      </c>
      <c r="K1462" s="12" t="s">
        <v>2012</v>
      </c>
      <c r="L1462" s="11" t="s">
        <v>116</v>
      </c>
      <c r="M1462" s="12" t="str">
        <f t="shared" ca="1" si="5"/>
        <v>643466 Primaria</v>
      </c>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4"/>
    </row>
    <row r="1463" spans="1:36" ht="12.5" x14ac:dyDescent="0.25">
      <c r="A1463" s="9">
        <v>86</v>
      </c>
      <c r="B1463" s="10" t="s">
        <v>44</v>
      </c>
      <c r="C1463" s="10" t="s">
        <v>15</v>
      </c>
      <c r="D1463" s="10" t="s">
        <v>37</v>
      </c>
      <c r="E1463" s="11" t="str">
        <f ca="1">IFERROR(__xludf.DUMMYFUNCTION("FILTER(Colegios!$B$2:$B2419,Colegios!$A$2:$A2419=L1463)"),"64346")</f>
        <v>64346</v>
      </c>
      <c r="F1463" s="11" t="s">
        <v>17</v>
      </c>
      <c r="G1463" s="10" t="s">
        <v>18</v>
      </c>
      <c r="H1463" s="11" t="s">
        <v>19</v>
      </c>
      <c r="I1463" s="11" t="s">
        <v>113</v>
      </c>
      <c r="J1463" s="12" t="str">
        <f ca="1">IFERROR(__xludf.DUMMYFUNCTION("FILTER('CLASFICACIÓN'!$F$3:$F2419,'CLASFICACIÓN'!$G$3:$G2419=M1463)"),"OTROS ESCENARIOS")</f>
        <v>OTROS ESCENARIOS</v>
      </c>
      <c r="K1463" s="12" t="s">
        <v>2012</v>
      </c>
      <c r="L1463" s="11" t="s">
        <v>116</v>
      </c>
      <c r="M1463" s="12" t="str">
        <f t="shared" ca="1" si="5"/>
        <v>643466 Primaria</v>
      </c>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4"/>
    </row>
    <row r="1464" spans="1:36" ht="12.5" x14ac:dyDescent="0.25">
      <c r="A1464" s="9">
        <v>87</v>
      </c>
      <c r="B1464" s="10" t="s">
        <v>44</v>
      </c>
      <c r="C1464" s="10" t="s">
        <v>15</v>
      </c>
      <c r="D1464" s="10" t="s">
        <v>37</v>
      </c>
      <c r="E1464" s="11" t="str">
        <f ca="1">IFERROR(__xludf.DUMMYFUNCTION("FILTER(Colegios!$B$2:$B2419,Colegios!$A$2:$A2419=L1464)"),"64346")</f>
        <v>64346</v>
      </c>
      <c r="F1464" s="11" t="s">
        <v>17</v>
      </c>
      <c r="G1464" s="10" t="s">
        <v>18</v>
      </c>
      <c r="H1464" s="11" t="s">
        <v>23</v>
      </c>
      <c r="I1464" s="11" t="s">
        <v>113</v>
      </c>
      <c r="J1464" s="12" t="str">
        <f ca="1">IFERROR(__xludf.DUMMYFUNCTION("FILTER('CLASFICACIÓN'!$F$3:$F2419,'CLASFICACIÓN'!$G$3:$G2419=M1464)"),"OTROS ESCENARIOS")</f>
        <v>OTROS ESCENARIOS</v>
      </c>
      <c r="K1464" s="12" t="s">
        <v>2012</v>
      </c>
      <c r="L1464" s="11" t="s">
        <v>116</v>
      </c>
      <c r="M1464" s="12" t="str">
        <f t="shared" ca="1" si="5"/>
        <v>643466 Primaria</v>
      </c>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4"/>
    </row>
    <row r="1465" spans="1:36" ht="12.5" x14ac:dyDescent="0.25">
      <c r="A1465" s="9">
        <v>88</v>
      </c>
      <c r="B1465" s="10" t="s">
        <v>44</v>
      </c>
      <c r="C1465" s="10" t="s">
        <v>15</v>
      </c>
      <c r="D1465" s="10" t="s">
        <v>16</v>
      </c>
      <c r="E1465" s="11" t="str">
        <f ca="1">IFERROR(__xludf.DUMMYFUNCTION("FILTER(Colegios!$B$2:$B2419,Colegios!$A$2:$A2419=L1465)"),"64641")</f>
        <v>64641</v>
      </c>
      <c r="F1465" s="11" t="s">
        <v>17</v>
      </c>
      <c r="G1465" s="10" t="s">
        <v>24</v>
      </c>
      <c r="H1465" s="11" t="s">
        <v>23</v>
      </c>
      <c r="I1465" s="11" t="s">
        <v>113</v>
      </c>
      <c r="J1465" s="12" t="str">
        <f ca="1">IFERROR(__xludf.DUMMYFUNCTION("FILTER('CLASFICACIÓN'!$F$3:$F2419,'CLASFICACIÓN'!$G$3:$G2419=M1465)"),"SOLO 2023")</f>
        <v>SOLO 2023</v>
      </c>
      <c r="K1465" s="12" t="s">
        <v>2012</v>
      </c>
      <c r="L1465" s="11" t="s">
        <v>117</v>
      </c>
      <c r="M1465" s="12" t="str">
        <f t="shared" ca="1" si="5"/>
        <v>646414 Primaria</v>
      </c>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4"/>
    </row>
    <row r="1466" spans="1:36" ht="12.5" x14ac:dyDescent="0.25">
      <c r="A1466" s="9">
        <v>89</v>
      </c>
      <c r="B1466" s="10" t="s">
        <v>44</v>
      </c>
      <c r="C1466" s="10" t="s">
        <v>15</v>
      </c>
      <c r="D1466" s="10" t="s">
        <v>16</v>
      </c>
      <c r="E1466" s="11" t="str">
        <f ca="1">IFERROR(__xludf.DUMMYFUNCTION("FILTER(Colegios!$B$2:$B2419,Colegios!$A$2:$A2419=L1466)"),"64641")</f>
        <v>64641</v>
      </c>
      <c r="F1466" s="11" t="s">
        <v>17</v>
      </c>
      <c r="G1466" s="10" t="s">
        <v>18</v>
      </c>
      <c r="H1466" s="11" t="s">
        <v>19</v>
      </c>
      <c r="I1466" s="11" t="s">
        <v>113</v>
      </c>
      <c r="J1466" s="12" t="str">
        <f ca="1">IFERROR(__xludf.DUMMYFUNCTION("FILTER('CLASFICACIÓN'!$F$3:$F2419,'CLASFICACIÓN'!$G$3:$G2419=M1466)"),"SOLO 2023")</f>
        <v>SOLO 2023</v>
      </c>
      <c r="K1466" s="12" t="s">
        <v>2012</v>
      </c>
      <c r="L1466" s="11" t="s">
        <v>117</v>
      </c>
      <c r="M1466" s="12" t="str">
        <f t="shared" ca="1" si="5"/>
        <v>646414 Primaria</v>
      </c>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4"/>
    </row>
    <row r="1467" spans="1:36" ht="12.5" x14ac:dyDescent="0.25">
      <c r="A1467" s="9">
        <v>90</v>
      </c>
      <c r="B1467" s="10" t="s">
        <v>44</v>
      </c>
      <c r="C1467" s="10" t="s">
        <v>15</v>
      </c>
      <c r="D1467" s="10" t="s">
        <v>37</v>
      </c>
      <c r="E1467" s="11" t="str">
        <f ca="1">IFERROR(__xludf.DUMMYFUNCTION("FILTER(Colegios!$B$2:$B2419,Colegios!$A$2:$A2419=L1467)"),"64641")</f>
        <v>64641</v>
      </c>
      <c r="F1467" s="11" t="s">
        <v>17</v>
      </c>
      <c r="G1467" s="10" t="s">
        <v>18</v>
      </c>
      <c r="H1467" s="11" t="s">
        <v>19</v>
      </c>
      <c r="I1467" s="11" t="s">
        <v>113</v>
      </c>
      <c r="J1467" s="12" t="str">
        <f ca="1">IFERROR(__xludf.DUMMYFUNCTION("FILTER('CLASFICACIÓN'!$F$3:$F2419,'CLASFICACIÓN'!$G$3:$G2419=M1467)"),"SOLO 2023")</f>
        <v>SOLO 2023</v>
      </c>
      <c r="K1467" s="12" t="s">
        <v>2012</v>
      </c>
      <c r="L1467" s="11" t="s">
        <v>117</v>
      </c>
      <c r="M1467" s="12" t="str">
        <f t="shared" ca="1" si="5"/>
        <v>646416 Primaria</v>
      </c>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4"/>
    </row>
    <row r="1468" spans="1:36" ht="12.5" x14ac:dyDescent="0.25">
      <c r="A1468" s="9">
        <v>91</v>
      </c>
      <c r="B1468" s="10" t="s">
        <v>44</v>
      </c>
      <c r="C1468" s="10" t="s">
        <v>15</v>
      </c>
      <c r="D1468" s="10" t="s">
        <v>37</v>
      </c>
      <c r="E1468" s="11" t="str">
        <f ca="1">IFERROR(__xludf.DUMMYFUNCTION("FILTER(Colegios!$B$2:$B2419,Colegios!$A$2:$A2419=L1468)"),"64641")</f>
        <v>64641</v>
      </c>
      <c r="F1468" s="11" t="s">
        <v>17</v>
      </c>
      <c r="G1468" s="10" t="s">
        <v>24</v>
      </c>
      <c r="H1468" s="11" t="s">
        <v>19</v>
      </c>
      <c r="I1468" s="11" t="s">
        <v>113</v>
      </c>
      <c r="J1468" s="12" t="str">
        <f ca="1">IFERROR(__xludf.DUMMYFUNCTION("FILTER('CLASFICACIÓN'!$F$3:$F2419,'CLASFICACIÓN'!$G$3:$G2419=M1468)"),"SOLO 2023")</f>
        <v>SOLO 2023</v>
      </c>
      <c r="K1468" s="12" t="s">
        <v>2012</v>
      </c>
      <c r="L1468" s="11" t="s">
        <v>117</v>
      </c>
      <c r="M1468" s="12" t="str">
        <f t="shared" ca="1" si="5"/>
        <v>646416 Primaria</v>
      </c>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4"/>
    </row>
    <row r="1469" spans="1:36" ht="12.5" x14ac:dyDescent="0.25">
      <c r="A1469" s="9">
        <v>92</v>
      </c>
      <c r="B1469" s="10" t="s">
        <v>44</v>
      </c>
      <c r="C1469" s="10" t="s">
        <v>15</v>
      </c>
      <c r="D1469" s="10" t="s">
        <v>37</v>
      </c>
      <c r="E1469" s="11" t="str">
        <f ca="1">IFERROR(__xludf.DUMMYFUNCTION("FILTER(Colegios!$B$2:$B2419,Colegios!$A$2:$A2419=L1469)"),"64641")</f>
        <v>64641</v>
      </c>
      <c r="F1469" s="11" t="s">
        <v>17</v>
      </c>
      <c r="G1469" s="10" t="s">
        <v>24</v>
      </c>
      <c r="H1469" s="11" t="s">
        <v>23</v>
      </c>
      <c r="I1469" s="11" t="s">
        <v>113</v>
      </c>
      <c r="J1469" s="12" t="str">
        <f ca="1">IFERROR(__xludf.DUMMYFUNCTION("FILTER('CLASFICACIÓN'!$F$3:$F2419,'CLASFICACIÓN'!$G$3:$G2419=M1469)"),"SOLO 2023")</f>
        <v>SOLO 2023</v>
      </c>
      <c r="K1469" s="12" t="s">
        <v>2012</v>
      </c>
      <c r="L1469" s="11" t="s">
        <v>117</v>
      </c>
      <c r="M1469" s="12" t="str">
        <f t="shared" ca="1" si="5"/>
        <v>646416 Primaria</v>
      </c>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4"/>
    </row>
    <row r="1470" spans="1:36" ht="12.5" x14ac:dyDescent="0.25">
      <c r="A1470" s="9">
        <v>93</v>
      </c>
      <c r="B1470" s="10" t="s">
        <v>44</v>
      </c>
      <c r="C1470" s="10" t="s">
        <v>15</v>
      </c>
      <c r="D1470" s="10" t="s">
        <v>37</v>
      </c>
      <c r="E1470" s="11" t="str">
        <f ca="1">IFERROR(__xludf.DUMMYFUNCTION("FILTER(Colegios!$B$2:$B2419,Colegios!$A$2:$A2419=L1470)"),"64641")</f>
        <v>64641</v>
      </c>
      <c r="F1470" s="11" t="s">
        <v>17</v>
      </c>
      <c r="G1470" s="10" t="s">
        <v>18</v>
      </c>
      <c r="H1470" s="11" t="s">
        <v>23</v>
      </c>
      <c r="I1470" s="11" t="s">
        <v>113</v>
      </c>
      <c r="J1470" s="12" t="str">
        <f ca="1">IFERROR(__xludf.DUMMYFUNCTION("FILTER('CLASFICACIÓN'!$F$3:$F2419,'CLASFICACIÓN'!$G$3:$G2419=M1470)"),"SOLO 2023")</f>
        <v>SOLO 2023</v>
      </c>
      <c r="K1470" s="12" t="s">
        <v>2012</v>
      </c>
      <c r="L1470" s="11" t="s">
        <v>117</v>
      </c>
      <c r="M1470" s="12" t="str">
        <f t="shared" ca="1" si="5"/>
        <v>646416 Primaria</v>
      </c>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4"/>
    </row>
    <row r="1471" spans="1:36" ht="12.5" x14ac:dyDescent="0.25">
      <c r="A1471" s="9">
        <v>94</v>
      </c>
      <c r="B1471" s="10" t="s">
        <v>44</v>
      </c>
      <c r="C1471" s="10" t="s">
        <v>15</v>
      </c>
      <c r="D1471" s="10" t="s">
        <v>16</v>
      </c>
      <c r="E1471" s="11" t="str">
        <f ca="1">IFERROR(__xludf.DUMMYFUNCTION("FILTER(Colegios!$B$2:$B2419,Colegios!$A$2:$A2419=L1471)"),"64871-B")</f>
        <v>64871-B</v>
      </c>
      <c r="F1471" s="11" t="s">
        <v>17</v>
      </c>
      <c r="G1471" s="10" t="s">
        <v>18</v>
      </c>
      <c r="H1471" s="11" t="s">
        <v>23</v>
      </c>
      <c r="I1471" s="11" t="s">
        <v>113</v>
      </c>
      <c r="J1471" s="12" t="str">
        <f ca="1">IFERROR(__xludf.DUMMYFUNCTION("FILTER('CLASFICACIÓN'!$F$3:$F2419,'CLASFICACIÓN'!$G$3:$G2419=M1471)"),"2023 Y 2024")</f>
        <v>2023 Y 2024</v>
      </c>
      <c r="K1471" s="12" t="s">
        <v>2011</v>
      </c>
      <c r="L1471" s="11" t="s">
        <v>118</v>
      </c>
      <c r="M1471" s="12" t="str">
        <f t="shared" ca="1" si="5"/>
        <v>64871-B4 Primaria</v>
      </c>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4"/>
    </row>
    <row r="1472" spans="1:36" ht="12.5" x14ac:dyDescent="0.25">
      <c r="A1472" s="9">
        <v>95</v>
      </c>
      <c r="B1472" s="10" t="s">
        <v>44</v>
      </c>
      <c r="C1472" s="10" t="s">
        <v>15</v>
      </c>
      <c r="D1472" s="10" t="s">
        <v>16</v>
      </c>
      <c r="E1472" s="11" t="str">
        <f ca="1">IFERROR(__xludf.DUMMYFUNCTION("FILTER(Colegios!$B$2:$B2419,Colegios!$A$2:$A2419=L1472)"),"64871-B")</f>
        <v>64871-B</v>
      </c>
      <c r="F1472" s="11" t="s">
        <v>17</v>
      </c>
      <c r="G1472" s="10" t="s">
        <v>24</v>
      </c>
      <c r="H1472" s="11" t="s">
        <v>23</v>
      </c>
      <c r="I1472" s="11" t="s">
        <v>113</v>
      </c>
      <c r="J1472" s="12" t="str">
        <f ca="1">IFERROR(__xludf.DUMMYFUNCTION("FILTER('CLASFICACIÓN'!$F$3:$F2419,'CLASFICACIÓN'!$G$3:$G2419=M1472)"),"2023 Y 2024")</f>
        <v>2023 Y 2024</v>
      </c>
      <c r="K1472" s="12" t="s">
        <v>2011</v>
      </c>
      <c r="L1472" s="11" t="s">
        <v>118</v>
      </c>
      <c r="M1472" s="12" t="str">
        <f t="shared" ca="1" si="5"/>
        <v>64871-B4 Primaria</v>
      </c>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4"/>
    </row>
    <row r="1473" spans="1:36" ht="12.5" x14ac:dyDescent="0.25">
      <c r="A1473" s="9">
        <v>96</v>
      </c>
      <c r="B1473" s="10" t="s">
        <v>44</v>
      </c>
      <c r="C1473" s="10" t="s">
        <v>15</v>
      </c>
      <c r="D1473" s="10" t="s">
        <v>16</v>
      </c>
      <c r="E1473" s="11" t="str">
        <f ca="1">IFERROR(__xludf.DUMMYFUNCTION("FILTER(Colegios!$B$2:$B2419,Colegios!$A$2:$A2419=L1473)"),"64871-B")</f>
        <v>64871-B</v>
      </c>
      <c r="F1473" s="11" t="s">
        <v>17</v>
      </c>
      <c r="G1473" s="10" t="s">
        <v>24</v>
      </c>
      <c r="H1473" s="11" t="s">
        <v>23</v>
      </c>
      <c r="I1473" s="11" t="s">
        <v>113</v>
      </c>
      <c r="J1473" s="12" t="str">
        <f ca="1">IFERROR(__xludf.DUMMYFUNCTION("FILTER('CLASFICACIÓN'!$F$3:$F2419,'CLASFICACIÓN'!$G$3:$G2419=M1473)"),"2023 Y 2024")</f>
        <v>2023 Y 2024</v>
      </c>
      <c r="K1473" s="12" t="s">
        <v>2011</v>
      </c>
      <c r="L1473" s="11" t="s">
        <v>118</v>
      </c>
      <c r="M1473" s="12" t="str">
        <f t="shared" ca="1" si="5"/>
        <v>64871-B4 Primaria</v>
      </c>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4"/>
    </row>
    <row r="1474" spans="1:36" ht="12.5" x14ac:dyDescent="0.25">
      <c r="A1474" s="9">
        <v>97</v>
      </c>
      <c r="B1474" s="10" t="s">
        <v>44</v>
      </c>
      <c r="C1474" s="10" t="s">
        <v>15</v>
      </c>
      <c r="D1474" s="10" t="s">
        <v>16</v>
      </c>
      <c r="E1474" s="11" t="str">
        <f ca="1">IFERROR(__xludf.DUMMYFUNCTION("FILTER(Colegios!$B$2:$B2419,Colegios!$A$2:$A2419=L1474)"),"64871-B")</f>
        <v>64871-B</v>
      </c>
      <c r="F1474" s="11" t="s">
        <v>17</v>
      </c>
      <c r="G1474" s="10" t="s">
        <v>18</v>
      </c>
      <c r="H1474" s="11" t="s">
        <v>19</v>
      </c>
      <c r="I1474" s="11" t="s">
        <v>113</v>
      </c>
      <c r="J1474" s="12" t="str">
        <f ca="1">IFERROR(__xludf.DUMMYFUNCTION("FILTER('CLASFICACIÓN'!$F$3:$F2419,'CLASFICACIÓN'!$G$3:$G2419=M1474)"),"2023 Y 2024")</f>
        <v>2023 Y 2024</v>
      </c>
      <c r="K1474" s="12" t="s">
        <v>2011</v>
      </c>
      <c r="L1474" s="11" t="s">
        <v>118</v>
      </c>
      <c r="M1474" s="12" t="str">
        <f t="shared" ca="1" si="5"/>
        <v>64871-B4 Primaria</v>
      </c>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4"/>
    </row>
    <row r="1475" spans="1:36" ht="12.5" x14ac:dyDescent="0.25">
      <c r="A1475" s="9">
        <v>98</v>
      </c>
      <c r="B1475" s="10" t="s">
        <v>44</v>
      </c>
      <c r="C1475" s="10" t="s">
        <v>15</v>
      </c>
      <c r="D1475" s="10" t="s">
        <v>16</v>
      </c>
      <c r="E1475" s="11" t="str">
        <f ca="1">IFERROR(__xludf.DUMMYFUNCTION("FILTER(Colegios!$B$2:$B2419,Colegios!$A$2:$A2419=L1475)"),"64871-B")</f>
        <v>64871-B</v>
      </c>
      <c r="F1475" s="11" t="s">
        <v>17</v>
      </c>
      <c r="G1475" s="10" t="s">
        <v>18</v>
      </c>
      <c r="H1475" s="11" t="s">
        <v>19</v>
      </c>
      <c r="I1475" s="11" t="s">
        <v>113</v>
      </c>
      <c r="J1475" s="12" t="str">
        <f ca="1">IFERROR(__xludf.DUMMYFUNCTION("FILTER('CLASFICACIÓN'!$F$3:$F2419,'CLASFICACIÓN'!$G$3:$G2419=M1475)"),"2023 Y 2024")</f>
        <v>2023 Y 2024</v>
      </c>
      <c r="K1475" s="12" t="s">
        <v>2011</v>
      </c>
      <c r="L1475" s="11" t="s">
        <v>118</v>
      </c>
      <c r="M1475" s="12" t="str">
        <f t="shared" ca="1" si="5"/>
        <v>64871-B4 Primaria</v>
      </c>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4"/>
    </row>
    <row r="1476" spans="1:36" ht="12.5" x14ac:dyDescent="0.25">
      <c r="A1476" s="9">
        <v>99</v>
      </c>
      <c r="B1476" s="10" t="s">
        <v>44</v>
      </c>
      <c r="C1476" s="10" t="s">
        <v>15</v>
      </c>
      <c r="D1476" s="10" t="s">
        <v>16</v>
      </c>
      <c r="E1476" s="11" t="str">
        <f ca="1">IFERROR(__xludf.DUMMYFUNCTION("FILTER(Colegios!$B$2:$B2419,Colegios!$A$2:$A2419=L1476)"),"64871-B")</f>
        <v>64871-B</v>
      </c>
      <c r="F1476" s="11" t="s">
        <v>17</v>
      </c>
      <c r="G1476" s="10" t="s">
        <v>24</v>
      </c>
      <c r="H1476" s="11" t="s">
        <v>23</v>
      </c>
      <c r="I1476" s="11" t="s">
        <v>113</v>
      </c>
      <c r="J1476" s="12" t="str">
        <f ca="1">IFERROR(__xludf.DUMMYFUNCTION("FILTER('CLASFICACIÓN'!$F$3:$F2419,'CLASFICACIÓN'!$G$3:$G2419=M1476)"),"2023 Y 2024")</f>
        <v>2023 Y 2024</v>
      </c>
      <c r="K1476" s="12" t="s">
        <v>2011</v>
      </c>
      <c r="L1476" s="11" t="s">
        <v>118</v>
      </c>
      <c r="M1476" s="12" t="str">
        <f t="shared" ca="1" si="5"/>
        <v>64871-B4 Primaria</v>
      </c>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4"/>
    </row>
    <row r="1477" spans="1:36" ht="12.5" x14ac:dyDescent="0.25">
      <c r="A1477" s="9">
        <v>100</v>
      </c>
      <c r="B1477" s="10" t="s">
        <v>44</v>
      </c>
      <c r="C1477" s="10" t="s">
        <v>15</v>
      </c>
      <c r="D1477" s="10" t="s">
        <v>16</v>
      </c>
      <c r="E1477" s="11" t="str">
        <f ca="1">IFERROR(__xludf.DUMMYFUNCTION("FILTER(Colegios!$B$2:$B2419,Colegios!$A$2:$A2419=L1477)"),"64871-B")</f>
        <v>64871-B</v>
      </c>
      <c r="F1477" s="11" t="s">
        <v>17</v>
      </c>
      <c r="G1477" s="10" t="s">
        <v>24</v>
      </c>
      <c r="H1477" s="11" t="s">
        <v>23</v>
      </c>
      <c r="I1477" s="11" t="s">
        <v>113</v>
      </c>
      <c r="J1477" s="12" t="str">
        <f ca="1">IFERROR(__xludf.DUMMYFUNCTION("FILTER('CLASFICACIÓN'!$F$3:$F2419,'CLASFICACIÓN'!$G$3:$G2419=M1477)"),"2023 Y 2024")</f>
        <v>2023 Y 2024</v>
      </c>
      <c r="K1477" s="12" t="s">
        <v>2011</v>
      </c>
      <c r="L1477" s="11" t="s">
        <v>118</v>
      </c>
      <c r="M1477" s="12" t="str">
        <f t="shared" ca="1" si="5"/>
        <v>64871-B4 Primaria</v>
      </c>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4"/>
    </row>
    <row r="1478" spans="1:36" ht="12.5" x14ac:dyDescent="0.25">
      <c r="A1478" s="9">
        <v>101</v>
      </c>
      <c r="B1478" s="10" t="s">
        <v>44</v>
      </c>
      <c r="C1478" s="10" t="s">
        <v>15</v>
      </c>
      <c r="D1478" s="10" t="s">
        <v>16</v>
      </c>
      <c r="E1478" s="11" t="str">
        <f ca="1">IFERROR(__xludf.DUMMYFUNCTION("FILTER(Colegios!$B$2:$B2419,Colegios!$A$2:$A2419=L1478)"),"64871-B")</f>
        <v>64871-B</v>
      </c>
      <c r="F1478" s="11" t="s">
        <v>17</v>
      </c>
      <c r="G1478" s="10" t="s">
        <v>24</v>
      </c>
      <c r="H1478" s="11" t="s">
        <v>23</v>
      </c>
      <c r="I1478" s="11" t="s">
        <v>113</v>
      </c>
      <c r="J1478" s="12" t="str">
        <f ca="1">IFERROR(__xludf.DUMMYFUNCTION("FILTER('CLASFICACIÓN'!$F$3:$F2419,'CLASFICACIÓN'!$G$3:$G2419=M1478)"),"2023 Y 2024")</f>
        <v>2023 Y 2024</v>
      </c>
      <c r="K1478" s="12" t="s">
        <v>2011</v>
      </c>
      <c r="L1478" s="11" t="s">
        <v>118</v>
      </c>
      <c r="M1478" s="12" t="str">
        <f t="shared" ca="1" si="5"/>
        <v>64871-B4 Primaria</v>
      </c>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4"/>
    </row>
    <row r="1479" spans="1:36" ht="12.5" x14ac:dyDescent="0.25">
      <c r="A1479" s="9">
        <v>102</v>
      </c>
      <c r="B1479" s="10" t="s">
        <v>44</v>
      </c>
      <c r="C1479" s="10" t="s">
        <v>15</v>
      </c>
      <c r="D1479" s="10" t="s">
        <v>16</v>
      </c>
      <c r="E1479" s="11" t="str">
        <f ca="1">IFERROR(__xludf.DUMMYFUNCTION("FILTER(Colegios!$B$2:$B2419,Colegios!$A$2:$A2419=L1479)"),"64871-B")</f>
        <v>64871-B</v>
      </c>
      <c r="F1479" s="11" t="s">
        <v>17</v>
      </c>
      <c r="G1479" s="10" t="s">
        <v>24</v>
      </c>
      <c r="H1479" s="11" t="s">
        <v>19</v>
      </c>
      <c r="I1479" s="11" t="s">
        <v>113</v>
      </c>
      <c r="J1479" s="12" t="str">
        <f ca="1">IFERROR(__xludf.DUMMYFUNCTION("FILTER('CLASFICACIÓN'!$F$3:$F2419,'CLASFICACIÓN'!$G$3:$G2419=M1479)"),"2023 Y 2024")</f>
        <v>2023 Y 2024</v>
      </c>
      <c r="K1479" s="12" t="s">
        <v>2011</v>
      </c>
      <c r="L1479" s="11" t="s">
        <v>118</v>
      </c>
      <c r="M1479" s="12" t="str">
        <f t="shared" ca="1" si="5"/>
        <v>64871-B4 Primaria</v>
      </c>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4"/>
    </row>
    <row r="1480" spans="1:36" ht="12.5" x14ac:dyDescent="0.25">
      <c r="A1480" s="9">
        <v>103</v>
      </c>
      <c r="B1480" s="10" t="s">
        <v>44</v>
      </c>
      <c r="C1480" s="10" t="s">
        <v>15</v>
      </c>
      <c r="D1480" s="10" t="s">
        <v>16</v>
      </c>
      <c r="E1480" s="11" t="str">
        <f ca="1">IFERROR(__xludf.DUMMYFUNCTION("FILTER(Colegios!$B$2:$B2419,Colegios!$A$2:$A2419=L1480)"),"64871-B")</f>
        <v>64871-B</v>
      </c>
      <c r="F1480" s="11" t="s">
        <v>17</v>
      </c>
      <c r="G1480" s="10" t="s">
        <v>18</v>
      </c>
      <c r="H1480" s="11" t="s">
        <v>23</v>
      </c>
      <c r="I1480" s="11" t="s">
        <v>113</v>
      </c>
      <c r="J1480" s="12" t="str">
        <f ca="1">IFERROR(__xludf.DUMMYFUNCTION("FILTER('CLASFICACIÓN'!$F$3:$F2419,'CLASFICACIÓN'!$G$3:$G2419=M1480)"),"2023 Y 2024")</f>
        <v>2023 Y 2024</v>
      </c>
      <c r="K1480" s="12" t="s">
        <v>2011</v>
      </c>
      <c r="L1480" s="11" t="s">
        <v>118</v>
      </c>
      <c r="M1480" s="12" t="str">
        <f t="shared" ca="1" si="5"/>
        <v>64871-B4 Primaria</v>
      </c>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4"/>
    </row>
    <row r="1481" spans="1:36" ht="12.5" x14ac:dyDescent="0.25">
      <c r="A1481" s="9">
        <v>104</v>
      </c>
      <c r="B1481" s="10" t="s">
        <v>44</v>
      </c>
      <c r="C1481" s="10" t="s">
        <v>15</v>
      </c>
      <c r="D1481" s="10" t="s">
        <v>16</v>
      </c>
      <c r="E1481" s="11" t="str">
        <f ca="1">IFERROR(__xludf.DUMMYFUNCTION("FILTER(Colegios!$B$2:$B2419,Colegios!$A$2:$A2419=L1481)"),"64871-B")</f>
        <v>64871-B</v>
      </c>
      <c r="F1481" s="11" t="s">
        <v>17</v>
      </c>
      <c r="G1481" s="10" t="s">
        <v>24</v>
      </c>
      <c r="H1481" s="11" t="s">
        <v>23</v>
      </c>
      <c r="I1481" s="11" t="s">
        <v>113</v>
      </c>
      <c r="J1481" s="12" t="str">
        <f ca="1">IFERROR(__xludf.DUMMYFUNCTION("FILTER('CLASFICACIÓN'!$F$3:$F2419,'CLASFICACIÓN'!$G$3:$G2419=M1481)"),"2023 Y 2024")</f>
        <v>2023 Y 2024</v>
      </c>
      <c r="K1481" s="12" t="s">
        <v>2011</v>
      </c>
      <c r="L1481" s="11" t="s">
        <v>118</v>
      </c>
      <c r="M1481" s="12" t="str">
        <f t="shared" ca="1" si="5"/>
        <v>64871-B4 Primaria</v>
      </c>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4"/>
    </row>
    <row r="1482" spans="1:36" ht="12.5" x14ac:dyDescent="0.25">
      <c r="A1482" s="9">
        <v>105</v>
      </c>
      <c r="B1482" s="10" t="s">
        <v>44</v>
      </c>
      <c r="C1482" s="10" t="s">
        <v>15</v>
      </c>
      <c r="D1482" s="10" t="s">
        <v>16</v>
      </c>
      <c r="E1482" s="11" t="str">
        <f ca="1">IFERROR(__xludf.DUMMYFUNCTION("FILTER(Colegios!$B$2:$B2419,Colegios!$A$2:$A2419=L1482)"),"64871-B")</f>
        <v>64871-B</v>
      </c>
      <c r="F1482" s="11" t="s">
        <v>17</v>
      </c>
      <c r="G1482" s="10" t="s">
        <v>24</v>
      </c>
      <c r="H1482" s="11" t="s">
        <v>23</v>
      </c>
      <c r="I1482" s="11" t="s">
        <v>113</v>
      </c>
      <c r="J1482" s="12" t="str">
        <f ca="1">IFERROR(__xludf.DUMMYFUNCTION("FILTER('CLASFICACIÓN'!$F$3:$F2419,'CLASFICACIÓN'!$G$3:$G2419=M1482)"),"2023 Y 2024")</f>
        <v>2023 Y 2024</v>
      </c>
      <c r="K1482" s="12" t="s">
        <v>2011</v>
      </c>
      <c r="L1482" s="11" t="s">
        <v>118</v>
      </c>
      <c r="M1482" s="12" t="str">
        <f t="shared" ca="1" si="5"/>
        <v>64871-B4 Primaria</v>
      </c>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4"/>
    </row>
    <row r="1483" spans="1:36" ht="12.5" x14ac:dyDescent="0.25">
      <c r="A1483" s="9">
        <v>106</v>
      </c>
      <c r="B1483" s="10" t="s">
        <v>44</v>
      </c>
      <c r="C1483" s="10" t="s">
        <v>15</v>
      </c>
      <c r="D1483" s="10" t="s">
        <v>16</v>
      </c>
      <c r="E1483" s="11" t="str">
        <f ca="1">IFERROR(__xludf.DUMMYFUNCTION("FILTER(Colegios!$B$2:$B2419,Colegios!$A$2:$A2419=L1483)"),"64871-B")</f>
        <v>64871-B</v>
      </c>
      <c r="F1483" s="11" t="s">
        <v>17</v>
      </c>
      <c r="G1483" s="10" t="s">
        <v>18</v>
      </c>
      <c r="H1483" s="11" t="s">
        <v>19</v>
      </c>
      <c r="I1483" s="11" t="s">
        <v>113</v>
      </c>
      <c r="J1483" s="12" t="str">
        <f ca="1">IFERROR(__xludf.DUMMYFUNCTION("FILTER('CLASFICACIÓN'!$F$3:$F2419,'CLASFICACIÓN'!$G$3:$G2419=M1483)"),"2023 Y 2024")</f>
        <v>2023 Y 2024</v>
      </c>
      <c r="K1483" s="12" t="s">
        <v>2011</v>
      </c>
      <c r="L1483" s="11" t="s">
        <v>118</v>
      </c>
      <c r="M1483" s="12" t="str">
        <f t="shared" ca="1" si="5"/>
        <v>64871-B4 Primaria</v>
      </c>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4"/>
    </row>
    <row r="1484" spans="1:36" ht="12.5" x14ac:dyDescent="0.25">
      <c r="A1484" s="9">
        <v>107</v>
      </c>
      <c r="B1484" s="10" t="s">
        <v>44</v>
      </c>
      <c r="C1484" s="10" t="s">
        <v>15</v>
      </c>
      <c r="D1484" s="10" t="s">
        <v>16</v>
      </c>
      <c r="E1484" s="11" t="str">
        <f ca="1">IFERROR(__xludf.DUMMYFUNCTION("FILTER(Colegios!$B$2:$B2419,Colegios!$A$2:$A2419=L1484)"),"64871-B")</f>
        <v>64871-B</v>
      </c>
      <c r="F1484" s="11" t="s">
        <v>17</v>
      </c>
      <c r="G1484" s="10" t="s">
        <v>24</v>
      </c>
      <c r="H1484" s="11" t="s">
        <v>23</v>
      </c>
      <c r="I1484" s="11" t="s">
        <v>113</v>
      </c>
      <c r="J1484" s="12" t="str">
        <f ca="1">IFERROR(__xludf.DUMMYFUNCTION("FILTER('CLASFICACIÓN'!$F$3:$F2419,'CLASFICACIÓN'!$G$3:$G2419=M1484)"),"2023 Y 2024")</f>
        <v>2023 Y 2024</v>
      </c>
      <c r="K1484" s="12" t="s">
        <v>2011</v>
      </c>
      <c r="L1484" s="11" t="s">
        <v>118</v>
      </c>
      <c r="M1484" s="12" t="str">
        <f t="shared" ca="1" si="5"/>
        <v>64871-B4 Primaria</v>
      </c>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4"/>
    </row>
    <row r="1485" spans="1:36" ht="12.5" x14ac:dyDescent="0.25">
      <c r="A1485" s="9">
        <v>108</v>
      </c>
      <c r="B1485" s="10" t="s">
        <v>44</v>
      </c>
      <c r="C1485" s="10" t="s">
        <v>15</v>
      </c>
      <c r="D1485" s="10" t="s">
        <v>16</v>
      </c>
      <c r="E1485" s="11" t="str">
        <f ca="1">IFERROR(__xludf.DUMMYFUNCTION("FILTER(Colegios!$B$2:$B2419,Colegios!$A$2:$A2419=L1485)"),"64871-B")</f>
        <v>64871-B</v>
      </c>
      <c r="F1485" s="11" t="s">
        <v>17</v>
      </c>
      <c r="G1485" s="10" t="s">
        <v>18</v>
      </c>
      <c r="H1485" s="11" t="s">
        <v>19</v>
      </c>
      <c r="I1485" s="11" t="s">
        <v>113</v>
      </c>
      <c r="J1485" s="12" t="str">
        <f ca="1">IFERROR(__xludf.DUMMYFUNCTION("FILTER('CLASFICACIÓN'!$F$3:$F2419,'CLASFICACIÓN'!$G$3:$G2419=M1485)"),"2023 Y 2024")</f>
        <v>2023 Y 2024</v>
      </c>
      <c r="K1485" s="12" t="s">
        <v>2011</v>
      </c>
      <c r="L1485" s="11" t="s">
        <v>118</v>
      </c>
      <c r="M1485" s="12" t="str">
        <f t="shared" ca="1" si="5"/>
        <v>64871-B4 Primaria</v>
      </c>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4"/>
    </row>
    <row r="1486" spans="1:36" ht="12.5" x14ac:dyDescent="0.25">
      <c r="A1486" s="9">
        <v>109</v>
      </c>
      <c r="B1486" s="10" t="s">
        <v>44</v>
      </c>
      <c r="C1486" s="10" t="s">
        <v>15</v>
      </c>
      <c r="D1486" s="10" t="s">
        <v>16</v>
      </c>
      <c r="E1486" s="11" t="str">
        <f ca="1">IFERROR(__xludf.DUMMYFUNCTION("FILTER(Colegios!$B$2:$B2419,Colegios!$A$2:$A2419=L1486)"),"64871-B")</f>
        <v>64871-B</v>
      </c>
      <c r="F1486" s="11" t="s">
        <v>17</v>
      </c>
      <c r="G1486" s="10" t="s">
        <v>24</v>
      </c>
      <c r="H1486" s="11" t="s">
        <v>19</v>
      </c>
      <c r="I1486" s="11" t="s">
        <v>113</v>
      </c>
      <c r="J1486" s="12" t="str">
        <f ca="1">IFERROR(__xludf.DUMMYFUNCTION("FILTER('CLASFICACIÓN'!$F$3:$F2419,'CLASFICACIÓN'!$G$3:$G2419=M1486)"),"2023 Y 2024")</f>
        <v>2023 Y 2024</v>
      </c>
      <c r="K1486" s="12" t="s">
        <v>2011</v>
      </c>
      <c r="L1486" s="11" t="s">
        <v>118</v>
      </c>
      <c r="M1486" s="12" t="str">
        <f t="shared" ca="1" si="5"/>
        <v>64871-B4 Primaria</v>
      </c>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4"/>
    </row>
    <row r="1487" spans="1:36" ht="12.5" x14ac:dyDescent="0.25">
      <c r="A1487" s="9">
        <v>110</v>
      </c>
      <c r="B1487" s="10" t="s">
        <v>44</v>
      </c>
      <c r="C1487" s="10" t="s">
        <v>15</v>
      </c>
      <c r="D1487" s="10" t="s">
        <v>16</v>
      </c>
      <c r="E1487" s="11" t="str">
        <f ca="1">IFERROR(__xludf.DUMMYFUNCTION("FILTER(Colegios!$B$2:$B2419,Colegios!$A$2:$A2419=L1487)"),"64871-B")</f>
        <v>64871-B</v>
      </c>
      <c r="F1487" s="11" t="s">
        <v>17</v>
      </c>
      <c r="G1487" s="10" t="s">
        <v>18</v>
      </c>
      <c r="H1487" s="11" t="s">
        <v>23</v>
      </c>
      <c r="I1487" s="11" t="s">
        <v>113</v>
      </c>
      <c r="J1487" s="12" t="str">
        <f ca="1">IFERROR(__xludf.DUMMYFUNCTION("FILTER('CLASFICACIÓN'!$F$3:$F2419,'CLASFICACIÓN'!$G$3:$G2419=M1487)"),"2023 Y 2024")</f>
        <v>2023 Y 2024</v>
      </c>
      <c r="K1487" s="12" t="s">
        <v>2011</v>
      </c>
      <c r="L1487" s="11" t="s">
        <v>118</v>
      </c>
      <c r="M1487" s="12" t="str">
        <f t="shared" ca="1" si="5"/>
        <v>64871-B4 Primaria</v>
      </c>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4"/>
    </row>
    <row r="1488" spans="1:36" ht="12.5" x14ac:dyDescent="0.25">
      <c r="A1488" s="9">
        <v>111</v>
      </c>
      <c r="B1488" s="10" t="s">
        <v>44</v>
      </c>
      <c r="C1488" s="10" t="s">
        <v>15</v>
      </c>
      <c r="D1488" s="10" t="s">
        <v>45</v>
      </c>
      <c r="E1488" s="11" t="str">
        <f ca="1">IFERROR(__xludf.DUMMYFUNCTION("FILTER(Colegios!$B$2:$B2419,Colegios!$A$2:$A2419=L1488)"),"64996")</f>
        <v>64996</v>
      </c>
      <c r="F1488" s="11" t="s">
        <v>17</v>
      </c>
      <c r="G1488" s="10" t="s">
        <v>24</v>
      </c>
      <c r="H1488" s="11" t="s">
        <v>19</v>
      </c>
      <c r="I1488" s="11" t="s">
        <v>113</v>
      </c>
      <c r="J1488" s="12" t="str">
        <f ca="1">IFERROR(__xludf.DUMMYFUNCTION("FILTER('CLASFICACIÓN'!$F$3:$F2419,'CLASFICACIÓN'!$G$3:$G2419=M1488)"),"SOLO 2023")</f>
        <v>SOLO 2023</v>
      </c>
      <c r="K1488" s="12" t="s">
        <v>2012</v>
      </c>
      <c r="L1488" s="11" t="s">
        <v>119</v>
      </c>
      <c r="M1488" s="12" t="str">
        <f t="shared" ca="1" si="5"/>
        <v>649962 Primaria</v>
      </c>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4"/>
    </row>
    <row r="1489" spans="1:36" ht="12.5" x14ac:dyDescent="0.25">
      <c r="A1489" s="9">
        <v>112</v>
      </c>
      <c r="B1489" s="10" t="s">
        <v>44</v>
      </c>
      <c r="C1489" s="10" t="s">
        <v>15</v>
      </c>
      <c r="D1489" s="10" t="s">
        <v>16</v>
      </c>
      <c r="E1489" s="11" t="str">
        <f ca="1">IFERROR(__xludf.DUMMYFUNCTION("FILTER(Colegios!$B$2:$B2419,Colegios!$A$2:$A2419=L1489)"),"64996")</f>
        <v>64996</v>
      </c>
      <c r="F1489" s="11" t="s">
        <v>17</v>
      </c>
      <c r="G1489" s="10" t="s">
        <v>18</v>
      </c>
      <c r="H1489" s="11" t="s">
        <v>23</v>
      </c>
      <c r="I1489" s="11" t="s">
        <v>113</v>
      </c>
      <c r="J1489" s="12" t="str">
        <f ca="1">IFERROR(__xludf.DUMMYFUNCTION("FILTER('CLASFICACIÓN'!$F$3:$F2419,'CLASFICACIÓN'!$G$3:$G2419=M1489)"),"SOLO 2023")</f>
        <v>SOLO 2023</v>
      </c>
      <c r="K1489" s="12" t="s">
        <v>2012</v>
      </c>
      <c r="L1489" s="11" t="s">
        <v>119</v>
      </c>
      <c r="M1489" s="12" t="str">
        <f t="shared" ca="1" si="5"/>
        <v>649964 Primaria</v>
      </c>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4"/>
    </row>
    <row r="1490" spans="1:36" ht="12.5" x14ac:dyDescent="0.25">
      <c r="A1490" s="9">
        <v>113</v>
      </c>
      <c r="B1490" s="10" t="s">
        <v>44</v>
      </c>
      <c r="C1490" s="10" t="s">
        <v>15</v>
      </c>
      <c r="D1490" s="10" t="s">
        <v>37</v>
      </c>
      <c r="E1490" s="11" t="str">
        <f ca="1">IFERROR(__xludf.DUMMYFUNCTION("FILTER(Colegios!$B$2:$B2419,Colegios!$A$2:$A2419=L1490)"),"64996")</f>
        <v>64996</v>
      </c>
      <c r="F1490" s="11" t="s">
        <v>17</v>
      </c>
      <c r="G1490" s="10" t="s">
        <v>24</v>
      </c>
      <c r="H1490" s="11" t="s">
        <v>23</v>
      </c>
      <c r="I1490" s="11" t="s">
        <v>113</v>
      </c>
      <c r="J1490" s="12" t="str">
        <f ca="1">IFERROR(__xludf.DUMMYFUNCTION("FILTER('CLASFICACIÓN'!$F$3:$F2419,'CLASFICACIÓN'!$G$3:$G2419=M1490)"),"SOLO 2023")</f>
        <v>SOLO 2023</v>
      </c>
      <c r="K1490" s="12" t="s">
        <v>2012</v>
      </c>
      <c r="L1490" s="11" t="s">
        <v>119</v>
      </c>
      <c r="M1490" s="12" t="str">
        <f t="shared" ca="1" si="5"/>
        <v>649966 Primaria</v>
      </c>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4"/>
    </row>
    <row r="1491" spans="1:36" ht="12.5" x14ac:dyDescent="0.25">
      <c r="A1491" s="9">
        <v>114</v>
      </c>
      <c r="B1491" s="10" t="s">
        <v>44</v>
      </c>
      <c r="C1491" s="10" t="s">
        <v>15</v>
      </c>
      <c r="D1491" s="10" t="s">
        <v>37</v>
      </c>
      <c r="E1491" s="11" t="str">
        <f ca="1">IFERROR(__xludf.DUMMYFUNCTION("FILTER(Colegios!$B$2:$B2419,Colegios!$A$2:$A2419=L1491)"),"64996")</f>
        <v>64996</v>
      </c>
      <c r="F1491" s="11" t="s">
        <v>17</v>
      </c>
      <c r="G1491" s="10" t="s">
        <v>24</v>
      </c>
      <c r="H1491" s="11" t="s">
        <v>23</v>
      </c>
      <c r="I1491" s="11" t="s">
        <v>113</v>
      </c>
      <c r="J1491" s="12" t="str">
        <f ca="1">IFERROR(__xludf.DUMMYFUNCTION("FILTER('CLASFICACIÓN'!$F$3:$F2419,'CLASFICACIÓN'!$G$3:$G2419=M1491)"),"SOLO 2023")</f>
        <v>SOLO 2023</v>
      </c>
      <c r="K1491" s="12" t="s">
        <v>2012</v>
      </c>
      <c r="L1491" s="11" t="s">
        <v>119</v>
      </c>
      <c r="M1491" s="12" t="str">
        <f t="shared" ca="1" si="5"/>
        <v>649966 Primaria</v>
      </c>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4"/>
    </row>
    <row r="1492" spans="1:36" ht="12.5" x14ac:dyDescent="0.25">
      <c r="A1492" s="9">
        <v>115</v>
      </c>
      <c r="B1492" s="10" t="s">
        <v>44</v>
      </c>
      <c r="C1492" s="10" t="s">
        <v>15</v>
      </c>
      <c r="D1492" s="10" t="s">
        <v>37</v>
      </c>
      <c r="E1492" s="11" t="str">
        <f ca="1">IFERROR(__xludf.DUMMYFUNCTION("FILTER(Colegios!$B$2:$B2419,Colegios!$A$2:$A2419=L1492)"),"64996")</f>
        <v>64996</v>
      </c>
      <c r="F1492" s="11" t="s">
        <v>17</v>
      </c>
      <c r="G1492" s="10" t="s">
        <v>18</v>
      </c>
      <c r="H1492" s="11" t="s">
        <v>23</v>
      </c>
      <c r="I1492" s="11" t="s">
        <v>113</v>
      </c>
      <c r="J1492" s="12" t="str">
        <f ca="1">IFERROR(__xludf.DUMMYFUNCTION("FILTER('CLASFICACIÓN'!$F$3:$F2419,'CLASFICACIÓN'!$G$3:$G2419=M1492)"),"SOLO 2023")</f>
        <v>SOLO 2023</v>
      </c>
      <c r="K1492" s="12" t="s">
        <v>2012</v>
      </c>
      <c r="L1492" s="11" t="s">
        <v>119</v>
      </c>
      <c r="M1492" s="12" t="str">
        <f t="shared" ca="1" si="5"/>
        <v>649966 Primaria</v>
      </c>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4"/>
    </row>
    <row r="1493" spans="1:36" ht="12.5" x14ac:dyDescent="0.25">
      <c r="A1493" s="9">
        <v>116</v>
      </c>
      <c r="B1493" s="10" t="s">
        <v>44</v>
      </c>
      <c r="C1493" s="10" t="s">
        <v>15</v>
      </c>
      <c r="D1493" s="10" t="s">
        <v>45</v>
      </c>
      <c r="E1493" s="11" t="str">
        <f ca="1">IFERROR(__xludf.DUMMYFUNCTION("FILTER(Colegios!$B$2:$B2419,Colegios!$A$2:$A2419=L1493)"),"64028")</f>
        <v>64028</v>
      </c>
      <c r="F1493" s="11" t="s">
        <v>17</v>
      </c>
      <c r="G1493" s="10" t="s">
        <v>24</v>
      </c>
      <c r="H1493" s="11" t="s">
        <v>19</v>
      </c>
      <c r="I1493" s="11" t="s">
        <v>113</v>
      </c>
      <c r="J1493" s="12" t="str">
        <f ca="1">IFERROR(__xludf.DUMMYFUNCTION("FILTER('CLASFICACIÓN'!$F$3:$F2419,'CLASFICACIÓN'!$G$3:$G2419=M1493)"),"LOS 3 AÑOS")</f>
        <v>LOS 3 AÑOS</v>
      </c>
      <c r="K1493" s="12" t="s">
        <v>2011</v>
      </c>
      <c r="L1493" s="11" t="s">
        <v>53</v>
      </c>
      <c r="M1493" s="12" t="str">
        <f t="shared" ca="1" si="5"/>
        <v>640282 Primaria</v>
      </c>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4"/>
    </row>
    <row r="1494" spans="1:36" ht="12.5" x14ac:dyDescent="0.25">
      <c r="A1494" s="9">
        <v>117</v>
      </c>
      <c r="B1494" s="10" t="s">
        <v>44</v>
      </c>
      <c r="C1494" s="10" t="s">
        <v>15</v>
      </c>
      <c r="D1494" s="10" t="s">
        <v>45</v>
      </c>
      <c r="E1494" s="11" t="str">
        <f ca="1">IFERROR(__xludf.DUMMYFUNCTION("FILTER(Colegios!$B$2:$B2419,Colegios!$A$2:$A2419=L1494)"),"64028")</f>
        <v>64028</v>
      </c>
      <c r="F1494" s="11" t="s">
        <v>17</v>
      </c>
      <c r="G1494" s="10" t="s">
        <v>24</v>
      </c>
      <c r="H1494" s="11" t="s">
        <v>23</v>
      </c>
      <c r="I1494" s="11" t="s">
        <v>113</v>
      </c>
      <c r="J1494" s="12" t="str">
        <f ca="1">IFERROR(__xludf.DUMMYFUNCTION("FILTER('CLASFICACIÓN'!$F$3:$F2419,'CLASFICACIÓN'!$G$3:$G2419=M1494)"),"LOS 3 AÑOS")</f>
        <v>LOS 3 AÑOS</v>
      </c>
      <c r="K1494" s="12" t="s">
        <v>2011</v>
      </c>
      <c r="L1494" s="11" t="s">
        <v>53</v>
      </c>
      <c r="M1494" s="12" t="str">
        <f t="shared" ca="1" si="5"/>
        <v>640282 Primaria</v>
      </c>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4"/>
    </row>
    <row r="1495" spans="1:36" ht="12.5" x14ac:dyDescent="0.25">
      <c r="A1495" s="9">
        <v>118</v>
      </c>
      <c r="B1495" s="10" t="s">
        <v>44</v>
      </c>
      <c r="C1495" s="10" t="s">
        <v>15</v>
      </c>
      <c r="D1495" s="10" t="s">
        <v>45</v>
      </c>
      <c r="E1495" s="11" t="str">
        <f ca="1">IFERROR(__xludf.DUMMYFUNCTION("FILTER(Colegios!$B$2:$B2419,Colegios!$A$2:$A2419=L1495)"),"64028")</f>
        <v>64028</v>
      </c>
      <c r="F1495" s="11" t="s">
        <v>17</v>
      </c>
      <c r="G1495" s="10" t="s">
        <v>24</v>
      </c>
      <c r="H1495" s="11" t="s">
        <v>23</v>
      </c>
      <c r="I1495" s="11" t="s">
        <v>113</v>
      </c>
      <c r="J1495" s="12" t="str">
        <f ca="1">IFERROR(__xludf.DUMMYFUNCTION("FILTER('CLASFICACIÓN'!$F$3:$F2419,'CLASFICACIÓN'!$G$3:$G2419=M1495)"),"LOS 3 AÑOS")</f>
        <v>LOS 3 AÑOS</v>
      </c>
      <c r="K1495" s="12" t="s">
        <v>2011</v>
      </c>
      <c r="L1495" s="11" t="s">
        <v>53</v>
      </c>
      <c r="M1495" s="12" t="str">
        <f t="shared" ca="1" si="5"/>
        <v>640282 Primaria</v>
      </c>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4"/>
    </row>
    <row r="1496" spans="1:36" ht="12.5" x14ac:dyDescent="0.25">
      <c r="A1496" s="9">
        <v>119</v>
      </c>
      <c r="B1496" s="10" t="s">
        <v>44</v>
      </c>
      <c r="C1496" s="10" t="s">
        <v>15</v>
      </c>
      <c r="D1496" s="10" t="s">
        <v>45</v>
      </c>
      <c r="E1496" s="11" t="str">
        <f ca="1">IFERROR(__xludf.DUMMYFUNCTION("FILTER(Colegios!$B$2:$B2419,Colegios!$A$2:$A2419=L1496)"),"64028")</f>
        <v>64028</v>
      </c>
      <c r="F1496" s="11" t="s">
        <v>17</v>
      </c>
      <c r="G1496" s="10" t="s">
        <v>24</v>
      </c>
      <c r="H1496" s="11" t="s">
        <v>23</v>
      </c>
      <c r="I1496" s="11" t="s">
        <v>113</v>
      </c>
      <c r="J1496" s="12" t="str">
        <f ca="1">IFERROR(__xludf.DUMMYFUNCTION("FILTER('CLASFICACIÓN'!$F$3:$F2419,'CLASFICACIÓN'!$G$3:$G2419=M1496)"),"LOS 3 AÑOS")</f>
        <v>LOS 3 AÑOS</v>
      </c>
      <c r="K1496" s="12" t="s">
        <v>2011</v>
      </c>
      <c r="L1496" s="11" t="s">
        <v>53</v>
      </c>
      <c r="M1496" s="12" t="str">
        <f t="shared" ca="1" si="5"/>
        <v>640282 Primaria</v>
      </c>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4"/>
    </row>
    <row r="1497" spans="1:36" ht="12.5" x14ac:dyDescent="0.25">
      <c r="A1497" s="9">
        <v>120</v>
      </c>
      <c r="B1497" s="10" t="s">
        <v>44</v>
      </c>
      <c r="C1497" s="10" t="s">
        <v>15</v>
      </c>
      <c r="D1497" s="10" t="s">
        <v>45</v>
      </c>
      <c r="E1497" s="11" t="str">
        <f ca="1">IFERROR(__xludf.DUMMYFUNCTION("FILTER(Colegios!$B$2:$B2419,Colegios!$A$2:$A2419=L1497)"),"64028")</f>
        <v>64028</v>
      </c>
      <c r="F1497" s="11" t="s">
        <v>17</v>
      </c>
      <c r="G1497" s="10" t="s">
        <v>24</v>
      </c>
      <c r="H1497" s="11" t="s">
        <v>23</v>
      </c>
      <c r="I1497" s="11" t="s">
        <v>113</v>
      </c>
      <c r="J1497" s="12" t="str">
        <f ca="1">IFERROR(__xludf.DUMMYFUNCTION("FILTER('CLASFICACIÓN'!$F$3:$F2419,'CLASFICACIÓN'!$G$3:$G2419=M1497)"),"LOS 3 AÑOS")</f>
        <v>LOS 3 AÑOS</v>
      </c>
      <c r="K1497" s="12" t="s">
        <v>2011</v>
      </c>
      <c r="L1497" s="11" t="s">
        <v>53</v>
      </c>
      <c r="M1497" s="12" t="str">
        <f t="shared" ca="1" si="5"/>
        <v>640282 Primaria</v>
      </c>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4"/>
    </row>
    <row r="1498" spans="1:36" ht="12.5" x14ac:dyDescent="0.25">
      <c r="A1498" s="9">
        <v>121</v>
      </c>
      <c r="B1498" s="10" t="s">
        <v>44</v>
      </c>
      <c r="C1498" s="10" t="s">
        <v>15</v>
      </c>
      <c r="D1498" s="10" t="s">
        <v>45</v>
      </c>
      <c r="E1498" s="11" t="str">
        <f ca="1">IFERROR(__xludf.DUMMYFUNCTION("FILTER(Colegios!$B$2:$B2419,Colegios!$A$2:$A2419=L1498)"),"64028")</f>
        <v>64028</v>
      </c>
      <c r="F1498" s="11" t="s">
        <v>17</v>
      </c>
      <c r="G1498" s="10" t="s">
        <v>18</v>
      </c>
      <c r="H1498" s="11" t="s">
        <v>19</v>
      </c>
      <c r="I1498" s="11" t="s">
        <v>113</v>
      </c>
      <c r="J1498" s="12" t="str">
        <f ca="1">IFERROR(__xludf.DUMMYFUNCTION("FILTER('CLASFICACIÓN'!$F$3:$F2419,'CLASFICACIÓN'!$G$3:$G2419=M1498)"),"LOS 3 AÑOS")</f>
        <v>LOS 3 AÑOS</v>
      </c>
      <c r="K1498" s="12" t="s">
        <v>2011</v>
      </c>
      <c r="L1498" s="11" t="s">
        <v>53</v>
      </c>
      <c r="M1498" s="12" t="str">
        <f t="shared" ca="1" si="5"/>
        <v>640282 Primaria</v>
      </c>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4"/>
    </row>
    <row r="1499" spans="1:36" ht="12.5" x14ac:dyDescent="0.25">
      <c r="A1499" s="9">
        <v>122</v>
      </c>
      <c r="B1499" s="10" t="s">
        <v>44</v>
      </c>
      <c r="C1499" s="10" t="s">
        <v>15</v>
      </c>
      <c r="D1499" s="10" t="s">
        <v>45</v>
      </c>
      <c r="E1499" s="11" t="str">
        <f ca="1">IFERROR(__xludf.DUMMYFUNCTION("FILTER(Colegios!$B$2:$B2419,Colegios!$A$2:$A2419=L1499)"),"64028")</f>
        <v>64028</v>
      </c>
      <c r="F1499" s="11" t="s">
        <v>17</v>
      </c>
      <c r="G1499" s="10" t="s">
        <v>24</v>
      </c>
      <c r="H1499" s="11" t="s">
        <v>19</v>
      </c>
      <c r="I1499" s="11" t="s">
        <v>113</v>
      </c>
      <c r="J1499" s="12" t="str">
        <f ca="1">IFERROR(__xludf.DUMMYFUNCTION("FILTER('CLASFICACIÓN'!$F$3:$F2419,'CLASFICACIÓN'!$G$3:$G2419=M1499)"),"LOS 3 AÑOS")</f>
        <v>LOS 3 AÑOS</v>
      </c>
      <c r="K1499" s="12" t="s">
        <v>2011</v>
      </c>
      <c r="L1499" s="11" t="s">
        <v>53</v>
      </c>
      <c r="M1499" s="12" t="str">
        <f t="shared" ca="1" si="5"/>
        <v>640282 Primaria</v>
      </c>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4"/>
    </row>
    <row r="1500" spans="1:36" ht="12.5" x14ac:dyDescent="0.25">
      <c r="A1500" s="9">
        <v>123</v>
      </c>
      <c r="B1500" s="10" t="s">
        <v>44</v>
      </c>
      <c r="C1500" s="10" t="s">
        <v>15</v>
      </c>
      <c r="D1500" s="10" t="s">
        <v>45</v>
      </c>
      <c r="E1500" s="11" t="str">
        <f ca="1">IFERROR(__xludf.DUMMYFUNCTION("FILTER(Colegios!$B$2:$B2419,Colegios!$A$2:$A2419=L1500)"),"64028")</f>
        <v>64028</v>
      </c>
      <c r="F1500" s="11" t="s">
        <v>17</v>
      </c>
      <c r="G1500" s="10" t="s">
        <v>24</v>
      </c>
      <c r="H1500" s="11" t="s">
        <v>19</v>
      </c>
      <c r="I1500" s="11" t="s">
        <v>113</v>
      </c>
      <c r="J1500" s="12" t="str">
        <f ca="1">IFERROR(__xludf.DUMMYFUNCTION("FILTER('CLASFICACIÓN'!$F$3:$F2419,'CLASFICACIÓN'!$G$3:$G2419=M1500)"),"LOS 3 AÑOS")</f>
        <v>LOS 3 AÑOS</v>
      </c>
      <c r="K1500" s="12" t="s">
        <v>2011</v>
      </c>
      <c r="L1500" s="11" t="s">
        <v>53</v>
      </c>
      <c r="M1500" s="12" t="str">
        <f t="shared" ca="1" si="5"/>
        <v>640282 Primaria</v>
      </c>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4"/>
    </row>
    <row r="1501" spans="1:36" ht="12.5" x14ac:dyDescent="0.25">
      <c r="A1501" s="9">
        <v>124</v>
      </c>
      <c r="B1501" s="10" t="s">
        <v>44</v>
      </c>
      <c r="C1501" s="10" t="s">
        <v>15</v>
      </c>
      <c r="D1501" s="10" t="s">
        <v>45</v>
      </c>
      <c r="E1501" s="11" t="str">
        <f ca="1">IFERROR(__xludf.DUMMYFUNCTION("FILTER(Colegios!$B$2:$B2419,Colegios!$A$2:$A2419=L1501)"),"64028")</f>
        <v>64028</v>
      </c>
      <c r="F1501" s="11" t="s">
        <v>17</v>
      </c>
      <c r="G1501" s="10" t="s">
        <v>24</v>
      </c>
      <c r="H1501" s="11" t="s">
        <v>23</v>
      </c>
      <c r="I1501" s="11" t="s">
        <v>113</v>
      </c>
      <c r="J1501" s="12" t="str">
        <f ca="1">IFERROR(__xludf.DUMMYFUNCTION("FILTER('CLASFICACIÓN'!$F$3:$F2419,'CLASFICACIÓN'!$G$3:$G2419=M1501)"),"LOS 3 AÑOS")</f>
        <v>LOS 3 AÑOS</v>
      </c>
      <c r="K1501" s="12" t="s">
        <v>2011</v>
      </c>
      <c r="L1501" s="11" t="s">
        <v>53</v>
      </c>
      <c r="M1501" s="12" t="str">
        <f t="shared" ca="1" si="5"/>
        <v>640282 Primaria</v>
      </c>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4"/>
    </row>
    <row r="1502" spans="1:36" ht="12.5" x14ac:dyDescent="0.25">
      <c r="A1502" s="9">
        <v>125</v>
      </c>
      <c r="B1502" s="10" t="s">
        <v>44</v>
      </c>
      <c r="C1502" s="10" t="s">
        <v>15</v>
      </c>
      <c r="D1502" s="10" t="s">
        <v>45</v>
      </c>
      <c r="E1502" s="11" t="str">
        <f ca="1">IFERROR(__xludf.DUMMYFUNCTION("FILTER(Colegios!$B$2:$B2419,Colegios!$A$2:$A2419=L1502)"),"64028")</f>
        <v>64028</v>
      </c>
      <c r="F1502" s="11" t="s">
        <v>17</v>
      </c>
      <c r="G1502" s="10" t="s">
        <v>24</v>
      </c>
      <c r="H1502" s="11" t="s">
        <v>23</v>
      </c>
      <c r="I1502" s="11" t="s">
        <v>113</v>
      </c>
      <c r="J1502" s="12" t="str">
        <f ca="1">IFERROR(__xludf.DUMMYFUNCTION("FILTER('CLASFICACIÓN'!$F$3:$F2419,'CLASFICACIÓN'!$G$3:$G2419=M1502)"),"LOS 3 AÑOS")</f>
        <v>LOS 3 AÑOS</v>
      </c>
      <c r="K1502" s="12" t="s">
        <v>2011</v>
      </c>
      <c r="L1502" s="11" t="s">
        <v>53</v>
      </c>
      <c r="M1502" s="12" t="str">
        <f t="shared" ca="1" si="5"/>
        <v>640282 Primaria</v>
      </c>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4"/>
    </row>
    <row r="1503" spans="1:36" ht="12.5" x14ac:dyDescent="0.25">
      <c r="A1503" s="9">
        <v>126</v>
      </c>
      <c r="B1503" s="10" t="s">
        <v>44</v>
      </c>
      <c r="C1503" s="10" t="s">
        <v>15</v>
      </c>
      <c r="D1503" s="10" t="s">
        <v>45</v>
      </c>
      <c r="E1503" s="11" t="str">
        <f ca="1">IFERROR(__xludf.DUMMYFUNCTION("FILTER(Colegios!$B$2:$B2419,Colegios!$A$2:$A2419=L1503)"),"64028")</f>
        <v>64028</v>
      </c>
      <c r="F1503" s="11" t="s">
        <v>17</v>
      </c>
      <c r="G1503" s="10" t="s">
        <v>24</v>
      </c>
      <c r="H1503" s="11" t="s">
        <v>23</v>
      </c>
      <c r="I1503" s="11" t="s">
        <v>113</v>
      </c>
      <c r="J1503" s="12" t="str">
        <f ca="1">IFERROR(__xludf.DUMMYFUNCTION("FILTER('CLASFICACIÓN'!$F$3:$F2419,'CLASFICACIÓN'!$G$3:$G2419=M1503)"),"LOS 3 AÑOS")</f>
        <v>LOS 3 AÑOS</v>
      </c>
      <c r="K1503" s="12" t="s">
        <v>2011</v>
      </c>
      <c r="L1503" s="11" t="s">
        <v>53</v>
      </c>
      <c r="M1503" s="12" t="str">
        <f t="shared" ca="1" si="5"/>
        <v>640282 Primaria</v>
      </c>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4"/>
    </row>
    <row r="1504" spans="1:36" ht="12.5" x14ac:dyDescent="0.25">
      <c r="A1504" s="9">
        <v>127</v>
      </c>
      <c r="B1504" s="10" t="s">
        <v>44</v>
      </c>
      <c r="C1504" s="10" t="s">
        <v>15</v>
      </c>
      <c r="D1504" s="10" t="s">
        <v>45</v>
      </c>
      <c r="E1504" s="11" t="str">
        <f ca="1">IFERROR(__xludf.DUMMYFUNCTION("FILTER(Colegios!$B$2:$B2419,Colegios!$A$2:$A2419=L1504)"),"64028")</f>
        <v>64028</v>
      </c>
      <c r="F1504" s="11" t="s">
        <v>17</v>
      </c>
      <c r="G1504" s="10" t="s">
        <v>24</v>
      </c>
      <c r="H1504" s="11" t="s">
        <v>23</v>
      </c>
      <c r="I1504" s="11" t="s">
        <v>113</v>
      </c>
      <c r="J1504" s="12" t="str">
        <f ca="1">IFERROR(__xludf.DUMMYFUNCTION("FILTER('CLASFICACIÓN'!$F$3:$F2419,'CLASFICACIÓN'!$G$3:$G2419=M1504)"),"LOS 3 AÑOS")</f>
        <v>LOS 3 AÑOS</v>
      </c>
      <c r="K1504" s="12" t="s">
        <v>2011</v>
      </c>
      <c r="L1504" s="11" t="s">
        <v>53</v>
      </c>
      <c r="M1504" s="12" t="str">
        <f t="shared" ca="1" si="5"/>
        <v>640282 Primaria</v>
      </c>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4"/>
    </row>
    <row r="1505" spans="1:36" ht="12.5" x14ac:dyDescent="0.25">
      <c r="A1505" s="9">
        <v>128</v>
      </c>
      <c r="B1505" s="10" t="s">
        <v>44</v>
      </c>
      <c r="C1505" s="10" t="s">
        <v>15</v>
      </c>
      <c r="D1505" s="10" t="s">
        <v>45</v>
      </c>
      <c r="E1505" s="11" t="str">
        <f ca="1">IFERROR(__xludf.DUMMYFUNCTION("FILTER(Colegios!$B$2:$B2419,Colegios!$A$2:$A2419=L1505)"),"64028")</f>
        <v>64028</v>
      </c>
      <c r="F1505" s="11" t="s">
        <v>17</v>
      </c>
      <c r="G1505" s="10" t="s">
        <v>24</v>
      </c>
      <c r="H1505" s="11" t="s">
        <v>19</v>
      </c>
      <c r="I1505" s="11" t="s">
        <v>113</v>
      </c>
      <c r="J1505" s="12" t="str">
        <f ca="1">IFERROR(__xludf.DUMMYFUNCTION("FILTER('CLASFICACIÓN'!$F$3:$F2419,'CLASFICACIÓN'!$G$3:$G2419=M1505)"),"LOS 3 AÑOS")</f>
        <v>LOS 3 AÑOS</v>
      </c>
      <c r="K1505" s="12" t="s">
        <v>2011</v>
      </c>
      <c r="L1505" s="11" t="s">
        <v>53</v>
      </c>
      <c r="M1505" s="12" t="str">
        <f t="shared" ca="1" si="5"/>
        <v>640282 Primaria</v>
      </c>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4"/>
    </row>
    <row r="1506" spans="1:36" ht="12.5" x14ac:dyDescent="0.25">
      <c r="A1506" s="9">
        <v>129</v>
      </c>
      <c r="B1506" s="10" t="s">
        <v>44</v>
      </c>
      <c r="C1506" s="10" t="s">
        <v>15</v>
      </c>
      <c r="D1506" s="10" t="s">
        <v>45</v>
      </c>
      <c r="E1506" s="11" t="str">
        <f ca="1">IFERROR(__xludf.DUMMYFUNCTION("FILTER(Colegios!$B$2:$B2419,Colegios!$A$2:$A2419=L1506)"),"64028")</f>
        <v>64028</v>
      </c>
      <c r="F1506" s="11" t="s">
        <v>17</v>
      </c>
      <c r="G1506" s="10" t="s">
        <v>24</v>
      </c>
      <c r="H1506" s="11" t="s">
        <v>23</v>
      </c>
      <c r="I1506" s="11" t="s">
        <v>113</v>
      </c>
      <c r="J1506" s="12" t="str">
        <f ca="1">IFERROR(__xludf.DUMMYFUNCTION("FILTER('CLASFICACIÓN'!$F$3:$F2419,'CLASFICACIÓN'!$G$3:$G2419=M1506)"),"LOS 3 AÑOS")</f>
        <v>LOS 3 AÑOS</v>
      </c>
      <c r="K1506" s="12" t="s">
        <v>2011</v>
      </c>
      <c r="L1506" s="11" t="s">
        <v>53</v>
      </c>
      <c r="M1506" s="12" t="str">
        <f t="shared" ca="1" si="5"/>
        <v>640282 Primaria</v>
      </c>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4"/>
    </row>
    <row r="1507" spans="1:36" ht="12.5" x14ac:dyDescent="0.25">
      <c r="A1507" s="9">
        <v>130</v>
      </c>
      <c r="B1507" s="10" t="s">
        <v>44</v>
      </c>
      <c r="C1507" s="10" t="s">
        <v>15</v>
      </c>
      <c r="D1507" s="10" t="s">
        <v>45</v>
      </c>
      <c r="E1507" s="11" t="str">
        <f ca="1">IFERROR(__xludf.DUMMYFUNCTION("FILTER(Colegios!$B$2:$B2419,Colegios!$A$2:$A2419=L1507)"),"64028")</f>
        <v>64028</v>
      </c>
      <c r="F1507" s="11" t="s">
        <v>17</v>
      </c>
      <c r="G1507" s="10" t="s">
        <v>18</v>
      </c>
      <c r="H1507" s="11" t="s">
        <v>23</v>
      </c>
      <c r="I1507" s="11" t="s">
        <v>113</v>
      </c>
      <c r="J1507" s="12" t="str">
        <f ca="1">IFERROR(__xludf.DUMMYFUNCTION("FILTER('CLASFICACIÓN'!$F$3:$F2419,'CLASFICACIÓN'!$G$3:$G2419=M1507)"),"LOS 3 AÑOS")</f>
        <v>LOS 3 AÑOS</v>
      </c>
      <c r="K1507" s="12" t="s">
        <v>2011</v>
      </c>
      <c r="L1507" s="11" t="s">
        <v>53</v>
      </c>
      <c r="M1507" s="12" t="str">
        <f t="shared" ca="1" si="5"/>
        <v>640282 Primaria</v>
      </c>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4"/>
    </row>
    <row r="1508" spans="1:36" ht="12.5" x14ac:dyDescent="0.25">
      <c r="A1508" s="9">
        <v>131</v>
      </c>
      <c r="B1508" s="10" t="s">
        <v>44</v>
      </c>
      <c r="C1508" s="10" t="s">
        <v>15</v>
      </c>
      <c r="D1508" s="10" t="s">
        <v>16</v>
      </c>
      <c r="E1508" s="11" t="str">
        <f ca="1">IFERROR(__xludf.DUMMYFUNCTION("FILTER(Colegios!$B$2:$B2419,Colegios!$A$2:$A2419=L1508)"),"64028")</f>
        <v>64028</v>
      </c>
      <c r="F1508" s="11" t="s">
        <v>17</v>
      </c>
      <c r="G1508" s="10" t="s">
        <v>18</v>
      </c>
      <c r="H1508" s="11" t="s">
        <v>19</v>
      </c>
      <c r="I1508" s="11" t="s">
        <v>113</v>
      </c>
      <c r="J1508" s="12" t="str">
        <f ca="1">IFERROR(__xludf.DUMMYFUNCTION("FILTER('CLASFICACIÓN'!$F$3:$F2419,'CLASFICACIÓN'!$G$3:$G2419=M1508)"),"LOS 3 AÑOS")</f>
        <v>LOS 3 AÑOS</v>
      </c>
      <c r="K1508" s="12" t="s">
        <v>2011</v>
      </c>
      <c r="L1508" s="11" t="s">
        <v>53</v>
      </c>
      <c r="M1508" s="12" t="str">
        <f t="shared" ca="1" si="5"/>
        <v>640284 Primaria</v>
      </c>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4"/>
    </row>
    <row r="1509" spans="1:36" ht="12.5" x14ac:dyDescent="0.25">
      <c r="A1509" s="9">
        <v>132</v>
      </c>
      <c r="B1509" s="10" t="s">
        <v>44</v>
      </c>
      <c r="C1509" s="10" t="s">
        <v>15</v>
      </c>
      <c r="D1509" s="10" t="s">
        <v>16</v>
      </c>
      <c r="E1509" s="11" t="str">
        <f ca="1">IFERROR(__xludf.DUMMYFUNCTION("FILTER(Colegios!$B$2:$B2419,Colegios!$A$2:$A2419=L1509)"),"64028")</f>
        <v>64028</v>
      </c>
      <c r="F1509" s="11" t="s">
        <v>17</v>
      </c>
      <c r="G1509" s="10" t="s">
        <v>24</v>
      </c>
      <c r="H1509" s="11" t="s">
        <v>19</v>
      </c>
      <c r="I1509" s="11" t="s">
        <v>113</v>
      </c>
      <c r="J1509" s="12" t="str">
        <f ca="1">IFERROR(__xludf.DUMMYFUNCTION("FILTER('CLASFICACIÓN'!$F$3:$F2419,'CLASFICACIÓN'!$G$3:$G2419=M1509)"),"LOS 3 AÑOS")</f>
        <v>LOS 3 AÑOS</v>
      </c>
      <c r="K1509" s="12" t="s">
        <v>2011</v>
      </c>
      <c r="L1509" s="11" t="s">
        <v>53</v>
      </c>
      <c r="M1509" s="12" t="str">
        <f t="shared" ca="1" si="5"/>
        <v>640284 Primaria</v>
      </c>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4"/>
    </row>
    <row r="1510" spans="1:36" ht="12.5" x14ac:dyDescent="0.25">
      <c r="A1510" s="9">
        <v>133</v>
      </c>
      <c r="B1510" s="10" t="s">
        <v>44</v>
      </c>
      <c r="C1510" s="10" t="s">
        <v>15</v>
      </c>
      <c r="D1510" s="10" t="s">
        <v>16</v>
      </c>
      <c r="E1510" s="11" t="str">
        <f ca="1">IFERROR(__xludf.DUMMYFUNCTION("FILTER(Colegios!$B$2:$B2419,Colegios!$A$2:$A2419=L1510)"),"64028")</f>
        <v>64028</v>
      </c>
      <c r="F1510" s="11" t="s">
        <v>17</v>
      </c>
      <c r="G1510" s="10" t="s">
        <v>24</v>
      </c>
      <c r="H1510" s="11" t="s">
        <v>23</v>
      </c>
      <c r="I1510" s="11" t="s">
        <v>113</v>
      </c>
      <c r="J1510" s="12" t="str">
        <f ca="1">IFERROR(__xludf.DUMMYFUNCTION("FILTER('CLASFICACIÓN'!$F$3:$F2419,'CLASFICACIÓN'!$G$3:$G2419=M1510)"),"LOS 3 AÑOS")</f>
        <v>LOS 3 AÑOS</v>
      </c>
      <c r="K1510" s="12" t="s">
        <v>2011</v>
      </c>
      <c r="L1510" s="11" t="s">
        <v>53</v>
      </c>
      <c r="M1510" s="12" t="str">
        <f t="shared" ca="1" si="5"/>
        <v>640284 Primaria</v>
      </c>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4"/>
    </row>
    <row r="1511" spans="1:36" ht="12.5" x14ac:dyDescent="0.25">
      <c r="A1511" s="9">
        <v>134</v>
      </c>
      <c r="B1511" s="10" t="s">
        <v>44</v>
      </c>
      <c r="C1511" s="10" t="s">
        <v>15</v>
      </c>
      <c r="D1511" s="10" t="s">
        <v>16</v>
      </c>
      <c r="E1511" s="11" t="str">
        <f ca="1">IFERROR(__xludf.DUMMYFUNCTION("FILTER(Colegios!$B$2:$B2419,Colegios!$A$2:$A2419=L1511)"),"64028")</f>
        <v>64028</v>
      </c>
      <c r="F1511" s="11" t="s">
        <v>17</v>
      </c>
      <c r="G1511" s="10" t="s">
        <v>18</v>
      </c>
      <c r="H1511" s="11" t="s">
        <v>19</v>
      </c>
      <c r="I1511" s="11" t="s">
        <v>113</v>
      </c>
      <c r="J1511" s="12" t="str">
        <f ca="1">IFERROR(__xludf.DUMMYFUNCTION("FILTER('CLASFICACIÓN'!$F$3:$F2419,'CLASFICACIÓN'!$G$3:$G2419=M1511)"),"LOS 3 AÑOS")</f>
        <v>LOS 3 AÑOS</v>
      </c>
      <c r="K1511" s="12" t="s">
        <v>2011</v>
      </c>
      <c r="L1511" s="11" t="s">
        <v>53</v>
      </c>
      <c r="M1511" s="12" t="str">
        <f t="shared" ca="1" si="5"/>
        <v>640284 Primaria</v>
      </c>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4"/>
    </row>
    <row r="1512" spans="1:36" ht="12.5" x14ac:dyDescent="0.25">
      <c r="A1512" s="9">
        <v>135</v>
      </c>
      <c r="B1512" s="10" t="s">
        <v>44</v>
      </c>
      <c r="C1512" s="10" t="s">
        <v>15</v>
      </c>
      <c r="D1512" s="10" t="s">
        <v>16</v>
      </c>
      <c r="E1512" s="11" t="str">
        <f ca="1">IFERROR(__xludf.DUMMYFUNCTION("FILTER(Colegios!$B$2:$B2419,Colegios!$A$2:$A2419=L1512)"),"64028")</f>
        <v>64028</v>
      </c>
      <c r="F1512" s="11" t="s">
        <v>17</v>
      </c>
      <c r="G1512" s="10" t="s">
        <v>24</v>
      </c>
      <c r="H1512" s="11" t="s">
        <v>25</v>
      </c>
      <c r="I1512" s="11" t="s">
        <v>113</v>
      </c>
      <c r="J1512" s="12" t="str">
        <f ca="1">IFERROR(__xludf.DUMMYFUNCTION("FILTER('CLASFICACIÓN'!$F$3:$F2419,'CLASFICACIÓN'!$G$3:$G2419=M1512)"),"LOS 3 AÑOS")</f>
        <v>LOS 3 AÑOS</v>
      </c>
      <c r="K1512" s="12" t="s">
        <v>2011</v>
      </c>
      <c r="L1512" s="11" t="s">
        <v>53</v>
      </c>
      <c r="M1512" s="12" t="str">
        <f t="shared" ca="1" si="5"/>
        <v>640284 Primaria</v>
      </c>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4"/>
    </row>
    <row r="1513" spans="1:36" ht="12.5" x14ac:dyDescent="0.25">
      <c r="A1513" s="9">
        <v>136</v>
      </c>
      <c r="B1513" s="10" t="s">
        <v>83</v>
      </c>
      <c r="C1513" s="10" t="s">
        <v>15</v>
      </c>
      <c r="D1513" s="10" t="s">
        <v>45</v>
      </c>
      <c r="E1513" s="11" t="str">
        <f ca="1">IFERROR(__xludf.DUMMYFUNCTION("FILTER(Colegios!$B$2:$B2419,Colegios!$A$2:$A2419=L1513)"),"86809")</f>
        <v>86809</v>
      </c>
      <c r="F1513" s="11" t="s">
        <v>17</v>
      </c>
      <c r="G1513" s="10" t="s">
        <v>24</v>
      </c>
      <c r="H1513" s="11" t="s">
        <v>23</v>
      </c>
      <c r="I1513" s="11" t="s">
        <v>113</v>
      </c>
      <c r="J1513" s="12" t="str">
        <f ca="1">IFERROR(__xludf.DUMMYFUNCTION("FILTER('CLASFICACIÓN'!$F$3:$F2419,'CLASFICACIÓN'!$G$3:$G2419=M1513)"),"LOS 3 AÑOS")</f>
        <v>LOS 3 AÑOS</v>
      </c>
      <c r="K1513" s="12" t="s">
        <v>2012</v>
      </c>
      <c r="L1513" s="11" t="s">
        <v>120</v>
      </c>
      <c r="M1513" s="12" t="str">
        <f t="shared" ca="1" si="5"/>
        <v>868092 Primaria</v>
      </c>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4"/>
    </row>
    <row r="1514" spans="1:36" ht="12.5" x14ac:dyDescent="0.25">
      <c r="A1514" s="9">
        <v>137</v>
      </c>
      <c r="B1514" s="10" t="s">
        <v>83</v>
      </c>
      <c r="C1514" s="10" t="s">
        <v>15</v>
      </c>
      <c r="D1514" s="10" t="s">
        <v>45</v>
      </c>
      <c r="E1514" s="11" t="str">
        <f ca="1">IFERROR(__xludf.DUMMYFUNCTION("FILTER(Colegios!$B$2:$B2419,Colegios!$A$2:$A2419=L1514)"),"86809")</f>
        <v>86809</v>
      </c>
      <c r="F1514" s="11" t="s">
        <v>17</v>
      </c>
      <c r="G1514" s="10" t="s">
        <v>24</v>
      </c>
      <c r="H1514" s="11" t="s">
        <v>23</v>
      </c>
      <c r="I1514" s="11" t="s">
        <v>113</v>
      </c>
      <c r="J1514" s="12" t="str">
        <f ca="1">IFERROR(__xludf.DUMMYFUNCTION("FILTER('CLASFICACIÓN'!$F$3:$F2419,'CLASFICACIÓN'!$G$3:$G2419=M1514)"),"LOS 3 AÑOS")</f>
        <v>LOS 3 AÑOS</v>
      </c>
      <c r="K1514" s="12" t="s">
        <v>2012</v>
      </c>
      <c r="L1514" s="11" t="s">
        <v>120</v>
      </c>
      <c r="M1514" s="12" t="str">
        <f t="shared" ca="1" si="5"/>
        <v>868092 Primaria</v>
      </c>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4"/>
    </row>
    <row r="1515" spans="1:36" ht="12.5" x14ac:dyDescent="0.25">
      <c r="A1515" s="9">
        <v>138</v>
      </c>
      <c r="B1515" s="10" t="s">
        <v>83</v>
      </c>
      <c r="C1515" s="10" t="s">
        <v>15</v>
      </c>
      <c r="D1515" s="10" t="s">
        <v>45</v>
      </c>
      <c r="E1515" s="11" t="str">
        <f ca="1">IFERROR(__xludf.DUMMYFUNCTION("FILTER(Colegios!$B$2:$B2419,Colegios!$A$2:$A2419=L1515)"),"86809")</f>
        <v>86809</v>
      </c>
      <c r="F1515" s="11" t="s">
        <v>17</v>
      </c>
      <c r="G1515" s="10" t="s">
        <v>18</v>
      </c>
      <c r="H1515" s="11" t="s">
        <v>19</v>
      </c>
      <c r="I1515" s="11" t="s">
        <v>113</v>
      </c>
      <c r="J1515" s="12" t="str">
        <f ca="1">IFERROR(__xludf.DUMMYFUNCTION("FILTER('CLASFICACIÓN'!$F$3:$F2419,'CLASFICACIÓN'!$G$3:$G2419=M1515)"),"LOS 3 AÑOS")</f>
        <v>LOS 3 AÑOS</v>
      </c>
      <c r="K1515" s="12" t="s">
        <v>2012</v>
      </c>
      <c r="L1515" s="11" t="s">
        <v>120</v>
      </c>
      <c r="M1515" s="12" t="str">
        <f t="shared" ca="1" si="5"/>
        <v>868092 Primaria</v>
      </c>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4"/>
    </row>
    <row r="1516" spans="1:36" ht="12.5" x14ac:dyDescent="0.25">
      <c r="A1516" s="9">
        <v>139</v>
      </c>
      <c r="B1516" s="10" t="s">
        <v>83</v>
      </c>
      <c r="C1516" s="10" t="s">
        <v>15</v>
      </c>
      <c r="D1516" s="10" t="s">
        <v>45</v>
      </c>
      <c r="E1516" s="11" t="str">
        <f ca="1">IFERROR(__xludf.DUMMYFUNCTION("FILTER(Colegios!$B$2:$B2419,Colegios!$A$2:$A2419=L1516)"),"88247 SAN ENRIQUE")</f>
        <v>88247 SAN ENRIQUE</v>
      </c>
      <c r="F1516" s="11" t="s">
        <v>17</v>
      </c>
      <c r="G1516" s="10" t="s">
        <v>18</v>
      </c>
      <c r="H1516" s="11" t="s">
        <v>19</v>
      </c>
      <c r="I1516" s="11" t="s">
        <v>113</v>
      </c>
      <c r="J1516" s="12" t="str">
        <f ca="1">IFERROR(__xludf.DUMMYFUNCTION("FILTER('CLASFICACIÓN'!$F$3:$F2419,'CLASFICACIÓN'!$G$3:$G2419=M1516)"),"2023 Y 2024")</f>
        <v>2023 Y 2024</v>
      </c>
      <c r="K1516" s="12" t="s">
        <v>2011</v>
      </c>
      <c r="L1516" s="11" t="s">
        <v>121</v>
      </c>
      <c r="M1516" s="12" t="str">
        <f t="shared" ca="1" si="5"/>
        <v>88247 SAN ENRIQUE2 Primaria</v>
      </c>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4"/>
    </row>
    <row r="1517" spans="1:36" ht="12.5" x14ac:dyDescent="0.25">
      <c r="A1517" s="9">
        <v>140</v>
      </c>
      <c r="B1517" s="10" t="s">
        <v>83</v>
      </c>
      <c r="C1517" s="10" t="s">
        <v>15</v>
      </c>
      <c r="D1517" s="10" t="s">
        <v>45</v>
      </c>
      <c r="E1517" s="11" t="str">
        <f ca="1">IFERROR(__xludf.DUMMYFUNCTION("FILTER(Colegios!$B$2:$B2419,Colegios!$A$2:$A2419=L1517)"),"88247 SAN ENRIQUE")</f>
        <v>88247 SAN ENRIQUE</v>
      </c>
      <c r="F1517" s="11" t="s">
        <v>17</v>
      </c>
      <c r="G1517" s="10" t="s">
        <v>24</v>
      </c>
      <c r="H1517" s="11" t="s">
        <v>19</v>
      </c>
      <c r="I1517" s="11" t="s">
        <v>113</v>
      </c>
      <c r="J1517" s="12" t="str">
        <f ca="1">IFERROR(__xludf.DUMMYFUNCTION("FILTER('CLASFICACIÓN'!$F$3:$F2419,'CLASFICACIÓN'!$G$3:$G2419=M1517)"),"2023 Y 2024")</f>
        <v>2023 Y 2024</v>
      </c>
      <c r="K1517" s="12" t="s">
        <v>2011</v>
      </c>
      <c r="L1517" s="11" t="s">
        <v>121</v>
      </c>
      <c r="M1517" s="12" t="str">
        <f t="shared" ca="1" si="5"/>
        <v>88247 SAN ENRIQUE2 Primaria</v>
      </c>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4"/>
    </row>
    <row r="1518" spans="1:36" ht="12.5" x14ac:dyDescent="0.25">
      <c r="A1518" s="9">
        <v>141</v>
      </c>
      <c r="B1518" s="10" t="s">
        <v>83</v>
      </c>
      <c r="C1518" s="10" t="s">
        <v>15</v>
      </c>
      <c r="D1518" s="10" t="s">
        <v>45</v>
      </c>
      <c r="E1518" s="11" t="str">
        <f ca="1">IFERROR(__xludf.DUMMYFUNCTION("FILTER(Colegios!$B$2:$B2419,Colegios!$A$2:$A2419=L1518)"),"88247 SAN ENRIQUE")</f>
        <v>88247 SAN ENRIQUE</v>
      </c>
      <c r="F1518" s="11" t="s">
        <v>17</v>
      </c>
      <c r="G1518" s="10" t="s">
        <v>24</v>
      </c>
      <c r="H1518" s="11" t="s">
        <v>19</v>
      </c>
      <c r="I1518" s="11" t="s">
        <v>113</v>
      </c>
      <c r="J1518" s="12" t="str">
        <f ca="1">IFERROR(__xludf.DUMMYFUNCTION("FILTER('CLASFICACIÓN'!$F$3:$F2419,'CLASFICACIÓN'!$G$3:$G2419=M1518)"),"2023 Y 2024")</f>
        <v>2023 Y 2024</v>
      </c>
      <c r="K1518" s="12" t="s">
        <v>2011</v>
      </c>
      <c r="L1518" s="11" t="s">
        <v>121</v>
      </c>
      <c r="M1518" s="12" t="str">
        <f t="shared" ca="1" si="5"/>
        <v>88247 SAN ENRIQUE2 Primaria</v>
      </c>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4"/>
    </row>
    <row r="1519" spans="1:36" ht="12.5" x14ac:dyDescent="0.25">
      <c r="A1519" s="9">
        <v>142</v>
      </c>
      <c r="B1519" s="10" t="s">
        <v>83</v>
      </c>
      <c r="C1519" s="10" t="s">
        <v>15</v>
      </c>
      <c r="D1519" s="10" t="s">
        <v>45</v>
      </c>
      <c r="E1519" s="11" t="str">
        <f ca="1">IFERROR(__xludf.DUMMYFUNCTION("FILTER(Colegios!$B$2:$B2419,Colegios!$A$2:$A2419=L1519)"),"88247 SAN ENRIQUE")</f>
        <v>88247 SAN ENRIQUE</v>
      </c>
      <c r="F1519" s="11" t="s">
        <v>17</v>
      </c>
      <c r="G1519" s="10" t="s">
        <v>24</v>
      </c>
      <c r="H1519" s="11" t="s">
        <v>19</v>
      </c>
      <c r="I1519" s="11" t="s">
        <v>113</v>
      </c>
      <c r="J1519" s="12" t="str">
        <f ca="1">IFERROR(__xludf.DUMMYFUNCTION("FILTER('CLASFICACIÓN'!$F$3:$F2419,'CLASFICACIÓN'!$G$3:$G2419=M1519)"),"2023 Y 2024")</f>
        <v>2023 Y 2024</v>
      </c>
      <c r="K1519" s="12" t="s">
        <v>2011</v>
      </c>
      <c r="L1519" s="11" t="s">
        <v>121</v>
      </c>
      <c r="M1519" s="12" t="str">
        <f t="shared" ca="1" si="5"/>
        <v>88247 SAN ENRIQUE2 Primaria</v>
      </c>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4"/>
    </row>
    <row r="1520" spans="1:36" ht="12.5" x14ac:dyDescent="0.25">
      <c r="A1520" s="9">
        <v>143</v>
      </c>
      <c r="B1520" s="10" t="s">
        <v>83</v>
      </c>
      <c r="C1520" s="10" t="s">
        <v>15</v>
      </c>
      <c r="D1520" s="10" t="s">
        <v>16</v>
      </c>
      <c r="E1520" s="11" t="str">
        <f ca="1">IFERROR(__xludf.DUMMYFUNCTION("FILTER(Colegios!$B$2:$B2419,Colegios!$A$2:$A2419=L1520)"),"86809")</f>
        <v>86809</v>
      </c>
      <c r="F1520" s="11" t="s">
        <v>17</v>
      </c>
      <c r="G1520" s="10" t="s">
        <v>24</v>
      </c>
      <c r="H1520" s="11" t="s">
        <v>19</v>
      </c>
      <c r="I1520" s="11" t="s">
        <v>113</v>
      </c>
      <c r="J1520" s="12" t="str">
        <f ca="1">IFERROR(__xludf.DUMMYFUNCTION("FILTER('CLASFICACIÓN'!$F$3:$F2419,'CLASFICACIÓN'!$G$3:$G2419=M1520)"),"LOS 3 AÑOS")</f>
        <v>LOS 3 AÑOS</v>
      </c>
      <c r="K1520" s="12" t="s">
        <v>2012</v>
      </c>
      <c r="L1520" s="11" t="s">
        <v>120</v>
      </c>
      <c r="M1520" s="12" t="str">
        <f t="shared" ca="1" si="5"/>
        <v>868094 Primaria</v>
      </c>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4"/>
    </row>
    <row r="1521" spans="1:36" ht="12.5" x14ac:dyDescent="0.25">
      <c r="A1521" s="9">
        <v>144</v>
      </c>
      <c r="B1521" s="10" t="s">
        <v>83</v>
      </c>
      <c r="C1521" s="10" t="s">
        <v>15</v>
      </c>
      <c r="D1521" s="10" t="s">
        <v>16</v>
      </c>
      <c r="E1521" s="11" t="str">
        <f ca="1">IFERROR(__xludf.DUMMYFUNCTION("FILTER(Colegios!$B$2:$B2419,Colegios!$A$2:$A2419=L1521)"),"86809")</f>
        <v>86809</v>
      </c>
      <c r="F1521" s="11" t="s">
        <v>17</v>
      </c>
      <c r="G1521" s="10" t="s">
        <v>24</v>
      </c>
      <c r="H1521" s="11" t="s">
        <v>19</v>
      </c>
      <c r="I1521" s="11" t="s">
        <v>113</v>
      </c>
      <c r="J1521" s="12" t="str">
        <f ca="1">IFERROR(__xludf.DUMMYFUNCTION("FILTER('CLASFICACIÓN'!$F$3:$F2419,'CLASFICACIÓN'!$G$3:$G2419=M1521)"),"LOS 3 AÑOS")</f>
        <v>LOS 3 AÑOS</v>
      </c>
      <c r="K1521" s="12" t="s">
        <v>2012</v>
      </c>
      <c r="L1521" s="11" t="s">
        <v>120</v>
      </c>
      <c r="M1521" s="12" t="str">
        <f t="shared" ca="1" si="5"/>
        <v>868094 Primaria</v>
      </c>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4"/>
    </row>
    <row r="1522" spans="1:36" ht="12.5" x14ac:dyDescent="0.25">
      <c r="A1522" s="9">
        <v>145</v>
      </c>
      <c r="B1522" s="10" t="s">
        <v>83</v>
      </c>
      <c r="C1522" s="10" t="s">
        <v>15</v>
      </c>
      <c r="D1522" s="10" t="s">
        <v>16</v>
      </c>
      <c r="E1522" s="11" t="str">
        <f ca="1">IFERROR(__xludf.DUMMYFUNCTION("FILTER(Colegios!$B$2:$B2419,Colegios!$A$2:$A2419=L1522)"),"86548 JOSE MARIA VELAZ")</f>
        <v>86548 JOSE MARIA VELAZ</v>
      </c>
      <c r="F1522" s="11" t="s">
        <v>17</v>
      </c>
      <c r="G1522" s="10" t="s">
        <v>18</v>
      </c>
      <c r="H1522" s="11" t="s">
        <v>19</v>
      </c>
      <c r="I1522" s="11" t="s">
        <v>113</v>
      </c>
      <c r="J1522" s="12" t="str">
        <f ca="1">IFERROR(__xludf.DUMMYFUNCTION("FILTER('CLASFICACIÓN'!$F$3:$F2419,'CLASFICACIÓN'!$G$3:$G2419=M1522)"),"2023 Y 2024")</f>
        <v>2023 Y 2024</v>
      </c>
      <c r="K1522" s="12" t="s">
        <v>2011</v>
      </c>
      <c r="L1522" s="11" t="s">
        <v>122</v>
      </c>
      <c r="M1522" s="12" t="str">
        <f t="shared" ca="1" si="5"/>
        <v>86548 JOSE MARIA VELAZ4 Primaria</v>
      </c>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4"/>
    </row>
    <row r="1523" spans="1:36" ht="12.5" x14ac:dyDescent="0.25">
      <c r="A1523" s="9">
        <v>146</v>
      </c>
      <c r="B1523" s="10" t="s">
        <v>83</v>
      </c>
      <c r="C1523" s="10" t="s">
        <v>15</v>
      </c>
      <c r="D1523" s="10" t="s">
        <v>16</v>
      </c>
      <c r="E1523" s="11" t="str">
        <f ca="1">IFERROR(__xludf.DUMMYFUNCTION("FILTER(Colegios!$B$2:$B2419,Colegios!$A$2:$A2419=L1523)"),"86548 JOSE MARIA VELAZ")</f>
        <v>86548 JOSE MARIA VELAZ</v>
      </c>
      <c r="F1523" s="11" t="s">
        <v>17</v>
      </c>
      <c r="G1523" s="10" t="s">
        <v>24</v>
      </c>
      <c r="H1523" s="11" t="s">
        <v>19</v>
      </c>
      <c r="I1523" s="11" t="s">
        <v>113</v>
      </c>
      <c r="J1523" s="12" t="str">
        <f ca="1">IFERROR(__xludf.DUMMYFUNCTION("FILTER('CLASFICACIÓN'!$F$3:$F2419,'CLASFICACIÓN'!$G$3:$G2419=M1523)"),"2023 Y 2024")</f>
        <v>2023 Y 2024</v>
      </c>
      <c r="K1523" s="12" t="s">
        <v>2011</v>
      </c>
      <c r="L1523" s="11" t="s">
        <v>122</v>
      </c>
      <c r="M1523" s="12" t="str">
        <f t="shared" ca="1" si="5"/>
        <v>86548 JOSE MARIA VELAZ4 Primaria</v>
      </c>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4"/>
    </row>
    <row r="1524" spans="1:36" ht="12.5" x14ac:dyDescent="0.25">
      <c r="A1524" s="9">
        <v>147</v>
      </c>
      <c r="B1524" s="10" t="s">
        <v>83</v>
      </c>
      <c r="C1524" s="10" t="s">
        <v>15</v>
      </c>
      <c r="D1524" s="10" t="s">
        <v>16</v>
      </c>
      <c r="E1524" s="11" t="str">
        <f ca="1">IFERROR(__xludf.DUMMYFUNCTION("FILTER(Colegios!$B$2:$B2419,Colegios!$A$2:$A2419=L1524)"),"86548 JOSE MARIA VELAZ")</f>
        <v>86548 JOSE MARIA VELAZ</v>
      </c>
      <c r="F1524" s="11" t="s">
        <v>17</v>
      </c>
      <c r="G1524" s="10" t="s">
        <v>18</v>
      </c>
      <c r="H1524" s="11" t="s">
        <v>19</v>
      </c>
      <c r="I1524" s="11" t="s">
        <v>113</v>
      </c>
      <c r="J1524" s="12" t="str">
        <f ca="1">IFERROR(__xludf.DUMMYFUNCTION("FILTER('CLASFICACIÓN'!$F$3:$F2419,'CLASFICACIÓN'!$G$3:$G2419=M1524)"),"2023 Y 2024")</f>
        <v>2023 Y 2024</v>
      </c>
      <c r="K1524" s="12" t="s">
        <v>2011</v>
      </c>
      <c r="L1524" s="11" t="s">
        <v>122</v>
      </c>
      <c r="M1524" s="12" t="str">
        <f t="shared" ca="1" si="5"/>
        <v>86548 JOSE MARIA VELAZ4 Primaria</v>
      </c>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4"/>
    </row>
    <row r="1525" spans="1:36" ht="12.5" x14ac:dyDescent="0.25">
      <c r="A1525" s="9">
        <v>148</v>
      </c>
      <c r="B1525" s="10" t="s">
        <v>83</v>
      </c>
      <c r="C1525" s="10" t="s">
        <v>15</v>
      </c>
      <c r="D1525" s="10" t="s">
        <v>16</v>
      </c>
      <c r="E1525" s="11" t="str">
        <f ca="1">IFERROR(__xludf.DUMMYFUNCTION("FILTER(Colegios!$B$2:$B2419,Colegios!$A$2:$A2419=L1525)"),"86548 JOSE MARIA VELAZ")</f>
        <v>86548 JOSE MARIA VELAZ</v>
      </c>
      <c r="F1525" s="11" t="s">
        <v>17</v>
      </c>
      <c r="G1525" s="10" t="s">
        <v>18</v>
      </c>
      <c r="H1525" s="11" t="s">
        <v>19</v>
      </c>
      <c r="I1525" s="11" t="s">
        <v>113</v>
      </c>
      <c r="J1525" s="12" t="str">
        <f ca="1">IFERROR(__xludf.DUMMYFUNCTION("FILTER('CLASFICACIÓN'!$F$3:$F2419,'CLASFICACIÓN'!$G$3:$G2419=M1525)"),"2023 Y 2024")</f>
        <v>2023 Y 2024</v>
      </c>
      <c r="K1525" s="12" t="s">
        <v>2011</v>
      </c>
      <c r="L1525" s="11" t="s">
        <v>122</v>
      </c>
      <c r="M1525" s="12" t="str">
        <f t="shared" ca="1" si="5"/>
        <v>86548 JOSE MARIA VELAZ4 Primaria</v>
      </c>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4"/>
    </row>
    <row r="1526" spans="1:36" ht="12.5" x14ac:dyDescent="0.25">
      <c r="A1526" s="9">
        <v>149</v>
      </c>
      <c r="B1526" s="10" t="s">
        <v>83</v>
      </c>
      <c r="C1526" s="10" t="s">
        <v>15</v>
      </c>
      <c r="D1526" s="10" t="s">
        <v>16</v>
      </c>
      <c r="E1526" s="11" t="str">
        <f ca="1">IFERROR(__xludf.DUMMYFUNCTION("FILTER(Colegios!$B$2:$B2419,Colegios!$A$2:$A2419=L1526)"),"86548 JOSE MARIA VELAZ")</f>
        <v>86548 JOSE MARIA VELAZ</v>
      </c>
      <c r="F1526" s="11" t="s">
        <v>17</v>
      </c>
      <c r="G1526" s="10" t="s">
        <v>18</v>
      </c>
      <c r="H1526" s="11" t="s">
        <v>19</v>
      </c>
      <c r="I1526" s="11" t="s">
        <v>113</v>
      </c>
      <c r="J1526" s="12" t="str">
        <f ca="1">IFERROR(__xludf.DUMMYFUNCTION("FILTER('CLASFICACIÓN'!$F$3:$F2419,'CLASFICACIÓN'!$G$3:$G2419=M1526)"),"2023 Y 2024")</f>
        <v>2023 Y 2024</v>
      </c>
      <c r="K1526" s="12" t="s">
        <v>2011</v>
      </c>
      <c r="L1526" s="11" t="s">
        <v>122</v>
      </c>
      <c r="M1526" s="12" t="str">
        <f t="shared" ca="1" si="5"/>
        <v>86548 JOSE MARIA VELAZ4 Primaria</v>
      </c>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4"/>
    </row>
    <row r="1527" spans="1:36" ht="12.5" x14ac:dyDescent="0.25">
      <c r="A1527" s="9">
        <v>150</v>
      </c>
      <c r="B1527" s="10" t="s">
        <v>83</v>
      </c>
      <c r="C1527" s="10" t="s">
        <v>15</v>
      </c>
      <c r="D1527" s="10" t="s">
        <v>16</v>
      </c>
      <c r="E1527" s="11" t="str">
        <f ca="1">IFERROR(__xludf.DUMMYFUNCTION("FILTER(Colegios!$B$2:$B2419,Colegios!$A$2:$A2419=L1527)"),"86548 JOSE MARIA VELAZ")</f>
        <v>86548 JOSE MARIA VELAZ</v>
      </c>
      <c r="F1527" s="11" t="s">
        <v>17</v>
      </c>
      <c r="G1527" s="10" t="s">
        <v>18</v>
      </c>
      <c r="H1527" s="11" t="s">
        <v>19</v>
      </c>
      <c r="I1527" s="11" t="s">
        <v>113</v>
      </c>
      <c r="J1527" s="12" t="str">
        <f ca="1">IFERROR(__xludf.DUMMYFUNCTION("FILTER('CLASFICACIÓN'!$F$3:$F2419,'CLASFICACIÓN'!$G$3:$G2419=M1527)"),"2023 Y 2024")</f>
        <v>2023 Y 2024</v>
      </c>
      <c r="K1527" s="12" t="s">
        <v>2011</v>
      </c>
      <c r="L1527" s="11" t="s">
        <v>122</v>
      </c>
      <c r="M1527" s="12" t="str">
        <f t="shared" ca="1" si="5"/>
        <v>86548 JOSE MARIA VELAZ4 Primaria</v>
      </c>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4"/>
    </row>
    <row r="1528" spans="1:36" ht="12.5" x14ac:dyDescent="0.25">
      <c r="A1528" s="9">
        <v>151</v>
      </c>
      <c r="B1528" s="10" t="s">
        <v>83</v>
      </c>
      <c r="C1528" s="10" t="s">
        <v>15</v>
      </c>
      <c r="D1528" s="10" t="s">
        <v>16</v>
      </c>
      <c r="E1528" s="11" t="str">
        <f ca="1">IFERROR(__xludf.DUMMYFUNCTION("FILTER(Colegios!$B$2:$B2419,Colegios!$A$2:$A2419=L1528)"),"86548 JOSE MARIA VELAZ")</f>
        <v>86548 JOSE MARIA VELAZ</v>
      </c>
      <c r="F1528" s="11" t="s">
        <v>17</v>
      </c>
      <c r="G1528" s="10" t="s">
        <v>18</v>
      </c>
      <c r="H1528" s="11" t="s">
        <v>19</v>
      </c>
      <c r="I1528" s="11" t="s">
        <v>113</v>
      </c>
      <c r="J1528" s="12" t="str">
        <f ca="1">IFERROR(__xludf.DUMMYFUNCTION("FILTER('CLASFICACIÓN'!$F$3:$F2419,'CLASFICACIÓN'!$G$3:$G2419=M1528)"),"2023 Y 2024")</f>
        <v>2023 Y 2024</v>
      </c>
      <c r="K1528" s="12" t="s">
        <v>2011</v>
      </c>
      <c r="L1528" s="11" t="s">
        <v>122</v>
      </c>
      <c r="M1528" s="12" t="str">
        <f t="shared" ca="1" si="5"/>
        <v>86548 JOSE MARIA VELAZ4 Primaria</v>
      </c>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4"/>
    </row>
    <row r="1529" spans="1:36" ht="12.5" x14ac:dyDescent="0.25">
      <c r="A1529" s="9">
        <v>152</v>
      </c>
      <c r="B1529" s="10" t="s">
        <v>83</v>
      </c>
      <c r="C1529" s="10" t="s">
        <v>15</v>
      </c>
      <c r="D1529" s="10" t="s">
        <v>16</v>
      </c>
      <c r="E1529" s="11" t="str">
        <f ca="1">IFERROR(__xludf.DUMMYFUNCTION("FILTER(Colegios!$B$2:$B2419,Colegios!$A$2:$A2419=L1529)"),"86548 JOSE MARIA VELAZ")</f>
        <v>86548 JOSE MARIA VELAZ</v>
      </c>
      <c r="F1529" s="11" t="s">
        <v>17</v>
      </c>
      <c r="G1529" s="10" t="s">
        <v>18</v>
      </c>
      <c r="H1529" s="11" t="s">
        <v>19</v>
      </c>
      <c r="I1529" s="11" t="s">
        <v>113</v>
      </c>
      <c r="J1529" s="12" t="str">
        <f ca="1">IFERROR(__xludf.DUMMYFUNCTION("FILTER('CLASFICACIÓN'!$F$3:$F2419,'CLASFICACIÓN'!$G$3:$G2419=M1529)"),"2023 Y 2024")</f>
        <v>2023 Y 2024</v>
      </c>
      <c r="K1529" s="12" t="s">
        <v>2011</v>
      </c>
      <c r="L1529" s="11" t="s">
        <v>122</v>
      </c>
      <c r="M1529" s="12" t="str">
        <f t="shared" ca="1" si="5"/>
        <v>86548 JOSE MARIA VELAZ4 Primaria</v>
      </c>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4"/>
    </row>
    <row r="1530" spans="1:36" ht="12.5" x14ac:dyDescent="0.25">
      <c r="A1530" s="9">
        <v>153</v>
      </c>
      <c r="B1530" s="10" t="s">
        <v>83</v>
      </c>
      <c r="C1530" s="10" t="s">
        <v>15</v>
      </c>
      <c r="D1530" s="10" t="s">
        <v>16</v>
      </c>
      <c r="E1530" s="11" t="str">
        <f ca="1">IFERROR(__xludf.DUMMYFUNCTION("FILTER(Colegios!$B$2:$B2419,Colegios!$A$2:$A2419=L1530)"),"86548 JOSE MARIA VELAZ")</f>
        <v>86548 JOSE MARIA VELAZ</v>
      </c>
      <c r="F1530" s="11" t="s">
        <v>17</v>
      </c>
      <c r="G1530" s="10" t="s">
        <v>24</v>
      </c>
      <c r="H1530" s="11" t="s">
        <v>19</v>
      </c>
      <c r="I1530" s="11" t="s">
        <v>113</v>
      </c>
      <c r="J1530" s="12" t="str">
        <f ca="1">IFERROR(__xludf.DUMMYFUNCTION("FILTER('CLASFICACIÓN'!$F$3:$F2419,'CLASFICACIÓN'!$G$3:$G2419=M1530)"),"2023 Y 2024")</f>
        <v>2023 Y 2024</v>
      </c>
      <c r="K1530" s="12" t="s">
        <v>2011</v>
      </c>
      <c r="L1530" s="11" t="s">
        <v>122</v>
      </c>
      <c r="M1530" s="12" t="str">
        <f t="shared" ca="1" si="5"/>
        <v>86548 JOSE MARIA VELAZ4 Primaria</v>
      </c>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4"/>
    </row>
    <row r="1531" spans="1:36" ht="12.5" x14ac:dyDescent="0.25">
      <c r="A1531" s="9">
        <v>154</v>
      </c>
      <c r="B1531" s="10" t="s">
        <v>83</v>
      </c>
      <c r="C1531" s="10" t="s">
        <v>15</v>
      </c>
      <c r="D1531" s="10" t="s">
        <v>16</v>
      </c>
      <c r="E1531" s="11" t="str">
        <f ca="1">IFERROR(__xludf.DUMMYFUNCTION("FILTER(Colegios!$B$2:$B2419,Colegios!$A$2:$A2419=L1531)"),"86548 JOSE MARIA VELAZ")</f>
        <v>86548 JOSE MARIA VELAZ</v>
      </c>
      <c r="F1531" s="11" t="s">
        <v>17</v>
      </c>
      <c r="G1531" s="10" t="s">
        <v>24</v>
      </c>
      <c r="H1531" s="11" t="s">
        <v>19</v>
      </c>
      <c r="I1531" s="11" t="s">
        <v>113</v>
      </c>
      <c r="J1531" s="12" t="str">
        <f ca="1">IFERROR(__xludf.DUMMYFUNCTION("FILTER('CLASFICACIÓN'!$F$3:$F2419,'CLASFICACIÓN'!$G$3:$G2419=M1531)"),"2023 Y 2024")</f>
        <v>2023 Y 2024</v>
      </c>
      <c r="K1531" s="12" t="s">
        <v>2011</v>
      </c>
      <c r="L1531" s="11" t="s">
        <v>122</v>
      </c>
      <c r="M1531" s="12" t="str">
        <f t="shared" ca="1" si="5"/>
        <v>86548 JOSE MARIA VELAZ4 Primaria</v>
      </c>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4"/>
    </row>
    <row r="1532" spans="1:36" ht="12.5" x14ac:dyDescent="0.25">
      <c r="A1532" s="9">
        <v>155</v>
      </c>
      <c r="B1532" s="10" t="s">
        <v>83</v>
      </c>
      <c r="C1532" s="10" t="s">
        <v>15</v>
      </c>
      <c r="D1532" s="10" t="s">
        <v>16</v>
      </c>
      <c r="E1532" s="11" t="str">
        <f ca="1">IFERROR(__xludf.DUMMYFUNCTION("FILTER(Colegios!$B$2:$B2419,Colegios!$A$2:$A2419=L1532)"),"86548 JOSE MARIA VELAZ")</f>
        <v>86548 JOSE MARIA VELAZ</v>
      </c>
      <c r="F1532" s="11" t="s">
        <v>17</v>
      </c>
      <c r="G1532" s="10" t="s">
        <v>24</v>
      </c>
      <c r="H1532" s="11" t="s">
        <v>19</v>
      </c>
      <c r="I1532" s="11" t="s">
        <v>113</v>
      </c>
      <c r="J1532" s="12" t="str">
        <f ca="1">IFERROR(__xludf.DUMMYFUNCTION("FILTER('CLASFICACIÓN'!$F$3:$F2419,'CLASFICACIÓN'!$G$3:$G2419=M1532)"),"2023 Y 2024")</f>
        <v>2023 Y 2024</v>
      </c>
      <c r="K1532" s="12" t="s">
        <v>2011</v>
      </c>
      <c r="L1532" s="11" t="s">
        <v>122</v>
      </c>
      <c r="M1532" s="12" t="str">
        <f t="shared" ref="M1532:M1786" ca="1" si="6">E1532&amp;D1532</f>
        <v>86548 JOSE MARIA VELAZ4 Primaria</v>
      </c>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4"/>
    </row>
    <row r="1533" spans="1:36" ht="12.5" x14ac:dyDescent="0.25">
      <c r="A1533" s="9">
        <v>156</v>
      </c>
      <c r="B1533" s="10" t="s">
        <v>83</v>
      </c>
      <c r="C1533" s="10" t="s">
        <v>15</v>
      </c>
      <c r="D1533" s="10" t="s">
        <v>16</v>
      </c>
      <c r="E1533" s="11" t="str">
        <f ca="1">IFERROR(__xludf.DUMMYFUNCTION("FILTER(Colegios!$B$2:$B2419,Colegios!$A$2:$A2419=L1533)"),"86548 JOSE MARIA VELAZ")</f>
        <v>86548 JOSE MARIA VELAZ</v>
      </c>
      <c r="F1533" s="11" t="s">
        <v>17</v>
      </c>
      <c r="G1533" s="10" t="s">
        <v>24</v>
      </c>
      <c r="H1533" s="11" t="s">
        <v>19</v>
      </c>
      <c r="I1533" s="11" t="s">
        <v>113</v>
      </c>
      <c r="J1533" s="12" t="str">
        <f ca="1">IFERROR(__xludf.DUMMYFUNCTION("FILTER('CLASFICACIÓN'!$F$3:$F2419,'CLASFICACIÓN'!$G$3:$G2419=M1533)"),"2023 Y 2024")</f>
        <v>2023 Y 2024</v>
      </c>
      <c r="K1533" s="12" t="s">
        <v>2011</v>
      </c>
      <c r="L1533" s="11" t="s">
        <v>122</v>
      </c>
      <c r="M1533" s="12" t="str">
        <f t="shared" ca="1" si="6"/>
        <v>86548 JOSE MARIA VELAZ4 Primaria</v>
      </c>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4"/>
    </row>
    <row r="1534" spans="1:36" ht="12.5" x14ac:dyDescent="0.25">
      <c r="A1534" s="9">
        <v>157</v>
      </c>
      <c r="B1534" s="10" t="s">
        <v>83</v>
      </c>
      <c r="C1534" s="10" t="s">
        <v>15</v>
      </c>
      <c r="D1534" s="10" t="s">
        <v>16</v>
      </c>
      <c r="E1534" s="11" t="str">
        <f ca="1">IFERROR(__xludf.DUMMYFUNCTION("FILTER(Colegios!$B$2:$B2419,Colegios!$A$2:$A2419=L1534)"),"86548 JOSE MARIA VELAZ")</f>
        <v>86548 JOSE MARIA VELAZ</v>
      </c>
      <c r="F1534" s="11" t="s">
        <v>17</v>
      </c>
      <c r="G1534" s="10" t="s">
        <v>24</v>
      </c>
      <c r="H1534" s="11" t="s">
        <v>19</v>
      </c>
      <c r="I1534" s="11" t="s">
        <v>113</v>
      </c>
      <c r="J1534" s="12" t="str">
        <f ca="1">IFERROR(__xludf.DUMMYFUNCTION("FILTER('CLASFICACIÓN'!$F$3:$F2419,'CLASFICACIÓN'!$G$3:$G2419=M1534)"),"2023 Y 2024")</f>
        <v>2023 Y 2024</v>
      </c>
      <c r="K1534" s="12" t="s">
        <v>2011</v>
      </c>
      <c r="L1534" s="11" t="s">
        <v>122</v>
      </c>
      <c r="M1534" s="12" t="str">
        <f t="shared" ca="1" si="6"/>
        <v>86548 JOSE MARIA VELAZ4 Primaria</v>
      </c>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4"/>
    </row>
    <row r="1535" spans="1:36" ht="12.5" x14ac:dyDescent="0.25">
      <c r="A1535" s="9">
        <v>158</v>
      </c>
      <c r="B1535" s="10" t="s">
        <v>83</v>
      </c>
      <c r="C1535" s="10" t="s">
        <v>15</v>
      </c>
      <c r="D1535" s="10" t="s">
        <v>16</v>
      </c>
      <c r="E1535" s="11" t="str">
        <f ca="1">IFERROR(__xludf.DUMMYFUNCTION("FILTER(Colegios!$B$2:$B2419,Colegios!$A$2:$A2419=L1535)"),"88247 SAN ENRIQUE")</f>
        <v>88247 SAN ENRIQUE</v>
      </c>
      <c r="F1535" s="11" t="s">
        <v>17</v>
      </c>
      <c r="G1535" s="10" t="s">
        <v>18</v>
      </c>
      <c r="H1535" s="11" t="s">
        <v>19</v>
      </c>
      <c r="I1535" s="11" t="s">
        <v>113</v>
      </c>
      <c r="J1535" s="12" t="str">
        <f ca="1">IFERROR(__xludf.DUMMYFUNCTION("FILTER('CLASFICACIÓN'!$F$3:$F2419,'CLASFICACIÓN'!$G$3:$G2419=M1535)"),"2023 Y 2024")</f>
        <v>2023 Y 2024</v>
      </c>
      <c r="K1535" s="12" t="s">
        <v>2011</v>
      </c>
      <c r="L1535" s="11" t="s">
        <v>121</v>
      </c>
      <c r="M1535" s="12" t="str">
        <f t="shared" ca="1" si="6"/>
        <v>88247 SAN ENRIQUE4 Primaria</v>
      </c>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4"/>
    </row>
    <row r="1536" spans="1:36" ht="12.5" x14ac:dyDescent="0.25">
      <c r="A1536" s="9">
        <v>159</v>
      </c>
      <c r="B1536" s="10" t="s">
        <v>83</v>
      </c>
      <c r="C1536" s="10" t="s">
        <v>15</v>
      </c>
      <c r="D1536" s="10" t="s">
        <v>16</v>
      </c>
      <c r="E1536" s="11" t="str">
        <f ca="1">IFERROR(__xludf.DUMMYFUNCTION("FILTER(Colegios!$B$2:$B2419,Colegios!$A$2:$A2419=L1536)"),"88247 SAN ENRIQUE")</f>
        <v>88247 SAN ENRIQUE</v>
      </c>
      <c r="F1536" s="11" t="s">
        <v>17</v>
      </c>
      <c r="G1536" s="10" t="s">
        <v>18</v>
      </c>
      <c r="H1536" s="11" t="s">
        <v>19</v>
      </c>
      <c r="I1536" s="11" t="s">
        <v>113</v>
      </c>
      <c r="J1536" s="12" t="str">
        <f ca="1">IFERROR(__xludf.DUMMYFUNCTION("FILTER('CLASFICACIÓN'!$F$3:$F2419,'CLASFICACIÓN'!$G$3:$G2419=M1536)"),"2023 Y 2024")</f>
        <v>2023 Y 2024</v>
      </c>
      <c r="K1536" s="12" t="s">
        <v>2011</v>
      </c>
      <c r="L1536" s="11" t="s">
        <v>121</v>
      </c>
      <c r="M1536" s="12" t="str">
        <f t="shared" ca="1" si="6"/>
        <v>88247 SAN ENRIQUE4 Primaria</v>
      </c>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4"/>
    </row>
    <row r="1537" spans="1:36" ht="12.5" x14ac:dyDescent="0.25">
      <c r="A1537" s="9">
        <v>160</v>
      </c>
      <c r="B1537" s="10" t="s">
        <v>83</v>
      </c>
      <c r="C1537" s="10" t="s">
        <v>15</v>
      </c>
      <c r="D1537" s="10" t="s">
        <v>16</v>
      </c>
      <c r="E1537" s="11" t="str">
        <f ca="1">IFERROR(__xludf.DUMMYFUNCTION("FILTER(Colegios!$B$2:$B2419,Colegios!$A$2:$A2419=L1537)"),"88247 SAN ENRIQUE")</f>
        <v>88247 SAN ENRIQUE</v>
      </c>
      <c r="F1537" s="11" t="s">
        <v>17</v>
      </c>
      <c r="G1537" s="10" t="s">
        <v>18</v>
      </c>
      <c r="H1537" s="11" t="s">
        <v>19</v>
      </c>
      <c r="I1537" s="11" t="s">
        <v>113</v>
      </c>
      <c r="J1537" s="12" t="str">
        <f ca="1">IFERROR(__xludf.DUMMYFUNCTION("FILTER('CLASFICACIÓN'!$F$3:$F2419,'CLASFICACIÓN'!$G$3:$G2419=M1537)"),"2023 Y 2024")</f>
        <v>2023 Y 2024</v>
      </c>
      <c r="K1537" s="12" t="s">
        <v>2011</v>
      </c>
      <c r="L1537" s="11" t="s">
        <v>121</v>
      </c>
      <c r="M1537" s="12" t="str">
        <f t="shared" ca="1" si="6"/>
        <v>88247 SAN ENRIQUE4 Primaria</v>
      </c>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4"/>
    </row>
    <row r="1538" spans="1:36" ht="12.5" x14ac:dyDescent="0.25">
      <c r="A1538" s="9">
        <v>161</v>
      </c>
      <c r="B1538" s="10" t="s">
        <v>83</v>
      </c>
      <c r="C1538" s="10" t="s">
        <v>15</v>
      </c>
      <c r="D1538" s="10" t="s">
        <v>16</v>
      </c>
      <c r="E1538" s="11" t="str">
        <f ca="1">IFERROR(__xludf.DUMMYFUNCTION("FILTER(Colegios!$B$2:$B2419,Colegios!$A$2:$A2419=L1538)"),"88247 SAN ENRIQUE")</f>
        <v>88247 SAN ENRIQUE</v>
      </c>
      <c r="F1538" s="11" t="s">
        <v>17</v>
      </c>
      <c r="G1538" s="10" t="s">
        <v>24</v>
      </c>
      <c r="H1538" s="11" t="s">
        <v>19</v>
      </c>
      <c r="I1538" s="11" t="s">
        <v>113</v>
      </c>
      <c r="J1538" s="12" t="str">
        <f ca="1">IFERROR(__xludf.DUMMYFUNCTION("FILTER('CLASFICACIÓN'!$F$3:$F2419,'CLASFICACIÓN'!$G$3:$G2419=M1538)"),"2023 Y 2024")</f>
        <v>2023 Y 2024</v>
      </c>
      <c r="K1538" s="12" t="s">
        <v>2011</v>
      </c>
      <c r="L1538" s="11" t="s">
        <v>121</v>
      </c>
      <c r="M1538" s="12" t="str">
        <f t="shared" ca="1" si="6"/>
        <v>88247 SAN ENRIQUE4 Primaria</v>
      </c>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4"/>
    </row>
    <row r="1539" spans="1:36" ht="12.5" x14ac:dyDescent="0.25">
      <c r="A1539" s="9">
        <v>162</v>
      </c>
      <c r="B1539" s="10" t="s">
        <v>83</v>
      </c>
      <c r="C1539" s="10" t="s">
        <v>15</v>
      </c>
      <c r="D1539" s="10" t="s">
        <v>37</v>
      </c>
      <c r="E1539" s="11" t="str">
        <f ca="1">IFERROR(__xludf.DUMMYFUNCTION("FILTER(Colegios!$B$2:$B2419,Colegios!$A$2:$A2419=L1539)"),"86809")</f>
        <v>86809</v>
      </c>
      <c r="F1539" s="11" t="s">
        <v>17</v>
      </c>
      <c r="G1539" s="10" t="s">
        <v>18</v>
      </c>
      <c r="H1539" s="11" t="s">
        <v>19</v>
      </c>
      <c r="I1539" s="11" t="s">
        <v>113</v>
      </c>
      <c r="J1539" s="12" t="str">
        <f ca="1">IFERROR(__xludf.DUMMYFUNCTION("FILTER('CLASFICACIÓN'!$F$3:$F2419,'CLASFICACIÓN'!$G$3:$G2419=M1539)"),"LOS 3 AÑOS")</f>
        <v>LOS 3 AÑOS</v>
      </c>
      <c r="K1539" s="12" t="s">
        <v>2012</v>
      </c>
      <c r="L1539" s="11" t="s">
        <v>120</v>
      </c>
      <c r="M1539" s="12" t="str">
        <f t="shared" ca="1" si="6"/>
        <v>868096 Primaria</v>
      </c>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4"/>
    </row>
    <row r="1540" spans="1:36" ht="12.5" x14ac:dyDescent="0.25">
      <c r="A1540" s="9">
        <v>163</v>
      </c>
      <c r="B1540" s="10" t="s">
        <v>83</v>
      </c>
      <c r="C1540" s="10" t="s">
        <v>15</v>
      </c>
      <c r="D1540" s="10" t="s">
        <v>37</v>
      </c>
      <c r="E1540" s="11" t="str">
        <f ca="1">IFERROR(__xludf.DUMMYFUNCTION("FILTER(Colegios!$B$2:$B2419,Colegios!$A$2:$A2419=L1540)"),"86809")</f>
        <v>86809</v>
      </c>
      <c r="F1540" s="11" t="s">
        <v>17</v>
      </c>
      <c r="G1540" s="10" t="s">
        <v>18</v>
      </c>
      <c r="H1540" s="11" t="s">
        <v>19</v>
      </c>
      <c r="I1540" s="11" t="s">
        <v>113</v>
      </c>
      <c r="J1540" s="12" t="str">
        <f ca="1">IFERROR(__xludf.DUMMYFUNCTION("FILTER('CLASFICACIÓN'!$F$3:$F2419,'CLASFICACIÓN'!$G$3:$G2419=M1540)"),"LOS 3 AÑOS")</f>
        <v>LOS 3 AÑOS</v>
      </c>
      <c r="K1540" s="12" t="s">
        <v>2012</v>
      </c>
      <c r="L1540" s="11" t="s">
        <v>120</v>
      </c>
      <c r="M1540" s="12" t="str">
        <f t="shared" ca="1" si="6"/>
        <v>868096 Primaria</v>
      </c>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4"/>
    </row>
    <row r="1541" spans="1:36" ht="12.5" x14ac:dyDescent="0.25">
      <c r="A1541" s="9">
        <v>164</v>
      </c>
      <c r="B1541" s="10" t="s">
        <v>83</v>
      </c>
      <c r="C1541" s="10" t="s">
        <v>15</v>
      </c>
      <c r="D1541" s="10" t="s">
        <v>37</v>
      </c>
      <c r="E1541" s="11" t="str">
        <f ca="1">IFERROR(__xludf.DUMMYFUNCTION("FILTER(Colegios!$B$2:$B2419,Colegios!$A$2:$A2419=L1541)"),"86809")</f>
        <v>86809</v>
      </c>
      <c r="F1541" s="11" t="s">
        <v>17</v>
      </c>
      <c r="G1541" s="10" t="s">
        <v>24</v>
      </c>
      <c r="H1541" s="11" t="s">
        <v>19</v>
      </c>
      <c r="I1541" s="11" t="s">
        <v>113</v>
      </c>
      <c r="J1541" s="12" t="str">
        <f ca="1">IFERROR(__xludf.DUMMYFUNCTION("FILTER('CLASFICACIÓN'!$F$3:$F2419,'CLASFICACIÓN'!$G$3:$G2419=M1541)"),"LOS 3 AÑOS")</f>
        <v>LOS 3 AÑOS</v>
      </c>
      <c r="K1541" s="12" t="s">
        <v>2012</v>
      </c>
      <c r="L1541" s="11" t="s">
        <v>120</v>
      </c>
      <c r="M1541" s="12" t="str">
        <f t="shared" ca="1" si="6"/>
        <v>868096 Primaria</v>
      </c>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4"/>
    </row>
    <row r="1542" spans="1:36" ht="12.5" x14ac:dyDescent="0.25">
      <c r="A1542" s="9">
        <v>165</v>
      </c>
      <c r="B1542" s="10" t="s">
        <v>83</v>
      </c>
      <c r="C1542" s="10" t="s">
        <v>15</v>
      </c>
      <c r="D1542" s="10" t="s">
        <v>37</v>
      </c>
      <c r="E1542" s="11" t="str">
        <f ca="1">IFERROR(__xludf.DUMMYFUNCTION("FILTER(Colegios!$B$2:$B2419,Colegios!$A$2:$A2419=L1542)"),"86809")</f>
        <v>86809</v>
      </c>
      <c r="F1542" s="11" t="s">
        <v>17</v>
      </c>
      <c r="G1542" s="10" t="s">
        <v>24</v>
      </c>
      <c r="H1542" s="11" t="s">
        <v>19</v>
      </c>
      <c r="I1542" s="11" t="s">
        <v>113</v>
      </c>
      <c r="J1542" s="12" t="str">
        <f ca="1">IFERROR(__xludf.DUMMYFUNCTION("FILTER('CLASFICACIÓN'!$F$3:$F2419,'CLASFICACIÓN'!$G$3:$G2419=M1542)"),"LOS 3 AÑOS")</f>
        <v>LOS 3 AÑOS</v>
      </c>
      <c r="K1542" s="12" t="s">
        <v>2012</v>
      </c>
      <c r="L1542" s="11" t="s">
        <v>120</v>
      </c>
      <c r="M1542" s="12" t="str">
        <f t="shared" ca="1" si="6"/>
        <v>868096 Primaria</v>
      </c>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4"/>
    </row>
    <row r="1543" spans="1:36" ht="12.5" x14ac:dyDescent="0.25">
      <c r="A1543" s="9">
        <v>166</v>
      </c>
      <c r="B1543" s="10" t="s">
        <v>83</v>
      </c>
      <c r="C1543" s="10" t="s">
        <v>15</v>
      </c>
      <c r="D1543" s="10" t="s">
        <v>37</v>
      </c>
      <c r="E1543" s="11" t="str">
        <f ca="1">IFERROR(__xludf.DUMMYFUNCTION("FILTER(Colegios!$B$2:$B2419,Colegios!$A$2:$A2419=L1543)"),"86548 JOSE MARIA VELAZ")</f>
        <v>86548 JOSE MARIA VELAZ</v>
      </c>
      <c r="F1543" s="11" t="s">
        <v>17</v>
      </c>
      <c r="G1543" s="10" t="s">
        <v>24</v>
      </c>
      <c r="H1543" s="11" t="s">
        <v>19</v>
      </c>
      <c r="I1543" s="11" t="s">
        <v>113</v>
      </c>
      <c r="J1543" s="12" t="str">
        <f ca="1">IFERROR(__xludf.DUMMYFUNCTION("FILTER('CLASFICACIÓN'!$F$3:$F2419,'CLASFICACIÓN'!$G$3:$G2419=M1543)"),"2023 Y 2024")</f>
        <v>2023 Y 2024</v>
      </c>
      <c r="K1543" s="12" t="s">
        <v>2011</v>
      </c>
      <c r="L1543" s="11" t="s">
        <v>122</v>
      </c>
      <c r="M1543" s="12" t="str">
        <f t="shared" ca="1" si="6"/>
        <v>86548 JOSE MARIA VELAZ6 Primaria</v>
      </c>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4"/>
    </row>
    <row r="1544" spans="1:36" ht="12.5" x14ac:dyDescent="0.25">
      <c r="A1544" s="9">
        <v>167</v>
      </c>
      <c r="B1544" s="10" t="s">
        <v>83</v>
      </c>
      <c r="C1544" s="10" t="s">
        <v>15</v>
      </c>
      <c r="D1544" s="10" t="s">
        <v>37</v>
      </c>
      <c r="E1544" s="11" t="str">
        <f ca="1">IFERROR(__xludf.DUMMYFUNCTION("FILTER(Colegios!$B$2:$B2419,Colegios!$A$2:$A2419=L1544)"),"86548 JOSE MARIA VELAZ")</f>
        <v>86548 JOSE MARIA VELAZ</v>
      </c>
      <c r="F1544" s="11" t="s">
        <v>17</v>
      </c>
      <c r="G1544" s="10" t="s">
        <v>18</v>
      </c>
      <c r="H1544" s="11" t="s">
        <v>19</v>
      </c>
      <c r="I1544" s="11" t="s">
        <v>113</v>
      </c>
      <c r="J1544" s="12" t="str">
        <f ca="1">IFERROR(__xludf.DUMMYFUNCTION("FILTER('CLASFICACIÓN'!$F$3:$F2419,'CLASFICACIÓN'!$G$3:$G2419=M1544)"),"2023 Y 2024")</f>
        <v>2023 Y 2024</v>
      </c>
      <c r="K1544" s="12" t="s">
        <v>2011</v>
      </c>
      <c r="L1544" s="11" t="s">
        <v>122</v>
      </c>
      <c r="M1544" s="12" t="str">
        <f t="shared" ca="1" si="6"/>
        <v>86548 JOSE MARIA VELAZ6 Primaria</v>
      </c>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4"/>
    </row>
    <row r="1545" spans="1:36" ht="12.5" x14ac:dyDescent="0.25">
      <c r="A1545" s="9">
        <v>168</v>
      </c>
      <c r="B1545" s="10" t="s">
        <v>83</v>
      </c>
      <c r="C1545" s="10" t="s">
        <v>15</v>
      </c>
      <c r="D1545" s="10" t="s">
        <v>37</v>
      </c>
      <c r="E1545" s="11" t="str">
        <f ca="1">IFERROR(__xludf.DUMMYFUNCTION("FILTER(Colegios!$B$2:$B2419,Colegios!$A$2:$A2419=L1545)"),"86548 JOSE MARIA VELAZ")</f>
        <v>86548 JOSE MARIA VELAZ</v>
      </c>
      <c r="F1545" s="11" t="s">
        <v>17</v>
      </c>
      <c r="G1545" s="10" t="s">
        <v>18</v>
      </c>
      <c r="H1545" s="11" t="s">
        <v>19</v>
      </c>
      <c r="I1545" s="11" t="s">
        <v>113</v>
      </c>
      <c r="J1545" s="12" t="str">
        <f ca="1">IFERROR(__xludf.DUMMYFUNCTION("FILTER('CLASFICACIÓN'!$F$3:$F2419,'CLASFICACIÓN'!$G$3:$G2419=M1545)"),"2023 Y 2024")</f>
        <v>2023 Y 2024</v>
      </c>
      <c r="K1545" s="12" t="s">
        <v>2011</v>
      </c>
      <c r="L1545" s="11" t="s">
        <v>122</v>
      </c>
      <c r="M1545" s="12" t="str">
        <f t="shared" ca="1" si="6"/>
        <v>86548 JOSE MARIA VELAZ6 Primaria</v>
      </c>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4"/>
    </row>
    <row r="1546" spans="1:36" ht="12.5" x14ac:dyDescent="0.25">
      <c r="A1546" s="9">
        <v>169</v>
      </c>
      <c r="B1546" s="10" t="s">
        <v>83</v>
      </c>
      <c r="C1546" s="10" t="s">
        <v>15</v>
      </c>
      <c r="D1546" s="10" t="s">
        <v>37</v>
      </c>
      <c r="E1546" s="11" t="str">
        <f ca="1">IFERROR(__xludf.DUMMYFUNCTION("FILTER(Colegios!$B$2:$B2419,Colegios!$A$2:$A2419=L1546)"),"86548 JOSE MARIA VELAZ")</f>
        <v>86548 JOSE MARIA VELAZ</v>
      </c>
      <c r="F1546" s="11" t="s">
        <v>17</v>
      </c>
      <c r="G1546" s="10" t="s">
        <v>18</v>
      </c>
      <c r="H1546" s="11" t="s">
        <v>19</v>
      </c>
      <c r="I1546" s="11" t="s">
        <v>113</v>
      </c>
      <c r="J1546" s="12" t="str">
        <f ca="1">IFERROR(__xludf.DUMMYFUNCTION("FILTER('CLASFICACIÓN'!$F$3:$F2419,'CLASFICACIÓN'!$G$3:$G2419=M1546)"),"2023 Y 2024")</f>
        <v>2023 Y 2024</v>
      </c>
      <c r="K1546" s="12" t="s">
        <v>2011</v>
      </c>
      <c r="L1546" s="11" t="s">
        <v>122</v>
      </c>
      <c r="M1546" s="12" t="str">
        <f t="shared" ca="1" si="6"/>
        <v>86548 JOSE MARIA VELAZ6 Primaria</v>
      </c>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4"/>
    </row>
    <row r="1547" spans="1:36" ht="12.5" x14ac:dyDescent="0.25">
      <c r="A1547" s="9">
        <v>170</v>
      </c>
      <c r="B1547" s="10" t="s">
        <v>83</v>
      </c>
      <c r="C1547" s="10" t="s">
        <v>15</v>
      </c>
      <c r="D1547" s="10" t="s">
        <v>37</v>
      </c>
      <c r="E1547" s="11" t="str">
        <f ca="1">IFERROR(__xludf.DUMMYFUNCTION("FILTER(Colegios!$B$2:$B2419,Colegios!$A$2:$A2419=L1547)"),"86548 JOSE MARIA VELAZ")</f>
        <v>86548 JOSE MARIA VELAZ</v>
      </c>
      <c r="F1547" s="11" t="s">
        <v>17</v>
      </c>
      <c r="G1547" s="10" t="s">
        <v>18</v>
      </c>
      <c r="H1547" s="11" t="s">
        <v>19</v>
      </c>
      <c r="I1547" s="11" t="s">
        <v>113</v>
      </c>
      <c r="J1547" s="12" t="str">
        <f ca="1">IFERROR(__xludf.DUMMYFUNCTION("FILTER('CLASFICACIÓN'!$F$3:$F2419,'CLASFICACIÓN'!$G$3:$G2419=M1547)"),"2023 Y 2024")</f>
        <v>2023 Y 2024</v>
      </c>
      <c r="K1547" s="12" t="s">
        <v>2011</v>
      </c>
      <c r="L1547" s="11" t="s">
        <v>122</v>
      </c>
      <c r="M1547" s="12" t="str">
        <f t="shared" ca="1" si="6"/>
        <v>86548 JOSE MARIA VELAZ6 Primaria</v>
      </c>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4"/>
    </row>
    <row r="1548" spans="1:36" ht="12.5" x14ac:dyDescent="0.25">
      <c r="A1548" s="9">
        <v>171</v>
      </c>
      <c r="B1548" s="10" t="s">
        <v>83</v>
      </c>
      <c r="C1548" s="10" t="s">
        <v>15</v>
      </c>
      <c r="D1548" s="10" t="s">
        <v>37</v>
      </c>
      <c r="E1548" s="11" t="str">
        <f ca="1">IFERROR(__xludf.DUMMYFUNCTION("FILTER(Colegios!$B$2:$B2419,Colegios!$A$2:$A2419=L1548)"),"86548 JOSE MARIA VELAZ")</f>
        <v>86548 JOSE MARIA VELAZ</v>
      </c>
      <c r="F1548" s="11" t="s">
        <v>17</v>
      </c>
      <c r="G1548" s="10" t="s">
        <v>24</v>
      </c>
      <c r="H1548" s="11" t="s">
        <v>19</v>
      </c>
      <c r="I1548" s="11" t="s">
        <v>113</v>
      </c>
      <c r="J1548" s="12" t="str">
        <f ca="1">IFERROR(__xludf.DUMMYFUNCTION("FILTER('CLASFICACIÓN'!$F$3:$F2419,'CLASFICACIÓN'!$G$3:$G2419=M1548)"),"2023 Y 2024")</f>
        <v>2023 Y 2024</v>
      </c>
      <c r="K1548" s="12" t="s">
        <v>2011</v>
      </c>
      <c r="L1548" s="11" t="s">
        <v>122</v>
      </c>
      <c r="M1548" s="12" t="str">
        <f t="shared" ca="1" si="6"/>
        <v>86548 JOSE MARIA VELAZ6 Primaria</v>
      </c>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4"/>
    </row>
    <row r="1549" spans="1:36" ht="12.5" x14ac:dyDescent="0.25">
      <c r="A1549" s="9">
        <v>172</v>
      </c>
      <c r="B1549" s="10" t="s">
        <v>83</v>
      </c>
      <c r="C1549" s="10" t="s">
        <v>15</v>
      </c>
      <c r="D1549" s="10" t="s">
        <v>37</v>
      </c>
      <c r="E1549" s="11" t="str">
        <f ca="1">IFERROR(__xludf.DUMMYFUNCTION("FILTER(Colegios!$B$2:$B2419,Colegios!$A$2:$A2419=L1549)"),"86548 JOSE MARIA VELAZ")</f>
        <v>86548 JOSE MARIA VELAZ</v>
      </c>
      <c r="F1549" s="11" t="s">
        <v>17</v>
      </c>
      <c r="G1549" s="10" t="s">
        <v>24</v>
      </c>
      <c r="H1549" s="11" t="s">
        <v>19</v>
      </c>
      <c r="I1549" s="11" t="s">
        <v>113</v>
      </c>
      <c r="J1549" s="12" t="str">
        <f ca="1">IFERROR(__xludf.DUMMYFUNCTION("FILTER('CLASFICACIÓN'!$F$3:$F2419,'CLASFICACIÓN'!$G$3:$G2419=M1549)"),"2023 Y 2024")</f>
        <v>2023 Y 2024</v>
      </c>
      <c r="K1549" s="12" t="s">
        <v>2011</v>
      </c>
      <c r="L1549" s="11" t="s">
        <v>122</v>
      </c>
      <c r="M1549" s="12" t="str">
        <f t="shared" ca="1" si="6"/>
        <v>86548 JOSE MARIA VELAZ6 Primaria</v>
      </c>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4"/>
    </row>
    <row r="1550" spans="1:36" ht="12.5" x14ac:dyDescent="0.25">
      <c r="A1550" s="9">
        <v>173</v>
      </c>
      <c r="B1550" s="10" t="s">
        <v>83</v>
      </c>
      <c r="C1550" s="10" t="s">
        <v>15</v>
      </c>
      <c r="D1550" s="10" t="s">
        <v>37</v>
      </c>
      <c r="E1550" s="11" t="str">
        <f ca="1">IFERROR(__xludf.DUMMYFUNCTION("FILTER(Colegios!$B$2:$B2419,Colegios!$A$2:$A2419=L1550)"),"86548 JOSE MARIA VELAZ")</f>
        <v>86548 JOSE MARIA VELAZ</v>
      </c>
      <c r="F1550" s="11" t="s">
        <v>17</v>
      </c>
      <c r="G1550" s="10" t="s">
        <v>18</v>
      </c>
      <c r="H1550" s="11" t="s">
        <v>19</v>
      </c>
      <c r="I1550" s="11" t="s">
        <v>113</v>
      </c>
      <c r="J1550" s="12" t="str">
        <f ca="1">IFERROR(__xludf.DUMMYFUNCTION("FILTER('CLASFICACIÓN'!$F$3:$F2419,'CLASFICACIÓN'!$G$3:$G2419=M1550)"),"2023 Y 2024")</f>
        <v>2023 Y 2024</v>
      </c>
      <c r="K1550" s="12" t="s">
        <v>2011</v>
      </c>
      <c r="L1550" s="11" t="s">
        <v>122</v>
      </c>
      <c r="M1550" s="12" t="str">
        <f t="shared" ca="1" si="6"/>
        <v>86548 JOSE MARIA VELAZ6 Primaria</v>
      </c>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4"/>
    </row>
    <row r="1551" spans="1:36" ht="12.5" x14ac:dyDescent="0.25">
      <c r="A1551" s="9">
        <v>174</v>
      </c>
      <c r="B1551" s="10" t="s">
        <v>83</v>
      </c>
      <c r="C1551" s="10" t="s">
        <v>15</v>
      </c>
      <c r="D1551" s="10" t="s">
        <v>37</v>
      </c>
      <c r="E1551" s="11" t="str">
        <f ca="1">IFERROR(__xludf.DUMMYFUNCTION("FILTER(Colegios!$B$2:$B2419,Colegios!$A$2:$A2419=L1551)"),"88247 SAN ENRIQUE")</f>
        <v>88247 SAN ENRIQUE</v>
      </c>
      <c r="F1551" s="11" t="s">
        <v>17</v>
      </c>
      <c r="G1551" s="10" t="s">
        <v>18</v>
      </c>
      <c r="H1551" s="11" t="s">
        <v>19</v>
      </c>
      <c r="I1551" s="11" t="s">
        <v>113</v>
      </c>
      <c r="J1551" s="12" t="str">
        <f ca="1">IFERROR(__xludf.DUMMYFUNCTION("FILTER('CLASFICACIÓN'!$F$3:$F2419,'CLASFICACIÓN'!$G$3:$G2419=M1551)"),"2023 Y 2024")</f>
        <v>2023 Y 2024</v>
      </c>
      <c r="K1551" s="12" t="s">
        <v>2011</v>
      </c>
      <c r="L1551" s="11" t="s">
        <v>121</v>
      </c>
      <c r="M1551" s="12" t="str">
        <f t="shared" ca="1" si="6"/>
        <v>88247 SAN ENRIQUE6 Primaria</v>
      </c>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4"/>
    </row>
    <row r="1552" spans="1:36" ht="12.5" x14ac:dyDescent="0.25">
      <c r="A1552" s="9">
        <v>175</v>
      </c>
      <c r="B1552" s="10" t="s">
        <v>83</v>
      </c>
      <c r="C1552" s="10" t="s">
        <v>15</v>
      </c>
      <c r="D1552" s="10" t="s">
        <v>37</v>
      </c>
      <c r="E1552" s="11" t="str">
        <f ca="1">IFERROR(__xludf.DUMMYFUNCTION("FILTER(Colegios!$B$2:$B2419,Colegios!$A$2:$A2419=L1552)"),"88247 SAN ENRIQUE")</f>
        <v>88247 SAN ENRIQUE</v>
      </c>
      <c r="F1552" s="11" t="s">
        <v>17</v>
      </c>
      <c r="G1552" s="10" t="s">
        <v>18</v>
      </c>
      <c r="H1552" s="11" t="s">
        <v>19</v>
      </c>
      <c r="I1552" s="11" t="s">
        <v>113</v>
      </c>
      <c r="J1552" s="12" t="str">
        <f ca="1">IFERROR(__xludf.DUMMYFUNCTION("FILTER('CLASFICACIÓN'!$F$3:$F2419,'CLASFICACIÓN'!$G$3:$G2419=M1552)"),"2023 Y 2024")</f>
        <v>2023 Y 2024</v>
      </c>
      <c r="K1552" s="12" t="s">
        <v>2011</v>
      </c>
      <c r="L1552" s="11" t="s">
        <v>121</v>
      </c>
      <c r="M1552" s="12" t="str">
        <f t="shared" ca="1" si="6"/>
        <v>88247 SAN ENRIQUE6 Primaria</v>
      </c>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4"/>
    </row>
    <row r="1553" spans="1:36" ht="12.5" x14ac:dyDescent="0.25">
      <c r="A1553" s="9">
        <v>176</v>
      </c>
      <c r="B1553" s="10" t="s">
        <v>83</v>
      </c>
      <c r="C1553" s="10" t="s">
        <v>15</v>
      </c>
      <c r="D1553" s="10" t="s">
        <v>37</v>
      </c>
      <c r="E1553" s="11" t="str">
        <f ca="1">IFERROR(__xludf.DUMMYFUNCTION("FILTER(Colegios!$B$2:$B2419,Colegios!$A$2:$A2419=L1553)"),"88247 SAN ENRIQUE")</f>
        <v>88247 SAN ENRIQUE</v>
      </c>
      <c r="F1553" s="11" t="s">
        <v>17</v>
      </c>
      <c r="G1553" s="10" t="s">
        <v>18</v>
      </c>
      <c r="H1553" s="11" t="s">
        <v>19</v>
      </c>
      <c r="I1553" s="11" t="s">
        <v>113</v>
      </c>
      <c r="J1553" s="12" t="str">
        <f ca="1">IFERROR(__xludf.DUMMYFUNCTION("FILTER('CLASFICACIÓN'!$F$3:$F2419,'CLASFICACIÓN'!$G$3:$G2419=M1553)"),"2023 Y 2024")</f>
        <v>2023 Y 2024</v>
      </c>
      <c r="K1553" s="12" t="s">
        <v>2011</v>
      </c>
      <c r="L1553" s="11" t="s">
        <v>121</v>
      </c>
      <c r="M1553" s="12" t="str">
        <f t="shared" ca="1" si="6"/>
        <v>88247 SAN ENRIQUE6 Primaria</v>
      </c>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4"/>
    </row>
    <row r="1554" spans="1:36" ht="12.5" x14ac:dyDescent="0.25">
      <c r="A1554" s="9">
        <v>177</v>
      </c>
      <c r="B1554" s="10" t="s">
        <v>14</v>
      </c>
      <c r="C1554" s="10" t="s">
        <v>15</v>
      </c>
      <c r="D1554" s="10" t="s">
        <v>45</v>
      </c>
      <c r="E1554" s="11" t="str">
        <f ca="1">IFERROR(__xludf.DUMMYFUNCTION("FILTER(Colegios!$B$2:$B2419,Colegios!$A$2:$A2419=L1554)"),"15383")</f>
        <v>15383</v>
      </c>
      <c r="F1554" s="11" t="s">
        <v>17</v>
      </c>
      <c r="G1554" s="10" t="s">
        <v>18</v>
      </c>
      <c r="H1554" s="11" t="s">
        <v>19</v>
      </c>
      <c r="I1554" s="11" t="s">
        <v>113</v>
      </c>
      <c r="J1554" s="12" t="str">
        <f ca="1">IFERROR(__xludf.DUMMYFUNCTION("FILTER('CLASFICACIÓN'!$F$3:$F2419,'CLASFICACIÓN'!$G$3:$G2419=M1554)"),"SOLO 2023")</f>
        <v>SOLO 2023</v>
      </c>
      <c r="K1554" s="12" t="s">
        <v>2011</v>
      </c>
      <c r="L1554" s="11" t="s">
        <v>123</v>
      </c>
      <c r="M1554" s="12" t="str">
        <f t="shared" ca="1" si="6"/>
        <v>153832 Primaria</v>
      </c>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4"/>
    </row>
    <row r="1555" spans="1:36" ht="12.5" x14ac:dyDescent="0.25">
      <c r="A1555" s="9">
        <v>178</v>
      </c>
      <c r="B1555" s="10" t="s">
        <v>14</v>
      </c>
      <c r="C1555" s="10" t="s">
        <v>15</v>
      </c>
      <c r="D1555" s="10" t="s">
        <v>16</v>
      </c>
      <c r="E1555" s="11" t="str">
        <f ca="1">IFERROR(__xludf.DUMMYFUNCTION("FILTER(Colegios!$B$2:$B2419,Colegios!$A$2:$A2419=L1555)"),"15383")</f>
        <v>15383</v>
      </c>
      <c r="F1555" s="11" t="s">
        <v>17</v>
      </c>
      <c r="G1555" s="10" t="s">
        <v>24</v>
      </c>
      <c r="H1555" s="11" t="s">
        <v>19</v>
      </c>
      <c r="I1555" s="11" t="s">
        <v>113</v>
      </c>
      <c r="J1555" s="12" t="str">
        <f ca="1">IFERROR(__xludf.DUMMYFUNCTION("FILTER('CLASFICACIÓN'!$F$3:$F2419,'CLASFICACIÓN'!$G$3:$G2419=M1555)"),"2023 Y 2024")</f>
        <v>2023 Y 2024</v>
      </c>
      <c r="K1555" s="12" t="s">
        <v>2011</v>
      </c>
      <c r="L1555" s="11" t="s">
        <v>123</v>
      </c>
      <c r="M1555" s="12" t="str">
        <f t="shared" ca="1" si="6"/>
        <v>153834 Primaria</v>
      </c>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4"/>
    </row>
    <row r="1556" spans="1:36" ht="12.5" x14ac:dyDescent="0.25">
      <c r="A1556" s="9">
        <v>179</v>
      </c>
      <c r="B1556" s="10" t="s">
        <v>14</v>
      </c>
      <c r="C1556" s="10" t="s">
        <v>15</v>
      </c>
      <c r="D1556" s="10" t="s">
        <v>16</v>
      </c>
      <c r="E1556" s="11" t="str">
        <f ca="1">IFERROR(__xludf.DUMMYFUNCTION("FILTER(Colegios!$B$2:$B2419,Colegios!$A$2:$A2419=L1556)"),"15383")</f>
        <v>15383</v>
      </c>
      <c r="F1556" s="11" t="s">
        <v>17</v>
      </c>
      <c r="G1556" s="10" t="s">
        <v>24</v>
      </c>
      <c r="H1556" s="11" t="s">
        <v>23</v>
      </c>
      <c r="I1556" s="11" t="s">
        <v>113</v>
      </c>
      <c r="J1556" s="12" t="str">
        <f ca="1">IFERROR(__xludf.DUMMYFUNCTION("FILTER('CLASFICACIÓN'!$F$3:$F2419,'CLASFICACIÓN'!$G$3:$G2419=M1556)"),"2023 Y 2024")</f>
        <v>2023 Y 2024</v>
      </c>
      <c r="K1556" s="12" t="s">
        <v>2011</v>
      </c>
      <c r="L1556" s="11" t="s">
        <v>123</v>
      </c>
      <c r="M1556" s="12" t="str">
        <f t="shared" ca="1" si="6"/>
        <v>153834 Primaria</v>
      </c>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4"/>
    </row>
    <row r="1557" spans="1:36" ht="12.5" x14ac:dyDescent="0.25">
      <c r="A1557" s="9">
        <v>180</v>
      </c>
      <c r="B1557" s="10" t="s">
        <v>14</v>
      </c>
      <c r="C1557" s="10" t="s">
        <v>15</v>
      </c>
      <c r="D1557" s="10" t="s">
        <v>16</v>
      </c>
      <c r="E1557" s="11" t="str">
        <f ca="1">IFERROR(__xludf.DUMMYFUNCTION("FILTER(Colegios!$B$2:$B2419,Colegios!$A$2:$A2419=L1557)"),"15383")</f>
        <v>15383</v>
      </c>
      <c r="F1557" s="11" t="s">
        <v>17</v>
      </c>
      <c r="G1557" s="10" t="s">
        <v>18</v>
      </c>
      <c r="H1557" s="11" t="s">
        <v>23</v>
      </c>
      <c r="I1557" s="11" t="s">
        <v>113</v>
      </c>
      <c r="J1557" s="12" t="str">
        <f ca="1">IFERROR(__xludf.DUMMYFUNCTION("FILTER('CLASFICACIÓN'!$F$3:$F2419,'CLASFICACIÓN'!$G$3:$G2419=M1557)"),"2023 Y 2024")</f>
        <v>2023 Y 2024</v>
      </c>
      <c r="K1557" s="12" t="s">
        <v>2011</v>
      </c>
      <c r="L1557" s="11" t="s">
        <v>123</v>
      </c>
      <c r="M1557" s="12" t="str">
        <f t="shared" ca="1" si="6"/>
        <v>153834 Primaria</v>
      </c>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4"/>
    </row>
    <row r="1558" spans="1:36" ht="12.5" x14ac:dyDescent="0.25">
      <c r="A1558" s="9">
        <v>181</v>
      </c>
      <c r="B1558" s="10" t="s">
        <v>14</v>
      </c>
      <c r="C1558" s="10" t="s">
        <v>15</v>
      </c>
      <c r="D1558" s="10" t="s">
        <v>37</v>
      </c>
      <c r="E1558" s="11" t="str">
        <f ca="1">IFERROR(__xludf.DUMMYFUNCTION("FILTER(Colegios!$B$2:$B2419,Colegios!$A$2:$A2419=L1558)"),"15383")</f>
        <v>15383</v>
      </c>
      <c r="F1558" s="11" t="s">
        <v>17</v>
      </c>
      <c r="G1558" s="10" t="s">
        <v>24</v>
      </c>
      <c r="H1558" s="11" t="s">
        <v>23</v>
      </c>
      <c r="I1558" s="11" t="s">
        <v>113</v>
      </c>
      <c r="J1558" s="12" t="str">
        <f ca="1">IFERROR(__xludf.DUMMYFUNCTION("FILTER('CLASFICACIÓN'!$F$3:$F2419,'CLASFICACIÓN'!$G$3:$G2419=M1558)"),"SOLO 2023")</f>
        <v>SOLO 2023</v>
      </c>
      <c r="K1558" s="12" t="s">
        <v>2011</v>
      </c>
      <c r="L1558" s="11" t="s">
        <v>123</v>
      </c>
      <c r="M1558" s="12" t="str">
        <f t="shared" ca="1" si="6"/>
        <v>153836 Primaria</v>
      </c>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4"/>
    </row>
    <row r="1559" spans="1:36" ht="12.5" x14ac:dyDescent="0.25">
      <c r="A1559" s="9">
        <v>182</v>
      </c>
      <c r="B1559" s="10" t="s">
        <v>14</v>
      </c>
      <c r="C1559" s="10" t="s">
        <v>15</v>
      </c>
      <c r="D1559" s="10" t="s">
        <v>37</v>
      </c>
      <c r="E1559" s="11" t="str">
        <f ca="1">IFERROR(__xludf.DUMMYFUNCTION("FILTER(Colegios!$B$2:$B2419,Colegios!$A$2:$A2419=L1559)"),"15383")</f>
        <v>15383</v>
      </c>
      <c r="F1559" s="11" t="s">
        <v>17</v>
      </c>
      <c r="G1559" s="10" t="s">
        <v>18</v>
      </c>
      <c r="H1559" s="11" t="s">
        <v>23</v>
      </c>
      <c r="I1559" s="11" t="s">
        <v>113</v>
      </c>
      <c r="J1559" s="12" t="str">
        <f ca="1">IFERROR(__xludf.DUMMYFUNCTION("FILTER('CLASFICACIÓN'!$F$3:$F2419,'CLASFICACIÓN'!$G$3:$G2419=M1559)"),"SOLO 2023")</f>
        <v>SOLO 2023</v>
      </c>
      <c r="K1559" s="12" t="s">
        <v>2011</v>
      </c>
      <c r="L1559" s="11" t="s">
        <v>123</v>
      </c>
      <c r="M1559" s="12" t="str">
        <f t="shared" ca="1" si="6"/>
        <v>153836 Primaria</v>
      </c>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4"/>
    </row>
    <row r="1560" spans="1:36" ht="12.5" x14ac:dyDescent="0.25">
      <c r="A1560" s="9">
        <v>183</v>
      </c>
      <c r="B1560" s="10" t="s">
        <v>14</v>
      </c>
      <c r="C1560" s="10" t="s">
        <v>15</v>
      </c>
      <c r="D1560" s="10" t="s">
        <v>45</v>
      </c>
      <c r="E1560" s="11" t="str">
        <f ca="1">IFERROR(__xludf.DUMMYFUNCTION("FILTER(Colegios!$B$2:$B2419,Colegios!$A$2:$A2419=L1560)"),"15219")</f>
        <v>15219</v>
      </c>
      <c r="F1560" s="11" t="s">
        <v>17</v>
      </c>
      <c r="G1560" s="10" t="s">
        <v>18</v>
      </c>
      <c r="H1560" s="11" t="s">
        <v>23</v>
      </c>
      <c r="I1560" s="11" t="s">
        <v>113</v>
      </c>
      <c r="J1560" s="12" t="str">
        <f ca="1">IFERROR(__xludf.DUMMYFUNCTION("FILTER('CLASFICACIÓN'!$F$3:$F2419,'CLASFICACIÓN'!$G$3:$G2419=M1560)"),"2023 Y 2024")</f>
        <v>2023 Y 2024</v>
      </c>
      <c r="K1560" s="12" t="s">
        <v>2012</v>
      </c>
      <c r="L1560" s="11" t="s">
        <v>124</v>
      </c>
      <c r="M1560" s="12" t="str">
        <f t="shared" ca="1" si="6"/>
        <v>152192 Primaria</v>
      </c>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4"/>
    </row>
    <row r="1561" spans="1:36" ht="12.5" x14ac:dyDescent="0.25">
      <c r="A1561" s="9">
        <v>184</v>
      </c>
      <c r="B1561" s="10" t="s">
        <v>14</v>
      </c>
      <c r="C1561" s="10" t="s">
        <v>15</v>
      </c>
      <c r="D1561" s="10" t="s">
        <v>37</v>
      </c>
      <c r="E1561" s="11" t="str">
        <f ca="1">IFERROR(__xludf.DUMMYFUNCTION("FILTER(Colegios!$B$2:$B2419,Colegios!$A$2:$A2419=L1561)"),"15219")</f>
        <v>15219</v>
      </c>
      <c r="F1561" s="11" t="s">
        <v>17</v>
      </c>
      <c r="G1561" s="10" t="s">
        <v>24</v>
      </c>
      <c r="H1561" s="11" t="s">
        <v>23</v>
      </c>
      <c r="I1561" s="11" t="s">
        <v>113</v>
      </c>
      <c r="J1561" s="12" t="str">
        <f ca="1">IFERROR(__xludf.DUMMYFUNCTION("FILTER('CLASFICACIÓN'!$F$3:$F2419,'CLASFICACIÓN'!$G$3:$G2419=M1561)"),"2023 Y 2024")</f>
        <v>2023 Y 2024</v>
      </c>
      <c r="K1561" s="12" t="s">
        <v>2012</v>
      </c>
      <c r="L1561" s="11" t="s">
        <v>124</v>
      </c>
      <c r="M1561" s="12" t="str">
        <f t="shared" ca="1" si="6"/>
        <v>152196 Primaria</v>
      </c>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4"/>
    </row>
    <row r="1562" spans="1:36" ht="12.5" x14ac:dyDescent="0.25">
      <c r="A1562" s="9">
        <v>185</v>
      </c>
      <c r="B1562" s="10" t="s">
        <v>14</v>
      </c>
      <c r="C1562" s="10" t="s">
        <v>15</v>
      </c>
      <c r="D1562" s="10" t="s">
        <v>45</v>
      </c>
      <c r="E1562" s="11" t="str">
        <f ca="1">IFERROR(__xludf.DUMMYFUNCTION("FILTER(Colegios!$B$2:$B2419,Colegios!$A$2:$A2419=L1562)"),"SAGRADO CORAZON DE JESUS")</f>
        <v>SAGRADO CORAZON DE JESUS</v>
      </c>
      <c r="F1562" s="11" t="s">
        <v>17</v>
      </c>
      <c r="G1562" s="10" t="s">
        <v>24</v>
      </c>
      <c r="H1562" s="11" t="s">
        <v>25</v>
      </c>
      <c r="I1562" s="11" t="s">
        <v>113</v>
      </c>
      <c r="J1562" s="12" t="str">
        <f ca="1">IFERROR(__xludf.DUMMYFUNCTION("FILTER('CLASFICACIÓN'!$F$3:$F2419,'CLASFICACIÓN'!$G$3:$G2419=M1562)"),"SOLO 2023")</f>
        <v>SOLO 2023</v>
      </c>
      <c r="K1562" s="12" t="s">
        <v>2013</v>
      </c>
      <c r="L1562" s="11" t="s">
        <v>125</v>
      </c>
      <c r="M1562" s="12" t="str">
        <f t="shared" ca="1" si="6"/>
        <v>SAGRADO CORAZON DE JESUS2 Primaria</v>
      </c>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4"/>
    </row>
    <row r="1563" spans="1:36" ht="12.5" x14ac:dyDescent="0.25">
      <c r="A1563" s="9">
        <v>186</v>
      </c>
      <c r="B1563" s="10" t="s">
        <v>14</v>
      </c>
      <c r="C1563" s="10" t="s">
        <v>15</v>
      </c>
      <c r="D1563" s="10" t="s">
        <v>45</v>
      </c>
      <c r="E1563" s="11" t="str">
        <f ca="1">IFERROR(__xludf.DUMMYFUNCTION("FILTER(Colegios!$B$2:$B2419,Colegios!$A$2:$A2419=L1563)"),"SAGRADO CORAZON DE JESUS")</f>
        <v>SAGRADO CORAZON DE JESUS</v>
      </c>
      <c r="F1563" s="11" t="s">
        <v>17</v>
      </c>
      <c r="G1563" s="10" t="s">
        <v>18</v>
      </c>
      <c r="H1563" s="11" t="s">
        <v>23</v>
      </c>
      <c r="I1563" s="11" t="s">
        <v>113</v>
      </c>
      <c r="J1563" s="12" t="str">
        <f ca="1">IFERROR(__xludf.DUMMYFUNCTION("FILTER('CLASFICACIÓN'!$F$3:$F2419,'CLASFICACIÓN'!$G$3:$G2419=M1563)"),"SOLO 2023")</f>
        <v>SOLO 2023</v>
      </c>
      <c r="K1563" s="12" t="s">
        <v>2013</v>
      </c>
      <c r="L1563" s="11" t="s">
        <v>125</v>
      </c>
      <c r="M1563" s="12" t="str">
        <f t="shared" ca="1" si="6"/>
        <v>SAGRADO CORAZON DE JESUS2 Primaria</v>
      </c>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4"/>
    </row>
    <row r="1564" spans="1:36" ht="12.5" x14ac:dyDescent="0.25">
      <c r="A1564" s="9">
        <v>187</v>
      </c>
      <c r="B1564" s="10" t="s">
        <v>14</v>
      </c>
      <c r="C1564" s="10" t="s">
        <v>15</v>
      </c>
      <c r="D1564" s="10" t="s">
        <v>45</v>
      </c>
      <c r="E1564" s="11" t="str">
        <f ca="1">IFERROR(__xludf.DUMMYFUNCTION("FILTER(Colegios!$B$2:$B2419,Colegios!$A$2:$A2419=L1564)"),"SAGRADO CORAZON DE JESUS")</f>
        <v>SAGRADO CORAZON DE JESUS</v>
      </c>
      <c r="F1564" s="11" t="s">
        <v>17</v>
      </c>
      <c r="G1564" s="10" t="s">
        <v>24</v>
      </c>
      <c r="H1564" s="11" t="s">
        <v>23</v>
      </c>
      <c r="I1564" s="11" t="s">
        <v>113</v>
      </c>
      <c r="J1564" s="12" t="str">
        <f ca="1">IFERROR(__xludf.DUMMYFUNCTION("FILTER('CLASFICACIÓN'!$F$3:$F2419,'CLASFICACIÓN'!$G$3:$G2419=M1564)"),"SOLO 2023")</f>
        <v>SOLO 2023</v>
      </c>
      <c r="K1564" s="12" t="s">
        <v>2013</v>
      </c>
      <c r="L1564" s="11" t="s">
        <v>125</v>
      </c>
      <c r="M1564" s="12" t="str">
        <f t="shared" ca="1" si="6"/>
        <v>SAGRADO CORAZON DE JESUS2 Primaria</v>
      </c>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4"/>
    </row>
    <row r="1565" spans="1:36" ht="12.5" x14ac:dyDescent="0.25">
      <c r="A1565" s="9">
        <v>188</v>
      </c>
      <c r="B1565" s="10" t="s">
        <v>14</v>
      </c>
      <c r="C1565" s="10" t="s">
        <v>15</v>
      </c>
      <c r="D1565" s="10" t="s">
        <v>45</v>
      </c>
      <c r="E1565" s="11" t="str">
        <f ca="1">IFERROR(__xludf.DUMMYFUNCTION("FILTER(Colegios!$B$2:$B2419,Colegios!$A$2:$A2419=L1565)"),"SAGRADO CORAZON DE JESUS")</f>
        <v>SAGRADO CORAZON DE JESUS</v>
      </c>
      <c r="F1565" s="11" t="s">
        <v>17</v>
      </c>
      <c r="G1565" s="10" t="s">
        <v>18</v>
      </c>
      <c r="H1565" s="11" t="s">
        <v>23</v>
      </c>
      <c r="I1565" s="11" t="s">
        <v>113</v>
      </c>
      <c r="J1565" s="12" t="str">
        <f ca="1">IFERROR(__xludf.DUMMYFUNCTION("FILTER('CLASFICACIÓN'!$F$3:$F2419,'CLASFICACIÓN'!$G$3:$G2419=M1565)"),"SOLO 2023")</f>
        <v>SOLO 2023</v>
      </c>
      <c r="K1565" s="12" t="s">
        <v>2013</v>
      </c>
      <c r="L1565" s="11" t="s">
        <v>125</v>
      </c>
      <c r="M1565" s="12" t="str">
        <f t="shared" ca="1" si="6"/>
        <v>SAGRADO CORAZON DE JESUS2 Primaria</v>
      </c>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4"/>
    </row>
    <row r="1566" spans="1:36" ht="12.5" x14ac:dyDescent="0.25">
      <c r="A1566" s="9">
        <v>189</v>
      </c>
      <c r="B1566" s="10" t="s">
        <v>14</v>
      </c>
      <c r="C1566" s="10" t="s">
        <v>15</v>
      </c>
      <c r="D1566" s="10" t="s">
        <v>45</v>
      </c>
      <c r="E1566" s="11" t="str">
        <f ca="1">IFERROR(__xludf.DUMMYFUNCTION("FILTER(Colegios!$B$2:$B2419,Colegios!$A$2:$A2419=L1566)"),"SAGRADO CORAZON DE JESUS")</f>
        <v>SAGRADO CORAZON DE JESUS</v>
      </c>
      <c r="F1566" s="11" t="s">
        <v>17</v>
      </c>
      <c r="G1566" s="10" t="s">
        <v>18</v>
      </c>
      <c r="H1566" s="11" t="s">
        <v>23</v>
      </c>
      <c r="I1566" s="11" t="s">
        <v>113</v>
      </c>
      <c r="J1566" s="12" t="str">
        <f ca="1">IFERROR(__xludf.DUMMYFUNCTION("FILTER('CLASFICACIÓN'!$F$3:$F2419,'CLASFICACIÓN'!$G$3:$G2419=M1566)"),"SOLO 2023")</f>
        <v>SOLO 2023</v>
      </c>
      <c r="K1566" s="12" t="s">
        <v>2013</v>
      </c>
      <c r="L1566" s="11" t="s">
        <v>125</v>
      </c>
      <c r="M1566" s="12" t="str">
        <f t="shared" ca="1" si="6"/>
        <v>SAGRADO CORAZON DE JESUS2 Primaria</v>
      </c>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4"/>
    </row>
    <row r="1567" spans="1:36" ht="12.5" x14ac:dyDescent="0.25">
      <c r="A1567" s="9">
        <v>190</v>
      </c>
      <c r="B1567" s="10" t="s">
        <v>14</v>
      </c>
      <c r="C1567" s="10" t="s">
        <v>15</v>
      </c>
      <c r="D1567" s="10" t="s">
        <v>45</v>
      </c>
      <c r="E1567" s="11" t="str">
        <f ca="1">IFERROR(__xludf.DUMMYFUNCTION("FILTER(Colegios!$B$2:$B2419,Colegios!$A$2:$A2419=L1567)"),"SAGRADO CORAZON DE JESUS")</f>
        <v>SAGRADO CORAZON DE JESUS</v>
      </c>
      <c r="F1567" s="11" t="s">
        <v>17</v>
      </c>
      <c r="G1567" s="10" t="s">
        <v>18</v>
      </c>
      <c r="H1567" s="11" t="s">
        <v>23</v>
      </c>
      <c r="I1567" s="11" t="s">
        <v>113</v>
      </c>
      <c r="J1567" s="12" t="str">
        <f ca="1">IFERROR(__xludf.DUMMYFUNCTION("FILTER('CLASFICACIÓN'!$F$3:$F2419,'CLASFICACIÓN'!$G$3:$G2419=M1567)"),"SOLO 2023")</f>
        <v>SOLO 2023</v>
      </c>
      <c r="K1567" s="12" t="s">
        <v>2013</v>
      </c>
      <c r="L1567" s="11" t="s">
        <v>125</v>
      </c>
      <c r="M1567" s="12" t="str">
        <f t="shared" ca="1" si="6"/>
        <v>SAGRADO CORAZON DE JESUS2 Primaria</v>
      </c>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4"/>
    </row>
    <row r="1568" spans="1:36" ht="12.5" x14ac:dyDescent="0.25">
      <c r="A1568" s="9">
        <v>191</v>
      </c>
      <c r="B1568" s="10" t="s">
        <v>14</v>
      </c>
      <c r="C1568" s="10" t="s">
        <v>15</v>
      </c>
      <c r="D1568" s="10" t="s">
        <v>45</v>
      </c>
      <c r="E1568" s="11" t="str">
        <f ca="1">IFERROR(__xludf.DUMMYFUNCTION("FILTER(Colegios!$B$2:$B2419,Colegios!$A$2:$A2419=L1568)"),"SAGRADO CORAZON DE JESUS")</f>
        <v>SAGRADO CORAZON DE JESUS</v>
      </c>
      <c r="F1568" s="11" t="s">
        <v>17</v>
      </c>
      <c r="G1568" s="10" t="s">
        <v>18</v>
      </c>
      <c r="H1568" s="11" t="s">
        <v>23</v>
      </c>
      <c r="I1568" s="11" t="s">
        <v>113</v>
      </c>
      <c r="J1568" s="12" t="str">
        <f ca="1">IFERROR(__xludf.DUMMYFUNCTION("FILTER('CLASFICACIÓN'!$F$3:$F2419,'CLASFICACIÓN'!$G$3:$G2419=M1568)"),"SOLO 2023")</f>
        <v>SOLO 2023</v>
      </c>
      <c r="K1568" s="12" t="s">
        <v>2013</v>
      </c>
      <c r="L1568" s="11" t="s">
        <v>125</v>
      </c>
      <c r="M1568" s="12" t="str">
        <f t="shared" ca="1" si="6"/>
        <v>SAGRADO CORAZON DE JESUS2 Primaria</v>
      </c>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4"/>
    </row>
    <row r="1569" spans="1:36" ht="12.5" x14ac:dyDescent="0.25">
      <c r="A1569" s="9">
        <v>192</v>
      </c>
      <c r="B1569" s="10" t="s">
        <v>14</v>
      </c>
      <c r="C1569" s="10" t="s">
        <v>15</v>
      </c>
      <c r="D1569" s="10" t="s">
        <v>45</v>
      </c>
      <c r="E1569" s="11" t="str">
        <f ca="1">IFERROR(__xludf.DUMMYFUNCTION("FILTER(Colegios!$B$2:$B2419,Colegios!$A$2:$A2419=L1569)"),"SAGRADO CORAZON DE JESUS")</f>
        <v>SAGRADO CORAZON DE JESUS</v>
      </c>
      <c r="F1569" s="11" t="s">
        <v>17</v>
      </c>
      <c r="G1569" s="10" t="s">
        <v>24</v>
      </c>
      <c r="H1569" s="11" t="s">
        <v>23</v>
      </c>
      <c r="I1569" s="11" t="s">
        <v>113</v>
      </c>
      <c r="J1569" s="12" t="str">
        <f ca="1">IFERROR(__xludf.DUMMYFUNCTION("FILTER('CLASFICACIÓN'!$F$3:$F2419,'CLASFICACIÓN'!$G$3:$G2419=M1569)"),"SOLO 2023")</f>
        <v>SOLO 2023</v>
      </c>
      <c r="K1569" s="12" t="s">
        <v>2013</v>
      </c>
      <c r="L1569" s="11" t="s">
        <v>125</v>
      </c>
      <c r="M1569" s="12" t="str">
        <f t="shared" ca="1" si="6"/>
        <v>SAGRADO CORAZON DE JESUS2 Primaria</v>
      </c>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4"/>
    </row>
    <row r="1570" spans="1:36" ht="12.5" x14ac:dyDescent="0.25">
      <c r="A1570" s="9">
        <v>193</v>
      </c>
      <c r="B1570" s="10" t="s">
        <v>14</v>
      </c>
      <c r="C1570" s="10" t="s">
        <v>15</v>
      </c>
      <c r="D1570" s="10" t="s">
        <v>45</v>
      </c>
      <c r="E1570" s="11" t="str">
        <f ca="1">IFERROR(__xludf.DUMMYFUNCTION("FILTER(Colegios!$B$2:$B2419,Colegios!$A$2:$A2419=L1570)"),"SAGRADO CORAZON DE JESUS")</f>
        <v>SAGRADO CORAZON DE JESUS</v>
      </c>
      <c r="F1570" s="11" t="s">
        <v>17</v>
      </c>
      <c r="G1570" s="10" t="s">
        <v>24</v>
      </c>
      <c r="H1570" s="11" t="s">
        <v>23</v>
      </c>
      <c r="I1570" s="11" t="s">
        <v>113</v>
      </c>
      <c r="J1570" s="12" t="str">
        <f ca="1">IFERROR(__xludf.DUMMYFUNCTION("FILTER('CLASFICACIÓN'!$F$3:$F2419,'CLASFICACIÓN'!$G$3:$G2419=M1570)"),"SOLO 2023")</f>
        <v>SOLO 2023</v>
      </c>
      <c r="K1570" s="12" t="s">
        <v>2013</v>
      </c>
      <c r="L1570" s="11" t="s">
        <v>125</v>
      </c>
      <c r="M1570" s="12" t="str">
        <f t="shared" ca="1" si="6"/>
        <v>SAGRADO CORAZON DE JESUS2 Primaria</v>
      </c>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4"/>
    </row>
    <row r="1571" spans="1:36" ht="12.5" x14ac:dyDescent="0.25">
      <c r="A1571" s="9">
        <v>194</v>
      </c>
      <c r="B1571" s="10" t="s">
        <v>14</v>
      </c>
      <c r="C1571" s="10" t="s">
        <v>15</v>
      </c>
      <c r="D1571" s="10" t="s">
        <v>45</v>
      </c>
      <c r="E1571" s="11" t="str">
        <f ca="1">IFERROR(__xludf.DUMMYFUNCTION("FILTER(Colegios!$B$2:$B2419,Colegios!$A$2:$A2419=L1571)"),"SAGRADO CORAZON DE JESUS")</f>
        <v>SAGRADO CORAZON DE JESUS</v>
      </c>
      <c r="F1571" s="11" t="s">
        <v>17</v>
      </c>
      <c r="G1571" s="10" t="s">
        <v>18</v>
      </c>
      <c r="H1571" s="11" t="s">
        <v>23</v>
      </c>
      <c r="I1571" s="11" t="s">
        <v>113</v>
      </c>
      <c r="J1571" s="12" t="str">
        <f ca="1">IFERROR(__xludf.DUMMYFUNCTION("FILTER('CLASFICACIÓN'!$F$3:$F2419,'CLASFICACIÓN'!$G$3:$G2419=M1571)"),"SOLO 2023")</f>
        <v>SOLO 2023</v>
      </c>
      <c r="K1571" s="12" t="s">
        <v>2013</v>
      </c>
      <c r="L1571" s="11" t="s">
        <v>125</v>
      </c>
      <c r="M1571" s="12" t="str">
        <f t="shared" ca="1" si="6"/>
        <v>SAGRADO CORAZON DE JESUS2 Primaria</v>
      </c>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4"/>
    </row>
    <row r="1572" spans="1:36" ht="12.5" x14ac:dyDescent="0.25">
      <c r="A1572" s="9">
        <v>195</v>
      </c>
      <c r="B1572" s="10" t="s">
        <v>14</v>
      </c>
      <c r="C1572" s="10" t="s">
        <v>15</v>
      </c>
      <c r="D1572" s="10" t="s">
        <v>45</v>
      </c>
      <c r="E1572" s="11" t="str">
        <f ca="1">IFERROR(__xludf.DUMMYFUNCTION("FILTER(Colegios!$B$2:$B2419,Colegios!$A$2:$A2419=L1572)"),"SAGRADO CORAZON DE JESUS")</f>
        <v>SAGRADO CORAZON DE JESUS</v>
      </c>
      <c r="F1572" s="11" t="s">
        <v>17</v>
      </c>
      <c r="G1572" s="10" t="s">
        <v>18</v>
      </c>
      <c r="H1572" s="11" t="s">
        <v>23</v>
      </c>
      <c r="I1572" s="11" t="s">
        <v>113</v>
      </c>
      <c r="J1572" s="12" t="str">
        <f ca="1">IFERROR(__xludf.DUMMYFUNCTION("FILTER('CLASFICACIÓN'!$F$3:$F2419,'CLASFICACIÓN'!$G$3:$G2419=M1572)"),"SOLO 2023")</f>
        <v>SOLO 2023</v>
      </c>
      <c r="K1572" s="12" t="s">
        <v>2013</v>
      </c>
      <c r="L1572" s="11" t="s">
        <v>125</v>
      </c>
      <c r="M1572" s="12" t="str">
        <f t="shared" ca="1" si="6"/>
        <v>SAGRADO CORAZON DE JESUS2 Primaria</v>
      </c>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4"/>
    </row>
    <row r="1573" spans="1:36" ht="12.5" x14ac:dyDescent="0.25">
      <c r="A1573" s="9">
        <v>196</v>
      </c>
      <c r="B1573" s="10" t="s">
        <v>14</v>
      </c>
      <c r="C1573" s="10" t="s">
        <v>15</v>
      </c>
      <c r="D1573" s="10" t="s">
        <v>45</v>
      </c>
      <c r="E1573" s="11" t="str">
        <f ca="1">IFERROR(__xludf.DUMMYFUNCTION("FILTER(Colegios!$B$2:$B2419,Colegios!$A$2:$A2419=L1573)"),"SAGRADO CORAZON DE JESUS")</f>
        <v>SAGRADO CORAZON DE JESUS</v>
      </c>
      <c r="F1573" s="11" t="s">
        <v>17</v>
      </c>
      <c r="G1573" s="10" t="s">
        <v>18</v>
      </c>
      <c r="H1573" s="11" t="s">
        <v>19</v>
      </c>
      <c r="I1573" s="11" t="s">
        <v>113</v>
      </c>
      <c r="J1573" s="12" t="str">
        <f ca="1">IFERROR(__xludf.DUMMYFUNCTION("FILTER('CLASFICACIÓN'!$F$3:$F2419,'CLASFICACIÓN'!$G$3:$G2419=M1573)"),"SOLO 2023")</f>
        <v>SOLO 2023</v>
      </c>
      <c r="K1573" s="12" t="s">
        <v>2013</v>
      </c>
      <c r="L1573" s="11" t="s">
        <v>125</v>
      </c>
      <c r="M1573" s="12" t="str">
        <f t="shared" ca="1" si="6"/>
        <v>SAGRADO CORAZON DE JESUS2 Primaria</v>
      </c>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4"/>
    </row>
    <row r="1574" spans="1:36" ht="12.5" x14ac:dyDescent="0.25">
      <c r="A1574" s="9">
        <v>197</v>
      </c>
      <c r="B1574" s="10" t="s">
        <v>14</v>
      </c>
      <c r="C1574" s="10" t="s">
        <v>15</v>
      </c>
      <c r="D1574" s="10" t="s">
        <v>45</v>
      </c>
      <c r="E1574" s="11" t="str">
        <f ca="1">IFERROR(__xludf.DUMMYFUNCTION("FILTER(Colegios!$B$2:$B2419,Colegios!$A$2:$A2419=L1574)"),"SAGRADO CORAZON DE JESUS")</f>
        <v>SAGRADO CORAZON DE JESUS</v>
      </c>
      <c r="F1574" s="11" t="s">
        <v>17</v>
      </c>
      <c r="G1574" s="10" t="s">
        <v>18</v>
      </c>
      <c r="H1574" s="11" t="s">
        <v>19</v>
      </c>
      <c r="I1574" s="11" t="s">
        <v>113</v>
      </c>
      <c r="J1574" s="12" t="str">
        <f ca="1">IFERROR(__xludf.DUMMYFUNCTION("FILTER('CLASFICACIÓN'!$F$3:$F2419,'CLASFICACIÓN'!$G$3:$G2419=M1574)"),"SOLO 2023")</f>
        <v>SOLO 2023</v>
      </c>
      <c r="K1574" s="12" t="s">
        <v>2013</v>
      </c>
      <c r="L1574" s="11" t="s">
        <v>125</v>
      </c>
      <c r="M1574" s="12" t="str">
        <f t="shared" ca="1" si="6"/>
        <v>SAGRADO CORAZON DE JESUS2 Primaria</v>
      </c>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4"/>
    </row>
    <row r="1575" spans="1:36" ht="12.5" x14ac:dyDescent="0.25">
      <c r="A1575" s="9">
        <v>198</v>
      </c>
      <c r="B1575" s="10" t="s">
        <v>14</v>
      </c>
      <c r="C1575" s="10" t="s">
        <v>15</v>
      </c>
      <c r="D1575" s="10" t="s">
        <v>45</v>
      </c>
      <c r="E1575" s="11" t="str">
        <f ca="1">IFERROR(__xludf.DUMMYFUNCTION("FILTER(Colegios!$B$2:$B2419,Colegios!$A$2:$A2419=L1575)"),"SAGRADO CORAZON DE JESUS")</f>
        <v>SAGRADO CORAZON DE JESUS</v>
      </c>
      <c r="F1575" s="11" t="s">
        <v>17</v>
      </c>
      <c r="G1575" s="10" t="s">
        <v>24</v>
      </c>
      <c r="H1575" s="11" t="s">
        <v>19</v>
      </c>
      <c r="I1575" s="11" t="s">
        <v>113</v>
      </c>
      <c r="J1575" s="12" t="str">
        <f ca="1">IFERROR(__xludf.DUMMYFUNCTION("FILTER('CLASFICACIÓN'!$F$3:$F2419,'CLASFICACIÓN'!$G$3:$G2419=M1575)"),"SOLO 2023")</f>
        <v>SOLO 2023</v>
      </c>
      <c r="K1575" s="12" t="s">
        <v>2013</v>
      </c>
      <c r="L1575" s="11" t="s">
        <v>125</v>
      </c>
      <c r="M1575" s="12" t="str">
        <f t="shared" ca="1" si="6"/>
        <v>SAGRADO CORAZON DE JESUS2 Primaria</v>
      </c>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4"/>
    </row>
    <row r="1576" spans="1:36" ht="12.5" x14ac:dyDescent="0.25">
      <c r="A1576" s="9">
        <v>199</v>
      </c>
      <c r="B1576" s="10" t="s">
        <v>14</v>
      </c>
      <c r="C1576" s="10" t="s">
        <v>15</v>
      </c>
      <c r="D1576" s="10" t="s">
        <v>16</v>
      </c>
      <c r="E1576" s="11" t="str">
        <f ca="1">IFERROR(__xludf.DUMMYFUNCTION("FILTER(Colegios!$B$2:$B2419,Colegios!$A$2:$A2419=L1576)"),"SAGRADO CORAZON DE JESUS")</f>
        <v>SAGRADO CORAZON DE JESUS</v>
      </c>
      <c r="F1576" s="11" t="s">
        <v>17</v>
      </c>
      <c r="G1576" s="10" t="s">
        <v>24</v>
      </c>
      <c r="H1576" s="11" t="s">
        <v>23</v>
      </c>
      <c r="I1576" s="11" t="s">
        <v>113</v>
      </c>
      <c r="J1576" s="12" t="str">
        <f ca="1">IFERROR(__xludf.DUMMYFUNCTION("FILTER('CLASFICACIÓN'!$F$3:$F2419,'CLASFICACIÓN'!$G$3:$G2419=M1576)"),"2023 Y 2024")</f>
        <v>2023 Y 2024</v>
      </c>
      <c r="K1576" s="12" t="s">
        <v>2013</v>
      </c>
      <c r="L1576" s="11" t="s">
        <v>125</v>
      </c>
      <c r="M1576" s="12" t="str">
        <f t="shared" ca="1" si="6"/>
        <v>SAGRADO CORAZON DE JESUS4 Primaria</v>
      </c>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4"/>
    </row>
    <row r="1577" spans="1:36" ht="12.5" x14ac:dyDescent="0.25">
      <c r="A1577" s="9">
        <v>200</v>
      </c>
      <c r="B1577" s="10" t="s">
        <v>14</v>
      </c>
      <c r="C1577" s="10" t="s">
        <v>15</v>
      </c>
      <c r="D1577" s="10" t="s">
        <v>16</v>
      </c>
      <c r="E1577" s="11" t="str">
        <f ca="1">IFERROR(__xludf.DUMMYFUNCTION("FILTER(Colegios!$B$2:$B2419,Colegios!$A$2:$A2419=L1577)"),"SAGRADO CORAZON DE JESUS")</f>
        <v>SAGRADO CORAZON DE JESUS</v>
      </c>
      <c r="F1577" s="11" t="s">
        <v>17</v>
      </c>
      <c r="G1577" s="10" t="s">
        <v>18</v>
      </c>
      <c r="H1577" s="11" t="s">
        <v>23</v>
      </c>
      <c r="I1577" s="11" t="s">
        <v>113</v>
      </c>
      <c r="J1577" s="12" t="str">
        <f ca="1">IFERROR(__xludf.DUMMYFUNCTION("FILTER('CLASFICACIÓN'!$F$3:$F2419,'CLASFICACIÓN'!$G$3:$G2419=M1577)"),"2023 Y 2024")</f>
        <v>2023 Y 2024</v>
      </c>
      <c r="K1577" s="12" t="s">
        <v>2013</v>
      </c>
      <c r="L1577" s="11" t="s">
        <v>125</v>
      </c>
      <c r="M1577" s="12" t="str">
        <f t="shared" ca="1" si="6"/>
        <v>SAGRADO CORAZON DE JESUS4 Primaria</v>
      </c>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4"/>
    </row>
    <row r="1578" spans="1:36" ht="12.5" x14ac:dyDescent="0.25">
      <c r="A1578" s="9">
        <v>201</v>
      </c>
      <c r="B1578" s="10" t="s">
        <v>14</v>
      </c>
      <c r="C1578" s="10" t="s">
        <v>15</v>
      </c>
      <c r="D1578" s="10" t="s">
        <v>16</v>
      </c>
      <c r="E1578" s="11" t="str">
        <f ca="1">IFERROR(__xludf.DUMMYFUNCTION("FILTER(Colegios!$B$2:$B2419,Colegios!$A$2:$A2419=L1578)"),"SAGRADO CORAZON DE JESUS")</f>
        <v>SAGRADO CORAZON DE JESUS</v>
      </c>
      <c r="F1578" s="11" t="s">
        <v>17</v>
      </c>
      <c r="G1578" s="10" t="s">
        <v>24</v>
      </c>
      <c r="H1578" s="11" t="s">
        <v>19</v>
      </c>
      <c r="I1578" s="11" t="s">
        <v>113</v>
      </c>
      <c r="J1578" s="12" t="str">
        <f ca="1">IFERROR(__xludf.DUMMYFUNCTION("FILTER('CLASFICACIÓN'!$F$3:$F2419,'CLASFICACIÓN'!$G$3:$G2419=M1578)"),"2023 Y 2024")</f>
        <v>2023 Y 2024</v>
      </c>
      <c r="K1578" s="12" t="s">
        <v>2013</v>
      </c>
      <c r="L1578" s="11" t="s">
        <v>125</v>
      </c>
      <c r="M1578" s="12" t="str">
        <f t="shared" ca="1" si="6"/>
        <v>SAGRADO CORAZON DE JESUS4 Primaria</v>
      </c>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4"/>
    </row>
    <row r="1579" spans="1:36" ht="12.5" x14ac:dyDescent="0.25">
      <c r="A1579" s="9">
        <v>202</v>
      </c>
      <c r="B1579" s="10" t="s">
        <v>14</v>
      </c>
      <c r="C1579" s="10" t="s">
        <v>15</v>
      </c>
      <c r="D1579" s="10" t="s">
        <v>16</v>
      </c>
      <c r="E1579" s="11" t="str">
        <f ca="1">IFERROR(__xludf.DUMMYFUNCTION("FILTER(Colegios!$B$2:$B2419,Colegios!$A$2:$A2419=L1579)"),"SAGRADO CORAZON DE JESUS")</f>
        <v>SAGRADO CORAZON DE JESUS</v>
      </c>
      <c r="F1579" s="11" t="s">
        <v>17</v>
      </c>
      <c r="G1579" s="10" t="s">
        <v>18</v>
      </c>
      <c r="H1579" s="11" t="s">
        <v>19</v>
      </c>
      <c r="I1579" s="11" t="s">
        <v>113</v>
      </c>
      <c r="J1579" s="12" t="str">
        <f ca="1">IFERROR(__xludf.DUMMYFUNCTION("FILTER('CLASFICACIÓN'!$F$3:$F2419,'CLASFICACIÓN'!$G$3:$G2419=M1579)"),"2023 Y 2024")</f>
        <v>2023 Y 2024</v>
      </c>
      <c r="K1579" s="12" t="s">
        <v>2013</v>
      </c>
      <c r="L1579" s="11" t="s">
        <v>125</v>
      </c>
      <c r="M1579" s="12" t="str">
        <f t="shared" ca="1" si="6"/>
        <v>SAGRADO CORAZON DE JESUS4 Primaria</v>
      </c>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4"/>
    </row>
    <row r="1580" spans="1:36" ht="12.5" x14ac:dyDescent="0.25">
      <c r="A1580" s="9">
        <v>203</v>
      </c>
      <c r="B1580" s="10" t="s">
        <v>14</v>
      </c>
      <c r="C1580" s="10" t="s">
        <v>15</v>
      </c>
      <c r="D1580" s="10" t="s">
        <v>16</v>
      </c>
      <c r="E1580" s="11" t="str">
        <f ca="1">IFERROR(__xludf.DUMMYFUNCTION("FILTER(Colegios!$B$2:$B2419,Colegios!$A$2:$A2419=L1580)"),"SAGRADO CORAZON DE JESUS")</f>
        <v>SAGRADO CORAZON DE JESUS</v>
      </c>
      <c r="F1580" s="11" t="s">
        <v>17</v>
      </c>
      <c r="G1580" s="10" t="s">
        <v>18</v>
      </c>
      <c r="H1580" s="11" t="s">
        <v>19</v>
      </c>
      <c r="I1580" s="11" t="s">
        <v>113</v>
      </c>
      <c r="J1580" s="12" t="str">
        <f ca="1">IFERROR(__xludf.DUMMYFUNCTION("FILTER('CLASFICACIÓN'!$F$3:$F2419,'CLASFICACIÓN'!$G$3:$G2419=M1580)"),"2023 Y 2024")</f>
        <v>2023 Y 2024</v>
      </c>
      <c r="K1580" s="12" t="s">
        <v>2013</v>
      </c>
      <c r="L1580" s="11" t="s">
        <v>125</v>
      </c>
      <c r="M1580" s="12" t="str">
        <f t="shared" ca="1" si="6"/>
        <v>SAGRADO CORAZON DE JESUS4 Primaria</v>
      </c>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4"/>
    </row>
    <row r="1581" spans="1:36" ht="12.5" x14ac:dyDescent="0.25">
      <c r="A1581" s="9">
        <v>204</v>
      </c>
      <c r="B1581" s="10" t="s">
        <v>14</v>
      </c>
      <c r="C1581" s="10" t="s">
        <v>15</v>
      </c>
      <c r="D1581" s="10" t="s">
        <v>16</v>
      </c>
      <c r="E1581" s="11" t="str">
        <f ca="1">IFERROR(__xludf.DUMMYFUNCTION("FILTER(Colegios!$B$2:$B2419,Colegios!$A$2:$A2419=L1581)"),"SAGRADO CORAZON DE JESUS")</f>
        <v>SAGRADO CORAZON DE JESUS</v>
      </c>
      <c r="F1581" s="11" t="s">
        <v>17</v>
      </c>
      <c r="G1581" s="10" t="s">
        <v>18</v>
      </c>
      <c r="H1581" s="11" t="s">
        <v>19</v>
      </c>
      <c r="I1581" s="11" t="s">
        <v>113</v>
      </c>
      <c r="J1581" s="12" t="str">
        <f ca="1">IFERROR(__xludf.DUMMYFUNCTION("FILTER('CLASFICACIÓN'!$F$3:$F2419,'CLASFICACIÓN'!$G$3:$G2419=M1581)"),"2023 Y 2024")</f>
        <v>2023 Y 2024</v>
      </c>
      <c r="K1581" s="12" t="s">
        <v>2013</v>
      </c>
      <c r="L1581" s="11" t="s">
        <v>125</v>
      </c>
      <c r="M1581" s="12" t="str">
        <f t="shared" ca="1" si="6"/>
        <v>SAGRADO CORAZON DE JESUS4 Primaria</v>
      </c>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4"/>
    </row>
    <row r="1582" spans="1:36" ht="12.5" x14ac:dyDescent="0.25">
      <c r="A1582" s="9">
        <v>205</v>
      </c>
      <c r="B1582" s="10" t="s">
        <v>14</v>
      </c>
      <c r="C1582" s="10" t="s">
        <v>15</v>
      </c>
      <c r="D1582" s="10" t="s">
        <v>16</v>
      </c>
      <c r="E1582" s="11" t="str">
        <f ca="1">IFERROR(__xludf.DUMMYFUNCTION("FILTER(Colegios!$B$2:$B2419,Colegios!$A$2:$A2419=L1582)"),"SAGRADO CORAZON DE JESUS")</f>
        <v>SAGRADO CORAZON DE JESUS</v>
      </c>
      <c r="F1582" s="11" t="s">
        <v>17</v>
      </c>
      <c r="G1582" s="10" t="s">
        <v>24</v>
      </c>
      <c r="H1582" s="11" t="s">
        <v>19</v>
      </c>
      <c r="I1582" s="11" t="s">
        <v>113</v>
      </c>
      <c r="J1582" s="12" t="str">
        <f ca="1">IFERROR(__xludf.DUMMYFUNCTION("FILTER('CLASFICACIÓN'!$F$3:$F2419,'CLASFICACIÓN'!$G$3:$G2419=M1582)"),"2023 Y 2024")</f>
        <v>2023 Y 2024</v>
      </c>
      <c r="K1582" s="12" t="s">
        <v>2013</v>
      </c>
      <c r="L1582" s="11" t="s">
        <v>125</v>
      </c>
      <c r="M1582" s="12" t="str">
        <f t="shared" ca="1" si="6"/>
        <v>SAGRADO CORAZON DE JESUS4 Primaria</v>
      </c>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4"/>
    </row>
    <row r="1583" spans="1:36" ht="12.5" x14ac:dyDescent="0.25">
      <c r="A1583" s="9">
        <v>206</v>
      </c>
      <c r="B1583" s="10" t="s">
        <v>14</v>
      </c>
      <c r="C1583" s="10" t="s">
        <v>15</v>
      </c>
      <c r="D1583" s="10" t="s">
        <v>16</v>
      </c>
      <c r="E1583" s="11" t="str">
        <f ca="1">IFERROR(__xludf.DUMMYFUNCTION("FILTER(Colegios!$B$2:$B2419,Colegios!$A$2:$A2419=L1583)"),"SAGRADO CORAZON DE JESUS")</f>
        <v>SAGRADO CORAZON DE JESUS</v>
      </c>
      <c r="F1583" s="11" t="s">
        <v>17</v>
      </c>
      <c r="G1583" s="10" t="s">
        <v>24</v>
      </c>
      <c r="H1583" s="11" t="s">
        <v>19</v>
      </c>
      <c r="I1583" s="11" t="s">
        <v>113</v>
      </c>
      <c r="J1583" s="12" t="str">
        <f ca="1">IFERROR(__xludf.DUMMYFUNCTION("FILTER('CLASFICACIÓN'!$F$3:$F2419,'CLASFICACIÓN'!$G$3:$G2419=M1583)"),"2023 Y 2024")</f>
        <v>2023 Y 2024</v>
      </c>
      <c r="K1583" s="12" t="s">
        <v>2013</v>
      </c>
      <c r="L1583" s="11" t="s">
        <v>125</v>
      </c>
      <c r="M1583" s="12" t="str">
        <f t="shared" ca="1" si="6"/>
        <v>SAGRADO CORAZON DE JESUS4 Primaria</v>
      </c>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4"/>
    </row>
    <row r="1584" spans="1:36" ht="12.5" x14ac:dyDescent="0.25">
      <c r="A1584" s="9">
        <v>207</v>
      </c>
      <c r="B1584" s="10" t="s">
        <v>14</v>
      </c>
      <c r="C1584" s="10" t="s">
        <v>15</v>
      </c>
      <c r="D1584" s="10" t="s">
        <v>16</v>
      </c>
      <c r="E1584" s="11" t="str">
        <f ca="1">IFERROR(__xludf.DUMMYFUNCTION("FILTER(Colegios!$B$2:$B2419,Colegios!$A$2:$A2419=L1584)"),"SAGRADO CORAZON DE JESUS")</f>
        <v>SAGRADO CORAZON DE JESUS</v>
      </c>
      <c r="F1584" s="11" t="s">
        <v>17</v>
      </c>
      <c r="G1584" s="10" t="s">
        <v>24</v>
      </c>
      <c r="H1584" s="11" t="s">
        <v>19</v>
      </c>
      <c r="I1584" s="11" t="s">
        <v>113</v>
      </c>
      <c r="J1584" s="12" t="str">
        <f ca="1">IFERROR(__xludf.DUMMYFUNCTION("FILTER('CLASFICACIÓN'!$F$3:$F2419,'CLASFICACIÓN'!$G$3:$G2419=M1584)"),"2023 Y 2024")</f>
        <v>2023 Y 2024</v>
      </c>
      <c r="K1584" s="12" t="s">
        <v>2013</v>
      </c>
      <c r="L1584" s="11" t="s">
        <v>125</v>
      </c>
      <c r="M1584" s="12" t="str">
        <f t="shared" ca="1" si="6"/>
        <v>SAGRADO CORAZON DE JESUS4 Primaria</v>
      </c>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4"/>
    </row>
    <row r="1585" spans="1:36" ht="12.5" x14ac:dyDescent="0.25">
      <c r="A1585" s="9">
        <v>208</v>
      </c>
      <c r="B1585" s="10" t="s">
        <v>14</v>
      </c>
      <c r="C1585" s="10" t="s">
        <v>15</v>
      </c>
      <c r="D1585" s="10" t="s">
        <v>16</v>
      </c>
      <c r="E1585" s="11" t="str">
        <f ca="1">IFERROR(__xludf.DUMMYFUNCTION("FILTER(Colegios!$B$2:$B2419,Colegios!$A$2:$A2419=L1585)"),"SAGRADO CORAZON DE JESUS")</f>
        <v>SAGRADO CORAZON DE JESUS</v>
      </c>
      <c r="F1585" s="11" t="s">
        <v>17</v>
      </c>
      <c r="G1585" s="10" t="s">
        <v>24</v>
      </c>
      <c r="H1585" s="11" t="s">
        <v>19</v>
      </c>
      <c r="I1585" s="11" t="s">
        <v>113</v>
      </c>
      <c r="J1585" s="12" t="str">
        <f ca="1">IFERROR(__xludf.DUMMYFUNCTION("FILTER('CLASFICACIÓN'!$F$3:$F2419,'CLASFICACIÓN'!$G$3:$G2419=M1585)"),"2023 Y 2024")</f>
        <v>2023 Y 2024</v>
      </c>
      <c r="K1585" s="12" t="s">
        <v>2013</v>
      </c>
      <c r="L1585" s="11" t="s">
        <v>125</v>
      </c>
      <c r="M1585" s="12" t="str">
        <f t="shared" ca="1" si="6"/>
        <v>SAGRADO CORAZON DE JESUS4 Primaria</v>
      </c>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4"/>
    </row>
    <row r="1586" spans="1:36" ht="12.5" x14ac:dyDescent="0.25">
      <c r="A1586" s="9">
        <v>209</v>
      </c>
      <c r="B1586" s="10" t="s">
        <v>14</v>
      </c>
      <c r="C1586" s="10" t="s">
        <v>15</v>
      </c>
      <c r="D1586" s="10" t="s">
        <v>16</v>
      </c>
      <c r="E1586" s="11" t="str">
        <f ca="1">IFERROR(__xludf.DUMMYFUNCTION("FILTER(Colegios!$B$2:$B2419,Colegios!$A$2:$A2419=L1586)"),"SAGRADO CORAZON DE JESUS")</f>
        <v>SAGRADO CORAZON DE JESUS</v>
      </c>
      <c r="F1586" s="11" t="s">
        <v>17</v>
      </c>
      <c r="G1586" s="10" t="s">
        <v>18</v>
      </c>
      <c r="H1586" s="11" t="s">
        <v>19</v>
      </c>
      <c r="I1586" s="11" t="s">
        <v>113</v>
      </c>
      <c r="J1586" s="12" t="str">
        <f ca="1">IFERROR(__xludf.DUMMYFUNCTION("FILTER('CLASFICACIÓN'!$F$3:$F2419,'CLASFICACIÓN'!$G$3:$G2419=M1586)"),"2023 Y 2024")</f>
        <v>2023 Y 2024</v>
      </c>
      <c r="K1586" s="12" t="s">
        <v>2013</v>
      </c>
      <c r="L1586" s="11" t="s">
        <v>125</v>
      </c>
      <c r="M1586" s="12" t="str">
        <f t="shared" ca="1" si="6"/>
        <v>SAGRADO CORAZON DE JESUS4 Primaria</v>
      </c>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4"/>
    </row>
    <row r="1587" spans="1:36" ht="12.5" x14ac:dyDescent="0.25">
      <c r="A1587" s="9">
        <v>210</v>
      </c>
      <c r="B1587" s="10" t="s">
        <v>14</v>
      </c>
      <c r="C1587" s="10" t="s">
        <v>15</v>
      </c>
      <c r="D1587" s="10" t="s">
        <v>16</v>
      </c>
      <c r="E1587" s="11" t="str">
        <f ca="1">IFERROR(__xludf.DUMMYFUNCTION("FILTER(Colegios!$B$2:$B2419,Colegios!$A$2:$A2419=L1587)"),"SAGRADO CORAZON DE JESUS")</f>
        <v>SAGRADO CORAZON DE JESUS</v>
      </c>
      <c r="F1587" s="11" t="s">
        <v>17</v>
      </c>
      <c r="G1587" s="10" t="s">
        <v>18</v>
      </c>
      <c r="H1587" s="11" t="s">
        <v>19</v>
      </c>
      <c r="I1587" s="11" t="s">
        <v>113</v>
      </c>
      <c r="J1587" s="12" t="str">
        <f ca="1">IFERROR(__xludf.DUMMYFUNCTION("FILTER('CLASFICACIÓN'!$F$3:$F2419,'CLASFICACIÓN'!$G$3:$G2419=M1587)"),"2023 Y 2024")</f>
        <v>2023 Y 2024</v>
      </c>
      <c r="K1587" s="12" t="s">
        <v>2013</v>
      </c>
      <c r="L1587" s="11" t="s">
        <v>125</v>
      </c>
      <c r="M1587" s="12" t="str">
        <f t="shared" ca="1" si="6"/>
        <v>SAGRADO CORAZON DE JESUS4 Primaria</v>
      </c>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4"/>
    </row>
    <row r="1588" spans="1:36" ht="12.5" x14ac:dyDescent="0.25">
      <c r="A1588" s="9">
        <v>211</v>
      </c>
      <c r="B1588" s="10" t="s">
        <v>14</v>
      </c>
      <c r="C1588" s="10" t="s">
        <v>15</v>
      </c>
      <c r="D1588" s="10" t="s">
        <v>16</v>
      </c>
      <c r="E1588" s="11" t="str">
        <f ca="1">IFERROR(__xludf.DUMMYFUNCTION("FILTER(Colegios!$B$2:$B2419,Colegios!$A$2:$A2419=L1588)"),"SAGRADO CORAZON DE JESUS")</f>
        <v>SAGRADO CORAZON DE JESUS</v>
      </c>
      <c r="F1588" s="11" t="s">
        <v>17</v>
      </c>
      <c r="G1588" s="10" t="s">
        <v>18</v>
      </c>
      <c r="H1588" s="11" t="s">
        <v>23</v>
      </c>
      <c r="I1588" s="11" t="s">
        <v>113</v>
      </c>
      <c r="J1588" s="12" t="str">
        <f ca="1">IFERROR(__xludf.DUMMYFUNCTION("FILTER('CLASFICACIÓN'!$F$3:$F2419,'CLASFICACIÓN'!$G$3:$G2419=M1588)"),"2023 Y 2024")</f>
        <v>2023 Y 2024</v>
      </c>
      <c r="K1588" s="12" t="s">
        <v>2013</v>
      </c>
      <c r="L1588" s="11" t="s">
        <v>125</v>
      </c>
      <c r="M1588" s="12" t="str">
        <f t="shared" ca="1" si="6"/>
        <v>SAGRADO CORAZON DE JESUS4 Primaria</v>
      </c>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4"/>
    </row>
    <row r="1589" spans="1:36" ht="12.5" x14ac:dyDescent="0.25">
      <c r="A1589" s="9">
        <v>212</v>
      </c>
      <c r="B1589" s="10" t="s">
        <v>14</v>
      </c>
      <c r="C1589" s="10" t="s">
        <v>15</v>
      </c>
      <c r="D1589" s="10" t="s">
        <v>37</v>
      </c>
      <c r="E1589" s="11" t="str">
        <f ca="1">IFERROR(__xludf.DUMMYFUNCTION("FILTER(Colegios!$B$2:$B2419,Colegios!$A$2:$A2419=L1589)"),"SAGRADO CORAZON DE JESUS")</f>
        <v>SAGRADO CORAZON DE JESUS</v>
      </c>
      <c r="F1589" s="11" t="s">
        <v>17</v>
      </c>
      <c r="G1589" s="10" t="s">
        <v>18</v>
      </c>
      <c r="H1589" s="11" t="s">
        <v>23</v>
      </c>
      <c r="I1589" s="11" t="s">
        <v>113</v>
      </c>
      <c r="J1589" s="12" t="str">
        <f ca="1">IFERROR(__xludf.DUMMYFUNCTION("FILTER('CLASFICACIÓN'!$F$3:$F2419,'CLASFICACIÓN'!$G$3:$G2419=M1589)"),"2023 Y 2024")</f>
        <v>2023 Y 2024</v>
      </c>
      <c r="K1589" s="12" t="s">
        <v>2013</v>
      </c>
      <c r="L1589" s="11" t="s">
        <v>125</v>
      </c>
      <c r="M1589" s="12" t="str">
        <f t="shared" ca="1" si="6"/>
        <v>SAGRADO CORAZON DE JESUS6 Primaria</v>
      </c>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4"/>
    </row>
    <row r="1590" spans="1:36" ht="12.5" x14ac:dyDescent="0.25">
      <c r="A1590" s="9">
        <v>213</v>
      </c>
      <c r="B1590" s="10" t="s">
        <v>14</v>
      </c>
      <c r="C1590" s="10" t="s">
        <v>15</v>
      </c>
      <c r="D1590" s="10" t="s">
        <v>37</v>
      </c>
      <c r="E1590" s="11" t="str">
        <f ca="1">IFERROR(__xludf.DUMMYFUNCTION("FILTER(Colegios!$B$2:$B2419,Colegios!$A$2:$A2419=L1590)"),"SAGRADO CORAZON DE JESUS")</f>
        <v>SAGRADO CORAZON DE JESUS</v>
      </c>
      <c r="F1590" s="11" t="s">
        <v>17</v>
      </c>
      <c r="G1590" s="10" t="s">
        <v>24</v>
      </c>
      <c r="H1590" s="11" t="s">
        <v>23</v>
      </c>
      <c r="I1590" s="11" t="s">
        <v>113</v>
      </c>
      <c r="J1590" s="12" t="str">
        <f ca="1">IFERROR(__xludf.DUMMYFUNCTION("FILTER('CLASFICACIÓN'!$F$3:$F2419,'CLASFICACIÓN'!$G$3:$G2419=M1590)"),"2023 Y 2024")</f>
        <v>2023 Y 2024</v>
      </c>
      <c r="K1590" s="12" t="s">
        <v>2013</v>
      </c>
      <c r="L1590" s="11" t="s">
        <v>125</v>
      </c>
      <c r="M1590" s="12" t="str">
        <f t="shared" ca="1" si="6"/>
        <v>SAGRADO CORAZON DE JESUS6 Primaria</v>
      </c>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4"/>
    </row>
    <row r="1591" spans="1:36" ht="12.5" x14ac:dyDescent="0.25">
      <c r="A1591" s="9">
        <v>214</v>
      </c>
      <c r="B1591" s="10" t="s">
        <v>14</v>
      </c>
      <c r="C1591" s="10" t="s">
        <v>15</v>
      </c>
      <c r="D1591" s="10" t="s">
        <v>37</v>
      </c>
      <c r="E1591" s="11" t="str">
        <f ca="1">IFERROR(__xludf.DUMMYFUNCTION("FILTER(Colegios!$B$2:$B2419,Colegios!$A$2:$A2419=L1591)"),"SAGRADO CORAZON DE JESUS")</f>
        <v>SAGRADO CORAZON DE JESUS</v>
      </c>
      <c r="F1591" s="11" t="s">
        <v>17</v>
      </c>
      <c r="G1591" s="10" t="s">
        <v>18</v>
      </c>
      <c r="H1591" s="11" t="s">
        <v>23</v>
      </c>
      <c r="I1591" s="11" t="s">
        <v>113</v>
      </c>
      <c r="J1591" s="12" t="str">
        <f ca="1">IFERROR(__xludf.DUMMYFUNCTION("FILTER('CLASFICACIÓN'!$F$3:$F2419,'CLASFICACIÓN'!$G$3:$G2419=M1591)"),"2023 Y 2024")</f>
        <v>2023 Y 2024</v>
      </c>
      <c r="K1591" s="12" t="s">
        <v>2013</v>
      </c>
      <c r="L1591" s="11" t="s">
        <v>125</v>
      </c>
      <c r="M1591" s="12" t="str">
        <f t="shared" ca="1" si="6"/>
        <v>SAGRADO CORAZON DE JESUS6 Primaria</v>
      </c>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4"/>
    </row>
    <row r="1592" spans="1:36" ht="12.5" x14ac:dyDescent="0.25">
      <c r="A1592" s="9">
        <v>215</v>
      </c>
      <c r="B1592" s="10" t="s">
        <v>14</v>
      </c>
      <c r="C1592" s="10" t="s">
        <v>15</v>
      </c>
      <c r="D1592" s="10" t="s">
        <v>37</v>
      </c>
      <c r="E1592" s="11" t="str">
        <f ca="1">IFERROR(__xludf.DUMMYFUNCTION("FILTER(Colegios!$B$2:$B2419,Colegios!$A$2:$A2419=L1592)"),"SAGRADO CORAZON DE JESUS")</f>
        <v>SAGRADO CORAZON DE JESUS</v>
      </c>
      <c r="F1592" s="11" t="s">
        <v>17</v>
      </c>
      <c r="G1592" s="10" t="s">
        <v>18</v>
      </c>
      <c r="H1592" s="11" t="s">
        <v>19</v>
      </c>
      <c r="I1592" s="11" t="s">
        <v>113</v>
      </c>
      <c r="J1592" s="12" t="str">
        <f ca="1">IFERROR(__xludf.DUMMYFUNCTION("FILTER('CLASFICACIÓN'!$F$3:$F2419,'CLASFICACIÓN'!$G$3:$G2419=M1592)"),"2023 Y 2024")</f>
        <v>2023 Y 2024</v>
      </c>
      <c r="K1592" s="12" t="s">
        <v>2013</v>
      </c>
      <c r="L1592" s="11" t="s">
        <v>125</v>
      </c>
      <c r="M1592" s="12" t="str">
        <f t="shared" ca="1" si="6"/>
        <v>SAGRADO CORAZON DE JESUS6 Primaria</v>
      </c>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4"/>
    </row>
    <row r="1593" spans="1:36" ht="12.5" x14ac:dyDescent="0.25">
      <c r="A1593" s="9">
        <v>216</v>
      </c>
      <c r="B1593" s="10" t="s">
        <v>14</v>
      </c>
      <c r="C1593" s="10" t="s">
        <v>15</v>
      </c>
      <c r="D1593" s="10" t="s">
        <v>37</v>
      </c>
      <c r="E1593" s="11" t="str">
        <f ca="1">IFERROR(__xludf.DUMMYFUNCTION("FILTER(Colegios!$B$2:$B2419,Colegios!$A$2:$A2419=L1593)"),"SAGRADO CORAZON DE JESUS")</f>
        <v>SAGRADO CORAZON DE JESUS</v>
      </c>
      <c r="F1593" s="11" t="s">
        <v>17</v>
      </c>
      <c r="G1593" s="10" t="s">
        <v>18</v>
      </c>
      <c r="H1593" s="11" t="s">
        <v>23</v>
      </c>
      <c r="I1593" s="11" t="s">
        <v>113</v>
      </c>
      <c r="J1593" s="12" t="str">
        <f ca="1">IFERROR(__xludf.DUMMYFUNCTION("FILTER('CLASFICACIÓN'!$F$3:$F2419,'CLASFICACIÓN'!$G$3:$G2419=M1593)"),"2023 Y 2024")</f>
        <v>2023 Y 2024</v>
      </c>
      <c r="K1593" s="12" t="s">
        <v>2013</v>
      </c>
      <c r="L1593" s="11" t="s">
        <v>125</v>
      </c>
      <c r="M1593" s="12" t="str">
        <f t="shared" ca="1" si="6"/>
        <v>SAGRADO CORAZON DE JESUS6 Primaria</v>
      </c>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4"/>
    </row>
    <row r="1594" spans="1:36" ht="12.5" x14ac:dyDescent="0.25">
      <c r="A1594" s="9">
        <v>217</v>
      </c>
      <c r="B1594" s="10" t="s">
        <v>14</v>
      </c>
      <c r="C1594" s="10" t="s">
        <v>15</v>
      </c>
      <c r="D1594" s="10" t="s">
        <v>37</v>
      </c>
      <c r="E1594" s="11" t="str">
        <f ca="1">IFERROR(__xludf.DUMMYFUNCTION("FILTER(Colegios!$B$2:$B2419,Colegios!$A$2:$A2419=L1594)"),"SAGRADO CORAZON DE JESUS")</f>
        <v>SAGRADO CORAZON DE JESUS</v>
      </c>
      <c r="F1594" s="11" t="s">
        <v>17</v>
      </c>
      <c r="G1594" s="10" t="s">
        <v>24</v>
      </c>
      <c r="H1594" s="11" t="s">
        <v>23</v>
      </c>
      <c r="I1594" s="11" t="s">
        <v>113</v>
      </c>
      <c r="J1594" s="12" t="str">
        <f ca="1">IFERROR(__xludf.DUMMYFUNCTION("FILTER('CLASFICACIÓN'!$F$3:$F2419,'CLASFICACIÓN'!$G$3:$G2419=M1594)"),"2023 Y 2024")</f>
        <v>2023 Y 2024</v>
      </c>
      <c r="K1594" s="12" t="s">
        <v>2013</v>
      </c>
      <c r="L1594" s="11" t="s">
        <v>125</v>
      </c>
      <c r="M1594" s="12" t="str">
        <f t="shared" ca="1" si="6"/>
        <v>SAGRADO CORAZON DE JESUS6 Primaria</v>
      </c>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4"/>
    </row>
    <row r="1595" spans="1:36" ht="12.5" x14ac:dyDescent="0.25">
      <c r="A1595" s="9">
        <v>218</v>
      </c>
      <c r="B1595" s="10" t="s">
        <v>14</v>
      </c>
      <c r="C1595" s="10" t="s">
        <v>15</v>
      </c>
      <c r="D1595" s="10" t="s">
        <v>37</v>
      </c>
      <c r="E1595" s="11" t="str">
        <f ca="1">IFERROR(__xludf.DUMMYFUNCTION("FILTER(Colegios!$B$2:$B2419,Colegios!$A$2:$A2419=L1595)"),"SAGRADO CORAZON DE JESUS")</f>
        <v>SAGRADO CORAZON DE JESUS</v>
      </c>
      <c r="F1595" s="11" t="s">
        <v>17</v>
      </c>
      <c r="G1595" s="10" t="s">
        <v>24</v>
      </c>
      <c r="H1595" s="11" t="s">
        <v>23</v>
      </c>
      <c r="I1595" s="11" t="s">
        <v>113</v>
      </c>
      <c r="J1595" s="12" t="str">
        <f ca="1">IFERROR(__xludf.DUMMYFUNCTION("FILTER('CLASFICACIÓN'!$F$3:$F2419,'CLASFICACIÓN'!$G$3:$G2419=M1595)"),"2023 Y 2024")</f>
        <v>2023 Y 2024</v>
      </c>
      <c r="K1595" s="12" t="s">
        <v>2013</v>
      </c>
      <c r="L1595" s="11" t="s">
        <v>125</v>
      </c>
      <c r="M1595" s="12" t="str">
        <f t="shared" ca="1" si="6"/>
        <v>SAGRADO CORAZON DE JESUS6 Primaria</v>
      </c>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4"/>
    </row>
    <row r="1596" spans="1:36" ht="12.5" x14ac:dyDescent="0.25">
      <c r="A1596" s="9">
        <v>219</v>
      </c>
      <c r="B1596" s="10" t="s">
        <v>14</v>
      </c>
      <c r="C1596" s="10" t="s">
        <v>15</v>
      </c>
      <c r="D1596" s="10" t="s">
        <v>37</v>
      </c>
      <c r="E1596" s="11" t="str">
        <f ca="1">IFERROR(__xludf.DUMMYFUNCTION("FILTER(Colegios!$B$2:$B2419,Colegios!$A$2:$A2419=L1596)"),"SAGRADO CORAZON DE JESUS")</f>
        <v>SAGRADO CORAZON DE JESUS</v>
      </c>
      <c r="F1596" s="11" t="s">
        <v>17</v>
      </c>
      <c r="G1596" s="10" t="s">
        <v>24</v>
      </c>
      <c r="H1596" s="11" t="s">
        <v>23</v>
      </c>
      <c r="I1596" s="11" t="s">
        <v>113</v>
      </c>
      <c r="J1596" s="12" t="str">
        <f ca="1">IFERROR(__xludf.DUMMYFUNCTION("FILTER('CLASFICACIÓN'!$F$3:$F2419,'CLASFICACIÓN'!$G$3:$G2419=M1596)"),"2023 Y 2024")</f>
        <v>2023 Y 2024</v>
      </c>
      <c r="K1596" s="12" t="s">
        <v>2013</v>
      </c>
      <c r="L1596" s="11" t="s">
        <v>125</v>
      </c>
      <c r="M1596" s="12" t="str">
        <f t="shared" ca="1" si="6"/>
        <v>SAGRADO CORAZON DE JESUS6 Primaria</v>
      </c>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4"/>
    </row>
    <row r="1597" spans="1:36" ht="12.5" x14ac:dyDescent="0.25">
      <c r="A1597" s="9">
        <v>220</v>
      </c>
      <c r="B1597" s="10" t="s">
        <v>14</v>
      </c>
      <c r="C1597" s="10" t="s">
        <v>15</v>
      </c>
      <c r="D1597" s="10" t="s">
        <v>37</v>
      </c>
      <c r="E1597" s="11" t="str">
        <f ca="1">IFERROR(__xludf.DUMMYFUNCTION("FILTER(Colegios!$B$2:$B2419,Colegios!$A$2:$A2419=L1597)"),"SAGRADO CORAZON DE JESUS")</f>
        <v>SAGRADO CORAZON DE JESUS</v>
      </c>
      <c r="F1597" s="11" t="s">
        <v>17</v>
      </c>
      <c r="G1597" s="10" t="s">
        <v>24</v>
      </c>
      <c r="H1597" s="11" t="s">
        <v>25</v>
      </c>
      <c r="I1597" s="11" t="s">
        <v>113</v>
      </c>
      <c r="J1597" s="12" t="str">
        <f ca="1">IFERROR(__xludf.DUMMYFUNCTION("FILTER('CLASFICACIÓN'!$F$3:$F2419,'CLASFICACIÓN'!$G$3:$G2419=M1597)"),"2023 Y 2024")</f>
        <v>2023 Y 2024</v>
      </c>
      <c r="K1597" s="12" t="s">
        <v>2013</v>
      </c>
      <c r="L1597" s="11" t="s">
        <v>125</v>
      </c>
      <c r="M1597" s="12" t="str">
        <f t="shared" ca="1" si="6"/>
        <v>SAGRADO CORAZON DE JESUS6 Primaria</v>
      </c>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4"/>
    </row>
    <row r="1598" spans="1:36" ht="12.5" x14ac:dyDescent="0.25">
      <c r="A1598" s="9">
        <v>221</v>
      </c>
      <c r="B1598" s="10" t="s">
        <v>14</v>
      </c>
      <c r="C1598" s="10" t="s">
        <v>15</v>
      </c>
      <c r="D1598" s="10" t="s">
        <v>37</v>
      </c>
      <c r="E1598" s="11" t="str">
        <f ca="1">IFERROR(__xludf.DUMMYFUNCTION("FILTER(Colegios!$B$2:$B2419,Colegios!$A$2:$A2419=L1598)"),"SAGRADO CORAZON DE JESUS")</f>
        <v>SAGRADO CORAZON DE JESUS</v>
      </c>
      <c r="F1598" s="11" t="s">
        <v>17</v>
      </c>
      <c r="G1598" s="10" t="s">
        <v>18</v>
      </c>
      <c r="H1598" s="11" t="s">
        <v>25</v>
      </c>
      <c r="I1598" s="11" t="s">
        <v>113</v>
      </c>
      <c r="J1598" s="12" t="str">
        <f ca="1">IFERROR(__xludf.DUMMYFUNCTION("FILTER('CLASFICACIÓN'!$F$3:$F2419,'CLASFICACIÓN'!$G$3:$G2419=M1598)"),"2023 Y 2024")</f>
        <v>2023 Y 2024</v>
      </c>
      <c r="K1598" s="12" t="s">
        <v>2013</v>
      </c>
      <c r="L1598" s="11" t="s">
        <v>125</v>
      </c>
      <c r="M1598" s="12" t="str">
        <f t="shared" ca="1" si="6"/>
        <v>SAGRADO CORAZON DE JESUS6 Primaria</v>
      </c>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4"/>
    </row>
    <row r="1599" spans="1:36" ht="12.5" x14ac:dyDescent="0.25">
      <c r="A1599" s="9">
        <v>222</v>
      </c>
      <c r="B1599" s="10" t="s">
        <v>14</v>
      </c>
      <c r="C1599" s="10" t="s">
        <v>15</v>
      </c>
      <c r="D1599" s="10" t="s">
        <v>37</v>
      </c>
      <c r="E1599" s="11" t="str">
        <f ca="1">IFERROR(__xludf.DUMMYFUNCTION("FILTER(Colegios!$B$2:$B2419,Colegios!$A$2:$A2419=L1599)"),"SAGRADO CORAZON DE JESUS")</f>
        <v>SAGRADO CORAZON DE JESUS</v>
      </c>
      <c r="F1599" s="11" t="s">
        <v>17</v>
      </c>
      <c r="G1599" s="10" t="s">
        <v>18</v>
      </c>
      <c r="H1599" s="11" t="s">
        <v>23</v>
      </c>
      <c r="I1599" s="11" t="s">
        <v>113</v>
      </c>
      <c r="J1599" s="12" t="str">
        <f ca="1">IFERROR(__xludf.DUMMYFUNCTION("FILTER('CLASFICACIÓN'!$F$3:$F2419,'CLASFICACIÓN'!$G$3:$G2419=M1599)"),"2023 Y 2024")</f>
        <v>2023 Y 2024</v>
      </c>
      <c r="K1599" s="12" t="s">
        <v>2013</v>
      </c>
      <c r="L1599" s="11" t="s">
        <v>125</v>
      </c>
      <c r="M1599" s="12" t="str">
        <f t="shared" ca="1" si="6"/>
        <v>SAGRADO CORAZON DE JESUS6 Primaria</v>
      </c>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4"/>
    </row>
    <row r="1600" spans="1:36" ht="12.5" x14ac:dyDescent="0.25">
      <c r="A1600" s="9">
        <v>223</v>
      </c>
      <c r="B1600" s="10" t="s">
        <v>14</v>
      </c>
      <c r="C1600" s="10" t="s">
        <v>15</v>
      </c>
      <c r="D1600" s="10" t="s">
        <v>37</v>
      </c>
      <c r="E1600" s="11" t="str">
        <f ca="1">IFERROR(__xludf.DUMMYFUNCTION("FILTER(Colegios!$B$2:$B2419,Colegios!$A$2:$A2419=L1600)"),"SAGRADO CORAZON DE JESUS")</f>
        <v>SAGRADO CORAZON DE JESUS</v>
      </c>
      <c r="F1600" s="11" t="s">
        <v>17</v>
      </c>
      <c r="G1600" s="10" t="s">
        <v>24</v>
      </c>
      <c r="H1600" s="11" t="s">
        <v>23</v>
      </c>
      <c r="I1600" s="11" t="s">
        <v>113</v>
      </c>
      <c r="J1600" s="12" t="str">
        <f ca="1">IFERROR(__xludf.DUMMYFUNCTION("FILTER('CLASFICACIÓN'!$F$3:$F2419,'CLASFICACIÓN'!$G$3:$G2419=M1600)"),"2023 Y 2024")</f>
        <v>2023 Y 2024</v>
      </c>
      <c r="K1600" s="12" t="s">
        <v>2013</v>
      </c>
      <c r="L1600" s="11" t="s">
        <v>125</v>
      </c>
      <c r="M1600" s="12" t="str">
        <f t="shared" ca="1" si="6"/>
        <v>SAGRADO CORAZON DE JESUS6 Primaria</v>
      </c>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4"/>
    </row>
    <row r="1601" spans="1:36" ht="12.5" x14ac:dyDescent="0.25">
      <c r="A1601" s="9">
        <v>224</v>
      </c>
      <c r="B1601" s="10" t="s">
        <v>14</v>
      </c>
      <c r="C1601" s="10" t="s">
        <v>15</v>
      </c>
      <c r="D1601" s="10" t="s">
        <v>37</v>
      </c>
      <c r="E1601" s="11" t="str">
        <f ca="1">IFERROR(__xludf.DUMMYFUNCTION("FILTER(Colegios!$B$2:$B2419,Colegios!$A$2:$A2419=L1601)"),"SAGRADO CORAZON DE JESUS")</f>
        <v>SAGRADO CORAZON DE JESUS</v>
      </c>
      <c r="F1601" s="11" t="s">
        <v>17</v>
      </c>
      <c r="G1601" s="10" t="s">
        <v>24</v>
      </c>
      <c r="H1601" s="11" t="s">
        <v>23</v>
      </c>
      <c r="I1601" s="11" t="s">
        <v>113</v>
      </c>
      <c r="J1601" s="12" t="str">
        <f ca="1">IFERROR(__xludf.DUMMYFUNCTION("FILTER('CLASFICACIÓN'!$F$3:$F2419,'CLASFICACIÓN'!$G$3:$G2419=M1601)"),"2023 Y 2024")</f>
        <v>2023 Y 2024</v>
      </c>
      <c r="K1601" s="12" t="s">
        <v>2013</v>
      </c>
      <c r="L1601" s="11" t="s">
        <v>125</v>
      </c>
      <c r="M1601" s="12" t="str">
        <f t="shared" ca="1" si="6"/>
        <v>SAGRADO CORAZON DE JESUS6 Primaria</v>
      </c>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4"/>
    </row>
    <row r="1602" spans="1:36" ht="12.5" x14ac:dyDescent="0.25">
      <c r="A1602" s="9">
        <v>225</v>
      </c>
      <c r="B1602" s="10" t="s">
        <v>14</v>
      </c>
      <c r="C1602" s="10" t="s">
        <v>15</v>
      </c>
      <c r="D1602" s="10" t="s">
        <v>37</v>
      </c>
      <c r="E1602" s="11" t="str">
        <f ca="1">IFERROR(__xludf.DUMMYFUNCTION("FILTER(Colegios!$B$2:$B2419,Colegios!$A$2:$A2419=L1602)"),"SAGRADO CORAZON DE JESUS")</f>
        <v>SAGRADO CORAZON DE JESUS</v>
      </c>
      <c r="F1602" s="11" t="s">
        <v>17</v>
      </c>
      <c r="G1602" s="10" t="s">
        <v>18</v>
      </c>
      <c r="H1602" s="11" t="s">
        <v>23</v>
      </c>
      <c r="I1602" s="11" t="s">
        <v>113</v>
      </c>
      <c r="J1602" s="12" t="str">
        <f ca="1">IFERROR(__xludf.DUMMYFUNCTION("FILTER('CLASFICACIÓN'!$F$3:$F2419,'CLASFICACIÓN'!$G$3:$G2419=M1602)"),"2023 Y 2024")</f>
        <v>2023 Y 2024</v>
      </c>
      <c r="K1602" s="12" t="s">
        <v>2013</v>
      </c>
      <c r="L1602" s="11" t="s">
        <v>125</v>
      </c>
      <c r="M1602" s="12" t="str">
        <f t="shared" ca="1" si="6"/>
        <v>SAGRADO CORAZON DE JESUS6 Primaria</v>
      </c>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4"/>
    </row>
    <row r="1603" spans="1:36" ht="12.5" x14ac:dyDescent="0.25">
      <c r="A1603" s="9">
        <v>226</v>
      </c>
      <c r="B1603" s="10" t="s">
        <v>14</v>
      </c>
      <c r="C1603" s="10" t="s">
        <v>15</v>
      </c>
      <c r="D1603" s="10" t="s">
        <v>37</v>
      </c>
      <c r="E1603" s="11" t="str">
        <f ca="1">IFERROR(__xludf.DUMMYFUNCTION("FILTER(Colegios!$B$2:$B2419,Colegios!$A$2:$A2419=L1603)"),"SAGRADO CORAZON DE JESUS")</f>
        <v>SAGRADO CORAZON DE JESUS</v>
      </c>
      <c r="F1603" s="11" t="s">
        <v>17</v>
      </c>
      <c r="G1603" s="10" t="s">
        <v>18</v>
      </c>
      <c r="H1603" s="11" t="s">
        <v>25</v>
      </c>
      <c r="I1603" s="11" t="s">
        <v>113</v>
      </c>
      <c r="J1603" s="12" t="str">
        <f ca="1">IFERROR(__xludf.DUMMYFUNCTION("FILTER('CLASFICACIÓN'!$F$3:$F2419,'CLASFICACIÓN'!$G$3:$G2419=M1603)"),"2023 Y 2024")</f>
        <v>2023 Y 2024</v>
      </c>
      <c r="K1603" s="12" t="s">
        <v>2013</v>
      </c>
      <c r="L1603" s="11" t="s">
        <v>125</v>
      </c>
      <c r="M1603" s="12" t="str">
        <f t="shared" ca="1" si="6"/>
        <v>SAGRADO CORAZON DE JESUS6 Primaria</v>
      </c>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4"/>
    </row>
    <row r="1604" spans="1:36" ht="12.5" x14ac:dyDescent="0.25">
      <c r="A1604" s="9">
        <v>227</v>
      </c>
      <c r="B1604" s="10" t="s">
        <v>14</v>
      </c>
      <c r="C1604" s="10" t="s">
        <v>15</v>
      </c>
      <c r="D1604" s="10" t="s">
        <v>45</v>
      </c>
      <c r="E1604" s="11" t="str">
        <f ca="1">IFERROR(__xludf.DUMMYFUNCTION("FILTER(Colegios!$B$2:$B2419,Colegios!$A$2:$A2419=L1604)"),"14144 SANTA ROSA")</f>
        <v>14144 SANTA ROSA</v>
      </c>
      <c r="F1604" s="11" t="s">
        <v>17</v>
      </c>
      <c r="G1604" s="10" t="s">
        <v>18</v>
      </c>
      <c r="H1604" s="11" t="s">
        <v>19</v>
      </c>
      <c r="I1604" s="11" t="s">
        <v>113</v>
      </c>
      <c r="J1604" s="12" t="str">
        <f ca="1">IFERROR(__xludf.DUMMYFUNCTION("FILTER('CLASFICACIÓN'!$F$3:$F2419,'CLASFICACIÓN'!$G$3:$G2419=M1604)"),"2023 Y 2024")</f>
        <v>2023 Y 2024</v>
      </c>
      <c r="K1604" s="12" t="s">
        <v>2012</v>
      </c>
      <c r="L1604" s="11" t="s">
        <v>126</v>
      </c>
      <c r="M1604" s="12" t="str">
        <f t="shared" ca="1" si="6"/>
        <v>14144 SANTA ROSA2 Primaria</v>
      </c>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4"/>
    </row>
    <row r="1605" spans="1:36" ht="12.5" x14ac:dyDescent="0.25">
      <c r="A1605" s="9">
        <v>228</v>
      </c>
      <c r="B1605" s="10" t="s">
        <v>14</v>
      </c>
      <c r="C1605" s="10" t="s">
        <v>15</v>
      </c>
      <c r="D1605" s="10" t="s">
        <v>45</v>
      </c>
      <c r="E1605" s="11" t="str">
        <f ca="1">IFERROR(__xludf.DUMMYFUNCTION("FILTER(Colegios!$B$2:$B2419,Colegios!$A$2:$A2419=L1605)"),"14144 SANTA ROSA")</f>
        <v>14144 SANTA ROSA</v>
      </c>
      <c r="F1605" s="11" t="s">
        <v>17</v>
      </c>
      <c r="G1605" s="10" t="s">
        <v>18</v>
      </c>
      <c r="H1605" s="11" t="s">
        <v>25</v>
      </c>
      <c r="I1605" s="11" t="s">
        <v>113</v>
      </c>
      <c r="J1605" s="12" t="str">
        <f ca="1">IFERROR(__xludf.DUMMYFUNCTION("FILTER('CLASFICACIÓN'!$F$3:$F2419,'CLASFICACIÓN'!$G$3:$G2419=M1605)"),"2023 Y 2024")</f>
        <v>2023 Y 2024</v>
      </c>
      <c r="K1605" s="12" t="s">
        <v>2012</v>
      </c>
      <c r="L1605" s="11" t="s">
        <v>126</v>
      </c>
      <c r="M1605" s="12" t="str">
        <f t="shared" ca="1" si="6"/>
        <v>14144 SANTA ROSA2 Primaria</v>
      </c>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4"/>
    </row>
    <row r="1606" spans="1:36" ht="12.5" x14ac:dyDescent="0.25">
      <c r="A1606" s="9">
        <v>229</v>
      </c>
      <c r="B1606" s="10" t="s">
        <v>14</v>
      </c>
      <c r="C1606" s="10" t="s">
        <v>15</v>
      </c>
      <c r="D1606" s="10" t="s">
        <v>45</v>
      </c>
      <c r="E1606" s="11" t="str">
        <f ca="1">IFERROR(__xludf.DUMMYFUNCTION("FILTER(Colegios!$B$2:$B2419,Colegios!$A$2:$A2419=L1606)"),"14144 SANTA ROSA")</f>
        <v>14144 SANTA ROSA</v>
      </c>
      <c r="F1606" s="11" t="s">
        <v>17</v>
      </c>
      <c r="G1606" s="10" t="s">
        <v>24</v>
      </c>
      <c r="H1606" s="11" t="s">
        <v>23</v>
      </c>
      <c r="I1606" s="11" t="s">
        <v>113</v>
      </c>
      <c r="J1606" s="12" t="str">
        <f ca="1">IFERROR(__xludf.DUMMYFUNCTION("FILTER('CLASFICACIÓN'!$F$3:$F2419,'CLASFICACIÓN'!$G$3:$G2419=M1606)"),"2023 Y 2024")</f>
        <v>2023 Y 2024</v>
      </c>
      <c r="K1606" s="12" t="s">
        <v>2012</v>
      </c>
      <c r="L1606" s="11" t="s">
        <v>126</v>
      </c>
      <c r="M1606" s="12" t="str">
        <f t="shared" ca="1" si="6"/>
        <v>14144 SANTA ROSA2 Primaria</v>
      </c>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4"/>
    </row>
    <row r="1607" spans="1:36" ht="12.5" x14ac:dyDescent="0.25">
      <c r="A1607" s="9">
        <v>230</v>
      </c>
      <c r="B1607" s="10" t="s">
        <v>14</v>
      </c>
      <c r="C1607" s="10" t="s">
        <v>15</v>
      </c>
      <c r="D1607" s="10" t="s">
        <v>45</v>
      </c>
      <c r="E1607" s="11" t="str">
        <f ca="1">IFERROR(__xludf.DUMMYFUNCTION("FILTER(Colegios!$B$2:$B2419,Colegios!$A$2:$A2419=L1607)"),"14144 SANTA ROSA")</f>
        <v>14144 SANTA ROSA</v>
      </c>
      <c r="F1607" s="11" t="s">
        <v>17</v>
      </c>
      <c r="G1607" s="10" t="s">
        <v>24</v>
      </c>
      <c r="H1607" s="11" t="s">
        <v>25</v>
      </c>
      <c r="I1607" s="11" t="s">
        <v>113</v>
      </c>
      <c r="J1607" s="12" t="str">
        <f ca="1">IFERROR(__xludf.DUMMYFUNCTION("FILTER('CLASFICACIÓN'!$F$3:$F2419,'CLASFICACIÓN'!$G$3:$G2419=M1607)"),"2023 Y 2024")</f>
        <v>2023 Y 2024</v>
      </c>
      <c r="K1607" s="12" t="s">
        <v>2012</v>
      </c>
      <c r="L1607" s="11" t="s">
        <v>126</v>
      </c>
      <c r="M1607" s="12" t="str">
        <f t="shared" ca="1" si="6"/>
        <v>14144 SANTA ROSA2 Primaria</v>
      </c>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4"/>
    </row>
    <row r="1608" spans="1:36" ht="12.5" x14ac:dyDescent="0.25">
      <c r="A1608" s="9">
        <v>231</v>
      </c>
      <c r="B1608" s="10" t="s">
        <v>14</v>
      </c>
      <c r="C1608" s="10" t="s">
        <v>15</v>
      </c>
      <c r="D1608" s="10" t="s">
        <v>45</v>
      </c>
      <c r="E1608" s="11" t="str">
        <f ca="1">IFERROR(__xludf.DUMMYFUNCTION("FILTER(Colegios!$B$2:$B2419,Colegios!$A$2:$A2419=L1608)"),"14144 SANTA ROSA")</f>
        <v>14144 SANTA ROSA</v>
      </c>
      <c r="F1608" s="11" t="s">
        <v>17</v>
      </c>
      <c r="G1608" s="10" t="s">
        <v>24</v>
      </c>
      <c r="H1608" s="11" t="s">
        <v>23</v>
      </c>
      <c r="I1608" s="11" t="s">
        <v>113</v>
      </c>
      <c r="J1608" s="12" t="str">
        <f ca="1">IFERROR(__xludf.DUMMYFUNCTION("FILTER('CLASFICACIÓN'!$F$3:$F2419,'CLASFICACIÓN'!$G$3:$G2419=M1608)"),"2023 Y 2024")</f>
        <v>2023 Y 2024</v>
      </c>
      <c r="K1608" s="12" t="s">
        <v>2012</v>
      </c>
      <c r="L1608" s="11" t="s">
        <v>126</v>
      </c>
      <c r="M1608" s="12" t="str">
        <f t="shared" ca="1" si="6"/>
        <v>14144 SANTA ROSA2 Primaria</v>
      </c>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4"/>
    </row>
    <row r="1609" spans="1:36" ht="12.5" x14ac:dyDescent="0.25">
      <c r="A1609" s="9">
        <v>232</v>
      </c>
      <c r="B1609" s="10" t="s">
        <v>14</v>
      </c>
      <c r="C1609" s="10" t="s">
        <v>15</v>
      </c>
      <c r="D1609" s="10" t="s">
        <v>45</v>
      </c>
      <c r="E1609" s="11" t="str">
        <f ca="1">IFERROR(__xludf.DUMMYFUNCTION("FILTER(Colegios!$B$2:$B2419,Colegios!$A$2:$A2419=L1609)"),"14144 SANTA ROSA")</f>
        <v>14144 SANTA ROSA</v>
      </c>
      <c r="F1609" s="11" t="s">
        <v>17</v>
      </c>
      <c r="G1609" s="10" t="s">
        <v>18</v>
      </c>
      <c r="H1609" s="11" t="s">
        <v>19</v>
      </c>
      <c r="I1609" s="11" t="s">
        <v>113</v>
      </c>
      <c r="J1609" s="12" t="str">
        <f ca="1">IFERROR(__xludf.DUMMYFUNCTION("FILTER('CLASFICACIÓN'!$F$3:$F2419,'CLASFICACIÓN'!$G$3:$G2419=M1609)"),"2023 Y 2024")</f>
        <v>2023 Y 2024</v>
      </c>
      <c r="K1609" s="12" t="s">
        <v>2012</v>
      </c>
      <c r="L1609" s="11" t="s">
        <v>126</v>
      </c>
      <c r="M1609" s="12" t="str">
        <f t="shared" ca="1" si="6"/>
        <v>14144 SANTA ROSA2 Primaria</v>
      </c>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4"/>
    </row>
    <row r="1610" spans="1:36" ht="12.5" x14ac:dyDescent="0.25">
      <c r="A1610" s="9">
        <v>233</v>
      </c>
      <c r="B1610" s="10" t="s">
        <v>14</v>
      </c>
      <c r="C1610" s="10" t="s">
        <v>15</v>
      </c>
      <c r="D1610" s="10" t="s">
        <v>45</v>
      </c>
      <c r="E1610" s="11" t="str">
        <f ca="1">IFERROR(__xludf.DUMMYFUNCTION("FILTER(Colegios!$B$2:$B2419,Colegios!$A$2:$A2419=L1610)"),"14144 SANTA ROSA")</f>
        <v>14144 SANTA ROSA</v>
      </c>
      <c r="F1610" s="11" t="s">
        <v>17</v>
      </c>
      <c r="G1610" s="10" t="s">
        <v>18</v>
      </c>
      <c r="H1610" s="11" t="s">
        <v>23</v>
      </c>
      <c r="I1610" s="11" t="s">
        <v>113</v>
      </c>
      <c r="J1610" s="12" t="str">
        <f ca="1">IFERROR(__xludf.DUMMYFUNCTION("FILTER('CLASFICACIÓN'!$F$3:$F2419,'CLASFICACIÓN'!$G$3:$G2419=M1610)"),"2023 Y 2024")</f>
        <v>2023 Y 2024</v>
      </c>
      <c r="K1610" s="12" t="s">
        <v>2012</v>
      </c>
      <c r="L1610" s="11" t="s">
        <v>126</v>
      </c>
      <c r="M1610" s="12" t="str">
        <f t="shared" ca="1" si="6"/>
        <v>14144 SANTA ROSA2 Primaria</v>
      </c>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4"/>
    </row>
    <row r="1611" spans="1:36" ht="12.5" x14ac:dyDescent="0.25">
      <c r="A1611" s="9">
        <v>234</v>
      </c>
      <c r="B1611" s="10" t="s">
        <v>14</v>
      </c>
      <c r="C1611" s="10" t="s">
        <v>15</v>
      </c>
      <c r="D1611" s="10" t="s">
        <v>45</v>
      </c>
      <c r="E1611" s="11" t="str">
        <f ca="1">IFERROR(__xludf.DUMMYFUNCTION("FILTER(Colegios!$B$2:$B2419,Colegios!$A$2:$A2419=L1611)"),"14144 SANTA ROSA")</f>
        <v>14144 SANTA ROSA</v>
      </c>
      <c r="F1611" s="11" t="s">
        <v>17</v>
      </c>
      <c r="G1611" s="10" t="s">
        <v>24</v>
      </c>
      <c r="H1611" s="11" t="s">
        <v>19</v>
      </c>
      <c r="I1611" s="11" t="s">
        <v>113</v>
      </c>
      <c r="J1611" s="12" t="str">
        <f ca="1">IFERROR(__xludf.DUMMYFUNCTION("FILTER('CLASFICACIÓN'!$F$3:$F2419,'CLASFICACIÓN'!$G$3:$G2419=M1611)"),"2023 Y 2024")</f>
        <v>2023 Y 2024</v>
      </c>
      <c r="K1611" s="12" t="s">
        <v>2012</v>
      </c>
      <c r="L1611" s="11" t="s">
        <v>126</v>
      </c>
      <c r="M1611" s="12" t="str">
        <f t="shared" ca="1" si="6"/>
        <v>14144 SANTA ROSA2 Primaria</v>
      </c>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4"/>
    </row>
    <row r="1612" spans="1:36" ht="12.5" x14ac:dyDescent="0.25">
      <c r="A1612" s="9">
        <v>235</v>
      </c>
      <c r="B1612" s="10" t="s">
        <v>14</v>
      </c>
      <c r="C1612" s="10" t="s">
        <v>15</v>
      </c>
      <c r="D1612" s="10" t="s">
        <v>45</v>
      </c>
      <c r="E1612" s="11" t="str">
        <f ca="1">IFERROR(__xludf.DUMMYFUNCTION("FILTER(Colegios!$B$2:$B2419,Colegios!$A$2:$A2419=L1612)"),"14144 SANTA ROSA")</f>
        <v>14144 SANTA ROSA</v>
      </c>
      <c r="F1612" s="11" t="s">
        <v>17</v>
      </c>
      <c r="G1612" s="10" t="s">
        <v>24</v>
      </c>
      <c r="H1612" s="11" t="s">
        <v>25</v>
      </c>
      <c r="I1612" s="11" t="s">
        <v>113</v>
      </c>
      <c r="J1612" s="12" t="str">
        <f ca="1">IFERROR(__xludf.DUMMYFUNCTION("FILTER('CLASFICACIÓN'!$F$3:$F2419,'CLASFICACIÓN'!$G$3:$G2419=M1612)"),"2023 Y 2024")</f>
        <v>2023 Y 2024</v>
      </c>
      <c r="K1612" s="12" t="s">
        <v>2012</v>
      </c>
      <c r="L1612" s="11" t="s">
        <v>126</v>
      </c>
      <c r="M1612" s="12" t="str">
        <f t="shared" ca="1" si="6"/>
        <v>14144 SANTA ROSA2 Primaria</v>
      </c>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4"/>
    </row>
    <row r="1613" spans="1:36" ht="12.5" x14ac:dyDescent="0.25">
      <c r="A1613" s="9">
        <v>236</v>
      </c>
      <c r="B1613" s="10" t="s">
        <v>14</v>
      </c>
      <c r="C1613" s="10" t="s">
        <v>15</v>
      </c>
      <c r="D1613" s="10" t="s">
        <v>45</v>
      </c>
      <c r="E1613" s="11" t="str">
        <f ca="1">IFERROR(__xludf.DUMMYFUNCTION("FILTER(Colegios!$B$2:$B2419,Colegios!$A$2:$A2419=L1613)"),"14144 SANTA ROSA")</f>
        <v>14144 SANTA ROSA</v>
      </c>
      <c r="F1613" s="11" t="s">
        <v>17</v>
      </c>
      <c r="G1613" s="10" t="s">
        <v>24</v>
      </c>
      <c r="H1613" s="11" t="s">
        <v>19</v>
      </c>
      <c r="I1613" s="11" t="s">
        <v>113</v>
      </c>
      <c r="J1613" s="12" t="str">
        <f ca="1">IFERROR(__xludf.DUMMYFUNCTION("FILTER('CLASFICACIÓN'!$F$3:$F2419,'CLASFICACIÓN'!$G$3:$G2419=M1613)"),"2023 Y 2024")</f>
        <v>2023 Y 2024</v>
      </c>
      <c r="K1613" s="12" t="s">
        <v>2012</v>
      </c>
      <c r="L1613" s="11" t="s">
        <v>126</v>
      </c>
      <c r="M1613" s="12" t="str">
        <f t="shared" ca="1" si="6"/>
        <v>14144 SANTA ROSA2 Primaria</v>
      </c>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4"/>
    </row>
    <row r="1614" spans="1:36" ht="12.5" x14ac:dyDescent="0.25">
      <c r="A1614" s="9">
        <v>237</v>
      </c>
      <c r="B1614" s="10" t="s">
        <v>14</v>
      </c>
      <c r="C1614" s="10" t="s">
        <v>15</v>
      </c>
      <c r="D1614" s="10" t="s">
        <v>45</v>
      </c>
      <c r="E1614" s="11" t="str">
        <f ca="1">IFERROR(__xludf.DUMMYFUNCTION("FILTER(Colegios!$B$2:$B2419,Colegios!$A$2:$A2419=L1614)"),"14144 SANTA ROSA")</f>
        <v>14144 SANTA ROSA</v>
      </c>
      <c r="F1614" s="11" t="s">
        <v>17</v>
      </c>
      <c r="G1614" s="10" t="s">
        <v>18</v>
      </c>
      <c r="H1614" s="11" t="s">
        <v>19</v>
      </c>
      <c r="I1614" s="11" t="s">
        <v>113</v>
      </c>
      <c r="J1614" s="12" t="str">
        <f ca="1">IFERROR(__xludf.DUMMYFUNCTION("FILTER('CLASFICACIÓN'!$F$3:$F2419,'CLASFICACIÓN'!$G$3:$G2419=M1614)"),"2023 Y 2024")</f>
        <v>2023 Y 2024</v>
      </c>
      <c r="K1614" s="12" t="s">
        <v>2012</v>
      </c>
      <c r="L1614" s="11" t="s">
        <v>126</v>
      </c>
      <c r="M1614" s="12" t="str">
        <f t="shared" ca="1" si="6"/>
        <v>14144 SANTA ROSA2 Primaria</v>
      </c>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4"/>
    </row>
    <row r="1615" spans="1:36" ht="12.5" x14ac:dyDescent="0.25">
      <c r="A1615" s="9">
        <v>238</v>
      </c>
      <c r="B1615" s="10" t="s">
        <v>14</v>
      </c>
      <c r="C1615" s="10" t="s">
        <v>15</v>
      </c>
      <c r="D1615" s="10" t="s">
        <v>45</v>
      </c>
      <c r="E1615" s="11" t="str">
        <f ca="1">IFERROR(__xludf.DUMMYFUNCTION("FILTER(Colegios!$B$2:$B2419,Colegios!$A$2:$A2419=L1615)"),"14144 SANTA ROSA")</f>
        <v>14144 SANTA ROSA</v>
      </c>
      <c r="F1615" s="11" t="s">
        <v>17</v>
      </c>
      <c r="G1615" s="10" t="s">
        <v>18</v>
      </c>
      <c r="H1615" s="11" t="s">
        <v>19</v>
      </c>
      <c r="I1615" s="11" t="s">
        <v>113</v>
      </c>
      <c r="J1615" s="12" t="str">
        <f ca="1">IFERROR(__xludf.DUMMYFUNCTION("FILTER('CLASFICACIÓN'!$F$3:$F2419,'CLASFICACIÓN'!$G$3:$G2419=M1615)"),"2023 Y 2024")</f>
        <v>2023 Y 2024</v>
      </c>
      <c r="K1615" s="12" t="s">
        <v>2012</v>
      </c>
      <c r="L1615" s="11" t="s">
        <v>126</v>
      </c>
      <c r="M1615" s="12" t="str">
        <f t="shared" ca="1" si="6"/>
        <v>14144 SANTA ROSA2 Primaria</v>
      </c>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4"/>
    </row>
    <row r="1616" spans="1:36" ht="12.5" x14ac:dyDescent="0.25">
      <c r="A1616" s="9">
        <v>239</v>
      </c>
      <c r="B1616" s="10" t="s">
        <v>14</v>
      </c>
      <c r="C1616" s="10" t="s">
        <v>15</v>
      </c>
      <c r="D1616" s="10" t="s">
        <v>45</v>
      </c>
      <c r="E1616" s="11" t="str">
        <f ca="1">IFERROR(__xludf.DUMMYFUNCTION("FILTER(Colegios!$B$2:$B2419,Colegios!$A$2:$A2419=L1616)"),"14144 SANTA ROSA")</f>
        <v>14144 SANTA ROSA</v>
      </c>
      <c r="F1616" s="11" t="s">
        <v>17</v>
      </c>
      <c r="G1616" s="10" t="s">
        <v>24</v>
      </c>
      <c r="H1616" s="11" t="s">
        <v>19</v>
      </c>
      <c r="I1616" s="11" t="s">
        <v>113</v>
      </c>
      <c r="J1616" s="12" t="str">
        <f ca="1">IFERROR(__xludf.DUMMYFUNCTION("FILTER('CLASFICACIÓN'!$F$3:$F2419,'CLASFICACIÓN'!$G$3:$G2419=M1616)"),"2023 Y 2024")</f>
        <v>2023 Y 2024</v>
      </c>
      <c r="K1616" s="12" t="s">
        <v>2012</v>
      </c>
      <c r="L1616" s="11" t="s">
        <v>126</v>
      </c>
      <c r="M1616" s="12" t="str">
        <f t="shared" ca="1" si="6"/>
        <v>14144 SANTA ROSA2 Primaria</v>
      </c>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4"/>
    </row>
    <row r="1617" spans="1:36" ht="12.5" x14ac:dyDescent="0.25">
      <c r="A1617" s="9">
        <v>240</v>
      </c>
      <c r="B1617" s="10" t="s">
        <v>14</v>
      </c>
      <c r="C1617" s="10" t="s">
        <v>15</v>
      </c>
      <c r="D1617" s="10" t="s">
        <v>45</v>
      </c>
      <c r="E1617" s="11" t="str">
        <f ca="1">IFERROR(__xludf.DUMMYFUNCTION("FILTER(Colegios!$B$2:$B2419,Colegios!$A$2:$A2419=L1617)"),"14144 SANTA ROSA")</f>
        <v>14144 SANTA ROSA</v>
      </c>
      <c r="F1617" s="11" t="s">
        <v>17</v>
      </c>
      <c r="G1617" s="10" t="s">
        <v>24</v>
      </c>
      <c r="H1617" s="11" t="s">
        <v>23</v>
      </c>
      <c r="I1617" s="11" t="s">
        <v>113</v>
      </c>
      <c r="J1617" s="12" t="str">
        <f ca="1">IFERROR(__xludf.DUMMYFUNCTION("FILTER('CLASFICACIÓN'!$F$3:$F2419,'CLASFICACIÓN'!$G$3:$G2419=M1617)"),"2023 Y 2024")</f>
        <v>2023 Y 2024</v>
      </c>
      <c r="K1617" s="12" t="s">
        <v>2012</v>
      </c>
      <c r="L1617" s="11" t="s">
        <v>126</v>
      </c>
      <c r="M1617" s="12" t="str">
        <f t="shared" ca="1" si="6"/>
        <v>14144 SANTA ROSA2 Primaria</v>
      </c>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4"/>
    </row>
    <row r="1618" spans="1:36" ht="12.5" x14ac:dyDescent="0.25">
      <c r="A1618" s="9">
        <v>241</v>
      </c>
      <c r="B1618" s="10" t="s">
        <v>14</v>
      </c>
      <c r="C1618" s="10" t="s">
        <v>15</v>
      </c>
      <c r="D1618" s="10" t="s">
        <v>45</v>
      </c>
      <c r="E1618" s="11" t="str">
        <f ca="1">IFERROR(__xludf.DUMMYFUNCTION("FILTER(Colegios!$B$2:$B2419,Colegios!$A$2:$A2419=L1618)"),"14144 SANTA ROSA")</f>
        <v>14144 SANTA ROSA</v>
      </c>
      <c r="F1618" s="11" t="s">
        <v>17</v>
      </c>
      <c r="G1618" s="10" t="s">
        <v>18</v>
      </c>
      <c r="H1618" s="11" t="s">
        <v>23</v>
      </c>
      <c r="I1618" s="11" t="s">
        <v>113</v>
      </c>
      <c r="J1618" s="12" t="str">
        <f ca="1">IFERROR(__xludf.DUMMYFUNCTION("FILTER('CLASFICACIÓN'!$F$3:$F2419,'CLASFICACIÓN'!$G$3:$G2419=M1618)"),"2023 Y 2024")</f>
        <v>2023 Y 2024</v>
      </c>
      <c r="K1618" s="12" t="s">
        <v>2012</v>
      </c>
      <c r="L1618" s="11" t="s">
        <v>126</v>
      </c>
      <c r="M1618" s="12" t="str">
        <f t="shared" ca="1" si="6"/>
        <v>14144 SANTA ROSA2 Primaria</v>
      </c>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4"/>
    </row>
    <row r="1619" spans="1:36" ht="12.5" x14ac:dyDescent="0.25">
      <c r="A1619" s="9">
        <v>242</v>
      </c>
      <c r="B1619" s="10" t="s">
        <v>14</v>
      </c>
      <c r="C1619" s="10" t="s">
        <v>15</v>
      </c>
      <c r="D1619" s="10" t="s">
        <v>45</v>
      </c>
      <c r="E1619" s="11" t="str">
        <f ca="1">IFERROR(__xludf.DUMMYFUNCTION("FILTER(Colegios!$B$2:$B2419,Colegios!$A$2:$A2419=L1619)"),"14144 SANTA ROSA")</f>
        <v>14144 SANTA ROSA</v>
      </c>
      <c r="F1619" s="11" t="s">
        <v>17</v>
      </c>
      <c r="G1619" s="10" t="s">
        <v>18</v>
      </c>
      <c r="H1619" s="11" t="s">
        <v>19</v>
      </c>
      <c r="I1619" s="11" t="s">
        <v>113</v>
      </c>
      <c r="J1619" s="12" t="str">
        <f ca="1">IFERROR(__xludf.DUMMYFUNCTION("FILTER('CLASFICACIÓN'!$F$3:$F2419,'CLASFICACIÓN'!$G$3:$G2419=M1619)"),"2023 Y 2024")</f>
        <v>2023 Y 2024</v>
      </c>
      <c r="K1619" s="12" t="s">
        <v>2012</v>
      </c>
      <c r="L1619" s="11" t="s">
        <v>126</v>
      </c>
      <c r="M1619" s="12" t="str">
        <f t="shared" ca="1" si="6"/>
        <v>14144 SANTA ROSA2 Primaria</v>
      </c>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4"/>
    </row>
    <row r="1620" spans="1:36" ht="12.5" x14ac:dyDescent="0.25">
      <c r="A1620" s="9">
        <v>243</v>
      </c>
      <c r="B1620" s="10" t="s">
        <v>14</v>
      </c>
      <c r="C1620" s="10" t="s">
        <v>15</v>
      </c>
      <c r="D1620" s="10" t="s">
        <v>45</v>
      </c>
      <c r="E1620" s="11" t="str">
        <f ca="1">IFERROR(__xludf.DUMMYFUNCTION("FILTER(Colegios!$B$2:$B2419,Colegios!$A$2:$A2419=L1620)"),"14144 SANTA ROSA")</f>
        <v>14144 SANTA ROSA</v>
      </c>
      <c r="F1620" s="11" t="s">
        <v>17</v>
      </c>
      <c r="G1620" s="10" t="s">
        <v>18</v>
      </c>
      <c r="H1620" s="11" t="s">
        <v>25</v>
      </c>
      <c r="I1620" s="11" t="s">
        <v>113</v>
      </c>
      <c r="J1620" s="12" t="str">
        <f ca="1">IFERROR(__xludf.DUMMYFUNCTION("FILTER('CLASFICACIÓN'!$F$3:$F2419,'CLASFICACIÓN'!$G$3:$G2419=M1620)"),"2023 Y 2024")</f>
        <v>2023 Y 2024</v>
      </c>
      <c r="K1620" s="12" t="s">
        <v>2012</v>
      </c>
      <c r="L1620" s="11" t="s">
        <v>126</v>
      </c>
      <c r="M1620" s="12" t="str">
        <f t="shared" ca="1" si="6"/>
        <v>14144 SANTA ROSA2 Primaria</v>
      </c>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4"/>
    </row>
    <row r="1621" spans="1:36" ht="12.5" x14ac:dyDescent="0.25">
      <c r="A1621" s="9">
        <v>244</v>
      </c>
      <c r="B1621" s="10" t="s">
        <v>14</v>
      </c>
      <c r="C1621" s="10" t="s">
        <v>15</v>
      </c>
      <c r="D1621" s="10" t="s">
        <v>45</v>
      </c>
      <c r="E1621" s="11" t="str">
        <f ca="1">IFERROR(__xludf.DUMMYFUNCTION("FILTER(Colegios!$B$2:$B2419,Colegios!$A$2:$A2419=L1621)"),"14144 SANTA ROSA")</f>
        <v>14144 SANTA ROSA</v>
      </c>
      <c r="F1621" s="11" t="s">
        <v>17</v>
      </c>
      <c r="G1621" s="10" t="s">
        <v>18</v>
      </c>
      <c r="H1621" s="11" t="s">
        <v>23</v>
      </c>
      <c r="I1621" s="11" t="s">
        <v>113</v>
      </c>
      <c r="J1621" s="12" t="str">
        <f ca="1">IFERROR(__xludf.DUMMYFUNCTION("FILTER('CLASFICACIÓN'!$F$3:$F2419,'CLASFICACIÓN'!$G$3:$G2419=M1621)"),"2023 Y 2024")</f>
        <v>2023 Y 2024</v>
      </c>
      <c r="K1621" s="12" t="s">
        <v>2012</v>
      </c>
      <c r="L1621" s="11" t="s">
        <v>126</v>
      </c>
      <c r="M1621" s="12" t="str">
        <f t="shared" ca="1" si="6"/>
        <v>14144 SANTA ROSA2 Primaria</v>
      </c>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4"/>
    </row>
    <row r="1622" spans="1:36" ht="12.5" x14ac:dyDescent="0.25">
      <c r="A1622" s="9">
        <v>245</v>
      </c>
      <c r="B1622" s="10" t="s">
        <v>14</v>
      </c>
      <c r="C1622" s="10" t="s">
        <v>15</v>
      </c>
      <c r="D1622" s="10" t="s">
        <v>45</v>
      </c>
      <c r="E1622" s="11" t="str">
        <f ca="1">IFERROR(__xludf.DUMMYFUNCTION("FILTER(Colegios!$B$2:$B2419,Colegios!$A$2:$A2419=L1622)"),"14144 SANTA ROSA")</f>
        <v>14144 SANTA ROSA</v>
      </c>
      <c r="F1622" s="11" t="s">
        <v>17</v>
      </c>
      <c r="G1622" s="10" t="s">
        <v>24</v>
      </c>
      <c r="H1622" s="11" t="s">
        <v>23</v>
      </c>
      <c r="I1622" s="11" t="s">
        <v>113</v>
      </c>
      <c r="J1622" s="12" t="str">
        <f ca="1">IFERROR(__xludf.DUMMYFUNCTION("FILTER('CLASFICACIÓN'!$F$3:$F2419,'CLASFICACIÓN'!$G$3:$G2419=M1622)"),"2023 Y 2024")</f>
        <v>2023 Y 2024</v>
      </c>
      <c r="K1622" s="12" t="s">
        <v>2012</v>
      </c>
      <c r="L1622" s="11" t="s">
        <v>126</v>
      </c>
      <c r="M1622" s="12" t="str">
        <f t="shared" ca="1" si="6"/>
        <v>14144 SANTA ROSA2 Primaria</v>
      </c>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4"/>
    </row>
    <row r="1623" spans="1:36" ht="12.5" x14ac:dyDescent="0.25">
      <c r="A1623" s="9">
        <v>246</v>
      </c>
      <c r="B1623" s="10" t="s">
        <v>14</v>
      </c>
      <c r="C1623" s="10" t="s">
        <v>15</v>
      </c>
      <c r="D1623" s="10" t="s">
        <v>45</v>
      </c>
      <c r="E1623" s="11" t="str">
        <f ca="1">IFERROR(__xludf.DUMMYFUNCTION("FILTER(Colegios!$B$2:$B2419,Colegios!$A$2:$A2419=L1623)"),"14144 SANTA ROSA")</f>
        <v>14144 SANTA ROSA</v>
      </c>
      <c r="F1623" s="11" t="s">
        <v>17</v>
      </c>
      <c r="G1623" s="10" t="s">
        <v>18</v>
      </c>
      <c r="H1623" s="11" t="s">
        <v>19</v>
      </c>
      <c r="I1623" s="11" t="s">
        <v>113</v>
      </c>
      <c r="J1623" s="12" t="str">
        <f ca="1">IFERROR(__xludf.DUMMYFUNCTION("FILTER('CLASFICACIÓN'!$F$3:$F2419,'CLASFICACIÓN'!$G$3:$G2419=M1623)"),"2023 Y 2024")</f>
        <v>2023 Y 2024</v>
      </c>
      <c r="K1623" s="12" t="s">
        <v>2012</v>
      </c>
      <c r="L1623" s="11" t="s">
        <v>126</v>
      </c>
      <c r="M1623" s="12" t="str">
        <f t="shared" ca="1" si="6"/>
        <v>14144 SANTA ROSA2 Primaria</v>
      </c>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4"/>
    </row>
    <row r="1624" spans="1:36" ht="12.5" x14ac:dyDescent="0.25">
      <c r="A1624" s="9">
        <v>247</v>
      </c>
      <c r="B1624" s="10" t="s">
        <v>14</v>
      </c>
      <c r="C1624" s="10" t="s">
        <v>15</v>
      </c>
      <c r="D1624" s="10" t="s">
        <v>45</v>
      </c>
      <c r="E1624" s="11" t="str">
        <f ca="1">IFERROR(__xludf.DUMMYFUNCTION("FILTER(Colegios!$B$2:$B2419,Colegios!$A$2:$A2419=L1624)"),"14144 SANTA ROSA")</f>
        <v>14144 SANTA ROSA</v>
      </c>
      <c r="F1624" s="11" t="s">
        <v>17</v>
      </c>
      <c r="G1624" s="10" t="s">
        <v>24</v>
      </c>
      <c r="H1624" s="11" t="s">
        <v>25</v>
      </c>
      <c r="I1624" s="11" t="s">
        <v>113</v>
      </c>
      <c r="J1624" s="12" t="str">
        <f ca="1">IFERROR(__xludf.DUMMYFUNCTION("FILTER('CLASFICACIÓN'!$F$3:$F2419,'CLASFICACIÓN'!$G$3:$G2419=M1624)"),"2023 Y 2024")</f>
        <v>2023 Y 2024</v>
      </c>
      <c r="K1624" s="12" t="s">
        <v>2012</v>
      </c>
      <c r="L1624" s="11" t="s">
        <v>126</v>
      </c>
      <c r="M1624" s="12" t="str">
        <f t="shared" ca="1" si="6"/>
        <v>14144 SANTA ROSA2 Primaria</v>
      </c>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4"/>
    </row>
    <row r="1625" spans="1:36" ht="12.5" x14ac:dyDescent="0.25">
      <c r="A1625" s="9">
        <v>248</v>
      </c>
      <c r="B1625" s="10" t="s">
        <v>14</v>
      </c>
      <c r="C1625" s="10" t="s">
        <v>15</v>
      </c>
      <c r="D1625" s="10" t="s">
        <v>45</v>
      </c>
      <c r="E1625" s="11" t="str">
        <f ca="1">IFERROR(__xludf.DUMMYFUNCTION("FILTER(Colegios!$B$2:$B2419,Colegios!$A$2:$A2419=L1625)"),"14144 SANTA ROSA")</f>
        <v>14144 SANTA ROSA</v>
      </c>
      <c r="F1625" s="11" t="s">
        <v>17</v>
      </c>
      <c r="G1625" s="10" t="s">
        <v>18</v>
      </c>
      <c r="H1625" s="11" t="s">
        <v>19</v>
      </c>
      <c r="I1625" s="11" t="s">
        <v>113</v>
      </c>
      <c r="J1625" s="12" t="str">
        <f ca="1">IFERROR(__xludf.DUMMYFUNCTION("FILTER('CLASFICACIÓN'!$F$3:$F2419,'CLASFICACIÓN'!$G$3:$G2419=M1625)"),"2023 Y 2024")</f>
        <v>2023 Y 2024</v>
      </c>
      <c r="K1625" s="12" t="s">
        <v>2012</v>
      </c>
      <c r="L1625" s="11" t="s">
        <v>126</v>
      </c>
      <c r="M1625" s="12" t="str">
        <f t="shared" ca="1" si="6"/>
        <v>14144 SANTA ROSA2 Primaria</v>
      </c>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4"/>
    </row>
    <row r="1626" spans="1:36" ht="12.5" x14ac:dyDescent="0.25">
      <c r="A1626" s="9">
        <v>249</v>
      </c>
      <c r="B1626" s="10" t="s">
        <v>14</v>
      </c>
      <c r="C1626" s="10" t="s">
        <v>15</v>
      </c>
      <c r="D1626" s="10" t="s">
        <v>45</v>
      </c>
      <c r="E1626" s="11" t="str">
        <f ca="1">IFERROR(__xludf.DUMMYFUNCTION("FILTER(Colegios!$B$2:$B2419,Colegios!$A$2:$A2419=L1626)"),"14144 SANTA ROSA")</f>
        <v>14144 SANTA ROSA</v>
      </c>
      <c r="F1626" s="11" t="s">
        <v>17</v>
      </c>
      <c r="G1626" s="10" t="s">
        <v>18</v>
      </c>
      <c r="H1626" s="11" t="s">
        <v>19</v>
      </c>
      <c r="I1626" s="11" t="s">
        <v>113</v>
      </c>
      <c r="J1626" s="12" t="str">
        <f ca="1">IFERROR(__xludf.DUMMYFUNCTION("FILTER('CLASFICACIÓN'!$F$3:$F2419,'CLASFICACIÓN'!$G$3:$G2419=M1626)"),"2023 Y 2024")</f>
        <v>2023 Y 2024</v>
      </c>
      <c r="K1626" s="12" t="s">
        <v>2012</v>
      </c>
      <c r="L1626" s="11" t="s">
        <v>126</v>
      </c>
      <c r="M1626" s="12" t="str">
        <f t="shared" ca="1" si="6"/>
        <v>14144 SANTA ROSA2 Primaria</v>
      </c>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4"/>
    </row>
    <row r="1627" spans="1:36" ht="12.5" x14ac:dyDescent="0.25">
      <c r="A1627" s="9">
        <v>250</v>
      </c>
      <c r="B1627" s="10" t="s">
        <v>14</v>
      </c>
      <c r="C1627" s="10" t="s">
        <v>15</v>
      </c>
      <c r="D1627" s="10" t="s">
        <v>45</v>
      </c>
      <c r="E1627" s="11" t="str">
        <f ca="1">IFERROR(__xludf.DUMMYFUNCTION("FILTER(Colegios!$B$2:$B2419,Colegios!$A$2:$A2419=L1627)"),"14144 SANTA ROSA")</f>
        <v>14144 SANTA ROSA</v>
      </c>
      <c r="F1627" s="11" t="s">
        <v>17</v>
      </c>
      <c r="G1627" s="10" t="s">
        <v>24</v>
      </c>
      <c r="H1627" s="11" t="s">
        <v>25</v>
      </c>
      <c r="I1627" s="11" t="s">
        <v>113</v>
      </c>
      <c r="J1627" s="12" t="str">
        <f ca="1">IFERROR(__xludf.DUMMYFUNCTION("FILTER('CLASFICACIÓN'!$F$3:$F2419,'CLASFICACIÓN'!$G$3:$G2419=M1627)"),"2023 Y 2024")</f>
        <v>2023 Y 2024</v>
      </c>
      <c r="K1627" s="12" t="s">
        <v>2012</v>
      </c>
      <c r="L1627" s="11" t="s">
        <v>126</v>
      </c>
      <c r="M1627" s="12" t="str">
        <f t="shared" ca="1" si="6"/>
        <v>14144 SANTA ROSA2 Primaria</v>
      </c>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4"/>
    </row>
    <row r="1628" spans="1:36" ht="12.5" x14ac:dyDescent="0.25">
      <c r="A1628" s="9">
        <v>251</v>
      </c>
      <c r="B1628" s="10" t="s">
        <v>14</v>
      </c>
      <c r="C1628" s="10" t="s">
        <v>15</v>
      </c>
      <c r="D1628" s="10" t="s">
        <v>45</v>
      </c>
      <c r="E1628" s="11" t="str">
        <f ca="1">IFERROR(__xludf.DUMMYFUNCTION("FILTER(Colegios!$B$2:$B2419,Colegios!$A$2:$A2419=L1628)"),"14144 SANTA ROSA")</f>
        <v>14144 SANTA ROSA</v>
      </c>
      <c r="F1628" s="11" t="s">
        <v>17</v>
      </c>
      <c r="G1628" s="10" t="s">
        <v>24</v>
      </c>
      <c r="H1628" s="11" t="s">
        <v>23</v>
      </c>
      <c r="I1628" s="11" t="s">
        <v>113</v>
      </c>
      <c r="J1628" s="12" t="str">
        <f ca="1">IFERROR(__xludf.DUMMYFUNCTION("FILTER('CLASFICACIÓN'!$F$3:$F2419,'CLASFICACIÓN'!$G$3:$G2419=M1628)"),"2023 Y 2024")</f>
        <v>2023 Y 2024</v>
      </c>
      <c r="K1628" s="12" t="s">
        <v>2012</v>
      </c>
      <c r="L1628" s="11" t="s">
        <v>126</v>
      </c>
      <c r="M1628" s="12" t="str">
        <f t="shared" ca="1" si="6"/>
        <v>14144 SANTA ROSA2 Primaria</v>
      </c>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4"/>
    </row>
    <row r="1629" spans="1:36" ht="12.5" x14ac:dyDescent="0.25">
      <c r="A1629" s="9">
        <v>252</v>
      </c>
      <c r="B1629" s="10" t="s">
        <v>14</v>
      </c>
      <c r="C1629" s="10" t="s">
        <v>15</v>
      </c>
      <c r="D1629" s="10" t="s">
        <v>45</v>
      </c>
      <c r="E1629" s="11" t="str">
        <f ca="1">IFERROR(__xludf.DUMMYFUNCTION("FILTER(Colegios!$B$2:$B2419,Colegios!$A$2:$A2419=L1629)"),"14144 SANTA ROSA")</f>
        <v>14144 SANTA ROSA</v>
      </c>
      <c r="F1629" s="11" t="s">
        <v>17</v>
      </c>
      <c r="G1629" s="10" t="s">
        <v>18</v>
      </c>
      <c r="H1629" s="11" t="s">
        <v>23</v>
      </c>
      <c r="I1629" s="11" t="s">
        <v>113</v>
      </c>
      <c r="J1629" s="12" t="str">
        <f ca="1">IFERROR(__xludf.DUMMYFUNCTION("FILTER('CLASFICACIÓN'!$F$3:$F2419,'CLASFICACIÓN'!$G$3:$G2419=M1629)"),"2023 Y 2024")</f>
        <v>2023 Y 2024</v>
      </c>
      <c r="K1629" s="12" t="s">
        <v>2012</v>
      </c>
      <c r="L1629" s="11" t="s">
        <v>126</v>
      </c>
      <c r="M1629" s="12" t="str">
        <f t="shared" ca="1" si="6"/>
        <v>14144 SANTA ROSA2 Primaria</v>
      </c>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4"/>
    </row>
    <row r="1630" spans="1:36" ht="12.5" x14ac:dyDescent="0.25">
      <c r="A1630" s="9">
        <v>253</v>
      </c>
      <c r="B1630" s="10" t="s">
        <v>14</v>
      </c>
      <c r="C1630" s="10" t="s">
        <v>15</v>
      </c>
      <c r="D1630" s="10" t="s">
        <v>45</v>
      </c>
      <c r="E1630" s="11" t="str">
        <f ca="1">IFERROR(__xludf.DUMMYFUNCTION("FILTER(Colegios!$B$2:$B2419,Colegios!$A$2:$A2419=L1630)"),"14144 SANTA ROSA")</f>
        <v>14144 SANTA ROSA</v>
      </c>
      <c r="F1630" s="11" t="s">
        <v>17</v>
      </c>
      <c r="G1630" s="10" t="s">
        <v>18</v>
      </c>
      <c r="H1630" s="11" t="s">
        <v>19</v>
      </c>
      <c r="I1630" s="11" t="s">
        <v>113</v>
      </c>
      <c r="J1630" s="12" t="str">
        <f ca="1">IFERROR(__xludf.DUMMYFUNCTION("FILTER('CLASFICACIÓN'!$F$3:$F2419,'CLASFICACIÓN'!$G$3:$G2419=M1630)"),"2023 Y 2024")</f>
        <v>2023 Y 2024</v>
      </c>
      <c r="K1630" s="12" t="s">
        <v>2012</v>
      </c>
      <c r="L1630" s="11" t="s">
        <v>126</v>
      </c>
      <c r="M1630" s="12" t="str">
        <f t="shared" ca="1" si="6"/>
        <v>14144 SANTA ROSA2 Primaria</v>
      </c>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4"/>
    </row>
    <row r="1631" spans="1:36" ht="12.5" x14ac:dyDescent="0.25">
      <c r="A1631" s="9">
        <v>254</v>
      </c>
      <c r="B1631" s="10" t="s">
        <v>14</v>
      </c>
      <c r="C1631" s="10" t="s">
        <v>15</v>
      </c>
      <c r="D1631" s="10" t="s">
        <v>45</v>
      </c>
      <c r="E1631" s="11" t="str">
        <f ca="1">IFERROR(__xludf.DUMMYFUNCTION("FILTER(Colegios!$B$2:$B2419,Colegios!$A$2:$A2419=L1631)"),"14144 SANTA ROSA")</f>
        <v>14144 SANTA ROSA</v>
      </c>
      <c r="F1631" s="11" t="s">
        <v>17</v>
      </c>
      <c r="G1631" s="10" t="s">
        <v>24</v>
      </c>
      <c r="H1631" s="11" t="s">
        <v>25</v>
      </c>
      <c r="I1631" s="11" t="s">
        <v>113</v>
      </c>
      <c r="J1631" s="12" t="str">
        <f ca="1">IFERROR(__xludf.DUMMYFUNCTION("FILTER('CLASFICACIÓN'!$F$3:$F2419,'CLASFICACIÓN'!$G$3:$G2419=M1631)"),"2023 Y 2024")</f>
        <v>2023 Y 2024</v>
      </c>
      <c r="K1631" s="12" t="s">
        <v>2012</v>
      </c>
      <c r="L1631" s="11" t="s">
        <v>126</v>
      </c>
      <c r="M1631" s="12" t="str">
        <f t="shared" ca="1" si="6"/>
        <v>14144 SANTA ROSA2 Primaria</v>
      </c>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4"/>
    </row>
    <row r="1632" spans="1:36" ht="12.5" x14ac:dyDescent="0.25">
      <c r="A1632" s="9">
        <v>255</v>
      </c>
      <c r="B1632" s="10" t="s">
        <v>14</v>
      </c>
      <c r="C1632" s="10" t="s">
        <v>15</v>
      </c>
      <c r="D1632" s="10" t="s">
        <v>45</v>
      </c>
      <c r="E1632" s="11" t="str">
        <f ca="1">IFERROR(__xludf.DUMMYFUNCTION("FILTER(Colegios!$B$2:$B2419,Colegios!$A$2:$A2419=L1632)"),"14144 SANTA ROSA")</f>
        <v>14144 SANTA ROSA</v>
      </c>
      <c r="F1632" s="11" t="s">
        <v>17</v>
      </c>
      <c r="G1632" s="10" t="s">
        <v>24</v>
      </c>
      <c r="H1632" s="11" t="s">
        <v>23</v>
      </c>
      <c r="I1632" s="11" t="s">
        <v>113</v>
      </c>
      <c r="J1632" s="12" t="str">
        <f ca="1">IFERROR(__xludf.DUMMYFUNCTION("FILTER('CLASFICACIÓN'!$F$3:$F2419,'CLASFICACIÓN'!$G$3:$G2419=M1632)"),"2023 Y 2024")</f>
        <v>2023 Y 2024</v>
      </c>
      <c r="K1632" s="12" t="s">
        <v>2012</v>
      </c>
      <c r="L1632" s="11" t="s">
        <v>126</v>
      </c>
      <c r="M1632" s="12" t="str">
        <f t="shared" ca="1" si="6"/>
        <v>14144 SANTA ROSA2 Primaria</v>
      </c>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4"/>
    </row>
    <row r="1633" spans="1:36" ht="12.5" x14ac:dyDescent="0.25">
      <c r="A1633" s="9">
        <v>256</v>
      </c>
      <c r="B1633" s="10" t="s">
        <v>14</v>
      </c>
      <c r="C1633" s="10" t="s">
        <v>15</v>
      </c>
      <c r="D1633" s="10" t="s">
        <v>45</v>
      </c>
      <c r="E1633" s="11" t="str">
        <f ca="1">IFERROR(__xludf.DUMMYFUNCTION("FILTER(Colegios!$B$2:$B2419,Colegios!$A$2:$A2419=L1633)"),"14144 SANTA ROSA")</f>
        <v>14144 SANTA ROSA</v>
      </c>
      <c r="F1633" s="11" t="s">
        <v>17</v>
      </c>
      <c r="G1633" s="10" t="s">
        <v>24</v>
      </c>
      <c r="H1633" s="11" t="s">
        <v>25</v>
      </c>
      <c r="I1633" s="11" t="s">
        <v>113</v>
      </c>
      <c r="J1633" s="12" t="str">
        <f ca="1">IFERROR(__xludf.DUMMYFUNCTION("FILTER('CLASFICACIÓN'!$F$3:$F2419,'CLASFICACIÓN'!$G$3:$G2419=M1633)"),"2023 Y 2024")</f>
        <v>2023 Y 2024</v>
      </c>
      <c r="K1633" s="12" t="s">
        <v>2012</v>
      </c>
      <c r="L1633" s="11" t="s">
        <v>126</v>
      </c>
      <c r="M1633" s="12" t="str">
        <f t="shared" ca="1" si="6"/>
        <v>14144 SANTA ROSA2 Primaria</v>
      </c>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4"/>
    </row>
    <row r="1634" spans="1:36" ht="12.5" x14ac:dyDescent="0.25">
      <c r="A1634" s="9">
        <v>257</v>
      </c>
      <c r="B1634" s="10" t="s">
        <v>14</v>
      </c>
      <c r="C1634" s="10" t="s">
        <v>15</v>
      </c>
      <c r="D1634" s="10" t="s">
        <v>45</v>
      </c>
      <c r="E1634" s="11" t="str">
        <f ca="1">IFERROR(__xludf.DUMMYFUNCTION("FILTER(Colegios!$B$2:$B2419,Colegios!$A$2:$A2419=L1634)"),"14144 SANTA ROSA")</f>
        <v>14144 SANTA ROSA</v>
      </c>
      <c r="F1634" s="11" t="s">
        <v>17</v>
      </c>
      <c r="G1634" s="10" t="s">
        <v>24</v>
      </c>
      <c r="H1634" s="11" t="s">
        <v>23</v>
      </c>
      <c r="I1634" s="11" t="s">
        <v>113</v>
      </c>
      <c r="J1634" s="12" t="str">
        <f ca="1">IFERROR(__xludf.DUMMYFUNCTION("FILTER('CLASFICACIÓN'!$F$3:$F2419,'CLASFICACIÓN'!$G$3:$G2419=M1634)"),"2023 Y 2024")</f>
        <v>2023 Y 2024</v>
      </c>
      <c r="K1634" s="12" t="s">
        <v>2012</v>
      </c>
      <c r="L1634" s="11" t="s">
        <v>126</v>
      </c>
      <c r="M1634" s="12" t="str">
        <f t="shared" ca="1" si="6"/>
        <v>14144 SANTA ROSA2 Primaria</v>
      </c>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4"/>
    </row>
    <row r="1635" spans="1:36" ht="12.5" x14ac:dyDescent="0.25">
      <c r="A1635" s="9">
        <v>258</v>
      </c>
      <c r="B1635" s="10" t="s">
        <v>14</v>
      </c>
      <c r="C1635" s="10" t="s">
        <v>15</v>
      </c>
      <c r="D1635" s="10" t="s">
        <v>45</v>
      </c>
      <c r="E1635" s="11" t="str">
        <f ca="1">IFERROR(__xludf.DUMMYFUNCTION("FILTER(Colegios!$B$2:$B2419,Colegios!$A$2:$A2419=L1635)"),"14144 SANTA ROSA")</f>
        <v>14144 SANTA ROSA</v>
      </c>
      <c r="F1635" s="11" t="s">
        <v>17</v>
      </c>
      <c r="G1635" s="10" t="s">
        <v>24</v>
      </c>
      <c r="H1635" s="11" t="s">
        <v>23</v>
      </c>
      <c r="I1635" s="11" t="s">
        <v>113</v>
      </c>
      <c r="J1635" s="12" t="str">
        <f ca="1">IFERROR(__xludf.DUMMYFUNCTION("FILTER('CLASFICACIÓN'!$F$3:$F2419,'CLASFICACIÓN'!$G$3:$G2419=M1635)"),"2023 Y 2024")</f>
        <v>2023 Y 2024</v>
      </c>
      <c r="K1635" s="12" t="s">
        <v>2012</v>
      </c>
      <c r="L1635" s="11" t="s">
        <v>126</v>
      </c>
      <c r="M1635" s="12" t="str">
        <f t="shared" ca="1" si="6"/>
        <v>14144 SANTA ROSA2 Primaria</v>
      </c>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4"/>
    </row>
    <row r="1636" spans="1:36" ht="12.5" x14ac:dyDescent="0.25">
      <c r="A1636" s="9">
        <v>259</v>
      </c>
      <c r="B1636" s="10" t="s">
        <v>14</v>
      </c>
      <c r="C1636" s="10" t="s">
        <v>15</v>
      </c>
      <c r="D1636" s="10" t="s">
        <v>45</v>
      </c>
      <c r="E1636" s="11" t="str">
        <f ca="1">IFERROR(__xludf.DUMMYFUNCTION("FILTER(Colegios!$B$2:$B2419,Colegios!$A$2:$A2419=L1636)"),"14144 SANTA ROSA")</f>
        <v>14144 SANTA ROSA</v>
      </c>
      <c r="F1636" s="11" t="s">
        <v>17</v>
      </c>
      <c r="G1636" s="10" t="s">
        <v>18</v>
      </c>
      <c r="H1636" s="11" t="s">
        <v>23</v>
      </c>
      <c r="I1636" s="11" t="s">
        <v>113</v>
      </c>
      <c r="J1636" s="12" t="str">
        <f ca="1">IFERROR(__xludf.DUMMYFUNCTION("FILTER('CLASFICACIÓN'!$F$3:$F2419,'CLASFICACIÓN'!$G$3:$G2419=M1636)"),"2023 Y 2024")</f>
        <v>2023 Y 2024</v>
      </c>
      <c r="K1636" s="12" t="s">
        <v>2012</v>
      </c>
      <c r="L1636" s="11" t="s">
        <v>126</v>
      </c>
      <c r="M1636" s="12" t="str">
        <f t="shared" ca="1" si="6"/>
        <v>14144 SANTA ROSA2 Primaria</v>
      </c>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4"/>
    </row>
    <row r="1637" spans="1:36" ht="12.5" x14ac:dyDescent="0.25">
      <c r="A1637" s="9">
        <v>260</v>
      </c>
      <c r="B1637" s="10" t="s">
        <v>14</v>
      </c>
      <c r="C1637" s="10" t="s">
        <v>15</v>
      </c>
      <c r="D1637" s="10" t="s">
        <v>45</v>
      </c>
      <c r="E1637" s="11" t="str">
        <f ca="1">IFERROR(__xludf.DUMMYFUNCTION("FILTER(Colegios!$B$2:$B2419,Colegios!$A$2:$A2419=L1637)"),"14144 SANTA ROSA")</f>
        <v>14144 SANTA ROSA</v>
      </c>
      <c r="F1637" s="11" t="s">
        <v>17</v>
      </c>
      <c r="G1637" s="10" t="s">
        <v>18</v>
      </c>
      <c r="H1637" s="11" t="s">
        <v>23</v>
      </c>
      <c r="I1637" s="11" t="s">
        <v>113</v>
      </c>
      <c r="J1637" s="12" t="str">
        <f ca="1">IFERROR(__xludf.DUMMYFUNCTION("FILTER('CLASFICACIÓN'!$F$3:$F2419,'CLASFICACIÓN'!$G$3:$G2419=M1637)"),"2023 Y 2024")</f>
        <v>2023 Y 2024</v>
      </c>
      <c r="K1637" s="12" t="s">
        <v>2012</v>
      </c>
      <c r="L1637" s="11" t="s">
        <v>126</v>
      </c>
      <c r="M1637" s="12" t="str">
        <f t="shared" ca="1" si="6"/>
        <v>14144 SANTA ROSA2 Primaria</v>
      </c>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4"/>
    </row>
    <row r="1638" spans="1:36" ht="12.5" x14ac:dyDescent="0.25">
      <c r="A1638" s="9">
        <v>261</v>
      </c>
      <c r="B1638" s="10" t="s">
        <v>14</v>
      </c>
      <c r="C1638" s="10" t="s">
        <v>15</v>
      </c>
      <c r="D1638" s="10" t="s">
        <v>45</v>
      </c>
      <c r="E1638" s="11" t="str">
        <f ca="1">IFERROR(__xludf.DUMMYFUNCTION("FILTER(Colegios!$B$2:$B2419,Colegios!$A$2:$A2419=L1638)"),"14144 SANTA ROSA")</f>
        <v>14144 SANTA ROSA</v>
      </c>
      <c r="F1638" s="11" t="s">
        <v>17</v>
      </c>
      <c r="G1638" s="10" t="s">
        <v>18</v>
      </c>
      <c r="H1638" s="11" t="s">
        <v>19</v>
      </c>
      <c r="I1638" s="11" t="s">
        <v>113</v>
      </c>
      <c r="J1638" s="12" t="str">
        <f ca="1">IFERROR(__xludf.DUMMYFUNCTION("FILTER('CLASFICACIÓN'!$F$3:$F2419,'CLASFICACIÓN'!$G$3:$G2419=M1638)"),"2023 Y 2024")</f>
        <v>2023 Y 2024</v>
      </c>
      <c r="K1638" s="12" t="s">
        <v>2012</v>
      </c>
      <c r="L1638" s="11" t="s">
        <v>126</v>
      </c>
      <c r="M1638" s="12" t="str">
        <f t="shared" ca="1" si="6"/>
        <v>14144 SANTA ROSA2 Primaria</v>
      </c>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4"/>
    </row>
    <row r="1639" spans="1:36" ht="12.5" x14ac:dyDescent="0.25">
      <c r="A1639" s="9">
        <v>262</v>
      </c>
      <c r="B1639" s="10" t="s">
        <v>14</v>
      </c>
      <c r="C1639" s="10" t="s">
        <v>15</v>
      </c>
      <c r="D1639" s="10" t="s">
        <v>45</v>
      </c>
      <c r="E1639" s="11" t="str">
        <f ca="1">IFERROR(__xludf.DUMMYFUNCTION("FILTER(Colegios!$B$2:$B2419,Colegios!$A$2:$A2419=L1639)"),"14144 SANTA ROSA")</f>
        <v>14144 SANTA ROSA</v>
      </c>
      <c r="F1639" s="11" t="s">
        <v>17</v>
      </c>
      <c r="G1639" s="10" t="s">
        <v>24</v>
      </c>
      <c r="H1639" s="11" t="s">
        <v>19</v>
      </c>
      <c r="I1639" s="11" t="s">
        <v>113</v>
      </c>
      <c r="J1639" s="12" t="str">
        <f ca="1">IFERROR(__xludf.DUMMYFUNCTION("FILTER('CLASFICACIÓN'!$F$3:$F2419,'CLASFICACIÓN'!$G$3:$G2419=M1639)"),"2023 Y 2024")</f>
        <v>2023 Y 2024</v>
      </c>
      <c r="K1639" s="12" t="s">
        <v>2012</v>
      </c>
      <c r="L1639" s="11" t="s">
        <v>126</v>
      </c>
      <c r="M1639" s="12" t="str">
        <f t="shared" ca="1" si="6"/>
        <v>14144 SANTA ROSA2 Primaria</v>
      </c>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4"/>
    </row>
    <row r="1640" spans="1:36" ht="12.5" x14ac:dyDescent="0.25">
      <c r="A1640" s="9">
        <v>263</v>
      </c>
      <c r="B1640" s="10" t="s">
        <v>14</v>
      </c>
      <c r="C1640" s="10" t="s">
        <v>15</v>
      </c>
      <c r="D1640" s="10" t="s">
        <v>45</v>
      </c>
      <c r="E1640" s="11" t="str">
        <f ca="1">IFERROR(__xludf.DUMMYFUNCTION("FILTER(Colegios!$B$2:$B2419,Colegios!$A$2:$A2419=L1640)"),"14144 SANTA ROSA")</f>
        <v>14144 SANTA ROSA</v>
      </c>
      <c r="F1640" s="11" t="s">
        <v>17</v>
      </c>
      <c r="G1640" s="10" t="s">
        <v>24</v>
      </c>
      <c r="H1640" s="11" t="s">
        <v>23</v>
      </c>
      <c r="I1640" s="11" t="s">
        <v>113</v>
      </c>
      <c r="J1640" s="12" t="str">
        <f ca="1">IFERROR(__xludf.DUMMYFUNCTION("FILTER('CLASFICACIÓN'!$F$3:$F2419,'CLASFICACIÓN'!$G$3:$G2419=M1640)"),"2023 Y 2024")</f>
        <v>2023 Y 2024</v>
      </c>
      <c r="K1640" s="12" t="s">
        <v>2012</v>
      </c>
      <c r="L1640" s="11" t="s">
        <v>126</v>
      </c>
      <c r="M1640" s="12" t="str">
        <f t="shared" ca="1" si="6"/>
        <v>14144 SANTA ROSA2 Primaria</v>
      </c>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4"/>
    </row>
    <row r="1641" spans="1:36" ht="12.5" x14ac:dyDescent="0.25">
      <c r="A1641" s="9">
        <v>264</v>
      </c>
      <c r="B1641" s="10" t="s">
        <v>14</v>
      </c>
      <c r="C1641" s="10" t="s">
        <v>15</v>
      </c>
      <c r="D1641" s="10" t="s">
        <v>45</v>
      </c>
      <c r="E1641" s="11" t="str">
        <f ca="1">IFERROR(__xludf.DUMMYFUNCTION("FILTER(Colegios!$B$2:$B2419,Colegios!$A$2:$A2419=L1641)"),"14144 SANTA ROSA")</f>
        <v>14144 SANTA ROSA</v>
      </c>
      <c r="F1641" s="11" t="s">
        <v>17</v>
      </c>
      <c r="G1641" s="10" t="s">
        <v>24</v>
      </c>
      <c r="H1641" s="11" t="s">
        <v>23</v>
      </c>
      <c r="I1641" s="11" t="s">
        <v>113</v>
      </c>
      <c r="J1641" s="12" t="str">
        <f ca="1">IFERROR(__xludf.DUMMYFUNCTION("FILTER('CLASFICACIÓN'!$F$3:$F2419,'CLASFICACIÓN'!$G$3:$G2419=M1641)"),"2023 Y 2024")</f>
        <v>2023 Y 2024</v>
      </c>
      <c r="K1641" s="12" t="s">
        <v>2012</v>
      </c>
      <c r="L1641" s="11" t="s">
        <v>126</v>
      </c>
      <c r="M1641" s="12" t="str">
        <f t="shared" ca="1" si="6"/>
        <v>14144 SANTA ROSA2 Primaria</v>
      </c>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4"/>
    </row>
    <row r="1642" spans="1:36" ht="12.5" x14ac:dyDescent="0.25">
      <c r="A1642" s="9">
        <v>265</v>
      </c>
      <c r="B1642" s="10" t="s">
        <v>14</v>
      </c>
      <c r="C1642" s="10" t="s">
        <v>15</v>
      </c>
      <c r="D1642" s="10" t="s">
        <v>45</v>
      </c>
      <c r="E1642" s="11" t="str">
        <f ca="1">IFERROR(__xludf.DUMMYFUNCTION("FILTER(Colegios!$B$2:$B2419,Colegios!$A$2:$A2419=L1642)"),"14144 SANTA ROSA")</f>
        <v>14144 SANTA ROSA</v>
      </c>
      <c r="F1642" s="11" t="s">
        <v>17</v>
      </c>
      <c r="G1642" s="10" t="s">
        <v>24</v>
      </c>
      <c r="H1642" s="11" t="s">
        <v>23</v>
      </c>
      <c r="I1642" s="11" t="s">
        <v>113</v>
      </c>
      <c r="J1642" s="12" t="str">
        <f ca="1">IFERROR(__xludf.DUMMYFUNCTION("FILTER('CLASFICACIÓN'!$F$3:$F2419,'CLASFICACIÓN'!$G$3:$G2419=M1642)"),"2023 Y 2024")</f>
        <v>2023 Y 2024</v>
      </c>
      <c r="K1642" s="12" t="s">
        <v>2012</v>
      </c>
      <c r="L1642" s="11" t="s">
        <v>126</v>
      </c>
      <c r="M1642" s="12" t="str">
        <f t="shared" ca="1" si="6"/>
        <v>14144 SANTA ROSA2 Primaria</v>
      </c>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4"/>
    </row>
    <row r="1643" spans="1:36" ht="12.5" x14ac:dyDescent="0.25">
      <c r="A1643" s="9">
        <v>266</v>
      </c>
      <c r="B1643" s="10" t="s">
        <v>14</v>
      </c>
      <c r="C1643" s="10" t="s">
        <v>15</v>
      </c>
      <c r="D1643" s="10" t="s">
        <v>45</v>
      </c>
      <c r="E1643" s="11" t="str">
        <f ca="1">IFERROR(__xludf.DUMMYFUNCTION("FILTER(Colegios!$B$2:$B2419,Colegios!$A$2:$A2419=L1643)"),"14144 SANTA ROSA")</f>
        <v>14144 SANTA ROSA</v>
      </c>
      <c r="F1643" s="11" t="s">
        <v>17</v>
      </c>
      <c r="G1643" s="10" t="s">
        <v>24</v>
      </c>
      <c r="H1643" s="11" t="s">
        <v>19</v>
      </c>
      <c r="I1643" s="11" t="s">
        <v>113</v>
      </c>
      <c r="J1643" s="12" t="str">
        <f ca="1">IFERROR(__xludf.DUMMYFUNCTION("FILTER('CLASFICACIÓN'!$F$3:$F2419,'CLASFICACIÓN'!$G$3:$G2419=M1643)"),"2023 Y 2024")</f>
        <v>2023 Y 2024</v>
      </c>
      <c r="K1643" s="12" t="s">
        <v>2012</v>
      </c>
      <c r="L1643" s="11" t="s">
        <v>126</v>
      </c>
      <c r="M1643" s="12" t="str">
        <f t="shared" ca="1" si="6"/>
        <v>14144 SANTA ROSA2 Primaria</v>
      </c>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4"/>
    </row>
    <row r="1644" spans="1:36" ht="12.5" x14ac:dyDescent="0.25">
      <c r="A1644" s="9">
        <v>267</v>
      </c>
      <c r="B1644" s="10" t="s">
        <v>14</v>
      </c>
      <c r="C1644" s="10" t="s">
        <v>15</v>
      </c>
      <c r="D1644" s="10" t="s">
        <v>45</v>
      </c>
      <c r="E1644" s="11" t="str">
        <f ca="1">IFERROR(__xludf.DUMMYFUNCTION("FILTER(Colegios!$B$2:$B2419,Colegios!$A$2:$A2419=L1644)"),"14144 SANTA ROSA")</f>
        <v>14144 SANTA ROSA</v>
      </c>
      <c r="F1644" s="11" t="s">
        <v>17</v>
      </c>
      <c r="G1644" s="10" t="s">
        <v>18</v>
      </c>
      <c r="H1644" s="11" t="s">
        <v>19</v>
      </c>
      <c r="I1644" s="11" t="s">
        <v>113</v>
      </c>
      <c r="J1644" s="12" t="str">
        <f ca="1">IFERROR(__xludf.DUMMYFUNCTION("FILTER('CLASFICACIÓN'!$F$3:$F2419,'CLASFICACIÓN'!$G$3:$G2419=M1644)"),"2023 Y 2024")</f>
        <v>2023 Y 2024</v>
      </c>
      <c r="K1644" s="12" t="s">
        <v>2012</v>
      </c>
      <c r="L1644" s="11" t="s">
        <v>126</v>
      </c>
      <c r="M1644" s="12" t="str">
        <f t="shared" ca="1" si="6"/>
        <v>14144 SANTA ROSA2 Primaria</v>
      </c>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4"/>
    </row>
    <row r="1645" spans="1:36" ht="12.5" x14ac:dyDescent="0.25">
      <c r="A1645" s="9">
        <v>268</v>
      </c>
      <c r="B1645" s="10" t="s">
        <v>14</v>
      </c>
      <c r="C1645" s="10" t="s">
        <v>15</v>
      </c>
      <c r="D1645" s="10" t="s">
        <v>45</v>
      </c>
      <c r="E1645" s="11" t="str">
        <f ca="1">IFERROR(__xludf.DUMMYFUNCTION("FILTER(Colegios!$B$2:$B2419,Colegios!$A$2:$A2419=L1645)"),"14144 SANTA ROSA")</f>
        <v>14144 SANTA ROSA</v>
      </c>
      <c r="F1645" s="11" t="s">
        <v>17</v>
      </c>
      <c r="G1645" s="10" t="s">
        <v>18</v>
      </c>
      <c r="H1645" s="11" t="s">
        <v>23</v>
      </c>
      <c r="I1645" s="11" t="s">
        <v>113</v>
      </c>
      <c r="J1645" s="12" t="str">
        <f ca="1">IFERROR(__xludf.DUMMYFUNCTION("FILTER('CLASFICACIÓN'!$F$3:$F2419,'CLASFICACIÓN'!$G$3:$G2419=M1645)"),"2023 Y 2024")</f>
        <v>2023 Y 2024</v>
      </c>
      <c r="K1645" s="12" t="s">
        <v>2012</v>
      </c>
      <c r="L1645" s="11" t="s">
        <v>126</v>
      </c>
      <c r="M1645" s="12" t="str">
        <f t="shared" ca="1" si="6"/>
        <v>14144 SANTA ROSA2 Primaria</v>
      </c>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4"/>
    </row>
    <row r="1646" spans="1:36" ht="12.5" x14ac:dyDescent="0.25">
      <c r="A1646" s="9">
        <v>269</v>
      </c>
      <c r="B1646" s="10" t="s">
        <v>14</v>
      </c>
      <c r="C1646" s="10" t="s">
        <v>15</v>
      </c>
      <c r="D1646" s="10" t="s">
        <v>45</v>
      </c>
      <c r="E1646" s="11" t="str">
        <f ca="1">IFERROR(__xludf.DUMMYFUNCTION("FILTER(Colegios!$B$2:$B2419,Colegios!$A$2:$A2419=L1646)"),"14144 SANTA ROSA")</f>
        <v>14144 SANTA ROSA</v>
      </c>
      <c r="F1646" s="11" t="s">
        <v>17</v>
      </c>
      <c r="G1646" s="10" t="s">
        <v>18</v>
      </c>
      <c r="H1646" s="11" t="s">
        <v>23</v>
      </c>
      <c r="I1646" s="11" t="s">
        <v>113</v>
      </c>
      <c r="J1646" s="12" t="str">
        <f ca="1">IFERROR(__xludf.DUMMYFUNCTION("FILTER('CLASFICACIÓN'!$F$3:$F2419,'CLASFICACIÓN'!$G$3:$G2419=M1646)"),"2023 Y 2024")</f>
        <v>2023 Y 2024</v>
      </c>
      <c r="K1646" s="12" t="s">
        <v>2012</v>
      </c>
      <c r="L1646" s="11" t="s">
        <v>126</v>
      </c>
      <c r="M1646" s="12" t="str">
        <f t="shared" ca="1" si="6"/>
        <v>14144 SANTA ROSA2 Primaria</v>
      </c>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4"/>
    </row>
    <row r="1647" spans="1:36" ht="12.5" x14ac:dyDescent="0.25">
      <c r="A1647" s="9">
        <v>270</v>
      </c>
      <c r="B1647" s="10" t="s">
        <v>14</v>
      </c>
      <c r="C1647" s="10" t="s">
        <v>15</v>
      </c>
      <c r="D1647" s="10" t="s">
        <v>45</v>
      </c>
      <c r="E1647" s="11" t="str">
        <f ca="1">IFERROR(__xludf.DUMMYFUNCTION("FILTER(Colegios!$B$2:$B2419,Colegios!$A$2:$A2419=L1647)"),"14144 SANTA ROSA")</f>
        <v>14144 SANTA ROSA</v>
      </c>
      <c r="F1647" s="11" t="s">
        <v>17</v>
      </c>
      <c r="G1647" s="10" t="s">
        <v>24</v>
      </c>
      <c r="H1647" s="11" t="s">
        <v>23</v>
      </c>
      <c r="I1647" s="11" t="s">
        <v>113</v>
      </c>
      <c r="J1647" s="12" t="str">
        <f ca="1">IFERROR(__xludf.DUMMYFUNCTION("FILTER('CLASFICACIÓN'!$F$3:$F2419,'CLASFICACIÓN'!$G$3:$G2419=M1647)"),"2023 Y 2024")</f>
        <v>2023 Y 2024</v>
      </c>
      <c r="K1647" s="12" t="s">
        <v>2012</v>
      </c>
      <c r="L1647" s="11" t="s">
        <v>126</v>
      </c>
      <c r="M1647" s="12" t="str">
        <f t="shared" ca="1" si="6"/>
        <v>14144 SANTA ROSA2 Primaria</v>
      </c>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4"/>
    </row>
    <row r="1648" spans="1:36" ht="12.5" x14ac:dyDescent="0.25">
      <c r="A1648" s="9">
        <v>271</v>
      </c>
      <c r="B1648" s="10" t="s">
        <v>14</v>
      </c>
      <c r="C1648" s="10" t="s">
        <v>15</v>
      </c>
      <c r="D1648" s="10" t="s">
        <v>45</v>
      </c>
      <c r="E1648" s="11" t="str">
        <f ca="1">IFERROR(__xludf.DUMMYFUNCTION("FILTER(Colegios!$B$2:$B2419,Colegios!$A$2:$A2419=L1648)"),"14144 SANTA ROSA")</f>
        <v>14144 SANTA ROSA</v>
      </c>
      <c r="F1648" s="11" t="s">
        <v>17</v>
      </c>
      <c r="G1648" s="10" t="s">
        <v>18</v>
      </c>
      <c r="H1648" s="11" t="s">
        <v>23</v>
      </c>
      <c r="I1648" s="11" t="s">
        <v>113</v>
      </c>
      <c r="J1648" s="12" t="str">
        <f ca="1">IFERROR(__xludf.DUMMYFUNCTION("FILTER('CLASFICACIÓN'!$F$3:$F2419,'CLASFICACIÓN'!$G$3:$G2419=M1648)"),"2023 Y 2024")</f>
        <v>2023 Y 2024</v>
      </c>
      <c r="K1648" s="12" t="s">
        <v>2012</v>
      </c>
      <c r="L1648" s="11" t="s">
        <v>126</v>
      </c>
      <c r="M1648" s="12" t="str">
        <f t="shared" ca="1" si="6"/>
        <v>14144 SANTA ROSA2 Primaria</v>
      </c>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4"/>
    </row>
    <row r="1649" spans="1:36" ht="12.5" x14ac:dyDescent="0.25">
      <c r="A1649" s="9">
        <v>272</v>
      </c>
      <c r="B1649" s="10" t="s">
        <v>14</v>
      </c>
      <c r="C1649" s="10" t="s">
        <v>15</v>
      </c>
      <c r="D1649" s="10" t="s">
        <v>45</v>
      </c>
      <c r="E1649" s="11" t="str">
        <f ca="1">IFERROR(__xludf.DUMMYFUNCTION("FILTER(Colegios!$B$2:$B2419,Colegios!$A$2:$A2419=L1649)"),"14144 SANTA ROSA")</f>
        <v>14144 SANTA ROSA</v>
      </c>
      <c r="F1649" s="11" t="s">
        <v>17</v>
      </c>
      <c r="G1649" s="10" t="s">
        <v>18</v>
      </c>
      <c r="H1649" s="11" t="s">
        <v>23</v>
      </c>
      <c r="I1649" s="11" t="s">
        <v>113</v>
      </c>
      <c r="J1649" s="12" t="str">
        <f ca="1">IFERROR(__xludf.DUMMYFUNCTION("FILTER('CLASFICACIÓN'!$F$3:$F2419,'CLASFICACIÓN'!$G$3:$G2419=M1649)"),"2023 Y 2024")</f>
        <v>2023 Y 2024</v>
      </c>
      <c r="K1649" s="12" t="s">
        <v>2012</v>
      </c>
      <c r="L1649" s="11" t="s">
        <v>126</v>
      </c>
      <c r="M1649" s="12" t="str">
        <f t="shared" ca="1" si="6"/>
        <v>14144 SANTA ROSA2 Primaria</v>
      </c>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4"/>
    </row>
    <row r="1650" spans="1:36" ht="12.5" x14ac:dyDescent="0.25">
      <c r="A1650" s="9">
        <v>273</v>
      </c>
      <c r="B1650" s="10" t="s">
        <v>14</v>
      </c>
      <c r="C1650" s="10" t="s">
        <v>15</v>
      </c>
      <c r="D1650" s="10" t="s">
        <v>45</v>
      </c>
      <c r="E1650" s="11" t="str">
        <f ca="1">IFERROR(__xludf.DUMMYFUNCTION("FILTER(Colegios!$B$2:$B2419,Colegios!$A$2:$A2419=L1650)"),"14144 SANTA ROSA")</f>
        <v>14144 SANTA ROSA</v>
      </c>
      <c r="F1650" s="11" t="s">
        <v>17</v>
      </c>
      <c r="G1650" s="10" t="s">
        <v>24</v>
      </c>
      <c r="H1650" s="11" t="s">
        <v>19</v>
      </c>
      <c r="I1650" s="11" t="s">
        <v>113</v>
      </c>
      <c r="J1650" s="12" t="str">
        <f ca="1">IFERROR(__xludf.DUMMYFUNCTION("FILTER('CLASFICACIÓN'!$F$3:$F2419,'CLASFICACIÓN'!$G$3:$G2419=M1650)"),"2023 Y 2024")</f>
        <v>2023 Y 2024</v>
      </c>
      <c r="K1650" s="12" t="s">
        <v>2012</v>
      </c>
      <c r="L1650" s="11" t="s">
        <v>126</v>
      </c>
      <c r="M1650" s="12" t="str">
        <f t="shared" ca="1" si="6"/>
        <v>14144 SANTA ROSA2 Primaria</v>
      </c>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4"/>
    </row>
    <row r="1651" spans="1:36" ht="12.5" x14ac:dyDescent="0.25">
      <c r="A1651" s="9">
        <v>274</v>
      </c>
      <c r="B1651" s="10" t="s">
        <v>14</v>
      </c>
      <c r="C1651" s="10" t="s">
        <v>15</v>
      </c>
      <c r="D1651" s="10" t="s">
        <v>45</v>
      </c>
      <c r="E1651" s="11" t="str">
        <f ca="1">IFERROR(__xludf.DUMMYFUNCTION("FILTER(Colegios!$B$2:$B2419,Colegios!$A$2:$A2419=L1651)"),"14144 SANTA ROSA")</f>
        <v>14144 SANTA ROSA</v>
      </c>
      <c r="F1651" s="11" t="s">
        <v>17</v>
      </c>
      <c r="G1651" s="10" t="s">
        <v>18</v>
      </c>
      <c r="H1651" s="11" t="s">
        <v>19</v>
      </c>
      <c r="I1651" s="11" t="s">
        <v>113</v>
      </c>
      <c r="J1651" s="12" t="str">
        <f ca="1">IFERROR(__xludf.DUMMYFUNCTION("FILTER('CLASFICACIÓN'!$F$3:$F2419,'CLASFICACIÓN'!$G$3:$G2419=M1651)"),"2023 Y 2024")</f>
        <v>2023 Y 2024</v>
      </c>
      <c r="K1651" s="12" t="s">
        <v>2012</v>
      </c>
      <c r="L1651" s="11" t="s">
        <v>126</v>
      </c>
      <c r="M1651" s="12" t="str">
        <f t="shared" ca="1" si="6"/>
        <v>14144 SANTA ROSA2 Primaria</v>
      </c>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4"/>
    </row>
    <row r="1652" spans="1:36" ht="12.5" x14ac:dyDescent="0.25">
      <c r="A1652" s="9">
        <v>275</v>
      </c>
      <c r="B1652" s="10" t="s">
        <v>14</v>
      </c>
      <c r="C1652" s="10" t="s">
        <v>15</v>
      </c>
      <c r="D1652" s="10" t="s">
        <v>45</v>
      </c>
      <c r="E1652" s="11" t="str">
        <f ca="1">IFERROR(__xludf.DUMMYFUNCTION("FILTER(Colegios!$B$2:$B2419,Colegios!$A$2:$A2419=L1652)"),"14144 SANTA ROSA")</f>
        <v>14144 SANTA ROSA</v>
      </c>
      <c r="F1652" s="11" t="s">
        <v>17</v>
      </c>
      <c r="G1652" s="10" t="s">
        <v>24</v>
      </c>
      <c r="H1652" s="11" t="s">
        <v>23</v>
      </c>
      <c r="I1652" s="11" t="s">
        <v>113</v>
      </c>
      <c r="J1652" s="12" t="str">
        <f ca="1">IFERROR(__xludf.DUMMYFUNCTION("FILTER('CLASFICACIÓN'!$F$3:$F2419,'CLASFICACIÓN'!$G$3:$G2419=M1652)"),"2023 Y 2024")</f>
        <v>2023 Y 2024</v>
      </c>
      <c r="K1652" s="12" t="s">
        <v>2012</v>
      </c>
      <c r="L1652" s="11" t="s">
        <v>126</v>
      </c>
      <c r="M1652" s="12" t="str">
        <f t="shared" ca="1" si="6"/>
        <v>14144 SANTA ROSA2 Primaria</v>
      </c>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4"/>
    </row>
    <row r="1653" spans="1:36" ht="12.5" x14ac:dyDescent="0.25">
      <c r="A1653" s="9">
        <v>276</v>
      </c>
      <c r="B1653" s="10" t="s">
        <v>14</v>
      </c>
      <c r="C1653" s="10" t="s">
        <v>15</v>
      </c>
      <c r="D1653" s="10" t="s">
        <v>45</v>
      </c>
      <c r="E1653" s="11" t="str">
        <f ca="1">IFERROR(__xludf.DUMMYFUNCTION("FILTER(Colegios!$B$2:$B2419,Colegios!$A$2:$A2419=L1653)"),"14144 SANTA ROSA")</f>
        <v>14144 SANTA ROSA</v>
      </c>
      <c r="F1653" s="11" t="s">
        <v>17</v>
      </c>
      <c r="G1653" s="10" t="s">
        <v>24</v>
      </c>
      <c r="H1653" s="11" t="s">
        <v>19</v>
      </c>
      <c r="I1653" s="11" t="s">
        <v>113</v>
      </c>
      <c r="J1653" s="12" t="str">
        <f ca="1">IFERROR(__xludf.DUMMYFUNCTION("FILTER('CLASFICACIÓN'!$F$3:$F2419,'CLASFICACIÓN'!$G$3:$G2419=M1653)"),"2023 Y 2024")</f>
        <v>2023 Y 2024</v>
      </c>
      <c r="K1653" s="12" t="s">
        <v>2012</v>
      </c>
      <c r="L1653" s="11" t="s">
        <v>126</v>
      </c>
      <c r="M1653" s="12" t="str">
        <f t="shared" ca="1" si="6"/>
        <v>14144 SANTA ROSA2 Primaria</v>
      </c>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4"/>
    </row>
    <row r="1654" spans="1:36" ht="12.5" x14ac:dyDescent="0.25">
      <c r="A1654" s="9">
        <v>277</v>
      </c>
      <c r="B1654" s="10" t="s">
        <v>14</v>
      </c>
      <c r="C1654" s="10" t="s">
        <v>15</v>
      </c>
      <c r="D1654" s="10" t="s">
        <v>45</v>
      </c>
      <c r="E1654" s="11" t="str">
        <f ca="1">IFERROR(__xludf.DUMMYFUNCTION("FILTER(Colegios!$B$2:$B2419,Colegios!$A$2:$A2419=L1654)"),"14144 SANTA ROSA")</f>
        <v>14144 SANTA ROSA</v>
      </c>
      <c r="F1654" s="11" t="s">
        <v>17</v>
      </c>
      <c r="G1654" s="10" t="s">
        <v>18</v>
      </c>
      <c r="H1654" s="11" t="s">
        <v>23</v>
      </c>
      <c r="I1654" s="11" t="s">
        <v>113</v>
      </c>
      <c r="J1654" s="12" t="str">
        <f ca="1">IFERROR(__xludf.DUMMYFUNCTION("FILTER('CLASFICACIÓN'!$F$3:$F2419,'CLASFICACIÓN'!$G$3:$G2419=M1654)"),"2023 Y 2024")</f>
        <v>2023 Y 2024</v>
      </c>
      <c r="K1654" s="12" t="s">
        <v>2012</v>
      </c>
      <c r="L1654" s="11" t="s">
        <v>126</v>
      </c>
      <c r="M1654" s="12" t="str">
        <f t="shared" ca="1" si="6"/>
        <v>14144 SANTA ROSA2 Primaria</v>
      </c>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4"/>
    </row>
    <row r="1655" spans="1:36" ht="12.5" x14ac:dyDescent="0.25">
      <c r="A1655" s="9">
        <v>278</v>
      </c>
      <c r="B1655" s="10" t="s">
        <v>14</v>
      </c>
      <c r="C1655" s="10" t="s">
        <v>15</v>
      </c>
      <c r="D1655" s="10" t="s">
        <v>45</v>
      </c>
      <c r="E1655" s="11" t="str">
        <f ca="1">IFERROR(__xludf.DUMMYFUNCTION("FILTER(Colegios!$B$2:$B2419,Colegios!$A$2:$A2419=L1655)"),"14144 SANTA ROSA")</f>
        <v>14144 SANTA ROSA</v>
      </c>
      <c r="F1655" s="11" t="s">
        <v>17</v>
      </c>
      <c r="G1655" s="10" t="s">
        <v>18</v>
      </c>
      <c r="H1655" s="11" t="s">
        <v>23</v>
      </c>
      <c r="I1655" s="11" t="s">
        <v>113</v>
      </c>
      <c r="J1655" s="12" t="str">
        <f ca="1">IFERROR(__xludf.DUMMYFUNCTION("FILTER('CLASFICACIÓN'!$F$3:$F2419,'CLASFICACIÓN'!$G$3:$G2419=M1655)"),"2023 Y 2024")</f>
        <v>2023 Y 2024</v>
      </c>
      <c r="K1655" s="12" t="s">
        <v>2012</v>
      </c>
      <c r="L1655" s="11" t="s">
        <v>126</v>
      </c>
      <c r="M1655" s="12" t="str">
        <f t="shared" ca="1" si="6"/>
        <v>14144 SANTA ROSA2 Primaria</v>
      </c>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4"/>
    </row>
    <row r="1656" spans="1:36" ht="12.5" x14ac:dyDescent="0.25">
      <c r="A1656" s="9">
        <v>279</v>
      </c>
      <c r="B1656" s="10" t="s">
        <v>14</v>
      </c>
      <c r="C1656" s="10" t="s">
        <v>15</v>
      </c>
      <c r="D1656" s="10" t="s">
        <v>45</v>
      </c>
      <c r="E1656" s="11" t="str">
        <f ca="1">IFERROR(__xludf.DUMMYFUNCTION("FILTER(Colegios!$B$2:$B2419,Colegios!$A$2:$A2419=L1656)"),"14144 SANTA ROSA")</f>
        <v>14144 SANTA ROSA</v>
      </c>
      <c r="F1656" s="11" t="s">
        <v>17</v>
      </c>
      <c r="G1656" s="10" t="s">
        <v>18</v>
      </c>
      <c r="H1656" s="11" t="s">
        <v>25</v>
      </c>
      <c r="I1656" s="11" t="s">
        <v>113</v>
      </c>
      <c r="J1656" s="12" t="str">
        <f ca="1">IFERROR(__xludf.DUMMYFUNCTION("FILTER('CLASFICACIÓN'!$F$3:$F2419,'CLASFICACIÓN'!$G$3:$G2419=M1656)"),"2023 Y 2024")</f>
        <v>2023 Y 2024</v>
      </c>
      <c r="K1656" s="12" t="s">
        <v>2012</v>
      </c>
      <c r="L1656" s="11" t="s">
        <v>126</v>
      </c>
      <c r="M1656" s="12" t="str">
        <f t="shared" ca="1" si="6"/>
        <v>14144 SANTA ROSA2 Primaria</v>
      </c>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4"/>
    </row>
    <row r="1657" spans="1:36" ht="12.5" x14ac:dyDescent="0.25">
      <c r="A1657" s="9">
        <v>280</v>
      </c>
      <c r="B1657" s="10" t="s">
        <v>14</v>
      </c>
      <c r="C1657" s="10" t="s">
        <v>15</v>
      </c>
      <c r="D1657" s="10" t="s">
        <v>45</v>
      </c>
      <c r="E1657" s="11" t="str">
        <f ca="1">IFERROR(__xludf.DUMMYFUNCTION("FILTER(Colegios!$B$2:$B2419,Colegios!$A$2:$A2419=L1657)"),"14144 SANTA ROSA")</f>
        <v>14144 SANTA ROSA</v>
      </c>
      <c r="F1657" s="11" t="s">
        <v>17</v>
      </c>
      <c r="G1657" s="10" t="s">
        <v>24</v>
      </c>
      <c r="H1657" s="11" t="s">
        <v>25</v>
      </c>
      <c r="I1657" s="11" t="s">
        <v>113</v>
      </c>
      <c r="J1657" s="12" t="str">
        <f ca="1">IFERROR(__xludf.DUMMYFUNCTION("FILTER('CLASFICACIÓN'!$F$3:$F2419,'CLASFICACIÓN'!$G$3:$G2419=M1657)"),"2023 Y 2024")</f>
        <v>2023 Y 2024</v>
      </c>
      <c r="K1657" s="12" t="s">
        <v>2012</v>
      </c>
      <c r="L1657" s="11" t="s">
        <v>126</v>
      </c>
      <c r="M1657" s="12" t="str">
        <f t="shared" ca="1" si="6"/>
        <v>14144 SANTA ROSA2 Primaria</v>
      </c>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4"/>
    </row>
    <row r="1658" spans="1:36" ht="12.5" x14ac:dyDescent="0.25">
      <c r="A1658" s="9">
        <v>281</v>
      </c>
      <c r="B1658" s="10" t="s">
        <v>14</v>
      </c>
      <c r="C1658" s="10" t="s">
        <v>15</v>
      </c>
      <c r="D1658" s="10" t="s">
        <v>45</v>
      </c>
      <c r="E1658" s="11" t="str">
        <f ca="1">IFERROR(__xludf.DUMMYFUNCTION("FILTER(Colegios!$B$2:$B2419,Colegios!$A$2:$A2419=L1658)"),"14144 SANTA ROSA")</f>
        <v>14144 SANTA ROSA</v>
      </c>
      <c r="F1658" s="11" t="s">
        <v>17</v>
      </c>
      <c r="G1658" s="10" t="s">
        <v>18</v>
      </c>
      <c r="H1658" s="11" t="s">
        <v>25</v>
      </c>
      <c r="I1658" s="11" t="s">
        <v>113</v>
      </c>
      <c r="J1658" s="12" t="str">
        <f ca="1">IFERROR(__xludf.DUMMYFUNCTION("FILTER('CLASFICACIÓN'!$F$3:$F2419,'CLASFICACIÓN'!$G$3:$G2419=M1658)"),"2023 Y 2024")</f>
        <v>2023 Y 2024</v>
      </c>
      <c r="K1658" s="12" t="s">
        <v>2012</v>
      </c>
      <c r="L1658" s="11" t="s">
        <v>126</v>
      </c>
      <c r="M1658" s="12" t="str">
        <f t="shared" ca="1" si="6"/>
        <v>14144 SANTA ROSA2 Primaria</v>
      </c>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4"/>
    </row>
    <row r="1659" spans="1:36" ht="12.5" x14ac:dyDescent="0.25">
      <c r="A1659" s="9">
        <v>282</v>
      </c>
      <c r="B1659" s="10" t="s">
        <v>14</v>
      </c>
      <c r="C1659" s="10" t="s">
        <v>15</v>
      </c>
      <c r="D1659" s="10" t="s">
        <v>45</v>
      </c>
      <c r="E1659" s="11" t="str">
        <f ca="1">IFERROR(__xludf.DUMMYFUNCTION("FILTER(Colegios!$B$2:$B2419,Colegios!$A$2:$A2419=L1659)"),"14144 SANTA ROSA")</f>
        <v>14144 SANTA ROSA</v>
      </c>
      <c r="F1659" s="11" t="s">
        <v>17</v>
      </c>
      <c r="G1659" s="10" t="s">
        <v>18</v>
      </c>
      <c r="H1659" s="11" t="s">
        <v>19</v>
      </c>
      <c r="I1659" s="11" t="s">
        <v>113</v>
      </c>
      <c r="J1659" s="12" t="str">
        <f ca="1">IFERROR(__xludf.DUMMYFUNCTION("FILTER('CLASFICACIÓN'!$F$3:$F2419,'CLASFICACIÓN'!$G$3:$G2419=M1659)"),"2023 Y 2024")</f>
        <v>2023 Y 2024</v>
      </c>
      <c r="K1659" s="12" t="s">
        <v>2012</v>
      </c>
      <c r="L1659" s="11" t="s">
        <v>126</v>
      </c>
      <c r="M1659" s="12" t="str">
        <f t="shared" ca="1" si="6"/>
        <v>14144 SANTA ROSA2 Primaria</v>
      </c>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4"/>
    </row>
    <row r="1660" spans="1:36" ht="12.5" x14ac:dyDescent="0.25">
      <c r="A1660" s="9">
        <v>283</v>
      </c>
      <c r="B1660" s="10" t="s">
        <v>14</v>
      </c>
      <c r="C1660" s="10" t="s">
        <v>15</v>
      </c>
      <c r="D1660" s="10" t="s">
        <v>45</v>
      </c>
      <c r="E1660" s="11" t="str">
        <f ca="1">IFERROR(__xludf.DUMMYFUNCTION("FILTER(Colegios!$B$2:$B2419,Colegios!$A$2:$A2419=L1660)"),"14144 SANTA ROSA")</f>
        <v>14144 SANTA ROSA</v>
      </c>
      <c r="F1660" s="11" t="s">
        <v>17</v>
      </c>
      <c r="G1660" s="10" t="s">
        <v>24</v>
      </c>
      <c r="H1660" s="11" t="s">
        <v>23</v>
      </c>
      <c r="I1660" s="11" t="s">
        <v>113</v>
      </c>
      <c r="J1660" s="12" t="str">
        <f ca="1">IFERROR(__xludf.DUMMYFUNCTION("FILTER('CLASFICACIÓN'!$F$3:$F2419,'CLASFICACIÓN'!$G$3:$G2419=M1660)"),"2023 Y 2024")</f>
        <v>2023 Y 2024</v>
      </c>
      <c r="K1660" s="12" t="s">
        <v>2012</v>
      </c>
      <c r="L1660" s="11" t="s">
        <v>126</v>
      </c>
      <c r="M1660" s="12" t="str">
        <f t="shared" ca="1" si="6"/>
        <v>14144 SANTA ROSA2 Primaria</v>
      </c>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4"/>
    </row>
    <row r="1661" spans="1:36" ht="12.5" x14ac:dyDescent="0.25">
      <c r="A1661" s="9">
        <v>284</v>
      </c>
      <c r="B1661" s="10" t="s">
        <v>14</v>
      </c>
      <c r="C1661" s="10" t="s">
        <v>15</v>
      </c>
      <c r="D1661" s="10" t="s">
        <v>16</v>
      </c>
      <c r="E1661" s="11" t="str">
        <f ca="1">IFERROR(__xludf.DUMMYFUNCTION("FILTER(Colegios!$B$2:$B2419,Colegios!$A$2:$A2419=L1661)"),"14144 SANTA ROSA")</f>
        <v>14144 SANTA ROSA</v>
      </c>
      <c r="F1661" s="11" t="s">
        <v>17</v>
      </c>
      <c r="G1661" s="10" t="s">
        <v>24</v>
      </c>
      <c r="H1661" s="11" t="s">
        <v>23</v>
      </c>
      <c r="I1661" s="11" t="s">
        <v>113</v>
      </c>
      <c r="J1661" s="12" t="str">
        <f ca="1">IFERROR(__xludf.DUMMYFUNCTION("FILTER('CLASFICACIÓN'!$F$3:$F2419,'CLASFICACIÓN'!$G$3:$G2419=M1661)"),"2023 Y 2024")</f>
        <v>2023 Y 2024</v>
      </c>
      <c r="K1661" s="12" t="s">
        <v>2012</v>
      </c>
      <c r="L1661" s="11" t="s">
        <v>126</v>
      </c>
      <c r="M1661" s="12" t="str">
        <f t="shared" ca="1" si="6"/>
        <v>14144 SANTA ROSA4 Primaria</v>
      </c>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4"/>
    </row>
    <row r="1662" spans="1:36" ht="12.5" x14ac:dyDescent="0.25">
      <c r="A1662" s="9">
        <v>285</v>
      </c>
      <c r="B1662" s="10" t="s">
        <v>14</v>
      </c>
      <c r="C1662" s="10" t="s">
        <v>15</v>
      </c>
      <c r="D1662" s="10" t="s">
        <v>16</v>
      </c>
      <c r="E1662" s="11" t="str">
        <f ca="1">IFERROR(__xludf.DUMMYFUNCTION("FILTER(Colegios!$B$2:$B2419,Colegios!$A$2:$A2419=L1662)"),"14144 SANTA ROSA")</f>
        <v>14144 SANTA ROSA</v>
      </c>
      <c r="F1662" s="11" t="s">
        <v>17</v>
      </c>
      <c r="G1662" s="10" t="s">
        <v>18</v>
      </c>
      <c r="H1662" s="11" t="s">
        <v>23</v>
      </c>
      <c r="I1662" s="11" t="s">
        <v>113</v>
      </c>
      <c r="J1662" s="12" t="str">
        <f ca="1">IFERROR(__xludf.DUMMYFUNCTION("FILTER('CLASFICACIÓN'!$F$3:$F2419,'CLASFICACIÓN'!$G$3:$G2419=M1662)"),"2023 Y 2024")</f>
        <v>2023 Y 2024</v>
      </c>
      <c r="K1662" s="12" t="s">
        <v>2012</v>
      </c>
      <c r="L1662" s="11" t="s">
        <v>126</v>
      </c>
      <c r="M1662" s="12" t="str">
        <f t="shared" ca="1" si="6"/>
        <v>14144 SANTA ROSA4 Primaria</v>
      </c>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4"/>
    </row>
    <row r="1663" spans="1:36" ht="12.5" x14ac:dyDescent="0.25">
      <c r="A1663" s="9">
        <v>286</v>
      </c>
      <c r="B1663" s="10" t="s">
        <v>14</v>
      </c>
      <c r="C1663" s="10" t="s">
        <v>15</v>
      </c>
      <c r="D1663" s="10" t="s">
        <v>16</v>
      </c>
      <c r="E1663" s="11" t="str">
        <f ca="1">IFERROR(__xludf.DUMMYFUNCTION("FILTER(Colegios!$B$2:$B2419,Colegios!$A$2:$A2419=L1663)"),"14144 SANTA ROSA")</f>
        <v>14144 SANTA ROSA</v>
      </c>
      <c r="F1663" s="11" t="s">
        <v>17</v>
      </c>
      <c r="G1663" s="10" t="s">
        <v>24</v>
      </c>
      <c r="H1663" s="11" t="s">
        <v>19</v>
      </c>
      <c r="I1663" s="11" t="s">
        <v>113</v>
      </c>
      <c r="J1663" s="12" t="str">
        <f ca="1">IFERROR(__xludf.DUMMYFUNCTION("FILTER('CLASFICACIÓN'!$F$3:$F2419,'CLASFICACIÓN'!$G$3:$G2419=M1663)"),"2023 Y 2024")</f>
        <v>2023 Y 2024</v>
      </c>
      <c r="K1663" s="12" t="s">
        <v>2012</v>
      </c>
      <c r="L1663" s="11" t="s">
        <v>126</v>
      </c>
      <c r="M1663" s="12" t="str">
        <f t="shared" ca="1" si="6"/>
        <v>14144 SANTA ROSA4 Primaria</v>
      </c>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4"/>
    </row>
    <row r="1664" spans="1:36" ht="12.5" x14ac:dyDescent="0.25">
      <c r="A1664" s="9">
        <v>287</v>
      </c>
      <c r="B1664" s="10" t="s">
        <v>14</v>
      </c>
      <c r="C1664" s="10" t="s">
        <v>15</v>
      </c>
      <c r="D1664" s="10" t="s">
        <v>16</v>
      </c>
      <c r="E1664" s="11" t="str">
        <f ca="1">IFERROR(__xludf.DUMMYFUNCTION("FILTER(Colegios!$B$2:$B2419,Colegios!$A$2:$A2419=L1664)"),"14144 SANTA ROSA")</f>
        <v>14144 SANTA ROSA</v>
      </c>
      <c r="F1664" s="11" t="s">
        <v>17</v>
      </c>
      <c r="G1664" s="10" t="s">
        <v>24</v>
      </c>
      <c r="H1664" s="11" t="s">
        <v>19</v>
      </c>
      <c r="I1664" s="11" t="s">
        <v>113</v>
      </c>
      <c r="J1664" s="12" t="str">
        <f ca="1">IFERROR(__xludf.DUMMYFUNCTION("FILTER('CLASFICACIÓN'!$F$3:$F2419,'CLASFICACIÓN'!$G$3:$G2419=M1664)"),"2023 Y 2024")</f>
        <v>2023 Y 2024</v>
      </c>
      <c r="K1664" s="12" t="s">
        <v>2012</v>
      </c>
      <c r="L1664" s="11" t="s">
        <v>126</v>
      </c>
      <c r="M1664" s="12" t="str">
        <f t="shared" ca="1" si="6"/>
        <v>14144 SANTA ROSA4 Primaria</v>
      </c>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4"/>
    </row>
    <row r="1665" spans="1:36" ht="12.5" x14ac:dyDescent="0.25">
      <c r="A1665" s="9">
        <v>288</v>
      </c>
      <c r="B1665" s="10" t="s">
        <v>14</v>
      </c>
      <c r="C1665" s="10" t="s">
        <v>15</v>
      </c>
      <c r="D1665" s="10" t="s">
        <v>16</v>
      </c>
      <c r="E1665" s="11" t="str">
        <f ca="1">IFERROR(__xludf.DUMMYFUNCTION("FILTER(Colegios!$B$2:$B2419,Colegios!$A$2:$A2419=L1665)"),"14144 SANTA ROSA")</f>
        <v>14144 SANTA ROSA</v>
      </c>
      <c r="F1665" s="11" t="s">
        <v>17</v>
      </c>
      <c r="G1665" s="10" t="s">
        <v>24</v>
      </c>
      <c r="H1665" s="11" t="s">
        <v>23</v>
      </c>
      <c r="I1665" s="11" t="s">
        <v>113</v>
      </c>
      <c r="J1665" s="12" t="str">
        <f ca="1">IFERROR(__xludf.DUMMYFUNCTION("FILTER('CLASFICACIÓN'!$F$3:$F2419,'CLASFICACIÓN'!$G$3:$G2419=M1665)"),"2023 Y 2024")</f>
        <v>2023 Y 2024</v>
      </c>
      <c r="K1665" s="12" t="s">
        <v>2012</v>
      </c>
      <c r="L1665" s="11" t="s">
        <v>126</v>
      </c>
      <c r="M1665" s="12" t="str">
        <f t="shared" ca="1" si="6"/>
        <v>14144 SANTA ROSA4 Primaria</v>
      </c>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4"/>
    </row>
    <row r="1666" spans="1:36" ht="12.5" x14ac:dyDescent="0.25">
      <c r="A1666" s="9">
        <v>289</v>
      </c>
      <c r="B1666" s="10" t="s">
        <v>14</v>
      </c>
      <c r="C1666" s="10" t="s">
        <v>15</v>
      </c>
      <c r="D1666" s="10" t="s">
        <v>16</v>
      </c>
      <c r="E1666" s="11" t="str">
        <f ca="1">IFERROR(__xludf.DUMMYFUNCTION("FILTER(Colegios!$B$2:$B2419,Colegios!$A$2:$A2419=L1666)"),"14144 SANTA ROSA")</f>
        <v>14144 SANTA ROSA</v>
      </c>
      <c r="F1666" s="11" t="s">
        <v>17</v>
      </c>
      <c r="G1666" s="10" t="s">
        <v>24</v>
      </c>
      <c r="H1666" s="11" t="s">
        <v>19</v>
      </c>
      <c r="I1666" s="11" t="s">
        <v>113</v>
      </c>
      <c r="J1666" s="12" t="str">
        <f ca="1">IFERROR(__xludf.DUMMYFUNCTION("FILTER('CLASFICACIÓN'!$F$3:$F2419,'CLASFICACIÓN'!$G$3:$G2419=M1666)"),"2023 Y 2024")</f>
        <v>2023 Y 2024</v>
      </c>
      <c r="K1666" s="12" t="s">
        <v>2012</v>
      </c>
      <c r="L1666" s="11" t="s">
        <v>126</v>
      </c>
      <c r="M1666" s="12" t="str">
        <f t="shared" ca="1" si="6"/>
        <v>14144 SANTA ROSA4 Primaria</v>
      </c>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4"/>
    </row>
    <row r="1667" spans="1:36" ht="12.5" x14ac:dyDescent="0.25">
      <c r="A1667" s="9">
        <v>290</v>
      </c>
      <c r="B1667" s="10" t="s">
        <v>14</v>
      </c>
      <c r="C1667" s="10" t="s">
        <v>15</v>
      </c>
      <c r="D1667" s="10" t="s">
        <v>16</v>
      </c>
      <c r="E1667" s="11" t="str">
        <f ca="1">IFERROR(__xludf.DUMMYFUNCTION("FILTER(Colegios!$B$2:$B2419,Colegios!$A$2:$A2419=L1667)"),"14144 SANTA ROSA")</f>
        <v>14144 SANTA ROSA</v>
      </c>
      <c r="F1667" s="11" t="s">
        <v>17</v>
      </c>
      <c r="G1667" s="10" t="s">
        <v>24</v>
      </c>
      <c r="H1667" s="11" t="s">
        <v>19</v>
      </c>
      <c r="I1667" s="11" t="s">
        <v>113</v>
      </c>
      <c r="J1667" s="12" t="str">
        <f ca="1">IFERROR(__xludf.DUMMYFUNCTION("FILTER('CLASFICACIÓN'!$F$3:$F2419,'CLASFICACIÓN'!$G$3:$G2419=M1667)"),"2023 Y 2024")</f>
        <v>2023 Y 2024</v>
      </c>
      <c r="K1667" s="12" t="s">
        <v>2012</v>
      </c>
      <c r="L1667" s="11" t="s">
        <v>126</v>
      </c>
      <c r="M1667" s="12" t="str">
        <f t="shared" ca="1" si="6"/>
        <v>14144 SANTA ROSA4 Primaria</v>
      </c>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4"/>
    </row>
    <row r="1668" spans="1:36" ht="12.5" x14ac:dyDescent="0.25">
      <c r="A1668" s="9">
        <v>291</v>
      </c>
      <c r="B1668" s="10" t="s">
        <v>14</v>
      </c>
      <c r="C1668" s="10" t="s">
        <v>15</v>
      </c>
      <c r="D1668" s="10" t="s">
        <v>16</v>
      </c>
      <c r="E1668" s="11" t="str">
        <f ca="1">IFERROR(__xludf.DUMMYFUNCTION("FILTER(Colegios!$B$2:$B2419,Colegios!$A$2:$A2419=L1668)"),"14144 SANTA ROSA")</f>
        <v>14144 SANTA ROSA</v>
      </c>
      <c r="F1668" s="11" t="s">
        <v>17</v>
      </c>
      <c r="G1668" s="10" t="s">
        <v>18</v>
      </c>
      <c r="H1668" s="11" t="s">
        <v>19</v>
      </c>
      <c r="I1668" s="11" t="s">
        <v>113</v>
      </c>
      <c r="J1668" s="12" t="str">
        <f ca="1">IFERROR(__xludf.DUMMYFUNCTION("FILTER('CLASFICACIÓN'!$F$3:$F2419,'CLASFICACIÓN'!$G$3:$G2419=M1668)"),"2023 Y 2024")</f>
        <v>2023 Y 2024</v>
      </c>
      <c r="K1668" s="12" t="s">
        <v>2012</v>
      </c>
      <c r="L1668" s="11" t="s">
        <v>126</v>
      </c>
      <c r="M1668" s="12" t="str">
        <f t="shared" ca="1" si="6"/>
        <v>14144 SANTA ROSA4 Primaria</v>
      </c>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4"/>
    </row>
    <row r="1669" spans="1:36" ht="12.5" x14ac:dyDescent="0.25">
      <c r="A1669" s="9">
        <v>292</v>
      </c>
      <c r="B1669" s="10" t="s">
        <v>14</v>
      </c>
      <c r="C1669" s="10" t="s">
        <v>15</v>
      </c>
      <c r="D1669" s="10" t="s">
        <v>16</v>
      </c>
      <c r="E1669" s="11" t="str">
        <f ca="1">IFERROR(__xludf.DUMMYFUNCTION("FILTER(Colegios!$B$2:$B2419,Colegios!$A$2:$A2419=L1669)"),"14144 SANTA ROSA")</f>
        <v>14144 SANTA ROSA</v>
      </c>
      <c r="F1669" s="11" t="s">
        <v>17</v>
      </c>
      <c r="G1669" s="10" t="s">
        <v>18</v>
      </c>
      <c r="H1669" s="11" t="s">
        <v>23</v>
      </c>
      <c r="I1669" s="11" t="s">
        <v>113</v>
      </c>
      <c r="J1669" s="12" t="str">
        <f ca="1">IFERROR(__xludf.DUMMYFUNCTION("FILTER('CLASFICACIÓN'!$F$3:$F2419,'CLASFICACIÓN'!$G$3:$G2419=M1669)"),"2023 Y 2024")</f>
        <v>2023 Y 2024</v>
      </c>
      <c r="K1669" s="12" t="s">
        <v>2012</v>
      </c>
      <c r="L1669" s="11" t="s">
        <v>126</v>
      </c>
      <c r="M1669" s="12" t="str">
        <f t="shared" ca="1" si="6"/>
        <v>14144 SANTA ROSA4 Primaria</v>
      </c>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4"/>
    </row>
    <row r="1670" spans="1:36" ht="12.5" x14ac:dyDescent="0.25">
      <c r="A1670" s="9">
        <v>293</v>
      </c>
      <c r="B1670" s="10" t="s">
        <v>14</v>
      </c>
      <c r="C1670" s="10" t="s">
        <v>15</v>
      </c>
      <c r="D1670" s="10" t="s">
        <v>16</v>
      </c>
      <c r="E1670" s="11" t="str">
        <f ca="1">IFERROR(__xludf.DUMMYFUNCTION("FILTER(Colegios!$B$2:$B2419,Colegios!$A$2:$A2419=L1670)"),"14144 SANTA ROSA")</f>
        <v>14144 SANTA ROSA</v>
      </c>
      <c r="F1670" s="11" t="s">
        <v>17</v>
      </c>
      <c r="G1670" s="10" t="s">
        <v>24</v>
      </c>
      <c r="H1670" s="11" t="s">
        <v>19</v>
      </c>
      <c r="I1670" s="11" t="s">
        <v>113</v>
      </c>
      <c r="J1670" s="12" t="str">
        <f ca="1">IFERROR(__xludf.DUMMYFUNCTION("FILTER('CLASFICACIÓN'!$F$3:$F2419,'CLASFICACIÓN'!$G$3:$G2419=M1670)"),"2023 Y 2024")</f>
        <v>2023 Y 2024</v>
      </c>
      <c r="K1670" s="12" t="s">
        <v>2012</v>
      </c>
      <c r="L1670" s="11" t="s">
        <v>126</v>
      </c>
      <c r="M1670" s="12" t="str">
        <f t="shared" ca="1" si="6"/>
        <v>14144 SANTA ROSA4 Primaria</v>
      </c>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4"/>
    </row>
    <row r="1671" spans="1:36" ht="12.5" x14ac:dyDescent="0.25">
      <c r="A1671" s="9">
        <v>294</v>
      </c>
      <c r="B1671" s="10" t="s">
        <v>14</v>
      </c>
      <c r="C1671" s="10" t="s">
        <v>15</v>
      </c>
      <c r="D1671" s="10" t="s">
        <v>16</v>
      </c>
      <c r="E1671" s="11" t="str">
        <f ca="1">IFERROR(__xludf.DUMMYFUNCTION("FILTER(Colegios!$B$2:$B2419,Colegios!$A$2:$A2419=L1671)"),"14144 SANTA ROSA")</f>
        <v>14144 SANTA ROSA</v>
      </c>
      <c r="F1671" s="11" t="s">
        <v>17</v>
      </c>
      <c r="G1671" s="10" t="s">
        <v>18</v>
      </c>
      <c r="H1671" s="11" t="s">
        <v>19</v>
      </c>
      <c r="I1671" s="11" t="s">
        <v>113</v>
      </c>
      <c r="J1671" s="12" t="str">
        <f ca="1">IFERROR(__xludf.DUMMYFUNCTION("FILTER('CLASFICACIÓN'!$F$3:$F2419,'CLASFICACIÓN'!$G$3:$G2419=M1671)"),"2023 Y 2024")</f>
        <v>2023 Y 2024</v>
      </c>
      <c r="K1671" s="12" t="s">
        <v>2012</v>
      </c>
      <c r="L1671" s="11" t="s">
        <v>126</v>
      </c>
      <c r="M1671" s="12" t="str">
        <f t="shared" ca="1" si="6"/>
        <v>14144 SANTA ROSA4 Primaria</v>
      </c>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4"/>
    </row>
    <row r="1672" spans="1:36" ht="12.5" x14ac:dyDescent="0.25">
      <c r="A1672" s="9">
        <v>295</v>
      </c>
      <c r="B1672" s="10" t="s">
        <v>14</v>
      </c>
      <c r="C1672" s="10" t="s">
        <v>15</v>
      </c>
      <c r="D1672" s="10" t="s">
        <v>16</v>
      </c>
      <c r="E1672" s="11" t="str">
        <f ca="1">IFERROR(__xludf.DUMMYFUNCTION("FILTER(Colegios!$B$2:$B2419,Colegios!$A$2:$A2419=L1672)"),"14144 SANTA ROSA")</f>
        <v>14144 SANTA ROSA</v>
      </c>
      <c r="F1672" s="11" t="s">
        <v>17</v>
      </c>
      <c r="G1672" s="10" t="s">
        <v>24</v>
      </c>
      <c r="H1672" s="11" t="s">
        <v>25</v>
      </c>
      <c r="I1672" s="11" t="s">
        <v>113</v>
      </c>
      <c r="J1672" s="12" t="str">
        <f ca="1">IFERROR(__xludf.DUMMYFUNCTION("FILTER('CLASFICACIÓN'!$F$3:$F2419,'CLASFICACIÓN'!$G$3:$G2419=M1672)"),"2023 Y 2024")</f>
        <v>2023 Y 2024</v>
      </c>
      <c r="K1672" s="12" t="s">
        <v>2012</v>
      </c>
      <c r="L1672" s="11" t="s">
        <v>126</v>
      </c>
      <c r="M1672" s="12" t="str">
        <f t="shared" ca="1" si="6"/>
        <v>14144 SANTA ROSA4 Primaria</v>
      </c>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4"/>
    </row>
    <row r="1673" spans="1:36" ht="12.5" x14ac:dyDescent="0.25">
      <c r="A1673" s="9">
        <v>296</v>
      </c>
      <c r="B1673" s="10" t="s">
        <v>14</v>
      </c>
      <c r="C1673" s="10" t="s">
        <v>15</v>
      </c>
      <c r="D1673" s="10" t="s">
        <v>16</v>
      </c>
      <c r="E1673" s="11" t="str">
        <f ca="1">IFERROR(__xludf.DUMMYFUNCTION("FILTER(Colegios!$B$2:$B2419,Colegios!$A$2:$A2419=L1673)"),"14144 SANTA ROSA")</f>
        <v>14144 SANTA ROSA</v>
      </c>
      <c r="F1673" s="11" t="s">
        <v>17</v>
      </c>
      <c r="G1673" s="10" t="s">
        <v>24</v>
      </c>
      <c r="H1673" s="11" t="s">
        <v>23</v>
      </c>
      <c r="I1673" s="11" t="s">
        <v>113</v>
      </c>
      <c r="J1673" s="12" t="str">
        <f ca="1">IFERROR(__xludf.DUMMYFUNCTION("FILTER('CLASFICACIÓN'!$F$3:$F2419,'CLASFICACIÓN'!$G$3:$G2419=M1673)"),"2023 Y 2024")</f>
        <v>2023 Y 2024</v>
      </c>
      <c r="K1673" s="12" t="s">
        <v>2012</v>
      </c>
      <c r="L1673" s="11" t="s">
        <v>126</v>
      </c>
      <c r="M1673" s="12" t="str">
        <f t="shared" ca="1" si="6"/>
        <v>14144 SANTA ROSA4 Primaria</v>
      </c>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4"/>
    </row>
    <row r="1674" spans="1:36" ht="12.5" x14ac:dyDescent="0.25">
      <c r="A1674" s="9">
        <v>297</v>
      </c>
      <c r="B1674" s="10" t="s">
        <v>14</v>
      </c>
      <c r="C1674" s="10" t="s">
        <v>15</v>
      </c>
      <c r="D1674" s="10" t="s">
        <v>16</v>
      </c>
      <c r="E1674" s="11" t="str">
        <f ca="1">IFERROR(__xludf.DUMMYFUNCTION("FILTER(Colegios!$B$2:$B2419,Colegios!$A$2:$A2419=L1674)"),"14144 SANTA ROSA")</f>
        <v>14144 SANTA ROSA</v>
      </c>
      <c r="F1674" s="11" t="s">
        <v>17</v>
      </c>
      <c r="G1674" s="10" t="s">
        <v>24</v>
      </c>
      <c r="H1674" s="11" t="s">
        <v>23</v>
      </c>
      <c r="I1674" s="11" t="s">
        <v>113</v>
      </c>
      <c r="J1674" s="12" t="str">
        <f ca="1">IFERROR(__xludf.DUMMYFUNCTION("FILTER('CLASFICACIÓN'!$F$3:$F2419,'CLASFICACIÓN'!$G$3:$G2419=M1674)"),"2023 Y 2024")</f>
        <v>2023 Y 2024</v>
      </c>
      <c r="K1674" s="12" t="s">
        <v>2012</v>
      </c>
      <c r="L1674" s="11" t="s">
        <v>126</v>
      </c>
      <c r="M1674" s="12" t="str">
        <f t="shared" ca="1" si="6"/>
        <v>14144 SANTA ROSA4 Primaria</v>
      </c>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4"/>
    </row>
    <row r="1675" spans="1:36" ht="12.5" x14ac:dyDescent="0.25">
      <c r="A1675" s="9">
        <v>298</v>
      </c>
      <c r="B1675" s="10" t="s">
        <v>14</v>
      </c>
      <c r="C1675" s="10" t="s">
        <v>15</v>
      </c>
      <c r="D1675" s="10" t="s">
        <v>16</v>
      </c>
      <c r="E1675" s="11" t="str">
        <f ca="1">IFERROR(__xludf.DUMMYFUNCTION("FILTER(Colegios!$B$2:$B2419,Colegios!$A$2:$A2419=L1675)"),"14144 SANTA ROSA")</f>
        <v>14144 SANTA ROSA</v>
      </c>
      <c r="F1675" s="11" t="s">
        <v>17</v>
      </c>
      <c r="G1675" s="10" t="s">
        <v>24</v>
      </c>
      <c r="H1675" s="11" t="s">
        <v>23</v>
      </c>
      <c r="I1675" s="11" t="s">
        <v>113</v>
      </c>
      <c r="J1675" s="12" t="str">
        <f ca="1">IFERROR(__xludf.DUMMYFUNCTION("FILTER('CLASFICACIÓN'!$F$3:$F2419,'CLASFICACIÓN'!$G$3:$G2419=M1675)"),"2023 Y 2024")</f>
        <v>2023 Y 2024</v>
      </c>
      <c r="K1675" s="12" t="s">
        <v>2012</v>
      </c>
      <c r="L1675" s="11" t="s">
        <v>126</v>
      </c>
      <c r="M1675" s="12" t="str">
        <f t="shared" ca="1" si="6"/>
        <v>14144 SANTA ROSA4 Primaria</v>
      </c>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4"/>
    </row>
    <row r="1676" spans="1:36" ht="12.5" x14ac:dyDescent="0.25">
      <c r="A1676" s="9">
        <v>299</v>
      </c>
      <c r="B1676" s="10" t="s">
        <v>14</v>
      </c>
      <c r="C1676" s="10" t="s">
        <v>15</v>
      </c>
      <c r="D1676" s="10" t="s">
        <v>16</v>
      </c>
      <c r="E1676" s="11" t="str">
        <f ca="1">IFERROR(__xludf.DUMMYFUNCTION("FILTER(Colegios!$B$2:$B2419,Colegios!$A$2:$A2419=L1676)"),"14144 SANTA ROSA")</f>
        <v>14144 SANTA ROSA</v>
      </c>
      <c r="F1676" s="11" t="s">
        <v>17</v>
      </c>
      <c r="G1676" s="10" t="s">
        <v>24</v>
      </c>
      <c r="H1676" s="11" t="s">
        <v>23</v>
      </c>
      <c r="I1676" s="11" t="s">
        <v>113</v>
      </c>
      <c r="J1676" s="12" t="str">
        <f ca="1">IFERROR(__xludf.DUMMYFUNCTION("FILTER('CLASFICACIÓN'!$F$3:$F2419,'CLASFICACIÓN'!$G$3:$G2419=M1676)"),"2023 Y 2024")</f>
        <v>2023 Y 2024</v>
      </c>
      <c r="K1676" s="12" t="s">
        <v>2012</v>
      </c>
      <c r="L1676" s="11" t="s">
        <v>126</v>
      </c>
      <c r="M1676" s="12" t="str">
        <f t="shared" ca="1" si="6"/>
        <v>14144 SANTA ROSA4 Primaria</v>
      </c>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4"/>
    </row>
    <row r="1677" spans="1:36" ht="12.5" x14ac:dyDescent="0.25">
      <c r="A1677" s="9">
        <v>300</v>
      </c>
      <c r="B1677" s="10" t="s">
        <v>14</v>
      </c>
      <c r="C1677" s="10" t="s">
        <v>15</v>
      </c>
      <c r="D1677" s="10" t="s">
        <v>16</v>
      </c>
      <c r="E1677" s="11" t="str">
        <f ca="1">IFERROR(__xludf.DUMMYFUNCTION("FILTER(Colegios!$B$2:$B2419,Colegios!$A$2:$A2419=L1677)"),"14144 SANTA ROSA")</f>
        <v>14144 SANTA ROSA</v>
      </c>
      <c r="F1677" s="11" t="s">
        <v>17</v>
      </c>
      <c r="G1677" s="10" t="s">
        <v>24</v>
      </c>
      <c r="H1677" s="11" t="s">
        <v>19</v>
      </c>
      <c r="I1677" s="11" t="s">
        <v>113</v>
      </c>
      <c r="J1677" s="12" t="str">
        <f ca="1">IFERROR(__xludf.DUMMYFUNCTION("FILTER('CLASFICACIÓN'!$F$3:$F2419,'CLASFICACIÓN'!$G$3:$G2419=M1677)"),"2023 Y 2024")</f>
        <v>2023 Y 2024</v>
      </c>
      <c r="K1677" s="12" t="s">
        <v>2012</v>
      </c>
      <c r="L1677" s="11" t="s">
        <v>126</v>
      </c>
      <c r="M1677" s="12" t="str">
        <f t="shared" ca="1" si="6"/>
        <v>14144 SANTA ROSA4 Primaria</v>
      </c>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4"/>
    </row>
    <row r="1678" spans="1:36" ht="12.5" x14ac:dyDescent="0.25">
      <c r="A1678" s="9">
        <v>301</v>
      </c>
      <c r="B1678" s="10" t="s">
        <v>14</v>
      </c>
      <c r="C1678" s="10" t="s">
        <v>15</v>
      </c>
      <c r="D1678" s="10" t="s">
        <v>16</v>
      </c>
      <c r="E1678" s="11" t="str">
        <f ca="1">IFERROR(__xludf.DUMMYFUNCTION("FILTER(Colegios!$B$2:$B2419,Colegios!$A$2:$A2419=L1678)"),"14144 SANTA ROSA")</f>
        <v>14144 SANTA ROSA</v>
      </c>
      <c r="F1678" s="11" t="s">
        <v>17</v>
      </c>
      <c r="G1678" s="10" t="s">
        <v>24</v>
      </c>
      <c r="H1678" s="11" t="s">
        <v>19</v>
      </c>
      <c r="I1678" s="11" t="s">
        <v>113</v>
      </c>
      <c r="J1678" s="12" t="str">
        <f ca="1">IFERROR(__xludf.DUMMYFUNCTION("FILTER('CLASFICACIÓN'!$F$3:$F2419,'CLASFICACIÓN'!$G$3:$G2419=M1678)"),"2023 Y 2024")</f>
        <v>2023 Y 2024</v>
      </c>
      <c r="K1678" s="12" t="s">
        <v>2012</v>
      </c>
      <c r="L1678" s="11" t="s">
        <v>126</v>
      </c>
      <c r="M1678" s="12" t="str">
        <f t="shared" ca="1" si="6"/>
        <v>14144 SANTA ROSA4 Primaria</v>
      </c>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4"/>
    </row>
    <row r="1679" spans="1:36" ht="12.5" x14ac:dyDescent="0.25">
      <c r="A1679" s="9">
        <v>302</v>
      </c>
      <c r="B1679" s="10" t="s">
        <v>14</v>
      </c>
      <c r="C1679" s="10" t="s">
        <v>15</v>
      </c>
      <c r="D1679" s="10" t="s">
        <v>16</v>
      </c>
      <c r="E1679" s="11" t="str">
        <f ca="1">IFERROR(__xludf.DUMMYFUNCTION("FILTER(Colegios!$B$2:$B2419,Colegios!$A$2:$A2419=L1679)"),"14144 SANTA ROSA")</f>
        <v>14144 SANTA ROSA</v>
      </c>
      <c r="F1679" s="11" t="s">
        <v>17</v>
      </c>
      <c r="G1679" s="10" t="s">
        <v>24</v>
      </c>
      <c r="H1679" s="11" t="s">
        <v>23</v>
      </c>
      <c r="I1679" s="11" t="s">
        <v>113</v>
      </c>
      <c r="J1679" s="12" t="str">
        <f ca="1">IFERROR(__xludf.DUMMYFUNCTION("FILTER('CLASFICACIÓN'!$F$3:$F2419,'CLASFICACIÓN'!$G$3:$G2419=M1679)"),"2023 Y 2024")</f>
        <v>2023 Y 2024</v>
      </c>
      <c r="K1679" s="12" t="s">
        <v>2012</v>
      </c>
      <c r="L1679" s="11" t="s">
        <v>126</v>
      </c>
      <c r="M1679" s="12" t="str">
        <f t="shared" ca="1" si="6"/>
        <v>14144 SANTA ROSA4 Primaria</v>
      </c>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4"/>
    </row>
    <row r="1680" spans="1:36" ht="12.5" x14ac:dyDescent="0.25">
      <c r="A1680" s="9">
        <v>303</v>
      </c>
      <c r="B1680" s="10" t="s">
        <v>14</v>
      </c>
      <c r="C1680" s="10" t="s">
        <v>15</v>
      </c>
      <c r="D1680" s="10" t="s">
        <v>16</v>
      </c>
      <c r="E1680" s="11" t="str">
        <f ca="1">IFERROR(__xludf.DUMMYFUNCTION("FILTER(Colegios!$B$2:$B2419,Colegios!$A$2:$A2419=L1680)"),"14144 SANTA ROSA")</f>
        <v>14144 SANTA ROSA</v>
      </c>
      <c r="F1680" s="11" t="s">
        <v>17</v>
      </c>
      <c r="G1680" s="10" t="s">
        <v>24</v>
      </c>
      <c r="H1680" s="11" t="s">
        <v>19</v>
      </c>
      <c r="I1680" s="11" t="s">
        <v>113</v>
      </c>
      <c r="J1680" s="12" t="str">
        <f ca="1">IFERROR(__xludf.DUMMYFUNCTION("FILTER('CLASFICACIÓN'!$F$3:$F2419,'CLASFICACIÓN'!$G$3:$G2419=M1680)"),"2023 Y 2024")</f>
        <v>2023 Y 2024</v>
      </c>
      <c r="K1680" s="12" t="s">
        <v>2012</v>
      </c>
      <c r="L1680" s="11" t="s">
        <v>126</v>
      </c>
      <c r="M1680" s="12" t="str">
        <f t="shared" ca="1" si="6"/>
        <v>14144 SANTA ROSA4 Primaria</v>
      </c>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4"/>
    </row>
    <row r="1681" spans="1:36" ht="12.5" x14ac:dyDescent="0.25">
      <c r="A1681" s="9">
        <v>304</v>
      </c>
      <c r="B1681" s="10" t="s">
        <v>14</v>
      </c>
      <c r="C1681" s="10" t="s">
        <v>15</v>
      </c>
      <c r="D1681" s="10" t="s">
        <v>16</v>
      </c>
      <c r="E1681" s="11" t="str">
        <f ca="1">IFERROR(__xludf.DUMMYFUNCTION("FILTER(Colegios!$B$2:$B2419,Colegios!$A$2:$A2419=L1681)"),"14144 SANTA ROSA")</f>
        <v>14144 SANTA ROSA</v>
      </c>
      <c r="F1681" s="11" t="s">
        <v>17</v>
      </c>
      <c r="G1681" s="10" t="s">
        <v>18</v>
      </c>
      <c r="H1681" s="11" t="s">
        <v>23</v>
      </c>
      <c r="I1681" s="11" t="s">
        <v>113</v>
      </c>
      <c r="J1681" s="12" t="str">
        <f ca="1">IFERROR(__xludf.DUMMYFUNCTION("FILTER('CLASFICACIÓN'!$F$3:$F2419,'CLASFICACIÓN'!$G$3:$G2419=M1681)"),"2023 Y 2024")</f>
        <v>2023 Y 2024</v>
      </c>
      <c r="K1681" s="12" t="s">
        <v>2012</v>
      </c>
      <c r="L1681" s="11" t="s">
        <v>126</v>
      </c>
      <c r="M1681" s="12" t="str">
        <f t="shared" ca="1" si="6"/>
        <v>14144 SANTA ROSA4 Primaria</v>
      </c>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4"/>
    </row>
    <row r="1682" spans="1:36" ht="12.5" x14ac:dyDescent="0.25">
      <c r="A1682" s="9">
        <v>305</v>
      </c>
      <c r="B1682" s="10" t="s">
        <v>14</v>
      </c>
      <c r="C1682" s="10" t="s">
        <v>15</v>
      </c>
      <c r="D1682" s="10" t="s">
        <v>16</v>
      </c>
      <c r="E1682" s="11" t="str">
        <f ca="1">IFERROR(__xludf.DUMMYFUNCTION("FILTER(Colegios!$B$2:$B2419,Colegios!$A$2:$A2419=L1682)"),"14144 SANTA ROSA")</f>
        <v>14144 SANTA ROSA</v>
      </c>
      <c r="F1682" s="11" t="s">
        <v>17</v>
      </c>
      <c r="G1682" s="10" t="s">
        <v>18</v>
      </c>
      <c r="H1682" s="11" t="s">
        <v>25</v>
      </c>
      <c r="I1682" s="11" t="s">
        <v>113</v>
      </c>
      <c r="J1682" s="12" t="str">
        <f ca="1">IFERROR(__xludf.DUMMYFUNCTION("FILTER('CLASFICACIÓN'!$F$3:$F2419,'CLASFICACIÓN'!$G$3:$G2419=M1682)"),"2023 Y 2024")</f>
        <v>2023 Y 2024</v>
      </c>
      <c r="K1682" s="12" t="s">
        <v>2012</v>
      </c>
      <c r="L1682" s="11" t="s">
        <v>126</v>
      </c>
      <c r="M1682" s="12" t="str">
        <f t="shared" ca="1" si="6"/>
        <v>14144 SANTA ROSA4 Primaria</v>
      </c>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4"/>
    </row>
    <row r="1683" spans="1:36" ht="12.5" x14ac:dyDescent="0.25">
      <c r="A1683" s="9">
        <v>306</v>
      </c>
      <c r="B1683" s="10" t="s">
        <v>14</v>
      </c>
      <c r="C1683" s="10" t="s">
        <v>15</v>
      </c>
      <c r="D1683" s="10" t="s">
        <v>16</v>
      </c>
      <c r="E1683" s="11" t="str">
        <f ca="1">IFERROR(__xludf.DUMMYFUNCTION("FILTER(Colegios!$B$2:$B2419,Colegios!$A$2:$A2419=L1683)"),"14144 SANTA ROSA")</f>
        <v>14144 SANTA ROSA</v>
      </c>
      <c r="F1683" s="11" t="s">
        <v>17</v>
      </c>
      <c r="G1683" s="10" t="s">
        <v>24</v>
      </c>
      <c r="H1683" s="11" t="s">
        <v>23</v>
      </c>
      <c r="I1683" s="11" t="s">
        <v>113</v>
      </c>
      <c r="J1683" s="12" t="str">
        <f ca="1">IFERROR(__xludf.DUMMYFUNCTION("FILTER('CLASFICACIÓN'!$F$3:$F2419,'CLASFICACIÓN'!$G$3:$G2419=M1683)"),"2023 Y 2024")</f>
        <v>2023 Y 2024</v>
      </c>
      <c r="K1683" s="12" t="s">
        <v>2012</v>
      </c>
      <c r="L1683" s="11" t="s">
        <v>126</v>
      </c>
      <c r="M1683" s="12" t="str">
        <f t="shared" ca="1" si="6"/>
        <v>14144 SANTA ROSA4 Primaria</v>
      </c>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4"/>
    </row>
    <row r="1684" spans="1:36" ht="12.5" x14ac:dyDescent="0.25">
      <c r="A1684" s="9">
        <v>307</v>
      </c>
      <c r="B1684" s="10" t="s">
        <v>14</v>
      </c>
      <c r="C1684" s="10" t="s">
        <v>15</v>
      </c>
      <c r="D1684" s="10" t="s">
        <v>16</v>
      </c>
      <c r="E1684" s="11" t="str">
        <f ca="1">IFERROR(__xludf.DUMMYFUNCTION("FILTER(Colegios!$B$2:$B2419,Colegios!$A$2:$A2419=L1684)"),"14144 SANTA ROSA")</f>
        <v>14144 SANTA ROSA</v>
      </c>
      <c r="F1684" s="11" t="s">
        <v>17</v>
      </c>
      <c r="G1684" s="10" t="s">
        <v>24</v>
      </c>
      <c r="H1684" s="11" t="s">
        <v>19</v>
      </c>
      <c r="I1684" s="11" t="s">
        <v>113</v>
      </c>
      <c r="J1684" s="12" t="str">
        <f ca="1">IFERROR(__xludf.DUMMYFUNCTION("FILTER('CLASFICACIÓN'!$F$3:$F2419,'CLASFICACIÓN'!$G$3:$G2419=M1684)"),"2023 Y 2024")</f>
        <v>2023 Y 2024</v>
      </c>
      <c r="K1684" s="12" t="s">
        <v>2012</v>
      </c>
      <c r="L1684" s="11" t="s">
        <v>126</v>
      </c>
      <c r="M1684" s="12" t="str">
        <f t="shared" ca="1" si="6"/>
        <v>14144 SANTA ROSA4 Primaria</v>
      </c>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4"/>
    </row>
    <row r="1685" spans="1:36" ht="12.5" x14ac:dyDescent="0.25">
      <c r="A1685" s="9">
        <v>308</v>
      </c>
      <c r="B1685" s="10" t="s">
        <v>14</v>
      </c>
      <c r="C1685" s="10" t="s">
        <v>15</v>
      </c>
      <c r="D1685" s="10" t="s">
        <v>16</v>
      </c>
      <c r="E1685" s="11" t="str">
        <f ca="1">IFERROR(__xludf.DUMMYFUNCTION("FILTER(Colegios!$B$2:$B2419,Colegios!$A$2:$A2419=L1685)"),"14144 SANTA ROSA")</f>
        <v>14144 SANTA ROSA</v>
      </c>
      <c r="F1685" s="11" t="s">
        <v>17</v>
      </c>
      <c r="G1685" s="10" t="s">
        <v>24</v>
      </c>
      <c r="H1685" s="11" t="s">
        <v>23</v>
      </c>
      <c r="I1685" s="11" t="s">
        <v>113</v>
      </c>
      <c r="J1685" s="12" t="str">
        <f ca="1">IFERROR(__xludf.DUMMYFUNCTION("FILTER('CLASFICACIÓN'!$F$3:$F2419,'CLASFICACIÓN'!$G$3:$G2419=M1685)"),"2023 Y 2024")</f>
        <v>2023 Y 2024</v>
      </c>
      <c r="K1685" s="12" t="s">
        <v>2012</v>
      </c>
      <c r="L1685" s="11" t="s">
        <v>126</v>
      </c>
      <c r="M1685" s="12" t="str">
        <f t="shared" ca="1" si="6"/>
        <v>14144 SANTA ROSA4 Primaria</v>
      </c>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4"/>
    </row>
    <row r="1686" spans="1:36" ht="12.5" x14ac:dyDescent="0.25">
      <c r="A1686" s="9">
        <v>309</v>
      </c>
      <c r="B1686" s="10" t="s">
        <v>14</v>
      </c>
      <c r="C1686" s="10" t="s">
        <v>15</v>
      </c>
      <c r="D1686" s="10" t="s">
        <v>16</v>
      </c>
      <c r="E1686" s="11" t="str">
        <f ca="1">IFERROR(__xludf.DUMMYFUNCTION("FILTER(Colegios!$B$2:$B2419,Colegios!$A$2:$A2419=L1686)"),"14144 SANTA ROSA")</f>
        <v>14144 SANTA ROSA</v>
      </c>
      <c r="F1686" s="11" t="s">
        <v>17</v>
      </c>
      <c r="G1686" s="10" t="s">
        <v>24</v>
      </c>
      <c r="H1686" s="11" t="s">
        <v>19</v>
      </c>
      <c r="I1686" s="11" t="s">
        <v>113</v>
      </c>
      <c r="J1686" s="12" t="str">
        <f ca="1">IFERROR(__xludf.DUMMYFUNCTION("FILTER('CLASFICACIÓN'!$F$3:$F2419,'CLASFICACIÓN'!$G$3:$G2419=M1686)"),"2023 Y 2024")</f>
        <v>2023 Y 2024</v>
      </c>
      <c r="K1686" s="12" t="s">
        <v>2012</v>
      </c>
      <c r="L1686" s="11" t="s">
        <v>126</v>
      </c>
      <c r="M1686" s="12" t="str">
        <f t="shared" ca="1" si="6"/>
        <v>14144 SANTA ROSA4 Primaria</v>
      </c>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4"/>
    </row>
    <row r="1687" spans="1:36" ht="12.5" x14ac:dyDescent="0.25">
      <c r="A1687" s="9">
        <v>310</v>
      </c>
      <c r="B1687" s="10" t="s">
        <v>14</v>
      </c>
      <c r="C1687" s="10" t="s">
        <v>15</v>
      </c>
      <c r="D1687" s="10" t="s">
        <v>16</v>
      </c>
      <c r="E1687" s="11" t="str">
        <f ca="1">IFERROR(__xludf.DUMMYFUNCTION("FILTER(Colegios!$B$2:$B2419,Colegios!$A$2:$A2419=L1687)"),"14144 SANTA ROSA")</f>
        <v>14144 SANTA ROSA</v>
      </c>
      <c r="F1687" s="11" t="s">
        <v>17</v>
      </c>
      <c r="G1687" s="10" t="s">
        <v>24</v>
      </c>
      <c r="H1687" s="11" t="s">
        <v>23</v>
      </c>
      <c r="I1687" s="11" t="s">
        <v>113</v>
      </c>
      <c r="J1687" s="12" t="str">
        <f ca="1">IFERROR(__xludf.DUMMYFUNCTION("FILTER('CLASFICACIÓN'!$F$3:$F2419,'CLASFICACIÓN'!$G$3:$G2419=M1687)"),"2023 Y 2024")</f>
        <v>2023 Y 2024</v>
      </c>
      <c r="K1687" s="12" t="s">
        <v>2012</v>
      </c>
      <c r="L1687" s="11" t="s">
        <v>126</v>
      </c>
      <c r="M1687" s="12" t="str">
        <f t="shared" ca="1" si="6"/>
        <v>14144 SANTA ROSA4 Primaria</v>
      </c>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4"/>
    </row>
    <row r="1688" spans="1:36" ht="12.5" x14ac:dyDescent="0.25">
      <c r="A1688" s="9">
        <v>311</v>
      </c>
      <c r="B1688" s="10" t="s">
        <v>14</v>
      </c>
      <c r="C1688" s="10" t="s">
        <v>15</v>
      </c>
      <c r="D1688" s="10" t="s">
        <v>16</v>
      </c>
      <c r="E1688" s="11" t="str">
        <f ca="1">IFERROR(__xludf.DUMMYFUNCTION("FILTER(Colegios!$B$2:$B2419,Colegios!$A$2:$A2419=L1688)"),"14144 SANTA ROSA")</f>
        <v>14144 SANTA ROSA</v>
      </c>
      <c r="F1688" s="11" t="s">
        <v>17</v>
      </c>
      <c r="G1688" s="10" t="s">
        <v>18</v>
      </c>
      <c r="H1688" s="11" t="s">
        <v>19</v>
      </c>
      <c r="I1688" s="11" t="s">
        <v>113</v>
      </c>
      <c r="J1688" s="12" t="str">
        <f ca="1">IFERROR(__xludf.DUMMYFUNCTION("FILTER('CLASFICACIÓN'!$F$3:$F2419,'CLASFICACIÓN'!$G$3:$G2419=M1688)"),"2023 Y 2024")</f>
        <v>2023 Y 2024</v>
      </c>
      <c r="K1688" s="12" t="s">
        <v>2012</v>
      </c>
      <c r="L1688" s="11" t="s">
        <v>126</v>
      </c>
      <c r="M1688" s="12" t="str">
        <f t="shared" ca="1" si="6"/>
        <v>14144 SANTA ROSA4 Primaria</v>
      </c>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4"/>
    </row>
    <row r="1689" spans="1:36" ht="12.5" x14ac:dyDescent="0.25">
      <c r="A1689" s="9">
        <v>312</v>
      </c>
      <c r="B1689" s="10" t="s">
        <v>14</v>
      </c>
      <c r="C1689" s="10" t="s">
        <v>15</v>
      </c>
      <c r="D1689" s="10" t="s">
        <v>16</v>
      </c>
      <c r="E1689" s="11" t="str">
        <f ca="1">IFERROR(__xludf.DUMMYFUNCTION("FILTER(Colegios!$B$2:$B2419,Colegios!$A$2:$A2419=L1689)"),"14144 SANTA ROSA")</f>
        <v>14144 SANTA ROSA</v>
      </c>
      <c r="F1689" s="11" t="s">
        <v>17</v>
      </c>
      <c r="G1689" s="10" t="s">
        <v>24</v>
      </c>
      <c r="H1689" s="11" t="s">
        <v>25</v>
      </c>
      <c r="I1689" s="11" t="s">
        <v>113</v>
      </c>
      <c r="J1689" s="12" t="str">
        <f ca="1">IFERROR(__xludf.DUMMYFUNCTION("FILTER('CLASFICACIÓN'!$F$3:$F2419,'CLASFICACIÓN'!$G$3:$G2419=M1689)"),"2023 Y 2024")</f>
        <v>2023 Y 2024</v>
      </c>
      <c r="K1689" s="12" t="s">
        <v>2012</v>
      </c>
      <c r="L1689" s="11" t="s">
        <v>126</v>
      </c>
      <c r="M1689" s="12" t="str">
        <f t="shared" ca="1" si="6"/>
        <v>14144 SANTA ROSA4 Primaria</v>
      </c>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4"/>
    </row>
    <row r="1690" spans="1:36" ht="12.5" x14ac:dyDescent="0.25">
      <c r="A1690" s="9">
        <v>313</v>
      </c>
      <c r="B1690" s="10" t="s">
        <v>14</v>
      </c>
      <c r="C1690" s="10" t="s">
        <v>15</v>
      </c>
      <c r="D1690" s="10" t="s">
        <v>16</v>
      </c>
      <c r="E1690" s="11" t="str">
        <f ca="1">IFERROR(__xludf.DUMMYFUNCTION("FILTER(Colegios!$B$2:$B2419,Colegios!$A$2:$A2419=L1690)"),"14144 SANTA ROSA")</f>
        <v>14144 SANTA ROSA</v>
      </c>
      <c r="F1690" s="11" t="s">
        <v>17</v>
      </c>
      <c r="G1690" s="10" t="s">
        <v>18</v>
      </c>
      <c r="H1690" s="11" t="s">
        <v>23</v>
      </c>
      <c r="I1690" s="11" t="s">
        <v>113</v>
      </c>
      <c r="J1690" s="12" t="str">
        <f ca="1">IFERROR(__xludf.DUMMYFUNCTION("FILTER('CLASFICACIÓN'!$F$3:$F2419,'CLASFICACIÓN'!$G$3:$G2419=M1690)"),"2023 Y 2024")</f>
        <v>2023 Y 2024</v>
      </c>
      <c r="K1690" s="12" t="s">
        <v>2012</v>
      </c>
      <c r="L1690" s="11" t="s">
        <v>126</v>
      </c>
      <c r="M1690" s="12" t="str">
        <f t="shared" ca="1" si="6"/>
        <v>14144 SANTA ROSA4 Primaria</v>
      </c>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4"/>
    </row>
    <row r="1691" spans="1:36" ht="12.5" x14ac:dyDescent="0.25">
      <c r="A1691" s="9">
        <v>314</v>
      </c>
      <c r="B1691" s="10" t="s">
        <v>14</v>
      </c>
      <c r="C1691" s="10" t="s">
        <v>15</v>
      </c>
      <c r="D1691" s="10" t="s">
        <v>16</v>
      </c>
      <c r="E1691" s="11" t="str">
        <f ca="1">IFERROR(__xludf.DUMMYFUNCTION("FILTER(Colegios!$B$2:$B2419,Colegios!$A$2:$A2419=L1691)"),"14144 SANTA ROSA")</f>
        <v>14144 SANTA ROSA</v>
      </c>
      <c r="F1691" s="11" t="s">
        <v>17</v>
      </c>
      <c r="G1691" s="10" t="s">
        <v>24</v>
      </c>
      <c r="H1691" s="11" t="s">
        <v>19</v>
      </c>
      <c r="I1691" s="11" t="s">
        <v>113</v>
      </c>
      <c r="J1691" s="12" t="str">
        <f ca="1">IFERROR(__xludf.DUMMYFUNCTION("FILTER('CLASFICACIÓN'!$F$3:$F2419,'CLASFICACIÓN'!$G$3:$G2419=M1691)"),"2023 Y 2024")</f>
        <v>2023 Y 2024</v>
      </c>
      <c r="K1691" s="12" t="s">
        <v>2012</v>
      </c>
      <c r="L1691" s="11" t="s">
        <v>126</v>
      </c>
      <c r="M1691" s="12" t="str">
        <f t="shared" ca="1" si="6"/>
        <v>14144 SANTA ROSA4 Primaria</v>
      </c>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4"/>
    </row>
    <row r="1692" spans="1:36" ht="12.5" x14ac:dyDescent="0.25">
      <c r="A1692" s="9">
        <v>315</v>
      </c>
      <c r="B1692" s="10" t="s">
        <v>14</v>
      </c>
      <c r="C1692" s="10" t="s">
        <v>15</v>
      </c>
      <c r="D1692" s="10" t="s">
        <v>16</v>
      </c>
      <c r="E1692" s="11" t="str">
        <f ca="1">IFERROR(__xludf.DUMMYFUNCTION("FILTER(Colegios!$B$2:$B2419,Colegios!$A$2:$A2419=L1692)"),"14144 SANTA ROSA")</f>
        <v>14144 SANTA ROSA</v>
      </c>
      <c r="F1692" s="11" t="s">
        <v>17</v>
      </c>
      <c r="G1692" s="10" t="s">
        <v>18</v>
      </c>
      <c r="H1692" s="11" t="s">
        <v>19</v>
      </c>
      <c r="I1692" s="11" t="s">
        <v>113</v>
      </c>
      <c r="J1692" s="12" t="str">
        <f ca="1">IFERROR(__xludf.DUMMYFUNCTION("FILTER('CLASFICACIÓN'!$F$3:$F2419,'CLASFICACIÓN'!$G$3:$G2419=M1692)"),"2023 Y 2024")</f>
        <v>2023 Y 2024</v>
      </c>
      <c r="K1692" s="12" t="s">
        <v>2012</v>
      </c>
      <c r="L1692" s="11" t="s">
        <v>126</v>
      </c>
      <c r="M1692" s="12" t="str">
        <f t="shared" ca="1" si="6"/>
        <v>14144 SANTA ROSA4 Primaria</v>
      </c>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4"/>
    </row>
    <row r="1693" spans="1:36" ht="12.5" x14ac:dyDescent="0.25">
      <c r="A1693" s="9">
        <v>316</v>
      </c>
      <c r="B1693" s="10" t="s">
        <v>14</v>
      </c>
      <c r="C1693" s="10" t="s">
        <v>15</v>
      </c>
      <c r="D1693" s="10" t="s">
        <v>16</v>
      </c>
      <c r="E1693" s="11" t="str">
        <f ca="1">IFERROR(__xludf.DUMMYFUNCTION("FILTER(Colegios!$B$2:$B2419,Colegios!$A$2:$A2419=L1693)"),"14144 SANTA ROSA")</f>
        <v>14144 SANTA ROSA</v>
      </c>
      <c r="F1693" s="11" t="s">
        <v>17</v>
      </c>
      <c r="G1693" s="10" t="s">
        <v>18</v>
      </c>
      <c r="H1693" s="11" t="s">
        <v>19</v>
      </c>
      <c r="I1693" s="11" t="s">
        <v>113</v>
      </c>
      <c r="J1693" s="12" t="str">
        <f ca="1">IFERROR(__xludf.DUMMYFUNCTION("FILTER('CLASFICACIÓN'!$F$3:$F2419,'CLASFICACIÓN'!$G$3:$G2419=M1693)"),"2023 Y 2024")</f>
        <v>2023 Y 2024</v>
      </c>
      <c r="K1693" s="12" t="s">
        <v>2012</v>
      </c>
      <c r="L1693" s="11" t="s">
        <v>126</v>
      </c>
      <c r="M1693" s="12" t="str">
        <f t="shared" ca="1" si="6"/>
        <v>14144 SANTA ROSA4 Primaria</v>
      </c>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4"/>
    </row>
    <row r="1694" spans="1:36" ht="12.5" x14ac:dyDescent="0.25">
      <c r="A1694" s="9">
        <v>317</v>
      </c>
      <c r="B1694" s="10" t="s">
        <v>14</v>
      </c>
      <c r="C1694" s="10" t="s">
        <v>15</v>
      </c>
      <c r="D1694" s="10" t="s">
        <v>16</v>
      </c>
      <c r="E1694" s="11" t="str">
        <f ca="1">IFERROR(__xludf.DUMMYFUNCTION("FILTER(Colegios!$B$2:$B2419,Colegios!$A$2:$A2419=L1694)"),"14144 SANTA ROSA")</f>
        <v>14144 SANTA ROSA</v>
      </c>
      <c r="F1694" s="11" t="s">
        <v>17</v>
      </c>
      <c r="G1694" s="10" t="s">
        <v>24</v>
      </c>
      <c r="H1694" s="11" t="s">
        <v>19</v>
      </c>
      <c r="I1694" s="11" t="s">
        <v>113</v>
      </c>
      <c r="J1694" s="12" t="str">
        <f ca="1">IFERROR(__xludf.DUMMYFUNCTION("FILTER('CLASFICACIÓN'!$F$3:$F2419,'CLASFICACIÓN'!$G$3:$G2419=M1694)"),"2023 Y 2024")</f>
        <v>2023 Y 2024</v>
      </c>
      <c r="K1694" s="12" t="s">
        <v>2012</v>
      </c>
      <c r="L1694" s="11" t="s">
        <v>126</v>
      </c>
      <c r="M1694" s="12" t="str">
        <f t="shared" ca="1" si="6"/>
        <v>14144 SANTA ROSA4 Primaria</v>
      </c>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4"/>
    </row>
    <row r="1695" spans="1:36" ht="12.5" x14ac:dyDescent="0.25">
      <c r="A1695" s="9">
        <v>318</v>
      </c>
      <c r="B1695" s="10" t="s">
        <v>14</v>
      </c>
      <c r="C1695" s="10" t="s">
        <v>15</v>
      </c>
      <c r="D1695" s="10" t="s">
        <v>16</v>
      </c>
      <c r="E1695" s="11" t="str">
        <f ca="1">IFERROR(__xludf.DUMMYFUNCTION("FILTER(Colegios!$B$2:$B2419,Colegios!$A$2:$A2419=L1695)"),"14144 SANTA ROSA")</f>
        <v>14144 SANTA ROSA</v>
      </c>
      <c r="F1695" s="11" t="s">
        <v>17</v>
      </c>
      <c r="G1695" s="10" t="s">
        <v>18</v>
      </c>
      <c r="H1695" s="11" t="s">
        <v>23</v>
      </c>
      <c r="I1695" s="11" t="s">
        <v>113</v>
      </c>
      <c r="J1695" s="12" t="str">
        <f ca="1">IFERROR(__xludf.DUMMYFUNCTION("FILTER('CLASFICACIÓN'!$F$3:$F2419,'CLASFICACIÓN'!$G$3:$G2419=M1695)"),"2023 Y 2024")</f>
        <v>2023 Y 2024</v>
      </c>
      <c r="K1695" s="12" t="s">
        <v>2012</v>
      </c>
      <c r="L1695" s="11" t="s">
        <v>126</v>
      </c>
      <c r="M1695" s="12" t="str">
        <f t="shared" ca="1" si="6"/>
        <v>14144 SANTA ROSA4 Primaria</v>
      </c>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4"/>
    </row>
    <row r="1696" spans="1:36" ht="12.5" x14ac:dyDescent="0.25">
      <c r="A1696" s="9">
        <v>319</v>
      </c>
      <c r="B1696" s="10" t="s">
        <v>14</v>
      </c>
      <c r="C1696" s="10" t="s">
        <v>15</v>
      </c>
      <c r="D1696" s="10" t="s">
        <v>16</v>
      </c>
      <c r="E1696" s="11" t="str">
        <f ca="1">IFERROR(__xludf.DUMMYFUNCTION("FILTER(Colegios!$B$2:$B2419,Colegios!$A$2:$A2419=L1696)"),"14144 SANTA ROSA")</f>
        <v>14144 SANTA ROSA</v>
      </c>
      <c r="F1696" s="11" t="s">
        <v>17</v>
      </c>
      <c r="G1696" s="10" t="s">
        <v>24</v>
      </c>
      <c r="H1696" s="11" t="s">
        <v>19</v>
      </c>
      <c r="I1696" s="11" t="s">
        <v>113</v>
      </c>
      <c r="J1696" s="12" t="str">
        <f ca="1">IFERROR(__xludf.DUMMYFUNCTION("FILTER('CLASFICACIÓN'!$F$3:$F2419,'CLASFICACIÓN'!$G$3:$G2419=M1696)"),"2023 Y 2024")</f>
        <v>2023 Y 2024</v>
      </c>
      <c r="K1696" s="12" t="s">
        <v>2012</v>
      </c>
      <c r="L1696" s="11" t="s">
        <v>126</v>
      </c>
      <c r="M1696" s="12" t="str">
        <f t="shared" ca="1" si="6"/>
        <v>14144 SANTA ROSA4 Primaria</v>
      </c>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4"/>
    </row>
    <row r="1697" spans="1:36" ht="12.5" x14ac:dyDescent="0.25">
      <c r="A1697" s="9">
        <v>320</v>
      </c>
      <c r="B1697" s="10" t="s">
        <v>14</v>
      </c>
      <c r="C1697" s="10" t="s">
        <v>15</v>
      </c>
      <c r="D1697" s="10" t="s">
        <v>16</v>
      </c>
      <c r="E1697" s="11" t="str">
        <f ca="1">IFERROR(__xludf.DUMMYFUNCTION("FILTER(Colegios!$B$2:$B2419,Colegios!$A$2:$A2419=L1697)"),"14144 SANTA ROSA")</f>
        <v>14144 SANTA ROSA</v>
      </c>
      <c r="F1697" s="11" t="s">
        <v>17</v>
      </c>
      <c r="G1697" s="10" t="s">
        <v>18</v>
      </c>
      <c r="H1697" s="11" t="s">
        <v>19</v>
      </c>
      <c r="I1697" s="11" t="s">
        <v>113</v>
      </c>
      <c r="J1697" s="12" t="str">
        <f ca="1">IFERROR(__xludf.DUMMYFUNCTION("FILTER('CLASFICACIÓN'!$F$3:$F2419,'CLASFICACIÓN'!$G$3:$G2419=M1697)"),"2023 Y 2024")</f>
        <v>2023 Y 2024</v>
      </c>
      <c r="K1697" s="12" t="s">
        <v>2012</v>
      </c>
      <c r="L1697" s="11" t="s">
        <v>126</v>
      </c>
      <c r="M1697" s="12" t="str">
        <f t="shared" ca="1" si="6"/>
        <v>14144 SANTA ROSA4 Primaria</v>
      </c>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4"/>
    </row>
    <row r="1698" spans="1:36" ht="12.5" x14ac:dyDescent="0.25">
      <c r="A1698" s="9">
        <v>321</v>
      </c>
      <c r="B1698" s="10" t="s">
        <v>14</v>
      </c>
      <c r="C1698" s="10" t="s">
        <v>15</v>
      </c>
      <c r="D1698" s="10" t="s">
        <v>16</v>
      </c>
      <c r="E1698" s="11" t="str">
        <f ca="1">IFERROR(__xludf.DUMMYFUNCTION("FILTER(Colegios!$B$2:$B2419,Colegios!$A$2:$A2419=L1698)"),"14144 SANTA ROSA")</f>
        <v>14144 SANTA ROSA</v>
      </c>
      <c r="F1698" s="11" t="s">
        <v>17</v>
      </c>
      <c r="G1698" s="10" t="s">
        <v>24</v>
      </c>
      <c r="H1698" s="11" t="s">
        <v>23</v>
      </c>
      <c r="I1698" s="11" t="s">
        <v>113</v>
      </c>
      <c r="J1698" s="12" t="str">
        <f ca="1">IFERROR(__xludf.DUMMYFUNCTION("FILTER('CLASFICACIÓN'!$F$3:$F2419,'CLASFICACIÓN'!$G$3:$G2419=M1698)"),"2023 Y 2024")</f>
        <v>2023 Y 2024</v>
      </c>
      <c r="K1698" s="12" t="s">
        <v>2012</v>
      </c>
      <c r="L1698" s="11" t="s">
        <v>126</v>
      </c>
      <c r="M1698" s="12" t="str">
        <f t="shared" ca="1" si="6"/>
        <v>14144 SANTA ROSA4 Primaria</v>
      </c>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4"/>
    </row>
    <row r="1699" spans="1:36" ht="12.5" x14ac:dyDescent="0.25">
      <c r="A1699" s="9">
        <v>322</v>
      </c>
      <c r="B1699" s="10" t="s">
        <v>14</v>
      </c>
      <c r="C1699" s="10" t="s">
        <v>15</v>
      </c>
      <c r="D1699" s="10" t="s">
        <v>16</v>
      </c>
      <c r="E1699" s="11" t="str">
        <f ca="1">IFERROR(__xludf.DUMMYFUNCTION("FILTER(Colegios!$B$2:$B2419,Colegios!$A$2:$A2419=L1699)"),"14144 SANTA ROSA")</f>
        <v>14144 SANTA ROSA</v>
      </c>
      <c r="F1699" s="11" t="s">
        <v>17</v>
      </c>
      <c r="G1699" s="10" t="s">
        <v>18</v>
      </c>
      <c r="H1699" s="11" t="s">
        <v>19</v>
      </c>
      <c r="I1699" s="11" t="s">
        <v>113</v>
      </c>
      <c r="J1699" s="12" t="str">
        <f ca="1">IFERROR(__xludf.DUMMYFUNCTION("FILTER('CLASFICACIÓN'!$F$3:$F2419,'CLASFICACIÓN'!$G$3:$G2419=M1699)"),"2023 Y 2024")</f>
        <v>2023 Y 2024</v>
      </c>
      <c r="K1699" s="12" t="s">
        <v>2012</v>
      </c>
      <c r="L1699" s="11" t="s">
        <v>126</v>
      </c>
      <c r="M1699" s="12" t="str">
        <f t="shared" ca="1" si="6"/>
        <v>14144 SANTA ROSA4 Primaria</v>
      </c>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4"/>
    </row>
    <row r="1700" spans="1:36" ht="12.5" x14ac:dyDescent="0.25">
      <c r="A1700" s="9">
        <v>323</v>
      </c>
      <c r="B1700" s="10" t="s">
        <v>14</v>
      </c>
      <c r="C1700" s="10" t="s">
        <v>15</v>
      </c>
      <c r="D1700" s="10" t="s">
        <v>16</v>
      </c>
      <c r="E1700" s="11" t="str">
        <f ca="1">IFERROR(__xludf.DUMMYFUNCTION("FILTER(Colegios!$B$2:$B2419,Colegios!$A$2:$A2419=L1700)"),"14144 SANTA ROSA")</f>
        <v>14144 SANTA ROSA</v>
      </c>
      <c r="F1700" s="11" t="s">
        <v>17</v>
      </c>
      <c r="G1700" s="10" t="s">
        <v>18</v>
      </c>
      <c r="H1700" s="11" t="s">
        <v>19</v>
      </c>
      <c r="I1700" s="11" t="s">
        <v>113</v>
      </c>
      <c r="J1700" s="12" t="str">
        <f ca="1">IFERROR(__xludf.DUMMYFUNCTION("FILTER('CLASFICACIÓN'!$F$3:$F2419,'CLASFICACIÓN'!$G$3:$G2419=M1700)"),"2023 Y 2024")</f>
        <v>2023 Y 2024</v>
      </c>
      <c r="K1700" s="12" t="s">
        <v>2012</v>
      </c>
      <c r="L1700" s="11" t="s">
        <v>126</v>
      </c>
      <c r="M1700" s="12" t="str">
        <f t="shared" ca="1" si="6"/>
        <v>14144 SANTA ROSA4 Primaria</v>
      </c>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4"/>
    </row>
    <row r="1701" spans="1:36" ht="12.5" x14ac:dyDescent="0.25">
      <c r="A1701" s="9">
        <v>324</v>
      </c>
      <c r="B1701" s="10" t="s">
        <v>14</v>
      </c>
      <c r="C1701" s="10" t="s">
        <v>15</v>
      </c>
      <c r="D1701" s="10" t="s">
        <v>16</v>
      </c>
      <c r="E1701" s="11" t="str">
        <f ca="1">IFERROR(__xludf.DUMMYFUNCTION("FILTER(Colegios!$B$2:$B2419,Colegios!$A$2:$A2419=L1701)"),"14144 SANTA ROSA")</f>
        <v>14144 SANTA ROSA</v>
      </c>
      <c r="F1701" s="11" t="s">
        <v>17</v>
      </c>
      <c r="G1701" s="10" t="s">
        <v>18</v>
      </c>
      <c r="H1701" s="11" t="s">
        <v>25</v>
      </c>
      <c r="I1701" s="11" t="s">
        <v>113</v>
      </c>
      <c r="J1701" s="12" t="str">
        <f ca="1">IFERROR(__xludf.DUMMYFUNCTION("FILTER('CLASFICACIÓN'!$F$3:$F2419,'CLASFICACIÓN'!$G$3:$G2419=M1701)"),"2023 Y 2024")</f>
        <v>2023 Y 2024</v>
      </c>
      <c r="K1701" s="12" t="s">
        <v>2012</v>
      </c>
      <c r="L1701" s="11" t="s">
        <v>126</v>
      </c>
      <c r="M1701" s="12" t="str">
        <f t="shared" ca="1" si="6"/>
        <v>14144 SANTA ROSA4 Primaria</v>
      </c>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4"/>
    </row>
    <row r="1702" spans="1:36" ht="12.5" x14ac:dyDescent="0.25">
      <c r="A1702" s="9">
        <v>325</v>
      </c>
      <c r="B1702" s="10" t="s">
        <v>14</v>
      </c>
      <c r="C1702" s="10" t="s">
        <v>15</v>
      </c>
      <c r="D1702" s="10" t="s">
        <v>16</v>
      </c>
      <c r="E1702" s="11" t="str">
        <f ca="1">IFERROR(__xludf.DUMMYFUNCTION("FILTER(Colegios!$B$2:$B2419,Colegios!$A$2:$A2419=L1702)"),"14144 SANTA ROSA")</f>
        <v>14144 SANTA ROSA</v>
      </c>
      <c r="F1702" s="11" t="s">
        <v>17</v>
      </c>
      <c r="G1702" s="10" t="s">
        <v>24</v>
      </c>
      <c r="H1702" s="11" t="s">
        <v>19</v>
      </c>
      <c r="I1702" s="11" t="s">
        <v>113</v>
      </c>
      <c r="J1702" s="12" t="str">
        <f ca="1">IFERROR(__xludf.DUMMYFUNCTION("FILTER('CLASFICACIÓN'!$F$3:$F2419,'CLASFICACIÓN'!$G$3:$G2419=M1702)"),"2023 Y 2024")</f>
        <v>2023 Y 2024</v>
      </c>
      <c r="K1702" s="12" t="s">
        <v>2012</v>
      </c>
      <c r="L1702" s="11" t="s">
        <v>126</v>
      </c>
      <c r="M1702" s="12" t="str">
        <f t="shared" ca="1" si="6"/>
        <v>14144 SANTA ROSA4 Primaria</v>
      </c>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4"/>
    </row>
    <row r="1703" spans="1:36" ht="12.5" x14ac:dyDescent="0.25">
      <c r="A1703" s="9">
        <v>326</v>
      </c>
      <c r="B1703" s="10" t="s">
        <v>14</v>
      </c>
      <c r="C1703" s="10" t="s">
        <v>15</v>
      </c>
      <c r="D1703" s="10" t="s">
        <v>16</v>
      </c>
      <c r="E1703" s="11" t="str">
        <f ca="1">IFERROR(__xludf.DUMMYFUNCTION("FILTER(Colegios!$B$2:$B2419,Colegios!$A$2:$A2419=L1703)"),"14144 SANTA ROSA")</f>
        <v>14144 SANTA ROSA</v>
      </c>
      <c r="F1703" s="11" t="s">
        <v>17</v>
      </c>
      <c r="G1703" s="10" t="s">
        <v>24</v>
      </c>
      <c r="H1703" s="11" t="s">
        <v>19</v>
      </c>
      <c r="I1703" s="11" t="s">
        <v>113</v>
      </c>
      <c r="J1703" s="12" t="str">
        <f ca="1">IFERROR(__xludf.DUMMYFUNCTION("FILTER('CLASFICACIÓN'!$F$3:$F2419,'CLASFICACIÓN'!$G$3:$G2419=M1703)"),"2023 Y 2024")</f>
        <v>2023 Y 2024</v>
      </c>
      <c r="K1703" s="12" t="s">
        <v>2012</v>
      </c>
      <c r="L1703" s="11" t="s">
        <v>126</v>
      </c>
      <c r="M1703" s="12" t="str">
        <f t="shared" ca="1" si="6"/>
        <v>14144 SANTA ROSA4 Primaria</v>
      </c>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4"/>
    </row>
    <row r="1704" spans="1:36" ht="12.5" x14ac:dyDescent="0.25">
      <c r="A1704" s="9">
        <v>327</v>
      </c>
      <c r="B1704" s="10" t="s">
        <v>14</v>
      </c>
      <c r="C1704" s="10" t="s">
        <v>15</v>
      </c>
      <c r="D1704" s="10" t="s">
        <v>16</v>
      </c>
      <c r="E1704" s="11" t="str">
        <f ca="1">IFERROR(__xludf.DUMMYFUNCTION("FILTER(Colegios!$B$2:$B2419,Colegios!$A$2:$A2419=L1704)"),"14144 SANTA ROSA")</f>
        <v>14144 SANTA ROSA</v>
      </c>
      <c r="F1704" s="11" t="s">
        <v>17</v>
      </c>
      <c r="G1704" s="10" t="s">
        <v>24</v>
      </c>
      <c r="H1704" s="11" t="s">
        <v>19</v>
      </c>
      <c r="I1704" s="11" t="s">
        <v>113</v>
      </c>
      <c r="J1704" s="12" t="str">
        <f ca="1">IFERROR(__xludf.DUMMYFUNCTION("FILTER('CLASFICACIÓN'!$F$3:$F2419,'CLASFICACIÓN'!$G$3:$G2419=M1704)"),"2023 Y 2024")</f>
        <v>2023 Y 2024</v>
      </c>
      <c r="K1704" s="12" t="s">
        <v>2012</v>
      </c>
      <c r="L1704" s="11" t="s">
        <v>126</v>
      </c>
      <c r="M1704" s="12" t="str">
        <f t="shared" ca="1" si="6"/>
        <v>14144 SANTA ROSA4 Primaria</v>
      </c>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4"/>
    </row>
    <row r="1705" spans="1:36" ht="12.5" x14ac:dyDescent="0.25">
      <c r="A1705" s="9">
        <v>328</v>
      </c>
      <c r="B1705" s="10" t="s">
        <v>14</v>
      </c>
      <c r="C1705" s="10" t="s">
        <v>15</v>
      </c>
      <c r="D1705" s="10" t="s">
        <v>16</v>
      </c>
      <c r="E1705" s="11" t="str">
        <f ca="1">IFERROR(__xludf.DUMMYFUNCTION("FILTER(Colegios!$B$2:$B2419,Colegios!$A$2:$A2419=L1705)"),"14144 SANTA ROSA")</f>
        <v>14144 SANTA ROSA</v>
      </c>
      <c r="F1705" s="11" t="s">
        <v>17</v>
      </c>
      <c r="G1705" s="10" t="s">
        <v>18</v>
      </c>
      <c r="H1705" s="11" t="s">
        <v>25</v>
      </c>
      <c r="I1705" s="11" t="s">
        <v>113</v>
      </c>
      <c r="J1705" s="12" t="str">
        <f ca="1">IFERROR(__xludf.DUMMYFUNCTION("FILTER('CLASFICACIÓN'!$F$3:$F2419,'CLASFICACIÓN'!$G$3:$G2419=M1705)"),"2023 Y 2024")</f>
        <v>2023 Y 2024</v>
      </c>
      <c r="K1705" s="12" t="s">
        <v>2012</v>
      </c>
      <c r="L1705" s="11" t="s">
        <v>126</v>
      </c>
      <c r="M1705" s="12" t="str">
        <f t="shared" ca="1" si="6"/>
        <v>14144 SANTA ROSA4 Primaria</v>
      </c>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4"/>
    </row>
    <row r="1706" spans="1:36" ht="12.5" x14ac:dyDescent="0.25">
      <c r="A1706" s="9">
        <v>329</v>
      </c>
      <c r="B1706" s="10" t="s">
        <v>14</v>
      </c>
      <c r="C1706" s="10" t="s">
        <v>15</v>
      </c>
      <c r="D1706" s="10" t="s">
        <v>16</v>
      </c>
      <c r="E1706" s="11" t="str">
        <f ca="1">IFERROR(__xludf.DUMMYFUNCTION("FILTER(Colegios!$B$2:$B2419,Colegios!$A$2:$A2419=L1706)"),"14144 SANTA ROSA")</f>
        <v>14144 SANTA ROSA</v>
      </c>
      <c r="F1706" s="11" t="s">
        <v>17</v>
      </c>
      <c r="G1706" s="10" t="s">
        <v>18</v>
      </c>
      <c r="H1706" s="11" t="s">
        <v>19</v>
      </c>
      <c r="I1706" s="11" t="s">
        <v>113</v>
      </c>
      <c r="J1706" s="12" t="str">
        <f ca="1">IFERROR(__xludf.DUMMYFUNCTION("FILTER('CLASFICACIÓN'!$F$3:$F2419,'CLASFICACIÓN'!$G$3:$G2419=M1706)"),"2023 Y 2024")</f>
        <v>2023 Y 2024</v>
      </c>
      <c r="K1706" s="12" t="s">
        <v>2012</v>
      </c>
      <c r="L1706" s="11" t="s">
        <v>126</v>
      </c>
      <c r="M1706" s="12" t="str">
        <f t="shared" ca="1" si="6"/>
        <v>14144 SANTA ROSA4 Primaria</v>
      </c>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4"/>
    </row>
    <row r="1707" spans="1:36" ht="12.5" x14ac:dyDescent="0.25">
      <c r="A1707" s="9">
        <v>330</v>
      </c>
      <c r="B1707" s="10" t="s">
        <v>14</v>
      </c>
      <c r="C1707" s="10" t="s">
        <v>15</v>
      </c>
      <c r="D1707" s="10" t="s">
        <v>16</v>
      </c>
      <c r="E1707" s="11" t="str">
        <f ca="1">IFERROR(__xludf.DUMMYFUNCTION("FILTER(Colegios!$B$2:$B2419,Colegios!$A$2:$A2419=L1707)"),"14144 SANTA ROSA")</f>
        <v>14144 SANTA ROSA</v>
      </c>
      <c r="F1707" s="11" t="s">
        <v>17</v>
      </c>
      <c r="G1707" s="10" t="s">
        <v>18</v>
      </c>
      <c r="H1707" s="11" t="s">
        <v>19</v>
      </c>
      <c r="I1707" s="11" t="s">
        <v>113</v>
      </c>
      <c r="J1707" s="12" t="str">
        <f ca="1">IFERROR(__xludf.DUMMYFUNCTION("FILTER('CLASFICACIÓN'!$F$3:$F2419,'CLASFICACIÓN'!$G$3:$G2419=M1707)"),"2023 Y 2024")</f>
        <v>2023 Y 2024</v>
      </c>
      <c r="K1707" s="12" t="s">
        <v>2012</v>
      </c>
      <c r="L1707" s="11" t="s">
        <v>126</v>
      </c>
      <c r="M1707" s="12" t="str">
        <f t="shared" ca="1" si="6"/>
        <v>14144 SANTA ROSA4 Primaria</v>
      </c>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4"/>
    </row>
    <row r="1708" spans="1:36" ht="12.5" x14ac:dyDescent="0.25">
      <c r="A1708" s="9">
        <v>331</v>
      </c>
      <c r="B1708" s="10" t="s">
        <v>14</v>
      </c>
      <c r="C1708" s="10" t="s">
        <v>15</v>
      </c>
      <c r="D1708" s="10" t="s">
        <v>16</v>
      </c>
      <c r="E1708" s="11" t="str">
        <f ca="1">IFERROR(__xludf.DUMMYFUNCTION("FILTER(Colegios!$B$2:$B2419,Colegios!$A$2:$A2419=L1708)"),"14144 SANTA ROSA")</f>
        <v>14144 SANTA ROSA</v>
      </c>
      <c r="F1708" s="11" t="s">
        <v>17</v>
      </c>
      <c r="G1708" s="10" t="s">
        <v>18</v>
      </c>
      <c r="H1708" s="11" t="s">
        <v>19</v>
      </c>
      <c r="I1708" s="11" t="s">
        <v>113</v>
      </c>
      <c r="J1708" s="12" t="str">
        <f ca="1">IFERROR(__xludf.DUMMYFUNCTION("FILTER('CLASFICACIÓN'!$F$3:$F2419,'CLASFICACIÓN'!$G$3:$G2419=M1708)"),"2023 Y 2024")</f>
        <v>2023 Y 2024</v>
      </c>
      <c r="K1708" s="12" t="s">
        <v>2012</v>
      </c>
      <c r="L1708" s="11" t="s">
        <v>126</v>
      </c>
      <c r="M1708" s="12" t="str">
        <f t="shared" ca="1" si="6"/>
        <v>14144 SANTA ROSA4 Primaria</v>
      </c>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4"/>
    </row>
    <row r="1709" spans="1:36" ht="12.5" x14ac:dyDescent="0.25">
      <c r="A1709" s="9">
        <v>332</v>
      </c>
      <c r="B1709" s="10" t="s">
        <v>14</v>
      </c>
      <c r="C1709" s="10" t="s">
        <v>15</v>
      </c>
      <c r="D1709" s="10" t="s">
        <v>16</v>
      </c>
      <c r="E1709" s="11" t="str">
        <f ca="1">IFERROR(__xludf.DUMMYFUNCTION("FILTER(Colegios!$B$2:$B2419,Colegios!$A$2:$A2419=L1709)"),"14144 SANTA ROSA")</f>
        <v>14144 SANTA ROSA</v>
      </c>
      <c r="F1709" s="11" t="s">
        <v>17</v>
      </c>
      <c r="G1709" s="10" t="s">
        <v>18</v>
      </c>
      <c r="H1709" s="11" t="s">
        <v>19</v>
      </c>
      <c r="I1709" s="11" t="s">
        <v>113</v>
      </c>
      <c r="J1709" s="12" t="str">
        <f ca="1">IFERROR(__xludf.DUMMYFUNCTION("FILTER('CLASFICACIÓN'!$F$3:$F2419,'CLASFICACIÓN'!$G$3:$G2419=M1709)"),"2023 Y 2024")</f>
        <v>2023 Y 2024</v>
      </c>
      <c r="K1709" s="12" t="s">
        <v>2012</v>
      </c>
      <c r="L1709" s="11" t="s">
        <v>126</v>
      </c>
      <c r="M1709" s="12" t="str">
        <f t="shared" ca="1" si="6"/>
        <v>14144 SANTA ROSA4 Primaria</v>
      </c>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4"/>
    </row>
    <row r="1710" spans="1:36" ht="12.5" x14ac:dyDescent="0.25">
      <c r="A1710" s="9">
        <v>333</v>
      </c>
      <c r="B1710" s="10" t="s">
        <v>14</v>
      </c>
      <c r="C1710" s="10" t="s">
        <v>15</v>
      </c>
      <c r="D1710" s="10" t="s">
        <v>16</v>
      </c>
      <c r="E1710" s="11" t="str">
        <f ca="1">IFERROR(__xludf.DUMMYFUNCTION("FILTER(Colegios!$B$2:$B2419,Colegios!$A$2:$A2419=L1710)"),"14144 SANTA ROSA")</f>
        <v>14144 SANTA ROSA</v>
      </c>
      <c r="F1710" s="11" t="s">
        <v>17</v>
      </c>
      <c r="G1710" s="10" t="s">
        <v>18</v>
      </c>
      <c r="H1710" s="11" t="s">
        <v>19</v>
      </c>
      <c r="I1710" s="11" t="s">
        <v>113</v>
      </c>
      <c r="J1710" s="12" t="str">
        <f ca="1">IFERROR(__xludf.DUMMYFUNCTION("FILTER('CLASFICACIÓN'!$F$3:$F2419,'CLASFICACIÓN'!$G$3:$G2419=M1710)"),"2023 Y 2024")</f>
        <v>2023 Y 2024</v>
      </c>
      <c r="K1710" s="12" t="s">
        <v>2012</v>
      </c>
      <c r="L1710" s="11" t="s">
        <v>126</v>
      </c>
      <c r="M1710" s="12" t="str">
        <f t="shared" ca="1" si="6"/>
        <v>14144 SANTA ROSA4 Primaria</v>
      </c>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4"/>
    </row>
    <row r="1711" spans="1:36" ht="12.5" x14ac:dyDescent="0.25">
      <c r="A1711" s="9">
        <v>334</v>
      </c>
      <c r="B1711" s="10" t="s">
        <v>14</v>
      </c>
      <c r="C1711" s="10" t="s">
        <v>15</v>
      </c>
      <c r="D1711" s="10" t="s">
        <v>16</v>
      </c>
      <c r="E1711" s="11" t="str">
        <f ca="1">IFERROR(__xludf.DUMMYFUNCTION("FILTER(Colegios!$B$2:$B2419,Colegios!$A$2:$A2419=L1711)"),"14144 SANTA ROSA")</f>
        <v>14144 SANTA ROSA</v>
      </c>
      <c r="F1711" s="11" t="s">
        <v>17</v>
      </c>
      <c r="G1711" s="10" t="s">
        <v>24</v>
      </c>
      <c r="H1711" s="11" t="s">
        <v>19</v>
      </c>
      <c r="I1711" s="11" t="s">
        <v>113</v>
      </c>
      <c r="J1711" s="12" t="str">
        <f ca="1">IFERROR(__xludf.DUMMYFUNCTION("FILTER('CLASFICACIÓN'!$F$3:$F2419,'CLASFICACIÓN'!$G$3:$G2419=M1711)"),"2023 Y 2024")</f>
        <v>2023 Y 2024</v>
      </c>
      <c r="K1711" s="12" t="s">
        <v>2012</v>
      </c>
      <c r="L1711" s="11" t="s">
        <v>126</v>
      </c>
      <c r="M1711" s="12" t="str">
        <f t="shared" ca="1" si="6"/>
        <v>14144 SANTA ROSA4 Primaria</v>
      </c>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4"/>
    </row>
    <row r="1712" spans="1:36" ht="12.5" x14ac:dyDescent="0.25">
      <c r="A1712" s="9">
        <v>335</v>
      </c>
      <c r="B1712" s="10" t="s">
        <v>14</v>
      </c>
      <c r="C1712" s="10" t="s">
        <v>15</v>
      </c>
      <c r="D1712" s="10" t="s">
        <v>16</v>
      </c>
      <c r="E1712" s="11" t="str">
        <f ca="1">IFERROR(__xludf.DUMMYFUNCTION("FILTER(Colegios!$B$2:$B2419,Colegios!$A$2:$A2419=L1712)"),"14144 SANTA ROSA")</f>
        <v>14144 SANTA ROSA</v>
      </c>
      <c r="F1712" s="11" t="s">
        <v>17</v>
      </c>
      <c r="G1712" s="10" t="s">
        <v>24</v>
      </c>
      <c r="H1712" s="11" t="s">
        <v>25</v>
      </c>
      <c r="I1712" s="11" t="s">
        <v>113</v>
      </c>
      <c r="J1712" s="12" t="str">
        <f ca="1">IFERROR(__xludf.DUMMYFUNCTION("FILTER('CLASFICACIÓN'!$F$3:$F2419,'CLASFICACIÓN'!$G$3:$G2419=M1712)"),"2023 Y 2024")</f>
        <v>2023 Y 2024</v>
      </c>
      <c r="K1712" s="12" t="s">
        <v>2012</v>
      </c>
      <c r="L1712" s="11" t="s">
        <v>126</v>
      </c>
      <c r="M1712" s="12" t="str">
        <f t="shared" ca="1" si="6"/>
        <v>14144 SANTA ROSA4 Primaria</v>
      </c>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4"/>
    </row>
    <row r="1713" spans="1:36" ht="12.5" x14ac:dyDescent="0.25">
      <c r="A1713" s="9">
        <v>336</v>
      </c>
      <c r="B1713" s="10" t="s">
        <v>14</v>
      </c>
      <c r="C1713" s="10" t="s">
        <v>15</v>
      </c>
      <c r="D1713" s="10" t="s">
        <v>16</v>
      </c>
      <c r="E1713" s="11" t="str">
        <f ca="1">IFERROR(__xludf.DUMMYFUNCTION("FILTER(Colegios!$B$2:$B2419,Colegios!$A$2:$A2419=L1713)"),"14144 SANTA ROSA")</f>
        <v>14144 SANTA ROSA</v>
      </c>
      <c r="F1713" s="11" t="s">
        <v>17</v>
      </c>
      <c r="G1713" s="10" t="s">
        <v>24</v>
      </c>
      <c r="H1713" s="11" t="s">
        <v>19</v>
      </c>
      <c r="I1713" s="11" t="s">
        <v>113</v>
      </c>
      <c r="J1713" s="12" t="str">
        <f ca="1">IFERROR(__xludf.DUMMYFUNCTION("FILTER('CLASFICACIÓN'!$F$3:$F2419,'CLASFICACIÓN'!$G$3:$G2419=M1713)"),"2023 Y 2024")</f>
        <v>2023 Y 2024</v>
      </c>
      <c r="K1713" s="12" t="s">
        <v>2012</v>
      </c>
      <c r="L1713" s="11" t="s">
        <v>126</v>
      </c>
      <c r="M1713" s="12" t="str">
        <f t="shared" ca="1" si="6"/>
        <v>14144 SANTA ROSA4 Primaria</v>
      </c>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4"/>
    </row>
    <row r="1714" spans="1:36" ht="12.5" x14ac:dyDescent="0.25">
      <c r="A1714" s="9">
        <v>337</v>
      </c>
      <c r="B1714" s="10" t="s">
        <v>14</v>
      </c>
      <c r="C1714" s="10" t="s">
        <v>15</v>
      </c>
      <c r="D1714" s="10" t="s">
        <v>16</v>
      </c>
      <c r="E1714" s="11" t="str">
        <f ca="1">IFERROR(__xludf.DUMMYFUNCTION("FILTER(Colegios!$B$2:$B2419,Colegios!$A$2:$A2419=L1714)"),"14144 SANTA ROSA")</f>
        <v>14144 SANTA ROSA</v>
      </c>
      <c r="F1714" s="11" t="s">
        <v>17</v>
      </c>
      <c r="G1714" s="10" t="s">
        <v>18</v>
      </c>
      <c r="H1714" s="11" t="s">
        <v>19</v>
      </c>
      <c r="I1714" s="11" t="s">
        <v>113</v>
      </c>
      <c r="J1714" s="12" t="str">
        <f ca="1">IFERROR(__xludf.DUMMYFUNCTION("FILTER('CLASFICACIÓN'!$F$3:$F2419,'CLASFICACIÓN'!$G$3:$G2419=M1714)"),"2023 Y 2024")</f>
        <v>2023 Y 2024</v>
      </c>
      <c r="K1714" s="12" t="s">
        <v>2012</v>
      </c>
      <c r="L1714" s="11" t="s">
        <v>126</v>
      </c>
      <c r="M1714" s="12" t="str">
        <f t="shared" ca="1" si="6"/>
        <v>14144 SANTA ROSA4 Primaria</v>
      </c>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4"/>
    </row>
    <row r="1715" spans="1:36" ht="12.5" x14ac:dyDescent="0.25">
      <c r="A1715" s="9">
        <v>338</v>
      </c>
      <c r="B1715" s="10" t="s">
        <v>14</v>
      </c>
      <c r="C1715" s="10" t="s">
        <v>15</v>
      </c>
      <c r="D1715" s="10" t="s">
        <v>16</v>
      </c>
      <c r="E1715" s="11" t="str">
        <f ca="1">IFERROR(__xludf.DUMMYFUNCTION("FILTER(Colegios!$B$2:$B2419,Colegios!$A$2:$A2419=L1715)"),"14144 SANTA ROSA")</f>
        <v>14144 SANTA ROSA</v>
      </c>
      <c r="F1715" s="11" t="s">
        <v>17</v>
      </c>
      <c r="G1715" s="10" t="s">
        <v>18</v>
      </c>
      <c r="H1715" s="11" t="s">
        <v>19</v>
      </c>
      <c r="I1715" s="11" t="s">
        <v>113</v>
      </c>
      <c r="J1715" s="12" t="str">
        <f ca="1">IFERROR(__xludf.DUMMYFUNCTION("FILTER('CLASFICACIÓN'!$F$3:$F2419,'CLASFICACIÓN'!$G$3:$G2419=M1715)"),"2023 Y 2024")</f>
        <v>2023 Y 2024</v>
      </c>
      <c r="K1715" s="12" t="s">
        <v>2012</v>
      </c>
      <c r="L1715" s="11" t="s">
        <v>126</v>
      </c>
      <c r="M1715" s="12" t="str">
        <f t="shared" ca="1" si="6"/>
        <v>14144 SANTA ROSA4 Primaria</v>
      </c>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4"/>
    </row>
    <row r="1716" spans="1:36" ht="12.5" x14ac:dyDescent="0.25">
      <c r="A1716" s="9">
        <v>339</v>
      </c>
      <c r="B1716" s="10" t="s">
        <v>14</v>
      </c>
      <c r="C1716" s="10" t="s">
        <v>15</v>
      </c>
      <c r="D1716" s="10" t="s">
        <v>16</v>
      </c>
      <c r="E1716" s="11" t="str">
        <f ca="1">IFERROR(__xludf.DUMMYFUNCTION("FILTER(Colegios!$B$2:$B2419,Colegios!$A$2:$A2419=L1716)"),"14144 SANTA ROSA")</f>
        <v>14144 SANTA ROSA</v>
      </c>
      <c r="F1716" s="11" t="s">
        <v>17</v>
      </c>
      <c r="G1716" s="10" t="s">
        <v>18</v>
      </c>
      <c r="H1716" s="11" t="s">
        <v>19</v>
      </c>
      <c r="I1716" s="11" t="s">
        <v>113</v>
      </c>
      <c r="J1716" s="12" t="str">
        <f ca="1">IFERROR(__xludf.DUMMYFUNCTION("FILTER('CLASFICACIÓN'!$F$3:$F2419,'CLASFICACIÓN'!$G$3:$G2419=M1716)"),"2023 Y 2024")</f>
        <v>2023 Y 2024</v>
      </c>
      <c r="K1716" s="12" t="s">
        <v>2012</v>
      </c>
      <c r="L1716" s="11" t="s">
        <v>126</v>
      </c>
      <c r="M1716" s="12" t="str">
        <f t="shared" ca="1" si="6"/>
        <v>14144 SANTA ROSA4 Primaria</v>
      </c>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4"/>
    </row>
    <row r="1717" spans="1:36" ht="12.5" x14ac:dyDescent="0.25">
      <c r="A1717" s="9">
        <v>340</v>
      </c>
      <c r="B1717" s="10" t="s">
        <v>14</v>
      </c>
      <c r="C1717" s="10" t="s">
        <v>15</v>
      </c>
      <c r="D1717" s="10" t="s">
        <v>16</v>
      </c>
      <c r="E1717" s="11" t="str">
        <f ca="1">IFERROR(__xludf.DUMMYFUNCTION("FILTER(Colegios!$B$2:$B2419,Colegios!$A$2:$A2419=L1717)"),"14144 SANTA ROSA")</f>
        <v>14144 SANTA ROSA</v>
      </c>
      <c r="F1717" s="11" t="s">
        <v>17</v>
      </c>
      <c r="G1717" s="10" t="s">
        <v>24</v>
      </c>
      <c r="H1717" s="11" t="s">
        <v>19</v>
      </c>
      <c r="I1717" s="11" t="s">
        <v>113</v>
      </c>
      <c r="J1717" s="12" t="str">
        <f ca="1">IFERROR(__xludf.DUMMYFUNCTION("FILTER('CLASFICACIÓN'!$F$3:$F2419,'CLASFICACIÓN'!$G$3:$G2419=M1717)"),"2023 Y 2024")</f>
        <v>2023 Y 2024</v>
      </c>
      <c r="K1717" s="12" t="s">
        <v>2012</v>
      </c>
      <c r="L1717" s="11" t="s">
        <v>126</v>
      </c>
      <c r="M1717" s="12" t="str">
        <f t="shared" ca="1" si="6"/>
        <v>14144 SANTA ROSA4 Primaria</v>
      </c>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4"/>
    </row>
    <row r="1718" spans="1:36" ht="12.5" x14ac:dyDescent="0.25">
      <c r="A1718" s="9">
        <v>341</v>
      </c>
      <c r="B1718" s="10" t="s">
        <v>14</v>
      </c>
      <c r="C1718" s="10" t="s">
        <v>15</v>
      </c>
      <c r="D1718" s="10" t="s">
        <v>16</v>
      </c>
      <c r="E1718" s="11" t="str">
        <f ca="1">IFERROR(__xludf.DUMMYFUNCTION("FILTER(Colegios!$B$2:$B2419,Colegios!$A$2:$A2419=L1718)"),"14144 SANTA ROSA")</f>
        <v>14144 SANTA ROSA</v>
      </c>
      <c r="F1718" s="11" t="s">
        <v>17</v>
      </c>
      <c r="G1718" s="10" t="s">
        <v>24</v>
      </c>
      <c r="H1718" s="11" t="s">
        <v>19</v>
      </c>
      <c r="I1718" s="11" t="s">
        <v>113</v>
      </c>
      <c r="J1718" s="12" t="str">
        <f ca="1">IFERROR(__xludf.DUMMYFUNCTION("FILTER('CLASFICACIÓN'!$F$3:$F2419,'CLASFICACIÓN'!$G$3:$G2419=M1718)"),"2023 Y 2024")</f>
        <v>2023 Y 2024</v>
      </c>
      <c r="K1718" s="12" t="s">
        <v>2012</v>
      </c>
      <c r="L1718" s="11" t="s">
        <v>126</v>
      </c>
      <c r="M1718" s="12" t="str">
        <f t="shared" ca="1" si="6"/>
        <v>14144 SANTA ROSA4 Primaria</v>
      </c>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4"/>
    </row>
    <row r="1719" spans="1:36" ht="12.5" x14ac:dyDescent="0.25">
      <c r="A1719" s="9">
        <v>342</v>
      </c>
      <c r="B1719" s="10" t="s">
        <v>14</v>
      </c>
      <c r="C1719" s="10" t="s">
        <v>15</v>
      </c>
      <c r="D1719" s="10" t="s">
        <v>16</v>
      </c>
      <c r="E1719" s="11" t="str">
        <f ca="1">IFERROR(__xludf.DUMMYFUNCTION("FILTER(Colegios!$B$2:$B2419,Colegios!$A$2:$A2419=L1719)"),"14144 SANTA ROSA")</f>
        <v>14144 SANTA ROSA</v>
      </c>
      <c r="F1719" s="11" t="s">
        <v>17</v>
      </c>
      <c r="G1719" s="10" t="s">
        <v>18</v>
      </c>
      <c r="H1719" s="11" t="s">
        <v>19</v>
      </c>
      <c r="I1719" s="11" t="s">
        <v>113</v>
      </c>
      <c r="J1719" s="12" t="str">
        <f ca="1">IFERROR(__xludf.DUMMYFUNCTION("FILTER('CLASFICACIÓN'!$F$3:$F2419,'CLASFICACIÓN'!$G$3:$G2419=M1719)"),"2023 Y 2024")</f>
        <v>2023 Y 2024</v>
      </c>
      <c r="K1719" s="12" t="s">
        <v>2012</v>
      </c>
      <c r="L1719" s="11" t="s">
        <v>126</v>
      </c>
      <c r="M1719" s="12" t="str">
        <f t="shared" ca="1" si="6"/>
        <v>14144 SANTA ROSA4 Primaria</v>
      </c>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4"/>
    </row>
    <row r="1720" spans="1:36" ht="12.5" x14ac:dyDescent="0.25">
      <c r="A1720" s="9">
        <v>343</v>
      </c>
      <c r="B1720" s="10" t="s">
        <v>14</v>
      </c>
      <c r="C1720" s="10" t="s">
        <v>15</v>
      </c>
      <c r="D1720" s="10" t="s">
        <v>16</v>
      </c>
      <c r="E1720" s="11" t="str">
        <f ca="1">IFERROR(__xludf.DUMMYFUNCTION("FILTER(Colegios!$B$2:$B2419,Colegios!$A$2:$A2419=L1720)"),"14144 SANTA ROSA")</f>
        <v>14144 SANTA ROSA</v>
      </c>
      <c r="F1720" s="11" t="s">
        <v>17</v>
      </c>
      <c r="G1720" s="10" t="s">
        <v>18</v>
      </c>
      <c r="H1720" s="11" t="s">
        <v>19</v>
      </c>
      <c r="I1720" s="11" t="s">
        <v>113</v>
      </c>
      <c r="J1720" s="12" t="str">
        <f ca="1">IFERROR(__xludf.DUMMYFUNCTION("FILTER('CLASFICACIÓN'!$F$3:$F2419,'CLASFICACIÓN'!$G$3:$G2419=M1720)"),"2023 Y 2024")</f>
        <v>2023 Y 2024</v>
      </c>
      <c r="K1720" s="12" t="s">
        <v>2012</v>
      </c>
      <c r="L1720" s="11" t="s">
        <v>126</v>
      </c>
      <c r="M1720" s="12" t="str">
        <f t="shared" ca="1" si="6"/>
        <v>14144 SANTA ROSA4 Primaria</v>
      </c>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4"/>
    </row>
    <row r="1721" spans="1:36" ht="12.5" x14ac:dyDescent="0.25">
      <c r="A1721" s="9">
        <v>344</v>
      </c>
      <c r="B1721" s="10" t="s">
        <v>14</v>
      </c>
      <c r="C1721" s="10" t="s">
        <v>15</v>
      </c>
      <c r="D1721" s="10" t="s">
        <v>16</v>
      </c>
      <c r="E1721" s="11" t="str">
        <f ca="1">IFERROR(__xludf.DUMMYFUNCTION("FILTER(Colegios!$B$2:$B2419,Colegios!$A$2:$A2419=L1721)"),"14144 SANTA ROSA")</f>
        <v>14144 SANTA ROSA</v>
      </c>
      <c r="F1721" s="11" t="s">
        <v>17</v>
      </c>
      <c r="G1721" s="10" t="s">
        <v>24</v>
      </c>
      <c r="H1721" s="11" t="s">
        <v>19</v>
      </c>
      <c r="I1721" s="11" t="s">
        <v>113</v>
      </c>
      <c r="J1721" s="12" t="str">
        <f ca="1">IFERROR(__xludf.DUMMYFUNCTION("FILTER('CLASFICACIÓN'!$F$3:$F2419,'CLASFICACIÓN'!$G$3:$G2419=M1721)"),"2023 Y 2024")</f>
        <v>2023 Y 2024</v>
      </c>
      <c r="K1721" s="12" t="s">
        <v>2012</v>
      </c>
      <c r="L1721" s="11" t="s">
        <v>126</v>
      </c>
      <c r="M1721" s="12" t="str">
        <f t="shared" ca="1" si="6"/>
        <v>14144 SANTA ROSA4 Primaria</v>
      </c>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4"/>
    </row>
    <row r="1722" spans="1:36" ht="12.5" x14ac:dyDescent="0.25">
      <c r="A1722" s="9">
        <v>345</v>
      </c>
      <c r="B1722" s="10" t="s">
        <v>14</v>
      </c>
      <c r="C1722" s="10" t="s">
        <v>15</v>
      </c>
      <c r="D1722" s="10" t="s">
        <v>16</v>
      </c>
      <c r="E1722" s="11" t="str">
        <f ca="1">IFERROR(__xludf.DUMMYFUNCTION("FILTER(Colegios!$B$2:$B2419,Colegios!$A$2:$A2419=L1722)"),"14144 SANTA ROSA")</f>
        <v>14144 SANTA ROSA</v>
      </c>
      <c r="F1722" s="11" t="s">
        <v>17</v>
      </c>
      <c r="G1722" s="10" t="s">
        <v>18</v>
      </c>
      <c r="H1722" s="11" t="s">
        <v>19</v>
      </c>
      <c r="I1722" s="11" t="s">
        <v>113</v>
      </c>
      <c r="J1722" s="12" t="str">
        <f ca="1">IFERROR(__xludf.DUMMYFUNCTION("FILTER('CLASFICACIÓN'!$F$3:$F2419,'CLASFICACIÓN'!$G$3:$G2419=M1722)"),"2023 Y 2024")</f>
        <v>2023 Y 2024</v>
      </c>
      <c r="K1722" s="12" t="s">
        <v>2012</v>
      </c>
      <c r="L1722" s="11" t="s">
        <v>126</v>
      </c>
      <c r="M1722" s="12" t="str">
        <f t="shared" ca="1" si="6"/>
        <v>14144 SANTA ROSA4 Primaria</v>
      </c>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4"/>
    </row>
    <row r="1723" spans="1:36" ht="12.5" x14ac:dyDescent="0.25">
      <c r="A1723" s="9">
        <v>346</v>
      </c>
      <c r="B1723" s="10" t="s">
        <v>14</v>
      </c>
      <c r="C1723" s="10" t="s">
        <v>15</v>
      </c>
      <c r="D1723" s="10" t="s">
        <v>16</v>
      </c>
      <c r="E1723" s="11" t="str">
        <f ca="1">IFERROR(__xludf.DUMMYFUNCTION("FILTER(Colegios!$B$2:$B2419,Colegios!$A$2:$A2419=L1723)"),"14144 SANTA ROSA")</f>
        <v>14144 SANTA ROSA</v>
      </c>
      <c r="F1723" s="11" t="s">
        <v>17</v>
      </c>
      <c r="G1723" s="10" t="s">
        <v>24</v>
      </c>
      <c r="H1723" s="11" t="s">
        <v>19</v>
      </c>
      <c r="I1723" s="11" t="s">
        <v>113</v>
      </c>
      <c r="J1723" s="12" t="str">
        <f ca="1">IFERROR(__xludf.DUMMYFUNCTION("FILTER('CLASFICACIÓN'!$F$3:$F2419,'CLASFICACIÓN'!$G$3:$G2419=M1723)"),"2023 Y 2024")</f>
        <v>2023 Y 2024</v>
      </c>
      <c r="K1723" s="12" t="s">
        <v>2012</v>
      </c>
      <c r="L1723" s="11" t="s">
        <v>126</v>
      </c>
      <c r="M1723" s="12" t="str">
        <f t="shared" ca="1" si="6"/>
        <v>14144 SANTA ROSA4 Primaria</v>
      </c>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4"/>
    </row>
    <row r="1724" spans="1:36" ht="12.5" x14ac:dyDescent="0.25">
      <c r="A1724" s="9">
        <v>347</v>
      </c>
      <c r="B1724" s="10" t="s">
        <v>14</v>
      </c>
      <c r="C1724" s="10" t="s">
        <v>15</v>
      </c>
      <c r="D1724" s="10" t="s">
        <v>16</v>
      </c>
      <c r="E1724" s="11" t="str">
        <f ca="1">IFERROR(__xludf.DUMMYFUNCTION("FILTER(Colegios!$B$2:$B2419,Colegios!$A$2:$A2419=L1724)"),"14144 SANTA ROSA")</f>
        <v>14144 SANTA ROSA</v>
      </c>
      <c r="F1724" s="11" t="s">
        <v>17</v>
      </c>
      <c r="G1724" s="10" t="s">
        <v>24</v>
      </c>
      <c r="H1724" s="11" t="s">
        <v>19</v>
      </c>
      <c r="I1724" s="11" t="s">
        <v>113</v>
      </c>
      <c r="J1724" s="12" t="str">
        <f ca="1">IFERROR(__xludf.DUMMYFUNCTION("FILTER('CLASFICACIÓN'!$F$3:$F2419,'CLASFICACIÓN'!$G$3:$G2419=M1724)"),"2023 Y 2024")</f>
        <v>2023 Y 2024</v>
      </c>
      <c r="K1724" s="12" t="s">
        <v>2012</v>
      </c>
      <c r="L1724" s="11" t="s">
        <v>126</v>
      </c>
      <c r="M1724" s="12" t="str">
        <f t="shared" ca="1" si="6"/>
        <v>14144 SANTA ROSA4 Primaria</v>
      </c>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4"/>
    </row>
    <row r="1725" spans="1:36" ht="12.5" x14ac:dyDescent="0.25">
      <c r="A1725" s="9">
        <v>348</v>
      </c>
      <c r="B1725" s="10" t="s">
        <v>14</v>
      </c>
      <c r="C1725" s="10" t="s">
        <v>15</v>
      </c>
      <c r="D1725" s="10" t="s">
        <v>16</v>
      </c>
      <c r="E1725" s="11" t="str">
        <f ca="1">IFERROR(__xludf.DUMMYFUNCTION("FILTER(Colegios!$B$2:$B2419,Colegios!$A$2:$A2419=L1725)"),"14144 SANTA ROSA")</f>
        <v>14144 SANTA ROSA</v>
      </c>
      <c r="F1725" s="11" t="s">
        <v>17</v>
      </c>
      <c r="G1725" s="10" t="s">
        <v>24</v>
      </c>
      <c r="H1725" s="11" t="s">
        <v>19</v>
      </c>
      <c r="I1725" s="11" t="s">
        <v>113</v>
      </c>
      <c r="J1725" s="12" t="str">
        <f ca="1">IFERROR(__xludf.DUMMYFUNCTION("FILTER('CLASFICACIÓN'!$F$3:$F2419,'CLASFICACIÓN'!$G$3:$G2419=M1725)"),"2023 Y 2024")</f>
        <v>2023 Y 2024</v>
      </c>
      <c r="K1725" s="12" t="s">
        <v>2012</v>
      </c>
      <c r="L1725" s="11" t="s">
        <v>126</v>
      </c>
      <c r="M1725" s="12" t="str">
        <f t="shared" ca="1" si="6"/>
        <v>14144 SANTA ROSA4 Primaria</v>
      </c>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4"/>
    </row>
    <row r="1726" spans="1:36" ht="12.5" x14ac:dyDescent="0.25">
      <c r="A1726" s="9">
        <v>349</v>
      </c>
      <c r="B1726" s="10" t="s">
        <v>14</v>
      </c>
      <c r="C1726" s="10" t="s">
        <v>15</v>
      </c>
      <c r="D1726" s="10" t="s">
        <v>16</v>
      </c>
      <c r="E1726" s="11" t="str">
        <f ca="1">IFERROR(__xludf.DUMMYFUNCTION("FILTER(Colegios!$B$2:$B2419,Colegios!$A$2:$A2419=L1726)"),"14144 SANTA ROSA")</f>
        <v>14144 SANTA ROSA</v>
      </c>
      <c r="F1726" s="11" t="s">
        <v>17</v>
      </c>
      <c r="G1726" s="10" t="s">
        <v>24</v>
      </c>
      <c r="H1726" s="11" t="s">
        <v>19</v>
      </c>
      <c r="I1726" s="11" t="s">
        <v>113</v>
      </c>
      <c r="J1726" s="12" t="str">
        <f ca="1">IFERROR(__xludf.DUMMYFUNCTION("FILTER('CLASFICACIÓN'!$F$3:$F2419,'CLASFICACIÓN'!$G$3:$G2419=M1726)"),"2023 Y 2024")</f>
        <v>2023 Y 2024</v>
      </c>
      <c r="K1726" s="12" t="s">
        <v>2012</v>
      </c>
      <c r="L1726" s="11" t="s">
        <v>126</v>
      </c>
      <c r="M1726" s="12" t="str">
        <f t="shared" ca="1" si="6"/>
        <v>14144 SANTA ROSA4 Primaria</v>
      </c>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4"/>
    </row>
    <row r="1727" spans="1:36" ht="12.5" x14ac:dyDescent="0.25">
      <c r="A1727" s="9">
        <v>350</v>
      </c>
      <c r="B1727" s="10" t="s">
        <v>14</v>
      </c>
      <c r="C1727" s="10" t="s">
        <v>15</v>
      </c>
      <c r="D1727" s="10" t="s">
        <v>16</v>
      </c>
      <c r="E1727" s="11" t="str">
        <f ca="1">IFERROR(__xludf.DUMMYFUNCTION("FILTER(Colegios!$B$2:$B2419,Colegios!$A$2:$A2419=L1727)"),"14144 SANTA ROSA")</f>
        <v>14144 SANTA ROSA</v>
      </c>
      <c r="F1727" s="11" t="s">
        <v>17</v>
      </c>
      <c r="G1727" s="10" t="s">
        <v>18</v>
      </c>
      <c r="H1727" s="11" t="s">
        <v>19</v>
      </c>
      <c r="I1727" s="11" t="s">
        <v>113</v>
      </c>
      <c r="J1727" s="12" t="str">
        <f ca="1">IFERROR(__xludf.DUMMYFUNCTION("FILTER('CLASFICACIÓN'!$F$3:$F2419,'CLASFICACIÓN'!$G$3:$G2419=M1727)"),"2023 Y 2024")</f>
        <v>2023 Y 2024</v>
      </c>
      <c r="K1727" s="12" t="s">
        <v>2012</v>
      </c>
      <c r="L1727" s="11" t="s">
        <v>126</v>
      </c>
      <c r="M1727" s="12" t="str">
        <f t="shared" ca="1" si="6"/>
        <v>14144 SANTA ROSA4 Primaria</v>
      </c>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4"/>
    </row>
    <row r="1728" spans="1:36" ht="12.5" x14ac:dyDescent="0.25">
      <c r="A1728" s="9">
        <v>351</v>
      </c>
      <c r="B1728" s="10" t="s">
        <v>14</v>
      </c>
      <c r="C1728" s="10" t="s">
        <v>15</v>
      </c>
      <c r="D1728" s="10" t="s">
        <v>16</v>
      </c>
      <c r="E1728" s="11" t="str">
        <f ca="1">IFERROR(__xludf.DUMMYFUNCTION("FILTER(Colegios!$B$2:$B2419,Colegios!$A$2:$A2419=L1728)"),"14144 SANTA ROSA")</f>
        <v>14144 SANTA ROSA</v>
      </c>
      <c r="F1728" s="11" t="s">
        <v>17</v>
      </c>
      <c r="G1728" s="10" t="s">
        <v>24</v>
      </c>
      <c r="H1728" s="11" t="s">
        <v>19</v>
      </c>
      <c r="I1728" s="11" t="s">
        <v>113</v>
      </c>
      <c r="J1728" s="12" t="str">
        <f ca="1">IFERROR(__xludf.DUMMYFUNCTION("FILTER('CLASFICACIÓN'!$F$3:$F2419,'CLASFICACIÓN'!$G$3:$G2419=M1728)"),"2023 Y 2024")</f>
        <v>2023 Y 2024</v>
      </c>
      <c r="K1728" s="12" t="s">
        <v>2012</v>
      </c>
      <c r="L1728" s="11" t="s">
        <v>126</v>
      </c>
      <c r="M1728" s="12" t="str">
        <f t="shared" ca="1" si="6"/>
        <v>14144 SANTA ROSA4 Primaria</v>
      </c>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4"/>
    </row>
    <row r="1729" spans="1:36" ht="12.5" x14ac:dyDescent="0.25">
      <c r="A1729" s="9">
        <v>352</v>
      </c>
      <c r="B1729" s="10" t="s">
        <v>14</v>
      </c>
      <c r="C1729" s="10" t="s">
        <v>15</v>
      </c>
      <c r="D1729" s="10" t="s">
        <v>16</v>
      </c>
      <c r="E1729" s="11" t="str">
        <f ca="1">IFERROR(__xludf.DUMMYFUNCTION("FILTER(Colegios!$B$2:$B2419,Colegios!$A$2:$A2419=L1729)"),"14144 SANTA ROSA")</f>
        <v>14144 SANTA ROSA</v>
      </c>
      <c r="F1729" s="11" t="s">
        <v>17</v>
      </c>
      <c r="G1729" s="10" t="s">
        <v>18</v>
      </c>
      <c r="H1729" s="11" t="s">
        <v>19</v>
      </c>
      <c r="I1729" s="11" t="s">
        <v>113</v>
      </c>
      <c r="J1729" s="12" t="str">
        <f ca="1">IFERROR(__xludf.DUMMYFUNCTION("FILTER('CLASFICACIÓN'!$F$3:$F2419,'CLASFICACIÓN'!$G$3:$G2419=M1729)"),"2023 Y 2024")</f>
        <v>2023 Y 2024</v>
      </c>
      <c r="K1729" s="12" t="s">
        <v>2012</v>
      </c>
      <c r="L1729" s="11" t="s">
        <v>126</v>
      </c>
      <c r="M1729" s="12" t="str">
        <f t="shared" ca="1" si="6"/>
        <v>14144 SANTA ROSA4 Primaria</v>
      </c>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4"/>
    </row>
    <row r="1730" spans="1:36" ht="12.5" x14ac:dyDescent="0.25">
      <c r="A1730" s="9">
        <v>353</v>
      </c>
      <c r="B1730" s="10" t="s">
        <v>14</v>
      </c>
      <c r="C1730" s="10" t="s">
        <v>15</v>
      </c>
      <c r="D1730" s="10" t="s">
        <v>16</v>
      </c>
      <c r="E1730" s="11" t="str">
        <f ca="1">IFERROR(__xludf.DUMMYFUNCTION("FILTER(Colegios!$B$2:$B2419,Colegios!$A$2:$A2419=L1730)"),"14144 SANTA ROSA")</f>
        <v>14144 SANTA ROSA</v>
      </c>
      <c r="F1730" s="11" t="s">
        <v>17</v>
      </c>
      <c r="G1730" s="10" t="s">
        <v>24</v>
      </c>
      <c r="H1730" s="11" t="s">
        <v>19</v>
      </c>
      <c r="I1730" s="11" t="s">
        <v>113</v>
      </c>
      <c r="J1730" s="12" t="str">
        <f ca="1">IFERROR(__xludf.DUMMYFUNCTION("FILTER('CLASFICACIÓN'!$F$3:$F2419,'CLASFICACIÓN'!$G$3:$G2419=M1730)"),"2023 Y 2024")</f>
        <v>2023 Y 2024</v>
      </c>
      <c r="K1730" s="12" t="s">
        <v>2012</v>
      </c>
      <c r="L1730" s="11" t="s">
        <v>126</v>
      </c>
      <c r="M1730" s="12" t="str">
        <f t="shared" ca="1" si="6"/>
        <v>14144 SANTA ROSA4 Primaria</v>
      </c>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4"/>
    </row>
    <row r="1731" spans="1:36" ht="12.5" x14ac:dyDescent="0.25">
      <c r="A1731" s="9">
        <v>354</v>
      </c>
      <c r="B1731" s="10" t="s">
        <v>14</v>
      </c>
      <c r="C1731" s="10" t="s">
        <v>15</v>
      </c>
      <c r="D1731" s="10" t="s">
        <v>16</v>
      </c>
      <c r="E1731" s="11" t="str">
        <f ca="1">IFERROR(__xludf.DUMMYFUNCTION("FILTER(Colegios!$B$2:$B2419,Colegios!$A$2:$A2419=L1731)"),"14144 SANTA ROSA")</f>
        <v>14144 SANTA ROSA</v>
      </c>
      <c r="F1731" s="11" t="s">
        <v>17</v>
      </c>
      <c r="G1731" s="10" t="s">
        <v>24</v>
      </c>
      <c r="H1731" s="11" t="s">
        <v>19</v>
      </c>
      <c r="I1731" s="11" t="s">
        <v>113</v>
      </c>
      <c r="J1731" s="12" t="str">
        <f ca="1">IFERROR(__xludf.DUMMYFUNCTION("FILTER('CLASFICACIÓN'!$F$3:$F2419,'CLASFICACIÓN'!$G$3:$G2419=M1731)"),"2023 Y 2024")</f>
        <v>2023 Y 2024</v>
      </c>
      <c r="K1731" s="12" t="s">
        <v>2012</v>
      </c>
      <c r="L1731" s="11" t="s">
        <v>126</v>
      </c>
      <c r="M1731" s="12" t="str">
        <f t="shared" ca="1" si="6"/>
        <v>14144 SANTA ROSA4 Primaria</v>
      </c>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4"/>
    </row>
    <row r="1732" spans="1:36" ht="12.5" x14ac:dyDescent="0.25">
      <c r="A1732" s="9">
        <v>355</v>
      </c>
      <c r="B1732" s="10" t="s">
        <v>14</v>
      </c>
      <c r="C1732" s="10" t="s">
        <v>15</v>
      </c>
      <c r="D1732" s="10" t="s">
        <v>16</v>
      </c>
      <c r="E1732" s="11" t="str">
        <f ca="1">IFERROR(__xludf.DUMMYFUNCTION("FILTER(Colegios!$B$2:$B2419,Colegios!$A$2:$A2419=L1732)"),"14144 SANTA ROSA")</f>
        <v>14144 SANTA ROSA</v>
      </c>
      <c r="F1732" s="11" t="s">
        <v>17</v>
      </c>
      <c r="G1732" s="10" t="s">
        <v>24</v>
      </c>
      <c r="H1732" s="11" t="s">
        <v>19</v>
      </c>
      <c r="I1732" s="11" t="s">
        <v>113</v>
      </c>
      <c r="J1732" s="12" t="str">
        <f ca="1">IFERROR(__xludf.DUMMYFUNCTION("FILTER('CLASFICACIÓN'!$F$3:$F2419,'CLASFICACIÓN'!$G$3:$G2419=M1732)"),"2023 Y 2024")</f>
        <v>2023 Y 2024</v>
      </c>
      <c r="K1732" s="12" t="s">
        <v>2012</v>
      </c>
      <c r="L1732" s="11" t="s">
        <v>126</v>
      </c>
      <c r="M1732" s="12" t="str">
        <f t="shared" ca="1" si="6"/>
        <v>14144 SANTA ROSA4 Primaria</v>
      </c>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4"/>
    </row>
    <row r="1733" spans="1:36" ht="12.5" x14ac:dyDescent="0.25">
      <c r="A1733" s="9">
        <v>356</v>
      </c>
      <c r="B1733" s="10" t="s">
        <v>14</v>
      </c>
      <c r="C1733" s="10" t="s">
        <v>15</v>
      </c>
      <c r="D1733" s="10" t="s">
        <v>16</v>
      </c>
      <c r="E1733" s="11" t="str">
        <f ca="1">IFERROR(__xludf.DUMMYFUNCTION("FILTER(Colegios!$B$2:$B2419,Colegios!$A$2:$A2419=L1733)"),"14144 SANTA ROSA")</f>
        <v>14144 SANTA ROSA</v>
      </c>
      <c r="F1733" s="11" t="s">
        <v>17</v>
      </c>
      <c r="G1733" s="10" t="s">
        <v>24</v>
      </c>
      <c r="H1733" s="11" t="s">
        <v>19</v>
      </c>
      <c r="I1733" s="11" t="s">
        <v>113</v>
      </c>
      <c r="J1733" s="12" t="str">
        <f ca="1">IFERROR(__xludf.DUMMYFUNCTION("FILTER('CLASFICACIÓN'!$F$3:$F2419,'CLASFICACIÓN'!$G$3:$G2419=M1733)"),"2023 Y 2024")</f>
        <v>2023 Y 2024</v>
      </c>
      <c r="K1733" s="12" t="s">
        <v>2012</v>
      </c>
      <c r="L1733" s="11" t="s">
        <v>126</v>
      </c>
      <c r="M1733" s="12" t="str">
        <f t="shared" ca="1" si="6"/>
        <v>14144 SANTA ROSA4 Primaria</v>
      </c>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4"/>
    </row>
    <row r="1734" spans="1:36" ht="12.5" x14ac:dyDescent="0.25">
      <c r="A1734" s="9">
        <v>357</v>
      </c>
      <c r="B1734" s="10" t="s">
        <v>14</v>
      </c>
      <c r="C1734" s="10" t="s">
        <v>15</v>
      </c>
      <c r="D1734" s="10" t="s">
        <v>16</v>
      </c>
      <c r="E1734" s="11" t="str">
        <f ca="1">IFERROR(__xludf.DUMMYFUNCTION("FILTER(Colegios!$B$2:$B2419,Colegios!$A$2:$A2419=L1734)"),"14144 SANTA ROSA")</f>
        <v>14144 SANTA ROSA</v>
      </c>
      <c r="F1734" s="11" t="s">
        <v>17</v>
      </c>
      <c r="G1734" s="10" t="s">
        <v>18</v>
      </c>
      <c r="H1734" s="11" t="s">
        <v>19</v>
      </c>
      <c r="I1734" s="11" t="s">
        <v>113</v>
      </c>
      <c r="J1734" s="12" t="str">
        <f ca="1">IFERROR(__xludf.DUMMYFUNCTION("FILTER('CLASFICACIÓN'!$F$3:$F2419,'CLASFICACIÓN'!$G$3:$G2419=M1734)"),"2023 Y 2024")</f>
        <v>2023 Y 2024</v>
      </c>
      <c r="K1734" s="12" t="s">
        <v>2012</v>
      </c>
      <c r="L1734" s="11" t="s">
        <v>126</v>
      </c>
      <c r="M1734" s="12" t="str">
        <f t="shared" ca="1" si="6"/>
        <v>14144 SANTA ROSA4 Primaria</v>
      </c>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4"/>
    </row>
    <row r="1735" spans="1:36" ht="12.5" x14ac:dyDescent="0.25">
      <c r="A1735" s="9">
        <v>358</v>
      </c>
      <c r="B1735" s="10" t="s">
        <v>14</v>
      </c>
      <c r="C1735" s="10" t="s">
        <v>15</v>
      </c>
      <c r="D1735" s="10" t="s">
        <v>16</v>
      </c>
      <c r="E1735" s="11" t="str">
        <f ca="1">IFERROR(__xludf.DUMMYFUNCTION("FILTER(Colegios!$B$2:$B2419,Colegios!$A$2:$A2419=L1735)"),"14144 SANTA ROSA")</f>
        <v>14144 SANTA ROSA</v>
      </c>
      <c r="F1735" s="11" t="s">
        <v>17</v>
      </c>
      <c r="G1735" s="10" t="s">
        <v>18</v>
      </c>
      <c r="H1735" s="11" t="s">
        <v>19</v>
      </c>
      <c r="I1735" s="11" t="s">
        <v>113</v>
      </c>
      <c r="J1735" s="12" t="str">
        <f ca="1">IFERROR(__xludf.DUMMYFUNCTION("FILTER('CLASFICACIÓN'!$F$3:$F2419,'CLASFICACIÓN'!$G$3:$G2419=M1735)"),"2023 Y 2024")</f>
        <v>2023 Y 2024</v>
      </c>
      <c r="K1735" s="12" t="s">
        <v>2012</v>
      </c>
      <c r="L1735" s="11" t="s">
        <v>126</v>
      </c>
      <c r="M1735" s="12" t="str">
        <f t="shared" ca="1" si="6"/>
        <v>14144 SANTA ROSA4 Primaria</v>
      </c>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4"/>
    </row>
    <row r="1736" spans="1:36" ht="12.5" x14ac:dyDescent="0.25">
      <c r="A1736" s="9">
        <v>359</v>
      </c>
      <c r="B1736" s="10" t="s">
        <v>14</v>
      </c>
      <c r="C1736" s="10" t="s">
        <v>15</v>
      </c>
      <c r="D1736" s="10" t="s">
        <v>16</v>
      </c>
      <c r="E1736" s="11" t="str">
        <f ca="1">IFERROR(__xludf.DUMMYFUNCTION("FILTER(Colegios!$B$2:$B2419,Colegios!$A$2:$A2419=L1736)"),"14144 SANTA ROSA")</f>
        <v>14144 SANTA ROSA</v>
      </c>
      <c r="F1736" s="11" t="s">
        <v>17</v>
      </c>
      <c r="G1736" s="10" t="s">
        <v>24</v>
      </c>
      <c r="H1736" s="11" t="s">
        <v>19</v>
      </c>
      <c r="I1736" s="11" t="s">
        <v>113</v>
      </c>
      <c r="J1736" s="12" t="str">
        <f ca="1">IFERROR(__xludf.DUMMYFUNCTION("FILTER('CLASFICACIÓN'!$F$3:$F2419,'CLASFICACIÓN'!$G$3:$G2419=M1736)"),"2023 Y 2024")</f>
        <v>2023 Y 2024</v>
      </c>
      <c r="K1736" s="12" t="s">
        <v>2012</v>
      </c>
      <c r="L1736" s="11" t="s">
        <v>126</v>
      </c>
      <c r="M1736" s="12" t="str">
        <f t="shared" ca="1" si="6"/>
        <v>14144 SANTA ROSA4 Primaria</v>
      </c>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4"/>
    </row>
    <row r="1737" spans="1:36" ht="12.5" x14ac:dyDescent="0.25">
      <c r="A1737" s="9">
        <v>360</v>
      </c>
      <c r="B1737" s="10" t="s">
        <v>14</v>
      </c>
      <c r="C1737" s="10" t="s">
        <v>15</v>
      </c>
      <c r="D1737" s="10" t="s">
        <v>16</v>
      </c>
      <c r="E1737" s="11" t="str">
        <f ca="1">IFERROR(__xludf.DUMMYFUNCTION("FILTER(Colegios!$B$2:$B2419,Colegios!$A$2:$A2419=L1737)"),"14144 SANTA ROSA")</f>
        <v>14144 SANTA ROSA</v>
      </c>
      <c r="F1737" s="11" t="s">
        <v>17</v>
      </c>
      <c r="G1737" s="10" t="s">
        <v>24</v>
      </c>
      <c r="H1737" s="11" t="s">
        <v>19</v>
      </c>
      <c r="I1737" s="11" t="s">
        <v>113</v>
      </c>
      <c r="J1737" s="12" t="str">
        <f ca="1">IFERROR(__xludf.DUMMYFUNCTION("FILTER('CLASFICACIÓN'!$F$3:$F2419,'CLASFICACIÓN'!$G$3:$G2419=M1737)"),"2023 Y 2024")</f>
        <v>2023 Y 2024</v>
      </c>
      <c r="K1737" s="12" t="s">
        <v>2012</v>
      </c>
      <c r="L1737" s="11" t="s">
        <v>126</v>
      </c>
      <c r="M1737" s="12" t="str">
        <f t="shared" ca="1" si="6"/>
        <v>14144 SANTA ROSA4 Primaria</v>
      </c>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4"/>
    </row>
    <row r="1738" spans="1:36" ht="12.5" x14ac:dyDescent="0.25">
      <c r="A1738" s="9">
        <v>361</v>
      </c>
      <c r="B1738" s="10" t="s">
        <v>14</v>
      </c>
      <c r="C1738" s="10" t="s">
        <v>15</v>
      </c>
      <c r="D1738" s="10" t="s">
        <v>16</v>
      </c>
      <c r="E1738" s="11" t="str">
        <f ca="1">IFERROR(__xludf.DUMMYFUNCTION("FILTER(Colegios!$B$2:$B2419,Colegios!$A$2:$A2419=L1738)"),"14144 SANTA ROSA")</f>
        <v>14144 SANTA ROSA</v>
      </c>
      <c r="F1738" s="11" t="s">
        <v>17</v>
      </c>
      <c r="G1738" s="10" t="s">
        <v>18</v>
      </c>
      <c r="H1738" s="11" t="s">
        <v>19</v>
      </c>
      <c r="I1738" s="11" t="s">
        <v>113</v>
      </c>
      <c r="J1738" s="12" t="str">
        <f ca="1">IFERROR(__xludf.DUMMYFUNCTION("FILTER('CLASFICACIÓN'!$F$3:$F2419,'CLASFICACIÓN'!$G$3:$G2419=M1738)"),"2023 Y 2024")</f>
        <v>2023 Y 2024</v>
      </c>
      <c r="K1738" s="12" t="s">
        <v>2012</v>
      </c>
      <c r="L1738" s="11" t="s">
        <v>126</v>
      </c>
      <c r="M1738" s="12" t="str">
        <f t="shared" ca="1" si="6"/>
        <v>14144 SANTA ROSA4 Primaria</v>
      </c>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4"/>
    </row>
    <row r="1739" spans="1:36" ht="12.5" x14ac:dyDescent="0.25">
      <c r="A1739" s="9">
        <v>362</v>
      </c>
      <c r="B1739" s="10" t="s">
        <v>14</v>
      </c>
      <c r="C1739" s="10" t="s">
        <v>15</v>
      </c>
      <c r="D1739" s="10" t="s">
        <v>16</v>
      </c>
      <c r="E1739" s="11" t="str">
        <f ca="1">IFERROR(__xludf.DUMMYFUNCTION("FILTER(Colegios!$B$2:$B2419,Colegios!$A$2:$A2419=L1739)"),"14144 SANTA ROSA")</f>
        <v>14144 SANTA ROSA</v>
      </c>
      <c r="F1739" s="11" t="s">
        <v>17</v>
      </c>
      <c r="G1739" s="10" t="s">
        <v>18</v>
      </c>
      <c r="H1739" s="11" t="s">
        <v>19</v>
      </c>
      <c r="I1739" s="11" t="s">
        <v>113</v>
      </c>
      <c r="J1739" s="12" t="str">
        <f ca="1">IFERROR(__xludf.DUMMYFUNCTION("FILTER('CLASFICACIÓN'!$F$3:$F2419,'CLASFICACIÓN'!$G$3:$G2419=M1739)"),"2023 Y 2024")</f>
        <v>2023 Y 2024</v>
      </c>
      <c r="K1739" s="12" t="s">
        <v>2012</v>
      </c>
      <c r="L1739" s="11" t="s">
        <v>126</v>
      </c>
      <c r="M1739" s="12" t="str">
        <f t="shared" ca="1" si="6"/>
        <v>14144 SANTA ROSA4 Primaria</v>
      </c>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4"/>
    </row>
    <row r="1740" spans="1:36" ht="12.5" x14ac:dyDescent="0.25">
      <c r="A1740" s="9">
        <v>363</v>
      </c>
      <c r="B1740" s="10" t="s">
        <v>14</v>
      </c>
      <c r="C1740" s="10" t="s">
        <v>15</v>
      </c>
      <c r="D1740" s="10" t="s">
        <v>16</v>
      </c>
      <c r="E1740" s="11" t="str">
        <f ca="1">IFERROR(__xludf.DUMMYFUNCTION("FILTER(Colegios!$B$2:$B2419,Colegios!$A$2:$A2419=L1740)"),"14144 SANTA ROSA")</f>
        <v>14144 SANTA ROSA</v>
      </c>
      <c r="F1740" s="11" t="s">
        <v>17</v>
      </c>
      <c r="G1740" s="10" t="s">
        <v>24</v>
      </c>
      <c r="H1740" s="11" t="s">
        <v>19</v>
      </c>
      <c r="I1740" s="11" t="s">
        <v>113</v>
      </c>
      <c r="J1740" s="12" t="str">
        <f ca="1">IFERROR(__xludf.DUMMYFUNCTION("FILTER('CLASFICACIÓN'!$F$3:$F2419,'CLASFICACIÓN'!$G$3:$G2419=M1740)"),"2023 Y 2024")</f>
        <v>2023 Y 2024</v>
      </c>
      <c r="K1740" s="12" t="s">
        <v>2012</v>
      </c>
      <c r="L1740" s="11" t="s">
        <v>126</v>
      </c>
      <c r="M1740" s="12" t="str">
        <f t="shared" ca="1" si="6"/>
        <v>14144 SANTA ROSA4 Primaria</v>
      </c>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4"/>
    </row>
    <row r="1741" spans="1:36" ht="12.5" x14ac:dyDescent="0.25">
      <c r="A1741" s="9">
        <v>364</v>
      </c>
      <c r="B1741" s="10" t="s">
        <v>14</v>
      </c>
      <c r="C1741" s="10" t="s">
        <v>15</v>
      </c>
      <c r="D1741" s="10" t="s">
        <v>37</v>
      </c>
      <c r="E1741" s="11" t="str">
        <f ca="1">IFERROR(__xludf.DUMMYFUNCTION("FILTER(Colegios!$B$2:$B2419,Colegios!$A$2:$A2419=L1741)"),"14144 SANTA ROSA")</f>
        <v>14144 SANTA ROSA</v>
      </c>
      <c r="F1741" s="11" t="s">
        <v>17</v>
      </c>
      <c r="G1741" s="10" t="s">
        <v>24</v>
      </c>
      <c r="H1741" s="11" t="s">
        <v>19</v>
      </c>
      <c r="I1741" s="11" t="s">
        <v>113</v>
      </c>
      <c r="J1741" s="12" t="str">
        <f ca="1">IFERROR(__xludf.DUMMYFUNCTION("FILTER('CLASFICACIÓN'!$F$3:$F2419,'CLASFICACIÓN'!$G$3:$G2419=M1741)"),"2023 Y 2024")</f>
        <v>2023 Y 2024</v>
      </c>
      <c r="K1741" s="12" t="s">
        <v>2012</v>
      </c>
      <c r="L1741" s="11" t="s">
        <v>126</v>
      </c>
      <c r="M1741" s="12" t="str">
        <f t="shared" ca="1" si="6"/>
        <v>14144 SANTA ROSA6 Primaria</v>
      </c>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4"/>
    </row>
    <row r="1742" spans="1:36" ht="12.5" x14ac:dyDescent="0.25">
      <c r="A1742" s="9">
        <v>365</v>
      </c>
      <c r="B1742" s="10" t="s">
        <v>14</v>
      </c>
      <c r="C1742" s="10" t="s">
        <v>15</v>
      </c>
      <c r="D1742" s="10" t="s">
        <v>37</v>
      </c>
      <c r="E1742" s="11" t="str">
        <f ca="1">IFERROR(__xludf.DUMMYFUNCTION("FILTER(Colegios!$B$2:$B2419,Colegios!$A$2:$A2419=L1742)"),"14144 SANTA ROSA")</f>
        <v>14144 SANTA ROSA</v>
      </c>
      <c r="F1742" s="11" t="s">
        <v>17</v>
      </c>
      <c r="G1742" s="10" t="s">
        <v>24</v>
      </c>
      <c r="H1742" s="11" t="s">
        <v>23</v>
      </c>
      <c r="I1742" s="11" t="s">
        <v>113</v>
      </c>
      <c r="J1742" s="12" t="str">
        <f ca="1">IFERROR(__xludf.DUMMYFUNCTION("FILTER('CLASFICACIÓN'!$F$3:$F2419,'CLASFICACIÓN'!$G$3:$G2419=M1742)"),"2023 Y 2024")</f>
        <v>2023 Y 2024</v>
      </c>
      <c r="K1742" s="12" t="s">
        <v>2012</v>
      </c>
      <c r="L1742" s="11" t="s">
        <v>126</v>
      </c>
      <c r="M1742" s="12" t="str">
        <f t="shared" ca="1" si="6"/>
        <v>14144 SANTA ROSA6 Primaria</v>
      </c>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4"/>
    </row>
    <row r="1743" spans="1:36" ht="12.5" x14ac:dyDescent="0.25">
      <c r="A1743" s="9">
        <v>366</v>
      </c>
      <c r="B1743" s="10" t="s">
        <v>14</v>
      </c>
      <c r="C1743" s="10" t="s">
        <v>15</v>
      </c>
      <c r="D1743" s="10" t="s">
        <v>37</v>
      </c>
      <c r="E1743" s="11" t="str">
        <f ca="1">IFERROR(__xludf.DUMMYFUNCTION("FILTER(Colegios!$B$2:$B2419,Colegios!$A$2:$A2419=L1743)"),"14144 SANTA ROSA")</f>
        <v>14144 SANTA ROSA</v>
      </c>
      <c r="F1743" s="11" t="s">
        <v>17</v>
      </c>
      <c r="G1743" s="10" t="s">
        <v>24</v>
      </c>
      <c r="H1743" s="11" t="s">
        <v>23</v>
      </c>
      <c r="I1743" s="11" t="s">
        <v>113</v>
      </c>
      <c r="J1743" s="12" t="str">
        <f ca="1">IFERROR(__xludf.DUMMYFUNCTION("FILTER('CLASFICACIÓN'!$F$3:$F2419,'CLASFICACIÓN'!$G$3:$G2419=M1743)"),"2023 Y 2024")</f>
        <v>2023 Y 2024</v>
      </c>
      <c r="K1743" s="12" t="s">
        <v>2012</v>
      </c>
      <c r="L1743" s="11" t="s">
        <v>126</v>
      </c>
      <c r="M1743" s="12" t="str">
        <f t="shared" ca="1" si="6"/>
        <v>14144 SANTA ROSA6 Primaria</v>
      </c>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4"/>
    </row>
    <row r="1744" spans="1:36" ht="12.5" x14ac:dyDescent="0.25">
      <c r="A1744" s="9">
        <v>367</v>
      </c>
      <c r="B1744" s="10" t="s">
        <v>14</v>
      </c>
      <c r="C1744" s="10" t="s">
        <v>15</v>
      </c>
      <c r="D1744" s="10" t="s">
        <v>37</v>
      </c>
      <c r="E1744" s="11" t="str">
        <f ca="1">IFERROR(__xludf.DUMMYFUNCTION("FILTER(Colegios!$B$2:$B2419,Colegios!$A$2:$A2419=L1744)"),"14144 SANTA ROSA")</f>
        <v>14144 SANTA ROSA</v>
      </c>
      <c r="F1744" s="11" t="s">
        <v>17</v>
      </c>
      <c r="G1744" s="10" t="s">
        <v>24</v>
      </c>
      <c r="H1744" s="11" t="s">
        <v>23</v>
      </c>
      <c r="I1744" s="11" t="s">
        <v>113</v>
      </c>
      <c r="J1744" s="12" t="str">
        <f ca="1">IFERROR(__xludf.DUMMYFUNCTION("FILTER('CLASFICACIÓN'!$F$3:$F2419,'CLASFICACIÓN'!$G$3:$G2419=M1744)"),"2023 Y 2024")</f>
        <v>2023 Y 2024</v>
      </c>
      <c r="K1744" s="12" t="s">
        <v>2012</v>
      </c>
      <c r="L1744" s="11" t="s">
        <v>126</v>
      </c>
      <c r="M1744" s="12" t="str">
        <f t="shared" ca="1" si="6"/>
        <v>14144 SANTA ROSA6 Primaria</v>
      </c>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4"/>
    </row>
    <row r="1745" spans="1:36" ht="12.5" x14ac:dyDescent="0.25">
      <c r="A1745" s="9">
        <v>368</v>
      </c>
      <c r="B1745" s="10" t="s">
        <v>14</v>
      </c>
      <c r="C1745" s="10" t="s">
        <v>15</v>
      </c>
      <c r="D1745" s="10" t="s">
        <v>37</v>
      </c>
      <c r="E1745" s="11" t="str">
        <f ca="1">IFERROR(__xludf.DUMMYFUNCTION("FILTER(Colegios!$B$2:$B2419,Colegios!$A$2:$A2419=L1745)"),"14144 SANTA ROSA")</f>
        <v>14144 SANTA ROSA</v>
      </c>
      <c r="F1745" s="11" t="s">
        <v>17</v>
      </c>
      <c r="G1745" s="10" t="s">
        <v>18</v>
      </c>
      <c r="H1745" s="11" t="s">
        <v>23</v>
      </c>
      <c r="I1745" s="11" t="s">
        <v>113</v>
      </c>
      <c r="J1745" s="12" t="str">
        <f ca="1">IFERROR(__xludf.DUMMYFUNCTION("FILTER('CLASFICACIÓN'!$F$3:$F2419,'CLASFICACIÓN'!$G$3:$G2419=M1745)"),"2023 Y 2024")</f>
        <v>2023 Y 2024</v>
      </c>
      <c r="K1745" s="12" t="s">
        <v>2012</v>
      </c>
      <c r="L1745" s="11" t="s">
        <v>126</v>
      </c>
      <c r="M1745" s="12" t="str">
        <f t="shared" ca="1" si="6"/>
        <v>14144 SANTA ROSA6 Primaria</v>
      </c>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4"/>
    </row>
    <row r="1746" spans="1:36" ht="12.5" x14ac:dyDescent="0.25">
      <c r="A1746" s="9">
        <v>369</v>
      </c>
      <c r="B1746" s="10" t="s">
        <v>14</v>
      </c>
      <c r="C1746" s="10" t="s">
        <v>15</v>
      </c>
      <c r="D1746" s="10" t="s">
        <v>37</v>
      </c>
      <c r="E1746" s="11" t="str">
        <f ca="1">IFERROR(__xludf.DUMMYFUNCTION("FILTER(Colegios!$B$2:$B2419,Colegios!$A$2:$A2419=L1746)"),"14144 SANTA ROSA")</f>
        <v>14144 SANTA ROSA</v>
      </c>
      <c r="F1746" s="11" t="s">
        <v>17</v>
      </c>
      <c r="G1746" s="10" t="s">
        <v>18</v>
      </c>
      <c r="H1746" s="11" t="s">
        <v>23</v>
      </c>
      <c r="I1746" s="11" t="s">
        <v>113</v>
      </c>
      <c r="J1746" s="12" t="str">
        <f ca="1">IFERROR(__xludf.DUMMYFUNCTION("FILTER('CLASFICACIÓN'!$F$3:$F2419,'CLASFICACIÓN'!$G$3:$G2419=M1746)"),"2023 Y 2024")</f>
        <v>2023 Y 2024</v>
      </c>
      <c r="K1746" s="12" t="s">
        <v>2012</v>
      </c>
      <c r="L1746" s="11" t="s">
        <v>126</v>
      </c>
      <c r="M1746" s="12" t="str">
        <f t="shared" ca="1" si="6"/>
        <v>14144 SANTA ROSA6 Primaria</v>
      </c>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4"/>
    </row>
    <row r="1747" spans="1:36" ht="12.5" x14ac:dyDescent="0.25">
      <c r="A1747" s="9">
        <v>370</v>
      </c>
      <c r="B1747" s="10" t="s">
        <v>14</v>
      </c>
      <c r="C1747" s="10" t="s">
        <v>15</v>
      </c>
      <c r="D1747" s="10" t="s">
        <v>37</v>
      </c>
      <c r="E1747" s="11" t="str">
        <f ca="1">IFERROR(__xludf.DUMMYFUNCTION("FILTER(Colegios!$B$2:$B2419,Colegios!$A$2:$A2419=L1747)"),"14144 SANTA ROSA")</f>
        <v>14144 SANTA ROSA</v>
      </c>
      <c r="F1747" s="11" t="s">
        <v>17</v>
      </c>
      <c r="G1747" s="10" t="s">
        <v>18</v>
      </c>
      <c r="H1747" s="11" t="s">
        <v>25</v>
      </c>
      <c r="I1747" s="11" t="s">
        <v>113</v>
      </c>
      <c r="J1747" s="12" t="str">
        <f ca="1">IFERROR(__xludf.DUMMYFUNCTION("FILTER('CLASFICACIÓN'!$F$3:$F2419,'CLASFICACIÓN'!$G$3:$G2419=M1747)"),"2023 Y 2024")</f>
        <v>2023 Y 2024</v>
      </c>
      <c r="K1747" s="12" t="s">
        <v>2012</v>
      </c>
      <c r="L1747" s="11" t="s">
        <v>126</v>
      </c>
      <c r="M1747" s="12" t="str">
        <f t="shared" ca="1" si="6"/>
        <v>14144 SANTA ROSA6 Primaria</v>
      </c>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4"/>
    </row>
    <row r="1748" spans="1:36" ht="12.5" x14ac:dyDescent="0.25">
      <c r="A1748" s="9">
        <v>371</v>
      </c>
      <c r="B1748" s="10" t="s">
        <v>14</v>
      </c>
      <c r="C1748" s="10" t="s">
        <v>15</v>
      </c>
      <c r="D1748" s="10" t="s">
        <v>37</v>
      </c>
      <c r="E1748" s="11" t="str">
        <f ca="1">IFERROR(__xludf.DUMMYFUNCTION("FILTER(Colegios!$B$2:$B2419,Colegios!$A$2:$A2419=L1748)"),"14144 SANTA ROSA")</f>
        <v>14144 SANTA ROSA</v>
      </c>
      <c r="F1748" s="11" t="s">
        <v>17</v>
      </c>
      <c r="G1748" s="10" t="s">
        <v>18</v>
      </c>
      <c r="H1748" s="11" t="s">
        <v>25</v>
      </c>
      <c r="I1748" s="11" t="s">
        <v>113</v>
      </c>
      <c r="J1748" s="12" t="str">
        <f ca="1">IFERROR(__xludf.DUMMYFUNCTION("FILTER('CLASFICACIÓN'!$F$3:$F2419,'CLASFICACIÓN'!$G$3:$G2419=M1748)"),"2023 Y 2024")</f>
        <v>2023 Y 2024</v>
      </c>
      <c r="K1748" s="12" t="s">
        <v>2012</v>
      </c>
      <c r="L1748" s="11" t="s">
        <v>126</v>
      </c>
      <c r="M1748" s="12" t="str">
        <f t="shared" ca="1" si="6"/>
        <v>14144 SANTA ROSA6 Primaria</v>
      </c>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4"/>
    </row>
    <row r="1749" spans="1:36" ht="12.5" x14ac:dyDescent="0.25">
      <c r="A1749" s="9">
        <v>372</v>
      </c>
      <c r="B1749" s="10" t="s">
        <v>14</v>
      </c>
      <c r="C1749" s="10" t="s">
        <v>15</v>
      </c>
      <c r="D1749" s="10" t="s">
        <v>37</v>
      </c>
      <c r="E1749" s="11" t="str">
        <f ca="1">IFERROR(__xludf.DUMMYFUNCTION("FILTER(Colegios!$B$2:$B2419,Colegios!$A$2:$A2419=L1749)"),"14144 SANTA ROSA")</f>
        <v>14144 SANTA ROSA</v>
      </c>
      <c r="F1749" s="11" t="s">
        <v>17</v>
      </c>
      <c r="G1749" s="10" t="s">
        <v>18</v>
      </c>
      <c r="H1749" s="11" t="s">
        <v>23</v>
      </c>
      <c r="I1749" s="11" t="s">
        <v>113</v>
      </c>
      <c r="J1749" s="12" t="str">
        <f ca="1">IFERROR(__xludf.DUMMYFUNCTION("FILTER('CLASFICACIÓN'!$F$3:$F2419,'CLASFICACIÓN'!$G$3:$G2419=M1749)"),"2023 Y 2024")</f>
        <v>2023 Y 2024</v>
      </c>
      <c r="K1749" s="12" t="s">
        <v>2012</v>
      </c>
      <c r="L1749" s="11" t="s">
        <v>126</v>
      </c>
      <c r="M1749" s="12" t="str">
        <f t="shared" ca="1" si="6"/>
        <v>14144 SANTA ROSA6 Primaria</v>
      </c>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4"/>
    </row>
    <row r="1750" spans="1:36" ht="12.5" x14ac:dyDescent="0.25">
      <c r="A1750" s="9">
        <v>373</v>
      </c>
      <c r="B1750" s="10" t="s">
        <v>14</v>
      </c>
      <c r="C1750" s="10" t="s">
        <v>15</v>
      </c>
      <c r="D1750" s="10" t="s">
        <v>37</v>
      </c>
      <c r="E1750" s="11" t="str">
        <f ca="1">IFERROR(__xludf.DUMMYFUNCTION("FILTER(Colegios!$B$2:$B2419,Colegios!$A$2:$A2419=L1750)"),"14144 SANTA ROSA")</f>
        <v>14144 SANTA ROSA</v>
      </c>
      <c r="F1750" s="11" t="s">
        <v>17</v>
      </c>
      <c r="G1750" s="10" t="s">
        <v>18</v>
      </c>
      <c r="H1750" s="11" t="s">
        <v>25</v>
      </c>
      <c r="I1750" s="11" t="s">
        <v>113</v>
      </c>
      <c r="J1750" s="12" t="str">
        <f ca="1">IFERROR(__xludf.DUMMYFUNCTION("FILTER('CLASFICACIÓN'!$F$3:$F2419,'CLASFICACIÓN'!$G$3:$G2419=M1750)"),"2023 Y 2024")</f>
        <v>2023 Y 2024</v>
      </c>
      <c r="K1750" s="12" t="s">
        <v>2012</v>
      </c>
      <c r="L1750" s="11" t="s">
        <v>126</v>
      </c>
      <c r="M1750" s="12" t="str">
        <f t="shared" ca="1" si="6"/>
        <v>14144 SANTA ROSA6 Primaria</v>
      </c>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4"/>
    </row>
    <row r="1751" spans="1:36" ht="12.5" x14ac:dyDescent="0.25">
      <c r="A1751" s="9">
        <v>374</v>
      </c>
      <c r="B1751" s="10" t="s">
        <v>14</v>
      </c>
      <c r="C1751" s="10" t="s">
        <v>15</v>
      </c>
      <c r="D1751" s="10" t="s">
        <v>37</v>
      </c>
      <c r="E1751" s="11" t="str">
        <f ca="1">IFERROR(__xludf.DUMMYFUNCTION("FILTER(Colegios!$B$2:$B2419,Colegios!$A$2:$A2419=L1751)"),"14144 SANTA ROSA")</f>
        <v>14144 SANTA ROSA</v>
      </c>
      <c r="F1751" s="11" t="s">
        <v>17</v>
      </c>
      <c r="G1751" s="10" t="s">
        <v>24</v>
      </c>
      <c r="H1751" s="11" t="s">
        <v>25</v>
      </c>
      <c r="I1751" s="11" t="s">
        <v>113</v>
      </c>
      <c r="J1751" s="12" t="str">
        <f ca="1">IFERROR(__xludf.DUMMYFUNCTION("FILTER('CLASFICACIÓN'!$F$3:$F2419,'CLASFICACIÓN'!$G$3:$G2419=M1751)"),"2023 Y 2024")</f>
        <v>2023 Y 2024</v>
      </c>
      <c r="K1751" s="12" t="s">
        <v>2012</v>
      </c>
      <c r="L1751" s="11" t="s">
        <v>126</v>
      </c>
      <c r="M1751" s="12" t="str">
        <f t="shared" ca="1" si="6"/>
        <v>14144 SANTA ROSA6 Primaria</v>
      </c>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4"/>
    </row>
    <row r="1752" spans="1:36" ht="12.5" x14ac:dyDescent="0.25">
      <c r="A1752" s="9">
        <v>375</v>
      </c>
      <c r="B1752" s="10" t="s">
        <v>14</v>
      </c>
      <c r="C1752" s="10" t="s">
        <v>15</v>
      </c>
      <c r="D1752" s="10" t="s">
        <v>37</v>
      </c>
      <c r="E1752" s="11" t="str">
        <f ca="1">IFERROR(__xludf.DUMMYFUNCTION("FILTER(Colegios!$B$2:$B2419,Colegios!$A$2:$A2419=L1752)"),"14144 SANTA ROSA")</f>
        <v>14144 SANTA ROSA</v>
      </c>
      <c r="F1752" s="11" t="s">
        <v>17</v>
      </c>
      <c r="G1752" s="10" t="s">
        <v>24</v>
      </c>
      <c r="H1752" s="11" t="s">
        <v>25</v>
      </c>
      <c r="I1752" s="11" t="s">
        <v>113</v>
      </c>
      <c r="J1752" s="12" t="str">
        <f ca="1">IFERROR(__xludf.DUMMYFUNCTION("FILTER('CLASFICACIÓN'!$F$3:$F2419,'CLASFICACIÓN'!$G$3:$G2419=M1752)"),"2023 Y 2024")</f>
        <v>2023 Y 2024</v>
      </c>
      <c r="K1752" s="12" t="s">
        <v>2012</v>
      </c>
      <c r="L1752" s="11" t="s">
        <v>126</v>
      </c>
      <c r="M1752" s="12" t="str">
        <f t="shared" ca="1" si="6"/>
        <v>14144 SANTA ROSA6 Primaria</v>
      </c>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4"/>
    </row>
    <row r="1753" spans="1:36" ht="12.5" x14ac:dyDescent="0.25">
      <c r="A1753" s="9">
        <v>376</v>
      </c>
      <c r="B1753" s="10" t="s">
        <v>14</v>
      </c>
      <c r="C1753" s="10" t="s">
        <v>15</v>
      </c>
      <c r="D1753" s="10" t="s">
        <v>37</v>
      </c>
      <c r="E1753" s="11" t="str">
        <f ca="1">IFERROR(__xludf.DUMMYFUNCTION("FILTER(Colegios!$B$2:$B2419,Colegios!$A$2:$A2419=L1753)"),"14144 SANTA ROSA")</f>
        <v>14144 SANTA ROSA</v>
      </c>
      <c r="F1753" s="11" t="s">
        <v>17</v>
      </c>
      <c r="G1753" s="10" t="s">
        <v>18</v>
      </c>
      <c r="H1753" s="11" t="s">
        <v>23</v>
      </c>
      <c r="I1753" s="11" t="s">
        <v>113</v>
      </c>
      <c r="J1753" s="12" t="str">
        <f ca="1">IFERROR(__xludf.DUMMYFUNCTION("FILTER('CLASFICACIÓN'!$F$3:$F2419,'CLASFICACIÓN'!$G$3:$G2419=M1753)"),"2023 Y 2024")</f>
        <v>2023 Y 2024</v>
      </c>
      <c r="K1753" s="12" t="s">
        <v>2012</v>
      </c>
      <c r="L1753" s="11" t="s">
        <v>126</v>
      </c>
      <c r="M1753" s="12" t="str">
        <f t="shared" ca="1" si="6"/>
        <v>14144 SANTA ROSA6 Primaria</v>
      </c>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4"/>
    </row>
    <row r="1754" spans="1:36" ht="12.5" x14ac:dyDescent="0.25">
      <c r="A1754" s="9">
        <v>377</v>
      </c>
      <c r="B1754" s="10" t="s">
        <v>14</v>
      </c>
      <c r="C1754" s="10" t="s">
        <v>15</v>
      </c>
      <c r="D1754" s="10" t="s">
        <v>37</v>
      </c>
      <c r="E1754" s="11" t="str">
        <f ca="1">IFERROR(__xludf.DUMMYFUNCTION("FILTER(Colegios!$B$2:$B2419,Colegios!$A$2:$A2419=L1754)"),"14144 SANTA ROSA")</f>
        <v>14144 SANTA ROSA</v>
      </c>
      <c r="F1754" s="11" t="s">
        <v>17</v>
      </c>
      <c r="G1754" s="10" t="s">
        <v>18</v>
      </c>
      <c r="H1754" s="11" t="s">
        <v>23</v>
      </c>
      <c r="I1754" s="11" t="s">
        <v>113</v>
      </c>
      <c r="J1754" s="12" t="str">
        <f ca="1">IFERROR(__xludf.DUMMYFUNCTION("FILTER('CLASFICACIÓN'!$F$3:$F2419,'CLASFICACIÓN'!$G$3:$G2419=M1754)"),"2023 Y 2024")</f>
        <v>2023 Y 2024</v>
      </c>
      <c r="K1754" s="12" t="s">
        <v>2012</v>
      </c>
      <c r="L1754" s="11" t="s">
        <v>126</v>
      </c>
      <c r="M1754" s="12" t="str">
        <f t="shared" ca="1" si="6"/>
        <v>14144 SANTA ROSA6 Primaria</v>
      </c>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4"/>
    </row>
    <row r="1755" spans="1:36" ht="12.5" x14ac:dyDescent="0.25">
      <c r="A1755" s="9">
        <v>378</v>
      </c>
      <c r="B1755" s="10" t="s">
        <v>14</v>
      </c>
      <c r="C1755" s="10" t="s">
        <v>15</v>
      </c>
      <c r="D1755" s="10" t="s">
        <v>37</v>
      </c>
      <c r="E1755" s="11" t="str">
        <f ca="1">IFERROR(__xludf.DUMMYFUNCTION("FILTER(Colegios!$B$2:$B2419,Colegios!$A$2:$A2419=L1755)"),"14144 SANTA ROSA")</f>
        <v>14144 SANTA ROSA</v>
      </c>
      <c r="F1755" s="11" t="s">
        <v>17</v>
      </c>
      <c r="G1755" s="10" t="s">
        <v>24</v>
      </c>
      <c r="H1755" s="11" t="s">
        <v>25</v>
      </c>
      <c r="I1755" s="11" t="s">
        <v>113</v>
      </c>
      <c r="J1755" s="12" t="str">
        <f ca="1">IFERROR(__xludf.DUMMYFUNCTION("FILTER('CLASFICACIÓN'!$F$3:$F2419,'CLASFICACIÓN'!$G$3:$G2419=M1755)"),"2023 Y 2024")</f>
        <v>2023 Y 2024</v>
      </c>
      <c r="K1755" s="12" t="s">
        <v>2012</v>
      </c>
      <c r="L1755" s="11" t="s">
        <v>126</v>
      </c>
      <c r="M1755" s="12" t="str">
        <f t="shared" ca="1" si="6"/>
        <v>14144 SANTA ROSA6 Primaria</v>
      </c>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4"/>
    </row>
    <row r="1756" spans="1:36" ht="12.5" x14ac:dyDescent="0.25">
      <c r="A1756" s="9">
        <v>379</v>
      </c>
      <c r="B1756" s="10" t="s">
        <v>14</v>
      </c>
      <c r="C1756" s="10" t="s">
        <v>15</v>
      </c>
      <c r="D1756" s="10" t="s">
        <v>37</v>
      </c>
      <c r="E1756" s="11" t="str">
        <f ca="1">IFERROR(__xludf.DUMMYFUNCTION("FILTER(Colegios!$B$2:$B2419,Colegios!$A$2:$A2419=L1756)"),"14144 SANTA ROSA")</f>
        <v>14144 SANTA ROSA</v>
      </c>
      <c r="F1756" s="11" t="s">
        <v>17</v>
      </c>
      <c r="G1756" s="10" t="s">
        <v>18</v>
      </c>
      <c r="H1756" s="11" t="s">
        <v>25</v>
      </c>
      <c r="I1756" s="11" t="s">
        <v>113</v>
      </c>
      <c r="J1756" s="12" t="str">
        <f ca="1">IFERROR(__xludf.DUMMYFUNCTION("FILTER('CLASFICACIÓN'!$F$3:$F2419,'CLASFICACIÓN'!$G$3:$G2419=M1756)"),"2023 Y 2024")</f>
        <v>2023 Y 2024</v>
      </c>
      <c r="K1756" s="12" t="s">
        <v>2012</v>
      </c>
      <c r="L1756" s="11" t="s">
        <v>126</v>
      </c>
      <c r="M1756" s="12" t="str">
        <f t="shared" ca="1" si="6"/>
        <v>14144 SANTA ROSA6 Primaria</v>
      </c>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4"/>
    </row>
    <row r="1757" spans="1:36" ht="12.5" x14ac:dyDescent="0.25">
      <c r="A1757" s="9">
        <v>380</v>
      </c>
      <c r="B1757" s="10" t="s">
        <v>14</v>
      </c>
      <c r="C1757" s="10" t="s">
        <v>15</v>
      </c>
      <c r="D1757" s="10" t="s">
        <v>37</v>
      </c>
      <c r="E1757" s="11" t="str">
        <f ca="1">IFERROR(__xludf.DUMMYFUNCTION("FILTER(Colegios!$B$2:$B2419,Colegios!$A$2:$A2419=L1757)"),"14144 SANTA ROSA")</f>
        <v>14144 SANTA ROSA</v>
      </c>
      <c r="F1757" s="11" t="s">
        <v>17</v>
      </c>
      <c r="G1757" s="10" t="s">
        <v>18</v>
      </c>
      <c r="H1757" s="11" t="s">
        <v>25</v>
      </c>
      <c r="I1757" s="11" t="s">
        <v>113</v>
      </c>
      <c r="J1757" s="12" t="str">
        <f ca="1">IFERROR(__xludf.DUMMYFUNCTION("FILTER('CLASFICACIÓN'!$F$3:$F2419,'CLASFICACIÓN'!$G$3:$G2419=M1757)"),"2023 Y 2024")</f>
        <v>2023 Y 2024</v>
      </c>
      <c r="K1757" s="12" t="s">
        <v>2012</v>
      </c>
      <c r="L1757" s="11" t="s">
        <v>126</v>
      </c>
      <c r="M1757" s="12" t="str">
        <f t="shared" ca="1" si="6"/>
        <v>14144 SANTA ROSA6 Primaria</v>
      </c>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4"/>
    </row>
    <row r="1758" spans="1:36" ht="12.5" x14ac:dyDescent="0.25">
      <c r="A1758" s="9">
        <v>381</v>
      </c>
      <c r="B1758" s="10" t="s">
        <v>14</v>
      </c>
      <c r="C1758" s="10" t="s">
        <v>15</v>
      </c>
      <c r="D1758" s="10" t="s">
        <v>37</v>
      </c>
      <c r="E1758" s="11" t="str">
        <f ca="1">IFERROR(__xludf.DUMMYFUNCTION("FILTER(Colegios!$B$2:$B2419,Colegios!$A$2:$A2419=L1758)"),"14144 SANTA ROSA")</f>
        <v>14144 SANTA ROSA</v>
      </c>
      <c r="F1758" s="11" t="s">
        <v>17</v>
      </c>
      <c r="G1758" s="10" t="s">
        <v>24</v>
      </c>
      <c r="H1758" s="11" t="s">
        <v>25</v>
      </c>
      <c r="I1758" s="11" t="s">
        <v>113</v>
      </c>
      <c r="J1758" s="12" t="str">
        <f ca="1">IFERROR(__xludf.DUMMYFUNCTION("FILTER('CLASFICACIÓN'!$F$3:$F2419,'CLASFICACIÓN'!$G$3:$G2419=M1758)"),"2023 Y 2024")</f>
        <v>2023 Y 2024</v>
      </c>
      <c r="K1758" s="12" t="s">
        <v>2012</v>
      </c>
      <c r="L1758" s="11" t="s">
        <v>126</v>
      </c>
      <c r="M1758" s="12" t="str">
        <f t="shared" ca="1" si="6"/>
        <v>14144 SANTA ROSA6 Primaria</v>
      </c>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4"/>
    </row>
    <row r="1759" spans="1:36" ht="12.5" x14ac:dyDescent="0.25">
      <c r="A1759" s="9">
        <v>382</v>
      </c>
      <c r="B1759" s="10" t="s">
        <v>14</v>
      </c>
      <c r="C1759" s="10" t="s">
        <v>15</v>
      </c>
      <c r="D1759" s="10" t="s">
        <v>37</v>
      </c>
      <c r="E1759" s="11" t="str">
        <f ca="1">IFERROR(__xludf.DUMMYFUNCTION("FILTER(Colegios!$B$2:$B2419,Colegios!$A$2:$A2419=L1759)"),"14144 SANTA ROSA")</f>
        <v>14144 SANTA ROSA</v>
      </c>
      <c r="F1759" s="11" t="s">
        <v>17</v>
      </c>
      <c r="G1759" s="10" t="s">
        <v>24</v>
      </c>
      <c r="H1759" s="11" t="s">
        <v>25</v>
      </c>
      <c r="I1759" s="11" t="s">
        <v>113</v>
      </c>
      <c r="J1759" s="12" t="str">
        <f ca="1">IFERROR(__xludf.DUMMYFUNCTION("FILTER('CLASFICACIÓN'!$F$3:$F2419,'CLASFICACIÓN'!$G$3:$G2419=M1759)"),"2023 Y 2024")</f>
        <v>2023 Y 2024</v>
      </c>
      <c r="K1759" s="12" t="s">
        <v>2012</v>
      </c>
      <c r="L1759" s="11" t="s">
        <v>126</v>
      </c>
      <c r="M1759" s="12" t="str">
        <f t="shared" ca="1" si="6"/>
        <v>14144 SANTA ROSA6 Primaria</v>
      </c>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4"/>
    </row>
    <row r="1760" spans="1:36" ht="12.5" x14ac:dyDescent="0.25">
      <c r="A1760" s="9">
        <v>383</v>
      </c>
      <c r="B1760" s="10" t="s">
        <v>14</v>
      </c>
      <c r="C1760" s="10" t="s">
        <v>15</v>
      </c>
      <c r="D1760" s="10" t="s">
        <v>37</v>
      </c>
      <c r="E1760" s="11" t="str">
        <f ca="1">IFERROR(__xludf.DUMMYFUNCTION("FILTER(Colegios!$B$2:$B2419,Colegios!$A$2:$A2419=L1760)"),"14144 SANTA ROSA")</f>
        <v>14144 SANTA ROSA</v>
      </c>
      <c r="F1760" s="11" t="s">
        <v>17</v>
      </c>
      <c r="G1760" s="10" t="s">
        <v>18</v>
      </c>
      <c r="H1760" s="11" t="s">
        <v>25</v>
      </c>
      <c r="I1760" s="11" t="s">
        <v>113</v>
      </c>
      <c r="J1760" s="12" t="str">
        <f ca="1">IFERROR(__xludf.DUMMYFUNCTION("FILTER('CLASFICACIÓN'!$F$3:$F2419,'CLASFICACIÓN'!$G$3:$G2419=M1760)"),"2023 Y 2024")</f>
        <v>2023 Y 2024</v>
      </c>
      <c r="K1760" s="12" t="s">
        <v>2012</v>
      </c>
      <c r="L1760" s="11" t="s">
        <v>126</v>
      </c>
      <c r="M1760" s="12" t="str">
        <f t="shared" ca="1" si="6"/>
        <v>14144 SANTA ROSA6 Primaria</v>
      </c>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4"/>
    </row>
    <row r="1761" spans="1:36" ht="12.5" x14ac:dyDescent="0.25">
      <c r="A1761" s="9">
        <v>384</v>
      </c>
      <c r="B1761" s="10" t="s">
        <v>14</v>
      </c>
      <c r="C1761" s="10" t="s">
        <v>15</v>
      </c>
      <c r="D1761" s="10" t="s">
        <v>37</v>
      </c>
      <c r="E1761" s="11" t="str">
        <f ca="1">IFERROR(__xludf.DUMMYFUNCTION("FILTER(Colegios!$B$2:$B2419,Colegios!$A$2:$A2419=L1761)"),"14144 SANTA ROSA")</f>
        <v>14144 SANTA ROSA</v>
      </c>
      <c r="F1761" s="11" t="s">
        <v>17</v>
      </c>
      <c r="G1761" s="10" t="s">
        <v>24</v>
      </c>
      <c r="H1761" s="11" t="s">
        <v>25</v>
      </c>
      <c r="I1761" s="11" t="s">
        <v>113</v>
      </c>
      <c r="J1761" s="12" t="str">
        <f ca="1">IFERROR(__xludf.DUMMYFUNCTION("FILTER('CLASFICACIÓN'!$F$3:$F2419,'CLASFICACIÓN'!$G$3:$G2419=M1761)"),"2023 Y 2024")</f>
        <v>2023 Y 2024</v>
      </c>
      <c r="K1761" s="12" t="s">
        <v>2012</v>
      </c>
      <c r="L1761" s="11" t="s">
        <v>126</v>
      </c>
      <c r="M1761" s="12" t="str">
        <f t="shared" ca="1" si="6"/>
        <v>14144 SANTA ROSA6 Primaria</v>
      </c>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4"/>
    </row>
    <row r="1762" spans="1:36" ht="12.5" x14ac:dyDescent="0.25">
      <c r="A1762" s="9">
        <v>385</v>
      </c>
      <c r="B1762" s="10" t="s">
        <v>14</v>
      </c>
      <c r="C1762" s="10" t="s">
        <v>15</v>
      </c>
      <c r="D1762" s="10" t="s">
        <v>37</v>
      </c>
      <c r="E1762" s="11" t="str">
        <f ca="1">IFERROR(__xludf.DUMMYFUNCTION("FILTER(Colegios!$B$2:$B2419,Colegios!$A$2:$A2419=L1762)"),"14144 SANTA ROSA")</f>
        <v>14144 SANTA ROSA</v>
      </c>
      <c r="F1762" s="11" t="s">
        <v>17</v>
      </c>
      <c r="G1762" s="10" t="s">
        <v>18</v>
      </c>
      <c r="H1762" s="11" t="s">
        <v>25</v>
      </c>
      <c r="I1762" s="11" t="s">
        <v>113</v>
      </c>
      <c r="J1762" s="12" t="str">
        <f ca="1">IFERROR(__xludf.DUMMYFUNCTION("FILTER('CLASFICACIÓN'!$F$3:$F2419,'CLASFICACIÓN'!$G$3:$G2419=M1762)"),"2023 Y 2024")</f>
        <v>2023 Y 2024</v>
      </c>
      <c r="K1762" s="12" t="s">
        <v>2012</v>
      </c>
      <c r="L1762" s="11" t="s">
        <v>126</v>
      </c>
      <c r="M1762" s="12" t="str">
        <f t="shared" ca="1" si="6"/>
        <v>14144 SANTA ROSA6 Primaria</v>
      </c>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4"/>
    </row>
    <row r="1763" spans="1:36" ht="12.5" x14ac:dyDescent="0.25">
      <c r="A1763" s="9">
        <v>386</v>
      </c>
      <c r="B1763" s="10" t="s">
        <v>14</v>
      </c>
      <c r="C1763" s="10" t="s">
        <v>15</v>
      </c>
      <c r="D1763" s="10" t="s">
        <v>37</v>
      </c>
      <c r="E1763" s="11" t="str">
        <f ca="1">IFERROR(__xludf.DUMMYFUNCTION("FILTER(Colegios!$B$2:$B2419,Colegios!$A$2:$A2419=L1763)"),"14144 SANTA ROSA")</f>
        <v>14144 SANTA ROSA</v>
      </c>
      <c r="F1763" s="11" t="s">
        <v>17</v>
      </c>
      <c r="G1763" s="10" t="s">
        <v>24</v>
      </c>
      <c r="H1763" s="11" t="s">
        <v>25</v>
      </c>
      <c r="I1763" s="11" t="s">
        <v>113</v>
      </c>
      <c r="J1763" s="12" t="str">
        <f ca="1">IFERROR(__xludf.DUMMYFUNCTION("FILTER('CLASFICACIÓN'!$F$3:$F2419,'CLASFICACIÓN'!$G$3:$G2419=M1763)"),"2023 Y 2024")</f>
        <v>2023 Y 2024</v>
      </c>
      <c r="K1763" s="12" t="s">
        <v>2012</v>
      </c>
      <c r="L1763" s="11" t="s">
        <v>126</v>
      </c>
      <c r="M1763" s="12" t="str">
        <f t="shared" ca="1" si="6"/>
        <v>14144 SANTA ROSA6 Primaria</v>
      </c>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4"/>
    </row>
    <row r="1764" spans="1:36" ht="12.5" x14ac:dyDescent="0.25">
      <c r="A1764" s="9">
        <v>387</v>
      </c>
      <c r="B1764" s="10" t="s">
        <v>14</v>
      </c>
      <c r="C1764" s="10" t="s">
        <v>15</v>
      </c>
      <c r="D1764" s="10" t="s">
        <v>37</v>
      </c>
      <c r="E1764" s="11" t="str">
        <f ca="1">IFERROR(__xludf.DUMMYFUNCTION("FILTER(Colegios!$B$2:$B2419,Colegios!$A$2:$A2419=L1764)"),"14144 SANTA ROSA")</f>
        <v>14144 SANTA ROSA</v>
      </c>
      <c r="F1764" s="11" t="s">
        <v>17</v>
      </c>
      <c r="G1764" s="10" t="s">
        <v>24</v>
      </c>
      <c r="H1764" s="11" t="s">
        <v>25</v>
      </c>
      <c r="I1764" s="11" t="s">
        <v>113</v>
      </c>
      <c r="J1764" s="12" t="str">
        <f ca="1">IFERROR(__xludf.DUMMYFUNCTION("FILTER('CLASFICACIÓN'!$F$3:$F2419,'CLASFICACIÓN'!$G$3:$G2419=M1764)"),"2023 Y 2024")</f>
        <v>2023 Y 2024</v>
      </c>
      <c r="K1764" s="12" t="s">
        <v>2012</v>
      </c>
      <c r="L1764" s="11" t="s">
        <v>126</v>
      </c>
      <c r="M1764" s="12" t="str">
        <f t="shared" ca="1" si="6"/>
        <v>14144 SANTA ROSA6 Primaria</v>
      </c>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4"/>
    </row>
    <row r="1765" spans="1:36" ht="12.5" x14ac:dyDescent="0.25">
      <c r="A1765" s="9">
        <v>388</v>
      </c>
      <c r="B1765" s="10" t="s">
        <v>14</v>
      </c>
      <c r="C1765" s="10" t="s">
        <v>15</v>
      </c>
      <c r="D1765" s="10" t="s">
        <v>45</v>
      </c>
      <c r="E1765" s="11" t="str">
        <f ca="1">IFERROR(__xludf.DUMMYFUNCTION("FILTER(Colegios!$B$2:$B2419,Colegios!$A$2:$A2419=L1765)"),"14145 SANTA JULIA BILLIART")</f>
        <v>14145 SANTA JULIA BILLIART</v>
      </c>
      <c r="F1765" s="11" t="s">
        <v>17</v>
      </c>
      <c r="G1765" s="10" t="s">
        <v>24</v>
      </c>
      <c r="H1765" s="11" t="s">
        <v>25</v>
      </c>
      <c r="I1765" s="11" t="s">
        <v>113</v>
      </c>
      <c r="J1765" s="12" t="str">
        <f ca="1">IFERROR(__xludf.DUMMYFUNCTION("FILTER('CLASFICACIÓN'!$F$3:$F2419,'CLASFICACIÓN'!$G$3:$G2419=M1765)"),"2023 Y 2024")</f>
        <v>2023 Y 2024</v>
      </c>
      <c r="K1765" s="12" t="s">
        <v>2012</v>
      </c>
      <c r="L1765" s="11" t="s">
        <v>127</v>
      </c>
      <c r="M1765" s="12" t="str">
        <f t="shared" ca="1" si="6"/>
        <v>14145 SANTA JULIA BILLIART2 Primaria</v>
      </c>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4"/>
    </row>
    <row r="1766" spans="1:36" ht="12.5" x14ac:dyDescent="0.25">
      <c r="A1766" s="9">
        <v>389</v>
      </c>
      <c r="B1766" s="10" t="s">
        <v>14</v>
      </c>
      <c r="C1766" s="10" t="s">
        <v>15</v>
      </c>
      <c r="D1766" s="10" t="s">
        <v>45</v>
      </c>
      <c r="E1766" s="11" t="str">
        <f ca="1">IFERROR(__xludf.DUMMYFUNCTION("FILTER(Colegios!$B$2:$B2419,Colegios!$A$2:$A2419=L1766)"),"14145 SANTA JULIA BILLIART")</f>
        <v>14145 SANTA JULIA BILLIART</v>
      </c>
      <c r="F1766" s="11" t="s">
        <v>17</v>
      </c>
      <c r="G1766" s="10" t="s">
        <v>18</v>
      </c>
      <c r="H1766" s="11" t="s">
        <v>23</v>
      </c>
      <c r="I1766" s="11" t="s">
        <v>113</v>
      </c>
      <c r="J1766" s="12" t="str">
        <f ca="1">IFERROR(__xludf.DUMMYFUNCTION("FILTER('CLASFICACIÓN'!$F$3:$F2419,'CLASFICACIÓN'!$G$3:$G2419=M1766)"),"2023 Y 2024")</f>
        <v>2023 Y 2024</v>
      </c>
      <c r="K1766" s="12" t="s">
        <v>2012</v>
      </c>
      <c r="L1766" s="11" t="s">
        <v>127</v>
      </c>
      <c r="M1766" s="12" t="str">
        <f t="shared" ca="1" si="6"/>
        <v>14145 SANTA JULIA BILLIART2 Primaria</v>
      </c>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4"/>
    </row>
    <row r="1767" spans="1:36" ht="12.5" x14ac:dyDescent="0.25">
      <c r="A1767" s="9">
        <v>390</v>
      </c>
      <c r="B1767" s="10" t="s">
        <v>14</v>
      </c>
      <c r="C1767" s="10" t="s">
        <v>15</v>
      </c>
      <c r="D1767" s="10" t="s">
        <v>45</v>
      </c>
      <c r="E1767" s="11" t="str">
        <f ca="1">IFERROR(__xludf.DUMMYFUNCTION("FILTER(Colegios!$B$2:$B2419,Colegios!$A$2:$A2419=L1767)"),"14145 SANTA JULIA BILLIART")</f>
        <v>14145 SANTA JULIA BILLIART</v>
      </c>
      <c r="F1767" s="11" t="s">
        <v>17</v>
      </c>
      <c r="G1767" s="10" t="s">
        <v>18</v>
      </c>
      <c r="H1767" s="11" t="s">
        <v>19</v>
      </c>
      <c r="I1767" s="11" t="s">
        <v>113</v>
      </c>
      <c r="J1767" s="12" t="str">
        <f ca="1">IFERROR(__xludf.DUMMYFUNCTION("FILTER('CLASFICACIÓN'!$F$3:$F2419,'CLASFICACIÓN'!$G$3:$G2419=M1767)"),"2023 Y 2024")</f>
        <v>2023 Y 2024</v>
      </c>
      <c r="K1767" s="12" t="s">
        <v>2012</v>
      </c>
      <c r="L1767" s="11" t="s">
        <v>127</v>
      </c>
      <c r="M1767" s="12" t="str">
        <f t="shared" ca="1" si="6"/>
        <v>14145 SANTA JULIA BILLIART2 Primaria</v>
      </c>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4"/>
    </row>
    <row r="1768" spans="1:36" ht="12.5" x14ac:dyDescent="0.25">
      <c r="A1768" s="9">
        <v>391</v>
      </c>
      <c r="B1768" s="10" t="s">
        <v>14</v>
      </c>
      <c r="C1768" s="10" t="s">
        <v>15</v>
      </c>
      <c r="D1768" s="10" t="s">
        <v>45</v>
      </c>
      <c r="E1768" s="11" t="str">
        <f ca="1">IFERROR(__xludf.DUMMYFUNCTION("FILTER(Colegios!$B$2:$B2419,Colegios!$A$2:$A2419=L1768)"),"14145 SANTA JULIA BILLIART")</f>
        <v>14145 SANTA JULIA BILLIART</v>
      </c>
      <c r="F1768" s="11" t="s">
        <v>17</v>
      </c>
      <c r="G1768" s="10" t="s">
        <v>18</v>
      </c>
      <c r="H1768" s="11" t="s">
        <v>19</v>
      </c>
      <c r="I1768" s="11" t="s">
        <v>113</v>
      </c>
      <c r="J1768" s="12" t="str">
        <f ca="1">IFERROR(__xludf.DUMMYFUNCTION("FILTER('CLASFICACIÓN'!$F$3:$F2419,'CLASFICACIÓN'!$G$3:$G2419=M1768)"),"2023 Y 2024")</f>
        <v>2023 Y 2024</v>
      </c>
      <c r="K1768" s="12" t="s">
        <v>2012</v>
      </c>
      <c r="L1768" s="11" t="s">
        <v>127</v>
      </c>
      <c r="M1768" s="12" t="str">
        <f t="shared" ca="1" si="6"/>
        <v>14145 SANTA JULIA BILLIART2 Primaria</v>
      </c>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4"/>
    </row>
    <row r="1769" spans="1:36" ht="12.5" x14ac:dyDescent="0.25">
      <c r="A1769" s="9">
        <v>392</v>
      </c>
      <c r="B1769" s="10" t="s">
        <v>14</v>
      </c>
      <c r="C1769" s="10" t="s">
        <v>15</v>
      </c>
      <c r="D1769" s="10" t="s">
        <v>45</v>
      </c>
      <c r="E1769" s="11" t="str">
        <f ca="1">IFERROR(__xludf.DUMMYFUNCTION("FILTER(Colegios!$B$2:$B2419,Colegios!$A$2:$A2419=L1769)"),"14145 SANTA JULIA BILLIART")</f>
        <v>14145 SANTA JULIA BILLIART</v>
      </c>
      <c r="F1769" s="11" t="s">
        <v>17</v>
      </c>
      <c r="G1769" s="10" t="s">
        <v>18</v>
      </c>
      <c r="H1769" s="11" t="s">
        <v>19</v>
      </c>
      <c r="I1769" s="11" t="s">
        <v>113</v>
      </c>
      <c r="J1769" s="12" t="str">
        <f ca="1">IFERROR(__xludf.DUMMYFUNCTION("FILTER('CLASFICACIÓN'!$F$3:$F2419,'CLASFICACIÓN'!$G$3:$G2419=M1769)"),"2023 Y 2024")</f>
        <v>2023 Y 2024</v>
      </c>
      <c r="K1769" s="12" t="s">
        <v>2012</v>
      </c>
      <c r="L1769" s="11" t="s">
        <v>127</v>
      </c>
      <c r="M1769" s="12" t="str">
        <f t="shared" ca="1" si="6"/>
        <v>14145 SANTA JULIA BILLIART2 Primaria</v>
      </c>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4"/>
    </row>
    <row r="1770" spans="1:36" ht="12.5" x14ac:dyDescent="0.25">
      <c r="A1770" s="9">
        <v>393</v>
      </c>
      <c r="B1770" s="10" t="s">
        <v>14</v>
      </c>
      <c r="C1770" s="10" t="s">
        <v>15</v>
      </c>
      <c r="D1770" s="10" t="s">
        <v>45</v>
      </c>
      <c r="E1770" s="11" t="str">
        <f ca="1">IFERROR(__xludf.DUMMYFUNCTION("FILTER(Colegios!$B$2:$B2419,Colegios!$A$2:$A2419=L1770)"),"14145 SANTA JULIA BILLIART")</f>
        <v>14145 SANTA JULIA BILLIART</v>
      </c>
      <c r="F1770" s="11" t="s">
        <v>17</v>
      </c>
      <c r="G1770" s="10" t="s">
        <v>18</v>
      </c>
      <c r="H1770" s="11" t="s">
        <v>23</v>
      </c>
      <c r="I1770" s="11" t="s">
        <v>113</v>
      </c>
      <c r="J1770" s="12" t="str">
        <f ca="1">IFERROR(__xludf.DUMMYFUNCTION("FILTER('CLASFICACIÓN'!$F$3:$F2419,'CLASFICACIÓN'!$G$3:$G2419=M1770)"),"2023 Y 2024")</f>
        <v>2023 Y 2024</v>
      </c>
      <c r="K1770" s="12" t="s">
        <v>2012</v>
      </c>
      <c r="L1770" s="11" t="s">
        <v>127</v>
      </c>
      <c r="M1770" s="12" t="str">
        <f t="shared" ca="1" si="6"/>
        <v>14145 SANTA JULIA BILLIART2 Primaria</v>
      </c>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4"/>
    </row>
    <row r="1771" spans="1:36" ht="12.5" x14ac:dyDescent="0.25">
      <c r="A1771" s="9">
        <v>394</v>
      </c>
      <c r="B1771" s="10" t="s">
        <v>14</v>
      </c>
      <c r="C1771" s="10" t="s">
        <v>15</v>
      </c>
      <c r="D1771" s="10" t="s">
        <v>45</v>
      </c>
      <c r="E1771" s="11" t="str">
        <f ca="1">IFERROR(__xludf.DUMMYFUNCTION("FILTER(Colegios!$B$2:$B2419,Colegios!$A$2:$A2419=L1771)"),"14145 SANTA JULIA BILLIART")</f>
        <v>14145 SANTA JULIA BILLIART</v>
      </c>
      <c r="F1771" s="11" t="s">
        <v>17</v>
      </c>
      <c r="G1771" s="10" t="s">
        <v>24</v>
      </c>
      <c r="H1771" s="11" t="s">
        <v>23</v>
      </c>
      <c r="I1771" s="11" t="s">
        <v>113</v>
      </c>
      <c r="J1771" s="12" t="str">
        <f ca="1">IFERROR(__xludf.DUMMYFUNCTION("FILTER('CLASFICACIÓN'!$F$3:$F2419,'CLASFICACIÓN'!$G$3:$G2419=M1771)"),"2023 Y 2024")</f>
        <v>2023 Y 2024</v>
      </c>
      <c r="K1771" s="12" t="s">
        <v>2012</v>
      </c>
      <c r="L1771" s="11" t="s">
        <v>127</v>
      </c>
      <c r="M1771" s="12" t="str">
        <f t="shared" ca="1" si="6"/>
        <v>14145 SANTA JULIA BILLIART2 Primaria</v>
      </c>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4"/>
    </row>
    <row r="1772" spans="1:36" ht="12.5" x14ac:dyDescent="0.25">
      <c r="A1772" s="9">
        <v>395</v>
      </c>
      <c r="B1772" s="10" t="s">
        <v>14</v>
      </c>
      <c r="C1772" s="10" t="s">
        <v>15</v>
      </c>
      <c r="D1772" s="10" t="s">
        <v>45</v>
      </c>
      <c r="E1772" s="11" t="str">
        <f ca="1">IFERROR(__xludf.DUMMYFUNCTION("FILTER(Colegios!$B$2:$B2419,Colegios!$A$2:$A2419=L1772)"),"14145 SANTA JULIA BILLIART")</f>
        <v>14145 SANTA JULIA BILLIART</v>
      </c>
      <c r="F1772" s="11" t="s">
        <v>17</v>
      </c>
      <c r="G1772" s="10" t="s">
        <v>24</v>
      </c>
      <c r="H1772" s="11" t="s">
        <v>23</v>
      </c>
      <c r="I1772" s="11" t="s">
        <v>113</v>
      </c>
      <c r="J1772" s="12" t="str">
        <f ca="1">IFERROR(__xludf.DUMMYFUNCTION("FILTER('CLASFICACIÓN'!$F$3:$F2419,'CLASFICACIÓN'!$G$3:$G2419=M1772)"),"2023 Y 2024")</f>
        <v>2023 Y 2024</v>
      </c>
      <c r="K1772" s="12" t="s">
        <v>2012</v>
      </c>
      <c r="L1772" s="11" t="s">
        <v>127</v>
      </c>
      <c r="M1772" s="12" t="str">
        <f t="shared" ca="1" si="6"/>
        <v>14145 SANTA JULIA BILLIART2 Primaria</v>
      </c>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4"/>
    </row>
    <row r="1773" spans="1:36" ht="12.5" x14ac:dyDescent="0.25">
      <c r="A1773" s="9">
        <v>396</v>
      </c>
      <c r="B1773" s="10" t="s">
        <v>14</v>
      </c>
      <c r="C1773" s="10" t="s">
        <v>15</v>
      </c>
      <c r="D1773" s="10" t="s">
        <v>45</v>
      </c>
      <c r="E1773" s="11" t="str">
        <f ca="1">IFERROR(__xludf.DUMMYFUNCTION("FILTER(Colegios!$B$2:$B2419,Colegios!$A$2:$A2419=L1773)"),"14145 SANTA JULIA BILLIART")</f>
        <v>14145 SANTA JULIA BILLIART</v>
      </c>
      <c r="F1773" s="11" t="s">
        <v>17</v>
      </c>
      <c r="G1773" s="10" t="s">
        <v>24</v>
      </c>
      <c r="H1773" s="11" t="s">
        <v>23</v>
      </c>
      <c r="I1773" s="11" t="s">
        <v>113</v>
      </c>
      <c r="J1773" s="12" t="str">
        <f ca="1">IFERROR(__xludf.DUMMYFUNCTION("FILTER('CLASFICACIÓN'!$F$3:$F2419,'CLASFICACIÓN'!$G$3:$G2419=M1773)"),"2023 Y 2024")</f>
        <v>2023 Y 2024</v>
      </c>
      <c r="K1773" s="12" t="s">
        <v>2012</v>
      </c>
      <c r="L1773" s="11" t="s">
        <v>127</v>
      </c>
      <c r="M1773" s="12" t="str">
        <f t="shared" ca="1" si="6"/>
        <v>14145 SANTA JULIA BILLIART2 Primaria</v>
      </c>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4"/>
    </row>
    <row r="1774" spans="1:36" ht="12.5" x14ac:dyDescent="0.25">
      <c r="A1774" s="9">
        <v>397</v>
      </c>
      <c r="B1774" s="10" t="s">
        <v>14</v>
      </c>
      <c r="C1774" s="10" t="s">
        <v>15</v>
      </c>
      <c r="D1774" s="10" t="s">
        <v>45</v>
      </c>
      <c r="E1774" s="11" t="str">
        <f ca="1">IFERROR(__xludf.DUMMYFUNCTION("FILTER(Colegios!$B$2:$B2419,Colegios!$A$2:$A2419=L1774)"),"14145 SANTA JULIA BILLIART")</f>
        <v>14145 SANTA JULIA BILLIART</v>
      </c>
      <c r="F1774" s="11" t="s">
        <v>17</v>
      </c>
      <c r="G1774" s="10" t="s">
        <v>18</v>
      </c>
      <c r="H1774" s="11" t="s">
        <v>23</v>
      </c>
      <c r="I1774" s="11" t="s">
        <v>113</v>
      </c>
      <c r="J1774" s="12" t="str">
        <f ca="1">IFERROR(__xludf.DUMMYFUNCTION("FILTER('CLASFICACIÓN'!$F$3:$F2419,'CLASFICACIÓN'!$G$3:$G2419=M1774)"),"2023 Y 2024")</f>
        <v>2023 Y 2024</v>
      </c>
      <c r="K1774" s="12" t="s">
        <v>2012</v>
      </c>
      <c r="L1774" s="11" t="s">
        <v>127</v>
      </c>
      <c r="M1774" s="12" t="str">
        <f t="shared" ca="1" si="6"/>
        <v>14145 SANTA JULIA BILLIART2 Primaria</v>
      </c>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4"/>
    </row>
    <row r="1775" spans="1:36" ht="12.5" x14ac:dyDescent="0.25">
      <c r="A1775" s="9">
        <v>398</v>
      </c>
      <c r="B1775" s="10" t="s">
        <v>14</v>
      </c>
      <c r="C1775" s="10" t="s">
        <v>15</v>
      </c>
      <c r="D1775" s="10" t="s">
        <v>45</v>
      </c>
      <c r="E1775" s="11" t="str">
        <f ca="1">IFERROR(__xludf.DUMMYFUNCTION("FILTER(Colegios!$B$2:$B2419,Colegios!$A$2:$A2419=L1775)"),"14145 SANTA JULIA BILLIART")</f>
        <v>14145 SANTA JULIA BILLIART</v>
      </c>
      <c r="F1775" s="11" t="s">
        <v>17</v>
      </c>
      <c r="G1775" s="10" t="s">
        <v>24</v>
      </c>
      <c r="H1775" s="11" t="s">
        <v>19</v>
      </c>
      <c r="I1775" s="11" t="s">
        <v>113</v>
      </c>
      <c r="J1775" s="12" t="str">
        <f ca="1">IFERROR(__xludf.DUMMYFUNCTION("FILTER('CLASFICACIÓN'!$F$3:$F2419,'CLASFICACIÓN'!$G$3:$G2419=M1775)"),"2023 Y 2024")</f>
        <v>2023 Y 2024</v>
      </c>
      <c r="K1775" s="12" t="s">
        <v>2012</v>
      </c>
      <c r="L1775" s="11" t="s">
        <v>127</v>
      </c>
      <c r="M1775" s="12" t="str">
        <f t="shared" ca="1" si="6"/>
        <v>14145 SANTA JULIA BILLIART2 Primaria</v>
      </c>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4"/>
    </row>
    <row r="1776" spans="1:36" ht="12.5" x14ac:dyDescent="0.25">
      <c r="A1776" s="9">
        <v>399</v>
      </c>
      <c r="B1776" s="10" t="s">
        <v>14</v>
      </c>
      <c r="C1776" s="10" t="s">
        <v>15</v>
      </c>
      <c r="D1776" s="10" t="s">
        <v>45</v>
      </c>
      <c r="E1776" s="11" t="str">
        <f ca="1">IFERROR(__xludf.DUMMYFUNCTION("FILTER(Colegios!$B$2:$B2419,Colegios!$A$2:$A2419=L1776)"),"14145 SANTA JULIA BILLIART")</f>
        <v>14145 SANTA JULIA BILLIART</v>
      </c>
      <c r="F1776" s="11" t="s">
        <v>17</v>
      </c>
      <c r="G1776" s="10" t="s">
        <v>18</v>
      </c>
      <c r="H1776" s="11" t="s">
        <v>19</v>
      </c>
      <c r="I1776" s="11" t="s">
        <v>113</v>
      </c>
      <c r="J1776" s="12" t="str">
        <f ca="1">IFERROR(__xludf.DUMMYFUNCTION("FILTER('CLASFICACIÓN'!$F$3:$F2419,'CLASFICACIÓN'!$G$3:$G2419=M1776)"),"2023 Y 2024")</f>
        <v>2023 Y 2024</v>
      </c>
      <c r="K1776" s="12" t="s">
        <v>2012</v>
      </c>
      <c r="L1776" s="11" t="s">
        <v>127</v>
      </c>
      <c r="M1776" s="12" t="str">
        <f t="shared" ca="1" si="6"/>
        <v>14145 SANTA JULIA BILLIART2 Primaria</v>
      </c>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4"/>
    </row>
    <row r="1777" spans="1:36" ht="12.5" x14ac:dyDescent="0.25">
      <c r="A1777" s="9">
        <v>400</v>
      </c>
      <c r="B1777" s="10" t="s">
        <v>14</v>
      </c>
      <c r="C1777" s="10" t="s">
        <v>15</v>
      </c>
      <c r="D1777" s="10" t="s">
        <v>45</v>
      </c>
      <c r="E1777" s="11" t="str">
        <f ca="1">IFERROR(__xludf.DUMMYFUNCTION("FILTER(Colegios!$B$2:$B2419,Colegios!$A$2:$A2419=L1777)"),"14145 SANTA JULIA BILLIART")</f>
        <v>14145 SANTA JULIA BILLIART</v>
      </c>
      <c r="F1777" s="11" t="s">
        <v>17</v>
      </c>
      <c r="G1777" s="10" t="s">
        <v>24</v>
      </c>
      <c r="H1777" s="11" t="s">
        <v>23</v>
      </c>
      <c r="I1777" s="11" t="s">
        <v>113</v>
      </c>
      <c r="J1777" s="12" t="str">
        <f ca="1">IFERROR(__xludf.DUMMYFUNCTION("FILTER('CLASFICACIÓN'!$F$3:$F2419,'CLASFICACIÓN'!$G$3:$G2419=M1777)"),"2023 Y 2024")</f>
        <v>2023 Y 2024</v>
      </c>
      <c r="K1777" s="12" t="s">
        <v>2012</v>
      </c>
      <c r="L1777" s="11" t="s">
        <v>127</v>
      </c>
      <c r="M1777" s="12" t="str">
        <f t="shared" ca="1" si="6"/>
        <v>14145 SANTA JULIA BILLIART2 Primaria</v>
      </c>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4"/>
    </row>
    <row r="1778" spans="1:36" ht="12.5" x14ac:dyDescent="0.25">
      <c r="A1778" s="9">
        <v>401</v>
      </c>
      <c r="B1778" s="10" t="s">
        <v>14</v>
      </c>
      <c r="C1778" s="10" t="s">
        <v>15</v>
      </c>
      <c r="D1778" s="10" t="s">
        <v>45</v>
      </c>
      <c r="E1778" s="11" t="str">
        <f ca="1">IFERROR(__xludf.DUMMYFUNCTION("FILTER(Colegios!$B$2:$B2419,Colegios!$A$2:$A2419=L1778)"),"14145 SANTA JULIA BILLIART")</f>
        <v>14145 SANTA JULIA BILLIART</v>
      </c>
      <c r="F1778" s="11" t="s">
        <v>17</v>
      </c>
      <c r="G1778" s="10" t="s">
        <v>24</v>
      </c>
      <c r="H1778" s="11" t="s">
        <v>25</v>
      </c>
      <c r="I1778" s="11" t="s">
        <v>113</v>
      </c>
      <c r="J1778" s="12" t="str">
        <f ca="1">IFERROR(__xludf.DUMMYFUNCTION("FILTER('CLASFICACIÓN'!$F$3:$F2419,'CLASFICACIÓN'!$G$3:$G2419=M1778)"),"2023 Y 2024")</f>
        <v>2023 Y 2024</v>
      </c>
      <c r="K1778" s="12" t="s">
        <v>2012</v>
      </c>
      <c r="L1778" s="11" t="s">
        <v>127</v>
      </c>
      <c r="M1778" s="12" t="str">
        <f t="shared" ca="1" si="6"/>
        <v>14145 SANTA JULIA BILLIART2 Primaria</v>
      </c>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4"/>
    </row>
    <row r="1779" spans="1:36" ht="12.5" x14ac:dyDescent="0.25">
      <c r="A1779" s="9">
        <v>402</v>
      </c>
      <c r="B1779" s="10" t="s">
        <v>14</v>
      </c>
      <c r="C1779" s="10" t="s">
        <v>15</v>
      </c>
      <c r="D1779" s="10" t="s">
        <v>16</v>
      </c>
      <c r="E1779" s="11" t="str">
        <f ca="1">IFERROR(__xludf.DUMMYFUNCTION("FILTER(Colegios!$B$2:$B2419,Colegios!$A$2:$A2419=L1779)"),"14145 SANTA JULIA BILLIART")</f>
        <v>14145 SANTA JULIA BILLIART</v>
      </c>
      <c r="F1779" s="11" t="s">
        <v>17</v>
      </c>
      <c r="G1779" s="10" t="s">
        <v>18</v>
      </c>
      <c r="H1779" s="11" t="s">
        <v>19</v>
      </c>
      <c r="I1779" s="11" t="s">
        <v>113</v>
      </c>
      <c r="J1779" s="12" t="str">
        <f ca="1">IFERROR(__xludf.DUMMYFUNCTION("FILTER('CLASFICACIÓN'!$F$3:$F2419,'CLASFICACIÓN'!$G$3:$G2419=M1779)"),"2023 Y 2024")</f>
        <v>2023 Y 2024</v>
      </c>
      <c r="K1779" s="12" t="s">
        <v>2012</v>
      </c>
      <c r="L1779" s="11" t="s">
        <v>127</v>
      </c>
      <c r="M1779" s="12" t="str">
        <f t="shared" ca="1" si="6"/>
        <v>14145 SANTA JULIA BILLIART4 Primaria</v>
      </c>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4"/>
    </row>
    <row r="1780" spans="1:36" ht="12.5" x14ac:dyDescent="0.25">
      <c r="A1780" s="9">
        <v>403</v>
      </c>
      <c r="B1780" s="10" t="s">
        <v>14</v>
      </c>
      <c r="C1780" s="10" t="s">
        <v>15</v>
      </c>
      <c r="D1780" s="10" t="s">
        <v>16</v>
      </c>
      <c r="E1780" s="11" t="str">
        <f ca="1">IFERROR(__xludf.DUMMYFUNCTION("FILTER(Colegios!$B$2:$B2419,Colegios!$A$2:$A2419=L1780)"),"14145 SANTA JULIA BILLIART")</f>
        <v>14145 SANTA JULIA BILLIART</v>
      </c>
      <c r="F1780" s="11" t="s">
        <v>17</v>
      </c>
      <c r="G1780" s="10" t="s">
        <v>24</v>
      </c>
      <c r="H1780" s="11" t="s">
        <v>19</v>
      </c>
      <c r="I1780" s="11" t="s">
        <v>113</v>
      </c>
      <c r="J1780" s="12" t="str">
        <f ca="1">IFERROR(__xludf.DUMMYFUNCTION("FILTER('CLASFICACIÓN'!$F$3:$F2419,'CLASFICACIÓN'!$G$3:$G2419=M1780)"),"2023 Y 2024")</f>
        <v>2023 Y 2024</v>
      </c>
      <c r="K1780" s="12" t="s">
        <v>2012</v>
      </c>
      <c r="L1780" s="11" t="s">
        <v>127</v>
      </c>
      <c r="M1780" s="12" t="str">
        <f t="shared" ca="1" si="6"/>
        <v>14145 SANTA JULIA BILLIART4 Primaria</v>
      </c>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4"/>
    </row>
    <row r="1781" spans="1:36" ht="12.5" x14ac:dyDescent="0.25">
      <c r="A1781" s="9">
        <v>404</v>
      </c>
      <c r="B1781" s="10" t="s">
        <v>14</v>
      </c>
      <c r="C1781" s="10" t="s">
        <v>15</v>
      </c>
      <c r="D1781" s="10" t="s">
        <v>16</v>
      </c>
      <c r="E1781" s="11" t="str">
        <f ca="1">IFERROR(__xludf.DUMMYFUNCTION("FILTER(Colegios!$B$2:$B2419,Colegios!$A$2:$A2419=L1781)"),"14145 SANTA JULIA BILLIART")</f>
        <v>14145 SANTA JULIA BILLIART</v>
      </c>
      <c r="F1781" s="11" t="s">
        <v>17</v>
      </c>
      <c r="G1781" s="10" t="s">
        <v>24</v>
      </c>
      <c r="H1781" s="11" t="s">
        <v>19</v>
      </c>
      <c r="I1781" s="11" t="s">
        <v>113</v>
      </c>
      <c r="J1781" s="12" t="str">
        <f ca="1">IFERROR(__xludf.DUMMYFUNCTION("FILTER('CLASFICACIÓN'!$F$3:$F2419,'CLASFICACIÓN'!$G$3:$G2419=M1781)"),"2023 Y 2024")</f>
        <v>2023 Y 2024</v>
      </c>
      <c r="K1781" s="12" t="s">
        <v>2012</v>
      </c>
      <c r="L1781" s="11" t="s">
        <v>127</v>
      </c>
      <c r="M1781" s="12" t="str">
        <f t="shared" ca="1" si="6"/>
        <v>14145 SANTA JULIA BILLIART4 Primaria</v>
      </c>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4"/>
    </row>
    <row r="1782" spans="1:36" ht="12.5" x14ac:dyDescent="0.25">
      <c r="A1782" s="9">
        <v>405</v>
      </c>
      <c r="B1782" s="10" t="s">
        <v>14</v>
      </c>
      <c r="C1782" s="10" t="s">
        <v>15</v>
      </c>
      <c r="D1782" s="10" t="s">
        <v>16</v>
      </c>
      <c r="E1782" s="11" t="str">
        <f ca="1">IFERROR(__xludf.DUMMYFUNCTION("FILTER(Colegios!$B$2:$B2419,Colegios!$A$2:$A2419=L1782)"),"14145 SANTA JULIA BILLIART")</f>
        <v>14145 SANTA JULIA BILLIART</v>
      </c>
      <c r="F1782" s="11" t="s">
        <v>17</v>
      </c>
      <c r="G1782" s="10" t="s">
        <v>18</v>
      </c>
      <c r="H1782" s="11" t="s">
        <v>19</v>
      </c>
      <c r="I1782" s="11" t="s">
        <v>113</v>
      </c>
      <c r="J1782" s="12" t="str">
        <f ca="1">IFERROR(__xludf.DUMMYFUNCTION("FILTER('CLASFICACIÓN'!$F$3:$F2419,'CLASFICACIÓN'!$G$3:$G2419=M1782)"),"2023 Y 2024")</f>
        <v>2023 Y 2024</v>
      </c>
      <c r="K1782" s="12" t="s">
        <v>2012</v>
      </c>
      <c r="L1782" s="11" t="s">
        <v>127</v>
      </c>
      <c r="M1782" s="12" t="str">
        <f t="shared" ca="1" si="6"/>
        <v>14145 SANTA JULIA BILLIART4 Primaria</v>
      </c>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4"/>
    </row>
    <row r="1783" spans="1:36" ht="12.5" x14ac:dyDescent="0.25">
      <c r="A1783" s="9">
        <v>406</v>
      </c>
      <c r="B1783" s="10" t="s">
        <v>14</v>
      </c>
      <c r="C1783" s="10" t="s">
        <v>15</v>
      </c>
      <c r="D1783" s="10" t="s">
        <v>16</v>
      </c>
      <c r="E1783" s="11" t="str">
        <f ca="1">IFERROR(__xludf.DUMMYFUNCTION("FILTER(Colegios!$B$2:$B2419,Colegios!$A$2:$A2419=L1783)"),"14145 SANTA JULIA BILLIART")</f>
        <v>14145 SANTA JULIA BILLIART</v>
      </c>
      <c r="F1783" s="11" t="s">
        <v>17</v>
      </c>
      <c r="G1783" s="10" t="s">
        <v>18</v>
      </c>
      <c r="H1783" s="11" t="s">
        <v>19</v>
      </c>
      <c r="I1783" s="11" t="s">
        <v>113</v>
      </c>
      <c r="J1783" s="12" t="str">
        <f ca="1">IFERROR(__xludf.DUMMYFUNCTION("FILTER('CLASFICACIÓN'!$F$3:$F2419,'CLASFICACIÓN'!$G$3:$G2419=M1783)"),"2023 Y 2024")</f>
        <v>2023 Y 2024</v>
      </c>
      <c r="K1783" s="12" t="s">
        <v>2012</v>
      </c>
      <c r="L1783" s="11" t="s">
        <v>127</v>
      </c>
      <c r="M1783" s="12" t="str">
        <f t="shared" ca="1" si="6"/>
        <v>14145 SANTA JULIA BILLIART4 Primaria</v>
      </c>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4"/>
    </row>
    <row r="1784" spans="1:36" ht="12.5" x14ac:dyDescent="0.25">
      <c r="A1784" s="9">
        <v>407</v>
      </c>
      <c r="B1784" s="10" t="s">
        <v>14</v>
      </c>
      <c r="C1784" s="10" t="s">
        <v>15</v>
      </c>
      <c r="D1784" s="10" t="s">
        <v>16</v>
      </c>
      <c r="E1784" s="11" t="str">
        <f ca="1">IFERROR(__xludf.DUMMYFUNCTION("FILTER(Colegios!$B$2:$B2419,Colegios!$A$2:$A2419=L1784)"),"14145 SANTA JULIA BILLIART")</f>
        <v>14145 SANTA JULIA BILLIART</v>
      </c>
      <c r="F1784" s="11" t="s">
        <v>17</v>
      </c>
      <c r="G1784" s="10" t="s">
        <v>24</v>
      </c>
      <c r="H1784" s="11" t="s">
        <v>19</v>
      </c>
      <c r="I1784" s="11" t="s">
        <v>113</v>
      </c>
      <c r="J1784" s="12" t="str">
        <f ca="1">IFERROR(__xludf.DUMMYFUNCTION("FILTER('CLASFICACIÓN'!$F$3:$F2419,'CLASFICACIÓN'!$G$3:$G2419=M1784)"),"2023 Y 2024")</f>
        <v>2023 Y 2024</v>
      </c>
      <c r="K1784" s="12" t="s">
        <v>2012</v>
      </c>
      <c r="L1784" s="11" t="s">
        <v>127</v>
      </c>
      <c r="M1784" s="12" t="str">
        <f t="shared" ca="1" si="6"/>
        <v>14145 SANTA JULIA BILLIART4 Primaria</v>
      </c>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4"/>
    </row>
    <row r="1785" spans="1:36" ht="12.5" x14ac:dyDescent="0.25">
      <c r="A1785" s="9">
        <v>408</v>
      </c>
      <c r="B1785" s="10" t="s">
        <v>14</v>
      </c>
      <c r="C1785" s="10" t="s">
        <v>15</v>
      </c>
      <c r="D1785" s="10" t="s">
        <v>16</v>
      </c>
      <c r="E1785" s="11" t="str">
        <f ca="1">IFERROR(__xludf.DUMMYFUNCTION("FILTER(Colegios!$B$2:$B2419,Colegios!$A$2:$A2419=L1785)"),"14145 SANTA JULIA BILLIART")</f>
        <v>14145 SANTA JULIA BILLIART</v>
      </c>
      <c r="F1785" s="11" t="s">
        <v>17</v>
      </c>
      <c r="G1785" s="10" t="s">
        <v>18</v>
      </c>
      <c r="H1785" s="11" t="s">
        <v>19</v>
      </c>
      <c r="I1785" s="11" t="s">
        <v>113</v>
      </c>
      <c r="J1785" s="12" t="str">
        <f ca="1">IFERROR(__xludf.DUMMYFUNCTION("FILTER('CLASFICACIÓN'!$F$3:$F2419,'CLASFICACIÓN'!$G$3:$G2419=M1785)"),"2023 Y 2024")</f>
        <v>2023 Y 2024</v>
      </c>
      <c r="K1785" s="12" t="s">
        <v>2012</v>
      </c>
      <c r="L1785" s="11" t="s">
        <v>127</v>
      </c>
      <c r="M1785" s="12" t="str">
        <f t="shared" ca="1" si="6"/>
        <v>14145 SANTA JULIA BILLIART4 Primaria</v>
      </c>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4"/>
    </row>
    <row r="1786" spans="1:36" ht="12.5" x14ac:dyDescent="0.25">
      <c r="A1786" s="9">
        <v>409</v>
      </c>
      <c r="B1786" s="10" t="s">
        <v>14</v>
      </c>
      <c r="C1786" s="10" t="s">
        <v>15</v>
      </c>
      <c r="D1786" s="10" t="s">
        <v>16</v>
      </c>
      <c r="E1786" s="11" t="str">
        <f ca="1">IFERROR(__xludf.DUMMYFUNCTION("FILTER(Colegios!$B$2:$B2419,Colegios!$A$2:$A2419=L1786)"),"14145 SANTA JULIA BILLIART")</f>
        <v>14145 SANTA JULIA BILLIART</v>
      </c>
      <c r="F1786" s="11" t="s">
        <v>17</v>
      </c>
      <c r="G1786" s="10" t="s">
        <v>24</v>
      </c>
      <c r="H1786" s="11" t="s">
        <v>19</v>
      </c>
      <c r="I1786" s="11" t="s">
        <v>113</v>
      </c>
      <c r="J1786" s="12" t="str">
        <f ca="1">IFERROR(__xludf.DUMMYFUNCTION("FILTER('CLASFICACIÓN'!$F$3:$F2419,'CLASFICACIÓN'!$G$3:$G2419=M1786)"),"2023 Y 2024")</f>
        <v>2023 Y 2024</v>
      </c>
      <c r="K1786" s="12" t="s">
        <v>2012</v>
      </c>
      <c r="L1786" s="11" t="s">
        <v>127</v>
      </c>
      <c r="M1786" s="12" t="str">
        <f t="shared" ca="1" si="6"/>
        <v>14145 SANTA JULIA BILLIART4 Primaria</v>
      </c>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4"/>
    </row>
    <row r="1787" spans="1:36" ht="12.5" x14ac:dyDescent="0.25">
      <c r="A1787" s="9">
        <v>410</v>
      </c>
      <c r="B1787" s="10" t="s">
        <v>14</v>
      </c>
      <c r="C1787" s="10" t="s">
        <v>15</v>
      </c>
      <c r="D1787" s="10" t="s">
        <v>16</v>
      </c>
      <c r="E1787" s="11" t="str">
        <f ca="1">IFERROR(__xludf.DUMMYFUNCTION("FILTER(Colegios!$B$2:$B2419,Colegios!$A$2:$A2419=L1787)"),"14145 SANTA JULIA BILLIART")</f>
        <v>14145 SANTA JULIA BILLIART</v>
      </c>
      <c r="F1787" s="11" t="s">
        <v>17</v>
      </c>
      <c r="G1787" s="10" t="s">
        <v>18</v>
      </c>
      <c r="H1787" s="11" t="s">
        <v>19</v>
      </c>
      <c r="I1787" s="11" t="s">
        <v>113</v>
      </c>
      <c r="J1787" s="12" t="str">
        <f ca="1">IFERROR(__xludf.DUMMYFUNCTION("FILTER('CLASFICACIÓN'!$F$3:$F2419,'CLASFICACIÓN'!$G$3:$G2419=M1787)"),"2023 Y 2024")</f>
        <v>2023 Y 2024</v>
      </c>
      <c r="K1787" s="12" t="s">
        <v>2012</v>
      </c>
      <c r="L1787" s="11" t="s">
        <v>127</v>
      </c>
      <c r="M1787" s="12" t="str">
        <f t="shared" ref="M1787:M2041" ca="1" si="7">E1787&amp;D1787</f>
        <v>14145 SANTA JULIA BILLIART4 Primaria</v>
      </c>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4"/>
    </row>
    <row r="1788" spans="1:36" ht="12.5" x14ac:dyDescent="0.25">
      <c r="A1788" s="9">
        <v>411</v>
      </c>
      <c r="B1788" s="10" t="s">
        <v>14</v>
      </c>
      <c r="C1788" s="10" t="s">
        <v>15</v>
      </c>
      <c r="D1788" s="10" t="s">
        <v>16</v>
      </c>
      <c r="E1788" s="11" t="str">
        <f ca="1">IFERROR(__xludf.DUMMYFUNCTION("FILTER(Colegios!$B$2:$B2419,Colegios!$A$2:$A2419=L1788)"),"14145 SANTA JULIA BILLIART")</f>
        <v>14145 SANTA JULIA BILLIART</v>
      </c>
      <c r="F1788" s="11" t="s">
        <v>17</v>
      </c>
      <c r="G1788" s="10" t="s">
        <v>24</v>
      </c>
      <c r="H1788" s="11" t="s">
        <v>19</v>
      </c>
      <c r="I1788" s="11" t="s">
        <v>113</v>
      </c>
      <c r="J1788" s="12" t="str">
        <f ca="1">IFERROR(__xludf.DUMMYFUNCTION("FILTER('CLASFICACIÓN'!$F$3:$F2419,'CLASFICACIÓN'!$G$3:$G2419=M1788)"),"2023 Y 2024")</f>
        <v>2023 Y 2024</v>
      </c>
      <c r="K1788" s="12" t="s">
        <v>2012</v>
      </c>
      <c r="L1788" s="11" t="s">
        <v>127</v>
      </c>
      <c r="M1788" s="12" t="str">
        <f t="shared" ca="1" si="7"/>
        <v>14145 SANTA JULIA BILLIART4 Primaria</v>
      </c>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4"/>
    </row>
    <row r="1789" spans="1:36" ht="12.5" x14ac:dyDescent="0.25">
      <c r="A1789" s="9">
        <v>412</v>
      </c>
      <c r="B1789" s="10" t="s">
        <v>14</v>
      </c>
      <c r="C1789" s="10" t="s">
        <v>15</v>
      </c>
      <c r="D1789" s="10" t="s">
        <v>16</v>
      </c>
      <c r="E1789" s="11" t="str">
        <f ca="1">IFERROR(__xludf.DUMMYFUNCTION("FILTER(Colegios!$B$2:$B2419,Colegios!$A$2:$A2419=L1789)"),"14145 SANTA JULIA BILLIART")</f>
        <v>14145 SANTA JULIA BILLIART</v>
      </c>
      <c r="F1789" s="11" t="s">
        <v>17</v>
      </c>
      <c r="G1789" s="10" t="s">
        <v>18</v>
      </c>
      <c r="H1789" s="11" t="s">
        <v>19</v>
      </c>
      <c r="I1789" s="11" t="s">
        <v>113</v>
      </c>
      <c r="J1789" s="12" t="str">
        <f ca="1">IFERROR(__xludf.DUMMYFUNCTION("FILTER('CLASFICACIÓN'!$F$3:$F2419,'CLASFICACIÓN'!$G$3:$G2419=M1789)"),"2023 Y 2024")</f>
        <v>2023 Y 2024</v>
      </c>
      <c r="K1789" s="12" t="s">
        <v>2012</v>
      </c>
      <c r="L1789" s="11" t="s">
        <v>127</v>
      </c>
      <c r="M1789" s="12" t="str">
        <f t="shared" ca="1" si="7"/>
        <v>14145 SANTA JULIA BILLIART4 Primaria</v>
      </c>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4"/>
    </row>
    <row r="1790" spans="1:36" ht="12.5" x14ac:dyDescent="0.25">
      <c r="A1790" s="9">
        <v>413</v>
      </c>
      <c r="B1790" s="10" t="s">
        <v>14</v>
      </c>
      <c r="C1790" s="10" t="s">
        <v>15</v>
      </c>
      <c r="D1790" s="10" t="s">
        <v>16</v>
      </c>
      <c r="E1790" s="11" t="str">
        <f ca="1">IFERROR(__xludf.DUMMYFUNCTION("FILTER(Colegios!$B$2:$B2419,Colegios!$A$2:$A2419=L1790)"),"14145 SANTA JULIA BILLIART")</f>
        <v>14145 SANTA JULIA BILLIART</v>
      </c>
      <c r="F1790" s="11" t="s">
        <v>17</v>
      </c>
      <c r="G1790" s="10" t="s">
        <v>24</v>
      </c>
      <c r="H1790" s="11" t="s">
        <v>19</v>
      </c>
      <c r="I1790" s="11" t="s">
        <v>113</v>
      </c>
      <c r="J1790" s="12" t="str">
        <f ca="1">IFERROR(__xludf.DUMMYFUNCTION("FILTER('CLASFICACIÓN'!$F$3:$F2419,'CLASFICACIÓN'!$G$3:$G2419=M1790)"),"2023 Y 2024")</f>
        <v>2023 Y 2024</v>
      </c>
      <c r="K1790" s="12" t="s">
        <v>2012</v>
      </c>
      <c r="L1790" s="11" t="s">
        <v>127</v>
      </c>
      <c r="M1790" s="12" t="str">
        <f t="shared" ca="1" si="7"/>
        <v>14145 SANTA JULIA BILLIART4 Primaria</v>
      </c>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4"/>
    </row>
    <row r="1791" spans="1:36" ht="12.5" x14ac:dyDescent="0.25">
      <c r="A1791" s="9">
        <v>414</v>
      </c>
      <c r="B1791" s="10" t="s">
        <v>14</v>
      </c>
      <c r="C1791" s="10" t="s">
        <v>15</v>
      </c>
      <c r="D1791" s="10" t="s">
        <v>16</v>
      </c>
      <c r="E1791" s="11" t="str">
        <f ca="1">IFERROR(__xludf.DUMMYFUNCTION("FILTER(Colegios!$B$2:$B2419,Colegios!$A$2:$A2419=L1791)"),"14145 SANTA JULIA BILLIART")</f>
        <v>14145 SANTA JULIA BILLIART</v>
      </c>
      <c r="F1791" s="11" t="s">
        <v>17</v>
      </c>
      <c r="G1791" s="10" t="s">
        <v>18</v>
      </c>
      <c r="H1791" s="11" t="s">
        <v>19</v>
      </c>
      <c r="I1791" s="11" t="s">
        <v>113</v>
      </c>
      <c r="J1791" s="12" t="str">
        <f ca="1">IFERROR(__xludf.DUMMYFUNCTION("FILTER('CLASFICACIÓN'!$F$3:$F2419,'CLASFICACIÓN'!$G$3:$G2419=M1791)"),"2023 Y 2024")</f>
        <v>2023 Y 2024</v>
      </c>
      <c r="K1791" s="12" t="s">
        <v>2012</v>
      </c>
      <c r="L1791" s="11" t="s">
        <v>127</v>
      </c>
      <c r="M1791" s="12" t="str">
        <f t="shared" ca="1" si="7"/>
        <v>14145 SANTA JULIA BILLIART4 Primaria</v>
      </c>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4"/>
    </row>
    <row r="1792" spans="1:36" ht="12.5" x14ac:dyDescent="0.25">
      <c r="A1792" s="9">
        <v>415</v>
      </c>
      <c r="B1792" s="10" t="s">
        <v>14</v>
      </c>
      <c r="C1792" s="10" t="s">
        <v>15</v>
      </c>
      <c r="D1792" s="10" t="s">
        <v>16</v>
      </c>
      <c r="E1792" s="11" t="str">
        <f ca="1">IFERROR(__xludf.DUMMYFUNCTION("FILTER(Colegios!$B$2:$B2419,Colegios!$A$2:$A2419=L1792)"),"14145 SANTA JULIA BILLIART")</f>
        <v>14145 SANTA JULIA BILLIART</v>
      </c>
      <c r="F1792" s="11" t="s">
        <v>17</v>
      </c>
      <c r="G1792" s="10" t="s">
        <v>24</v>
      </c>
      <c r="H1792" s="11" t="s">
        <v>19</v>
      </c>
      <c r="I1792" s="11" t="s">
        <v>113</v>
      </c>
      <c r="J1792" s="12" t="str">
        <f ca="1">IFERROR(__xludf.DUMMYFUNCTION("FILTER('CLASFICACIÓN'!$F$3:$F2419,'CLASFICACIÓN'!$G$3:$G2419=M1792)"),"2023 Y 2024")</f>
        <v>2023 Y 2024</v>
      </c>
      <c r="K1792" s="12" t="s">
        <v>2012</v>
      </c>
      <c r="L1792" s="11" t="s">
        <v>127</v>
      </c>
      <c r="M1792" s="12" t="str">
        <f t="shared" ca="1" si="7"/>
        <v>14145 SANTA JULIA BILLIART4 Primaria</v>
      </c>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4"/>
    </row>
    <row r="1793" spans="1:36" ht="12.5" x14ac:dyDescent="0.25">
      <c r="A1793" s="9">
        <v>416</v>
      </c>
      <c r="B1793" s="10" t="s">
        <v>14</v>
      </c>
      <c r="C1793" s="10" t="s">
        <v>15</v>
      </c>
      <c r="D1793" s="10" t="s">
        <v>16</v>
      </c>
      <c r="E1793" s="11" t="str">
        <f ca="1">IFERROR(__xludf.DUMMYFUNCTION("FILTER(Colegios!$B$2:$B2419,Colegios!$A$2:$A2419=L1793)"),"14145 SANTA JULIA BILLIART")</f>
        <v>14145 SANTA JULIA BILLIART</v>
      </c>
      <c r="F1793" s="11" t="s">
        <v>17</v>
      </c>
      <c r="G1793" s="10" t="s">
        <v>18</v>
      </c>
      <c r="H1793" s="11" t="s">
        <v>19</v>
      </c>
      <c r="I1793" s="11" t="s">
        <v>113</v>
      </c>
      <c r="J1793" s="12" t="str">
        <f ca="1">IFERROR(__xludf.DUMMYFUNCTION("FILTER('CLASFICACIÓN'!$F$3:$F2419,'CLASFICACIÓN'!$G$3:$G2419=M1793)"),"2023 Y 2024")</f>
        <v>2023 Y 2024</v>
      </c>
      <c r="K1793" s="12" t="s">
        <v>2012</v>
      </c>
      <c r="L1793" s="11" t="s">
        <v>127</v>
      </c>
      <c r="M1793" s="12" t="str">
        <f t="shared" ca="1" si="7"/>
        <v>14145 SANTA JULIA BILLIART4 Primaria</v>
      </c>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4"/>
    </row>
    <row r="1794" spans="1:36" ht="12.5" x14ac:dyDescent="0.25">
      <c r="A1794" s="9">
        <v>417</v>
      </c>
      <c r="B1794" s="10" t="s">
        <v>14</v>
      </c>
      <c r="C1794" s="10" t="s">
        <v>15</v>
      </c>
      <c r="D1794" s="10" t="s">
        <v>16</v>
      </c>
      <c r="E1794" s="11" t="str">
        <f ca="1">IFERROR(__xludf.DUMMYFUNCTION("FILTER(Colegios!$B$2:$B2419,Colegios!$A$2:$A2419=L1794)"),"14145 SANTA JULIA BILLIART")</f>
        <v>14145 SANTA JULIA BILLIART</v>
      </c>
      <c r="F1794" s="11" t="s">
        <v>17</v>
      </c>
      <c r="G1794" s="10" t="s">
        <v>24</v>
      </c>
      <c r="H1794" s="11" t="s">
        <v>19</v>
      </c>
      <c r="I1794" s="11" t="s">
        <v>113</v>
      </c>
      <c r="J1794" s="12" t="str">
        <f ca="1">IFERROR(__xludf.DUMMYFUNCTION("FILTER('CLASFICACIÓN'!$F$3:$F2419,'CLASFICACIÓN'!$G$3:$G2419=M1794)"),"2023 Y 2024")</f>
        <v>2023 Y 2024</v>
      </c>
      <c r="K1794" s="12" t="s">
        <v>2012</v>
      </c>
      <c r="L1794" s="11" t="s">
        <v>127</v>
      </c>
      <c r="M1794" s="12" t="str">
        <f t="shared" ca="1" si="7"/>
        <v>14145 SANTA JULIA BILLIART4 Primaria</v>
      </c>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4"/>
    </row>
    <row r="1795" spans="1:36" ht="12.5" x14ac:dyDescent="0.25">
      <c r="A1795" s="9">
        <v>418</v>
      </c>
      <c r="B1795" s="10" t="s">
        <v>14</v>
      </c>
      <c r="C1795" s="10" t="s">
        <v>15</v>
      </c>
      <c r="D1795" s="10" t="s">
        <v>16</v>
      </c>
      <c r="E1795" s="11" t="str">
        <f ca="1">IFERROR(__xludf.DUMMYFUNCTION("FILTER(Colegios!$B$2:$B2419,Colegios!$A$2:$A2419=L1795)"),"14145 SANTA JULIA BILLIART")</f>
        <v>14145 SANTA JULIA BILLIART</v>
      </c>
      <c r="F1795" s="11" t="s">
        <v>17</v>
      </c>
      <c r="G1795" s="10" t="s">
        <v>24</v>
      </c>
      <c r="H1795" s="11" t="s">
        <v>19</v>
      </c>
      <c r="I1795" s="11" t="s">
        <v>113</v>
      </c>
      <c r="J1795" s="12" t="str">
        <f ca="1">IFERROR(__xludf.DUMMYFUNCTION("FILTER('CLASFICACIÓN'!$F$3:$F2419,'CLASFICACIÓN'!$G$3:$G2419=M1795)"),"2023 Y 2024")</f>
        <v>2023 Y 2024</v>
      </c>
      <c r="K1795" s="12" t="s">
        <v>2012</v>
      </c>
      <c r="L1795" s="11" t="s">
        <v>127</v>
      </c>
      <c r="M1795" s="12" t="str">
        <f t="shared" ca="1" si="7"/>
        <v>14145 SANTA JULIA BILLIART4 Primaria</v>
      </c>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4"/>
    </row>
    <row r="1796" spans="1:36" ht="12.5" x14ac:dyDescent="0.25">
      <c r="A1796" s="9">
        <v>419</v>
      </c>
      <c r="B1796" s="10" t="s">
        <v>14</v>
      </c>
      <c r="C1796" s="10" t="s">
        <v>15</v>
      </c>
      <c r="D1796" s="10" t="s">
        <v>16</v>
      </c>
      <c r="E1796" s="11" t="str">
        <f ca="1">IFERROR(__xludf.DUMMYFUNCTION("FILTER(Colegios!$B$2:$B2419,Colegios!$A$2:$A2419=L1796)"),"14145 SANTA JULIA BILLIART")</f>
        <v>14145 SANTA JULIA BILLIART</v>
      </c>
      <c r="F1796" s="11" t="s">
        <v>17</v>
      </c>
      <c r="G1796" s="10" t="s">
        <v>24</v>
      </c>
      <c r="H1796" s="11" t="s">
        <v>19</v>
      </c>
      <c r="I1796" s="11" t="s">
        <v>113</v>
      </c>
      <c r="J1796" s="12" t="str">
        <f ca="1">IFERROR(__xludf.DUMMYFUNCTION("FILTER('CLASFICACIÓN'!$F$3:$F2419,'CLASFICACIÓN'!$G$3:$G2419=M1796)"),"2023 Y 2024")</f>
        <v>2023 Y 2024</v>
      </c>
      <c r="K1796" s="12" t="s">
        <v>2012</v>
      </c>
      <c r="L1796" s="11" t="s">
        <v>127</v>
      </c>
      <c r="M1796" s="12" t="str">
        <f t="shared" ca="1" si="7"/>
        <v>14145 SANTA JULIA BILLIART4 Primaria</v>
      </c>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4"/>
    </row>
    <row r="1797" spans="1:36" ht="12.5" x14ac:dyDescent="0.25">
      <c r="A1797" s="9">
        <v>420</v>
      </c>
      <c r="B1797" s="10" t="s">
        <v>14</v>
      </c>
      <c r="C1797" s="10" t="s">
        <v>15</v>
      </c>
      <c r="D1797" s="10" t="s">
        <v>16</v>
      </c>
      <c r="E1797" s="11" t="str">
        <f ca="1">IFERROR(__xludf.DUMMYFUNCTION("FILTER(Colegios!$B$2:$B2419,Colegios!$A$2:$A2419=L1797)"),"14145 SANTA JULIA BILLIART")</f>
        <v>14145 SANTA JULIA BILLIART</v>
      </c>
      <c r="F1797" s="11" t="s">
        <v>17</v>
      </c>
      <c r="G1797" s="10" t="s">
        <v>24</v>
      </c>
      <c r="H1797" s="11" t="s">
        <v>19</v>
      </c>
      <c r="I1797" s="11" t="s">
        <v>113</v>
      </c>
      <c r="J1797" s="12" t="str">
        <f ca="1">IFERROR(__xludf.DUMMYFUNCTION("FILTER('CLASFICACIÓN'!$F$3:$F2419,'CLASFICACIÓN'!$G$3:$G2419=M1797)"),"2023 Y 2024")</f>
        <v>2023 Y 2024</v>
      </c>
      <c r="K1797" s="12" t="s">
        <v>2012</v>
      </c>
      <c r="L1797" s="11" t="s">
        <v>127</v>
      </c>
      <c r="M1797" s="12" t="str">
        <f t="shared" ca="1" si="7"/>
        <v>14145 SANTA JULIA BILLIART4 Primaria</v>
      </c>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4"/>
    </row>
    <row r="1798" spans="1:36" ht="12.5" x14ac:dyDescent="0.25">
      <c r="A1798" s="9">
        <v>421</v>
      </c>
      <c r="B1798" s="10" t="s">
        <v>14</v>
      </c>
      <c r="C1798" s="10" t="s">
        <v>15</v>
      </c>
      <c r="D1798" s="10" t="s">
        <v>16</v>
      </c>
      <c r="E1798" s="11" t="str">
        <f ca="1">IFERROR(__xludf.DUMMYFUNCTION("FILTER(Colegios!$B$2:$B2419,Colegios!$A$2:$A2419=L1798)"),"14145 SANTA JULIA BILLIART")</f>
        <v>14145 SANTA JULIA BILLIART</v>
      </c>
      <c r="F1798" s="11" t="s">
        <v>17</v>
      </c>
      <c r="G1798" s="10" t="s">
        <v>18</v>
      </c>
      <c r="H1798" s="11" t="s">
        <v>19</v>
      </c>
      <c r="I1798" s="11" t="s">
        <v>113</v>
      </c>
      <c r="J1798" s="12" t="str">
        <f ca="1">IFERROR(__xludf.DUMMYFUNCTION("FILTER('CLASFICACIÓN'!$F$3:$F2419,'CLASFICACIÓN'!$G$3:$G2419=M1798)"),"2023 Y 2024")</f>
        <v>2023 Y 2024</v>
      </c>
      <c r="K1798" s="12" t="s">
        <v>2012</v>
      </c>
      <c r="L1798" s="11" t="s">
        <v>127</v>
      </c>
      <c r="M1798" s="12" t="str">
        <f t="shared" ca="1" si="7"/>
        <v>14145 SANTA JULIA BILLIART4 Primaria</v>
      </c>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4"/>
    </row>
    <row r="1799" spans="1:36" ht="12.5" x14ac:dyDescent="0.25">
      <c r="A1799" s="9">
        <v>422</v>
      </c>
      <c r="B1799" s="10" t="s">
        <v>14</v>
      </c>
      <c r="C1799" s="10" t="s">
        <v>15</v>
      </c>
      <c r="D1799" s="10" t="s">
        <v>16</v>
      </c>
      <c r="E1799" s="11" t="str">
        <f ca="1">IFERROR(__xludf.DUMMYFUNCTION("FILTER(Colegios!$B$2:$B2419,Colegios!$A$2:$A2419=L1799)"),"14145 SANTA JULIA BILLIART")</f>
        <v>14145 SANTA JULIA BILLIART</v>
      </c>
      <c r="F1799" s="11" t="s">
        <v>17</v>
      </c>
      <c r="G1799" s="10" t="s">
        <v>24</v>
      </c>
      <c r="H1799" s="11" t="s">
        <v>19</v>
      </c>
      <c r="I1799" s="11" t="s">
        <v>113</v>
      </c>
      <c r="J1799" s="12" t="str">
        <f ca="1">IFERROR(__xludf.DUMMYFUNCTION("FILTER('CLASFICACIÓN'!$F$3:$F2419,'CLASFICACIÓN'!$G$3:$G2419=M1799)"),"2023 Y 2024")</f>
        <v>2023 Y 2024</v>
      </c>
      <c r="K1799" s="12" t="s">
        <v>2012</v>
      </c>
      <c r="L1799" s="11" t="s">
        <v>127</v>
      </c>
      <c r="M1799" s="12" t="str">
        <f t="shared" ca="1" si="7"/>
        <v>14145 SANTA JULIA BILLIART4 Primaria</v>
      </c>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4"/>
    </row>
    <row r="1800" spans="1:36" ht="12.5" x14ac:dyDescent="0.25">
      <c r="A1800" s="9">
        <v>423</v>
      </c>
      <c r="B1800" s="10" t="s">
        <v>14</v>
      </c>
      <c r="C1800" s="10" t="s">
        <v>15</v>
      </c>
      <c r="D1800" s="10" t="s">
        <v>16</v>
      </c>
      <c r="E1800" s="11" t="str">
        <f ca="1">IFERROR(__xludf.DUMMYFUNCTION("FILTER(Colegios!$B$2:$B2419,Colegios!$A$2:$A2419=L1800)"),"14145 SANTA JULIA BILLIART")</f>
        <v>14145 SANTA JULIA BILLIART</v>
      </c>
      <c r="F1800" s="11" t="s">
        <v>17</v>
      </c>
      <c r="G1800" s="10" t="s">
        <v>18</v>
      </c>
      <c r="H1800" s="11" t="s">
        <v>19</v>
      </c>
      <c r="I1800" s="11" t="s">
        <v>113</v>
      </c>
      <c r="J1800" s="12" t="str">
        <f ca="1">IFERROR(__xludf.DUMMYFUNCTION("FILTER('CLASFICACIÓN'!$F$3:$F2419,'CLASFICACIÓN'!$G$3:$G2419=M1800)"),"2023 Y 2024")</f>
        <v>2023 Y 2024</v>
      </c>
      <c r="K1800" s="12" t="s">
        <v>2012</v>
      </c>
      <c r="L1800" s="11" t="s">
        <v>127</v>
      </c>
      <c r="M1800" s="12" t="str">
        <f t="shared" ca="1" si="7"/>
        <v>14145 SANTA JULIA BILLIART4 Primaria</v>
      </c>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4"/>
    </row>
    <row r="1801" spans="1:36" ht="12.5" x14ac:dyDescent="0.25">
      <c r="A1801" s="9">
        <v>424</v>
      </c>
      <c r="B1801" s="10" t="s">
        <v>14</v>
      </c>
      <c r="C1801" s="10" t="s">
        <v>15</v>
      </c>
      <c r="D1801" s="10" t="s">
        <v>16</v>
      </c>
      <c r="E1801" s="11" t="str">
        <f ca="1">IFERROR(__xludf.DUMMYFUNCTION("FILTER(Colegios!$B$2:$B2419,Colegios!$A$2:$A2419=L1801)"),"14145 SANTA JULIA BILLIART")</f>
        <v>14145 SANTA JULIA BILLIART</v>
      </c>
      <c r="F1801" s="11" t="s">
        <v>17</v>
      </c>
      <c r="G1801" s="10" t="s">
        <v>18</v>
      </c>
      <c r="H1801" s="11" t="s">
        <v>19</v>
      </c>
      <c r="I1801" s="11" t="s">
        <v>113</v>
      </c>
      <c r="J1801" s="12" t="str">
        <f ca="1">IFERROR(__xludf.DUMMYFUNCTION("FILTER('CLASFICACIÓN'!$F$3:$F2419,'CLASFICACIÓN'!$G$3:$G2419=M1801)"),"2023 Y 2024")</f>
        <v>2023 Y 2024</v>
      </c>
      <c r="K1801" s="12" t="s">
        <v>2012</v>
      </c>
      <c r="L1801" s="11" t="s">
        <v>127</v>
      </c>
      <c r="M1801" s="12" t="str">
        <f t="shared" ca="1" si="7"/>
        <v>14145 SANTA JULIA BILLIART4 Primaria</v>
      </c>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4"/>
    </row>
    <row r="1802" spans="1:36" ht="12.5" x14ac:dyDescent="0.25">
      <c r="A1802" s="9">
        <v>425</v>
      </c>
      <c r="B1802" s="10" t="s">
        <v>14</v>
      </c>
      <c r="C1802" s="10" t="s">
        <v>15</v>
      </c>
      <c r="D1802" s="10" t="s">
        <v>16</v>
      </c>
      <c r="E1802" s="11" t="str">
        <f ca="1">IFERROR(__xludf.DUMMYFUNCTION("FILTER(Colegios!$B$2:$B2419,Colegios!$A$2:$A2419=L1802)"),"14145 SANTA JULIA BILLIART")</f>
        <v>14145 SANTA JULIA BILLIART</v>
      </c>
      <c r="F1802" s="11" t="s">
        <v>17</v>
      </c>
      <c r="G1802" s="10" t="s">
        <v>24</v>
      </c>
      <c r="H1802" s="11" t="s">
        <v>19</v>
      </c>
      <c r="I1802" s="11" t="s">
        <v>113</v>
      </c>
      <c r="J1802" s="12" t="str">
        <f ca="1">IFERROR(__xludf.DUMMYFUNCTION("FILTER('CLASFICACIÓN'!$F$3:$F2419,'CLASFICACIÓN'!$G$3:$G2419=M1802)"),"2023 Y 2024")</f>
        <v>2023 Y 2024</v>
      </c>
      <c r="K1802" s="12" t="s">
        <v>2012</v>
      </c>
      <c r="L1802" s="11" t="s">
        <v>127</v>
      </c>
      <c r="M1802" s="12" t="str">
        <f t="shared" ca="1" si="7"/>
        <v>14145 SANTA JULIA BILLIART4 Primaria</v>
      </c>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4"/>
    </row>
    <row r="1803" spans="1:36" ht="12.5" x14ac:dyDescent="0.25">
      <c r="A1803" s="9">
        <v>426</v>
      </c>
      <c r="B1803" s="10" t="s">
        <v>14</v>
      </c>
      <c r="C1803" s="10" t="s">
        <v>15</v>
      </c>
      <c r="D1803" s="10" t="s">
        <v>16</v>
      </c>
      <c r="E1803" s="11" t="str">
        <f ca="1">IFERROR(__xludf.DUMMYFUNCTION("FILTER(Colegios!$B$2:$B2419,Colegios!$A$2:$A2419=L1803)"),"14145 SANTA JULIA BILLIART")</f>
        <v>14145 SANTA JULIA BILLIART</v>
      </c>
      <c r="F1803" s="11" t="s">
        <v>17</v>
      </c>
      <c r="G1803" s="10" t="s">
        <v>18</v>
      </c>
      <c r="H1803" s="11" t="s">
        <v>19</v>
      </c>
      <c r="I1803" s="11" t="s">
        <v>113</v>
      </c>
      <c r="J1803" s="12" t="str">
        <f ca="1">IFERROR(__xludf.DUMMYFUNCTION("FILTER('CLASFICACIÓN'!$F$3:$F2419,'CLASFICACIÓN'!$G$3:$G2419=M1803)"),"2023 Y 2024")</f>
        <v>2023 Y 2024</v>
      </c>
      <c r="K1803" s="12" t="s">
        <v>2012</v>
      </c>
      <c r="L1803" s="11" t="s">
        <v>127</v>
      </c>
      <c r="M1803" s="12" t="str">
        <f t="shared" ca="1" si="7"/>
        <v>14145 SANTA JULIA BILLIART4 Primaria</v>
      </c>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4"/>
    </row>
    <row r="1804" spans="1:36" ht="12.5" x14ac:dyDescent="0.25">
      <c r="A1804" s="9">
        <v>427</v>
      </c>
      <c r="B1804" s="10" t="s">
        <v>14</v>
      </c>
      <c r="C1804" s="10" t="s">
        <v>15</v>
      </c>
      <c r="D1804" s="10" t="s">
        <v>16</v>
      </c>
      <c r="E1804" s="11" t="str">
        <f ca="1">IFERROR(__xludf.DUMMYFUNCTION("FILTER(Colegios!$B$2:$B2419,Colegios!$A$2:$A2419=L1804)"),"14145 SANTA JULIA BILLIART")</f>
        <v>14145 SANTA JULIA BILLIART</v>
      </c>
      <c r="F1804" s="11" t="s">
        <v>17</v>
      </c>
      <c r="G1804" s="10" t="s">
        <v>18</v>
      </c>
      <c r="H1804" s="11" t="s">
        <v>19</v>
      </c>
      <c r="I1804" s="11" t="s">
        <v>113</v>
      </c>
      <c r="J1804" s="12" t="str">
        <f ca="1">IFERROR(__xludf.DUMMYFUNCTION("FILTER('CLASFICACIÓN'!$F$3:$F2419,'CLASFICACIÓN'!$G$3:$G2419=M1804)"),"2023 Y 2024")</f>
        <v>2023 Y 2024</v>
      </c>
      <c r="K1804" s="12" t="s">
        <v>2012</v>
      </c>
      <c r="L1804" s="11" t="s">
        <v>127</v>
      </c>
      <c r="M1804" s="12" t="str">
        <f t="shared" ca="1" si="7"/>
        <v>14145 SANTA JULIA BILLIART4 Primaria</v>
      </c>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4"/>
    </row>
    <row r="1805" spans="1:36" ht="12.5" x14ac:dyDescent="0.25">
      <c r="A1805" s="9">
        <v>428</v>
      </c>
      <c r="B1805" s="10" t="s">
        <v>14</v>
      </c>
      <c r="C1805" s="10" t="s">
        <v>15</v>
      </c>
      <c r="D1805" s="10" t="s">
        <v>16</v>
      </c>
      <c r="E1805" s="11" t="str">
        <f ca="1">IFERROR(__xludf.DUMMYFUNCTION("FILTER(Colegios!$B$2:$B2419,Colegios!$A$2:$A2419=L1805)"),"14145 SANTA JULIA BILLIART")</f>
        <v>14145 SANTA JULIA BILLIART</v>
      </c>
      <c r="F1805" s="11" t="s">
        <v>17</v>
      </c>
      <c r="G1805" s="10" t="s">
        <v>24</v>
      </c>
      <c r="H1805" s="11" t="s">
        <v>23</v>
      </c>
      <c r="I1805" s="11" t="s">
        <v>113</v>
      </c>
      <c r="J1805" s="12" t="str">
        <f ca="1">IFERROR(__xludf.DUMMYFUNCTION("FILTER('CLASFICACIÓN'!$F$3:$F2419,'CLASFICACIÓN'!$G$3:$G2419=M1805)"),"2023 Y 2024")</f>
        <v>2023 Y 2024</v>
      </c>
      <c r="K1805" s="12" t="s">
        <v>2012</v>
      </c>
      <c r="L1805" s="11" t="s">
        <v>127</v>
      </c>
      <c r="M1805" s="12" t="str">
        <f t="shared" ca="1" si="7"/>
        <v>14145 SANTA JULIA BILLIART4 Primaria</v>
      </c>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4"/>
    </row>
    <row r="1806" spans="1:36" ht="12.5" x14ac:dyDescent="0.25">
      <c r="A1806" s="9">
        <v>429</v>
      </c>
      <c r="B1806" s="10" t="s">
        <v>14</v>
      </c>
      <c r="C1806" s="10" t="s">
        <v>15</v>
      </c>
      <c r="D1806" s="10" t="s">
        <v>16</v>
      </c>
      <c r="E1806" s="11" t="str">
        <f ca="1">IFERROR(__xludf.DUMMYFUNCTION("FILTER(Colegios!$B$2:$B2419,Colegios!$A$2:$A2419=L1806)"),"14145 SANTA JULIA BILLIART")</f>
        <v>14145 SANTA JULIA BILLIART</v>
      </c>
      <c r="F1806" s="11" t="s">
        <v>17</v>
      </c>
      <c r="G1806" s="10" t="s">
        <v>18</v>
      </c>
      <c r="H1806" s="11" t="s">
        <v>19</v>
      </c>
      <c r="I1806" s="11" t="s">
        <v>113</v>
      </c>
      <c r="J1806" s="12" t="str">
        <f ca="1">IFERROR(__xludf.DUMMYFUNCTION("FILTER('CLASFICACIÓN'!$F$3:$F2419,'CLASFICACIÓN'!$G$3:$G2419=M1806)"),"2023 Y 2024")</f>
        <v>2023 Y 2024</v>
      </c>
      <c r="K1806" s="12" t="s">
        <v>2012</v>
      </c>
      <c r="L1806" s="11" t="s">
        <v>127</v>
      </c>
      <c r="M1806" s="12" t="str">
        <f t="shared" ca="1" si="7"/>
        <v>14145 SANTA JULIA BILLIART4 Primaria</v>
      </c>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4"/>
    </row>
    <row r="1807" spans="1:36" ht="12.5" x14ac:dyDescent="0.25">
      <c r="A1807" s="9">
        <v>430</v>
      </c>
      <c r="B1807" s="10" t="s">
        <v>14</v>
      </c>
      <c r="C1807" s="10" t="s">
        <v>15</v>
      </c>
      <c r="D1807" s="10" t="s">
        <v>37</v>
      </c>
      <c r="E1807" s="11" t="str">
        <f ca="1">IFERROR(__xludf.DUMMYFUNCTION("FILTER(Colegios!$B$2:$B2419,Colegios!$A$2:$A2419=L1807)"),"14145 SANTA JULIA BILLIART")</f>
        <v>14145 SANTA JULIA BILLIART</v>
      </c>
      <c r="F1807" s="11" t="s">
        <v>17</v>
      </c>
      <c r="G1807" s="10" t="s">
        <v>24</v>
      </c>
      <c r="H1807" s="11" t="s">
        <v>23</v>
      </c>
      <c r="I1807" s="11" t="s">
        <v>113</v>
      </c>
      <c r="J1807" s="12" t="str">
        <f ca="1">IFERROR(__xludf.DUMMYFUNCTION("FILTER('CLASFICACIÓN'!$F$3:$F2419,'CLASFICACIÓN'!$G$3:$G2419=M1807)"),"2023 Y 2024")</f>
        <v>2023 Y 2024</v>
      </c>
      <c r="K1807" s="12" t="s">
        <v>2012</v>
      </c>
      <c r="L1807" s="11" t="s">
        <v>127</v>
      </c>
      <c r="M1807" s="12" t="str">
        <f t="shared" ca="1" si="7"/>
        <v>14145 SANTA JULIA BILLIART6 Primaria</v>
      </c>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4"/>
    </row>
    <row r="1808" spans="1:36" ht="12.5" x14ac:dyDescent="0.25">
      <c r="A1808" s="9">
        <v>431</v>
      </c>
      <c r="B1808" s="10" t="s">
        <v>14</v>
      </c>
      <c r="C1808" s="10" t="s">
        <v>15</v>
      </c>
      <c r="D1808" s="10" t="s">
        <v>37</v>
      </c>
      <c r="E1808" s="11" t="str">
        <f ca="1">IFERROR(__xludf.DUMMYFUNCTION("FILTER(Colegios!$B$2:$B2419,Colegios!$A$2:$A2419=L1808)"),"14145 SANTA JULIA BILLIART")</f>
        <v>14145 SANTA JULIA BILLIART</v>
      </c>
      <c r="F1808" s="11" t="s">
        <v>17</v>
      </c>
      <c r="G1808" s="10" t="s">
        <v>18</v>
      </c>
      <c r="H1808" s="11" t="s">
        <v>23</v>
      </c>
      <c r="I1808" s="11" t="s">
        <v>113</v>
      </c>
      <c r="J1808" s="12" t="str">
        <f ca="1">IFERROR(__xludf.DUMMYFUNCTION("FILTER('CLASFICACIÓN'!$F$3:$F2419,'CLASFICACIÓN'!$G$3:$G2419=M1808)"),"2023 Y 2024")</f>
        <v>2023 Y 2024</v>
      </c>
      <c r="K1808" s="12" t="s">
        <v>2012</v>
      </c>
      <c r="L1808" s="11" t="s">
        <v>127</v>
      </c>
      <c r="M1808" s="12" t="str">
        <f t="shared" ca="1" si="7"/>
        <v>14145 SANTA JULIA BILLIART6 Primaria</v>
      </c>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4"/>
    </row>
    <row r="1809" spans="1:36" ht="12.5" x14ac:dyDescent="0.25">
      <c r="A1809" s="9">
        <v>432</v>
      </c>
      <c r="B1809" s="10" t="s">
        <v>14</v>
      </c>
      <c r="C1809" s="10" t="s">
        <v>15</v>
      </c>
      <c r="D1809" s="10" t="s">
        <v>37</v>
      </c>
      <c r="E1809" s="11" t="str">
        <f ca="1">IFERROR(__xludf.DUMMYFUNCTION("FILTER(Colegios!$B$2:$B2419,Colegios!$A$2:$A2419=L1809)"),"14145 SANTA JULIA BILLIART")</f>
        <v>14145 SANTA JULIA BILLIART</v>
      </c>
      <c r="F1809" s="11" t="s">
        <v>17</v>
      </c>
      <c r="G1809" s="10" t="s">
        <v>24</v>
      </c>
      <c r="H1809" s="11" t="s">
        <v>23</v>
      </c>
      <c r="I1809" s="11" t="s">
        <v>113</v>
      </c>
      <c r="J1809" s="12" t="str">
        <f ca="1">IFERROR(__xludf.DUMMYFUNCTION("FILTER('CLASFICACIÓN'!$F$3:$F2419,'CLASFICACIÓN'!$G$3:$G2419=M1809)"),"2023 Y 2024")</f>
        <v>2023 Y 2024</v>
      </c>
      <c r="K1809" s="12" t="s">
        <v>2012</v>
      </c>
      <c r="L1809" s="11" t="s">
        <v>127</v>
      </c>
      <c r="M1809" s="12" t="str">
        <f t="shared" ca="1" si="7"/>
        <v>14145 SANTA JULIA BILLIART6 Primaria</v>
      </c>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4"/>
    </row>
    <row r="1810" spans="1:36" ht="12.5" x14ac:dyDescent="0.25">
      <c r="A1810" s="9">
        <v>433</v>
      </c>
      <c r="B1810" s="10" t="s">
        <v>14</v>
      </c>
      <c r="C1810" s="10" t="s">
        <v>15</v>
      </c>
      <c r="D1810" s="10" t="s">
        <v>37</v>
      </c>
      <c r="E1810" s="11" t="str">
        <f ca="1">IFERROR(__xludf.DUMMYFUNCTION("FILTER(Colegios!$B$2:$B2419,Colegios!$A$2:$A2419=L1810)"),"14145 SANTA JULIA BILLIART")</f>
        <v>14145 SANTA JULIA BILLIART</v>
      </c>
      <c r="F1810" s="11" t="s">
        <v>17</v>
      </c>
      <c r="G1810" s="10" t="s">
        <v>24</v>
      </c>
      <c r="H1810" s="11" t="s">
        <v>25</v>
      </c>
      <c r="I1810" s="11" t="s">
        <v>113</v>
      </c>
      <c r="J1810" s="12" t="str">
        <f ca="1">IFERROR(__xludf.DUMMYFUNCTION("FILTER('CLASFICACIÓN'!$F$3:$F2419,'CLASFICACIÓN'!$G$3:$G2419=M1810)"),"2023 Y 2024")</f>
        <v>2023 Y 2024</v>
      </c>
      <c r="K1810" s="12" t="s">
        <v>2012</v>
      </c>
      <c r="L1810" s="11" t="s">
        <v>127</v>
      </c>
      <c r="M1810" s="12" t="str">
        <f t="shared" ca="1" si="7"/>
        <v>14145 SANTA JULIA BILLIART6 Primaria</v>
      </c>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4"/>
    </row>
    <row r="1811" spans="1:36" ht="12.5" x14ac:dyDescent="0.25">
      <c r="A1811" s="9">
        <v>434</v>
      </c>
      <c r="B1811" s="10" t="s">
        <v>14</v>
      </c>
      <c r="C1811" s="10" t="s">
        <v>15</v>
      </c>
      <c r="D1811" s="10" t="s">
        <v>37</v>
      </c>
      <c r="E1811" s="11" t="str">
        <f ca="1">IFERROR(__xludf.DUMMYFUNCTION("FILTER(Colegios!$B$2:$B2419,Colegios!$A$2:$A2419=L1811)"),"14145 SANTA JULIA BILLIART")</f>
        <v>14145 SANTA JULIA BILLIART</v>
      </c>
      <c r="F1811" s="11" t="s">
        <v>17</v>
      </c>
      <c r="G1811" s="10" t="s">
        <v>24</v>
      </c>
      <c r="H1811" s="11" t="s">
        <v>25</v>
      </c>
      <c r="I1811" s="11" t="s">
        <v>113</v>
      </c>
      <c r="J1811" s="12" t="str">
        <f ca="1">IFERROR(__xludf.DUMMYFUNCTION("FILTER('CLASFICACIÓN'!$F$3:$F2419,'CLASFICACIÓN'!$G$3:$G2419=M1811)"),"2023 Y 2024")</f>
        <v>2023 Y 2024</v>
      </c>
      <c r="K1811" s="12" t="s">
        <v>2012</v>
      </c>
      <c r="L1811" s="11" t="s">
        <v>127</v>
      </c>
      <c r="M1811" s="12" t="str">
        <f t="shared" ca="1" si="7"/>
        <v>14145 SANTA JULIA BILLIART6 Primaria</v>
      </c>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4"/>
    </row>
    <row r="1812" spans="1:36" ht="12.5" x14ac:dyDescent="0.25">
      <c r="A1812" s="9">
        <v>435</v>
      </c>
      <c r="B1812" s="10" t="s">
        <v>14</v>
      </c>
      <c r="C1812" s="10" t="s">
        <v>15</v>
      </c>
      <c r="D1812" s="10" t="s">
        <v>37</v>
      </c>
      <c r="E1812" s="11" t="str">
        <f ca="1">IFERROR(__xludf.DUMMYFUNCTION("FILTER(Colegios!$B$2:$B2419,Colegios!$A$2:$A2419=L1812)"),"14145 SANTA JULIA BILLIART")</f>
        <v>14145 SANTA JULIA BILLIART</v>
      </c>
      <c r="F1812" s="11" t="s">
        <v>17</v>
      </c>
      <c r="G1812" s="10" t="s">
        <v>18</v>
      </c>
      <c r="H1812" s="11" t="s">
        <v>19</v>
      </c>
      <c r="I1812" s="11" t="s">
        <v>113</v>
      </c>
      <c r="J1812" s="12" t="str">
        <f ca="1">IFERROR(__xludf.DUMMYFUNCTION("FILTER('CLASFICACIÓN'!$F$3:$F2419,'CLASFICACIÓN'!$G$3:$G2419=M1812)"),"2023 Y 2024")</f>
        <v>2023 Y 2024</v>
      </c>
      <c r="K1812" s="12" t="s">
        <v>2012</v>
      </c>
      <c r="L1812" s="11" t="s">
        <v>127</v>
      </c>
      <c r="M1812" s="12" t="str">
        <f t="shared" ca="1" si="7"/>
        <v>14145 SANTA JULIA BILLIART6 Primaria</v>
      </c>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4"/>
    </row>
    <row r="1813" spans="1:36" ht="12.5" x14ac:dyDescent="0.25">
      <c r="A1813" s="9">
        <v>436</v>
      </c>
      <c r="B1813" s="10" t="s">
        <v>14</v>
      </c>
      <c r="C1813" s="10" t="s">
        <v>15</v>
      </c>
      <c r="D1813" s="10" t="s">
        <v>37</v>
      </c>
      <c r="E1813" s="11" t="str">
        <f ca="1">IFERROR(__xludf.DUMMYFUNCTION("FILTER(Colegios!$B$2:$B2419,Colegios!$A$2:$A2419=L1813)"),"14145 SANTA JULIA BILLIART")</f>
        <v>14145 SANTA JULIA BILLIART</v>
      </c>
      <c r="F1813" s="11" t="s">
        <v>17</v>
      </c>
      <c r="G1813" s="10" t="s">
        <v>24</v>
      </c>
      <c r="H1813" s="11" t="s">
        <v>23</v>
      </c>
      <c r="I1813" s="11" t="s">
        <v>113</v>
      </c>
      <c r="J1813" s="12" t="str">
        <f ca="1">IFERROR(__xludf.DUMMYFUNCTION("FILTER('CLASFICACIÓN'!$F$3:$F2419,'CLASFICACIÓN'!$G$3:$G2419=M1813)"),"2023 Y 2024")</f>
        <v>2023 Y 2024</v>
      </c>
      <c r="K1813" s="12" t="s">
        <v>2012</v>
      </c>
      <c r="L1813" s="11" t="s">
        <v>127</v>
      </c>
      <c r="M1813" s="12" t="str">
        <f t="shared" ca="1" si="7"/>
        <v>14145 SANTA JULIA BILLIART6 Primaria</v>
      </c>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4"/>
    </row>
    <row r="1814" spans="1:36" ht="12.5" x14ac:dyDescent="0.25">
      <c r="A1814" s="9">
        <v>437</v>
      </c>
      <c r="B1814" s="10" t="s">
        <v>14</v>
      </c>
      <c r="C1814" s="10" t="s">
        <v>15</v>
      </c>
      <c r="D1814" s="10" t="s">
        <v>37</v>
      </c>
      <c r="E1814" s="11" t="str">
        <f ca="1">IFERROR(__xludf.DUMMYFUNCTION("FILTER(Colegios!$B$2:$B2419,Colegios!$A$2:$A2419=L1814)"),"14145 SANTA JULIA BILLIART")</f>
        <v>14145 SANTA JULIA BILLIART</v>
      </c>
      <c r="F1814" s="11" t="s">
        <v>17</v>
      </c>
      <c r="G1814" s="10" t="s">
        <v>18</v>
      </c>
      <c r="H1814" s="11" t="s">
        <v>23</v>
      </c>
      <c r="I1814" s="11" t="s">
        <v>113</v>
      </c>
      <c r="J1814" s="12" t="str">
        <f ca="1">IFERROR(__xludf.DUMMYFUNCTION("FILTER('CLASFICACIÓN'!$F$3:$F2419,'CLASFICACIÓN'!$G$3:$G2419=M1814)"),"2023 Y 2024")</f>
        <v>2023 Y 2024</v>
      </c>
      <c r="K1814" s="12" t="s">
        <v>2012</v>
      </c>
      <c r="L1814" s="11" t="s">
        <v>127</v>
      </c>
      <c r="M1814" s="12" t="str">
        <f t="shared" ca="1" si="7"/>
        <v>14145 SANTA JULIA BILLIART6 Primaria</v>
      </c>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4"/>
    </row>
    <row r="1815" spans="1:36" ht="12.5" x14ac:dyDescent="0.25">
      <c r="A1815" s="9">
        <v>438</v>
      </c>
      <c r="B1815" s="10" t="s">
        <v>14</v>
      </c>
      <c r="C1815" s="10" t="s">
        <v>15</v>
      </c>
      <c r="D1815" s="10" t="s">
        <v>37</v>
      </c>
      <c r="E1815" s="11" t="str">
        <f ca="1">IFERROR(__xludf.DUMMYFUNCTION("FILTER(Colegios!$B$2:$B2419,Colegios!$A$2:$A2419=L1815)"),"14145 SANTA JULIA BILLIART")</f>
        <v>14145 SANTA JULIA BILLIART</v>
      </c>
      <c r="F1815" s="11" t="s">
        <v>17</v>
      </c>
      <c r="G1815" s="10" t="s">
        <v>18</v>
      </c>
      <c r="H1815" s="11" t="s">
        <v>19</v>
      </c>
      <c r="I1815" s="11" t="s">
        <v>113</v>
      </c>
      <c r="J1815" s="12" t="str">
        <f ca="1">IFERROR(__xludf.DUMMYFUNCTION("FILTER('CLASFICACIÓN'!$F$3:$F2419,'CLASFICACIÓN'!$G$3:$G2419=M1815)"),"2023 Y 2024")</f>
        <v>2023 Y 2024</v>
      </c>
      <c r="K1815" s="12" t="s">
        <v>2012</v>
      </c>
      <c r="L1815" s="11" t="s">
        <v>127</v>
      </c>
      <c r="M1815" s="12" t="str">
        <f t="shared" ca="1" si="7"/>
        <v>14145 SANTA JULIA BILLIART6 Primaria</v>
      </c>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4"/>
    </row>
    <row r="1816" spans="1:36" ht="12.5" x14ac:dyDescent="0.25">
      <c r="A1816" s="9">
        <v>439</v>
      </c>
      <c r="B1816" s="10" t="s">
        <v>14</v>
      </c>
      <c r="C1816" s="10" t="s">
        <v>15</v>
      </c>
      <c r="D1816" s="10" t="s">
        <v>37</v>
      </c>
      <c r="E1816" s="11" t="str">
        <f ca="1">IFERROR(__xludf.DUMMYFUNCTION("FILTER(Colegios!$B$2:$B2419,Colegios!$A$2:$A2419=L1816)"),"14145 SANTA JULIA BILLIART")</f>
        <v>14145 SANTA JULIA BILLIART</v>
      </c>
      <c r="F1816" s="11" t="s">
        <v>17</v>
      </c>
      <c r="G1816" s="10" t="s">
        <v>24</v>
      </c>
      <c r="H1816" s="11" t="s">
        <v>19</v>
      </c>
      <c r="I1816" s="11" t="s">
        <v>113</v>
      </c>
      <c r="J1816" s="12" t="str">
        <f ca="1">IFERROR(__xludf.DUMMYFUNCTION("FILTER('CLASFICACIÓN'!$F$3:$F2419,'CLASFICACIÓN'!$G$3:$G2419=M1816)"),"2023 Y 2024")</f>
        <v>2023 Y 2024</v>
      </c>
      <c r="K1816" s="12" t="s">
        <v>2012</v>
      </c>
      <c r="L1816" s="11" t="s">
        <v>127</v>
      </c>
      <c r="M1816" s="12" t="str">
        <f t="shared" ca="1" si="7"/>
        <v>14145 SANTA JULIA BILLIART6 Primaria</v>
      </c>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4"/>
    </row>
    <row r="1817" spans="1:36" ht="12.5" x14ac:dyDescent="0.25">
      <c r="A1817" s="9">
        <v>440</v>
      </c>
      <c r="B1817" s="10" t="s">
        <v>14</v>
      </c>
      <c r="C1817" s="10" t="s">
        <v>15</v>
      </c>
      <c r="D1817" s="10" t="s">
        <v>37</v>
      </c>
      <c r="E1817" s="11" t="str">
        <f ca="1">IFERROR(__xludf.DUMMYFUNCTION("FILTER(Colegios!$B$2:$B2419,Colegios!$A$2:$A2419=L1817)"),"14145 SANTA JULIA BILLIART")</f>
        <v>14145 SANTA JULIA BILLIART</v>
      </c>
      <c r="F1817" s="11" t="s">
        <v>17</v>
      </c>
      <c r="G1817" s="10" t="s">
        <v>18</v>
      </c>
      <c r="H1817" s="11" t="s">
        <v>19</v>
      </c>
      <c r="I1817" s="11" t="s">
        <v>113</v>
      </c>
      <c r="J1817" s="12" t="str">
        <f ca="1">IFERROR(__xludf.DUMMYFUNCTION("FILTER('CLASFICACIÓN'!$F$3:$F2419,'CLASFICACIÓN'!$G$3:$G2419=M1817)"),"2023 Y 2024")</f>
        <v>2023 Y 2024</v>
      </c>
      <c r="K1817" s="12" t="s">
        <v>2012</v>
      </c>
      <c r="L1817" s="11" t="s">
        <v>127</v>
      </c>
      <c r="M1817" s="12" t="str">
        <f t="shared" ca="1" si="7"/>
        <v>14145 SANTA JULIA BILLIART6 Primaria</v>
      </c>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4"/>
    </row>
    <row r="1818" spans="1:36" ht="12.5" x14ac:dyDescent="0.25">
      <c r="A1818" s="9">
        <v>441</v>
      </c>
      <c r="B1818" s="10" t="s">
        <v>14</v>
      </c>
      <c r="C1818" s="10" t="s">
        <v>15</v>
      </c>
      <c r="D1818" s="10" t="s">
        <v>37</v>
      </c>
      <c r="E1818" s="11" t="str">
        <f ca="1">IFERROR(__xludf.DUMMYFUNCTION("FILTER(Colegios!$B$2:$B2419,Colegios!$A$2:$A2419=L1818)"),"14145 SANTA JULIA BILLIART")</f>
        <v>14145 SANTA JULIA BILLIART</v>
      </c>
      <c r="F1818" s="11" t="s">
        <v>17</v>
      </c>
      <c r="G1818" s="10" t="s">
        <v>18</v>
      </c>
      <c r="H1818" s="11" t="s">
        <v>23</v>
      </c>
      <c r="I1818" s="11" t="s">
        <v>113</v>
      </c>
      <c r="J1818" s="12" t="str">
        <f ca="1">IFERROR(__xludf.DUMMYFUNCTION("FILTER('CLASFICACIÓN'!$F$3:$F2419,'CLASFICACIÓN'!$G$3:$G2419=M1818)"),"2023 Y 2024")</f>
        <v>2023 Y 2024</v>
      </c>
      <c r="K1818" s="12" t="s">
        <v>2012</v>
      </c>
      <c r="L1818" s="11" t="s">
        <v>127</v>
      </c>
      <c r="M1818" s="12" t="str">
        <f t="shared" ca="1" si="7"/>
        <v>14145 SANTA JULIA BILLIART6 Primaria</v>
      </c>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4"/>
    </row>
    <row r="1819" spans="1:36" ht="12.5" x14ac:dyDescent="0.25">
      <c r="A1819" s="9">
        <v>442</v>
      </c>
      <c r="B1819" s="10" t="s">
        <v>14</v>
      </c>
      <c r="C1819" s="10" t="s">
        <v>15</v>
      </c>
      <c r="D1819" s="10" t="s">
        <v>37</v>
      </c>
      <c r="E1819" s="11" t="str">
        <f ca="1">IFERROR(__xludf.DUMMYFUNCTION("FILTER(Colegios!$B$2:$B2419,Colegios!$A$2:$A2419=L1819)"),"14145 SANTA JULIA BILLIART")</f>
        <v>14145 SANTA JULIA BILLIART</v>
      </c>
      <c r="F1819" s="11" t="s">
        <v>17</v>
      </c>
      <c r="G1819" s="10" t="s">
        <v>18</v>
      </c>
      <c r="H1819" s="11" t="s">
        <v>23</v>
      </c>
      <c r="I1819" s="11" t="s">
        <v>113</v>
      </c>
      <c r="J1819" s="12" t="str">
        <f ca="1">IFERROR(__xludf.DUMMYFUNCTION("FILTER('CLASFICACIÓN'!$F$3:$F2419,'CLASFICACIÓN'!$G$3:$G2419=M1819)"),"2023 Y 2024")</f>
        <v>2023 Y 2024</v>
      </c>
      <c r="K1819" s="12" t="s">
        <v>2012</v>
      </c>
      <c r="L1819" s="11" t="s">
        <v>127</v>
      </c>
      <c r="M1819" s="12" t="str">
        <f t="shared" ca="1" si="7"/>
        <v>14145 SANTA JULIA BILLIART6 Primaria</v>
      </c>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4"/>
    </row>
    <row r="1820" spans="1:36" ht="12.5" x14ac:dyDescent="0.25">
      <c r="A1820" s="9">
        <v>443</v>
      </c>
      <c r="B1820" s="10" t="s">
        <v>14</v>
      </c>
      <c r="C1820" s="10" t="s">
        <v>15</v>
      </c>
      <c r="D1820" s="10" t="s">
        <v>37</v>
      </c>
      <c r="E1820" s="11" t="str">
        <f ca="1">IFERROR(__xludf.DUMMYFUNCTION("FILTER(Colegios!$B$2:$B2419,Colegios!$A$2:$A2419=L1820)"),"14145 SANTA JULIA BILLIART")</f>
        <v>14145 SANTA JULIA BILLIART</v>
      </c>
      <c r="F1820" s="11" t="s">
        <v>17</v>
      </c>
      <c r="G1820" s="10" t="s">
        <v>24</v>
      </c>
      <c r="H1820" s="11" t="s">
        <v>23</v>
      </c>
      <c r="I1820" s="11" t="s">
        <v>113</v>
      </c>
      <c r="J1820" s="12" t="str">
        <f ca="1">IFERROR(__xludf.DUMMYFUNCTION("FILTER('CLASFICACIÓN'!$F$3:$F2419,'CLASFICACIÓN'!$G$3:$G2419=M1820)"),"2023 Y 2024")</f>
        <v>2023 Y 2024</v>
      </c>
      <c r="K1820" s="12" t="s">
        <v>2012</v>
      </c>
      <c r="L1820" s="11" t="s">
        <v>127</v>
      </c>
      <c r="M1820" s="12" t="str">
        <f t="shared" ca="1" si="7"/>
        <v>14145 SANTA JULIA BILLIART6 Primaria</v>
      </c>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4"/>
    </row>
    <row r="1821" spans="1:36" ht="12.5" x14ac:dyDescent="0.25">
      <c r="A1821" s="9">
        <v>444</v>
      </c>
      <c r="B1821" s="10" t="s">
        <v>14</v>
      </c>
      <c r="C1821" s="10" t="s">
        <v>15</v>
      </c>
      <c r="D1821" s="10" t="s">
        <v>37</v>
      </c>
      <c r="E1821" s="11" t="str">
        <f ca="1">IFERROR(__xludf.DUMMYFUNCTION("FILTER(Colegios!$B$2:$B2419,Colegios!$A$2:$A2419=L1821)"),"14145 SANTA JULIA BILLIART")</f>
        <v>14145 SANTA JULIA BILLIART</v>
      </c>
      <c r="F1821" s="11" t="s">
        <v>17</v>
      </c>
      <c r="G1821" s="10" t="s">
        <v>24</v>
      </c>
      <c r="H1821" s="11" t="s">
        <v>23</v>
      </c>
      <c r="I1821" s="11" t="s">
        <v>113</v>
      </c>
      <c r="J1821" s="12" t="str">
        <f ca="1">IFERROR(__xludf.DUMMYFUNCTION("FILTER('CLASFICACIÓN'!$F$3:$F2419,'CLASFICACIÓN'!$G$3:$G2419=M1821)"),"2023 Y 2024")</f>
        <v>2023 Y 2024</v>
      </c>
      <c r="K1821" s="12" t="s">
        <v>2012</v>
      </c>
      <c r="L1821" s="11" t="s">
        <v>127</v>
      </c>
      <c r="M1821" s="12" t="str">
        <f t="shared" ca="1" si="7"/>
        <v>14145 SANTA JULIA BILLIART6 Primaria</v>
      </c>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4"/>
    </row>
    <row r="1822" spans="1:36" ht="12.5" x14ac:dyDescent="0.25">
      <c r="A1822" s="9">
        <v>445</v>
      </c>
      <c r="B1822" s="10" t="s">
        <v>14</v>
      </c>
      <c r="C1822" s="10" t="s">
        <v>15</v>
      </c>
      <c r="D1822" s="10" t="s">
        <v>37</v>
      </c>
      <c r="E1822" s="11" t="str">
        <f ca="1">IFERROR(__xludf.DUMMYFUNCTION("FILTER(Colegios!$B$2:$B2419,Colegios!$A$2:$A2419=L1822)"),"14145 SANTA JULIA BILLIART")</f>
        <v>14145 SANTA JULIA BILLIART</v>
      </c>
      <c r="F1822" s="11" t="s">
        <v>17</v>
      </c>
      <c r="G1822" s="10" t="s">
        <v>18</v>
      </c>
      <c r="H1822" s="11" t="s">
        <v>19</v>
      </c>
      <c r="I1822" s="11" t="s">
        <v>113</v>
      </c>
      <c r="J1822" s="12" t="str">
        <f ca="1">IFERROR(__xludf.DUMMYFUNCTION("FILTER('CLASFICACIÓN'!$F$3:$F2419,'CLASFICACIÓN'!$G$3:$G2419=M1822)"),"2023 Y 2024")</f>
        <v>2023 Y 2024</v>
      </c>
      <c r="K1822" s="12" t="s">
        <v>2012</v>
      </c>
      <c r="L1822" s="11" t="s">
        <v>127</v>
      </c>
      <c r="M1822" s="12" t="str">
        <f t="shared" ca="1" si="7"/>
        <v>14145 SANTA JULIA BILLIART6 Primaria</v>
      </c>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4"/>
    </row>
    <row r="1823" spans="1:36" ht="12.5" x14ac:dyDescent="0.25">
      <c r="A1823" s="9">
        <v>446</v>
      </c>
      <c r="B1823" s="10" t="s">
        <v>14</v>
      </c>
      <c r="C1823" s="10" t="s">
        <v>15</v>
      </c>
      <c r="D1823" s="10" t="s">
        <v>37</v>
      </c>
      <c r="E1823" s="11" t="str">
        <f ca="1">IFERROR(__xludf.DUMMYFUNCTION("FILTER(Colegios!$B$2:$B2419,Colegios!$A$2:$A2419=L1823)"),"14145 SANTA JULIA BILLIART")</f>
        <v>14145 SANTA JULIA BILLIART</v>
      </c>
      <c r="F1823" s="11" t="s">
        <v>17</v>
      </c>
      <c r="G1823" s="10" t="s">
        <v>18</v>
      </c>
      <c r="H1823" s="11" t="s">
        <v>23</v>
      </c>
      <c r="I1823" s="11" t="s">
        <v>113</v>
      </c>
      <c r="J1823" s="12" t="str">
        <f ca="1">IFERROR(__xludf.DUMMYFUNCTION("FILTER('CLASFICACIÓN'!$F$3:$F2419,'CLASFICACIÓN'!$G$3:$G2419=M1823)"),"2023 Y 2024")</f>
        <v>2023 Y 2024</v>
      </c>
      <c r="K1823" s="12" t="s">
        <v>2012</v>
      </c>
      <c r="L1823" s="11" t="s">
        <v>127</v>
      </c>
      <c r="M1823" s="12" t="str">
        <f t="shared" ca="1" si="7"/>
        <v>14145 SANTA JULIA BILLIART6 Primaria</v>
      </c>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4"/>
    </row>
    <row r="1824" spans="1:36" ht="12.5" x14ac:dyDescent="0.25">
      <c r="A1824" s="9">
        <v>447</v>
      </c>
      <c r="B1824" s="10" t="s">
        <v>14</v>
      </c>
      <c r="C1824" s="10" t="s">
        <v>15</v>
      </c>
      <c r="D1824" s="10" t="s">
        <v>37</v>
      </c>
      <c r="E1824" s="11" t="str">
        <f ca="1">IFERROR(__xludf.DUMMYFUNCTION("FILTER(Colegios!$B$2:$B2419,Colegios!$A$2:$A2419=L1824)"),"14145 SANTA JULIA BILLIART")</f>
        <v>14145 SANTA JULIA BILLIART</v>
      </c>
      <c r="F1824" s="11" t="s">
        <v>17</v>
      </c>
      <c r="G1824" s="10" t="s">
        <v>18</v>
      </c>
      <c r="H1824" s="11" t="s">
        <v>19</v>
      </c>
      <c r="I1824" s="11" t="s">
        <v>113</v>
      </c>
      <c r="J1824" s="12" t="str">
        <f ca="1">IFERROR(__xludf.DUMMYFUNCTION("FILTER('CLASFICACIÓN'!$F$3:$F2419,'CLASFICACIÓN'!$G$3:$G2419=M1824)"),"2023 Y 2024")</f>
        <v>2023 Y 2024</v>
      </c>
      <c r="K1824" s="12" t="s">
        <v>2012</v>
      </c>
      <c r="L1824" s="11" t="s">
        <v>127</v>
      </c>
      <c r="M1824" s="12" t="str">
        <f t="shared" ca="1" si="7"/>
        <v>14145 SANTA JULIA BILLIART6 Primaria</v>
      </c>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4"/>
    </row>
    <row r="1825" spans="1:36" ht="12.5" x14ac:dyDescent="0.25">
      <c r="A1825" s="9">
        <v>448</v>
      </c>
      <c r="B1825" s="10" t="s">
        <v>14</v>
      </c>
      <c r="C1825" s="10" t="s">
        <v>15</v>
      </c>
      <c r="D1825" s="10" t="s">
        <v>37</v>
      </c>
      <c r="E1825" s="11" t="str">
        <f ca="1">IFERROR(__xludf.DUMMYFUNCTION("FILTER(Colegios!$B$2:$B2419,Colegios!$A$2:$A2419=L1825)"),"14145 SANTA JULIA BILLIART")</f>
        <v>14145 SANTA JULIA BILLIART</v>
      </c>
      <c r="F1825" s="11" t="s">
        <v>17</v>
      </c>
      <c r="G1825" s="10" t="s">
        <v>24</v>
      </c>
      <c r="H1825" s="11" t="s">
        <v>23</v>
      </c>
      <c r="I1825" s="11" t="s">
        <v>113</v>
      </c>
      <c r="J1825" s="12" t="str">
        <f ca="1">IFERROR(__xludf.DUMMYFUNCTION("FILTER('CLASFICACIÓN'!$F$3:$F2419,'CLASFICACIÓN'!$G$3:$G2419=M1825)"),"2023 Y 2024")</f>
        <v>2023 Y 2024</v>
      </c>
      <c r="K1825" s="12" t="s">
        <v>2012</v>
      </c>
      <c r="L1825" s="11" t="s">
        <v>127</v>
      </c>
      <c r="M1825" s="12" t="str">
        <f t="shared" ca="1" si="7"/>
        <v>14145 SANTA JULIA BILLIART6 Primaria</v>
      </c>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4"/>
    </row>
    <row r="1826" spans="1:36" ht="12.5" x14ac:dyDescent="0.25">
      <c r="A1826" s="9">
        <v>449</v>
      </c>
      <c r="B1826" s="10" t="s">
        <v>14</v>
      </c>
      <c r="C1826" s="10" t="s">
        <v>15</v>
      </c>
      <c r="D1826" s="10" t="s">
        <v>37</v>
      </c>
      <c r="E1826" s="11" t="str">
        <f ca="1">IFERROR(__xludf.DUMMYFUNCTION("FILTER(Colegios!$B$2:$B2419,Colegios!$A$2:$A2419=L1826)"),"14145 SANTA JULIA BILLIART")</f>
        <v>14145 SANTA JULIA BILLIART</v>
      </c>
      <c r="F1826" s="11" t="s">
        <v>17</v>
      </c>
      <c r="G1826" s="10" t="s">
        <v>18</v>
      </c>
      <c r="H1826" s="11" t="s">
        <v>23</v>
      </c>
      <c r="I1826" s="11" t="s">
        <v>113</v>
      </c>
      <c r="J1826" s="12" t="str">
        <f ca="1">IFERROR(__xludf.DUMMYFUNCTION("FILTER('CLASFICACIÓN'!$F$3:$F2419,'CLASFICACIÓN'!$G$3:$G2419=M1826)"),"2023 Y 2024")</f>
        <v>2023 Y 2024</v>
      </c>
      <c r="K1826" s="12" t="s">
        <v>2012</v>
      </c>
      <c r="L1826" s="11" t="s">
        <v>127</v>
      </c>
      <c r="M1826" s="12" t="str">
        <f t="shared" ca="1" si="7"/>
        <v>14145 SANTA JULIA BILLIART6 Primaria</v>
      </c>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4"/>
    </row>
    <row r="1827" spans="1:36" ht="12.5" x14ac:dyDescent="0.25">
      <c r="A1827" s="9">
        <v>450</v>
      </c>
      <c r="B1827" s="10" t="s">
        <v>14</v>
      </c>
      <c r="C1827" s="10" t="s">
        <v>15</v>
      </c>
      <c r="D1827" s="10" t="s">
        <v>37</v>
      </c>
      <c r="E1827" s="11" t="str">
        <f ca="1">IFERROR(__xludf.DUMMYFUNCTION("FILTER(Colegios!$B$2:$B2419,Colegios!$A$2:$A2419=L1827)"),"14145 SANTA JULIA BILLIART")</f>
        <v>14145 SANTA JULIA BILLIART</v>
      </c>
      <c r="F1827" s="11" t="s">
        <v>17</v>
      </c>
      <c r="G1827" s="10" t="s">
        <v>24</v>
      </c>
      <c r="H1827" s="11" t="s">
        <v>23</v>
      </c>
      <c r="I1827" s="11" t="s">
        <v>113</v>
      </c>
      <c r="J1827" s="12" t="str">
        <f ca="1">IFERROR(__xludf.DUMMYFUNCTION("FILTER('CLASFICACIÓN'!$F$3:$F2419,'CLASFICACIÓN'!$G$3:$G2419=M1827)"),"2023 Y 2024")</f>
        <v>2023 Y 2024</v>
      </c>
      <c r="K1827" s="12" t="s">
        <v>2012</v>
      </c>
      <c r="L1827" s="11" t="s">
        <v>127</v>
      </c>
      <c r="M1827" s="12" t="str">
        <f t="shared" ca="1" si="7"/>
        <v>14145 SANTA JULIA BILLIART6 Primaria</v>
      </c>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4"/>
    </row>
    <row r="1828" spans="1:36" ht="12.5" x14ac:dyDescent="0.25">
      <c r="A1828" s="9">
        <v>451</v>
      </c>
      <c r="B1828" s="10" t="s">
        <v>14</v>
      </c>
      <c r="C1828" s="10" t="s">
        <v>15</v>
      </c>
      <c r="D1828" s="10" t="s">
        <v>37</v>
      </c>
      <c r="E1828" s="11" t="str">
        <f ca="1">IFERROR(__xludf.DUMMYFUNCTION("FILTER(Colegios!$B$2:$B2419,Colegios!$A$2:$A2419=L1828)"),"14145 SANTA JULIA BILLIART")</f>
        <v>14145 SANTA JULIA BILLIART</v>
      </c>
      <c r="F1828" s="11" t="s">
        <v>17</v>
      </c>
      <c r="G1828" s="10" t="s">
        <v>18</v>
      </c>
      <c r="H1828" s="11" t="s">
        <v>23</v>
      </c>
      <c r="I1828" s="11" t="s">
        <v>113</v>
      </c>
      <c r="J1828" s="12" t="str">
        <f ca="1">IFERROR(__xludf.DUMMYFUNCTION("FILTER('CLASFICACIÓN'!$F$3:$F2419,'CLASFICACIÓN'!$G$3:$G2419=M1828)"),"2023 Y 2024")</f>
        <v>2023 Y 2024</v>
      </c>
      <c r="K1828" s="12" t="s">
        <v>2012</v>
      </c>
      <c r="L1828" s="11" t="s">
        <v>127</v>
      </c>
      <c r="M1828" s="12" t="str">
        <f t="shared" ca="1" si="7"/>
        <v>14145 SANTA JULIA BILLIART6 Primaria</v>
      </c>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4"/>
    </row>
    <row r="1829" spans="1:36" ht="12.5" x14ac:dyDescent="0.25">
      <c r="A1829" s="9">
        <v>452</v>
      </c>
      <c r="B1829" s="10" t="s">
        <v>14</v>
      </c>
      <c r="C1829" s="10" t="s">
        <v>15</v>
      </c>
      <c r="D1829" s="10" t="s">
        <v>37</v>
      </c>
      <c r="E1829" s="11" t="str">
        <f ca="1">IFERROR(__xludf.DUMMYFUNCTION("FILTER(Colegios!$B$2:$B2419,Colegios!$A$2:$A2419=L1829)"),"14145 SANTA JULIA BILLIART")</f>
        <v>14145 SANTA JULIA BILLIART</v>
      </c>
      <c r="F1829" s="11" t="s">
        <v>17</v>
      </c>
      <c r="G1829" s="10" t="s">
        <v>24</v>
      </c>
      <c r="H1829" s="11" t="s">
        <v>25</v>
      </c>
      <c r="I1829" s="11" t="s">
        <v>113</v>
      </c>
      <c r="J1829" s="12" t="str">
        <f ca="1">IFERROR(__xludf.DUMMYFUNCTION("FILTER('CLASFICACIÓN'!$F$3:$F2419,'CLASFICACIÓN'!$G$3:$G2419=M1829)"),"2023 Y 2024")</f>
        <v>2023 Y 2024</v>
      </c>
      <c r="K1829" s="12" t="s">
        <v>2012</v>
      </c>
      <c r="L1829" s="11" t="s">
        <v>127</v>
      </c>
      <c r="M1829" s="12" t="str">
        <f t="shared" ca="1" si="7"/>
        <v>14145 SANTA JULIA BILLIART6 Primaria</v>
      </c>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4"/>
    </row>
    <row r="1830" spans="1:36" ht="12.5" x14ac:dyDescent="0.25">
      <c r="A1830" s="9">
        <v>453</v>
      </c>
      <c r="B1830" s="10" t="s">
        <v>14</v>
      </c>
      <c r="C1830" s="10" t="s">
        <v>15</v>
      </c>
      <c r="D1830" s="10" t="s">
        <v>37</v>
      </c>
      <c r="E1830" s="11" t="str">
        <f ca="1">IFERROR(__xludf.DUMMYFUNCTION("FILTER(Colegios!$B$2:$B2419,Colegios!$A$2:$A2419=L1830)"),"14145 SANTA JULIA BILLIART")</f>
        <v>14145 SANTA JULIA BILLIART</v>
      </c>
      <c r="F1830" s="11" t="s">
        <v>17</v>
      </c>
      <c r="G1830" s="10" t="s">
        <v>18</v>
      </c>
      <c r="H1830" s="11" t="s">
        <v>23</v>
      </c>
      <c r="I1830" s="11" t="s">
        <v>113</v>
      </c>
      <c r="J1830" s="12" t="str">
        <f ca="1">IFERROR(__xludf.DUMMYFUNCTION("FILTER('CLASFICACIÓN'!$F$3:$F2419,'CLASFICACIÓN'!$G$3:$G2419=M1830)"),"2023 Y 2024")</f>
        <v>2023 Y 2024</v>
      </c>
      <c r="K1830" s="12" t="s">
        <v>2012</v>
      </c>
      <c r="L1830" s="11" t="s">
        <v>127</v>
      </c>
      <c r="M1830" s="12" t="str">
        <f t="shared" ca="1" si="7"/>
        <v>14145 SANTA JULIA BILLIART6 Primaria</v>
      </c>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4"/>
    </row>
    <row r="1831" spans="1:36" ht="12.5" x14ac:dyDescent="0.25">
      <c r="A1831" s="9">
        <v>454</v>
      </c>
      <c r="B1831" s="10" t="s">
        <v>14</v>
      </c>
      <c r="C1831" s="10" t="s">
        <v>15</v>
      </c>
      <c r="D1831" s="10" t="s">
        <v>37</v>
      </c>
      <c r="E1831" s="11" t="str">
        <f ca="1">IFERROR(__xludf.DUMMYFUNCTION("FILTER(Colegios!$B$2:$B2419,Colegios!$A$2:$A2419=L1831)"),"14145 SANTA JULIA BILLIART")</f>
        <v>14145 SANTA JULIA BILLIART</v>
      </c>
      <c r="F1831" s="11" t="s">
        <v>17</v>
      </c>
      <c r="G1831" s="10" t="s">
        <v>18</v>
      </c>
      <c r="H1831" s="11" t="s">
        <v>19</v>
      </c>
      <c r="I1831" s="11" t="s">
        <v>113</v>
      </c>
      <c r="J1831" s="12" t="str">
        <f ca="1">IFERROR(__xludf.DUMMYFUNCTION("FILTER('CLASFICACIÓN'!$F$3:$F2419,'CLASFICACIÓN'!$G$3:$G2419=M1831)"),"2023 Y 2024")</f>
        <v>2023 Y 2024</v>
      </c>
      <c r="K1831" s="12" t="s">
        <v>2012</v>
      </c>
      <c r="L1831" s="11" t="s">
        <v>127</v>
      </c>
      <c r="M1831" s="12" t="str">
        <f t="shared" ca="1" si="7"/>
        <v>14145 SANTA JULIA BILLIART6 Primaria</v>
      </c>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4"/>
    </row>
    <row r="1832" spans="1:36" ht="12.5" x14ac:dyDescent="0.25">
      <c r="A1832" s="9">
        <v>455</v>
      </c>
      <c r="B1832" s="10" t="s">
        <v>14</v>
      </c>
      <c r="C1832" s="10" t="s">
        <v>15</v>
      </c>
      <c r="D1832" s="10" t="s">
        <v>37</v>
      </c>
      <c r="E1832" s="11" t="str">
        <f ca="1">IFERROR(__xludf.DUMMYFUNCTION("FILTER(Colegios!$B$2:$B2419,Colegios!$A$2:$A2419=L1832)"),"14145 SANTA JULIA BILLIART")</f>
        <v>14145 SANTA JULIA BILLIART</v>
      </c>
      <c r="F1832" s="11" t="s">
        <v>17</v>
      </c>
      <c r="G1832" s="10" t="s">
        <v>18</v>
      </c>
      <c r="H1832" s="11" t="s">
        <v>19</v>
      </c>
      <c r="I1832" s="11" t="s">
        <v>113</v>
      </c>
      <c r="J1832" s="12" t="str">
        <f ca="1">IFERROR(__xludf.DUMMYFUNCTION("FILTER('CLASFICACIÓN'!$F$3:$F2419,'CLASFICACIÓN'!$G$3:$G2419=M1832)"),"2023 Y 2024")</f>
        <v>2023 Y 2024</v>
      </c>
      <c r="K1832" s="12" t="s">
        <v>2012</v>
      </c>
      <c r="L1832" s="11" t="s">
        <v>127</v>
      </c>
      <c r="M1832" s="12" t="str">
        <f t="shared" ca="1" si="7"/>
        <v>14145 SANTA JULIA BILLIART6 Primaria</v>
      </c>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4"/>
    </row>
    <row r="1833" spans="1:36" ht="12.5" x14ac:dyDescent="0.25">
      <c r="A1833" s="9">
        <v>456</v>
      </c>
      <c r="B1833" s="10" t="s">
        <v>14</v>
      </c>
      <c r="C1833" s="10" t="s">
        <v>15</v>
      </c>
      <c r="D1833" s="10" t="s">
        <v>37</v>
      </c>
      <c r="E1833" s="11" t="str">
        <f ca="1">IFERROR(__xludf.DUMMYFUNCTION("FILTER(Colegios!$B$2:$B2419,Colegios!$A$2:$A2419=L1833)"),"14145 SANTA JULIA BILLIART")</f>
        <v>14145 SANTA JULIA BILLIART</v>
      </c>
      <c r="F1833" s="11" t="s">
        <v>17</v>
      </c>
      <c r="G1833" s="10" t="s">
        <v>18</v>
      </c>
      <c r="H1833" s="11" t="s">
        <v>23</v>
      </c>
      <c r="I1833" s="11" t="s">
        <v>113</v>
      </c>
      <c r="J1833" s="12" t="str">
        <f ca="1">IFERROR(__xludf.DUMMYFUNCTION("FILTER('CLASFICACIÓN'!$F$3:$F2419,'CLASFICACIÓN'!$G$3:$G2419=M1833)"),"2023 Y 2024")</f>
        <v>2023 Y 2024</v>
      </c>
      <c r="K1833" s="12" t="s">
        <v>2012</v>
      </c>
      <c r="L1833" s="11" t="s">
        <v>127</v>
      </c>
      <c r="M1833" s="12" t="str">
        <f t="shared" ca="1" si="7"/>
        <v>14145 SANTA JULIA BILLIART6 Primaria</v>
      </c>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4"/>
    </row>
    <row r="1834" spans="1:36" ht="12.5" x14ac:dyDescent="0.25">
      <c r="A1834" s="9">
        <v>457</v>
      </c>
      <c r="B1834" s="10" t="s">
        <v>14</v>
      </c>
      <c r="C1834" s="10" t="s">
        <v>15</v>
      </c>
      <c r="D1834" s="10" t="s">
        <v>37</v>
      </c>
      <c r="E1834" s="11" t="str">
        <f ca="1">IFERROR(__xludf.DUMMYFUNCTION("FILTER(Colegios!$B$2:$B2419,Colegios!$A$2:$A2419=L1834)"),"14145 SANTA JULIA BILLIART")</f>
        <v>14145 SANTA JULIA BILLIART</v>
      </c>
      <c r="F1834" s="11" t="s">
        <v>17</v>
      </c>
      <c r="G1834" s="10" t="s">
        <v>18</v>
      </c>
      <c r="H1834" s="11" t="s">
        <v>19</v>
      </c>
      <c r="I1834" s="11" t="s">
        <v>113</v>
      </c>
      <c r="J1834" s="12" t="str">
        <f ca="1">IFERROR(__xludf.DUMMYFUNCTION("FILTER('CLASFICACIÓN'!$F$3:$F2419,'CLASFICACIÓN'!$G$3:$G2419=M1834)"),"2023 Y 2024")</f>
        <v>2023 Y 2024</v>
      </c>
      <c r="K1834" s="12" t="s">
        <v>2012</v>
      </c>
      <c r="L1834" s="11" t="s">
        <v>127</v>
      </c>
      <c r="M1834" s="12" t="str">
        <f t="shared" ca="1" si="7"/>
        <v>14145 SANTA JULIA BILLIART6 Primaria</v>
      </c>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4"/>
    </row>
    <row r="1835" spans="1:36" ht="12.5" x14ac:dyDescent="0.25">
      <c r="A1835" s="9">
        <v>458</v>
      </c>
      <c r="B1835" s="10" t="s">
        <v>14</v>
      </c>
      <c r="C1835" s="10" t="s">
        <v>15</v>
      </c>
      <c r="D1835" s="10" t="s">
        <v>37</v>
      </c>
      <c r="E1835" s="11" t="str">
        <f ca="1">IFERROR(__xludf.DUMMYFUNCTION("FILTER(Colegios!$B$2:$B2419,Colegios!$A$2:$A2419=L1835)"),"14145 SANTA JULIA BILLIART")</f>
        <v>14145 SANTA JULIA BILLIART</v>
      </c>
      <c r="F1835" s="11" t="s">
        <v>17</v>
      </c>
      <c r="G1835" s="10" t="s">
        <v>24</v>
      </c>
      <c r="H1835" s="11" t="s">
        <v>23</v>
      </c>
      <c r="I1835" s="11" t="s">
        <v>113</v>
      </c>
      <c r="J1835" s="12" t="str">
        <f ca="1">IFERROR(__xludf.DUMMYFUNCTION("FILTER('CLASFICACIÓN'!$F$3:$F2419,'CLASFICACIÓN'!$G$3:$G2419=M1835)"),"2023 Y 2024")</f>
        <v>2023 Y 2024</v>
      </c>
      <c r="K1835" s="12" t="s">
        <v>2012</v>
      </c>
      <c r="L1835" s="11" t="s">
        <v>127</v>
      </c>
      <c r="M1835" s="12" t="str">
        <f t="shared" ca="1" si="7"/>
        <v>14145 SANTA JULIA BILLIART6 Primaria</v>
      </c>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4"/>
    </row>
    <row r="1836" spans="1:36" ht="12.5" x14ac:dyDescent="0.25">
      <c r="A1836" s="9">
        <v>459</v>
      </c>
      <c r="B1836" s="10" t="s">
        <v>14</v>
      </c>
      <c r="C1836" s="10" t="s">
        <v>15</v>
      </c>
      <c r="D1836" s="10" t="s">
        <v>37</v>
      </c>
      <c r="E1836" s="11" t="str">
        <f ca="1">IFERROR(__xludf.DUMMYFUNCTION("FILTER(Colegios!$B$2:$B2419,Colegios!$A$2:$A2419=L1836)"),"14145 SANTA JULIA BILLIART")</f>
        <v>14145 SANTA JULIA BILLIART</v>
      </c>
      <c r="F1836" s="11" t="s">
        <v>17</v>
      </c>
      <c r="G1836" s="10" t="s">
        <v>18</v>
      </c>
      <c r="H1836" s="11" t="s">
        <v>23</v>
      </c>
      <c r="I1836" s="11" t="s">
        <v>113</v>
      </c>
      <c r="J1836" s="12" t="str">
        <f ca="1">IFERROR(__xludf.DUMMYFUNCTION("FILTER('CLASFICACIÓN'!$F$3:$F2419,'CLASFICACIÓN'!$G$3:$G2419=M1836)"),"2023 Y 2024")</f>
        <v>2023 Y 2024</v>
      </c>
      <c r="K1836" s="12" t="s">
        <v>2012</v>
      </c>
      <c r="L1836" s="11" t="s">
        <v>127</v>
      </c>
      <c r="M1836" s="12" t="str">
        <f t="shared" ca="1" si="7"/>
        <v>14145 SANTA JULIA BILLIART6 Primaria</v>
      </c>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4"/>
    </row>
    <row r="1837" spans="1:36" ht="12.5" x14ac:dyDescent="0.25">
      <c r="A1837" s="9">
        <v>460</v>
      </c>
      <c r="B1837" s="10" t="s">
        <v>14</v>
      </c>
      <c r="C1837" s="10" t="s">
        <v>15</v>
      </c>
      <c r="D1837" s="10" t="s">
        <v>45</v>
      </c>
      <c r="E1837" s="11" t="str">
        <f ca="1">IFERROR(__xludf.DUMMYFUNCTION("FILTER(Colegios!$B$2:$B2419,Colegios!$A$2:$A2419=L1837)"),"15478")</f>
        <v>15478</v>
      </c>
      <c r="F1837" s="11" t="s">
        <v>17</v>
      </c>
      <c r="G1837" s="10" t="s">
        <v>18</v>
      </c>
      <c r="H1837" s="11" t="s">
        <v>25</v>
      </c>
      <c r="I1837" s="11" t="s">
        <v>113</v>
      </c>
      <c r="J1837" s="12" t="str">
        <f ca="1">IFERROR(__xludf.DUMMYFUNCTION("FILTER('CLASFICACIÓN'!$F$3:$F2419,'CLASFICACIÓN'!$G$3:$G2419=M1837)"),"2023 Y 2024")</f>
        <v>2023 Y 2024</v>
      </c>
      <c r="K1837" s="12" t="s">
        <v>2011</v>
      </c>
      <c r="L1837" s="11" t="s">
        <v>128</v>
      </c>
      <c r="M1837" s="12" t="str">
        <f t="shared" ca="1" si="7"/>
        <v>154782 Primaria</v>
      </c>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4"/>
    </row>
    <row r="1838" spans="1:36" ht="12.5" x14ac:dyDescent="0.25">
      <c r="A1838" s="9">
        <v>461</v>
      </c>
      <c r="B1838" s="10" t="s">
        <v>14</v>
      </c>
      <c r="C1838" s="10" t="s">
        <v>15</v>
      </c>
      <c r="D1838" s="10" t="s">
        <v>16</v>
      </c>
      <c r="E1838" s="11" t="str">
        <f ca="1">IFERROR(__xludf.DUMMYFUNCTION("FILTER(Colegios!$B$2:$B2419,Colegios!$A$2:$A2419=L1838)"),"15478")</f>
        <v>15478</v>
      </c>
      <c r="F1838" s="11" t="s">
        <v>17</v>
      </c>
      <c r="G1838" s="10" t="s">
        <v>18</v>
      </c>
      <c r="H1838" s="11" t="s">
        <v>23</v>
      </c>
      <c r="I1838" s="11" t="s">
        <v>113</v>
      </c>
      <c r="J1838" s="12" t="str">
        <f ca="1">IFERROR(__xludf.DUMMYFUNCTION("FILTER('CLASFICACIÓN'!$F$3:$F2419,'CLASFICACIÓN'!$G$3:$G2419=M1838)"),"2023 Y 2024")</f>
        <v>2023 Y 2024</v>
      </c>
      <c r="K1838" s="12" t="s">
        <v>2011</v>
      </c>
      <c r="L1838" s="11" t="s">
        <v>128</v>
      </c>
      <c r="M1838" s="12" t="str">
        <f t="shared" ca="1" si="7"/>
        <v>154784 Primaria</v>
      </c>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4"/>
    </row>
    <row r="1839" spans="1:36" ht="12.5" x14ac:dyDescent="0.25">
      <c r="A1839" s="9">
        <v>462</v>
      </c>
      <c r="B1839" s="10" t="s">
        <v>14</v>
      </c>
      <c r="C1839" s="10" t="s">
        <v>15</v>
      </c>
      <c r="D1839" s="10" t="s">
        <v>37</v>
      </c>
      <c r="E1839" s="11" t="str">
        <f ca="1">IFERROR(__xludf.DUMMYFUNCTION("FILTER(Colegios!$B$2:$B2419,Colegios!$A$2:$A2419=L1839)"),"15478")</f>
        <v>15478</v>
      </c>
      <c r="F1839" s="11" t="s">
        <v>17</v>
      </c>
      <c r="G1839" s="10" t="s">
        <v>24</v>
      </c>
      <c r="H1839" s="11" t="s">
        <v>23</v>
      </c>
      <c r="I1839" s="11" t="s">
        <v>113</v>
      </c>
      <c r="J1839" s="12" t="str">
        <f ca="1">IFERROR(__xludf.DUMMYFUNCTION("FILTER('CLASFICACIÓN'!$F$3:$F2419,'CLASFICACIÓN'!$G$3:$G2419=M1839)"),"2023 Y 2024")</f>
        <v>2023 Y 2024</v>
      </c>
      <c r="K1839" s="12" t="s">
        <v>2011</v>
      </c>
      <c r="L1839" s="11" t="s">
        <v>128</v>
      </c>
      <c r="M1839" s="12" t="str">
        <f t="shared" ca="1" si="7"/>
        <v>154786 Primaria</v>
      </c>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4"/>
    </row>
    <row r="1840" spans="1:36" ht="12.5" x14ac:dyDescent="0.25">
      <c r="A1840" s="9">
        <v>463</v>
      </c>
      <c r="B1840" s="10" t="s">
        <v>14</v>
      </c>
      <c r="C1840" s="10" t="s">
        <v>15</v>
      </c>
      <c r="D1840" s="10" t="s">
        <v>37</v>
      </c>
      <c r="E1840" s="11" t="str">
        <f ca="1">IFERROR(__xludf.DUMMYFUNCTION("FILTER(Colegios!$B$2:$B2419,Colegios!$A$2:$A2419=L1840)"),"15478")</f>
        <v>15478</v>
      </c>
      <c r="F1840" s="11" t="s">
        <v>17</v>
      </c>
      <c r="G1840" s="10" t="s">
        <v>18</v>
      </c>
      <c r="H1840" s="11" t="s">
        <v>19</v>
      </c>
      <c r="I1840" s="11" t="s">
        <v>113</v>
      </c>
      <c r="J1840" s="12" t="str">
        <f ca="1">IFERROR(__xludf.DUMMYFUNCTION("FILTER('CLASFICACIÓN'!$F$3:$F2419,'CLASFICACIÓN'!$G$3:$G2419=M1840)"),"2023 Y 2024")</f>
        <v>2023 Y 2024</v>
      </c>
      <c r="K1840" s="12" t="s">
        <v>2011</v>
      </c>
      <c r="L1840" s="11" t="s">
        <v>128</v>
      </c>
      <c r="M1840" s="12" t="str">
        <f t="shared" ca="1" si="7"/>
        <v>154786 Primaria</v>
      </c>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4"/>
    </row>
    <row r="1841" spans="1:36" ht="12.5" x14ac:dyDescent="0.25">
      <c r="A1841" s="9">
        <v>464</v>
      </c>
      <c r="B1841" s="10" t="s">
        <v>14</v>
      </c>
      <c r="C1841" s="10" t="s">
        <v>15</v>
      </c>
      <c r="D1841" s="10" t="s">
        <v>37</v>
      </c>
      <c r="E1841" s="11" t="str">
        <f ca="1">IFERROR(__xludf.DUMMYFUNCTION("FILTER(Colegios!$B$2:$B2419,Colegios!$A$2:$A2419=L1841)"),"20104")</f>
        <v>20104</v>
      </c>
      <c r="F1841" s="11" t="s">
        <v>17</v>
      </c>
      <c r="G1841" s="10" t="s">
        <v>18</v>
      </c>
      <c r="H1841" s="11" t="s">
        <v>23</v>
      </c>
      <c r="I1841" s="11" t="s">
        <v>113</v>
      </c>
      <c r="J1841" s="12" t="str">
        <f ca="1">IFERROR(__xludf.DUMMYFUNCTION("FILTER('CLASFICACIÓN'!$F$3:$F2419,'CLASFICACIÓN'!$G$3:$G2419=M1841)"),"2023 Y 2024")</f>
        <v>2023 Y 2024</v>
      </c>
      <c r="K1841" s="12" t="s">
        <v>2011</v>
      </c>
      <c r="L1841" s="11" t="s">
        <v>129</v>
      </c>
      <c r="M1841" s="12" t="str">
        <f t="shared" ca="1" si="7"/>
        <v>201046 Primaria</v>
      </c>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4"/>
    </row>
    <row r="1842" spans="1:36" ht="12.5" x14ac:dyDescent="0.25">
      <c r="A1842" s="9">
        <v>465</v>
      </c>
      <c r="B1842" s="10" t="s">
        <v>14</v>
      </c>
      <c r="C1842" s="10" t="s">
        <v>15</v>
      </c>
      <c r="D1842" s="10" t="s">
        <v>37</v>
      </c>
      <c r="E1842" s="11" t="str">
        <f ca="1">IFERROR(__xludf.DUMMYFUNCTION("FILTER(Colegios!$B$2:$B2419,Colegios!$A$2:$A2419=L1842)"),"20104")</f>
        <v>20104</v>
      </c>
      <c r="F1842" s="11" t="s">
        <v>17</v>
      </c>
      <c r="G1842" s="10" t="s">
        <v>18</v>
      </c>
      <c r="H1842" s="11" t="s">
        <v>19</v>
      </c>
      <c r="I1842" s="11" t="s">
        <v>113</v>
      </c>
      <c r="J1842" s="12" t="str">
        <f ca="1">IFERROR(__xludf.DUMMYFUNCTION("FILTER('CLASFICACIÓN'!$F$3:$F2419,'CLASFICACIÓN'!$G$3:$G2419=M1842)"),"2023 Y 2024")</f>
        <v>2023 Y 2024</v>
      </c>
      <c r="K1842" s="12" t="s">
        <v>2011</v>
      </c>
      <c r="L1842" s="11" t="s">
        <v>129</v>
      </c>
      <c r="M1842" s="12" t="str">
        <f t="shared" ca="1" si="7"/>
        <v>201046 Primaria</v>
      </c>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4"/>
    </row>
    <row r="1843" spans="1:36" ht="12.5" x14ac:dyDescent="0.25">
      <c r="A1843" s="9">
        <v>466</v>
      </c>
      <c r="B1843" s="10" t="s">
        <v>14</v>
      </c>
      <c r="C1843" s="10" t="s">
        <v>15</v>
      </c>
      <c r="D1843" s="10" t="s">
        <v>37</v>
      </c>
      <c r="E1843" s="11" t="str">
        <f ca="1">IFERROR(__xludf.DUMMYFUNCTION("FILTER(Colegios!$B$2:$B2419,Colegios!$A$2:$A2419=L1843)"),"20104")</f>
        <v>20104</v>
      </c>
      <c r="F1843" s="11" t="s">
        <v>17</v>
      </c>
      <c r="G1843" s="10" t="s">
        <v>18</v>
      </c>
      <c r="H1843" s="11" t="s">
        <v>23</v>
      </c>
      <c r="I1843" s="11" t="s">
        <v>113</v>
      </c>
      <c r="J1843" s="12" t="str">
        <f ca="1">IFERROR(__xludf.DUMMYFUNCTION("FILTER('CLASFICACIÓN'!$F$3:$F2419,'CLASFICACIÓN'!$G$3:$G2419=M1843)"),"2023 Y 2024")</f>
        <v>2023 Y 2024</v>
      </c>
      <c r="K1843" s="12" t="s">
        <v>2011</v>
      </c>
      <c r="L1843" s="11" t="s">
        <v>129</v>
      </c>
      <c r="M1843" s="12" t="str">
        <f t="shared" ca="1" si="7"/>
        <v>201046 Primaria</v>
      </c>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4"/>
    </row>
    <row r="1844" spans="1:36" ht="12.5" x14ac:dyDescent="0.25">
      <c r="A1844" s="9">
        <v>467</v>
      </c>
      <c r="B1844" s="10" t="s">
        <v>14</v>
      </c>
      <c r="C1844" s="10" t="s">
        <v>15</v>
      </c>
      <c r="D1844" s="10" t="s">
        <v>37</v>
      </c>
      <c r="E1844" s="11" t="str">
        <f ca="1">IFERROR(__xludf.DUMMYFUNCTION("FILTER(Colegios!$B$2:$B2419,Colegios!$A$2:$A2419=L1844)"),"20104")</f>
        <v>20104</v>
      </c>
      <c r="F1844" s="11" t="s">
        <v>17</v>
      </c>
      <c r="G1844" s="10" t="s">
        <v>18</v>
      </c>
      <c r="H1844" s="11" t="s">
        <v>19</v>
      </c>
      <c r="I1844" s="11" t="s">
        <v>113</v>
      </c>
      <c r="J1844" s="12" t="str">
        <f ca="1">IFERROR(__xludf.DUMMYFUNCTION("FILTER('CLASFICACIÓN'!$F$3:$F2419,'CLASFICACIÓN'!$G$3:$G2419=M1844)"),"2023 Y 2024")</f>
        <v>2023 Y 2024</v>
      </c>
      <c r="K1844" s="12" t="s">
        <v>2011</v>
      </c>
      <c r="L1844" s="11" t="s">
        <v>129</v>
      </c>
      <c r="M1844" s="12" t="str">
        <f t="shared" ca="1" si="7"/>
        <v>201046 Primaria</v>
      </c>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4"/>
    </row>
    <row r="1845" spans="1:36" ht="12.5" x14ac:dyDescent="0.25">
      <c r="A1845" s="9">
        <v>468</v>
      </c>
      <c r="B1845" s="10" t="s">
        <v>14</v>
      </c>
      <c r="C1845" s="10" t="s">
        <v>15</v>
      </c>
      <c r="D1845" s="10" t="s">
        <v>37</v>
      </c>
      <c r="E1845" s="11" t="str">
        <f ca="1">IFERROR(__xludf.DUMMYFUNCTION("FILTER(Colegios!$B$2:$B2419,Colegios!$A$2:$A2419=L1845)"),"20104")</f>
        <v>20104</v>
      </c>
      <c r="F1845" s="11" t="s">
        <v>17</v>
      </c>
      <c r="G1845" s="10" t="s">
        <v>24</v>
      </c>
      <c r="H1845" s="11" t="s">
        <v>19</v>
      </c>
      <c r="I1845" s="11" t="s">
        <v>113</v>
      </c>
      <c r="J1845" s="12" t="str">
        <f ca="1">IFERROR(__xludf.DUMMYFUNCTION("FILTER('CLASFICACIÓN'!$F$3:$F2419,'CLASFICACIÓN'!$G$3:$G2419=M1845)"),"2023 Y 2024")</f>
        <v>2023 Y 2024</v>
      </c>
      <c r="K1845" s="12" t="s">
        <v>2011</v>
      </c>
      <c r="L1845" s="11" t="s">
        <v>129</v>
      </c>
      <c r="M1845" s="12" t="str">
        <f t="shared" ca="1" si="7"/>
        <v>201046 Primaria</v>
      </c>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4"/>
    </row>
    <row r="1846" spans="1:36" ht="12.5" x14ac:dyDescent="0.25">
      <c r="A1846" s="9">
        <v>469</v>
      </c>
      <c r="B1846" s="10" t="s">
        <v>14</v>
      </c>
      <c r="C1846" s="10" t="s">
        <v>15</v>
      </c>
      <c r="D1846" s="10" t="s">
        <v>37</v>
      </c>
      <c r="E1846" s="11" t="str">
        <f ca="1">IFERROR(__xludf.DUMMYFUNCTION("FILTER(Colegios!$B$2:$B2419,Colegios!$A$2:$A2419=L1846)"),"20104")</f>
        <v>20104</v>
      </c>
      <c r="F1846" s="11" t="s">
        <v>17</v>
      </c>
      <c r="G1846" s="10" t="s">
        <v>24</v>
      </c>
      <c r="H1846" s="11" t="s">
        <v>19</v>
      </c>
      <c r="I1846" s="11" t="s">
        <v>113</v>
      </c>
      <c r="J1846" s="12" t="str">
        <f ca="1">IFERROR(__xludf.DUMMYFUNCTION("FILTER('CLASFICACIÓN'!$F$3:$F2419,'CLASFICACIÓN'!$G$3:$G2419=M1846)"),"2023 Y 2024")</f>
        <v>2023 Y 2024</v>
      </c>
      <c r="K1846" s="12" t="s">
        <v>2011</v>
      </c>
      <c r="L1846" s="11" t="s">
        <v>129</v>
      </c>
      <c r="M1846" s="12" t="str">
        <f t="shared" ca="1" si="7"/>
        <v>201046 Primaria</v>
      </c>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4"/>
    </row>
    <row r="1847" spans="1:36" ht="12.5" x14ac:dyDescent="0.25">
      <c r="A1847" s="9">
        <v>470</v>
      </c>
      <c r="B1847" s="10" t="s">
        <v>14</v>
      </c>
      <c r="C1847" s="10" t="s">
        <v>15</v>
      </c>
      <c r="D1847" s="10" t="s">
        <v>37</v>
      </c>
      <c r="E1847" s="11" t="str">
        <f ca="1">IFERROR(__xludf.DUMMYFUNCTION("FILTER(Colegios!$B$2:$B2419,Colegios!$A$2:$A2419=L1847)"),"20104")</f>
        <v>20104</v>
      </c>
      <c r="F1847" s="11" t="s">
        <v>17</v>
      </c>
      <c r="G1847" s="10" t="s">
        <v>18</v>
      </c>
      <c r="H1847" s="11" t="s">
        <v>19</v>
      </c>
      <c r="I1847" s="11" t="s">
        <v>113</v>
      </c>
      <c r="J1847" s="12" t="str">
        <f ca="1">IFERROR(__xludf.DUMMYFUNCTION("FILTER('CLASFICACIÓN'!$F$3:$F2419,'CLASFICACIÓN'!$G$3:$G2419=M1847)"),"2023 Y 2024")</f>
        <v>2023 Y 2024</v>
      </c>
      <c r="K1847" s="12" t="s">
        <v>2011</v>
      </c>
      <c r="L1847" s="11" t="s">
        <v>129</v>
      </c>
      <c r="M1847" s="12" t="str">
        <f t="shared" ca="1" si="7"/>
        <v>201046 Primaria</v>
      </c>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4"/>
    </row>
    <row r="1848" spans="1:36" ht="12.5" x14ac:dyDescent="0.25">
      <c r="A1848" s="9">
        <v>471</v>
      </c>
      <c r="B1848" s="10" t="s">
        <v>14</v>
      </c>
      <c r="C1848" s="10" t="s">
        <v>15</v>
      </c>
      <c r="D1848" s="10" t="s">
        <v>37</v>
      </c>
      <c r="E1848" s="11" t="str">
        <f ca="1">IFERROR(__xludf.DUMMYFUNCTION("FILTER(Colegios!$B$2:$B2419,Colegios!$A$2:$A2419=L1848)"),"20104")</f>
        <v>20104</v>
      </c>
      <c r="F1848" s="11" t="s">
        <v>17</v>
      </c>
      <c r="G1848" s="10" t="s">
        <v>18</v>
      </c>
      <c r="H1848" s="11" t="s">
        <v>23</v>
      </c>
      <c r="I1848" s="11" t="s">
        <v>113</v>
      </c>
      <c r="J1848" s="12" t="str">
        <f ca="1">IFERROR(__xludf.DUMMYFUNCTION("FILTER('CLASFICACIÓN'!$F$3:$F2419,'CLASFICACIÓN'!$G$3:$G2419=M1848)"),"2023 Y 2024")</f>
        <v>2023 Y 2024</v>
      </c>
      <c r="K1848" s="12" t="s">
        <v>2011</v>
      </c>
      <c r="L1848" s="11" t="s">
        <v>129</v>
      </c>
      <c r="M1848" s="12" t="str">
        <f t="shared" ca="1" si="7"/>
        <v>201046 Primaria</v>
      </c>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4"/>
    </row>
    <row r="1849" spans="1:36" ht="12.5" x14ac:dyDescent="0.25">
      <c r="A1849" s="9">
        <v>472</v>
      </c>
      <c r="B1849" s="10" t="s">
        <v>14</v>
      </c>
      <c r="C1849" s="10" t="s">
        <v>15</v>
      </c>
      <c r="D1849" s="10" t="s">
        <v>37</v>
      </c>
      <c r="E1849" s="11" t="str">
        <f ca="1">IFERROR(__xludf.DUMMYFUNCTION("FILTER(Colegios!$B$2:$B2419,Colegios!$A$2:$A2419=L1849)"),"20104")</f>
        <v>20104</v>
      </c>
      <c r="F1849" s="11" t="s">
        <v>17</v>
      </c>
      <c r="G1849" s="10" t="s">
        <v>18</v>
      </c>
      <c r="H1849" s="11" t="s">
        <v>19</v>
      </c>
      <c r="I1849" s="11" t="s">
        <v>113</v>
      </c>
      <c r="J1849" s="12" t="str">
        <f ca="1">IFERROR(__xludf.DUMMYFUNCTION("FILTER('CLASFICACIÓN'!$F$3:$F2419,'CLASFICACIÓN'!$G$3:$G2419=M1849)"),"2023 Y 2024")</f>
        <v>2023 Y 2024</v>
      </c>
      <c r="K1849" s="12" t="s">
        <v>2011</v>
      </c>
      <c r="L1849" s="11" t="s">
        <v>129</v>
      </c>
      <c r="M1849" s="12" t="str">
        <f t="shared" ca="1" si="7"/>
        <v>201046 Primaria</v>
      </c>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4"/>
    </row>
    <row r="1850" spans="1:36" ht="12.5" x14ac:dyDescent="0.25">
      <c r="A1850" s="9">
        <v>473</v>
      </c>
      <c r="B1850" s="10" t="s">
        <v>14</v>
      </c>
      <c r="C1850" s="10" t="s">
        <v>15</v>
      </c>
      <c r="D1850" s="10" t="s">
        <v>37</v>
      </c>
      <c r="E1850" s="11" t="str">
        <f ca="1">IFERROR(__xludf.DUMMYFUNCTION("FILTER(Colegios!$B$2:$B2419,Colegios!$A$2:$A2419=L1850)"),"20104")</f>
        <v>20104</v>
      </c>
      <c r="F1850" s="11" t="s">
        <v>17</v>
      </c>
      <c r="G1850" s="10" t="s">
        <v>24</v>
      </c>
      <c r="H1850" s="11" t="s">
        <v>19</v>
      </c>
      <c r="I1850" s="11" t="s">
        <v>113</v>
      </c>
      <c r="J1850" s="12" t="str">
        <f ca="1">IFERROR(__xludf.DUMMYFUNCTION("FILTER('CLASFICACIÓN'!$F$3:$F2419,'CLASFICACIÓN'!$G$3:$G2419=M1850)"),"2023 Y 2024")</f>
        <v>2023 Y 2024</v>
      </c>
      <c r="K1850" s="12" t="s">
        <v>2011</v>
      </c>
      <c r="L1850" s="11" t="s">
        <v>129</v>
      </c>
      <c r="M1850" s="12" t="str">
        <f t="shared" ca="1" si="7"/>
        <v>201046 Primaria</v>
      </c>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4"/>
    </row>
    <row r="1851" spans="1:36" ht="12.5" x14ac:dyDescent="0.25">
      <c r="A1851" s="9">
        <v>474</v>
      </c>
      <c r="B1851" s="10" t="s">
        <v>14</v>
      </c>
      <c r="C1851" s="10" t="s">
        <v>15</v>
      </c>
      <c r="D1851" s="10" t="s">
        <v>37</v>
      </c>
      <c r="E1851" s="11" t="str">
        <f ca="1">IFERROR(__xludf.DUMMYFUNCTION("FILTER(Colegios!$B$2:$B2419,Colegios!$A$2:$A2419=L1851)"),"20104")</f>
        <v>20104</v>
      </c>
      <c r="F1851" s="11" t="s">
        <v>17</v>
      </c>
      <c r="G1851" s="10" t="s">
        <v>18</v>
      </c>
      <c r="H1851" s="11" t="s">
        <v>23</v>
      </c>
      <c r="I1851" s="11" t="s">
        <v>113</v>
      </c>
      <c r="J1851" s="12" t="str">
        <f ca="1">IFERROR(__xludf.DUMMYFUNCTION("FILTER('CLASFICACIÓN'!$F$3:$F2419,'CLASFICACIÓN'!$G$3:$G2419=M1851)"),"2023 Y 2024")</f>
        <v>2023 Y 2024</v>
      </c>
      <c r="K1851" s="12" t="s">
        <v>2011</v>
      </c>
      <c r="L1851" s="11" t="s">
        <v>129</v>
      </c>
      <c r="M1851" s="12" t="str">
        <f t="shared" ca="1" si="7"/>
        <v>201046 Primaria</v>
      </c>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4"/>
    </row>
    <row r="1852" spans="1:36" ht="12.5" x14ac:dyDescent="0.25">
      <c r="A1852" s="9">
        <v>475</v>
      </c>
      <c r="B1852" s="10" t="s">
        <v>14</v>
      </c>
      <c r="C1852" s="10" t="s">
        <v>15</v>
      </c>
      <c r="D1852" s="10" t="s">
        <v>37</v>
      </c>
      <c r="E1852" s="11" t="str">
        <f ca="1">IFERROR(__xludf.DUMMYFUNCTION("FILTER(Colegios!$B$2:$B2419,Colegios!$A$2:$A2419=L1852)"),"20104")</f>
        <v>20104</v>
      </c>
      <c r="F1852" s="11" t="s">
        <v>17</v>
      </c>
      <c r="G1852" s="10" t="s">
        <v>24</v>
      </c>
      <c r="H1852" s="11" t="s">
        <v>23</v>
      </c>
      <c r="I1852" s="11" t="s">
        <v>113</v>
      </c>
      <c r="J1852" s="12" t="str">
        <f ca="1">IFERROR(__xludf.DUMMYFUNCTION("FILTER('CLASFICACIÓN'!$F$3:$F2419,'CLASFICACIÓN'!$G$3:$G2419=M1852)"),"2023 Y 2024")</f>
        <v>2023 Y 2024</v>
      </c>
      <c r="K1852" s="12" t="s">
        <v>2011</v>
      </c>
      <c r="L1852" s="11" t="s">
        <v>129</v>
      </c>
      <c r="M1852" s="12" t="str">
        <f t="shared" ca="1" si="7"/>
        <v>201046 Primaria</v>
      </c>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4"/>
    </row>
    <row r="1853" spans="1:36" ht="12.5" x14ac:dyDescent="0.25">
      <c r="A1853" s="9">
        <v>476</v>
      </c>
      <c r="B1853" s="10" t="s">
        <v>14</v>
      </c>
      <c r="C1853" s="10" t="s">
        <v>15</v>
      </c>
      <c r="D1853" s="10" t="s">
        <v>37</v>
      </c>
      <c r="E1853" s="11" t="str">
        <f ca="1">IFERROR(__xludf.DUMMYFUNCTION("FILTER(Colegios!$B$2:$B2419,Colegios!$A$2:$A2419=L1853)"),"20104")</f>
        <v>20104</v>
      </c>
      <c r="F1853" s="11" t="s">
        <v>17</v>
      </c>
      <c r="G1853" s="10" t="s">
        <v>24</v>
      </c>
      <c r="H1853" s="11" t="s">
        <v>23</v>
      </c>
      <c r="I1853" s="11" t="s">
        <v>113</v>
      </c>
      <c r="J1853" s="12" t="str">
        <f ca="1">IFERROR(__xludf.DUMMYFUNCTION("FILTER('CLASFICACIÓN'!$F$3:$F2419,'CLASFICACIÓN'!$G$3:$G2419=M1853)"),"2023 Y 2024")</f>
        <v>2023 Y 2024</v>
      </c>
      <c r="K1853" s="12" t="s">
        <v>2011</v>
      </c>
      <c r="L1853" s="11" t="s">
        <v>129</v>
      </c>
      <c r="M1853" s="12" t="str">
        <f t="shared" ca="1" si="7"/>
        <v>201046 Primaria</v>
      </c>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4"/>
    </row>
    <row r="1854" spans="1:36" ht="12.5" x14ac:dyDescent="0.25">
      <c r="A1854" s="9">
        <v>477</v>
      </c>
      <c r="B1854" s="10" t="s">
        <v>14</v>
      </c>
      <c r="C1854" s="10" t="s">
        <v>15</v>
      </c>
      <c r="D1854" s="10" t="s">
        <v>37</v>
      </c>
      <c r="E1854" s="11" t="str">
        <f ca="1">IFERROR(__xludf.DUMMYFUNCTION("FILTER(Colegios!$B$2:$B2419,Colegios!$A$2:$A2419=L1854)"),"20104")</f>
        <v>20104</v>
      </c>
      <c r="F1854" s="11" t="s">
        <v>17</v>
      </c>
      <c r="G1854" s="10" t="s">
        <v>24</v>
      </c>
      <c r="H1854" s="11" t="s">
        <v>19</v>
      </c>
      <c r="I1854" s="11" t="s">
        <v>113</v>
      </c>
      <c r="J1854" s="12" t="str">
        <f ca="1">IFERROR(__xludf.DUMMYFUNCTION("FILTER('CLASFICACIÓN'!$F$3:$F2419,'CLASFICACIÓN'!$G$3:$G2419=M1854)"),"2023 Y 2024")</f>
        <v>2023 Y 2024</v>
      </c>
      <c r="K1854" s="12" t="s">
        <v>2011</v>
      </c>
      <c r="L1854" s="11" t="s">
        <v>129</v>
      </c>
      <c r="M1854" s="12" t="str">
        <f t="shared" ca="1" si="7"/>
        <v>201046 Primaria</v>
      </c>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4"/>
    </row>
    <row r="1855" spans="1:36" ht="12.5" x14ac:dyDescent="0.25">
      <c r="A1855" s="9">
        <v>478</v>
      </c>
      <c r="B1855" s="10" t="s">
        <v>14</v>
      </c>
      <c r="C1855" s="10" t="s">
        <v>15</v>
      </c>
      <c r="D1855" s="10" t="s">
        <v>37</v>
      </c>
      <c r="E1855" s="11" t="str">
        <f ca="1">IFERROR(__xludf.DUMMYFUNCTION("FILTER(Colegios!$B$2:$B2419,Colegios!$A$2:$A2419=L1855)"),"20104")</f>
        <v>20104</v>
      </c>
      <c r="F1855" s="11" t="s">
        <v>17</v>
      </c>
      <c r="G1855" s="10" t="s">
        <v>18</v>
      </c>
      <c r="H1855" s="11" t="s">
        <v>23</v>
      </c>
      <c r="I1855" s="11" t="s">
        <v>113</v>
      </c>
      <c r="J1855" s="12" t="str">
        <f ca="1">IFERROR(__xludf.DUMMYFUNCTION("FILTER('CLASFICACIÓN'!$F$3:$F2419,'CLASFICACIÓN'!$G$3:$G2419=M1855)"),"2023 Y 2024")</f>
        <v>2023 Y 2024</v>
      </c>
      <c r="K1855" s="12" t="s">
        <v>2011</v>
      </c>
      <c r="L1855" s="11" t="s">
        <v>129</v>
      </c>
      <c r="M1855" s="12" t="str">
        <f t="shared" ca="1" si="7"/>
        <v>201046 Primaria</v>
      </c>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4"/>
    </row>
    <row r="1856" spans="1:36" ht="12.5" x14ac:dyDescent="0.25">
      <c r="A1856" s="9">
        <v>479</v>
      </c>
      <c r="B1856" s="10" t="s">
        <v>14</v>
      </c>
      <c r="C1856" s="10" t="s">
        <v>15</v>
      </c>
      <c r="D1856" s="10" t="s">
        <v>37</v>
      </c>
      <c r="E1856" s="11" t="str">
        <f ca="1">IFERROR(__xludf.DUMMYFUNCTION("FILTER(Colegios!$B$2:$B2419,Colegios!$A$2:$A2419=L1856)"),"20104")</f>
        <v>20104</v>
      </c>
      <c r="F1856" s="11" t="s">
        <v>17</v>
      </c>
      <c r="G1856" s="10" t="s">
        <v>24</v>
      </c>
      <c r="H1856" s="11" t="s">
        <v>23</v>
      </c>
      <c r="I1856" s="11" t="s">
        <v>113</v>
      </c>
      <c r="J1856" s="12" t="str">
        <f ca="1">IFERROR(__xludf.DUMMYFUNCTION("FILTER('CLASFICACIÓN'!$F$3:$F2419,'CLASFICACIÓN'!$G$3:$G2419=M1856)"),"2023 Y 2024")</f>
        <v>2023 Y 2024</v>
      </c>
      <c r="K1856" s="12" t="s">
        <v>2011</v>
      </c>
      <c r="L1856" s="11" t="s">
        <v>129</v>
      </c>
      <c r="M1856" s="12" t="str">
        <f t="shared" ca="1" si="7"/>
        <v>201046 Primaria</v>
      </c>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4"/>
    </row>
    <row r="1857" spans="1:36" ht="12.5" x14ac:dyDescent="0.25">
      <c r="A1857" s="9">
        <v>480</v>
      </c>
      <c r="B1857" s="10" t="s">
        <v>14</v>
      </c>
      <c r="C1857" s="10" t="s">
        <v>15</v>
      </c>
      <c r="D1857" s="10" t="s">
        <v>37</v>
      </c>
      <c r="E1857" s="11" t="str">
        <f ca="1">IFERROR(__xludf.DUMMYFUNCTION("FILTER(Colegios!$B$2:$B2419,Colegios!$A$2:$A2419=L1857)"),"20104")</f>
        <v>20104</v>
      </c>
      <c r="F1857" s="11" t="s">
        <v>17</v>
      </c>
      <c r="G1857" s="10" t="s">
        <v>24</v>
      </c>
      <c r="H1857" s="11" t="s">
        <v>23</v>
      </c>
      <c r="I1857" s="11" t="s">
        <v>113</v>
      </c>
      <c r="J1857" s="12" t="str">
        <f ca="1">IFERROR(__xludf.DUMMYFUNCTION("FILTER('CLASFICACIÓN'!$F$3:$F2419,'CLASFICACIÓN'!$G$3:$G2419=M1857)"),"2023 Y 2024")</f>
        <v>2023 Y 2024</v>
      </c>
      <c r="K1857" s="12" t="s">
        <v>2011</v>
      </c>
      <c r="L1857" s="11" t="s">
        <v>129</v>
      </c>
      <c r="M1857" s="12" t="str">
        <f t="shared" ca="1" si="7"/>
        <v>201046 Primaria</v>
      </c>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4"/>
    </row>
    <row r="1858" spans="1:36" ht="12.5" x14ac:dyDescent="0.25">
      <c r="A1858" s="9">
        <v>481</v>
      </c>
      <c r="B1858" s="10" t="s">
        <v>14</v>
      </c>
      <c r="C1858" s="10" t="s">
        <v>15</v>
      </c>
      <c r="D1858" s="10" t="s">
        <v>37</v>
      </c>
      <c r="E1858" s="11" t="str">
        <f ca="1">IFERROR(__xludf.DUMMYFUNCTION("FILTER(Colegios!$B$2:$B2419,Colegios!$A$2:$A2419=L1858)"),"20104")</f>
        <v>20104</v>
      </c>
      <c r="F1858" s="11" t="s">
        <v>17</v>
      </c>
      <c r="G1858" s="10" t="s">
        <v>18</v>
      </c>
      <c r="H1858" s="11" t="s">
        <v>19</v>
      </c>
      <c r="I1858" s="11" t="s">
        <v>113</v>
      </c>
      <c r="J1858" s="12" t="str">
        <f ca="1">IFERROR(__xludf.DUMMYFUNCTION("FILTER('CLASFICACIÓN'!$F$3:$F2419,'CLASFICACIÓN'!$G$3:$G2419=M1858)"),"2023 Y 2024")</f>
        <v>2023 Y 2024</v>
      </c>
      <c r="K1858" s="12" t="s">
        <v>2011</v>
      </c>
      <c r="L1858" s="11" t="s">
        <v>129</v>
      </c>
      <c r="M1858" s="12" t="str">
        <f t="shared" ca="1" si="7"/>
        <v>201046 Primaria</v>
      </c>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4"/>
    </row>
    <row r="1859" spans="1:36" ht="12.5" x14ac:dyDescent="0.25">
      <c r="A1859" s="9">
        <v>482</v>
      </c>
      <c r="B1859" s="10" t="s">
        <v>14</v>
      </c>
      <c r="C1859" s="10" t="s">
        <v>15</v>
      </c>
      <c r="D1859" s="10" t="s">
        <v>37</v>
      </c>
      <c r="E1859" s="11" t="str">
        <f ca="1">IFERROR(__xludf.DUMMYFUNCTION("FILTER(Colegios!$B$2:$B2419,Colegios!$A$2:$A2419=L1859)"),"20104")</f>
        <v>20104</v>
      </c>
      <c r="F1859" s="11" t="s">
        <v>17</v>
      </c>
      <c r="G1859" s="10" t="s">
        <v>18</v>
      </c>
      <c r="H1859" s="11" t="s">
        <v>19</v>
      </c>
      <c r="I1859" s="11" t="s">
        <v>113</v>
      </c>
      <c r="J1859" s="12" t="str">
        <f ca="1">IFERROR(__xludf.DUMMYFUNCTION("FILTER('CLASFICACIÓN'!$F$3:$F2419,'CLASFICACIÓN'!$G$3:$G2419=M1859)"),"2023 Y 2024")</f>
        <v>2023 Y 2024</v>
      </c>
      <c r="K1859" s="12" t="s">
        <v>2011</v>
      </c>
      <c r="L1859" s="11" t="s">
        <v>129</v>
      </c>
      <c r="M1859" s="12" t="str">
        <f t="shared" ca="1" si="7"/>
        <v>201046 Primaria</v>
      </c>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4"/>
    </row>
    <row r="1860" spans="1:36" ht="12.5" x14ac:dyDescent="0.25">
      <c r="A1860" s="9">
        <v>483</v>
      </c>
      <c r="B1860" s="10" t="s">
        <v>14</v>
      </c>
      <c r="C1860" s="10" t="s">
        <v>15</v>
      </c>
      <c r="D1860" s="10" t="s">
        <v>45</v>
      </c>
      <c r="E1860" s="11" t="str">
        <f ca="1">IFERROR(__xludf.DUMMYFUNCTION("FILTER(Colegios!$B$2:$B2419,Colegios!$A$2:$A2419=L1860)"),"20104")</f>
        <v>20104</v>
      </c>
      <c r="F1860" s="11" t="s">
        <v>17</v>
      </c>
      <c r="G1860" s="10" t="s">
        <v>18</v>
      </c>
      <c r="H1860" s="11" t="s">
        <v>19</v>
      </c>
      <c r="I1860" s="11" t="s">
        <v>113</v>
      </c>
      <c r="J1860" s="12" t="str">
        <f ca="1">IFERROR(__xludf.DUMMYFUNCTION("FILTER('CLASFICACIÓN'!$F$3:$F2419,'CLASFICACIÓN'!$G$3:$G2419=M1860)"),"2023 Y 2024")</f>
        <v>2023 Y 2024</v>
      </c>
      <c r="K1860" s="12" t="s">
        <v>2011</v>
      </c>
      <c r="L1860" s="11" t="s">
        <v>129</v>
      </c>
      <c r="M1860" s="12" t="str">
        <f t="shared" ca="1" si="7"/>
        <v>201042 Primaria</v>
      </c>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4"/>
    </row>
    <row r="1861" spans="1:36" ht="12.5" x14ac:dyDescent="0.25">
      <c r="A1861" s="9">
        <v>484</v>
      </c>
      <c r="B1861" s="10" t="s">
        <v>14</v>
      </c>
      <c r="C1861" s="10" t="s">
        <v>15</v>
      </c>
      <c r="D1861" s="10" t="s">
        <v>45</v>
      </c>
      <c r="E1861" s="11" t="str">
        <f ca="1">IFERROR(__xludf.DUMMYFUNCTION("FILTER(Colegios!$B$2:$B2419,Colegios!$A$2:$A2419=L1861)"),"20104")</f>
        <v>20104</v>
      </c>
      <c r="F1861" s="11" t="s">
        <v>17</v>
      </c>
      <c r="G1861" s="10" t="s">
        <v>24</v>
      </c>
      <c r="H1861" s="11" t="s">
        <v>19</v>
      </c>
      <c r="I1861" s="11" t="s">
        <v>113</v>
      </c>
      <c r="J1861" s="12" t="str">
        <f ca="1">IFERROR(__xludf.DUMMYFUNCTION("FILTER('CLASFICACIÓN'!$F$3:$F2419,'CLASFICACIÓN'!$G$3:$G2419=M1861)"),"2023 Y 2024")</f>
        <v>2023 Y 2024</v>
      </c>
      <c r="K1861" s="12" t="s">
        <v>2011</v>
      </c>
      <c r="L1861" s="11" t="s">
        <v>129</v>
      </c>
      <c r="M1861" s="12" t="str">
        <f t="shared" ca="1" si="7"/>
        <v>201042 Primaria</v>
      </c>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4"/>
    </row>
    <row r="1862" spans="1:36" ht="12.5" x14ac:dyDescent="0.25">
      <c r="A1862" s="9">
        <v>485</v>
      </c>
      <c r="B1862" s="10" t="s">
        <v>14</v>
      </c>
      <c r="C1862" s="10" t="s">
        <v>15</v>
      </c>
      <c r="D1862" s="10" t="s">
        <v>45</v>
      </c>
      <c r="E1862" s="11" t="str">
        <f ca="1">IFERROR(__xludf.DUMMYFUNCTION("FILTER(Colegios!$B$2:$B2419,Colegios!$A$2:$A2419=L1862)"),"20104")</f>
        <v>20104</v>
      </c>
      <c r="F1862" s="11" t="s">
        <v>17</v>
      </c>
      <c r="G1862" s="10" t="s">
        <v>24</v>
      </c>
      <c r="H1862" s="11" t="s">
        <v>19</v>
      </c>
      <c r="I1862" s="11" t="s">
        <v>113</v>
      </c>
      <c r="J1862" s="12" t="str">
        <f ca="1">IFERROR(__xludf.DUMMYFUNCTION("FILTER('CLASFICACIÓN'!$F$3:$F2419,'CLASFICACIÓN'!$G$3:$G2419=M1862)"),"2023 Y 2024")</f>
        <v>2023 Y 2024</v>
      </c>
      <c r="K1862" s="12" t="s">
        <v>2011</v>
      </c>
      <c r="L1862" s="11" t="s">
        <v>129</v>
      </c>
      <c r="M1862" s="12" t="str">
        <f t="shared" ca="1" si="7"/>
        <v>201042 Primaria</v>
      </c>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4"/>
    </row>
    <row r="1863" spans="1:36" ht="12.5" x14ac:dyDescent="0.25">
      <c r="A1863" s="9">
        <v>486</v>
      </c>
      <c r="B1863" s="10" t="s">
        <v>14</v>
      </c>
      <c r="C1863" s="10" t="s">
        <v>15</v>
      </c>
      <c r="D1863" s="10" t="s">
        <v>45</v>
      </c>
      <c r="E1863" s="11" t="str">
        <f ca="1">IFERROR(__xludf.DUMMYFUNCTION("FILTER(Colegios!$B$2:$B2419,Colegios!$A$2:$A2419=L1863)"),"20104")</f>
        <v>20104</v>
      </c>
      <c r="F1863" s="11" t="s">
        <v>17</v>
      </c>
      <c r="G1863" s="10" t="s">
        <v>24</v>
      </c>
      <c r="H1863" s="11" t="s">
        <v>19</v>
      </c>
      <c r="I1863" s="11" t="s">
        <v>113</v>
      </c>
      <c r="J1863" s="12" t="str">
        <f ca="1">IFERROR(__xludf.DUMMYFUNCTION("FILTER('CLASFICACIÓN'!$F$3:$F2419,'CLASFICACIÓN'!$G$3:$G2419=M1863)"),"2023 Y 2024")</f>
        <v>2023 Y 2024</v>
      </c>
      <c r="K1863" s="12" t="s">
        <v>2011</v>
      </c>
      <c r="L1863" s="11" t="s">
        <v>129</v>
      </c>
      <c r="M1863" s="12" t="str">
        <f t="shared" ca="1" si="7"/>
        <v>201042 Primaria</v>
      </c>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4"/>
    </row>
    <row r="1864" spans="1:36" ht="12.5" x14ac:dyDescent="0.25">
      <c r="A1864" s="9">
        <v>487</v>
      </c>
      <c r="B1864" s="10" t="s">
        <v>14</v>
      </c>
      <c r="C1864" s="10" t="s">
        <v>15</v>
      </c>
      <c r="D1864" s="10" t="s">
        <v>45</v>
      </c>
      <c r="E1864" s="11" t="str">
        <f ca="1">IFERROR(__xludf.DUMMYFUNCTION("FILTER(Colegios!$B$2:$B2419,Colegios!$A$2:$A2419=L1864)"),"20104")</f>
        <v>20104</v>
      </c>
      <c r="F1864" s="11" t="s">
        <v>17</v>
      </c>
      <c r="G1864" s="10" t="s">
        <v>18</v>
      </c>
      <c r="H1864" s="11" t="s">
        <v>19</v>
      </c>
      <c r="I1864" s="11" t="s">
        <v>113</v>
      </c>
      <c r="J1864" s="12" t="str">
        <f ca="1">IFERROR(__xludf.DUMMYFUNCTION("FILTER('CLASFICACIÓN'!$F$3:$F2419,'CLASFICACIÓN'!$G$3:$G2419=M1864)"),"2023 Y 2024")</f>
        <v>2023 Y 2024</v>
      </c>
      <c r="K1864" s="12" t="s">
        <v>2011</v>
      </c>
      <c r="L1864" s="11" t="s">
        <v>129</v>
      </c>
      <c r="M1864" s="12" t="str">
        <f t="shared" ca="1" si="7"/>
        <v>201042 Primaria</v>
      </c>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4"/>
    </row>
    <row r="1865" spans="1:36" ht="12.5" x14ac:dyDescent="0.25">
      <c r="A1865" s="9">
        <v>488</v>
      </c>
      <c r="B1865" s="10" t="s">
        <v>14</v>
      </c>
      <c r="C1865" s="10" t="s">
        <v>15</v>
      </c>
      <c r="D1865" s="10" t="s">
        <v>45</v>
      </c>
      <c r="E1865" s="11" t="str">
        <f ca="1">IFERROR(__xludf.DUMMYFUNCTION("FILTER(Colegios!$B$2:$B2419,Colegios!$A$2:$A2419=L1865)"),"20104")</f>
        <v>20104</v>
      </c>
      <c r="F1865" s="11" t="s">
        <v>17</v>
      </c>
      <c r="G1865" s="10" t="s">
        <v>18</v>
      </c>
      <c r="H1865" s="11" t="s">
        <v>19</v>
      </c>
      <c r="I1865" s="11" t="s">
        <v>113</v>
      </c>
      <c r="J1865" s="12" t="str">
        <f ca="1">IFERROR(__xludf.DUMMYFUNCTION("FILTER('CLASFICACIÓN'!$F$3:$F2419,'CLASFICACIÓN'!$G$3:$G2419=M1865)"),"2023 Y 2024")</f>
        <v>2023 Y 2024</v>
      </c>
      <c r="K1865" s="12" t="s">
        <v>2011</v>
      </c>
      <c r="L1865" s="11" t="s">
        <v>129</v>
      </c>
      <c r="M1865" s="12" t="str">
        <f t="shared" ca="1" si="7"/>
        <v>201042 Primaria</v>
      </c>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4"/>
    </row>
    <row r="1866" spans="1:36" ht="12.5" x14ac:dyDescent="0.25">
      <c r="A1866" s="9">
        <v>489</v>
      </c>
      <c r="B1866" s="10" t="s">
        <v>14</v>
      </c>
      <c r="C1866" s="10" t="s">
        <v>15</v>
      </c>
      <c r="D1866" s="10" t="s">
        <v>45</v>
      </c>
      <c r="E1866" s="11" t="str">
        <f ca="1">IFERROR(__xludf.DUMMYFUNCTION("FILTER(Colegios!$B$2:$B2419,Colegios!$A$2:$A2419=L1866)"),"20104")</f>
        <v>20104</v>
      </c>
      <c r="F1866" s="11" t="s">
        <v>17</v>
      </c>
      <c r="G1866" s="10" t="s">
        <v>18</v>
      </c>
      <c r="H1866" s="11" t="s">
        <v>23</v>
      </c>
      <c r="I1866" s="11" t="s">
        <v>113</v>
      </c>
      <c r="J1866" s="12" t="str">
        <f ca="1">IFERROR(__xludf.DUMMYFUNCTION("FILTER('CLASFICACIÓN'!$F$3:$F2419,'CLASFICACIÓN'!$G$3:$G2419=M1866)"),"2023 Y 2024")</f>
        <v>2023 Y 2024</v>
      </c>
      <c r="K1866" s="12" t="s">
        <v>2011</v>
      </c>
      <c r="L1866" s="11" t="s">
        <v>129</v>
      </c>
      <c r="M1866" s="12" t="str">
        <f t="shared" ca="1" si="7"/>
        <v>201042 Primaria</v>
      </c>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4"/>
    </row>
    <row r="1867" spans="1:36" ht="12.5" x14ac:dyDescent="0.25">
      <c r="A1867" s="9">
        <v>490</v>
      </c>
      <c r="B1867" s="10" t="s">
        <v>14</v>
      </c>
      <c r="C1867" s="10" t="s">
        <v>15</v>
      </c>
      <c r="D1867" s="10" t="s">
        <v>45</v>
      </c>
      <c r="E1867" s="11" t="str">
        <f ca="1">IFERROR(__xludf.DUMMYFUNCTION("FILTER(Colegios!$B$2:$B2419,Colegios!$A$2:$A2419=L1867)"),"20104")</f>
        <v>20104</v>
      </c>
      <c r="F1867" s="11" t="s">
        <v>17</v>
      </c>
      <c r="G1867" s="10" t="s">
        <v>24</v>
      </c>
      <c r="H1867" s="11" t="s">
        <v>23</v>
      </c>
      <c r="I1867" s="11" t="s">
        <v>113</v>
      </c>
      <c r="J1867" s="12" t="str">
        <f ca="1">IFERROR(__xludf.DUMMYFUNCTION("FILTER('CLASFICACIÓN'!$F$3:$F2419,'CLASFICACIÓN'!$G$3:$G2419=M1867)"),"2023 Y 2024")</f>
        <v>2023 Y 2024</v>
      </c>
      <c r="K1867" s="12" t="s">
        <v>2011</v>
      </c>
      <c r="L1867" s="11" t="s">
        <v>129</v>
      </c>
      <c r="M1867" s="12" t="str">
        <f t="shared" ca="1" si="7"/>
        <v>201042 Primaria</v>
      </c>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4"/>
    </row>
    <row r="1868" spans="1:36" ht="12.5" x14ac:dyDescent="0.25">
      <c r="A1868" s="9">
        <v>491</v>
      </c>
      <c r="B1868" s="10" t="s">
        <v>14</v>
      </c>
      <c r="C1868" s="10" t="s">
        <v>15</v>
      </c>
      <c r="D1868" s="10" t="s">
        <v>45</v>
      </c>
      <c r="E1868" s="11" t="str">
        <f ca="1">IFERROR(__xludf.DUMMYFUNCTION("FILTER(Colegios!$B$2:$B2419,Colegios!$A$2:$A2419=L1868)"),"20104")</f>
        <v>20104</v>
      </c>
      <c r="F1868" s="11" t="s">
        <v>17</v>
      </c>
      <c r="G1868" s="10" t="s">
        <v>18</v>
      </c>
      <c r="H1868" s="11" t="s">
        <v>23</v>
      </c>
      <c r="I1868" s="11" t="s">
        <v>113</v>
      </c>
      <c r="J1868" s="12" t="str">
        <f ca="1">IFERROR(__xludf.DUMMYFUNCTION("FILTER('CLASFICACIÓN'!$F$3:$F2419,'CLASFICACIÓN'!$G$3:$G2419=M1868)"),"2023 Y 2024")</f>
        <v>2023 Y 2024</v>
      </c>
      <c r="K1868" s="12" t="s">
        <v>2011</v>
      </c>
      <c r="L1868" s="11" t="s">
        <v>129</v>
      </c>
      <c r="M1868" s="12" t="str">
        <f t="shared" ca="1" si="7"/>
        <v>201042 Primaria</v>
      </c>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4"/>
    </row>
    <row r="1869" spans="1:36" ht="12.5" x14ac:dyDescent="0.25">
      <c r="A1869" s="9">
        <v>492</v>
      </c>
      <c r="B1869" s="10" t="s">
        <v>14</v>
      </c>
      <c r="C1869" s="10" t="s">
        <v>15</v>
      </c>
      <c r="D1869" s="10" t="s">
        <v>45</v>
      </c>
      <c r="E1869" s="11" t="str">
        <f ca="1">IFERROR(__xludf.DUMMYFUNCTION("FILTER(Colegios!$B$2:$B2419,Colegios!$A$2:$A2419=L1869)"),"14924 DANIEL ALCIDES CARRION")</f>
        <v>14924 DANIEL ALCIDES CARRION</v>
      </c>
      <c r="F1869" s="11" t="s">
        <v>17</v>
      </c>
      <c r="G1869" s="10" t="s">
        <v>18</v>
      </c>
      <c r="H1869" s="11" t="s">
        <v>19</v>
      </c>
      <c r="I1869" s="11" t="s">
        <v>113</v>
      </c>
      <c r="J1869" s="12" t="str">
        <f ca="1">IFERROR(__xludf.DUMMYFUNCTION("FILTER('CLASFICACIÓN'!$F$3:$F2419,'CLASFICACIÓN'!$G$3:$G2419=M1869)"),"2023 Y 2024")</f>
        <v>2023 Y 2024</v>
      </c>
      <c r="K1869" s="12" t="s">
        <v>2011</v>
      </c>
      <c r="L1869" s="11" t="s">
        <v>130</v>
      </c>
      <c r="M1869" s="12" t="str">
        <f t="shared" ca="1" si="7"/>
        <v>14924 DANIEL ALCIDES CARRION2 Primaria</v>
      </c>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4"/>
    </row>
    <row r="1870" spans="1:36" ht="12.5" x14ac:dyDescent="0.25">
      <c r="A1870" s="9">
        <v>493</v>
      </c>
      <c r="B1870" s="10" t="s">
        <v>14</v>
      </c>
      <c r="C1870" s="10" t="s">
        <v>15</v>
      </c>
      <c r="D1870" s="10" t="s">
        <v>45</v>
      </c>
      <c r="E1870" s="11" t="str">
        <f ca="1">IFERROR(__xludf.DUMMYFUNCTION("FILTER(Colegios!$B$2:$B2419,Colegios!$A$2:$A2419=L1870)"),"14924 DANIEL ALCIDES CARRION")</f>
        <v>14924 DANIEL ALCIDES CARRION</v>
      </c>
      <c r="F1870" s="11" t="s">
        <v>17</v>
      </c>
      <c r="G1870" s="10" t="s">
        <v>24</v>
      </c>
      <c r="H1870" s="11" t="s">
        <v>23</v>
      </c>
      <c r="I1870" s="11" t="s">
        <v>113</v>
      </c>
      <c r="J1870" s="12" t="str">
        <f ca="1">IFERROR(__xludf.DUMMYFUNCTION("FILTER('CLASFICACIÓN'!$F$3:$F2419,'CLASFICACIÓN'!$G$3:$G2419=M1870)"),"2023 Y 2024")</f>
        <v>2023 Y 2024</v>
      </c>
      <c r="K1870" s="12" t="s">
        <v>2011</v>
      </c>
      <c r="L1870" s="11" t="s">
        <v>130</v>
      </c>
      <c r="M1870" s="12" t="str">
        <f t="shared" ca="1" si="7"/>
        <v>14924 DANIEL ALCIDES CARRION2 Primaria</v>
      </c>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4"/>
    </row>
    <row r="1871" spans="1:36" ht="12.5" x14ac:dyDescent="0.25">
      <c r="A1871" s="9">
        <v>494</v>
      </c>
      <c r="B1871" s="10" t="s">
        <v>14</v>
      </c>
      <c r="C1871" s="10" t="s">
        <v>15</v>
      </c>
      <c r="D1871" s="10" t="s">
        <v>45</v>
      </c>
      <c r="E1871" s="11" t="str">
        <f ca="1">IFERROR(__xludf.DUMMYFUNCTION("FILTER(Colegios!$B$2:$B2419,Colegios!$A$2:$A2419=L1871)"),"14924 DANIEL ALCIDES CARRION")</f>
        <v>14924 DANIEL ALCIDES CARRION</v>
      </c>
      <c r="F1871" s="11" t="s">
        <v>17</v>
      </c>
      <c r="G1871" s="10" t="s">
        <v>18</v>
      </c>
      <c r="H1871" s="11" t="s">
        <v>23</v>
      </c>
      <c r="I1871" s="11" t="s">
        <v>113</v>
      </c>
      <c r="J1871" s="12" t="str">
        <f ca="1">IFERROR(__xludf.DUMMYFUNCTION("FILTER('CLASFICACIÓN'!$F$3:$F2419,'CLASFICACIÓN'!$G$3:$G2419=M1871)"),"2023 Y 2024")</f>
        <v>2023 Y 2024</v>
      </c>
      <c r="K1871" s="12" t="s">
        <v>2011</v>
      </c>
      <c r="L1871" s="11" t="s">
        <v>130</v>
      </c>
      <c r="M1871" s="12" t="str">
        <f t="shared" ca="1" si="7"/>
        <v>14924 DANIEL ALCIDES CARRION2 Primaria</v>
      </c>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4"/>
    </row>
    <row r="1872" spans="1:36" ht="12.5" x14ac:dyDescent="0.25">
      <c r="A1872" s="9">
        <v>495</v>
      </c>
      <c r="B1872" s="10" t="s">
        <v>14</v>
      </c>
      <c r="C1872" s="10" t="s">
        <v>15</v>
      </c>
      <c r="D1872" s="10" t="s">
        <v>45</v>
      </c>
      <c r="E1872" s="11" t="str">
        <f ca="1">IFERROR(__xludf.DUMMYFUNCTION("FILTER(Colegios!$B$2:$B2419,Colegios!$A$2:$A2419=L1872)"),"14924 DANIEL ALCIDES CARRION")</f>
        <v>14924 DANIEL ALCIDES CARRION</v>
      </c>
      <c r="F1872" s="11" t="s">
        <v>17</v>
      </c>
      <c r="G1872" s="10" t="s">
        <v>24</v>
      </c>
      <c r="H1872" s="11" t="s">
        <v>23</v>
      </c>
      <c r="I1872" s="11" t="s">
        <v>113</v>
      </c>
      <c r="J1872" s="12" t="str">
        <f ca="1">IFERROR(__xludf.DUMMYFUNCTION("FILTER('CLASFICACIÓN'!$F$3:$F2419,'CLASFICACIÓN'!$G$3:$G2419=M1872)"),"2023 Y 2024")</f>
        <v>2023 Y 2024</v>
      </c>
      <c r="K1872" s="12" t="s">
        <v>2011</v>
      </c>
      <c r="L1872" s="11" t="s">
        <v>130</v>
      </c>
      <c r="M1872" s="12" t="str">
        <f t="shared" ca="1" si="7"/>
        <v>14924 DANIEL ALCIDES CARRION2 Primaria</v>
      </c>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4"/>
    </row>
    <row r="1873" spans="1:36" ht="12.5" x14ac:dyDescent="0.25">
      <c r="A1873" s="9">
        <v>496</v>
      </c>
      <c r="B1873" s="10" t="s">
        <v>14</v>
      </c>
      <c r="C1873" s="10" t="s">
        <v>15</v>
      </c>
      <c r="D1873" s="10" t="s">
        <v>45</v>
      </c>
      <c r="E1873" s="11" t="str">
        <f ca="1">IFERROR(__xludf.DUMMYFUNCTION("FILTER(Colegios!$B$2:$B2419,Colegios!$A$2:$A2419=L1873)"),"14924 DANIEL ALCIDES CARRION")</f>
        <v>14924 DANIEL ALCIDES CARRION</v>
      </c>
      <c r="F1873" s="11" t="s">
        <v>17</v>
      </c>
      <c r="G1873" s="10" t="s">
        <v>24</v>
      </c>
      <c r="H1873" s="11" t="s">
        <v>23</v>
      </c>
      <c r="I1873" s="11" t="s">
        <v>113</v>
      </c>
      <c r="J1873" s="12" t="str">
        <f ca="1">IFERROR(__xludf.DUMMYFUNCTION("FILTER('CLASFICACIÓN'!$F$3:$F2419,'CLASFICACIÓN'!$G$3:$G2419=M1873)"),"2023 Y 2024")</f>
        <v>2023 Y 2024</v>
      </c>
      <c r="K1873" s="12" t="s">
        <v>2011</v>
      </c>
      <c r="L1873" s="11" t="s">
        <v>130</v>
      </c>
      <c r="M1873" s="12" t="str">
        <f t="shared" ca="1" si="7"/>
        <v>14924 DANIEL ALCIDES CARRION2 Primaria</v>
      </c>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4"/>
    </row>
    <row r="1874" spans="1:36" ht="12.5" x14ac:dyDescent="0.25">
      <c r="A1874" s="9">
        <v>497</v>
      </c>
      <c r="B1874" s="10" t="s">
        <v>14</v>
      </c>
      <c r="C1874" s="10" t="s">
        <v>15</v>
      </c>
      <c r="D1874" s="10" t="s">
        <v>45</v>
      </c>
      <c r="E1874" s="11" t="str">
        <f ca="1">IFERROR(__xludf.DUMMYFUNCTION("FILTER(Colegios!$B$2:$B2419,Colegios!$A$2:$A2419=L1874)"),"14924 DANIEL ALCIDES CARRION")</f>
        <v>14924 DANIEL ALCIDES CARRION</v>
      </c>
      <c r="F1874" s="11" t="s">
        <v>17</v>
      </c>
      <c r="G1874" s="10" t="s">
        <v>24</v>
      </c>
      <c r="H1874" s="11" t="s">
        <v>25</v>
      </c>
      <c r="I1874" s="11" t="s">
        <v>113</v>
      </c>
      <c r="J1874" s="12" t="str">
        <f ca="1">IFERROR(__xludf.DUMMYFUNCTION("FILTER('CLASFICACIÓN'!$F$3:$F2419,'CLASFICACIÓN'!$G$3:$G2419=M1874)"),"2023 Y 2024")</f>
        <v>2023 Y 2024</v>
      </c>
      <c r="K1874" s="12" t="s">
        <v>2011</v>
      </c>
      <c r="L1874" s="11" t="s">
        <v>130</v>
      </c>
      <c r="M1874" s="12" t="str">
        <f t="shared" ca="1" si="7"/>
        <v>14924 DANIEL ALCIDES CARRION2 Primaria</v>
      </c>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4"/>
    </row>
    <row r="1875" spans="1:36" ht="12.5" x14ac:dyDescent="0.25">
      <c r="A1875" s="9">
        <v>498</v>
      </c>
      <c r="B1875" s="10" t="s">
        <v>14</v>
      </c>
      <c r="C1875" s="10" t="s">
        <v>15</v>
      </c>
      <c r="D1875" s="10" t="s">
        <v>45</v>
      </c>
      <c r="E1875" s="11" t="str">
        <f ca="1">IFERROR(__xludf.DUMMYFUNCTION("FILTER(Colegios!$B$2:$B2419,Colegios!$A$2:$A2419=L1875)"),"14924 DANIEL ALCIDES CARRION")</f>
        <v>14924 DANIEL ALCIDES CARRION</v>
      </c>
      <c r="F1875" s="11" t="s">
        <v>17</v>
      </c>
      <c r="G1875" s="10" t="s">
        <v>24</v>
      </c>
      <c r="H1875" s="11" t="s">
        <v>23</v>
      </c>
      <c r="I1875" s="11" t="s">
        <v>113</v>
      </c>
      <c r="J1875" s="12" t="str">
        <f ca="1">IFERROR(__xludf.DUMMYFUNCTION("FILTER('CLASFICACIÓN'!$F$3:$F2419,'CLASFICACIÓN'!$G$3:$G2419=M1875)"),"2023 Y 2024")</f>
        <v>2023 Y 2024</v>
      </c>
      <c r="K1875" s="12" t="s">
        <v>2011</v>
      </c>
      <c r="L1875" s="11" t="s">
        <v>130</v>
      </c>
      <c r="M1875" s="12" t="str">
        <f t="shared" ca="1" si="7"/>
        <v>14924 DANIEL ALCIDES CARRION2 Primaria</v>
      </c>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4"/>
    </row>
    <row r="1876" spans="1:36" ht="12.5" x14ac:dyDescent="0.25">
      <c r="A1876" s="9">
        <v>499</v>
      </c>
      <c r="B1876" s="10" t="s">
        <v>14</v>
      </c>
      <c r="C1876" s="10" t="s">
        <v>15</v>
      </c>
      <c r="D1876" s="10" t="s">
        <v>45</v>
      </c>
      <c r="E1876" s="11" t="str">
        <f ca="1">IFERROR(__xludf.DUMMYFUNCTION("FILTER(Colegios!$B$2:$B2419,Colegios!$A$2:$A2419=L1876)"),"14924 DANIEL ALCIDES CARRION")</f>
        <v>14924 DANIEL ALCIDES CARRION</v>
      </c>
      <c r="F1876" s="11" t="s">
        <v>17</v>
      </c>
      <c r="G1876" s="10" t="s">
        <v>18</v>
      </c>
      <c r="H1876" s="11" t="s">
        <v>19</v>
      </c>
      <c r="I1876" s="11" t="s">
        <v>113</v>
      </c>
      <c r="J1876" s="12" t="str">
        <f ca="1">IFERROR(__xludf.DUMMYFUNCTION("FILTER('CLASFICACIÓN'!$F$3:$F2419,'CLASFICACIÓN'!$G$3:$G2419=M1876)"),"2023 Y 2024")</f>
        <v>2023 Y 2024</v>
      </c>
      <c r="K1876" s="12" t="s">
        <v>2011</v>
      </c>
      <c r="L1876" s="11" t="s">
        <v>130</v>
      </c>
      <c r="M1876" s="12" t="str">
        <f t="shared" ca="1" si="7"/>
        <v>14924 DANIEL ALCIDES CARRION2 Primaria</v>
      </c>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4"/>
    </row>
    <row r="1877" spans="1:36" ht="12.5" x14ac:dyDescent="0.25">
      <c r="A1877" s="9">
        <v>500</v>
      </c>
      <c r="B1877" s="10" t="s">
        <v>14</v>
      </c>
      <c r="C1877" s="10" t="s">
        <v>15</v>
      </c>
      <c r="D1877" s="10" t="s">
        <v>45</v>
      </c>
      <c r="E1877" s="11" t="str">
        <f ca="1">IFERROR(__xludf.DUMMYFUNCTION("FILTER(Colegios!$B$2:$B2419,Colegios!$A$2:$A2419=L1877)"),"14924 DANIEL ALCIDES CARRION")</f>
        <v>14924 DANIEL ALCIDES CARRION</v>
      </c>
      <c r="F1877" s="11" t="s">
        <v>17</v>
      </c>
      <c r="G1877" s="10" t="s">
        <v>24</v>
      </c>
      <c r="H1877" s="11" t="s">
        <v>23</v>
      </c>
      <c r="I1877" s="11" t="s">
        <v>113</v>
      </c>
      <c r="J1877" s="12" t="str">
        <f ca="1">IFERROR(__xludf.DUMMYFUNCTION("FILTER('CLASFICACIÓN'!$F$3:$F2419,'CLASFICACIÓN'!$G$3:$G2419=M1877)"),"2023 Y 2024")</f>
        <v>2023 Y 2024</v>
      </c>
      <c r="K1877" s="12" t="s">
        <v>2011</v>
      </c>
      <c r="L1877" s="11" t="s">
        <v>130</v>
      </c>
      <c r="M1877" s="12" t="str">
        <f t="shared" ca="1" si="7"/>
        <v>14924 DANIEL ALCIDES CARRION2 Primaria</v>
      </c>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4"/>
    </row>
    <row r="1878" spans="1:36" ht="12.5" x14ac:dyDescent="0.25">
      <c r="A1878" s="9">
        <v>501</v>
      </c>
      <c r="B1878" s="10" t="s">
        <v>14</v>
      </c>
      <c r="C1878" s="10" t="s">
        <v>15</v>
      </c>
      <c r="D1878" s="10" t="s">
        <v>45</v>
      </c>
      <c r="E1878" s="11" t="str">
        <f ca="1">IFERROR(__xludf.DUMMYFUNCTION("FILTER(Colegios!$B$2:$B2419,Colegios!$A$2:$A2419=L1878)"),"14924 DANIEL ALCIDES CARRION")</f>
        <v>14924 DANIEL ALCIDES CARRION</v>
      </c>
      <c r="F1878" s="11" t="s">
        <v>17</v>
      </c>
      <c r="G1878" s="10" t="s">
        <v>24</v>
      </c>
      <c r="H1878" s="11" t="s">
        <v>23</v>
      </c>
      <c r="I1878" s="11" t="s">
        <v>113</v>
      </c>
      <c r="J1878" s="12" t="str">
        <f ca="1">IFERROR(__xludf.DUMMYFUNCTION("FILTER('CLASFICACIÓN'!$F$3:$F2419,'CLASFICACIÓN'!$G$3:$G2419=M1878)"),"2023 Y 2024")</f>
        <v>2023 Y 2024</v>
      </c>
      <c r="K1878" s="12" t="s">
        <v>2011</v>
      </c>
      <c r="L1878" s="11" t="s">
        <v>130</v>
      </c>
      <c r="M1878" s="12" t="str">
        <f t="shared" ca="1" si="7"/>
        <v>14924 DANIEL ALCIDES CARRION2 Primaria</v>
      </c>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4"/>
    </row>
    <row r="1879" spans="1:36" ht="12.5" x14ac:dyDescent="0.25">
      <c r="A1879" s="9">
        <v>502</v>
      </c>
      <c r="B1879" s="10" t="s">
        <v>14</v>
      </c>
      <c r="C1879" s="10" t="s">
        <v>15</v>
      </c>
      <c r="D1879" s="10" t="s">
        <v>45</v>
      </c>
      <c r="E1879" s="11" t="str">
        <f ca="1">IFERROR(__xludf.DUMMYFUNCTION("FILTER(Colegios!$B$2:$B2419,Colegios!$A$2:$A2419=L1879)"),"14924 DANIEL ALCIDES CARRION")</f>
        <v>14924 DANIEL ALCIDES CARRION</v>
      </c>
      <c r="F1879" s="11" t="s">
        <v>17</v>
      </c>
      <c r="G1879" s="10" t="s">
        <v>18</v>
      </c>
      <c r="H1879" s="11" t="s">
        <v>23</v>
      </c>
      <c r="I1879" s="11" t="s">
        <v>113</v>
      </c>
      <c r="J1879" s="12" t="str">
        <f ca="1">IFERROR(__xludf.DUMMYFUNCTION("FILTER('CLASFICACIÓN'!$F$3:$F2419,'CLASFICACIÓN'!$G$3:$G2419=M1879)"),"2023 Y 2024")</f>
        <v>2023 Y 2024</v>
      </c>
      <c r="K1879" s="12" t="s">
        <v>2011</v>
      </c>
      <c r="L1879" s="11" t="s">
        <v>130</v>
      </c>
      <c r="M1879" s="12" t="str">
        <f t="shared" ca="1" si="7"/>
        <v>14924 DANIEL ALCIDES CARRION2 Primaria</v>
      </c>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4"/>
    </row>
    <row r="1880" spans="1:36" ht="12.5" x14ac:dyDescent="0.25">
      <c r="A1880" s="9">
        <v>503</v>
      </c>
      <c r="B1880" s="10" t="s">
        <v>14</v>
      </c>
      <c r="C1880" s="10" t="s">
        <v>15</v>
      </c>
      <c r="D1880" s="10" t="s">
        <v>45</v>
      </c>
      <c r="E1880" s="11" t="str">
        <f ca="1">IFERROR(__xludf.DUMMYFUNCTION("FILTER(Colegios!$B$2:$B2419,Colegios!$A$2:$A2419=L1880)"),"14924 DANIEL ALCIDES CARRION")</f>
        <v>14924 DANIEL ALCIDES CARRION</v>
      </c>
      <c r="F1880" s="11" t="s">
        <v>17</v>
      </c>
      <c r="G1880" s="10" t="s">
        <v>18</v>
      </c>
      <c r="H1880" s="11" t="s">
        <v>23</v>
      </c>
      <c r="I1880" s="11" t="s">
        <v>113</v>
      </c>
      <c r="J1880" s="12" t="str">
        <f ca="1">IFERROR(__xludf.DUMMYFUNCTION("FILTER('CLASFICACIÓN'!$F$3:$F2419,'CLASFICACIÓN'!$G$3:$G2419=M1880)"),"2023 Y 2024")</f>
        <v>2023 Y 2024</v>
      </c>
      <c r="K1880" s="12" t="s">
        <v>2011</v>
      </c>
      <c r="L1880" s="11" t="s">
        <v>130</v>
      </c>
      <c r="M1880" s="12" t="str">
        <f t="shared" ca="1" si="7"/>
        <v>14924 DANIEL ALCIDES CARRION2 Primaria</v>
      </c>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4"/>
    </row>
    <row r="1881" spans="1:36" ht="12.5" x14ac:dyDescent="0.25">
      <c r="A1881" s="9">
        <v>504</v>
      </c>
      <c r="B1881" s="10" t="s">
        <v>14</v>
      </c>
      <c r="C1881" s="10" t="s">
        <v>15</v>
      </c>
      <c r="D1881" s="10" t="s">
        <v>45</v>
      </c>
      <c r="E1881" s="11" t="str">
        <f ca="1">IFERROR(__xludf.DUMMYFUNCTION("FILTER(Colegios!$B$2:$B2419,Colegios!$A$2:$A2419=L1881)"),"14924 DANIEL ALCIDES CARRION")</f>
        <v>14924 DANIEL ALCIDES CARRION</v>
      </c>
      <c r="F1881" s="11" t="s">
        <v>17</v>
      </c>
      <c r="G1881" s="10" t="s">
        <v>24</v>
      </c>
      <c r="H1881" s="11" t="s">
        <v>19</v>
      </c>
      <c r="I1881" s="11" t="s">
        <v>113</v>
      </c>
      <c r="J1881" s="12" t="str">
        <f ca="1">IFERROR(__xludf.DUMMYFUNCTION("FILTER('CLASFICACIÓN'!$F$3:$F2419,'CLASFICACIÓN'!$G$3:$G2419=M1881)"),"2023 Y 2024")</f>
        <v>2023 Y 2024</v>
      </c>
      <c r="K1881" s="12" t="s">
        <v>2011</v>
      </c>
      <c r="L1881" s="11" t="s">
        <v>130</v>
      </c>
      <c r="M1881" s="12" t="str">
        <f t="shared" ca="1" si="7"/>
        <v>14924 DANIEL ALCIDES CARRION2 Primaria</v>
      </c>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4"/>
    </row>
    <row r="1882" spans="1:36" ht="12.5" x14ac:dyDescent="0.25">
      <c r="A1882" s="9">
        <v>505</v>
      </c>
      <c r="B1882" s="10" t="s">
        <v>14</v>
      </c>
      <c r="C1882" s="10" t="s">
        <v>15</v>
      </c>
      <c r="D1882" s="10" t="s">
        <v>45</v>
      </c>
      <c r="E1882" s="11" t="str">
        <f ca="1">IFERROR(__xludf.DUMMYFUNCTION("FILTER(Colegios!$B$2:$B2419,Colegios!$A$2:$A2419=L1882)"),"14924 DANIEL ALCIDES CARRION")</f>
        <v>14924 DANIEL ALCIDES CARRION</v>
      </c>
      <c r="F1882" s="11" t="s">
        <v>17</v>
      </c>
      <c r="G1882" s="10" t="s">
        <v>24</v>
      </c>
      <c r="H1882" s="11" t="s">
        <v>23</v>
      </c>
      <c r="I1882" s="11" t="s">
        <v>113</v>
      </c>
      <c r="J1882" s="12" t="str">
        <f ca="1">IFERROR(__xludf.DUMMYFUNCTION("FILTER('CLASFICACIÓN'!$F$3:$F2419,'CLASFICACIÓN'!$G$3:$G2419=M1882)"),"2023 Y 2024")</f>
        <v>2023 Y 2024</v>
      </c>
      <c r="K1882" s="12" t="s">
        <v>2011</v>
      </c>
      <c r="L1882" s="11" t="s">
        <v>130</v>
      </c>
      <c r="M1882" s="12" t="str">
        <f t="shared" ca="1" si="7"/>
        <v>14924 DANIEL ALCIDES CARRION2 Primaria</v>
      </c>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4"/>
    </row>
    <row r="1883" spans="1:36" ht="12.5" x14ac:dyDescent="0.25">
      <c r="A1883" s="9">
        <v>506</v>
      </c>
      <c r="B1883" s="10" t="s">
        <v>14</v>
      </c>
      <c r="C1883" s="10" t="s">
        <v>15</v>
      </c>
      <c r="D1883" s="10" t="s">
        <v>45</v>
      </c>
      <c r="E1883" s="11" t="str">
        <f ca="1">IFERROR(__xludf.DUMMYFUNCTION("FILTER(Colegios!$B$2:$B2419,Colegios!$A$2:$A2419=L1883)"),"14924 DANIEL ALCIDES CARRION")</f>
        <v>14924 DANIEL ALCIDES CARRION</v>
      </c>
      <c r="F1883" s="11" t="s">
        <v>17</v>
      </c>
      <c r="G1883" s="10" t="s">
        <v>18</v>
      </c>
      <c r="H1883" s="11" t="s">
        <v>23</v>
      </c>
      <c r="I1883" s="11" t="s">
        <v>113</v>
      </c>
      <c r="J1883" s="12" t="str">
        <f ca="1">IFERROR(__xludf.DUMMYFUNCTION("FILTER('CLASFICACIÓN'!$F$3:$F2419,'CLASFICACIÓN'!$G$3:$G2419=M1883)"),"2023 Y 2024")</f>
        <v>2023 Y 2024</v>
      </c>
      <c r="K1883" s="12" t="s">
        <v>2011</v>
      </c>
      <c r="L1883" s="11" t="s">
        <v>130</v>
      </c>
      <c r="M1883" s="12" t="str">
        <f t="shared" ca="1" si="7"/>
        <v>14924 DANIEL ALCIDES CARRION2 Primaria</v>
      </c>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4"/>
    </row>
    <row r="1884" spans="1:36" ht="12.5" x14ac:dyDescent="0.25">
      <c r="A1884" s="9">
        <v>507</v>
      </c>
      <c r="B1884" s="10" t="s">
        <v>14</v>
      </c>
      <c r="C1884" s="10" t="s">
        <v>15</v>
      </c>
      <c r="D1884" s="10" t="s">
        <v>45</v>
      </c>
      <c r="E1884" s="11" t="str">
        <f ca="1">IFERROR(__xludf.DUMMYFUNCTION("FILTER(Colegios!$B$2:$B2419,Colegios!$A$2:$A2419=L1884)"),"14924 DANIEL ALCIDES CARRION")</f>
        <v>14924 DANIEL ALCIDES CARRION</v>
      </c>
      <c r="F1884" s="11" t="s">
        <v>17</v>
      </c>
      <c r="G1884" s="10" t="s">
        <v>24</v>
      </c>
      <c r="H1884" s="11" t="s">
        <v>19</v>
      </c>
      <c r="I1884" s="11" t="s">
        <v>113</v>
      </c>
      <c r="J1884" s="12" t="str">
        <f ca="1">IFERROR(__xludf.DUMMYFUNCTION("FILTER('CLASFICACIÓN'!$F$3:$F2419,'CLASFICACIÓN'!$G$3:$G2419=M1884)"),"2023 Y 2024")</f>
        <v>2023 Y 2024</v>
      </c>
      <c r="K1884" s="12" t="s">
        <v>2011</v>
      </c>
      <c r="L1884" s="11" t="s">
        <v>130</v>
      </c>
      <c r="M1884" s="12" t="str">
        <f t="shared" ca="1" si="7"/>
        <v>14924 DANIEL ALCIDES CARRION2 Primaria</v>
      </c>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4"/>
    </row>
    <row r="1885" spans="1:36" ht="12.5" x14ac:dyDescent="0.25">
      <c r="A1885" s="9">
        <v>508</v>
      </c>
      <c r="B1885" s="10" t="s">
        <v>14</v>
      </c>
      <c r="C1885" s="10" t="s">
        <v>15</v>
      </c>
      <c r="D1885" s="10" t="s">
        <v>45</v>
      </c>
      <c r="E1885" s="11" t="str">
        <f ca="1">IFERROR(__xludf.DUMMYFUNCTION("FILTER(Colegios!$B$2:$B2419,Colegios!$A$2:$A2419=L1885)"),"14924 DANIEL ALCIDES CARRION")</f>
        <v>14924 DANIEL ALCIDES CARRION</v>
      </c>
      <c r="F1885" s="11" t="s">
        <v>17</v>
      </c>
      <c r="G1885" s="10" t="s">
        <v>24</v>
      </c>
      <c r="H1885" s="11" t="s">
        <v>23</v>
      </c>
      <c r="I1885" s="11" t="s">
        <v>113</v>
      </c>
      <c r="J1885" s="12" t="str">
        <f ca="1">IFERROR(__xludf.DUMMYFUNCTION("FILTER('CLASFICACIÓN'!$F$3:$F2419,'CLASFICACIÓN'!$G$3:$G2419=M1885)"),"2023 Y 2024")</f>
        <v>2023 Y 2024</v>
      </c>
      <c r="K1885" s="12" t="s">
        <v>2011</v>
      </c>
      <c r="L1885" s="11" t="s">
        <v>130</v>
      </c>
      <c r="M1885" s="12" t="str">
        <f t="shared" ca="1" si="7"/>
        <v>14924 DANIEL ALCIDES CARRION2 Primaria</v>
      </c>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4"/>
    </row>
    <row r="1886" spans="1:36" ht="12.5" x14ac:dyDescent="0.25">
      <c r="A1886" s="9">
        <v>509</v>
      </c>
      <c r="B1886" s="10" t="s">
        <v>14</v>
      </c>
      <c r="C1886" s="10" t="s">
        <v>15</v>
      </c>
      <c r="D1886" s="10" t="s">
        <v>45</v>
      </c>
      <c r="E1886" s="11" t="str">
        <f ca="1">IFERROR(__xludf.DUMMYFUNCTION("FILTER(Colegios!$B$2:$B2419,Colegios!$A$2:$A2419=L1886)"),"14924 DANIEL ALCIDES CARRION")</f>
        <v>14924 DANIEL ALCIDES CARRION</v>
      </c>
      <c r="F1886" s="11" t="s">
        <v>17</v>
      </c>
      <c r="G1886" s="10" t="s">
        <v>24</v>
      </c>
      <c r="H1886" s="11" t="s">
        <v>19</v>
      </c>
      <c r="I1886" s="11" t="s">
        <v>113</v>
      </c>
      <c r="J1886" s="12" t="str">
        <f ca="1">IFERROR(__xludf.DUMMYFUNCTION("FILTER('CLASFICACIÓN'!$F$3:$F2419,'CLASFICACIÓN'!$G$3:$G2419=M1886)"),"2023 Y 2024")</f>
        <v>2023 Y 2024</v>
      </c>
      <c r="K1886" s="12" t="s">
        <v>2011</v>
      </c>
      <c r="L1886" s="11" t="s">
        <v>130</v>
      </c>
      <c r="M1886" s="12" t="str">
        <f t="shared" ca="1" si="7"/>
        <v>14924 DANIEL ALCIDES CARRION2 Primaria</v>
      </c>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4"/>
    </row>
    <row r="1887" spans="1:36" ht="12.5" x14ac:dyDescent="0.25">
      <c r="A1887" s="9">
        <v>510</v>
      </c>
      <c r="B1887" s="10" t="s">
        <v>14</v>
      </c>
      <c r="C1887" s="10" t="s">
        <v>15</v>
      </c>
      <c r="D1887" s="10" t="s">
        <v>45</v>
      </c>
      <c r="E1887" s="11" t="str">
        <f ca="1">IFERROR(__xludf.DUMMYFUNCTION("FILTER(Colegios!$B$2:$B2419,Colegios!$A$2:$A2419=L1887)"),"14924 DANIEL ALCIDES CARRION")</f>
        <v>14924 DANIEL ALCIDES CARRION</v>
      </c>
      <c r="F1887" s="11" t="s">
        <v>17</v>
      </c>
      <c r="G1887" s="10" t="s">
        <v>24</v>
      </c>
      <c r="H1887" s="11" t="s">
        <v>23</v>
      </c>
      <c r="I1887" s="11" t="s">
        <v>113</v>
      </c>
      <c r="J1887" s="12" t="str">
        <f ca="1">IFERROR(__xludf.DUMMYFUNCTION("FILTER('CLASFICACIÓN'!$F$3:$F2419,'CLASFICACIÓN'!$G$3:$G2419=M1887)"),"2023 Y 2024")</f>
        <v>2023 Y 2024</v>
      </c>
      <c r="K1887" s="12" t="s">
        <v>2011</v>
      </c>
      <c r="L1887" s="11" t="s">
        <v>130</v>
      </c>
      <c r="M1887" s="12" t="str">
        <f t="shared" ca="1" si="7"/>
        <v>14924 DANIEL ALCIDES CARRION2 Primaria</v>
      </c>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4"/>
    </row>
    <row r="1888" spans="1:36" ht="12.5" x14ac:dyDescent="0.25">
      <c r="A1888" s="9">
        <v>511</v>
      </c>
      <c r="B1888" s="10" t="s">
        <v>14</v>
      </c>
      <c r="C1888" s="10" t="s">
        <v>15</v>
      </c>
      <c r="D1888" s="10" t="s">
        <v>45</v>
      </c>
      <c r="E1888" s="11" t="str">
        <f ca="1">IFERROR(__xludf.DUMMYFUNCTION("FILTER(Colegios!$B$2:$B2419,Colegios!$A$2:$A2419=L1888)"),"14924 DANIEL ALCIDES CARRION")</f>
        <v>14924 DANIEL ALCIDES CARRION</v>
      </c>
      <c r="F1888" s="11" t="s">
        <v>17</v>
      </c>
      <c r="G1888" s="10" t="s">
        <v>18</v>
      </c>
      <c r="H1888" s="11" t="s">
        <v>19</v>
      </c>
      <c r="I1888" s="11" t="s">
        <v>113</v>
      </c>
      <c r="J1888" s="12" t="str">
        <f ca="1">IFERROR(__xludf.DUMMYFUNCTION("FILTER('CLASFICACIÓN'!$F$3:$F2419,'CLASFICACIÓN'!$G$3:$G2419=M1888)"),"2023 Y 2024")</f>
        <v>2023 Y 2024</v>
      </c>
      <c r="K1888" s="12" t="s">
        <v>2011</v>
      </c>
      <c r="L1888" s="11" t="s">
        <v>130</v>
      </c>
      <c r="M1888" s="12" t="str">
        <f t="shared" ca="1" si="7"/>
        <v>14924 DANIEL ALCIDES CARRION2 Primaria</v>
      </c>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4"/>
    </row>
    <row r="1889" spans="1:36" ht="12.5" x14ac:dyDescent="0.25">
      <c r="A1889" s="9">
        <v>512</v>
      </c>
      <c r="B1889" s="10" t="s">
        <v>14</v>
      </c>
      <c r="C1889" s="10" t="s">
        <v>15</v>
      </c>
      <c r="D1889" s="10" t="s">
        <v>45</v>
      </c>
      <c r="E1889" s="11" t="str">
        <f ca="1">IFERROR(__xludf.DUMMYFUNCTION("FILTER(Colegios!$B$2:$B2419,Colegios!$A$2:$A2419=L1889)"),"14924 DANIEL ALCIDES CARRION")</f>
        <v>14924 DANIEL ALCIDES CARRION</v>
      </c>
      <c r="F1889" s="11" t="s">
        <v>17</v>
      </c>
      <c r="G1889" s="10" t="s">
        <v>24</v>
      </c>
      <c r="H1889" s="11" t="s">
        <v>23</v>
      </c>
      <c r="I1889" s="11" t="s">
        <v>113</v>
      </c>
      <c r="J1889" s="12" t="str">
        <f ca="1">IFERROR(__xludf.DUMMYFUNCTION("FILTER('CLASFICACIÓN'!$F$3:$F2419,'CLASFICACIÓN'!$G$3:$G2419=M1889)"),"2023 Y 2024")</f>
        <v>2023 Y 2024</v>
      </c>
      <c r="K1889" s="12" t="s">
        <v>2011</v>
      </c>
      <c r="L1889" s="11" t="s">
        <v>130</v>
      </c>
      <c r="M1889" s="12" t="str">
        <f t="shared" ca="1" si="7"/>
        <v>14924 DANIEL ALCIDES CARRION2 Primaria</v>
      </c>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4"/>
    </row>
    <row r="1890" spans="1:36" ht="12.5" x14ac:dyDescent="0.25">
      <c r="A1890" s="9">
        <v>513</v>
      </c>
      <c r="B1890" s="10" t="s">
        <v>14</v>
      </c>
      <c r="C1890" s="10" t="s">
        <v>15</v>
      </c>
      <c r="D1890" s="10" t="s">
        <v>45</v>
      </c>
      <c r="E1890" s="11" t="str">
        <f ca="1">IFERROR(__xludf.DUMMYFUNCTION("FILTER(Colegios!$B$2:$B2419,Colegios!$A$2:$A2419=L1890)"),"14924 DANIEL ALCIDES CARRION")</f>
        <v>14924 DANIEL ALCIDES CARRION</v>
      </c>
      <c r="F1890" s="11" t="s">
        <v>17</v>
      </c>
      <c r="G1890" s="10" t="s">
        <v>18</v>
      </c>
      <c r="H1890" s="11" t="s">
        <v>19</v>
      </c>
      <c r="I1890" s="11" t="s">
        <v>113</v>
      </c>
      <c r="J1890" s="12" t="str">
        <f ca="1">IFERROR(__xludf.DUMMYFUNCTION("FILTER('CLASFICACIÓN'!$F$3:$F2419,'CLASFICACIÓN'!$G$3:$G2419=M1890)"),"2023 Y 2024")</f>
        <v>2023 Y 2024</v>
      </c>
      <c r="K1890" s="12" t="s">
        <v>2011</v>
      </c>
      <c r="L1890" s="11" t="s">
        <v>130</v>
      </c>
      <c r="M1890" s="12" t="str">
        <f t="shared" ca="1" si="7"/>
        <v>14924 DANIEL ALCIDES CARRION2 Primaria</v>
      </c>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4"/>
    </row>
    <row r="1891" spans="1:36" ht="12.5" x14ac:dyDescent="0.25">
      <c r="A1891" s="9">
        <v>514</v>
      </c>
      <c r="B1891" s="10" t="s">
        <v>14</v>
      </c>
      <c r="C1891" s="10" t="s">
        <v>15</v>
      </c>
      <c r="D1891" s="10" t="s">
        <v>45</v>
      </c>
      <c r="E1891" s="11" t="str">
        <f ca="1">IFERROR(__xludf.DUMMYFUNCTION("FILTER(Colegios!$B$2:$B2419,Colegios!$A$2:$A2419=L1891)"),"14924 DANIEL ALCIDES CARRION")</f>
        <v>14924 DANIEL ALCIDES CARRION</v>
      </c>
      <c r="F1891" s="11" t="s">
        <v>17</v>
      </c>
      <c r="G1891" s="10" t="s">
        <v>24</v>
      </c>
      <c r="H1891" s="11" t="s">
        <v>19</v>
      </c>
      <c r="I1891" s="11" t="s">
        <v>113</v>
      </c>
      <c r="J1891" s="12" t="str">
        <f ca="1">IFERROR(__xludf.DUMMYFUNCTION("FILTER('CLASFICACIÓN'!$F$3:$F2419,'CLASFICACIÓN'!$G$3:$G2419=M1891)"),"2023 Y 2024")</f>
        <v>2023 Y 2024</v>
      </c>
      <c r="K1891" s="12" t="s">
        <v>2011</v>
      </c>
      <c r="L1891" s="11" t="s">
        <v>130</v>
      </c>
      <c r="M1891" s="12" t="str">
        <f t="shared" ca="1" si="7"/>
        <v>14924 DANIEL ALCIDES CARRION2 Primaria</v>
      </c>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4"/>
    </row>
    <row r="1892" spans="1:36" ht="12.5" x14ac:dyDescent="0.25">
      <c r="A1892" s="9">
        <v>515</v>
      </c>
      <c r="B1892" s="10" t="s">
        <v>14</v>
      </c>
      <c r="C1892" s="10" t="s">
        <v>15</v>
      </c>
      <c r="D1892" s="10" t="s">
        <v>45</v>
      </c>
      <c r="E1892" s="11" t="str">
        <f ca="1">IFERROR(__xludf.DUMMYFUNCTION("FILTER(Colegios!$B$2:$B2419,Colegios!$A$2:$A2419=L1892)"),"14924 DANIEL ALCIDES CARRION")</f>
        <v>14924 DANIEL ALCIDES CARRION</v>
      </c>
      <c r="F1892" s="11" t="s">
        <v>17</v>
      </c>
      <c r="G1892" s="10" t="s">
        <v>18</v>
      </c>
      <c r="H1892" s="11" t="s">
        <v>23</v>
      </c>
      <c r="I1892" s="11" t="s">
        <v>113</v>
      </c>
      <c r="J1892" s="12" t="str">
        <f ca="1">IFERROR(__xludf.DUMMYFUNCTION("FILTER('CLASFICACIÓN'!$F$3:$F2419,'CLASFICACIÓN'!$G$3:$G2419=M1892)"),"2023 Y 2024")</f>
        <v>2023 Y 2024</v>
      </c>
      <c r="K1892" s="12" t="s">
        <v>2011</v>
      </c>
      <c r="L1892" s="11" t="s">
        <v>130</v>
      </c>
      <c r="M1892" s="12" t="str">
        <f t="shared" ca="1" si="7"/>
        <v>14924 DANIEL ALCIDES CARRION2 Primaria</v>
      </c>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4"/>
    </row>
    <row r="1893" spans="1:36" ht="12.5" x14ac:dyDescent="0.25">
      <c r="A1893" s="9">
        <v>516</v>
      </c>
      <c r="B1893" s="10" t="s">
        <v>14</v>
      </c>
      <c r="C1893" s="10" t="s">
        <v>15</v>
      </c>
      <c r="D1893" s="10" t="s">
        <v>45</v>
      </c>
      <c r="E1893" s="11" t="str">
        <f ca="1">IFERROR(__xludf.DUMMYFUNCTION("FILTER(Colegios!$B$2:$B2419,Colegios!$A$2:$A2419=L1893)"),"14924 DANIEL ALCIDES CARRION")</f>
        <v>14924 DANIEL ALCIDES CARRION</v>
      </c>
      <c r="F1893" s="11" t="s">
        <v>17</v>
      </c>
      <c r="G1893" s="10" t="s">
        <v>18</v>
      </c>
      <c r="H1893" s="11" t="s">
        <v>19</v>
      </c>
      <c r="I1893" s="11" t="s">
        <v>113</v>
      </c>
      <c r="J1893" s="12" t="str">
        <f ca="1">IFERROR(__xludf.DUMMYFUNCTION("FILTER('CLASFICACIÓN'!$F$3:$F2419,'CLASFICACIÓN'!$G$3:$G2419=M1893)"),"2023 Y 2024")</f>
        <v>2023 Y 2024</v>
      </c>
      <c r="K1893" s="12" t="s">
        <v>2011</v>
      </c>
      <c r="L1893" s="11" t="s">
        <v>130</v>
      </c>
      <c r="M1893" s="12" t="str">
        <f t="shared" ca="1" si="7"/>
        <v>14924 DANIEL ALCIDES CARRION2 Primaria</v>
      </c>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4"/>
    </row>
    <row r="1894" spans="1:36" ht="12.5" x14ac:dyDescent="0.25">
      <c r="A1894" s="9">
        <v>517</v>
      </c>
      <c r="B1894" s="10" t="s">
        <v>14</v>
      </c>
      <c r="C1894" s="10" t="s">
        <v>15</v>
      </c>
      <c r="D1894" s="10" t="s">
        <v>45</v>
      </c>
      <c r="E1894" s="11" t="str">
        <f ca="1">IFERROR(__xludf.DUMMYFUNCTION("FILTER(Colegios!$B$2:$B2419,Colegios!$A$2:$A2419=L1894)"),"14924 DANIEL ALCIDES CARRION")</f>
        <v>14924 DANIEL ALCIDES CARRION</v>
      </c>
      <c r="F1894" s="11" t="s">
        <v>17</v>
      </c>
      <c r="G1894" s="10" t="s">
        <v>24</v>
      </c>
      <c r="H1894" s="11" t="s">
        <v>23</v>
      </c>
      <c r="I1894" s="11" t="s">
        <v>113</v>
      </c>
      <c r="J1894" s="12" t="str">
        <f ca="1">IFERROR(__xludf.DUMMYFUNCTION("FILTER('CLASFICACIÓN'!$F$3:$F2419,'CLASFICACIÓN'!$G$3:$G2419=M1894)"),"2023 Y 2024")</f>
        <v>2023 Y 2024</v>
      </c>
      <c r="K1894" s="12" t="s">
        <v>2011</v>
      </c>
      <c r="L1894" s="11" t="s">
        <v>130</v>
      </c>
      <c r="M1894" s="12" t="str">
        <f t="shared" ca="1" si="7"/>
        <v>14924 DANIEL ALCIDES CARRION2 Primaria</v>
      </c>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4"/>
    </row>
    <row r="1895" spans="1:36" ht="12.5" x14ac:dyDescent="0.25">
      <c r="A1895" s="9">
        <v>518</v>
      </c>
      <c r="B1895" s="10" t="s">
        <v>14</v>
      </c>
      <c r="C1895" s="10" t="s">
        <v>15</v>
      </c>
      <c r="D1895" s="10" t="s">
        <v>45</v>
      </c>
      <c r="E1895" s="11" t="str">
        <f ca="1">IFERROR(__xludf.DUMMYFUNCTION("FILTER(Colegios!$B$2:$B2419,Colegios!$A$2:$A2419=L1895)"),"14924 DANIEL ALCIDES CARRION")</f>
        <v>14924 DANIEL ALCIDES CARRION</v>
      </c>
      <c r="F1895" s="11" t="s">
        <v>17</v>
      </c>
      <c r="G1895" s="10" t="s">
        <v>24</v>
      </c>
      <c r="H1895" s="11" t="s">
        <v>19</v>
      </c>
      <c r="I1895" s="11" t="s">
        <v>113</v>
      </c>
      <c r="J1895" s="12" t="str">
        <f ca="1">IFERROR(__xludf.DUMMYFUNCTION("FILTER('CLASFICACIÓN'!$F$3:$F2419,'CLASFICACIÓN'!$G$3:$G2419=M1895)"),"2023 Y 2024")</f>
        <v>2023 Y 2024</v>
      </c>
      <c r="K1895" s="12" t="s">
        <v>2011</v>
      </c>
      <c r="L1895" s="11" t="s">
        <v>130</v>
      </c>
      <c r="M1895" s="12" t="str">
        <f t="shared" ca="1" si="7"/>
        <v>14924 DANIEL ALCIDES CARRION2 Primaria</v>
      </c>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4"/>
    </row>
    <row r="1896" spans="1:36" ht="12.5" x14ac:dyDescent="0.25">
      <c r="A1896" s="9">
        <v>519</v>
      </c>
      <c r="B1896" s="10" t="s">
        <v>14</v>
      </c>
      <c r="C1896" s="10" t="s">
        <v>15</v>
      </c>
      <c r="D1896" s="10" t="s">
        <v>45</v>
      </c>
      <c r="E1896" s="11" t="str">
        <f ca="1">IFERROR(__xludf.DUMMYFUNCTION("FILTER(Colegios!$B$2:$B2419,Colegios!$A$2:$A2419=L1896)"),"14924 DANIEL ALCIDES CARRION")</f>
        <v>14924 DANIEL ALCIDES CARRION</v>
      </c>
      <c r="F1896" s="11" t="s">
        <v>17</v>
      </c>
      <c r="G1896" s="10" t="s">
        <v>24</v>
      </c>
      <c r="H1896" s="11" t="s">
        <v>19</v>
      </c>
      <c r="I1896" s="11" t="s">
        <v>113</v>
      </c>
      <c r="J1896" s="12" t="str">
        <f ca="1">IFERROR(__xludf.DUMMYFUNCTION("FILTER('CLASFICACIÓN'!$F$3:$F2419,'CLASFICACIÓN'!$G$3:$G2419=M1896)"),"2023 Y 2024")</f>
        <v>2023 Y 2024</v>
      </c>
      <c r="K1896" s="12" t="s">
        <v>2011</v>
      </c>
      <c r="L1896" s="11" t="s">
        <v>130</v>
      </c>
      <c r="M1896" s="12" t="str">
        <f t="shared" ca="1" si="7"/>
        <v>14924 DANIEL ALCIDES CARRION2 Primaria</v>
      </c>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4"/>
    </row>
    <row r="1897" spans="1:36" ht="12.5" x14ac:dyDescent="0.25">
      <c r="A1897" s="9">
        <v>520</v>
      </c>
      <c r="B1897" s="10" t="s">
        <v>14</v>
      </c>
      <c r="C1897" s="10" t="s">
        <v>15</v>
      </c>
      <c r="D1897" s="10" t="s">
        <v>45</v>
      </c>
      <c r="E1897" s="11" t="str">
        <f ca="1">IFERROR(__xludf.DUMMYFUNCTION("FILTER(Colegios!$B$2:$B2419,Colegios!$A$2:$A2419=L1897)"),"14924 DANIEL ALCIDES CARRION")</f>
        <v>14924 DANIEL ALCIDES CARRION</v>
      </c>
      <c r="F1897" s="11" t="s">
        <v>17</v>
      </c>
      <c r="G1897" s="10" t="s">
        <v>18</v>
      </c>
      <c r="H1897" s="11" t="s">
        <v>19</v>
      </c>
      <c r="I1897" s="11" t="s">
        <v>113</v>
      </c>
      <c r="J1897" s="12" t="str">
        <f ca="1">IFERROR(__xludf.DUMMYFUNCTION("FILTER('CLASFICACIÓN'!$F$3:$F2419,'CLASFICACIÓN'!$G$3:$G2419=M1897)"),"2023 Y 2024")</f>
        <v>2023 Y 2024</v>
      </c>
      <c r="K1897" s="12" t="s">
        <v>2011</v>
      </c>
      <c r="L1897" s="11" t="s">
        <v>130</v>
      </c>
      <c r="M1897" s="12" t="str">
        <f t="shared" ca="1" si="7"/>
        <v>14924 DANIEL ALCIDES CARRION2 Primaria</v>
      </c>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4"/>
    </row>
    <row r="1898" spans="1:36" ht="12.5" x14ac:dyDescent="0.25">
      <c r="A1898" s="9">
        <v>521</v>
      </c>
      <c r="B1898" s="10" t="s">
        <v>14</v>
      </c>
      <c r="C1898" s="10" t="s">
        <v>15</v>
      </c>
      <c r="D1898" s="10" t="s">
        <v>45</v>
      </c>
      <c r="E1898" s="11" t="str">
        <f ca="1">IFERROR(__xludf.DUMMYFUNCTION("FILTER(Colegios!$B$2:$B2419,Colegios!$A$2:$A2419=L1898)"),"14924 DANIEL ALCIDES CARRION")</f>
        <v>14924 DANIEL ALCIDES CARRION</v>
      </c>
      <c r="F1898" s="11" t="s">
        <v>17</v>
      </c>
      <c r="G1898" s="10" t="s">
        <v>18</v>
      </c>
      <c r="H1898" s="11" t="s">
        <v>19</v>
      </c>
      <c r="I1898" s="11" t="s">
        <v>113</v>
      </c>
      <c r="J1898" s="12" t="str">
        <f ca="1">IFERROR(__xludf.DUMMYFUNCTION("FILTER('CLASFICACIÓN'!$F$3:$F2419,'CLASFICACIÓN'!$G$3:$G2419=M1898)"),"2023 Y 2024")</f>
        <v>2023 Y 2024</v>
      </c>
      <c r="K1898" s="12" t="s">
        <v>2011</v>
      </c>
      <c r="L1898" s="11" t="s">
        <v>130</v>
      </c>
      <c r="M1898" s="12" t="str">
        <f t="shared" ca="1" si="7"/>
        <v>14924 DANIEL ALCIDES CARRION2 Primaria</v>
      </c>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4"/>
    </row>
    <row r="1899" spans="1:36" ht="12.5" x14ac:dyDescent="0.25">
      <c r="A1899" s="9">
        <v>522</v>
      </c>
      <c r="B1899" s="10" t="s">
        <v>14</v>
      </c>
      <c r="C1899" s="10" t="s">
        <v>15</v>
      </c>
      <c r="D1899" s="10" t="s">
        <v>45</v>
      </c>
      <c r="E1899" s="11" t="str">
        <f ca="1">IFERROR(__xludf.DUMMYFUNCTION("FILTER(Colegios!$B$2:$B2419,Colegios!$A$2:$A2419=L1899)"),"14924 DANIEL ALCIDES CARRION")</f>
        <v>14924 DANIEL ALCIDES CARRION</v>
      </c>
      <c r="F1899" s="11" t="s">
        <v>17</v>
      </c>
      <c r="G1899" s="10" t="s">
        <v>18</v>
      </c>
      <c r="H1899" s="11" t="s">
        <v>19</v>
      </c>
      <c r="I1899" s="11" t="s">
        <v>113</v>
      </c>
      <c r="J1899" s="12" t="str">
        <f ca="1">IFERROR(__xludf.DUMMYFUNCTION("FILTER('CLASFICACIÓN'!$F$3:$F2419,'CLASFICACIÓN'!$G$3:$G2419=M1899)"),"2023 Y 2024")</f>
        <v>2023 Y 2024</v>
      </c>
      <c r="K1899" s="12" t="s">
        <v>2011</v>
      </c>
      <c r="L1899" s="11" t="s">
        <v>130</v>
      </c>
      <c r="M1899" s="12" t="str">
        <f t="shared" ca="1" si="7"/>
        <v>14924 DANIEL ALCIDES CARRION2 Primaria</v>
      </c>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4"/>
    </row>
    <row r="1900" spans="1:36" ht="12.5" x14ac:dyDescent="0.25">
      <c r="A1900" s="9">
        <v>523</v>
      </c>
      <c r="B1900" s="10" t="s">
        <v>14</v>
      </c>
      <c r="C1900" s="10" t="s">
        <v>15</v>
      </c>
      <c r="D1900" s="10" t="s">
        <v>45</v>
      </c>
      <c r="E1900" s="11" t="str">
        <f ca="1">IFERROR(__xludf.DUMMYFUNCTION("FILTER(Colegios!$B$2:$B2419,Colegios!$A$2:$A2419=L1900)"),"14924 DANIEL ALCIDES CARRION")</f>
        <v>14924 DANIEL ALCIDES CARRION</v>
      </c>
      <c r="F1900" s="11" t="s">
        <v>17</v>
      </c>
      <c r="G1900" s="10" t="s">
        <v>24</v>
      </c>
      <c r="H1900" s="11" t="s">
        <v>23</v>
      </c>
      <c r="I1900" s="11" t="s">
        <v>113</v>
      </c>
      <c r="J1900" s="12" t="str">
        <f ca="1">IFERROR(__xludf.DUMMYFUNCTION("FILTER('CLASFICACIÓN'!$F$3:$F2419,'CLASFICACIÓN'!$G$3:$G2419=M1900)"),"2023 Y 2024")</f>
        <v>2023 Y 2024</v>
      </c>
      <c r="K1900" s="12" t="s">
        <v>2011</v>
      </c>
      <c r="L1900" s="11" t="s">
        <v>130</v>
      </c>
      <c r="M1900" s="12" t="str">
        <f t="shared" ca="1" si="7"/>
        <v>14924 DANIEL ALCIDES CARRION2 Primaria</v>
      </c>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4"/>
    </row>
    <row r="1901" spans="1:36" ht="12.5" x14ac:dyDescent="0.25">
      <c r="A1901" s="9">
        <v>524</v>
      </c>
      <c r="B1901" s="10" t="s">
        <v>14</v>
      </c>
      <c r="C1901" s="10" t="s">
        <v>15</v>
      </c>
      <c r="D1901" s="10" t="s">
        <v>45</v>
      </c>
      <c r="E1901" s="11" t="str">
        <f ca="1">IFERROR(__xludf.DUMMYFUNCTION("FILTER(Colegios!$B$2:$B2419,Colegios!$A$2:$A2419=L1901)"),"14924 DANIEL ALCIDES CARRION")</f>
        <v>14924 DANIEL ALCIDES CARRION</v>
      </c>
      <c r="F1901" s="11" t="s">
        <v>17</v>
      </c>
      <c r="G1901" s="10" t="s">
        <v>18</v>
      </c>
      <c r="H1901" s="11" t="s">
        <v>19</v>
      </c>
      <c r="I1901" s="11" t="s">
        <v>113</v>
      </c>
      <c r="J1901" s="12" t="str">
        <f ca="1">IFERROR(__xludf.DUMMYFUNCTION("FILTER('CLASFICACIÓN'!$F$3:$F2419,'CLASFICACIÓN'!$G$3:$G2419=M1901)"),"2023 Y 2024")</f>
        <v>2023 Y 2024</v>
      </c>
      <c r="K1901" s="12" t="s">
        <v>2011</v>
      </c>
      <c r="L1901" s="11" t="s">
        <v>130</v>
      </c>
      <c r="M1901" s="12" t="str">
        <f t="shared" ca="1" si="7"/>
        <v>14924 DANIEL ALCIDES CARRION2 Primaria</v>
      </c>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4"/>
    </row>
    <row r="1902" spans="1:36" ht="12.5" x14ac:dyDescent="0.25">
      <c r="A1902" s="9">
        <v>525</v>
      </c>
      <c r="B1902" s="10" t="s">
        <v>14</v>
      </c>
      <c r="C1902" s="10" t="s">
        <v>15</v>
      </c>
      <c r="D1902" s="10" t="s">
        <v>45</v>
      </c>
      <c r="E1902" s="11" t="str">
        <f ca="1">IFERROR(__xludf.DUMMYFUNCTION("FILTER(Colegios!$B$2:$B2419,Colegios!$A$2:$A2419=L1902)"),"14924 DANIEL ALCIDES CARRION")</f>
        <v>14924 DANIEL ALCIDES CARRION</v>
      </c>
      <c r="F1902" s="11" t="s">
        <v>17</v>
      </c>
      <c r="G1902" s="10" t="s">
        <v>18</v>
      </c>
      <c r="H1902" s="11" t="s">
        <v>19</v>
      </c>
      <c r="I1902" s="11" t="s">
        <v>113</v>
      </c>
      <c r="J1902" s="12" t="str">
        <f ca="1">IFERROR(__xludf.DUMMYFUNCTION("FILTER('CLASFICACIÓN'!$F$3:$F2419,'CLASFICACIÓN'!$G$3:$G2419=M1902)"),"2023 Y 2024")</f>
        <v>2023 Y 2024</v>
      </c>
      <c r="K1902" s="12" t="s">
        <v>2011</v>
      </c>
      <c r="L1902" s="11" t="s">
        <v>130</v>
      </c>
      <c r="M1902" s="12" t="str">
        <f t="shared" ca="1" si="7"/>
        <v>14924 DANIEL ALCIDES CARRION2 Primaria</v>
      </c>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4"/>
    </row>
    <row r="1903" spans="1:36" ht="12.5" x14ac:dyDescent="0.25">
      <c r="A1903" s="9">
        <v>526</v>
      </c>
      <c r="B1903" s="10" t="s">
        <v>14</v>
      </c>
      <c r="C1903" s="10" t="s">
        <v>15</v>
      </c>
      <c r="D1903" s="10" t="s">
        <v>45</v>
      </c>
      <c r="E1903" s="11" t="str">
        <f ca="1">IFERROR(__xludf.DUMMYFUNCTION("FILTER(Colegios!$B$2:$B2419,Colegios!$A$2:$A2419=L1903)"),"14924 DANIEL ALCIDES CARRION")</f>
        <v>14924 DANIEL ALCIDES CARRION</v>
      </c>
      <c r="F1903" s="11" t="s">
        <v>17</v>
      </c>
      <c r="G1903" s="10" t="s">
        <v>24</v>
      </c>
      <c r="H1903" s="11" t="s">
        <v>19</v>
      </c>
      <c r="I1903" s="11" t="s">
        <v>113</v>
      </c>
      <c r="J1903" s="12" t="str">
        <f ca="1">IFERROR(__xludf.DUMMYFUNCTION("FILTER('CLASFICACIÓN'!$F$3:$F2419,'CLASFICACIÓN'!$G$3:$G2419=M1903)"),"2023 Y 2024")</f>
        <v>2023 Y 2024</v>
      </c>
      <c r="K1903" s="12" t="s">
        <v>2011</v>
      </c>
      <c r="L1903" s="11" t="s">
        <v>130</v>
      </c>
      <c r="M1903" s="12" t="str">
        <f t="shared" ca="1" si="7"/>
        <v>14924 DANIEL ALCIDES CARRION2 Primaria</v>
      </c>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4"/>
    </row>
    <row r="1904" spans="1:36" ht="12.5" x14ac:dyDescent="0.25">
      <c r="A1904" s="9">
        <v>527</v>
      </c>
      <c r="B1904" s="10" t="s">
        <v>14</v>
      </c>
      <c r="C1904" s="10" t="s">
        <v>15</v>
      </c>
      <c r="D1904" s="10" t="s">
        <v>45</v>
      </c>
      <c r="E1904" s="11" t="str">
        <f ca="1">IFERROR(__xludf.DUMMYFUNCTION("FILTER(Colegios!$B$2:$B2419,Colegios!$A$2:$A2419=L1904)"),"14924 DANIEL ALCIDES CARRION")</f>
        <v>14924 DANIEL ALCIDES CARRION</v>
      </c>
      <c r="F1904" s="11" t="s">
        <v>17</v>
      </c>
      <c r="G1904" s="10" t="s">
        <v>24</v>
      </c>
      <c r="H1904" s="11" t="s">
        <v>19</v>
      </c>
      <c r="I1904" s="11" t="s">
        <v>113</v>
      </c>
      <c r="J1904" s="12" t="str">
        <f ca="1">IFERROR(__xludf.DUMMYFUNCTION("FILTER('CLASFICACIÓN'!$F$3:$F2419,'CLASFICACIÓN'!$G$3:$G2419=M1904)"),"2023 Y 2024")</f>
        <v>2023 Y 2024</v>
      </c>
      <c r="K1904" s="12" t="s">
        <v>2011</v>
      </c>
      <c r="L1904" s="11" t="s">
        <v>130</v>
      </c>
      <c r="M1904" s="12" t="str">
        <f t="shared" ca="1" si="7"/>
        <v>14924 DANIEL ALCIDES CARRION2 Primaria</v>
      </c>
      <c r="N1904" s="11"/>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4"/>
    </row>
    <row r="1905" spans="1:36" ht="12.5" x14ac:dyDescent="0.25">
      <c r="A1905" s="9">
        <v>528</v>
      </c>
      <c r="B1905" s="10" t="s">
        <v>14</v>
      </c>
      <c r="C1905" s="10" t="s">
        <v>15</v>
      </c>
      <c r="D1905" s="10" t="s">
        <v>45</v>
      </c>
      <c r="E1905" s="11" t="str">
        <f ca="1">IFERROR(__xludf.DUMMYFUNCTION("FILTER(Colegios!$B$2:$B2419,Colegios!$A$2:$A2419=L1905)"),"14924 DANIEL ALCIDES CARRION")</f>
        <v>14924 DANIEL ALCIDES CARRION</v>
      </c>
      <c r="F1905" s="11" t="s">
        <v>17</v>
      </c>
      <c r="G1905" s="10" t="s">
        <v>18</v>
      </c>
      <c r="H1905" s="11" t="s">
        <v>19</v>
      </c>
      <c r="I1905" s="11" t="s">
        <v>113</v>
      </c>
      <c r="J1905" s="12" t="str">
        <f ca="1">IFERROR(__xludf.DUMMYFUNCTION("FILTER('CLASFICACIÓN'!$F$3:$F2419,'CLASFICACIÓN'!$G$3:$G2419=M1905)"),"2023 Y 2024")</f>
        <v>2023 Y 2024</v>
      </c>
      <c r="K1905" s="12" t="s">
        <v>2011</v>
      </c>
      <c r="L1905" s="11" t="s">
        <v>130</v>
      </c>
      <c r="M1905" s="12" t="str">
        <f t="shared" ca="1" si="7"/>
        <v>14924 DANIEL ALCIDES CARRION2 Primaria</v>
      </c>
      <c r="N1905" s="11"/>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4"/>
    </row>
    <row r="1906" spans="1:36" ht="12.5" x14ac:dyDescent="0.25">
      <c r="A1906" s="9">
        <v>529</v>
      </c>
      <c r="B1906" s="10" t="s">
        <v>14</v>
      </c>
      <c r="C1906" s="10" t="s">
        <v>15</v>
      </c>
      <c r="D1906" s="10" t="s">
        <v>45</v>
      </c>
      <c r="E1906" s="11" t="str">
        <f ca="1">IFERROR(__xludf.DUMMYFUNCTION("FILTER(Colegios!$B$2:$B2419,Colegios!$A$2:$A2419=L1906)"),"14924 DANIEL ALCIDES CARRION")</f>
        <v>14924 DANIEL ALCIDES CARRION</v>
      </c>
      <c r="F1906" s="11" t="s">
        <v>17</v>
      </c>
      <c r="G1906" s="10" t="s">
        <v>24</v>
      </c>
      <c r="H1906" s="11" t="s">
        <v>23</v>
      </c>
      <c r="I1906" s="11" t="s">
        <v>113</v>
      </c>
      <c r="J1906" s="12" t="str">
        <f ca="1">IFERROR(__xludf.DUMMYFUNCTION("FILTER('CLASFICACIÓN'!$F$3:$F2419,'CLASFICACIÓN'!$G$3:$G2419=M1906)"),"2023 Y 2024")</f>
        <v>2023 Y 2024</v>
      </c>
      <c r="K1906" s="12" t="s">
        <v>2011</v>
      </c>
      <c r="L1906" s="11" t="s">
        <v>130</v>
      </c>
      <c r="M1906" s="12" t="str">
        <f t="shared" ca="1" si="7"/>
        <v>14924 DANIEL ALCIDES CARRION2 Primaria</v>
      </c>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4"/>
    </row>
    <row r="1907" spans="1:36" ht="12.5" x14ac:dyDescent="0.25">
      <c r="A1907" s="9">
        <v>530</v>
      </c>
      <c r="B1907" s="10" t="s">
        <v>14</v>
      </c>
      <c r="C1907" s="10" t="s">
        <v>15</v>
      </c>
      <c r="D1907" s="10" t="s">
        <v>45</v>
      </c>
      <c r="E1907" s="11" t="str">
        <f ca="1">IFERROR(__xludf.DUMMYFUNCTION("FILTER(Colegios!$B$2:$B2419,Colegios!$A$2:$A2419=L1907)"),"14924 DANIEL ALCIDES CARRION")</f>
        <v>14924 DANIEL ALCIDES CARRION</v>
      </c>
      <c r="F1907" s="11" t="s">
        <v>17</v>
      </c>
      <c r="G1907" s="10" t="s">
        <v>24</v>
      </c>
      <c r="H1907" s="11" t="s">
        <v>19</v>
      </c>
      <c r="I1907" s="11" t="s">
        <v>113</v>
      </c>
      <c r="J1907" s="12" t="str">
        <f ca="1">IFERROR(__xludf.DUMMYFUNCTION("FILTER('CLASFICACIÓN'!$F$3:$F2419,'CLASFICACIÓN'!$G$3:$G2419=M1907)"),"2023 Y 2024")</f>
        <v>2023 Y 2024</v>
      </c>
      <c r="K1907" s="12" t="s">
        <v>2011</v>
      </c>
      <c r="L1907" s="11" t="s">
        <v>130</v>
      </c>
      <c r="M1907" s="12" t="str">
        <f t="shared" ca="1" si="7"/>
        <v>14924 DANIEL ALCIDES CARRION2 Primaria</v>
      </c>
      <c r="N1907" s="11"/>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4"/>
    </row>
    <row r="1908" spans="1:36" ht="12.5" x14ac:dyDescent="0.25">
      <c r="A1908" s="9">
        <v>531</v>
      </c>
      <c r="B1908" s="10" t="s">
        <v>14</v>
      </c>
      <c r="C1908" s="10" t="s">
        <v>15</v>
      </c>
      <c r="D1908" s="10" t="s">
        <v>45</v>
      </c>
      <c r="E1908" s="11" t="str">
        <f ca="1">IFERROR(__xludf.DUMMYFUNCTION("FILTER(Colegios!$B$2:$B2419,Colegios!$A$2:$A2419=L1908)"),"14924 DANIEL ALCIDES CARRION")</f>
        <v>14924 DANIEL ALCIDES CARRION</v>
      </c>
      <c r="F1908" s="11" t="s">
        <v>17</v>
      </c>
      <c r="G1908" s="10" t="s">
        <v>24</v>
      </c>
      <c r="H1908" s="11" t="s">
        <v>23</v>
      </c>
      <c r="I1908" s="11" t="s">
        <v>113</v>
      </c>
      <c r="J1908" s="12" t="str">
        <f ca="1">IFERROR(__xludf.DUMMYFUNCTION("FILTER('CLASFICACIÓN'!$F$3:$F2419,'CLASFICACIÓN'!$G$3:$G2419=M1908)"),"2023 Y 2024")</f>
        <v>2023 Y 2024</v>
      </c>
      <c r="K1908" s="12" t="s">
        <v>2011</v>
      </c>
      <c r="L1908" s="11" t="s">
        <v>130</v>
      </c>
      <c r="M1908" s="12" t="str">
        <f t="shared" ca="1" si="7"/>
        <v>14924 DANIEL ALCIDES CARRION2 Primaria</v>
      </c>
      <c r="N1908" s="11"/>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4"/>
    </row>
    <row r="1909" spans="1:36" ht="12.5" x14ac:dyDescent="0.25">
      <c r="A1909" s="9">
        <v>532</v>
      </c>
      <c r="B1909" s="10" t="s">
        <v>14</v>
      </c>
      <c r="C1909" s="10" t="s">
        <v>15</v>
      </c>
      <c r="D1909" s="10" t="s">
        <v>45</v>
      </c>
      <c r="E1909" s="11" t="str">
        <f ca="1">IFERROR(__xludf.DUMMYFUNCTION("FILTER(Colegios!$B$2:$B2419,Colegios!$A$2:$A2419=L1909)"),"14924 DANIEL ALCIDES CARRION")</f>
        <v>14924 DANIEL ALCIDES CARRION</v>
      </c>
      <c r="F1909" s="11" t="s">
        <v>17</v>
      </c>
      <c r="G1909" s="10" t="s">
        <v>24</v>
      </c>
      <c r="H1909" s="11" t="s">
        <v>19</v>
      </c>
      <c r="I1909" s="11" t="s">
        <v>113</v>
      </c>
      <c r="J1909" s="12" t="str">
        <f ca="1">IFERROR(__xludf.DUMMYFUNCTION("FILTER('CLASFICACIÓN'!$F$3:$F2419,'CLASFICACIÓN'!$G$3:$G2419=M1909)"),"2023 Y 2024")</f>
        <v>2023 Y 2024</v>
      </c>
      <c r="K1909" s="12" t="s">
        <v>2011</v>
      </c>
      <c r="L1909" s="11" t="s">
        <v>130</v>
      </c>
      <c r="M1909" s="12" t="str">
        <f t="shared" ca="1" si="7"/>
        <v>14924 DANIEL ALCIDES CARRION2 Primaria</v>
      </c>
      <c r="N1909" s="11"/>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4"/>
    </row>
    <row r="1910" spans="1:36" ht="12.5" x14ac:dyDescent="0.25">
      <c r="A1910" s="9">
        <v>533</v>
      </c>
      <c r="B1910" s="10" t="s">
        <v>14</v>
      </c>
      <c r="C1910" s="10" t="s">
        <v>15</v>
      </c>
      <c r="D1910" s="10" t="s">
        <v>45</v>
      </c>
      <c r="E1910" s="11" t="str">
        <f ca="1">IFERROR(__xludf.DUMMYFUNCTION("FILTER(Colegios!$B$2:$B2419,Colegios!$A$2:$A2419=L1910)"),"14924 DANIEL ALCIDES CARRION")</f>
        <v>14924 DANIEL ALCIDES CARRION</v>
      </c>
      <c r="F1910" s="11" t="s">
        <v>17</v>
      </c>
      <c r="G1910" s="10" t="s">
        <v>24</v>
      </c>
      <c r="H1910" s="11" t="s">
        <v>23</v>
      </c>
      <c r="I1910" s="11" t="s">
        <v>113</v>
      </c>
      <c r="J1910" s="12" t="str">
        <f ca="1">IFERROR(__xludf.DUMMYFUNCTION("FILTER('CLASFICACIÓN'!$F$3:$F2419,'CLASFICACIÓN'!$G$3:$G2419=M1910)"),"2023 Y 2024")</f>
        <v>2023 Y 2024</v>
      </c>
      <c r="K1910" s="12" t="s">
        <v>2011</v>
      </c>
      <c r="L1910" s="11" t="s">
        <v>130</v>
      </c>
      <c r="M1910" s="12" t="str">
        <f t="shared" ca="1" si="7"/>
        <v>14924 DANIEL ALCIDES CARRION2 Primaria</v>
      </c>
      <c r="N1910" s="11"/>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4"/>
    </row>
    <row r="1911" spans="1:36" ht="12.5" x14ac:dyDescent="0.25">
      <c r="A1911" s="9">
        <v>534</v>
      </c>
      <c r="B1911" s="10" t="s">
        <v>14</v>
      </c>
      <c r="C1911" s="10" t="s">
        <v>15</v>
      </c>
      <c r="D1911" s="10" t="s">
        <v>45</v>
      </c>
      <c r="E1911" s="11" t="str">
        <f ca="1">IFERROR(__xludf.DUMMYFUNCTION("FILTER(Colegios!$B$2:$B2419,Colegios!$A$2:$A2419=L1911)"),"14924 DANIEL ALCIDES CARRION")</f>
        <v>14924 DANIEL ALCIDES CARRION</v>
      </c>
      <c r="F1911" s="11" t="s">
        <v>17</v>
      </c>
      <c r="G1911" s="10" t="s">
        <v>24</v>
      </c>
      <c r="H1911" s="11" t="s">
        <v>19</v>
      </c>
      <c r="I1911" s="11" t="s">
        <v>113</v>
      </c>
      <c r="J1911" s="12" t="str">
        <f ca="1">IFERROR(__xludf.DUMMYFUNCTION("FILTER('CLASFICACIÓN'!$F$3:$F2419,'CLASFICACIÓN'!$G$3:$G2419=M1911)"),"2023 Y 2024")</f>
        <v>2023 Y 2024</v>
      </c>
      <c r="K1911" s="12" t="s">
        <v>2011</v>
      </c>
      <c r="L1911" s="11" t="s">
        <v>130</v>
      </c>
      <c r="M1911" s="12" t="str">
        <f t="shared" ca="1" si="7"/>
        <v>14924 DANIEL ALCIDES CARRION2 Primaria</v>
      </c>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4"/>
    </row>
    <row r="1912" spans="1:36" ht="12.5" x14ac:dyDescent="0.25">
      <c r="A1912" s="9">
        <v>535</v>
      </c>
      <c r="B1912" s="10" t="s">
        <v>14</v>
      </c>
      <c r="C1912" s="10" t="s">
        <v>15</v>
      </c>
      <c r="D1912" s="10" t="s">
        <v>45</v>
      </c>
      <c r="E1912" s="11" t="str">
        <f ca="1">IFERROR(__xludf.DUMMYFUNCTION("FILTER(Colegios!$B$2:$B2419,Colegios!$A$2:$A2419=L1912)"),"14924 DANIEL ALCIDES CARRION")</f>
        <v>14924 DANIEL ALCIDES CARRION</v>
      </c>
      <c r="F1912" s="11" t="s">
        <v>17</v>
      </c>
      <c r="G1912" s="10" t="s">
        <v>24</v>
      </c>
      <c r="H1912" s="11" t="s">
        <v>19</v>
      </c>
      <c r="I1912" s="11" t="s">
        <v>113</v>
      </c>
      <c r="J1912" s="12" t="str">
        <f ca="1">IFERROR(__xludf.DUMMYFUNCTION("FILTER('CLASFICACIÓN'!$F$3:$F2419,'CLASFICACIÓN'!$G$3:$G2419=M1912)"),"2023 Y 2024")</f>
        <v>2023 Y 2024</v>
      </c>
      <c r="K1912" s="12" t="s">
        <v>2011</v>
      </c>
      <c r="L1912" s="11" t="s">
        <v>130</v>
      </c>
      <c r="M1912" s="12" t="str">
        <f t="shared" ca="1" si="7"/>
        <v>14924 DANIEL ALCIDES CARRION2 Primaria</v>
      </c>
      <c r="N1912" s="11"/>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4"/>
    </row>
    <row r="1913" spans="1:36" ht="12.5" x14ac:dyDescent="0.25">
      <c r="A1913" s="9">
        <v>536</v>
      </c>
      <c r="B1913" s="10" t="s">
        <v>14</v>
      </c>
      <c r="C1913" s="10" t="s">
        <v>15</v>
      </c>
      <c r="D1913" s="10" t="s">
        <v>45</v>
      </c>
      <c r="E1913" s="11" t="str">
        <f ca="1">IFERROR(__xludf.DUMMYFUNCTION("FILTER(Colegios!$B$2:$B2419,Colegios!$A$2:$A2419=L1913)"),"14924 DANIEL ALCIDES CARRION")</f>
        <v>14924 DANIEL ALCIDES CARRION</v>
      </c>
      <c r="F1913" s="11" t="s">
        <v>17</v>
      </c>
      <c r="G1913" s="10" t="s">
        <v>24</v>
      </c>
      <c r="H1913" s="11" t="s">
        <v>19</v>
      </c>
      <c r="I1913" s="11" t="s">
        <v>113</v>
      </c>
      <c r="J1913" s="12" t="str">
        <f ca="1">IFERROR(__xludf.DUMMYFUNCTION("FILTER('CLASFICACIÓN'!$F$3:$F2419,'CLASFICACIÓN'!$G$3:$G2419=M1913)"),"2023 Y 2024")</f>
        <v>2023 Y 2024</v>
      </c>
      <c r="K1913" s="12" t="s">
        <v>2011</v>
      </c>
      <c r="L1913" s="11" t="s">
        <v>130</v>
      </c>
      <c r="M1913" s="12" t="str">
        <f t="shared" ca="1" si="7"/>
        <v>14924 DANIEL ALCIDES CARRION2 Primaria</v>
      </c>
      <c r="N1913" s="11"/>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4"/>
    </row>
    <row r="1914" spans="1:36" ht="12.5" x14ac:dyDescent="0.25">
      <c r="A1914" s="9">
        <v>537</v>
      </c>
      <c r="B1914" s="10" t="s">
        <v>14</v>
      </c>
      <c r="C1914" s="10" t="s">
        <v>15</v>
      </c>
      <c r="D1914" s="10" t="s">
        <v>45</v>
      </c>
      <c r="E1914" s="11" t="str">
        <f ca="1">IFERROR(__xludf.DUMMYFUNCTION("FILTER(Colegios!$B$2:$B2419,Colegios!$A$2:$A2419=L1914)"),"14924 DANIEL ALCIDES CARRION")</f>
        <v>14924 DANIEL ALCIDES CARRION</v>
      </c>
      <c r="F1914" s="11" t="s">
        <v>17</v>
      </c>
      <c r="G1914" s="10" t="s">
        <v>24</v>
      </c>
      <c r="H1914" s="11" t="s">
        <v>19</v>
      </c>
      <c r="I1914" s="11" t="s">
        <v>113</v>
      </c>
      <c r="J1914" s="12" t="str">
        <f ca="1">IFERROR(__xludf.DUMMYFUNCTION("FILTER('CLASFICACIÓN'!$F$3:$F2419,'CLASFICACIÓN'!$G$3:$G2419=M1914)"),"2023 Y 2024")</f>
        <v>2023 Y 2024</v>
      </c>
      <c r="K1914" s="12" t="s">
        <v>2011</v>
      </c>
      <c r="L1914" s="11" t="s">
        <v>130</v>
      </c>
      <c r="M1914" s="12" t="str">
        <f t="shared" ca="1" si="7"/>
        <v>14924 DANIEL ALCIDES CARRION2 Primaria</v>
      </c>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4"/>
    </row>
    <row r="1915" spans="1:36" ht="12.5" x14ac:dyDescent="0.25">
      <c r="A1915" s="9">
        <v>538</v>
      </c>
      <c r="B1915" s="10" t="s">
        <v>14</v>
      </c>
      <c r="C1915" s="10" t="s">
        <v>15</v>
      </c>
      <c r="D1915" s="10" t="s">
        <v>45</v>
      </c>
      <c r="E1915" s="11" t="str">
        <f ca="1">IFERROR(__xludf.DUMMYFUNCTION("FILTER(Colegios!$B$2:$B2419,Colegios!$A$2:$A2419=L1915)"),"14924 DANIEL ALCIDES CARRION")</f>
        <v>14924 DANIEL ALCIDES CARRION</v>
      </c>
      <c r="F1915" s="11" t="s">
        <v>17</v>
      </c>
      <c r="G1915" s="10" t="s">
        <v>24</v>
      </c>
      <c r="H1915" s="11" t="s">
        <v>19</v>
      </c>
      <c r="I1915" s="11" t="s">
        <v>113</v>
      </c>
      <c r="J1915" s="12" t="str">
        <f ca="1">IFERROR(__xludf.DUMMYFUNCTION("FILTER('CLASFICACIÓN'!$F$3:$F2419,'CLASFICACIÓN'!$G$3:$G2419=M1915)"),"2023 Y 2024")</f>
        <v>2023 Y 2024</v>
      </c>
      <c r="K1915" s="12" t="s">
        <v>2011</v>
      </c>
      <c r="L1915" s="11" t="s">
        <v>130</v>
      </c>
      <c r="M1915" s="12" t="str">
        <f t="shared" ca="1" si="7"/>
        <v>14924 DANIEL ALCIDES CARRION2 Primaria</v>
      </c>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4"/>
    </row>
    <row r="1916" spans="1:36" ht="12.5" x14ac:dyDescent="0.25">
      <c r="A1916" s="9">
        <v>539</v>
      </c>
      <c r="B1916" s="10" t="s">
        <v>14</v>
      </c>
      <c r="C1916" s="10" t="s">
        <v>15</v>
      </c>
      <c r="D1916" s="10" t="s">
        <v>45</v>
      </c>
      <c r="E1916" s="11" t="str">
        <f ca="1">IFERROR(__xludf.DUMMYFUNCTION("FILTER(Colegios!$B$2:$B2419,Colegios!$A$2:$A2419=L1916)"),"14924 DANIEL ALCIDES CARRION")</f>
        <v>14924 DANIEL ALCIDES CARRION</v>
      </c>
      <c r="F1916" s="11" t="s">
        <v>17</v>
      </c>
      <c r="G1916" s="10" t="s">
        <v>18</v>
      </c>
      <c r="H1916" s="11" t="s">
        <v>19</v>
      </c>
      <c r="I1916" s="11" t="s">
        <v>113</v>
      </c>
      <c r="J1916" s="12" t="str">
        <f ca="1">IFERROR(__xludf.DUMMYFUNCTION("FILTER('CLASFICACIÓN'!$F$3:$F2419,'CLASFICACIÓN'!$G$3:$G2419=M1916)"),"2023 Y 2024")</f>
        <v>2023 Y 2024</v>
      </c>
      <c r="K1916" s="12" t="s">
        <v>2011</v>
      </c>
      <c r="L1916" s="11" t="s">
        <v>130</v>
      </c>
      <c r="M1916" s="12" t="str">
        <f t="shared" ca="1" si="7"/>
        <v>14924 DANIEL ALCIDES CARRION2 Primaria</v>
      </c>
      <c r="N1916" s="11"/>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4"/>
    </row>
    <row r="1917" spans="1:36" ht="12.5" x14ac:dyDescent="0.25">
      <c r="A1917" s="9">
        <v>540</v>
      </c>
      <c r="B1917" s="10" t="s">
        <v>14</v>
      </c>
      <c r="C1917" s="10" t="s">
        <v>15</v>
      </c>
      <c r="D1917" s="10" t="s">
        <v>45</v>
      </c>
      <c r="E1917" s="11" t="str">
        <f ca="1">IFERROR(__xludf.DUMMYFUNCTION("FILTER(Colegios!$B$2:$B2419,Colegios!$A$2:$A2419=L1917)"),"14924 DANIEL ALCIDES CARRION")</f>
        <v>14924 DANIEL ALCIDES CARRION</v>
      </c>
      <c r="F1917" s="11" t="s">
        <v>17</v>
      </c>
      <c r="G1917" s="10" t="s">
        <v>18</v>
      </c>
      <c r="H1917" s="11" t="s">
        <v>19</v>
      </c>
      <c r="I1917" s="11" t="s">
        <v>113</v>
      </c>
      <c r="J1917" s="12" t="str">
        <f ca="1">IFERROR(__xludf.DUMMYFUNCTION("FILTER('CLASFICACIÓN'!$F$3:$F2419,'CLASFICACIÓN'!$G$3:$G2419=M1917)"),"2023 Y 2024")</f>
        <v>2023 Y 2024</v>
      </c>
      <c r="K1917" s="12" t="s">
        <v>2011</v>
      </c>
      <c r="L1917" s="11" t="s">
        <v>130</v>
      </c>
      <c r="M1917" s="12" t="str">
        <f t="shared" ca="1" si="7"/>
        <v>14924 DANIEL ALCIDES CARRION2 Primaria</v>
      </c>
      <c r="N1917" s="11"/>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4"/>
    </row>
    <row r="1918" spans="1:36" ht="12.5" x14ac:dyDescent="0.25">
      <c r="A1918" s="9">
        <v>541</v>
      </c>
      <c r="B1918" s="10" t="s">
        <v>14</v>
      </c>
      <c r="C1918" s="10" t="s">
        <v>15</v>
      </c>
      <c r="D1918" s="10" t="s">
        <v>45</v>
      </c>
      <c r="E1918" s="11" t="str">
        <f ca="1">IFERROR(__xludf.DUMMYFUNCTION("FILTER(Colegios!$B$2:$B2419,Colegios!$A$2:$A2419=L1918)"),"14924 DANIEL ALCIDES CARRION")</f>
        <v>14924 DANIEL ALCIDES CARRION</v>
      </c>
      <c r="F1918" s="11" t="s">
        <v>17</v>
      </c>
      <c r="G1918" s="10" t="s">
        <v>18</v>
      </c>
      <c r="H1918" s="11" t="s">
        <v>23</v>
      </c>
      <c r="I1918" s="11" t="s">
        <v>113</v>
      </c>
      <c r="J1918" s="12" t="str">
        <f ca="1">IFERROR(__xludf.DUMMYFUNCTION("FILTER('CLASFICACIÓN'!$F$3:$F2419,'CLASFICACIÓN'!$G$3:$G2419=M1918)"),"2023 Y 2024")</f>
        <v>2023 Y 2024</v>
      </c>
      <c r="K1918" s="12" t="s">
        <v>2011</v>
      </c>
      <c r="L1918" s="11" t="s">
        <v>130</v>
      </c>
      <c r="M1918" s="12" t="str">
        <f t="shared" ca="1" si="7"/>
        <v>14924 DANIEL ALCIDES CARRION2 Primaria</v>
      </c>
      <c r="N1918" s="11"/>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4"/>
    </row>
    <row r="1919" spans="1:36" ht="12.5" x14ac:dyDescent="0.25">
      <c r="A1919" s="9">
        <v>542</v>
      </c>
      <c r="B1919" s="10" t="s">
        <v>14</v>
      </c>
      <c r="C1919" s="10" t="s">
        <v>15</v>
      </c>
      <c r="D1919" s="10" t="s">
        <v>45</v>
      </c>
      <c r="E1919" s="11" t="str">
        <f ca="1">IFERROR(__xludf.DUMMYFUNCTION("FILTER(Colegios!$B$2:$B2419,Colegios!$A$2:$A2419=L1919)"),"14924 DANIEL ALCIDES CARRION")</f>
        <v>14924 DANIEL ALCIDES CARRION</v>
      </c>
      <c r="F1919" s="11" t="s">
        <v>17</v>
      </c>
      <c r="G1919" s="10" t="s">
        <v>24</v>
      </c>
      <c r="H1919" s="11" t="s">
        <v>19</v>
      </c>
      <c r="I1919" s="11" t="s">
        <v>113</v>
      </c>
      <c r="J1919" s="12" t="str">
        <f ca="1">IFERROR(__xludf.DUMMYFUNCTION("FILTER('CLASFICACIÓN'!$F$3:$F2419,'CLASFICACIÓN'!$G$3:$G2419=M1919)"),"2023 Y 2024")</f>
        <v>2023 Y 2024</v>
      </c>
      <c r="K1919" s="12" t="s">
        <v>2011</v>
      </c>
      <c r="L1919" s="11" t="s">
        <v>130</v>
      </c>
      <c r="M1919" s="12" t="str">
        <f t="shared" ca="1" si="7"/>
        <v>14924 DANIEL ALCIDES CARRION2 Primaria</v>
      </c>
      <c r="N1919" s="11"/>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4"/>
    </row>
    <row r="1920" spans="1:36" ht="12.5" x14ac:dyDescent="0.25">
      <c r="A1920" s="9">
        <v>543</v>
      </c>
      <c r="B1920" s="10" t="s">
        <v>14</v>
      </c>
      <c r="C1920" s="10" t="s">
        <v>15</v>
      </c>
      <c r="D1920" s="10" t="s">
        <v>45</v>
      </c>
      <c r="E1920" s="11" t="str">
        <f ca="1">IFERROR(__xludf.DUMMYFUNCTION("FILTER(Colegios!$B$2:$B2419,Colegios!$A$2:$A2419=L1920)"),"14924 DANIEL ALCIDES CARRION")</f>
        <v>14924 DANIEL ALCIDES CARRION</v>
      </c>
      <c r="F1920" s="11" t="s">
        <v>17</v>
      </c>
      <c r="G1920" s="10" t="s">
        <v>18</v>
      </c>
      <c r="H1920" s="11" t="s">
        <v>19</v>
      </c>
      <c r="I1920" s="11" t="s">
        <v>113</v>
      </c>
      <c r="J1920" s="12" t="str">
        <f ca="1">IFERROR(__xludf.DUMMYFUNCTION("FILTER('CLASFICACIÓN'!$F$3:$F2419,'CLASFICACIÓN'!$G$3:$G2419=M1920)"),"2023 Y 2024")</f>
        <v>2023 Y 2024</v>
      </c>
      <c r="K1920" s="12" t="s">
        <v>2011</v>
      </c>
      <c r="L1920" s="11" t="s">
        <v>130</v>
      </c>
      <c r="M1920" s="12" t="str">
        <f t="shared" ca="1" si="7"/>
        <v>14924 DANIEL ALCIDES CARRION2 Primaria</v>
      </c>
      <c r="N1920" s="11"/>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4"/>
    </row>
    <row r="1921" spans="1:36" ht="12.5" x14ac:dyDescent="0.25">
      <c r="A1921" s="9">
        <v>544</v>
      </c>
      <c r="B1921" s="10" t="s">
        <v>14</v>
      </c>
      <c r="C1921" s="10" t="s">
        <v>15</v>
      </c>
      <c r="D1921" s="10" t="s">
        <v>45</v>
      </c>
      <c r="E1921" s="11" t="str">
        <f ca="1">IFERROR(__xludf.DUMMYFUNCTION("FILTER(Colegios!$B$2:$B2419,Colegios!$A$2:$A2419=L1921)"),"14924 DANIEL ALCIDES CARRION")</f>
        <v>14924 DANIEL ALCIDES CARRION</v>
      </c>
      <c r="F1921" s="11" t="s">
        <v>17</v>
      </c>
      <c r="G1921" s="10" t="s">
        <v>18</v>
      </c>
      <c r="H1921" s="11" t="s">
        <v>19</v>
      </c>
      <c r="I1921" s="11" t="s">
        <v>113</v>
      </c>
      <c r="J1921" s="12" t="str">
        <f ca="1">IFERROR(__xludf.DUMMYFUNCTION("FILTER('CLASFICACIÓN'!$F$3:$F2419,'CLASFICACIÓN'!$G$3:$G2419=M1921)"),"2023 Y 2024")</f>
        <v>2023 Y 2024</v>
      </c>
      <c r="K1921" s="12" t="s">
        <v>2011</v>
      </c>
      <c r="L1921" s="11" t="s">
        <v>130</v>
      </c>
      <c r="M1921" s="12" t="str">
        <f t="shared" ca="1" si="7"/>
        <v>14924 DANIEL ALCIDES CARRION2 Primaria</v>
      </c>
      <c r="N1921" s="11"/>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4"/>
    </row>
    <row r="1922" spans="1:36" ht="12.5" x14ac:dyDescent="0.25">
      <c r="A1922" s="9">
        <v>545</v>
      </c>
      <c r="B1922" s="10" t="s">
        <v>14</v>
      </c>
      <c r="C1922" s="10" t="s">
        <v>15</v>
      </c>
      <c r="D1922" s="10" t="s">
        <v>45</v>
      </c>
      <c r="E1922" s="11" t="str">
        <f ca="1">IFERROR(__xludf.DUMMYFUNCTION("FILTER(Colegios!$B$2:$B2419,Colegios!$A$2:$A2419=L1922)"),"14924 DANIEL ALCIDES CARRION")</f>
        <v>14924 DANIEL ALCIDES CARRION</v>
      </c>
      <c r="F1922" s="11" t="s">
        <v>17</v>
      </c>
      <c r="G1922" s="10" t="s">
        <v>18</v>
      </c>
      <c r="H1922" s="11" t="s">
        <v>19</v>
      </c>
      <c r="I1922" s="11" t="s">
        <v>113</v>
      </c>
      <c r="J1922" s="12" t="str">
        <f ca="1">IFERROR(__xludf.DUMMYFUNCTION("FILTER('CLASFICACIÓN'!$F$3:$F2419,'CLASFICACIÓN'!$G$3:$G2419=M1922)"),"2023 Y 2024")</f>
        <v>2023 Y 2024</v>
      </c>
      <c r="K1922" s="12" t="s">
        <v>2011</v>
      </c>
      <c r="L1922" s="11" t="s">
        <v>130</v>
      </c>
      <c r="M1922" s="12" t="str">
        <f t="shared" ca="1" si="7"/>
        <v>14924 DANIEL ALCIDES CARRION2 Primaria</v>
      </c>
      <c r="N1922" s="11"/>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4"/>
    </row>
    <row r="1923" spans="1:36" ht="12.5" x14ac:dyDescent="0.25">
      <c r="A1923" s="9">
        <v>546</v>
      </c>
      <c r="B1923" s="10" t="s">
        <v>14</v>
      </c>
      <c r="C1923" s="10" t="s">
        <v>15</v>
      </c>
      <c r="D1923" s="10" t="s">
        <v>45</v>
      </c>
      <c r="E1923" s="11" t="str">
        <f ca="1">IFERROR(__xludf.DUMMYFUNCTION("FILTER(Colegios!$B$2:$B2419,Colegios!$A$2:$A2419=L1923)"),"14924 DANIEL ALCIDES CARRION")</f>
        <v>14924 DANIEL ALCIDES CARRION</v>
      </c>
      <c r="F1923" s="11" t="s">
        <v>17</v>
      </c>
      <c r="G1923" s="10" t="s">
        <v>18</v>
      </c>
      <c r="H1923" s="11" t="s">
        <v>19</v>
      </c>
      <c r="I1923" s="11" t="s">
        <v>113</v>
      </c>
      <c r="J1923" s="12" t="str">
        <f ca="1">IFERROR(__xludf.DUMMYFUNCTION("FILTER('CLASFICACIÓN'!$F$3:$F2419,'CLASFICACIÓN'!$G$3:$G2419=M1923)"),"2023 Y 2024")</f>
        <v>2023 Y 2024</v>
      </c>
      <c r="K1923" s="12" t="s">
        <v>2011</v>
      </c>
      <c r="L1923" s="11" t="s">
        <v>130</v>
      </c>
      <c r="M1923" s="12" t="str">
        <f t="shared" ca="1" si="7"/>
        <v>14924 DANIEL ALCIDES CARRION2 Primaria</v>
      </c>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4"/>
    </row>
    <row r="1924" spans="1:36" ht="12.5" x14ac:dyDescent="0.25">
      <c r="A1924" s="9">
        <v>547</v>
      </c>
      <c r="B1924" s="10" t="s">
        <v>14</v>
      </c>
      <c r="C1924" s="10" t="s">
        <v>15</v>
      </c>
      <c r="D1924" s="10" t="s">
        <v>37</v>
      </c>
      <c r="E1924" s="11" t="str">
        <f ca="1">IFERROR(__xludf.DUMMYFUNCTION("FILTER(Colegios!$B$2:$B2419,Colegios!$A$2:$A2419=L1924)"),"14045")</f>
        <v>14045</v>
      </c>
      <c r="F1924" s="11" t="s">
        <v>17</v>
      </c>
      <c r="G1924" s="10" t="s">
        <v>24</v>
      </c>
      <c r="H1924" s="11" t="s">
        <v>19</v>
      </c>
      <c r="I1924" s="11" t="s">
        <v>113</v>
      </c>
      <c r="J1924" s="12" t="str">
        <f ca="1">IFERROR(__xludf.DUMMYFUNCTION("FILTER('CLASFICACIÓN'!$F$3:$F2419,'CLASFICACIÓN'!$G$3:$G2419=M1924)"),"2023 Y 2024")</f>
        <v>2023 Y 2024</v>
      </c>
      <c r="K1924" s="12" t="s">
        <v>2012</v>
      </c>
      <c r="L1924" s="11" t="s">
        <v>131</v>
      </c>
      <c r="M1924" s="12" t="str">
        <f t="shared" ca="1" si="7"/>
        <v>140456 Primaria</v>
      </c>
      <c r="N1924" s="11"/>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4"/>
    </row>
    <row r="1925" spans="1:36" ht="12.5" x14ac:dyDescent="0.25">
      <c r="A1925" s="9">
        <v>548</v>
      </c>
      <c r="B1925" s="10" t="s">
        <v>14</v>
      </c>
      <c r="C1925" s="10" t="s">
        <v>15</v>
      </c>
      <c r="D1925" s="10" t="s">
        <v>37</v>
      </c>
      <c r="E1925" s="11" t="str">
        <f ca="1">IFERROR(__xludf.DUMMYFUNCTION("FILTER(Colegios!$B$2:$B2419,Colegios!$A$2:$A2419=L1925)"),"14045")</f>
        <v>14045</v>
      </c>
      <c r="F1925" s="11" t="s">
        <v>17</v>
      </c>
      <c r="G1925" s="10" t="s">
        <v>24</v>
      </c>
      <c r="H1925" s="11" t="s">
        <v>23</v>
      </c>
      <c r="I1925" s="11" t="s">
        <v>113</v>
      </c>
      <c r="J1925" s="12" t="str">
        <f ca="1">IFERROR(__xludf.DUMMYFUNCTION("FILTER('CLASFICACIÓN'!$F$3:$F2419,'CLASFICACIÓN'!$G$3:$G2419=M1925)"),"2023 Y 2024")</f>
        <v>2023 Y 2024</v>
      </c>
      <c r="K1925" s="12" t="s">
        <v>2012</v>
      </c>
      <c r="L1925" s="11" t="s">
        <v>131</v>
      </c>
      <c r="M1925" s="12" t="str">
        <f t="shared" ca="1" si="7"/>
        <v>140456 Primaria</v>
      </c>
      <c r="N1925" s="11"/>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4"/>
    </row>
    <row r="1926" spans="1:36" ht="12.5" x14ac:dyDescent="0.25">
      <c r="A1926" s="9">
        <v>549</v>
      </c>
      <c r="B1926" s="10" t="s">
        <v>14</v>
      </c>
      <c r="C1926" s="10" t="s">
        <v>15</v>
      </c>
      <c r="D1926" s="10" t="s">
        <v>37</v>
      </c>
      <c r="E1926" s="11" t="str">
        <f ca="1">IFERROR(__xludf.DUMMYFUNCTION("FILTER(Colegios!$B$2:$B2419,Colegios!$A$2:$A2419=L1926)"),"14045")</f>
        <v>14045</v>
      </c>
      <c r="F1926" s="11" t="s">
        <v>17</v>
      </c>
      <c r="G1926" s="10" t="s">
        <v>18</v>
      </c>
      <c r="H1926" s="11" t="s">
        <v>23</v>
      </c>
      <c r="I1926" s="11" t="s">
        <v>113</v>
      </c>
      <c r="J1926" s="12" t="str">
        <f ca="1">IFERROR(__xludf.DUMMYFUNCTION("FILTER('CLASFICACIÓN'!$F$3:$F2419,'CLASFICACIÓN'!$G$3:$G2419=M1926)"),"2023 Y 2024")</f>
        <v>2023 Y 2024</v>
      </c>
      <c r="K1926" s="12" t="s">
        <v>2012</v>
      </c>
      <c r="L1926" s="11" t="s">
        <v>131</v>
      </c>
      <c r="M1926" s="12" t="str">
        <f t="shared" ca="1" si="7"/>
        <v>140456 Primaria</v>
      </c>
      <c r="N1926" s="11"/>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4"/>
    </row>
    <row r="1927" spans="1:36" ht="12.5" x14ac:dyDescent="0.25">
      <c r="A1927" s="9">
        <v>550</v>
      </c>
      <c r="B1927" s="10" t="s">
        <v>14</v>
      </c>
      <c r="C1927" s="10" t="s">
        <v>15</v>
      </c>
      <c r="D1927" s="10" t="s">
        <v>37</v>
      </c>
      <c r="E1927" s="11" t="str">
        <f ca="1">IFERROR(__xludf.DUMMYFUNCTION("FILTER(Colegios!$B$2:$B2419,Colegios!$A$2:$A2419=L1927)"),"15220")</f>
        <v>15220</v>
      </c>
      <c r="F1927" s="11" t="s">
        <v>17</v>
      </c>
      <c r="G1927" s="10" t="s">
        <v>18</v>
      </c>
      <c r="H1927" s="11" t="s">
        <v>23</v>
      </c>
      <c r="I1927" s="11" t="s">
        <v>113</v>
      </c>
      <c r="J1927" s="12" t="str">
        <f ca="1">IFERROR(__xludf.DUMMYFUNCTION("FILTER('CLASFICACIÓN'!$F$3:$F2419,'CLASFICACIÓN'!$G$3:$G2419=M1927)"),"2023 Y 2024")</f>
        <v>2023 Y 2024</v>
      </c>
      <c r="K1927" s="12" t="s">
        <v>2012</v>
      </c>
      <c r="L1927" s="11" t="s">
        <v>132</v>
      </c>
      <c r="M1927" s="12" t="str">
        <f t="shared" ca="1" si="7"/>
        <v>152206 Primaria</v>
      </c>
      <c r="N1927" s="11"/>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4"/>
    </row>
    <row r="1928" spans="1:36" ht="12.5" x14ac:dyDescent="0.25">
      <c r="A1928" s="9">
        <v>551</v>
      </c>
      <c r="B1928" s="10" t="s">
        <v>14</v>
      </c>
      <c r="C1928" s="10" t="s">
        <v>15</v>
      </c>
      <c r="D1928" s="10" t="s">
        <v>45</v>
      </c>
      <c r="E1928" s="11" t="str">
        <f ca="1">IFERROR(__xludf.DUMMYFUNCTION("FILTER(Colegios!$B$2:$B2419,Colegios!$A$2:$A2419=L1928)"),"20123")</f>
        <v>20123</v>
      </c>
      <c r="F1928" s="11" t="s">
        <v>17</v>
      </c>
      <c r="G1928" s="10" t="s">
        <v>18</v>
      </c>
      <c r="H1928" s="11" t="s">
        <v>23</v>
      </c>
      <c r="I1928" s="11" t="s">
        <v>113</v>
      </c>
      <c r="J1928" s="12" t="str">
        <f ca="1">IFERROR(__xludf.DUMMYFUNCTION("FILTER('CLASFICACIÓN'!$F$3:$F2419,'CLASFICACIÓN'!$G$3:$G2419=M1928)"),"2023 Y 2024")</f>
        <v>2023 Y 2024</v>
      </c>
      <c r="K1928" s="12" t="s">
        <v>2012</v>
      </c>
      <c r="L1928" s="11" t="s">
        <v>133</v>
      </c>
      <c r="M1928" s="12" t="str">
        <f t="shared" ca="1" si="7"/>
        <v>201232 Primaria</v>
      </c>
      <c r="N1928" s="11"/>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4"/>
    </row>
    <row r="1929" spans="1:36" ht="12.5" x14ac:dyDescent="0.25">
      <c r="A1929" s="9">
        <v>552</v>
      </c>
      <c r="B1929" s="10" t="s">
        <v>14</v>
      </c>
      <c r="C1929" s="10" t="s">
        <v>15</v>
      </c>
      <c r="D1929" s="10" t="s">
        <v>45</v>
      </c>
      <c r="E1929" s="11" t="str">
        <f ca="1">IFERROR(__xludf.DUMMYFUNCTION("FILTER(Colegios!$B$2:$B2419,Colegios!$A$2:$A2419=L1929)"),"20123")</f>
        <v>20123</v>
      </c>
      <c r="F1929" s="11" t="s">
        <v>17</v>
      </c>
      <c r="G1929" s="10" t="s">
        <v>18</v>
      </c>
      <c r="H1929" s="11" t="s">
        <v>23</v>
      </c>
      <c r="I1929" s="11" t="s">
        <v>113</v>
      </c>
      <c r="J1929" s="12" t="str">
        <f ca="1">IFERROR(__xludf.DUMMYFUNCTION("FILTER('CLASFICACIÓN'!$F$3:$F2419,'CLASFICACIÓN'!$G$3:$G2419=M1929)"),"2023 Y 2024")</f>
        <v>2023 Y 2024</v>
      </c>
      <c r="K1929" s="12" t="s">
        <v>2012</v>
      </c>
      <c r="L1929" s="11" t="s">
        <v>133</v>
      </c>
      <c r="M1929" s="12" t="str">
        <f t="shared" ca="1" si="7"/>
        <v>201232 Primaria</v>
      </c>
      <c r="N1929" s="11"/>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4"/>
    </row>
    <row r="1930" spans="1:36" ht="12.5" x14ac:dyDescent="0.25">
      <c r="A1930" s="9">
        <v>553</v>
      </c>
      <c r="B1930" s="10" t="s">
        <v>14</v>
      </c>
      <c r="C1930" s="10" t="s">
        <v>15</v>
      </c>
      <c r="D1930" s="10" t="s">
        <v>45</v>
      </c>
      <c r="E1930" s="11" t="str">
        <f ca="1">IFERROR(__xludf.DUMMYFUNCTION("FILTER(Colegios!$B$2:$B2419,Colegios!$A$2:$A2419=L1930)"),"20123")</f>
        <v>20123</v>
      </c>
      <c r="F1930" s="11" t="s">
        <v>17</v>
      </c>
      <c r="G1930" s="10" t="s">
        <v>24</v>
      </c>
      <c r="H1930" s="11" t="s">
        <v>23</v>
      </c>
      <c r="I1930" s="11" t="s">
        <v>113</v>
      </c>
      <c r="J1930" s="12" t="str">
        <f ca="1">IFERROR(__xludf.DUMMYFUNCTION("FILTER('CLASFICACIÓN'!$F$3:$F2419,'CLASFICACIÓN'!$G$3:$G2419=M1930)"),"2023 Y 2024")</f>
        <v>2023 Y 2024</v>
      </c>
      <c r="K1930" s="12" t="s">
        <v>2012</v>
      </c>
      <c r="L1930" s="11" t="s">
        <v>133</v>
      </c>
      <c r="M1930" s="12" t="str">
        <f t="shared" ca="1" si="7"/>
        <v>201232 Primaria</v>
      </c>
      <c r="N1930" s="11"/>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4"/>
    </row>
    <row r="1931" spans="1:36" ht="12.5" x14ac:dyDescent="0.25">
      <c r="A1931" s="9">
        <v>554</v>
      </c>
      <c r="B1931" s="10" t="s">
        <v>14</v>
      </c>
      <c r="C1931" s="10" t="s">
        <v>15</v>
      </c>
      <c r="D1931" s="10" t="s">
        <v>45</v>
      </c>
      <c r="E1931" s="11" t="str">
        <f ca="1">IFERROR(__xludf.DUMMYFUNCTION("FILTER(Colegios!$B$2:$B2419,Colegios!$A$2:$A2419=L1931)"),"20123")</f>
        <v>20123</v>
      </c>
      <c r="F1931" s="11" t="s">
        <v>17</v>
      </c>
      <c r="G1931" s="10" t="s">
        <v>18</v>
      </c>
      <c r="H1931" s="11" t="s">
        <v>23</v>
      </c>
      <c r="I1931" s="11" t="s">
        <v>113</v>
      </c>
      <c r="J1931" s="12" t="str">
        <f ca="1">IFERROR(__xludf.DUMMYFUNCTION("FILTER('CLASFICACIÓN'!$F$3:$F2419,'CLASFICACIÓN'!$G$3:$G2419=M1931)"),"2023 Y 2024")</f>
        <v>2023 Y 2024</v>
      </c>
      <c r="K1931" s="12" t="s">
        <v>2012</v>
      </c>
      <c r="L1931" s="11" t="s">
        <v>133</v>
      </c>
      <c r="M1931" s="12" t="str">
        <f t="shared" ca="1" si="7"/>
        <v>201232 Primaria</v>
      </c>
      <c r="N1931" s="11"/>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4"/>
    </row>
    <row r="1932" spans="1:36" ht="12.5" x14ac:dyDescent="0.25">
      <c r="A1932" s="9">
        <v>555</v>
      </c>
      <c r="B1932" s="10" t="s">
        <v>14</v>
      </c>
      <c r="C1932" s="10" t="s">
        <v>15</v>
      </c>
      <c r="D1932" s="10" t="s">
        <v>45</v>
      </c>
      <c r="E1932" s="11" t="str">
        <f ca="1">IFERROR(__xludf.DUMMYFUNCTION("FILTER(Colegios!$B$2:$B2419,Colegios!$A$2:$A2419=L1932)"),"20123")</f>
        <v>20123</v>
      </c>
      <c r="F1932" s="11" t="s">
        <v>17</v>
      </c>
      <c r="G1932" s="10" t="s">
        <v>24</v>
      </c>
      <c r="H1932" s="11" t="s">
        <v>23</v>
      </c>
      <c r="I1932" s="11" t="s">
        <v>113</v>
      </c>
      <c r="J1932" s="12" t="str">
        <f ca="1">IFERROR(__xludf.DUMMYFUNCTION("FILTER('CLASFICACIÓN'!$F$3:$F2419,'CLASFICACIÓN'!$G$3:$G2419=M1932)"),"2023 Y 2024")</f>
        <v>2023 Y 2024</v>
      </c>
      <c r="K1932" s="12" t="s">
        <v>2012</v>
      </c>
      <c r="L1932" s="11" t="s">
        <v>133</v>
      </c>
      <c r="M1932" s="12" t="str">
        <f t="shared" ca="1" si="7"/>
        <v>201232 Primaria</v>
      </c>
      <c r="N1932" s="11"/>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4"/>
    </row>
    <row r="1933" spans="1:36" ht="12.5" x14ac:dyDescent="0.25">
      <c r="A1933" s="9">
        <v>556</v>
      </c>
      <c r="B1933" s="10" t="s">
        <v>14</v>
      </c>
      <c r="C1933" s="10" t="s">
        <v>15</v>
      </c>
      <c r="D1933" s="10" t="s">
        <v>45</v>
      </c>
      <c r="E1933" s="11" t="str">
        <f ca="1">IFERROR(__xludf.DUMMYFUNCTION("FILTER(Colegios!$B$2:$B2419,Colegios!$A$2:$A2419=L1933)"),"20123")</f>
        <v>20123</v>
      </c>
      <c r="F1933" s="11" t="s">
        <v>17</v>
      </c>
      <c r="G1933" s="10" t="s">
        <v>24</v>
      </c>
      <c r="H1933" s="11" t="s">
        <v>19</v>
      </c>
      <c r="I1933" s="11" t="s">
        <v>113</v>
      </c>
      <c r="J1933" s="12" t="str">
        <f ca="1">IFERROR(__xludf.DUMMYFUNCTION("FILTER('CLASFICACIÓN'!$F$3:$F2419,'CLASFICACIÓN'!$G$3:$G2419=M1933)"),"2023 Y 2024")</f>
        <v>2023 Y 2024</v>
      </c>
      <c r="K1933" s="12" t="s">
        <v>2012</v>
      </c>
      <c r="L1933" s="11" t="s">
        <v>133</v>
      </c>
      <c r="M1933" s="12" t="str">
        <f t="shared" ca="1" si="7"/>
        <v>201232 Primaria</v>
      </c>
      <c r="N1933" s="11"/>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4"/>
    </row>
    <row r="1934" spans="1:36" ht="12.5" x14ac:dyDescent="0.25">
      <c r="A1934" s="9">
        <v>557</v>
      </c>
      <c r="B1934" s="10" t="s">
        <v>14</v>
      </c>
      <c r="C1934" s="10" t="s">
        <v>15</v>
      </c>
      <c r="D1934" s="10" t="s">
        <v>45</v>
      </c>
      <c r="E1934" s="11" t="str">
        <f ca="1">IFERROR(__xludf.DUMMYFUNCTION("FILTER(Colegios!$B$2:$B2419,Colegios!$A$2:$A2419=L1934)"),"20123")</f>
        <v>20123</v>
      </c>
      <c r="F1934" s="11" t="s">
        <v>17</v>
      </c>
      <c r="G1934" s="10" t="s">
        <v>24</v>
      </c>
      <c r="H1934" s="11" t="s">
        <v>23</v>
      </c>
      <c r="I1934" s="11" t="s">
        <v>113</v>
      </c>
      <c r="J1934" s="12" t="str">
        <f ca="1">IFERROR(__xludf.DUMMYFUNCTION("FILTER('CLASFICACIÓN'!$F$3:$F2419,'CLASFICACIÓN'!$G$3:$G2419=M1934)"),"2023 Y 2024")</f>
        <v>2023 Y 2024</v>
      </c>
      <c r="K1934" s="12" t="s">
        <v>2012</v>
      </c>
      <c r="L1934" s="11" t="s">
        <v>133</v>
      </c>
      <c r="M1934" s="12" t="str">
        <f t="shared" ca="1" si="7"/>
        <v>201232 Primaria</v>
      </c>
      <c r="N1934" s="11"/>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4"/>
    </row>
    <row r="1935" spans="1:36" ht="12.5" x14ac:dyDescent="0.25">
      <c r="A1935" s="9">
        <v>558</v>
      </c>
      <c r="B1935" s="10" t="s">
        <v>14</v>
      </c>
      <c r="C1935" s="10" t="s">
        <v>15</v>
      </c>
      <c r="D1935" s="10" t="s">
        <v>45</v>
      </c>
      <c r="E1935" s="11" t="str">
        <f ca="1">IFERROR(__xludf.DUMMYFUNCTION("FILTER(Colegios!$B$2:$B2419,Colegios!$A$2:$A2419=L1935)"),"14141")</f>
        <v>14141</v>
      </c>
      <c r="F1935" s="11" t="s">
        <v>17</v>
      </c>
      <c r="G1935" s="10" t="s">
        <v>24</v>
      </c>
      <c r="H1935" s="11" t="s">
        <v>23</v>
      </c>
      <c r="I1935" s="11" t="s">
        <v>113</v>
      </c>
      <c r="J1935" s="12" t="str">
        <f ca="1">IFERROR(__xludf.DUMMYFUNCTION("FILTER('CLASFICACIÓN'!$F$3:$F2419,'CLASFICACIÓN'!$G$3:$G2419=M1935)"),"2023 Y 2024")</f>
        <v>2023 Y 2024</v>
      </c>
      <c r="K1935" s="12" t="s">
        <v>2011</v>
      </c>
      <c r="L1935" s="11" t="s">
        <v>134</v>
      </c>
      <c r="M1935" s="12" t="str">
        <f t="shared" ca="1" si="7"/>
        <v>141412 Primaria</v>
      </c>
      <c r="N1935" s="11"/>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4"/>
    </row>
    <row r="1936" spans="1:36" ht="12.5" x14ac:dyDescent="0.25">
      <c r="A1936" s="9">
        <v>559</v>
      </c>
      <c r="B1936" s="10" t="s">
        <v>14</v>
      </c>
      <c r="C1936" s="10" t="s">
        <v>15</v>
      </c>
      <c r="D1936" s="10" t="s">
        <v>45</v>
      </c>
      <c r="E1936" s="11" t="str">
        <f ca="1">IFERROR(__xludf.DUMMYFUNCTION("FILTER(Colegios!$B$2:$B2419,Colegios!$A$2:$A2419=L1936)"),"14141")</f>
        <v>14141</v>
      </c>
      <c r="F1936" s="11" t="s">
        <v>17</v>
      </c>
      <c r="G1936" s="10" t="s">
        <v>24</v>
      </c>
      <c r="H1936" s="11" t="s">
        <v>23</v>
      </c>
      <c r="I1936" s="11" t="s">
        <v>113</v>
      </c>
      <c r="J1936" s="12" t="str">
        <f ca="1">IFERROR(__xludf.DUMMYFUNCTION("FILTER('CLASFICACIÓN'!$F$3:$F2419,'CLASFICACIÓN'!$G$3:$G2419=M1936)"),"2023 Y 2024")</f>
        <v>2023 Y 2024</v>
      </c>
      <c r="K1936" s="12" t="s">
        <v>2011</v>
      </c>
      <c r="L1936" s="11" t="s">
        <v>134</v>
      </c>
      <c r="M1936" s="12" t="str">
        <f t="shared" ca="1" si="7"/>
        <v>141412 Primaria</v>
      </c>
      <c r="N1936" s="11"/>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4"/>
    </row>
    <row r="1937" spans="1:36" ht="12.5" x14ac:dyDescent="0.25">
      <c r="A1937" s="9">
        <v>560</v>
      </c>
      <c r="B1937" s="10" t="s">
        <v>14</v>
      </c>
      <c r="C1937" s="10" t="s">
        <v>15</v>
      </c>
      <c r="D1937" s="10" t="s">
        <v>16</v>
      </c>
      <c r="E1937" s="11" t="str">
        <f ca="1">IFERROR(__xludf.DUMMYFUNCTION("FILTER(Colegios!$B$2:$B2419,Colegios!$A$2:$A2419=L1937)"),"14141")</f>
        <v>14141</v>
      </c>
      <c r="F1937" s="11" t="s">
        <v>17</v>
      </c>
      <c r="G1937" s="10" t="s">
        <v>18</v>
      </c>
      <c r="H1937" s="11" t="s">
        <v>23</v>
      </c>
      <c r="I1937" s="11" t="s">
        <v>113</v>
      </c>
      <c r="J1937" s="12" t="str">
        <f ca="1">IFERROR(__xludf.DUMMYFUNCTION("FILTER('CLASFICACIÓN'!$F$3:$F2419,'CLASFICACIÓN'!$G$3:$G2419=M1937)"),"2023 Y 2024")</f>
        <v>2023 Y 2024</v>
      </c>
      <c r="K1937" s="12" t="s">
        <v>2011</v>
      </c>
      <c r="L1937" s="11" t="s">
        <v>134</v>
      </c>
      <c r="M1937" s="12" t="str">
        <f t="shared" ca="1" si="7"/>
        <v>141414 Primaria</v>
      </c>
      <c r="N1937" s="11"/>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4"/>
    </row>
    <row r="1938" spans="1:36" ht="12.5" x14ac:dyDescent="0.25">
      <c r="A1938" s="9">
        <v>561</v>
      </c>
      <c r="B1938" s="10" t="s">
        <v>14</v>
      </c>
      <c r="C1938" s="10" t="s">
        <v>15</v>
      </c>
      <c r="D1938" s="10" t="s">
        <v>16</v>
      </c>
      <c r="E1938" s="11" t="str">
        <f ca="1">IFERROR(__xludf.DUMMYFUNCTION("FILTER(Colegios!$B$2:$B2419,Colegios!$A$2:$A2419=L1938)"),"14141")</f>
        <v>14141</v>
      </c>
      <c r="F1938" s="11" t="s">
        <v>17</v>
      </c>
      <c r="G1938" s="10" t="s">
        <v>18</v>
      </c>
      <c r="H1938" s="11" t="s">
        <v>19</v>
      </c>
      <c r="I1938" s="11" t="s">
        <v>113</v>
      </c>
      <c r="J1938" s="12" t="str">
        <f ca="1">IFERROR(__xludf.DUMMYFUNCTION("FILTER('CLASFICACIÓN'!$F$3:$F2419,'CLASFICACIÓN'!$G$3:$G2419=M1938)"),"2023 Y 2024")</f>
        <v>2023 Y 2024</v>
      </c>
      <c r="K1938" s="12" t="s">
        <v>2011</v>
      </c>
      <c r="L1938" s="11" t="s">
        <v>134</v>
      </c>
      <c r="M1938" s="12" t="str">
        <f t="shared" ca="1" si="7"/>
        <v>141414 Primaria</v>
      </c>
      <c r="N1938" s="11"/>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4"/>
    </row>
    <row r="1939" spans="1:36" ht="12.5" x14ac:dyDescent="0.25">
      <c r="A1939" s="9">
        <v>562</v>
      </c>
      <c r="B1939" s="10" t="s">
        <v>14</v>
      </c>
      <c r="C1939" s="10" t="s">
        <v>15</v>
      </c>
      <c r="D1939" s="10" t="s">
        <v>16</v>
      </c>
      <c r="E1939" s="11" t="str">
        <f ca="1">IFERROR(__xludf.DUMMYFUNCTION("FILTER(Colegios!$B$2:$B2419,Colegios!$A$2:$A2419=L1939)"),"14141")</f>
        <v>14141</v>
      </c>
      <c r="F1939" s="11" t="s">
        <v>17</v>
      </c>
      <c r="G1939" s="10" t="s">
        <v>18</v>
      </c>
      <c r="H1939" s="11" t="s">
        <v>19</v>
      </c>
      <c r="I1939" s="11" t="s">
        <v>113</v>
      </c>
      <c r="J1939" s="12" t="str">
        <f ca="1">IFERROR(__xludf.DUMMYFUNCTION("FILTER('CLASFICACIÓN'!$F$3:$F2419,'CLASFICACIÓN'!$G$3:$G2419=M1939)"),"2023 Y 2024")</f>
        <v>2023 Y 2024</v>
      </c>
      <c r="K1939" s="12" t="s">
        <v>2011</v>
      </c>
      <c r="L1939" s="11" t="s">
        <v>134</v>
      </c>
      <c r="M1939" s="12" t="str">
        <f t="shared" ca="1" si="7"/>
        <v>141414 Primaria</v>
      </c>
      <c r="N1939" s="11"/>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4"/>
    </row>
    <row r="1940" spans="1:36" ht="12.5" x14ac:dyDescent="0.25">
      <c r="A1940" s="9">
        <v>563</v>
      </c>
      <c r="B1940" s="10" t="s">
        <v>14</v>
      </c>
      <c r="C1940" s="10" t="s">
        <v>15</v>
      </c>
      <c r="D1940" s="10" t="s">
        <v>16</v>
      </c>
      <c r="E1940" s="11" t="str">
        <f ca="1">IFERROR(__xludf.DUMMYFUNCTION("FILTER(Colegios!$B$2:$B2419,Colegios!$A$2:$A2419=L1940)"),"14141")</f>
        <v>14141</v>
      </c>
      <c r="F1940" s="11" t="s">
        <v>17</v>
      </c>
      <c r="G1940" s="10" t="s">
        <v>18</v>
      </c>
      <c r="H1940" s="11" t="s">
        <v>19</v>
      </c>
      <c r="I1940" s="11" t="s">
        <v>113</v>
      </c>
      <c r="J1940" s="12" t="str">
        <f ca="1">IFERROR(__xludf.DUMMYFUNCTION("FILTER('CLASFICACIÓN'!$F$3:$F2419,'CLASFICACIÓN'!$G$3:$G2419=M1940)"),"2023 Y 2024")</f>
        <v>2023 Y 2024</v>
      </c>
      <c r="K1940" s="12" t="s">
        <v>2011</v>
      </c>
      <c r="L1940" s="11" t="s">
        <v>134</v>
      </c>
      <c r="M1940" s="12" t="str">
        <f t="shared" ca="1" si="7"/>
        <v>141414 Primaria</v>
      </c>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4"/>
    </row>
    <row r="1941" spans="1:36" ht="12.5" x14ac:dyDescent="0.25">
      <c r="A1941" s="9">
        <v>564</v>
      </c>
      <c r="B1941" s="10" t="s">
        <v>14</v>
      </c>
      <c r="C1941" s="10" t="s">
        <v>15</v>
      </c>
      <c r="D1941" s="10" t="s">
        <v>16</v>
      </c>
      <c r="E1941" s="11" t="str">
        <f ca="1">IFERROR(__xludf.DUMMYFUNCTION("FILTER(Colegios!$B$2:$B2419,Colegios!$A$2:$A2419=L1941)"),"14141")</f>
        <v>14141</v>
      </c>
      <c r="F1941" s="11" t="s">
        <v>17</v>
      </c>
      <c r="G1941" s="10" t="s">
        <v>18</v>
      </c>
      <c r="H1941" s="11" t="s">
        <v>23</v>
      </c>
      <c r="I1941" s="11" t="s">
        <v>113</v>
      </c>
      <c r="J1941" s="12" t="str">
        <f ca="1">IFERROR(__xludf.DUMMYFUNCTION("FILTER('CLASFICACIÓN'!$F$3:$F2419,'CLASFICACIÓN'!$G$3:$G2419=M1941)"),"2023 Y 2024")</f>
        <v>2023 Y 2024</v>
      </c>
      <c r="K1941" s="12" t="s">
        <v>2011</v>
      </c>
      <c r="L1941" s="11" t="s">
        <v>134</v>
      </c>
      <c r="M1941" s="12" t="str">
        <f t="shared" ca="1" si="7"/>
        <v>141414 Primaria</v>
      </c>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4"/>
    </row>
    <row r="1942" spans="1:36" ht="12.5" x14ac:dyDescent="0.25">
      <c r="A1942" s="9">
        <v>565</v>
      </c>
      <c r="B1942" s="10" t="s">
        <v>14</v>
      </c>
      <c r="C1942" s="10" t="s">
        <v>15</v>
      </c>
      <c r="D1942" s="10" t="s">
        <v>16</v>
      </c>
      <c r="E1942" s="11" t="str">
        <f ca="1">IFERROR(__xludf.DUMMYFUNCTION("FILTER(Colegios!$B$2:$B2419,Colegios!$A$2:$A2419=L1942)"),"14141")</f>
        <v>14141</v>
      </c>
      <c r="F1942" s="11" t="s">
        <v>17</v>
      </c>
      <c r="G1942" s="10" t="s">
        <v>18</v>
      </c>
      <c r="H1942" s="11" t="s">
        <v>23</v>
      </c>
      <c r="I1942" s="11" t="s">
        <v>113</v>
      </c>
      <c r="J1942" s="12" t="str">
        <f ca="1">IFERROR(__xludf.DUMMYFUNCTION("FILTER('CLASFICACIÓN'!$F$3:$F2419,'CLASFICACIÓN'!$G$3:$G2419=M1942)"),"2023 Y 2024")</f>
        <v>2023 Y 2024</v>
      </c>
      <c r="K1942" s="12" t="s">
        <v>2011</v>
      </c>
      <c r="L1942" s="11" t="s">
        <v>134</v>
      </c>
      <c r="M1942" s="12" t="str">
        <f t="shared" ca="1" si="7"/>
        <v>141414 Primaria</v>
      </c>
      <c r="N1942" s="11"/>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4"/>
    </row>
    <row r="1943" spans="1:36" ht="12.5" x14ac:dyDescent="0.25">
      <c r="A1943" s="9">
        <v>566</v>
      </c>
      <c r="B1943" s="10" t="s">
        <v>14</v>
      </c>
      <c r="C1943" s="10" t="s">
        <v>15</v>
      </c>
      <c r="D1943" s="10" t="s">
        <v>37</v>
      </c>
      <c r="E1943" s="11" t="str">
        <f ca="1">IFERROR(__xludf.DUMMYFUNCTION("FILTER(Colegios!$B$2:$B2419,Colegios!$A$2:$A2419=L1943)"),"14141")</f>
        <v>14141</v>
      </c>
      <c r="F1943" s="11" t="s">
        <v>17</v>
      </c>
      <c r="G1943" s="10" t="s">
        <v>18</v>
      </c>
      <c r="H1943" s="11" t="s">
        <v>23</v>
      </c>
      <c r="I1943" s="11" t="s">
        <v>113</v>
      </c>
      <c r="J1943" s="12" t="str">
        <f ca="1">IFERROR(__xludf.DUMMYFUNCTION("FILTER('CLASFICACIÓN'!$F$3:$F2419,'CLASFICACIÓN'!$G$3:$G2419=M1943)"),"2023 Y 2024")</f>
        <v>2023 Y 2024</v>
      </c>
      <c r="K1943" s="12" t="s">
        <v>2011</v>
      </c>
      <c r="L1943" s="11" t="s">
        <v>134</v>
      </c>
      <c r="M1943" s="12" t="str">
        <f t="shared" ca="1" si="7"/>
        <v>141416 Primaria</v>
      </c>
      <c r="N1943" s="11"/>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4"/>
    </row>
    <row r="1944" spans="1:36" ht="12.5" x14ac:dyDescent="0.25">
      <c r="A1944" s="9">
        <v>567</v>
      </c>
      <c r="B1944" s="10" t="s">
        <v>14</v>
      </c>
      <c r="C1944" s="10" t="s">
        <v>15</v>
      </c>
      <c r="D1944" s="10" t="s">
        <v>37</v>
      </c>
      <c r="E1944" s="11" t="str">
        <f ca="1">IFERROR(__xludf.DUMMYFUNCTION("FILTER(Colegios!$B$2:$B2419,Colegios!$A$2:$A2419=L1944)"),"14141")</f>
        <v>14141</v>
      </c>
      <c r="F1944" s="11" t="s">
        <v>17</v>
      </c>
      <c r="G1944" s="10" t="s">
        <v>18</v>
      </c>
      <c r="H1944" s="11" t="s">
        <v>23</v>
      </c>
      <c r="I1944" s="11" t="s">
        <v>113</v>
      </c>
      <c r="J1944" s="12" t="str">
        <f ca="1">IFERROR(__xludf.DUMMYFUNCTION("FILTER('CLASFICACIÓN'!$F$3:$F2419,'CLASFICACIÓN'!$G$3:$G2419=M1944)"),"2023 Y 2024")</f>
        <v>2023 Y 2024</v>
      </c>
      <c r="K1944" s="12" t="s">
        <v>2011</v>
      </c>
      <c r="L1944" s="11" t="s">
        <v>134</v>
      </c>
      <c r="M1944" s="12" t="str">
        <f t="shared" ca="1" si="7"/>
        <v>141416 Primaria</v>
      </c>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4"/>
    </row>
    <row r="1945" spans="1:36" ht="12.5" x14ac:dyDescent="0.25">
      <c r="A1945" s="9">
        <v>568</v>
      </c>
      <c r="B1945" s="10" t="s">
        <v>14</v>
      </c>
      <c r="C1945" s="10" t="s">
        <v>15</v>
      </c>
      <c r="D1945" s="10" t="s">
        <v>37</v>
      </c>
      <c r="E1945" s="11" t="str">
        <f ca="1">IFERROR(__xludf.DUMMYFUNCTION("FILTER(Colegios!$B$2:$B2419,Colegios!$A$2:$A2419=L1945)"),"14141")</f>
        <v>14141</v>
      </c>
      <c r="F1945" s="11" t="s">
        <v>17</v>
      </c>
      <c r="G1945" s="10" t="s">
        <v>18</v>
      </c>
      <c r="H1945" s="11" t="s">
        <v>23</v>
      </c>
      <c r="I1945" s="11" t="s">
        <v>113</v>
      </c>
      <c r="J1945" s="12" t="str">
        <f ca="1">IFERROR(__xludf.DUMMYFUNCTION("FILTER('CLASFICACIÓN'!$F$3:$F2419,'CLASFICACIÓN'!$G$3:$G2419=M1945)"),"2023 Y 2024")</f>
        <v>2023 Y 2024</v>
      </c>
      <c r="K1945" s="12" t="s">
        <v>2011</v>
      </c>
      <c r="L1945" s="11" t="s">
        <v>134</v>
      </c>
      <c r="M1945" s="12" t="str">
        <f t="shared" ca="1" si="7"/>
        <v>141416 Primaria</v>
      </c>
      <c r="N1945" s="11"/>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4"/>
    </row>
    <row r="1946" spans="1:36" ht="12.5" x14ac:dyDescent="0.25">
      <c r="A1946" s="9">
        <v>569</v>
      </c>
      <c r="B1946" s="10" t="s">
        <v>14</v>
      </c>
      <c r="C1946" s="10" t="s">
        <v>15</v>
      </c>
      <c r="D1946" s="10" t="s">
        <v>37</v>
      </c>
      <c r="E1946" s="11" t="str">
        <f ca="1">IFERROR(__xludf.DUMMYFUNCTION("FILTER(Colegios!$B$2:$B2419,Colegios!$A$2:$A2419=L1946)"),"14141")</f>
        <v>14141</v>
      </c>
      <c r="F1946" s="11" t="s">
        <v>17</v>
      </c>
      <c r="G1946" s="10" t="s">
        <v>18</v>
      </c>
      <c r="H1946" s="11" t="s">
        <v>23</v>
      </c>
      <c r="I1946" s="11" t="s">
        <v>113</v>
      </c>
      <c r="J1946" s="12" t="str">
        <f ca="1">IFERROR(__xludf.DUMMYFUNCTION("FILTER('CLASFICACIÓN'!$F$3:$F2419,'CLASFICACIÓN'!$G$3:$G2419=M1946)"),"2023 Y 2024")</f>
        <v>2023 Y 2024</v>
      </c>
      <c r="K1946" s="12" t="s">
        <v>2011</v>
      </c>
      <c r="L1946" s="11" t="s">
        <v>134</v>
      </c>
      <c r="M1946" s="12" t="str">
        <f t="shared" ca="1" si="7"/>
        <v>141416 Primaria</v>
      </c>
      <c r="N1946" s="11"/>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4"/>
    </row>
    <row r="1947" spans="1:36" ht="12.5" x14ac:dyDescent="0.25">
      <c r="A1947" s="9">
        <v>570</v>
      </c>
      <c r="B1947" s="10" t="s">
        <v>14</v>
      </c>
      <c r="C1947" s="10" t="s">
        <v>15</v>
      </c>
      <c r="D1947" s="10" t="s">
        <v>37</v>
      </c>
      <c r="E1947" s="11" t="str">
        <f ca="1">IFERROR(__xludf.DUMMYFUNCTION("FILTER(Colegios!$B$2:$B2419,Colegios!$A$2:$A2419=L1947)"),"14141")</f>
        <v>14141</v>
      </c>
      <c r="F1947" s="11" t="s">
        <v>17</v>
      </c>
      <c r="G1947" s="10" t="s">
        <v>24</v>
      </c>
      <c r="H1947" s="11" t="s">
        <v>23</v>
      </c>
      <c r="I1947" s="11" t="s">
        <v>113</v>
      </c>
      <c r="J1947" s="12" t="str">
        <f ca="1">IFERROR(__xludf.DUMMYFUNCTION("FILTER('CLASFICACIÓN'!$F$3:$F2419,'CLASFICACIÓN'!$G$3:$G2419=M1947)"),"2023 Y 2024")</f>
        <v>2023 Y 2024</v>
      </c>
      <c r="K1947" s="12" t="s">
        <v>2011</v>
      </c>
      <c r="L1947" s="11" t="s">
        <v>134</v>
      </c>
      <c r="M1947" s="12" t="str">
        <f t="shared" ca="1" si="7"/>
        <v>141416 Primaria</v>
      </c>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4"/>
    </row>
    <row r="1948" spans="1:36" ht="12.5" x14ac:dyDescent="0.25">
      <c r="A1948" s="9">
        <v>571</v>
      </c>
      <c r="B1948" s="10" t="s">
        <v>14</v>
      </c>
      <c r="C1948" s="10" t="s">
        <v>15</v>
      </c>
      <c r="D1948" s="10" t="s">
        <v>45</v>
      </c>
      <c r="E1948" s="11" t="str">
        <f ca="1">IFERROR(__xludf.DUMMYFUNCTION("FILTER(Colegios!$B$2:$B2419,Colegios!$A$2:$A2419=L1948)"),"15304")</f>
        <v>15304</v>
      </c>
      <c r="F1948" s="11" t="s">
        <v>17</v>
      </c>
      <c r="G1948" s="10" t="s">
        <v>18</v>
      </c>
      <c r="H1948" s="11" t="s">
        <v>19</v>
      </c>
      <c r="I1948" s="11" t="s">
        <v>113</v>
      </c>
      <c r="J1948" s="12" t="str">
        <f ca="1">IFERROR(__xludf.DUMMYFUNCTION("FILTER('CLASFICACIÓN'!$F$3:$F2419,'CLASFICACIÓN'!$G$3:$G2419=M1948)"),"2023 Y 2024")</f>
        <v>2023 Y 2024</v>
      </c>
      <c r="K1948" s="12" t="s">
        <v>2012</v>
      </c>
      <c r="L1948" s="11" t="s">
        <v>135</v>
      </c>
      <c r="M1948" s="12" t="str">
        <f t="shared" ca="1" si="7"/>
        <v>153042 Primaria</v>
      </c>
      <c r="N1948" s="11"/>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4"/>
    </row>
    <row r="1949" spans="1:36" ht="12.5" x14ac:dyDescent="0.25">
      <c r="A1949" s="9">
        <v>572</v>
      </c>
      <c r="B1949" s="10" t="s">
        <v>14</v>
      </c>
      <c r="C1949" s="10" t="s">
        <v>15</v>
      </c>
      <c r="D1949" s="10" t="s">
        <v>45</v>
      </c>
      <c r="E1949" s="11" t="str">
        <f ca="1">IFERROR(__xludf.DUMMYFUNCTION("FILTER(Colegios!$B$2:$B2419,Colegios!$A$2:$A2419=L1949)"),"15304")</f>
        <v>15304</v>
      </c>
      <c r="F1949" s="11" t="s">
        <v>17</v>
      </c>
      <c r="G1949" s="10" t="s">
        <v>24</v>
      </c>
      <c r="H1949" s="11" t="s">
        <v>23</v>
      </c>
      <c r="I1949" s="11" t="s">
        <v>113</v>
      </c>
      <c r="J1949" s="12" t="str">
        <f ca="1">IFERROR(__xludf.DUMMYFUNCTION("FILTER('CLASFICACIÓN'!$F$3:$F2419,'CLASFICACIÓN'!$G$3:$G2419=M1949)"),"2023 Y 2024")</f>
        <v>2023 Y 2024</v>
      </c>
      <c r="K1949" s="12" t="s">
        <v>2012</v>
      </c>
      <c r="L1949" s="11" t="s">
        <v>135</v>
      </c>
      <c r="M1949" s="12" t="str">
        <f t="shared" ca="1" si="7"/>
        <v>153042 Primaria</v>
      </c>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4"/>
    </row>
    <row r="1950" spans="1:36" ht="12.5" x14ac:dyDescent="0.25">
      <c r="A1950" s="9">
        <v>573</v>
      </c>
      <c r="B1950" s="10" t="s">
        <v>14</v>
      </c>
      <c r="C1950" s="10" t="s">
        <v>15</v>
      </c>
      <c r="D1950" s="10" t="s">
        <v>45</v>
      </c>
      <c r="E1950" s="11" t="str">
        <f ca="1">IFERROR(__xludf.DUMMYFUNCTION("FILTER(Colegios!$B$2:$B2419,Colegios!$A$2:$A2419=L1950)"),"15304")</f>
        <v>15304</v>
      </c>
      <c r="F1950" s="11" t="s">
        <v>17</v>
      </c>
      <c r="G1950" s="10" t="s">
        <v>24</v>
      </c>
      <c r="H1950" s="11" t="s">
        <v>19</v>
      </c>
      <c r="I1950" s="11" t="s">
        <v>113</v>
      </c>
      <c r="J1950" s="12" t="str">
        <f ca="1">IFERROR(__xludf.DUMMYFUNCTION("FILTER('CLASFICACIÓN'!$F$3:$F2419,'CLASFICACIÓN'!$G$3:$G2419=M1950)"),"2023 Y 2024")</f>
        <v>2023 Y 2024</v>
      </c>
      <c r="K1950" s="12" t="s">
        <v>2012</v>
      </c>
      <c r="L1950" s="11" t="s">
        <v>135</v>
      </c>
      <c r="M1950" s="12" t="str">
        <f t="shared" ca="1" si="7"/>
        <v>153042 Primaria</v>
      </c>
      <c r="N1950" s="11"/>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4"/>
    </row>
    <row r="1951" spans="1:36" ht="12.5" x14ac:dyDescent="0.25">
      <c r="A1951" s="9">
        <v>574</v>
      </c>
      <c r="B1951" s="10" t="s">
        <v>14</v>
      </c>
      <c r="C1951" s="10" t="s">
        <v>15</v>
      </c>
      <c r="D1951" s="10" t="s">
        <v>45</v>
      </c>
      <c r="E1951" s="11" t="str">
        <f ca="1">IFERROR(__xludf.DUMMYFUNCTION("FILTER(Colegios!$B$2:$B2419,Colegios!$A$2:$A2419=L1951)"),"15304")</f>
        <v>15304</v>
      </c>
      <c r="F1951" s="11" t="s">
        <v>17</v>
      </c>
      <c r="G1951" s="10" t="s">
        <v>18</v>
      </c>
      <c r="H1951" s="11" t="s">
        <v>23</v>
      </c>
      <c r="I1951" s="11" t="s">
        <v>113</v>
      </c>
      <c r="J1951" s="12" t="str">
        <f ca="1">IFERROR(__xludf.DUMMYFUNCTION("FILTER('CLASFICACIÓN'!$F$3:$F2419,'CLASFICACIÓN'!$G$3:$G2419=M1951)"),"2023 Y 2024")</f>
        <v>2023 Y 2024</v>
      </c>
      <c r="K1951" s="12" t="s">
        <v>2012</v>
      </c>
      <c r="L1951" s="11" t="s">
        <v>135</v>
      </c>
      <c r="M1951" s="12" t="str">
        <f t="shared" ca="1" si="7"/>
        <v>153042 Primaria</v>
      </c>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4"/>
    </row>
    <row r="1952" spans="1:36" ht="12.5" x14ac:dyDescent="0.25">
      <c r="A1952" s="9">
        <v>575</v>
      </c>
      <c r="B1952" s="10" t="s">
        <v>14</v>
      </c>
      <c r="C1952" s="10" t="s">
        <v>15</v>
      </c>
      <c r="D1952" s="10" t="s">
        <v>16</v>
      </c>
      <c r="E1952" s="11" t="str">
        <f ca="1">IFERROR(__xludf.DUMMYFUNCTION("FILTER(Colegios!$B$2:$B2419,Colegios!$A$2:$A2419=L1952)"),"15304")</f>
        <v>15304</v>
      </c>
      <c r="F1952" s="11" t="s">
        <v>17</v>
      </c>
      <c r="G1952" s="10" t="s">
        <v>18</v>
      </c>
      <c r="H1952" s="11" t="s">
        <v>23</v>
      </c>
      <c r="I1952" s="11" t="s">
        <v>113</v>
      </c>
      <c r="J1952" s="12" t="str">
        <f ca="1">IFERROR(__xludf.DUMMYFUNCTION("FILTER('CLASFICACIÓN'!$F$3:$F2419,'CLASFICACIÓN'!$G$3:$G2419=M1952)"),"2023 Y 2024")</f>
        <v>2023 Y 2024</v>
      </c>
      <c r="K1952" s="12" t="s">
        <v>2012</v>
      </c>
      <c r="L1952" s="11" t="s">
        <v>135</v>
      </c>
      <c r="M1952" s="12" t="str">
        <f t="shared" ca="1" si="7"/>
        <v>153044 Primaria</v>
      </c>
      <c r="N1952" s="11"/>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4"/>
    </row>
    <row r="1953" spans="1:36" ht="12.5" x14ac:dyDescent="0.25">
      <c r="A1953" s="9">
        <v>576</v>
      </c>
      <c r="B1953" s="10" t="s">
        <v>14</v>
      </c>
      <c r="C1953" s="10" t="s">
        <v>15</v>
      </c>
      <c r="D1953" s="10" t="s">
        <v>16</v>
      </c>
      <c r="E1953" s="11" t="str">
        <f ca="1">IFERROR(__xludf.DUMMYFUNCTION("FILTER(Colegios!$B$2:$B2419,Colegios!$A$2:$A2419=L1953)"),"15304")</f>
        <v>15304</v>
      </c>
      <c r="F1953" s="11" t="s">
        <v>17</v>
      </c>
      <c r="G1953" s="10" t="s">
        <v>18</v>
      </c>
      <c r="H1953" s="11" t="s">
        <v>19</v>
      </c>
      <c r="I1953" s="11" t="s">
        <v>113</v>
      </c>
      <c r="J1953" s="12" t="str">
        <f ca="1">IFERROR(__xludf.DUMMYFUNCTION("FILTER('CLASFICACIÓN'!$F$3:$F2419,'CLASFICACIÓN'!$G$3:$G2419=M1953)"),"2023 Y 2024")</f>
        <v>2023 Y 2024</v>
      </c>
      <c r="K1953" s="12" t="s">
        <v>2012</v>
      </c>
      <c r="L1953" s="11" t="s">
        <v>135</v>
      </c>
      <c r="M1953" s="12" t="str">
        <f t="shared" ca="1" si="7"/>
        <v>153044 Primaria</v>
      </c>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4"/>
    </row>
    <row r="1954" spans="1:36" ht="12.5" x14ac:dyDescent="0.25">
      <c r="A1954" s="9">
        <v>577</v>
      </c>
      <c r="B1954" s="10" t="s">
        <v>14</v>
      </c>
      <c r="C1954" s="10" t="s">
        <v>15</v>
      </c>
      <c r="D1954" s="10" t="s">
        <v>16</v>
      </c>
      <c r="E1954" s="11" t="str">
        <f ca="1">IFERROR(__xludf.DUMMYFUNCTION("FILTER(Colegios!$B$2:$B2419,Colegios!$A$2:$A2419=L1954)"),"15304")</f>
        <v>15304</v>
      </c>
      <c r="F1954" s="11" t="s">
        <v>17</v>
      </c>
      <c r="G1954" s="10" t="s">
        <v>24</v>
      </c>
      <c r="H1954" s="11" t="s">
        <v>19</v>
      </c>
      <c r="I1954" s="11" t="s">
        <v>113</v>
      </c>
      <c r="J1954" s="12" t="str">
        <f ca="1">IFERROR(__xludf.DUMMYFUNCTION("FILTER('CLASFICACIÓN'!$F$3:$F2419,'CLASFICACIÓN'!$G$3:$G2419=M1954)"),"2023 Y 2024")</f>
        <v>2023 Y 2024</v>
      </c>
      <c r="K1954" s="12" t="s">
        <v>2012</v>
      </c>
      <c r="L1954" s="11" t="s">
        <v>135</v>
      </c>
      <c r="M1954" s="12" t="str">
        <f t="shared" ca="1" si="7"/>
        <v>153044 Primaria</v>
      </c>
      <c r="N1954" s="11"/>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4"/>
    </row>
    <row r="1955" spans="1:36" ht="12.5" x14ac:dyDescent="0.25">
      <c r="A1955" s="9">
        <v>578</v>
      </c>
      <c r="B1955" s="10" t="s">
        <v>14</v>
      </c>
      <c r="C1955" s="10" t="s">
        <v>15</v>
      </c>
      <c r="D1955" s="10" t="s">
        <v>16</v>
      </c>
      <c r="E1955" s="11" t="str">
        <f ca="1">IFERROR(__xludf.DUMMYFUNCTION("FILTER(Colegios!$B$2:$B2419,Colegios!$A$2:$A2419=L1955)"),"15304")</f>
        <v>15304</v>
      </c>
      <c r="F1955" s="11" t="s">
        <v>17</v>
      </c>
      <c r="G1955" s="10" t="s">
        <v>18</v>
      </c>
      <c r="H1955" s="11" t="s">
        <v>19</v>
      </c>
      <c r="I1955" s="11" t="s">
        <v>113</v>
      </c>
      <c r="J1955" s="12" t="str">
        <f ca="1">IFERROR(__xludf.DUMMYFUNCTION("FILTER('CLASFICACIÓN'!$F$3:$F2419,'CLASFICACIÓN'!$G$3:$G2419=M1955)"),"2023 Y 2024")</f>
        <v>2023 Y 2024</v>
      </c>
      <c r="K1955" s="12" t="s">
        <v>2012</v>
      </c>
      <c r="L1955" s="11" t="s">
        <v>135</v>
      </c>
      <c r="M1955" s="12" t="str">
        <f t="shared" ca="1" si="7"/>
        <v>153044 Primaria</v>
      </c>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4"/>
    </row>
    <row r="1956" spans="1:36" ht="12.5" x14ac:dyDescent="0.25">
      <c r="A1956" s="9">
        <v>579</v>
      </c>
      <c r="B1956" s="10" t="s">
        <v>14</v>
      </c>
      <c r="C1956" s="10" t="s">
        <v>15</v>
      </c>
      <c r="D1956" s="10" t="s">
        <v>16</v>
      </c>
      <c r="E1956" s="11" t="str">
        <f ca="1">IFERROR(__xludf.DUMMYFUNCTION("FILTER(Colegios!$B$2:$B2419,Colegios!$A$2:$A2419=L1956)"),"15304")</f>
        <v>15304</v>
      </c>
      <c r="F1956" s="11" t="s">
        <v>17</v>
      </c>
      <c r="G1956" s="10" t="s">
        <v>24</v>
      </c>
      <c r="H1956" s="11" t="s">
        <v>25</v>
      </c>
      <c r="I1956" s="11" t="s">
        <v>113</v>
      </c>
      <c r="J1956" s="12" t="str">
        <f ca="1">IFERROR(__xludf.DUMMYFUNCTION("FILTER('CLASFICACIÓN'!$F$3:$F2419,'CLASFICACIÓN'!$G$3:$G2419=M1956)"),"2023 Y 2024")</f>
        <v>2023 Y 2024</v>
      </c>
      <c r="K1956" s="12" t="s">
        <v>2012</v>
      </c>
      <c r="L1956" s="11" t="s">
        <v>135</v>
      </c>
      <c r="M1956" s="12" t="str">
        <f t="shared" ca="1" si="7"/>
        <v>153044 Primaria</v>
      </c>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4"/>
    </row>
    <row r="1957" spans="1:36" ht="12.5" x14ac:dyDescent="0.25">
      <c r="A1957" s="9">
        <v>580</v>
      </c>
      <c r="B1957" s="10" t="s">
        <v>14</v>
      </c>
      <c r="C1957" s="10" t="s">
        <v>15</v>
      </c>
      <c r="D1957" s="10" t="s">
        <v>16</v>
      </c>
      <c r="E1957" s="11" t="str">
        <f ca="1">IFERROR(__xludf.DUMMYFUNCTION("FILTER(Colegios!$B$2:$B2419,Colegios!$A$2:$A2419=L1957)"),"15304")</f>
        <v>15304</v>
      </c>
      <c r="F1957" s="11" t="s">
        <v>17</v>
      </c>
      <c r="G1957" s="10" t="s">
        <v>18</v>
      </c>
      <c r="H1957" s="11" t="s">
        <v>23</v>
      </c>
      <c r="I1957" s="11" t="s">
        <v>113</v>
      </c>
      <c r="J1957" s="12" t="str">
        <f ca="1">IFERROR(__xludf.DUMMYFUNCTION("FILTER('CLASFICACIÓN'!$F$3:$F2419,'CLASFICACIÓN'!$G$3:$G2419=M1957)"),"2023 Y 2024")</f>
        <v>2023 Y 2024</v>
      </c>
      <c r="K1957" s="12" t="s">
        <v>2012</v>
      </c>
      <c r="L1957" s="11" t="s">
        <v>135</v>
      </c>
      <c r="M1957" s="12" t="str">
        <f t="shared" ca="1" si="7"/>
        <v>153044 Primaria</v>
      </c>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4"/>
    </row>
    <row r="1958" spans="1:36" ht="12.5" x14ac:dyDescent="0.25">
      <c r="A1958" s="9">
        <v>581</v>
      </c>
      <c r="B1958" s="10" t="s">
        <v>14</v>
      </c>
      <c r="C1958" s="10" t="s">
        <v>15</v>
      </c>
      <c r="D1958" s="10" t="s">
        <v>16</v>
      </c>
      <c r="E1958" s="11" t="str">
        <f ca="1">IFERROR(__xludf.DUMMYFUNCTION("FILTER(Colegios!$B$2:$B2419,Colegios!$A$2:$A2419=L1958)"),"15304")</f>
        <v>15304</v>
      </c>
      <c r="F1958" s="11" t="s">
        <v>17</v>
      </c>
      <c r="G1958" s="10" t="s">
        <v>18</v>
      </c>
      <c r="H1958" s="11" t="s">
        <v>23</v>
      </c>
      <c r="I1958" s="11" t="s">
        <v>113</v>
      </c>
      <c r="J1958" s="12" t="str">
        <f ca="1">IFERROR(__xludf.DUMMYFUNCTION("FILTER('CLASFICACIÓN'!$F$3:$F2419,'CLASFICACIÓN'!$G$3:$G2419=M1958)"),"2023 Y 2024")</f>
        <v>2023 Y 2024</v>
      </c>
      <c r="K1958" s="12" t="s">
        <v>2012</v>
      </c>
      <c r="L1958" s="11" t="s">
        <v>135</v>
      </c>
      <c r="M1958" s="12" t="str">
        <f t="shared" ca="1" si="7"/>
        <v>153044 Primaria</v>
      </c>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4"/>
    </row>
    <row r="1959" spans="1:36" ht="12.5" x14ac:dyDescent="0.25">
      <c r="A1959" s="9">
        <v>582</v>
      </c>
      <c r="B1959" s="10" t="s">
        <v>14</v>
      </c>
      <c r="C1959" s="10" t="s">
        <v>15</v>
      </c>
      <c r="D1959" s="10" t="s">
        <v>37</v>
      </c>
      <c r="E1959" s="11" t="str">
        <f ca="1">IFERROR(__xludf.DUMMYFUNCTION("FILTER(Colegios!$B$2:$B2419,Colegios!$A$2:$A2419=L1959)"),"15304")</f>
        <v>15304</v>
      </c>
      <c r="F1959" s="11" t="s">
        <v>17</v>
      </c>
      <c r="G1959" s="10" t="s">
        <v>18</v>
      </c>
      <c r="H1959" s="11" t="s">
        <v>19</v>
      </c>
      <c r="I1959" s="11" t="s">
        <v>113</v>
      </c>
      <c r="J1959" s="12" t="str">
        <f ca="1">IFERROR(__xludf.DUMMYFUNCTION("FILTER('CLASFICACIÓN'!$F$3:$F2419,'CLASFICACIÓN'!$G$3:$G2419=M1959)"),"2023 Y 2024")</f>
        <v>2023 Y 2024</v>
      </c>
      <c r="K1959" s="12" t="s">
        <v>2012</v>
      </c>
      <c r="L1959" s="11" t="s">
        <v>135</v>
      </c>
      <c r="M1959" s="12" t="str">
        <f t="shared" ca="1" si="7"/>
        <v>153046 Primaria</v>
      </c>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4"/>
    </row>
    <row r="1960" spans="1:36" ht="12.5" x14ac:dyDescent="0.25">
      <c r="A1960" s="9">
        <v>583</v>
      </c>
      <c r="B1960" s="10" t="s">
        <v>14</v>
      </c>
      <c r="C1960" s="10" t="s">
        <v>15</v>
      </c>
      <c r="D1960" s="10" t="s">
        <v>37</v>
      </c>
      <c r="E1960" s="11" t="str">
        <f ca="1">IFERROR(__xludf.DUMMYFUNCTION("FILTER(Colegios!$B$2:$B2419,Colegios!$A$2:$A2419=L1960)"),"15304")</f>
        <v>15304</v>
      </c>
      <c r="F1960" s="11" t="s">
        <v>17</v>
      </c>
      <c r="G1960" s="10" t="s">
        <v>18</v>
      </c>
      <c r="H1960" s="11" t="s">
        <v>23</v>
      </c>
      <c r="I1960" s="11" t="s">
        <v>113</v>
      </c>
      <c r="J1960" s="12" t="str">
        <f ca="1">IFERROR(__xludf.DUMMYFUNCTION("FILTER('CLASFICACIÓN'!$F$3:$F2419,'CLASFICACIÓN'!$G$3:$G2419=M1960)"),"2023 Y 2024")</f>
        <v>2023 Y 2024</v>
      </c>
      <c r="K1960" s="12" t="s">
        <v>2012</v>
      </c>
      <c r="L1960" s="11" t="s">
        <v>135</v>
      </c>
      <c r="M1960" s="12" t="str">
        <f t="shared" ca="1" si="7"/>
        <v>153046 Primaria</v>
      </c>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4"/>
    </row>
    <row r="1961" spans="1:36" ht="12.5" x14ac:dyDescent="0.25">
      <c r="A1961" s="9">
        <v>584</v>
      </c>
      <c r="B1961" s="10" t="s">
        <v>14</v>
      </c>
      <c r="C1961" s="10" t="s">
        <v>15</v>
      </c>
      <c r="D1961" s="10" t="s">
        <v>37</v>
      </c>
      <c r="E1961" s="11" t="str">
        <f ca="1">IFERROR(__xludf.DUMMYFUNCTION("FILTER(Colegios!$B$2:$B2419,Colegios!$A$2:$A2419=L1961)"),"15304")</f>
        <v>15304</v>
      </c>
      <c r="F1961" s="11" t="s">
        <v>17</v>
      </c>
      <c r="G1961" s="10" t="s">
        <v>18</v>
      </c>
      <c r="H1961" s="11" t="s">
        <v>23</v>
      </c>
      <c r="I1961" s="11" t="s">
        <v>113</v>
      </c>
      <c r="J1961" s="12" t="str">
        <f ca="1">IFERROR(__xludf.DUMMYFUNCTION("FILTER('CLASFICACIÓN'!$F$3:$F2419,'CLASFICACIÓN'!$G$3:$G2419=M1961)"),"2023 Y 2024")</f>
        <v>2023 Y 2024</v>
      </c>
      <c r="K1961" s="12" t="s">
        <v>2012</v>
      </c>
      <c r="L1961" s="11" t="s">
        <v>135</v>
      </c>
      <c r="M1961" s="12" t="str">
        <f t="shared" ca="1" si="7"/>
        <v>153046 Primaria</v>
      </c>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4"/>
    </row>
    <row r="1962" spans="1:36" ht="12.5" x14ac:dyDescent="0.25">
      <c r="A1962" s="9">
        <v>585</v>
      </c>
      <c r="B1962" s="10" t="s">
        <v>14</v>
      </c>
      <c r="C1962" s="10" t="s">
        <v>15</v>
      </c>
      <c r="D1962" s="10" t="s">
        <v>37</v>
      </c>
      <c r="E1962" s="11" t="str">
        <f ca="1">IFERROR(__xludf.DUMMYFUNCTION("FILTER(Colegios!$B$2:$B2419,Colegios!$A$2:$A2419=L1962)"),"15304")</f>
        <v>15304</v>
      </c>
      <c r="F1962" s="11" t="s">
        <v>17</v>
      </c>
      <c r="G1962" s="10" t="s">
        <v>24</v>
      </c>
      <c r="H1962" s="11" t="s">
        <v>23</v>
      </c>
      <c r="I1962" s="11" t="s">
        <v>113</v>
      </c>
      <c r="J1962" s="12" t="str">
        <f ca="1">IFERROR(__xludf.DUMMYFUNCTION("FILTER('CLASFICACIÓN'!$F$3:$F2419,'CLASFICACIÓN'!$G$3:$G2419=M1962)"),"2023 Y 2024")</f>
        <v>2023 Y 2024</v>
      </c>
      <c r="K1962" s="12" t="s">
        <v>2012</v>
      </c>
      <c r="L1962" s="11" t="s">
        <v>135</v>
      </c>
      <c r="M1962" s="12" t="str">
        <f t="shared" ca="1" si="7"/>
        <v>153046 Primaria</v>
      </c>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4"/>
    </row>
    <row r="1963" spans="1:36" ht="12.5" x14ac:dyDescent="0.25">
      <c r="A1963" s="9">
        <v>586</v>
      </c>
      <c r="B1963" s="10" t="s">
        <v>14</v>
      </c>
      <c r="C1963" s="10" t="s">
        <v>15</v>
      </c>
      <c r="D1963" s="10" t="s">
        <v>37</v>
      </c>
      <c r="E1963" s="11" t="str">
        <f ca="1">IFERROR(__xludf.DUMMYFUNCTION("FILTER(Colegios!$B$2:$B2419,Colegios!$A$2:$A2419=L1963)"),"15304")</f>
        <v>15304</v>
      </c>
      <c r="F1963" s="11" t="s">
        <v>17</v>
      </c>
      <c r="G1963" s="10" t="s">
        <v>24</v>
      </c>
      <c r="H1963" s="11" t="s">
        <v>23</v>
      </c>
      <c r="I1963" s="11" t="s">
        <v>113</v>
      </c>
      <c r="J1963" s="12" t="str">
        <f ca="1">IFERROR(__xludf.DUMMYFUNCTION("FILTER('CLASFICACIÓN'!$F$3:$F2419,'CLASFICACIÓN'!$G$3:$G2419=M1963)"),"2023 Y 2024")</f>
        <v>2023 Y 2024</v>
      </c>
      <c r="K1963" s="12" t="s">
        <v>2012</v>
      </c>
      <c r="L1963" s="11" t="s">
        <v>135</v>
      </c>
      <c r="M1963" s="12" t="str">
        <f t="shared" ca="1" si="7"/>
        <v>153046 Primaria</v>
      </c>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4"/>
    </row>
    <row r="1964" spans="1:36" ht="12.5" x14ac:dyDescent="0.25">
      <c r="A1964" s="9">
        <v>587</v>
      </c>
      <c r="B1964" s="10" t="s">
        <v>14</v>
      </c>
      <c r="C1964" s="10" t="s">
        <v>15</v>
      </c>
      <c r="D1964" s="10" t="s">
        <v>37</v>
      </c>
      <c r="E1964" s="11" t="str">
        <f ca="1">IFERROR(__xludf.DUMMYFUNCTION("FILTER(Colegios!$B$2:$B2419,Colegios!$A$2:$A2419=L1964)"),"15304")</f>
        <v>15304</v>
      </c>
      <c r="F1964" s="11" t="s">
        <v>17</v>
      </c>
      <c r="G1964" s="10" t="s">
        <v>18</v>
      </c>
      <c r="H1964" s="11" t="s">
        <v>23</v>
      </c>
      <c r="I1964" s="11" t="s">
        <v>113</v>
      </c>
      <c r="J1964" s="12" t="str">
        <f ca="1">IFERROR(__xludf.DUMMYFUNCTION("FILTER('CLASFICACIÓN'!$F$3:$F2419,'CLASFICACIÓN'!$G$3:$G2419=M1964)"),"2023 Y 2024")</f>
        <v>2023 Y 2024</v>
      </c>
      <c r="K1964" s="12" t="s">
        <v>2012</v>
      </c>
      <c r="L1964" s="11" t="s">
        <v>135</v>
      </c>
      <c r="M1964" s="12" t="str">
        <f t="shared" ca="1" si="7"/>
        <v>153046 Primaria</v>
      </c>
      <c r="N1964" s="11"/>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4"/>
    </row>
    <row r="1965" spans="1:36" ht="12.5" x14ac:dyDescent="0.25">
      <c r="A1965" s="9">
        <v>588</v>
      </c>
      <c r="B1965" s="10" t="s">
        <v>14</v>
      </c>
      <c r="C1965" s="10" t="s">
        <v>15</v>
      </c>
      <c r="D1965" s="10" t="s">
        <v>37</v>
      </c>
      <c r="E1965" s="11" t="str">
        <f ca="1">IFERROR(__xludf.DUMMYFUNCTION("FILTER(Colegios!$B$2:$B2419,Colegios!$A$2:$A2419=L1965)"),"15304")</f>
        <v>15304</v>
      </c>
      <c r="F1965" s="11" t="s">
        <v>17</v>
      </c>
      <c r="G1965" s="10" t="s">
        <v>24</v>
      </c>
      <c r="H1965" s="11" t="s">
        <v>19</v>
      </c>
      <c r="I1965" s="11" t="s">
        <v>113</v>
      </c>
      <c r="J1965" s="12" t="str">
        <f ca="1">IFERROR(__xludf.DUMMYFUNCTION("FILTER('CLASFICACIÓN'!$F$3:$F2419,'CLASFICACIÓN'!$G$3:$G2419=M1965)"),"2023 Y 2024")</f>
        <v>2023 Y 2024</v>
      </c>
      <c r="K1965" s="12" t="s">
        <v>2012</v>
      </c>
      <c r="L1965" s="11" t="s">
        <v>135</v>
      </c>
      <c r="M1965" s="12" t="str">
        <f t="shared" ca="1" si="7"/>
        <v>153046 Primaria</v>
      </c>
      <c r="N1965" s="11"/>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4"/>
    </row>
    <row r="1966" spans="1:36" ht="12.5" x14ac:dyDescent="0.25">
      <c r="A1966" s="9">
        <v>589</v>
      </c>
      <c r="B1966" s="10" t="s">
        <v>14</v>
      </c>
      <c r="C1966" s="10" t="s">
        <v>15</v>
      </c>
      <c r="D1966" s="10" t="s">
        <v>37</v>
      </c>
      <c r="E1966" s="11" t="str">
        <f ca="1">IFERROR(__xludf.DUMMYFUNCTION("FILTER(Colegios!$B$2:$B2419,Colegios!$A$2:$A2419=L1966)"),"15304")</f>
        <v>15304</v>
      </c>
      <c r="F1966" s="11" t="s">
        <v>17</v>
      </c>
      <c r="G1966" s="10" t="s">
        <v>24</v>
      </c>
      <c r="H1966" s="11" t="s">
        <v>19</v>
      </c>
      <c r="I1966" s="11" t="s">
        <v>113</v>
      </c>
      <c r="J1966" s="12" t="str">
        <f ca="1">IFERROR(__xludf.DUMMYFUNCTION("FILTER('CLASFICACIÓN'!$F$3:$F2419,'CLASFICACIÓN'!$G$3:$G2419=M1966)"),"2023 Y 2024")</f>
        <v>2023 Y 2024</v>
      </c>
      <c r="K1966" s="12" t="s">
        <v>2012</v>
      </c>
      <c r="L1966" s="11" t="s">
        <v>135</v>
      </c>
      <c r="M1966" s="12" t="str">
        <f t="shared" ca="1" si="7"/>
        <v>153046 Primaria</v>
      </c>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4"/>
    </row>
    <row r="1967" spans="1:36" ht="12.5" x14ac:dyDescent="0.25">
      <c r="A1967" s="9">
        <v>590</v>
      </c>
      <c r="B1967" s="10" t="s">
        <v>14</v>
      </c>
      <c r="C1967" s="10" t="s">
        <v>15</v>
      </c>
      <c r="D1967" s="10" t="s">
        <v>45</v>
      </c>
      <c r="E1967" s="11" t="str">
        <f ca="1">IFERROR(__xludf.DUMMYFUNCTION("FILTER(Colegios!$B$2:$B2419,Colegios!$A$2:$A2419=L1967)"),"14975")</f>
        <v>14975</v>
      </c>
      <c r="F1967" s="11" t="s">
        <v>17</v>
      </c>
      <c r="G1967" s="10" t="s">
        <v>18</v>
      </c>
      <c r="H1967" s="11" t="s">
        <v>19</v>
      </c>
      <c r="I1967" s="11" t="s">
        <v>113</v>
      </c>
      <c r="J1967" s="12" t="str">
        <f ca="1">IFERROR(__xludf.DUMMYFUNCTION("FILTER('CLASFICACIÓN'!$F$3:$F2419,'CLASFICACIÓN'!$G$3:$G2419=M1967)"),"2023 Y 2024")</f>
        <v>2023 Y 2024</v>
      </c>
      <c r="K1967" s="12" t="s">
        <v>2011</v>
      </c>
      <c r="L1967" s="11" t="s">
        <v>136</v>
      </c>
      <c r="M1967" s="12" t="str">
        <f t="shared" ca="1" si="7"/>
        <v>149752 Primaria</v>
      </c>
      <c r="N1967" s="11"/>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4"/>
    </row>
    <row r="1968" spans="1:36" ht="12.5" x14ac:dyDescent="0.25">
      <c r="A1968" s="9">
        <v>591</v>
      </c>
      <c r="B1968" s="10" t="s">
        <v>14</v>
      </c>
      <c r="C1968" s="10" t="s">
        <v>15</v>
      </c>
      <c r="D1968" s="10" t="s">
        <v>45</v>
      </c>
      <c r="E1968" s="11" t="str">
        <f ca="1">IFERROR(__xludf.DUMMYFUNCTION("FILTER(Colegios!$B$2:$B2419,Colegios!$A$2:$A2419=L1968)"),"14975")</f>
        <v>14975</v>
      </c>
      <c r="F1968" s="11" t="s">
        <v>17</v>
      </c>
      <c r="G1968" s="10" t="s">
        <v>24</v>
      </c>
      <c r="H1968" s="11" t="s">
        <v>23</v>
      </c>
      <c r="I1968" s="11" t="s">
        <v>113</v>
      </c>
      <c r="J1968" s="12" t="str">
        <f ca="1">IFERROR(__xludf.DUMMYFUNCTION("FILTER('CLASFICACIÓN'!$F$3:$F2419,'CLASFICACIÓN'!$G$3:$G2419=M1968)"),"2023 Y 2024")</f>
        <v>2023 Y 2024</v>
      </c>
      <c r="K1968" s="12" t="s">
        <v>2011</v>
      </c>
      <c r="L1968" s="11" t="s">
        <v>136</v>
      </c>
      <c r="M1968" s="12" t="str">
        <f t="shared" ca="1" si="7"/>
        <v>149752 Primaria</v>
      </c>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4"/>
    </row>
    <row r="1969" spans="1:36" ht="12.5" x14ac:dyDescent="0.25">
      <c r="A1969" s="9">
        <v>592</v>
      </c>
      <c r="B1969" s="10" t="s">
        <v>14</v>
      </c>
      <c r="C1969" s="10" t="s">
        <v>15</v>
      </c>
      <c r="D1969" s="10" t="s">
        <v>45</v>
      </c>
      <c r="E1969" s="11" t="str">
        <f ca="1">IFERROR(__xludf.DUMMYFUNCTION("FILTER(Colegios!$B$2:$B2419,Colegios!$A$2:$A2419=L1969)"),"14975")</f>
        <v>14975</v>
      </c>
      <c r="F1969" s="11" t="s">
        <v>17</v>
      </c>
      <c r="G1969" s="10" t="s">
        <v>18</v>
      </c>
      <c r="H1969" s="11" t="s">
        <v>23</v>
      </c>
      <c r="I1969" s="11" t="s">
        <v>113</v>
      </c>
      <c r="J1969" s="12" t="str">
        <f ca="1">IFERROR(__xludf.DUMMYFUNCTION("FILTER('CLASFICACIÓN'!$F$3:$F2419,'CLASFICACIÓN'!$G$3:$G2419=M1969)"),"2023 Y 2024")</f>
        <v>2023 Y 2024</v>
      </c>
      <c r="K1969" s="12" t="s">
        <v>2011</v>
      </c>
      <c r="L1969" s="11" t="s">
        <v>136</v>
      </c>
      <c r="M1969" s="12" t="str">
        <f t="shared" ca="1" si="7"/>
        <v>149752 Primaria</v>
      </c>
      <c r="N1969" s="11"/>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4"/>
    </row>
    <row r="1970" spans="1:36" ht="12.5" x14ac:dyDescent="0.25">
      <c r="A1970" s="9">
        <v>593</v>
      </c>
      <c r="B1970" s="10" t="s">
        <v>14</v>
      </c>
      <c r="C1970" s="10" t="s">
        <v>15</v>
      </c>
      <c r="D1970" s="10" t="s">
        <v>45</v>
      </c>
      <c r="E1970" s="11" t="str">
        <f ca="1">IFERROR(__xludf.DUMMYFUNCTION("FILTER(Colegios!$B$2:$B2419,Colegios!$A$2:$A2419=L1970)"),"14975")</f>
        <v>14975</v>
      </c>
      <c r="F1970" s="11" t="s">
        <v>17</v>
      </c>
      <c r="G1970" s="10" t="s">
        <v>24</v>
      </c>
      <c r="H1970" s="11" t="s">
        <v>19</v>
      </c>
      <c r="I1970" s="11" t="s">
        <v>113</v>
      </c>
      <c r="J1970" s="12" t="str">
        <f ca="1">IFERROR(__xludf.DUMMYFUNCTION("FILTER('CLASFICACIÓN'!$F$3:$F2419,'CLASFICACIÓN'!$G$3:$G2419=M1970)"),"2023 Y 2024")</f>
        <v>2023 Y 2024</v>
      </c>
      <c r="K1970" s="12" t="s">
        <v>2011</v>
      </c>
      <c r="L1970" s="11" t="s">
        <v>136</v>
      </c>
      <c r="M1970" s="12" t="str">
        <f t="shared" ca="1" si="7"/>
        <v>149752 Primaria</v>
      </c>
      <c r="N1970" s="11"/>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4"/>
    </row>
    <row r="1971" spans="1:36" ht="12.5" x14ac:dyDescent="0.25">
      <c r="A1971" s="9">
        <v>594</v>
      </c>
      <c r="B1971" s="10" t="s">
        <v>14</v>
      </c>
      <c r="C1971" s="10" t="s">
        <v>15</v>
      </c>
      <c r="D1971" s="10" t="s">
        <v>45</v>
      </c>
      <c r="E1971" s="11" t="str">
        <f ca="1">IFERROR(__xludf.DUMMYFUNCTION("FILTER(Colegios!$B$2:$B2419,Colegios!$A$2:$A2419=L1971)"),"14975")</f>
        <v>14975</v>
      </c>
      <c r="F1971" s="11" t="s">
        <v>17</v>
      </c>
      <c r="G1971" s="10" t="s">
        <v>18</v>
      </c>
      <c r="H1971" s="11" t="s">
        <v>19</v>
      </c>
      <c r="I1971" s="11" t="s">
        <v>113</v>
      </c>
      <c r="J1971" s="12" t="str">
        <f ca="1">IFERROR(__xludf.DUMMYFUNCTION("FILTER('CLASFICACIÓN'!$F$3:$F2419,'CLASFICACIÓN'!$G$3:$G2419=M1971)"),"2023 Y 2024")</f>
        <v>2023 Y 2024</v>
      </c>
      <c r="K1971" s="12" t="s">
        <v>2011</v>
      </c>
      <c r="L1971" s="11" t="s">
        <v>136</v>
      </c>
      <c r="M1971" s="12" t="str">
        <f t="shared" ca="1" si="7"/>
        <v>149752 Primaria</v>
      </c>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4"/>
    </row>
    <row r="1972" spans="1:36" ht="12.5" x14ac:dyDescent="0.25">
      <c r="A1972" s="9">
        <v>595</v>
      </c>
      <c r="B1972" s="10" t="s">
        <v>14</v>
      </c>
      <c r="C1972" s="10" t="s">
        <v>15</v>
      </c>
      <c r="D1972" s="10" t="s">
        <v>45</v>
      </c>
      <c r="E1972" s="11" t="str">
        <f ca="1">IFERROR(__xludf.DUMMYFUNCTION("FILTER(Colegios!$B$2:$B2419,Colegios!$A$2:$A2419=L1972)"),"14975")</f>
        <v>14975</v>
      </c>
      <c r="F1972" s="11" t="s">
        <v>17</v>
      </c>
      <c r="G1972" s="10" t="s">
        <v>18</v>
      </c>
      <c r="H1972" s="11" t="s">
        <v>19</v>
      </c>
      <c r="I1972" s="11" t="s">
        <v>113</v>
      </c>
      <c r="J1972" s="12" t="str">
        <f ca="1">IFERROR(__xludf.DUMMYFUNCTION("FILTER('CLASFICACIÓN'!$F$3:$F2419,'CLASFICACIÓN'!$G$3:$G2419=M1972)"),"2023 Y 2024")</f>
        <v>2023 Y 2024</v>
      </c>
      <c r="K1972" s="12" t="s">
        <v>2011</v>
      </c>
      <c r="L1972" s="11" t="s">
        <v>136</v>
      </c>
      <c r="M1972" s="12" t="str">
        <f t="shared" ca="1" si="7"/>
        <v>149752 Primaria</v>
      </c>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4"/>
    </row>
    <row r="1973" spans="1:36" ht="12.5" x14ac:dyDescent="0.25">
      <c r="A1973" s="9">
        <v>596</v>
      </c>
      <c r="B1973" s="10" t="s">
        <v>14</v>
      </c>
      <c r="C1973" s="10" t="s">
        <v>15</v>
      </c>
      <c r="D1973" s="10" t="s">
        <v>45</v>
      </c>
      <c r="E1973" s="11" t="str">
        <f ca="1">IFERROR(__xludf.DUMMYFUNCTION("FILTER(Colegios!$B$2:$B2419,Colegios!$A$2:$A2419=L1973)"),"14975")</f>
        <v>14975</v>
      </c>
      <c r="F1973" s="11" t="s">
        <v>17</v>
      </c>
      <c r="G1973" s="10" t="s">
        <v>24</v>
      </c>
      <c r="H1973" s="11" t="s">
        <v>23</v>
      </c>
      <c r="I1973" s="11" t="s">
        <v>113</v>
      </c>
      <c r="J1973" s="12" t="str">
        <f ca="1">IFERROR(__xludf.DUMMYFUNCTION("FILTER('CLASFICACIÓN'!$F$3:$F2419,'CLASFICACIÓN'!$G$3:$G2419=M1973)"),"2023 Y 2024")</f>
        <v>2023 Y 2024</v>
      </c>
      <c r="K1973" s="12" t="s">
        <v>2011</v>
      </c>
      <c r="L1973" s="11" t="s">
        <v>136</v>
      </c>
      <c r="M1973" s="12" t="str">
        <f t="shared" ca="1" si="7"/>
        <v>149752 Primaria</v>
      </c>
      <c r="N1973" s="11"/>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4"/>
    </row>
    <row r="1974" spans="1:36" ht="12.5" x14ac:dyDescent="0.25">
      <c r="A1974" s="9">
        <v>597</v>
      </c>
      <c r="B1974" s="10" t="s">
        <v>14</v>
      </c>
      <c r="C1974" s="10" t="s">
        <v>15</v>
      </c>
      <c r="D1974" s="10" t="s">
        <v>45</v>
      </c>
      <c r="E1974" s="11" t="str">
        <f ca="1">IFERROR(__xludf.DUMMYFUNCTION("FILTER(Colegios!$B$2:$B2419,Colegios!$A$2:$A2419=L1974)"),"14975")</f>
        <v>14975</v>
      </c>
      <c r="F1974" s="11" t="s">
        <v>17</v>
      </c>
      <c r="G1974" s="10" t="s">
        <v>18</v>
      </c>
      <c r="H1974" s="11" t="s">
        <v>19</v>
      </c>
      <c r="I1974" s="11" t="s">
        <v>113</v>
      </c>
      <c r="J1974" s="12" t="str">
        <f ca="1">IFERROR(__xludf.DUMMYFUNCTION("FILTER('CLASFICACIÓN'!$F$3:$F2419,'CLASFICACIÓN'!$G$3:$G2419=M1974)"),"2023 Y 2024")</f>
        <v>2023 Y 2024</v>
      </c>
      <c r="K1974" s="12" t="s">
        <v>2011</v>
      </c>
      <c r="L1974" s="11" t="s">
        <v>136</v>
      </c>
      <c r="M1974" s="12" t="str">
        <f t="shared" ca="1" si="7"/>
        <v>149752 Primaria</v>
      </c>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4"/>
    </row>
    <row r="1975" spans="1:36" ht="12.5" x14ac:dyDescent="0.25">
      <c r="A1975" s="9">
        <v>598</v>
      </c>
      <c r="B1975" s="10" t="s">
        <v>14</v>
      </c>
      <c r="C1975" s="10" t="s">
        <v>15</v>
      </c>
      <c r="D1975" s="10" t="s">
        <v>45</v>
      </c>
      <c r="E1975" s="11" t="str">
        <f ca="1">IFERROR(__xludf.DUMMYFUNCTION("FILTER(Colegios!$B$2:$B2419,Colegios!$A$2:$A2419=L1975)"),"14975")</f>
        <v>14975</v>
      </c>
      <c r="F1975" s="11" t="s">
        <v>17</v>
      </c>
      <c r="G1975" s="10" t="s">
        <v>24</v>
      </c>
      <c r="H1975" s="11" t="s">
        <v>23</v>
      </c>
      <c r="I1975" s="11" t="s">
        <v>113</v>
      </c>
      <c r="J1975" s="12" t="str">
        <f ca="1">IFERROR(__xludf.DUMMYFUNCTION("FILTER('CLASFICACIÓN'!$F$3:$F2419,'CLASFICACIÓN'!$G$3:$G2419=M1975)"),"2023 Y 2024")</f>
        <v>2023 Y 2024</v>
      </c>
      <c r="K1975" s="12" t="s">
        <v>2011</v>
      </c>
      <c r="L1975" s="11" t="s">
        <v>136</v>
      </c>
      <c r="M1975" s="12" t="str">
        <f t="shared" ca="1" si="7"/>
        <v>149752 Primaria</v>
      </c>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4"/>
    </row>
    <row r="1976" spans="1:36" ht="12.5" x14ac:dyDescent="0.25">
      <c r="A1976" s="9">
        <v>599</v>
      </c>
      <c r="B1976" s="10" t="s">
        <v>14</v>
      </c>
      <c r="C1976" s="10" t="s">
        <v>15</v>
      </c>
      <c r="D1976" s="10" t="s">
        <v>37</v>
      </c>
      <c r="E1976" s="11" t="str">
        <f ca="1">IFERROR(__xludf.DUMMYFUNCTION("FILTER(Colegios!$B$2:$B2419,Colegios!$A$2:$A2419=L1976)"),"14975")</f>
        <v>14975</v>
      </c>
      <c r="F1976" s="11" t="s">
        <v>17</v>
      </c>
      <c r="G1976" s="10" t="s">
        <v>24</v>
      </c>
      <c r="H1976" s="11" t="s">
        <v>25</v>
      </c>
      <c r="I1976" s="11" t="s">
        <v>113</v>
      </c>
      <c r="J1976" s="12" t="str">
        <f ca="1">IFERROR(__xludf.DUMMYFUNCTION("FILTER('CLASFICACIÓN'!$F$3:$F2419,'CLASFICACIÓN'!$G$3:$G2419=M1976)"),"2023 Y 2024")</f>
        <v>2023 Y 2024</v>
      </c>
      <c r="K1976" s="12" t="s">
        <v>2011</v>
      </c>
      <c r="L1976" s="11" t="s">
        <v>136</v>
      </c>
      <c r="M1976" s="12" t="str">
        <f t="shared" ca="1" si="7"/>
        <v>149756 Primaria</v>
      </c>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4"/>
    </row>
    <row r="1977" spans="1:36" ht="12.5" x14ac:dyDescent="0.25">
      <c r="A1977" s="9">
        <v>600</v>
      </c>
      <c r="B1977" s="10" t="s">
        <v>14</v>
      </c>
      <c r="C1977" s="10" t="s">
        <v>15</v>
      </c>
      <c r="D1977" s="10" t="s">
        <v>37</v>
      </c>
      <c r="E1977" s="11" t="str">
        <f ca="1">IFERROR(__xludf.DUMMYFUNCTION("FILTER(Colegios!$B$2:$B2419,Colegios!$A$2:$A2419=L1977)"),"14975")</f>
        <v>14975</v>
      </c>
      <c r="F1977" s="11" t="s">
        <v>17</v>
      </c>
      <c r="G1977" s="10" t="s">
        <v>24</v>
      </c>
      <c r="H1977" s="11" t="s">
        <v>23</v>
      </c>
      <c r="I1977" s="11" t="s">
        <v>113</v>
      </c>
      <c r="J1977" s="12" t="str">
        <f ca="1">IFERROR(__xludf.DUMMYFUNCTION("FILTER('CLASFICACIÓN'!$F$3:$F2419,'CLASFICACIÓN'!$G$3:$G2419=M1977)"),"2023 Y 2024")</f>
        <v>2023 Y 2024</v>
      </c>
      <c r="K1977" s="12" t="s">
        <v>2011</v>
      </c>
      <c r="L1977" s="11" t="s">
        <v>136</v>
      </c>
      <c r="M1977" s="12" t="str">
        <f t="shared" ca="1" si="7"/>
        <v>149756 Primaria</v>
      </c>
      <c r="N1977" s="11"/>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4"/>
    </row>
    <row r="1978" spans="1:36" ht="12.5" x14ac:dyDescent="0.25">
      <c r="A1978" s="9">
        <v>601</v>
      </c>
      <c r="B1978" s="10" t="s">
        <v>14</v>
      </c>
      <c r="C1978" s="10" t="s">
        <v>15</v>
      </c>
      <c r="D1978" s="10" t="s">
        <v>37</v>
      </c>
      <c r="E1978" s="11" t="str">
        <f ca="1">IFERROR(__xludf.DUMMYFUNCTION("FILTER(Colegios!$B$2:$B2419,Colegios!$A$2:$A2419=L1978)"),"14975")</f>
        <v>14975</v>
      </c>
      <c r="F1978" s="11" t="s">
        <v>17</v>
      </c>
      <c r="G1978" s="10" t="s">
        <v>24</v>
      </c>
      <c r="H1978" s="11" t="s">
        <v>19</v>
      </c>
      <c r="I1978" s="11" t="s">
        <v>113</v>
      </c>
      <c r="J1978" s="12" t="str">
        <f ca="1">IFERROR(__xludf.DUMMYFUNCTION("FILTER('CLASFICACIÓN'!$F$3:$F2419,'CLASFICACIÓN'!$G$3:$G2419=M1978)"),"2023 Y 2024")</f>
        <v>2023 Y 2024</v>
      </c>
      <c r="K1978" s="12" t="s">
        <v>2011</v>
      </c>
      <c r="L1978" s="11" t="s">
        <v>136</v>
      </c>
      <c r="M1978" s="12" t="str">
        <f t="shared" ca="1" si="7"/>
        <v>149756 Primaria</v>
      </c>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4"/>
    </row>
    <row r="1979" spans="1:36" ht="12.5" x14ac:dyDescent="0.25">
      <c r="A1979" s="9">
        <v>602</v>
      </c>
      <c r="B1979" s="10" t="s">
        <v>14</v>
      </c>
      <c r="C1979" s="10" t="s">
        <v>15</v>
      </c>
      <c r="D1979" s="10" t="s">
        <v>37</v>
      </c>
      <c r="E1979" s="11" t="str">
        <f ca="1">IFERROR(__xludf.DUMMYFUNCTION("FILTER(Colegios!$B$2:$B2419,Colegios!$A$2:$A2419=L1979)"),"14975")</f>
        <v>14975</v>
      </c>
      <c r="F1979" s="11" t="s">
        <v>17</v>
      </c>
      <c r="G1979" s="10" t="s">
        <v>24</v>
      </c>
      <c r="H1979" s="11" t="s">
        <v>23</v>
      </c>
      <c r="I1979" s="11" t="s">
        <v>113</v>
      </c>
      <c r="J1979" s="12" t="str">
        <f ca="1">IFERROR(__xludf.DUMMYFUNCTION("FILTER('CLASFICACIÓN'!$F$3:$F2419,'CLASFICACIÓN'!$G$3:$G2419=M1979)"),"2023 Y 2024")</f>
        <v>2023 Y 2024</v>
      </c>
      <c r="K1979" s="12" t="s">
        <v>2011</v>
      </c>
      <c r="L1979" s="11" t="s">
        <v>136</v>
      </c>
      <c r="M1979" s="12" t="str">
        <f t="shared" ca="1" si="7"/>
        <v>149756 Primaria</v>
      </c>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4"/>
    </row>
    <row r="1980" spans="1:36" ht="12.5" x14ac:dyDescent="0.25">
      <c r="A1980" s="9">
        <v>603</v>
      </c>
      <c r="B1980" s="10" t="s">
        <v>14</v>
      </c>
      <c r="C1980" s="10" t="s">
        <v>15</v>
      </c>
      <c r="D1980" s="10" t="s">
        <v>37</v>
      </c>
      <c r="E1980" s="11" t="str">
        <f ca="1">IFERROR(__xludf.DUMMYFUNCTION("FILTER(Colegios!$B$2:$B2419,Colegios!$A$2:$A2419=L1980)"),"14975")</f>
        <v>14975</v>
      </c>
      <c r="F1980" s="11" t="s">
        <v>17</v>
      </c>
      <c r="G1980" s="10" t="s">
        <v>18</v>
      </c>
      <c r="H1980" s="11" t="s">
        <v>19</v>
      </c>
      <c r="I1980" s="11" t="s">
        <v>113</v>
      </c>
      <c r="J1980" s="12" t="str">
        <f ca="1">IFERROR(__xludf.DUMMYFUNCTION("FILTER('CLASFICACIÓN'!$F$3:$F2419,'CLASFICACIÓN'!$G$3:$G2419=M1980)"),"2023 Y 2024")</f>
        <v>2023 Y 2024</v>
      </c>
      <c r="K1980" s="12" t="s">
        <v>2011</v>
      </c>
      <c r="L1980" s="11" t="s">
        <v>136</v>
      </c>
      <c r="M1980" s="12" t="str">
        <f t="shared" ca="1" si="7"/>
        <v>149756 Primaria</v>
      </c>
      <c r="N1980" s="11"/>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4"/>
    </row>
    <row r="1981" spans="1:36" ht="12.5" x14ac:dyDescent="0.25">
      <c r="A1981" s="9">
        <v>604</v>
      </c>
      <c r="B1981" s="10" t="s">
        <v>14</v>
      </c>
      <c r="C1981" s="10" t="s">
        <v>15</v>
      </c>
      <c r="D1981" s="10" t="s">
        <v>37</v>
      </c>
      <c r="E1981" s="11" t="str">
        <f ca="1">IFERROR(__xludf.DUMMYFUNCTION("FILTER(Colegios!$B$2:$B2419,Colegios!$A$2:$A2419=L1981)"),"14975")</f>
        <v>14975</v>
      </c>
      <c r="F1981" s="11" t="s">
        <v>17</v>
      </c>
      <c r="G1981" s="10" t="s">
        <v>24</v>
      </c>
      <c r="H1981" s="11" t="s">
        <v>25</v>
      </c>
      <c r="I1981" s="11" t="s">
        <v>113</v>
      </c>
      <c r="J1981" s="12" t="str">
        <f ca="1">IFERROR(__xludf.DUMMYFUNCTION("FILTER('CLASFICACIÓN'!$F$3:$F2419,'CLASFICACIÓN'!$G$3:$G2419=M1981)"),"2023 Y 2024")</f>
        <v>2023 Y 2024</v>
      </c>
      <c r="K1981" s="12" t="s">
        <v>2011</v>
      </c>
      <c r="L1981" s="11" t="s">
        <v>136</v>
      </c>
      <c r="M1981" s="12" t="str">
        <f t="shared" ca="1" si="7"/>
        <v>149756 Primaria</v>
      </c>
      <c r="N1981" s="11"/>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4"/>
    </row>
    <row r="1982" spans="1:36" ht="12.5" x14ac:dyDescent="0.25">
      <c r="A1982" s="9">
        <v>605</v>
      </c>
      <c r="B1982" s="10" t="s">
        <v>14</v>
      </c>
      <c r="C1982" s="10" t="s">
        <v>15</v>
      </c>
      <c r="D1982" s="10" t="s">
        <v>37</v>
      </c>
      <c r="E1982" s="11" t="str">
        <f ca="1">IFERROR(__xludf.DUMMYFUNCTION("FILTER(Colegios!$B$2:$B2419,Colegios!$A$2:$A2419=L1982)"),"14975")</f>
        <v>14975</v>
      </c>
      <c r="F1982" s="11" t="s">
        <v>17</v>
      </c>
      <c r="G1982" s="10" t="s">
        <v>18</v>
      </c>
      <c r="H1982" s="11" t="s">
        <v>23</v>
      </c>
      <c r="I1982" s="11" t="s">
        <v>113</v>
      </c>
      <c r="J1982" s="12" t="str">
        <f ca="1">IFERROR(__xludf.DUMMYFUNCTION("FILTER('CLASFICACIÓN'!$F$3:$F2419,'CLASFICACIÓN'!$G$3:$G2419=M1982)"),"2023 Y 2024")</f>
        <v>2023 Y 2024</v>
      </c>
      <c r="K1982" s="12" t="s">
        <v>2011</v>
      </c>
      <c r="L1982" s="11" t="s">
        <v>136</v>
      </c>
      <c r="M1982" s="12" t="str">
        <f t="shared" ca="1" si="7"/>
        <v>149756 Primaria</v>
      </c>
      <c r="N1982" s="11"/>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4"/>
    </row>
    <row r="1983" spans="1:36" ht="12.5" x14ac:dyDescent="0.25">
      <c r="A1983" s="9">
        <v>606</v>
      </c>
      <c r="B1983" s="10" t="s">
        <v>14</v>
      </c>
      <c r="C1983" s="10" t="s">
        <v>15</v>
      </c>
      <c r="D1983" s="10" t="s">
        <v>37</v>
      </c>
      <c r="E1983" s="11" t="str">
        <f ca="1">IFERROR(__xludf.DUMMYFUNCTION("FILTER(Colegios!$B$2:$B2419,Colegios!$A$2:$A2419=L1983)"),"14975")</f>
        <v>14975</v>
      </c>
      <c r="F1983" s="11" t="s">
        <v>17</v>
      </c>
      <c r="G1983" s="10" t="s">
        <v>24</v>
      </c>
      <c r="H1983" s="11" t="s">
        <v>23</v>
      </c>
      <c r="I1983" s="11" t="s">
        <v>113</v>
      </c>
      <c r="J1983" s="12" t="str">
        <f ca="1">IFERROR(__xludf.DUMMYFUNCTION("FILTER('CLASFICACIÓN'!$F$3:$F2419,'CLASFICACIÓN'!$G$3:$G2419=M1983)"),"2023 Y 2024")</f>
        <v>2023 Y 2024</v>
      </c>
      <c r="K1983" s="12" t="s">
        <v>2011</v>
      </c>
      <c r="L1983" s="11" t="s">
        <v>136</v>
      </c>
      <c r="M1983" s="12" t="str">
        <f t="shared" ca="1" si="7"/>
        <v>149756 Primaria</v>
      </c>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4"/>
    </row>
    <row r="1984" spans="1:36" ht="12.5" x14ac:dyDescent="0.25">
      <c r="A1984" s="9">
        <v>607</v>
      </c>
      <c r="B1984" s="10" t="s">
        <v>14</v>
      </c>
      <c r="C1984" s="10" t="s">
        <v>15</v>
      </c>
      <c r="D1984" s="10" t="s">
        <v>37</v>
      </c>
      <c r="E1984" s="11" t="str">
        <f ca="1">IFERROR(__xludf.DUMMYFUNCTION("FILTER(Colegios!$B$2:$B2419,Colegios!$A$2:$A2419=L1984)"),"14975")</f>
        <v>14975</v>
      </c>
      <c r="F1984" s="11" t="s">
        <v>17</v>
      </c>
      <c r="G1984" s="10" t="s">
        <v>18</v>
      </c>
      <c r="H1984" s="11" t="s">
        <v>19</v>
      </c>
      <c r="I1984" s="11" t="s">
        <v>113</v>
      </c>
      <c r="J1984" s="12" t="str">
        <f ca="1">IFERROR(__xludf.DUMMYFUNCTION("FILTER('CLASFICACIÓN'!$F$3:$F2419,'CLASFICACIÓN'!$G$3:$G2419=M1984)"),"2023 Y 2024")</f>
        <v>2023 Y 2024</v>
      </c>
      <c r="K1984" s="12" t="s">
        <v>2011</v>
      </c>
      <c r="L1984" s="11" t="s">
        <v>136</v>
      </c>
      <c r="M1984" s="12" t="str">
        <f t="shared" ca="1" si="7"/>
        <v>149756 Primaria</v>
      </c>
      <c r="N1984" s="11"/>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4"/>
    </row>
    <row r="1985" spans="1:36" ht="12.5" x14ac:dyDescent="0.25">
      <c r="A1985" s="9">
        <v>608</v>
      </c>
      <c r="B1985" s="10" t="s">
        <v>14</v>
      </c>
      <c r="C1985" s="10" t="s">
        <v>15</v>
      </c>
      <c r="D1985" s="10" t="s">
        <v>37</v>
      </c>
      <c r="E1985" s="11" t="str">
        <f ca="1">IFERROR(__xludf.DUMMYFUNCTION("FILTER(Colegios!$B$2:$B2419,Colegios!$A$2:$A2419=L1985)"),"14975")</f>
        <v>14975</v>
      </c>
      <c r="F1985" s="11" t="s">
        <v>17</v>
      </c>
      <c r="G1985" s="10" t="s">
        <v>24</v>
      </c>
      <c r="H1985" s="11" t="s">
        <v>23</v>
      </c>
      <c r="I1985" s="11" t="s">
        <v>113</v>
      </c>
      <c r="J1985" s="12" t="str">
        <f ca="1">IFERROR(__xludf.DUMMYFUNCTION("FILTER('CLASFICACIÓN'!$F$3:$F2419,'CLASFICACIÓN'!$G$3:$G2419=M1985)"),"2023 Y 2024")</f>
        <v>2023 Y 2024</v>
      </c>
      <c r="K1985" s="12" t="s">
        <v>2011</v>
      </c>
      <c r="L1985" s="11" t="s">
        <v>136</v>
      </c>
      <c r="M1985" s="12" t="str">
        <f t="shared" ca="1" si="7"/>
        <v>149756 Primaria</v>
      </c>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4"/>
    </row>
    <row r="1986" spans="1:36" ht="12.5" x14ac:dyDescent="0.25">
      <c r="A1986" s="9">
        <v>609</v>
      </c>
      <c r="B1986" s="10" t="s">
        <v>14</v>
      </c>
      <c r="C1986" s="10" t="s">
        <v>15</v>
      </c>
      <c r="D1986" s="10" t="s">
        <v>37</v>
      </c>
      <c r="E1986" s="11" t="str">
        <f ca="1">IFERROR(__xludf.DUMMYFUNCTION("FILTER(Colegios!$B$2:$B2419,Colegios!$A$2:$A2419=L1986)"),"14975")</f>
        <v>14975</v>
      </c>
      <c r="F1986" s="11" t="s">
        <v>17</v>
      </c>
      <c r="G1986" s="10" t="s">
        <v>18</v>
      </c>
      <c r="H1986" s="11" t="s">
        <v>23</v>
      </c>
      <c r="I1986" s="11" t="s">
        <v>113</v>
      </c>
      <c r="J1986" s="12" t="str">
        <f ca="1">IFERROR(__xludf.DUMMYFUNCTION("FILTER('CLASFICACIÓN'!$F$3:$F2419,'CLASFICACIÓN'!$G$3:$G2419=M1986)"),"2023 Y 2024")</f>
        <v>2023 Y 2024</v>
      </c>
      <c r="K1986" s="12" t="s">
        <v>2011</v>
      </c>
      <c r="L1986" s="11" t="s">
        <v>136</v>
      </c>
      <c r="M1986" s="12" t="str">
        <f t="shared" ca="1" si="7"/>
        <v>149756 Primaria</v>
      </c>
      <c r="N1986" s="11"/>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4"/>
    </row>
    <row r="1987" spans="1:36" ht="12.5" x14ac:dyDescent="0.25">
      <c r="A1987" s="9">
        <v>610</v>
      </c>
      <c r="B1987" s="10" t="s">
        <v>14</v>
      </c>
      <c r="C1987" s="10" t="s">
        <v>15</v>
      </c>
      <c r="D1987" s="10" t="s">
        <v>37</v>
      </c>
      <c r="E1987" s="11" t="str">
        <f ca="1">IFERROR(__xludf.DUMMYFUNCTION("FILTER(Colegios!$B$2:$B2419,Colegios!$A$2:$A2419=L1987)"),"14975")</f>
        <v>14975</v>
      </c>
      <c r="F1987" s="11" t="s">
        <v>17</v>
      </c>
      <c r="G1987" s="10" t="s">
        <v>18</v>
      </c>
      <c r="H1987" s="11" t="s">
        <v>23</v>
      </c>
      <c r="I1987" s="11" t="s">
        <v>113</v>
      </c>
      <c r="J1987" s="12" t="str">
        <f ca="1">IFERROR(__xludf.DUMMYFUNCTION("FILTER('CLASFICACIÓN'!$F$3:$F2419,'CLASFICACIÓN'!$G$3:$G2419=M1987)"),"2023 Y 2024")</f>
        <v>2023 Y 2024</v>
      </c>
      <c r="K1987" s="12" t="s">
        <v>2011</v>
      </c>
      <c r="L1987" s="11" t="s">
        <v>136</v>
      </c>
      <c r="M1987" s="12" t="str">
        <f t="shared" ca="1" si="7"/>
        <v>149756 Primaria</v>
      </c>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4"/>
    </row>
    <row r="1988" spans="1:36" ht="12.5" x14ac:dyDescent="0.25">
      <c r="A1988" s="9">
        <v>611</v>
      </c>
      <c r="B1988" s="10" t="s">
        <v>14</v>
      </c>
      <c r="C1988" s="10" t="s">
        <v>15</v>
      </c>
      <c r="D1988" s="10" t="s">
        <v>37</v>
      </c>
      <c r="E1988" s="11" t="str">
        <f ca="1">IFERROR(__xludf.DUMMYFUNCTION("FILTER(Colegios!$B$2:$B2419,Colegios!$A$2:$A2419=L1988)"),"14975")</f>
        <v>14975</v>
      </c>
      <c r="F1988" s="11" t="s">
        <v>17</v>
      </c>
      <c r="G1988" s="10" t="s">
        <v>18</v>
      </c>
      <c r="H1988" s="11" t="s">
        <v>19</v>
      </c>
      <c r="I1988" s="11" t="s">
        <v>113</v>
      </c>
      <c r="J1988" s="12" t="str">
        <f ca="1">IFERROR(__xludf.DUMMYFUNCTION("FILTER('CLASFICACIÓN'!$F$3:$F2419,'CLASFICACIÓN'!$G$3:$G2419=M1988)"),"2023 Y 2024")</f>
        <v>2023 Y 2024</v>
      </c>
      <c r="K1988" s="12" t="s">
        <v>2011</v>
      </c>
      <c r="L1988" s="11" t="s">
        <v>136</v>
      </c>
      <c r="M1988" s="12" t="str">
        <f t="shared" ca="1" si="7"/>
        <v>149756 Primaria</v>
      </c>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4"/>
    </row>
    <row r="1989" spans="1:36" ht="12.5" x14ac:dyDescent="0.25">
      <c r="A1989" s="9">
        <v>612</v>
      </c>
      <c r="B1989" s="10" t="s">
        <v>14</v>
      </c>
      <c r="C1989" s="10" t="s">
        <v>15</v>
      </c>
      <c r="D1989" s="10" t="s">
        <v>37</v>
      </c>
      <c r="E1989" s="11" t="str">
        <f ca="1">IFERROR(__xludf.DUMMYFUNCTION("FILTER(Colegios!$B$2:$B2419,Colegios!$A$2:$A2419=L1989)"),"14975")</f>
        <v>14975</v>
      </c>
      <c r="F1989" s="11" t="s">
        <v>17</v>
      </c>
      <c r="G1989" s="10" t="s">
        <v>18</v>
      </c>
      <c r="H1989" s="11" t="s">
        <v>23</v>
      </c>
      <c r="I1989" s="11" t="s">
        <v>113</v>
      </c>
      <c r="J1989" s="12" t="str">
        <f ca="1">IFERROR(__xludf.DUMMYFUNCTION("FILTER('CLASFICACIÓN'!$F$3:$F2419,'CLASFICACIÓN'!$G$3:$G2419=M1989)"),"2023 Y 2024")</f>
        <v>2023 Y 2024</v>
      </c>
      <c r="K1989" s="12" t="s">
        <v>2011</v>
      </c>
      <c r="L1989" s="11" t="s">
        <v>136</v>
      </c>
      <c r="M1989" s="12" t="str">
        <f t="shared" ca="1" si="7"/>
        <v>149756 Primaria</v>
      </c>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4"/>
    </row>
    <row r="1990" spans="1:36" ht="12.5" x14ac:dyDescent="0.25">
      <c r="A1990" s="9">
        <v>613</v>
      </c>
      <c r="B1990" s="10" t="s">
        <v>14</v>
      </c>
      <c r="C1990" s="10" t="s">
        <v>15</v>
      </c>
      <c r="D1990" s="10" t="s">
        <v>37</v>
      </c>
      <c r="E1990" s="11" t="str">
        <f ca="1">IFERROR(__xludf.DUMMYFUNCTION("FILTER(Colegios!$B$2:$B2419,Colegios!$A$2:$A2419=L1990)"),"14975")</f>
        <v>14975</v>
      </c>
      <c r="F1990" s="11" t="s">
        <v>17</v>
      </c>
      <c r="G1990" s="10" t="s">
        <v>24</v>
      </c>
      <c r="H1990" s="11" t="s">
        <v>23</v>
      </c>
      <c r="I1990" s="11" t="s">
        <v>113</v>
      </c>
      <c r="J1990" s="12" t="str">
        <f ca="1">IFERROR(__xludf.DUMMYFUNCTION("FILTER('CLASFICACIÓN'!$F$3:$F2419,'CLASFICACIÓN'!$G$3:$G2419=M1990)"),"2023 Y 2024")</f>
        <v>2023 Y 2024</v>
      </c>
      <c r="K1990" s="12" t="s">
        <v>2011</v>
      </c>
      <c r="L1990" s="11" t="s">
        <v>136</v>
      </c>
      <c r="M1990" s="12" t="str">
        <f t="shared" ca="1" si="7"/>
        <v>149756 Primaria</v>
      </c>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4"/>
    </row>
    <row r="1991" spans="1:36" ht="12.5" x14ac:dyDescent="0.25">
      <c r="A1991" s="9">
        <v>614</v>
      </c>
      <c r="B1991" s="10" t="s">
        <v>14</v>
      </c>
      <c r="C1991" s="10" t="s">
        <v>15</v>
      </c>
      <c r="D1991" s="10" t="s">
        <v>37</v>
      </c>
      <c r="E1991" s="11" t="str">
        <f ca="1">IFERROR(__xludf.DUMMYFUNCTION("FILTER(Colegios!$B$2:$B2419,Colegios!$A$2:$A2419=L1991)"),"14975")</f>
        <v>14975</v>
      </c>
      <c r="F1991" s="11" t="s">
        <v>17</v>
      </c>
      <c r="G1991" s="10" t="s">
        <v>24</v>
      </c>
      <c r="H1991" s="11" t="s">
        <v>23</v>
      </c>
      <c r="I1991" s="11" t="s">
        <v>113</v>
      </c>
      <c r="J1991" s="12" t="str">
        <f ca="1">IFERROR(__xludf.DUMMYFUNCTION("FILTER('CLASFICACIÓN'!$F$3:$F2419,'CLASFICACIÓN'!$G$3:$G2419=M1991)"),"2023 Y 2024")</f>
        <v>2023 Y 2024</v>
      </c>
      <c r="K1991" s="12" t="s">
        <v>2011</v>
      </c>
      <c r="L1991" s="11" t="s">
        <v>136</v>
      </c>
      <c r="M1991" s="12" t="str">
        <f t="shared" ca="1" si="7"/>
        <v>149756 Primaria</v>
      </c>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4"/>
    </row>
    <row r="1992" spans="1:36" ht="12.5" x14ac:dyDescent="0.25">
      <c r="A1992" s="9">
        <v>615</v>
      </c>
      <c r="B1992" s="10" t="s">
        <v>14</v>
      </c>
      <c r="C1992" s="10" t="s">
        <v>15</v>
      </c>
      <c r="D1992" s="10" t="s">
        <v>37</v>
      </c>
      <c r="E1992" s="11" t="str">
        <f ca="1">IFERROR(__xludf.DUMMYFUNCTION("FILTER(Colegios!$B$2:$B2419,Colegios!$A$2:$A2419=L1992)"),"14975")</f>
        <v>14975</v>
      </c>
      <c r="F1992" s="11" t="s">
        <v>17</v>
      </c>
      <c r="G1992" s="10" t="s">
        <v>18</v>
      </c>
      <c r="H1992" s="11" t="s">
        <v>23</v>
      </c>
      <c r="I1992" s="11" t="s">
        <v>113</v>
      </c>
      <c r="J1992" s="12" t="str">
        <f ca="1">IFERROR(__xludf.DUMMYFUNCTION("FILTER('CLASFICACIÓN'!$F$3:$F2419,'CLASFICACIÓN'!$G$3:$G2419=M1992)"),"2023 Y 2024")</f>
        <v>2023 Y 2024</v>
      </c>
      <c r="K1992" s="12" t="s">
        <v>2011</v>
      </c>
      <c r="L1992" s="11" t="s">
        <v>136</v>
      </c>
      <c r="M1992" s="12" t="str">
        <f t="shared" ca="1" si="7"/>
        <v>149756 Primaria</v>
      </c>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4"/>
    </row>
    <row r="1993" spans="1:36" ht="12.5" x14ac:dyDescent="0.25">
      <c r="A1993" s="9">
        <v>616</v>
      </c>
      <c r="B1993" s="10" t="s">
        <v>14</v>
      </c>
      <c r="C1993" s="10" t="s">
        <v>15</v>
      </c>
      <c r="D1993" s="10" t="s">
        <v>37</v>
      </c>
      <c r="E1993" s="11" t="str">
        <f ca="1">IFERROR(__xludf.DUMMYFUNCTION("FILTER(Colegios!$B$2:$B2419,Colegios!$A$2:$A2419=L1993)"),"14975")</f>
        <v>14975</v>
      </c>
      <c r="F1993" s="11" t="s">
        <v>17</v>
      </c>
      <c r="G1993" s="10" t="s">
        <v>18</v>
      </c>
      <c r="H1993" s="11" t="s">
        <v>23</v>
      </c>
      <c r="I1993" s="11" t="s">
        <v>113</v>
      </c>
      <c r="J1993" s="12" t="str">
        <f ca="1">IFERROR(__xludf.DUMMYFUNCTION("FILTER('CLASFICACIÓN'!$F$3:$F2419,'CLASFICACIÓN'!$G$3:$G2419=M1993)"),"2023 Y 2024")</f>
        <v>2023 Y 2024</v>
      </c>
      <c r="K1993" s="12" t="s">
        <v>2011</v>
      </c>
      <c r="L1993" s="11" t="s">
        <v>136</v>
      </c>
      <c r="M1993" s="12" t="str">
        <f t="shared" ca="1" si="7"/>
        <v>149756 Primaria</v>
      </c>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4"/>
    </row>
    <row r="1994" spans="1:36" ht="12.5" x14ac:dyDescent="0.25">
      <c r="A1994" s="9">
        <v>617</v>
      </c>
      <c r="B1994" s="10" t="s">
        <v>14</v>
      </c>
      <c r="C1994" s="10" t="s">
        <v>15</v>
      </c>
      <c r="D1994" s="10" t="s">
        <v>37</v>
      </c>
      <c r="E1994" s="11" t="str">
        <f ca="1">IFERROR(__xludf.DUMMYFUNCTION("FILTER(Colegios!$B$2:$B2419,Colegios!$A$2:$A2419=L1994)"),"14975")</f>
        <v>14975</v>
      </c>
      <c r="F1994" s="11" t="s">
        <v>17</v>
      </c>
      <c r="G1994" s="10" t="s">
        <v>24</v>
      </c>
      <c r="H1994" s="11" t="s">
        <v>23</v>
      </c>
      <c r="I1994" s="11" t="s">
        <v>113</v>
      </c>
      <c r="J1994" s="12" t="str">
        <f ca="1">IFERROR(__xludf.DUMMYFUNCTION("FILTER('CLASFICACIÓN'!$F$3:$F2419,'CLASFICACIÓN'!$G$3:$G2419=M1994)"),"2023 Y 2024")</f>
        <v>2023 Y 2024</v>
      </c>
      <c r="K1994" s="12" t="s">
        <v>2011</v>
      </c>
      <c r="L1994" s="11" t="s">
        <v>136</v>
      </c>
      <c r="M1994" s="12" t="str">
        <f t="shared" ca="1" si="7"/>
        <v>149756 Primaria</v>
      </c>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4"/>
    </row>
    <row r="1995" spans="1:36" ht="12.5" x14ac:dyDescent="0.25">
      <c r="A1995" s="9">
        <v>618</v>
      </c>
      <c r="B1995" s="10" t="s">
        <v>14</v>
      </c>
      <c r="C1995" s="10" t="s">
        <v>15</v>
      </c>
      <c r="D1995" s="10" t="s">
        <v>37</v>
      </c>
      <c r="E1995" s="11" t="str">
        <f ca="1">IFERROR(__xludf.DUMMYFUNCTION("FILTER(Colegios!$B$2:$B2419,Colegios!$A$2:$A2419=L1995)"),"14975")</f>
        <v>14975</v>
      </c>
      <c r="F1995" s="11" t="s">
        <v>17</v>
      </c>
      <c r="G1995" s="10" t="s">
        <v>18</v>
      </c>
      <c r="H1995" s="11" t="s">
        <v>23</v>
      </c>
      <c r="I1995" s="11" t="s">
        <v>113</v>
      </c>
      <c r="J1995" s="12" t="str">
        <f ca="1">IFERROR(__xludf.DUMMYFUNCTION("FILTER('CLASFICACIÓN'!$F$3:$F2419,'CLASFICACIÓN'!$G$3:$G2419=M1995)"),"2023 Y 2024")</f>
        <v>2023 Y 2024</v>
      </c>
      <c r="K1995" s="12" t="s">
        <v>2011</v>
      </c>
      <c r="L1995" s="11" t="s">
        <v>136</v>
      </c>
      <c r="M1995" s="12" t="str">
        <f t="shared" ca="1" si="7"/>
        <v>149756 Primaria</v>
      </c>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4"/>
    </row>
    <row r="1996" spans="1:36" ht="12.5" x14ac:dyDescent="0.25">
      <c r="A1996" s="9">
        <v>619</v>
      </c>
      <c r="B1996" s="10" t="s">
        <v>14</v>
      </c>
      <c r="C1996" s="10" t="s">
        <v>15</v>
      </c>
      <c r="D1996" s="10" t="s">
        <v>37</v>
      </c>
      <c r="E1996" s="11" t="str">
        <f ca="1">IFERROR(__xludf.DUMMYFUNCTION("FILTER(Colegios!$B$2:$B2419,Colegios!$A$2:$A2419=L1996)"),"14975")</f>
        <v>14975</v>
      </c>
      <c r="F1996" s="11" t="s">
        <v>17</v>
      </c>
      <c r="G1996" s="10" t="s">
        <v>24</v>
      </c>
      <c r="H1996" s="11" t="s">
        <v>19</v>
      </c>
      <c r="I1996" s="11" t="s">
        <v>113</v>
      </c>
      <c r="J1996" s="12" t="str">
        <f ca="1">IFERROR(__xludf.DUMMYFUNCTION("FILTER('CLASFICACIÓN'!$F$3:$F2419,'CLASFICACIÓN'!$G$3:$G2419=M1996)"),"2023 Y 2024")</f>
        <v>2023 Y 2024</v>
      </c>
      <c r="K1996" s="12" t="s">
        <v>2011</v>
      </c>
      <c r="L1996" s="11" t="s">
        <v>136</v>
      </c>
      <c r="M1996" s="12" t="str">
        <f t="shared" ca="1" si="7"/>
        <v>149756 Primaria</v>
      </c>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4"/>
    </row>
    <row r="1997" spans="1:36" ht="12.5" x14ac:dyDescent="0.25">
      <c r="A1997" s="9">
        <v>620</v>
      </c>
      <c r="B1997" s="10" t="s">
        <v>14</v>
      </c>
      <c r="C1997" s="10" t="s">
        <v>15</v>
      </c>
      <c r="D1997" s="10" t="s">
        <v>37</v>
      </c>
      <c r="E1997" s="11" t="str">
        <f ca="1">IFERROR(__xludf.DUMMYFUNCTION("FILTER(Colegios!$B$2:$B2419,Colegios!$A$2:$A2419=L1997)"),"14975")</f>
        <v>14975</v>
      </c>
      <c r="F1997" s="11" t="s">
        <v>17</v>
      </c>
      <c r="G1997" s="10" t="s">
        <v>24</v>
      </c>
      <c r="H1997" s="11" t="s">
        <v>19</v>
      </c>
      <c r="I1997" s="11" t="s">
        <v>113</v>
      </c>
      <c r="J1997" s="12" t="str">
        <f ca="1">IFERROR(__xludf.DUMMYFUNCTION("FILTER('CLASFICACIÓN'!$F$3:$F2419,'CLASFICACIÓN'!$G$3:$G2419=M1997)"),"2023 Y 2024")</f>
        <v>2023 Y 2024</v>
      </c>
      <c r="K1997" s="12" t="s">
        <v>2011</v>
      </c>
      <c r="L1997" s="11" t="s">
        <v>136</v>
      </c>
      <c r="M1997" s="12" t="str">
        <f t="shared" ca="1" si="7"/>
        <v>149756 Primaria</v>
      </c>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4"/>
    </row>
    <row r="1998" spans="1:36" ht="12.5" x14ac:dyDescent="0.25">
      <c r="A1998" s="9">
        <v>621</v>
      </c>
      <c r="B1998" s="10" t="s">
        <v>14</v>
      </c>
      <c r="C1998" s="10" t="s">
        <v>15</v>
      </c>
      <c r="D1998" s="10" t="s">
        <v>37</v>
      </c>
      <c r="E1998" s="11" t="str">
        <f ca="1">IFERROR(__xludf.DUMMYFUNCTION("FILTER(Colegios!$B$2:$B2419,Colegios!$A$2:$A2419=L1998)"),"14975")</f>
        <v>14975</v>
      </c>
      <c r="F1998" s="11" t="s">
        <v>17</v>
      </c>
      <c r="G1998" s="10" t="s">
        <v>24</v>
      </c>
      <c r="H1998" s="11" t="s">
        <v>19</v>
      </c>
      <c r="I1998" s="11" t="s">
        <v>113</v>
      </c>
      <c r="J1998" s="12" t="str">
        <f ca="1">IFERROR(__xludf.DUMMYFUNCTION("FILTER('CLASFICACIÓN'!$F$3:$F2419,'CLASFICACIÓN'!$G$3:$G2419=M1998)"),"2023 Y 2024")</f>
        <v>2023 Y 2024</v>
      </c>
      <c r="K1998" s="12" t="s">
        <v>2011</v>
      </c>
      <c r="L1998" s="11" t="s">
        <v>136</v>
      </c>
      <c r="M1998" s="12" t="str">
        <f t="shared" ca="1" si="7"/>
        <v>149756 Primaria</v>
      </c>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4"/>
    </row>
    <row r="1999" spans="1:36" ht="12.5" x14ac:dyDescent="0.25">
      <c r="A1999" s="9">
        <v>622</v>
      </c>
      <c r="B1999" s="10" t="s">
        <v>60</v>
      </c>
      <c r="C1999" s="10" t="s">
        <v>15</v>
      </c>
      <c r="D1999" s="10" t="s">
        <v>45</v>
      </c>
      <c r="E1999" s="11" t="str">
        <f ca="1">IFERROR(__xludf.DUMMYFUNCTION("FILTER(Colegios!$B$2:$B2419,Colegios!$A$2:$A2419=L1999)"),"601448")</f>
        <v>601448</v>
      </c>
      <c r="F1999" s="11" t="s">
        <v>17</v>
      </c>
      <c r="G1999" s="10" t="s">
        <v>18</v>
      </c>
      <c r="H1999" s="11" t="s">
        <v>23</v>
      </c>
      <c r="I1999" s="11" t="s">
        <v>113</v>
      </c>
      <c r="J1999" s="12" t="str">
        <f ca="1">IFERROR(__xludf.DUMMYFUNCTION("FILTER('CLASFICACIÓN'!$F$3:$F2419,'CLASFICACIÓN'!$G$3:$G2419=M1999)"),"2023 Y 2024")</f>
        <v>2023 Y 2024</v>
      </c>
      <c r="K1999" s="12" t="s">
        <v>2011</v>
      </c>
      <c r="L1999" s="11" t="s">
        <v>94</v>
      </c>
      <c r="M1999" s="12" t="str">
        <f t="shared" ca="1" si="7"/>
        <v>6014482 Primaria</v>
      </c>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4"/>
    </row>
    <row r="2000" spans="1:36" ht="12.5" x14ac:dyDescent="0.25">
      <c r="A2000" s="9">
        <v>623</v>
      </c>
      <c r="B2000" s="10" t="s">
        <v>60</v>
      </c>
      <c r="C2000" s="10" t="s">
        <v>15</v>
      </c>
      <c r="D2000" s="10" t="s">
        <v>45</v>
      </c>
      <c r="E2000" s="11" t="str">
        <f ca="1">IFERROR(__xludf.DUMMYFUNCTION("FILTER(Colegios!$B$2:$B2419,Colegios!$A$2:$A2419=L2000)"),"601448")</f>
        <v>601448</v>
      </c>
      <c r="F2000" s="11" t="s">
        <v>17</v>
      </c>
      <c r="G2000" s="10" t="s">
        <v>24</v>
      </c>
      <c r="H2000" s="11" t="s">
        <v>25</v>
      </c>
      <c r="I2000" s="11" t="s">
        <v>113</v>
      </c>
      <c r="J2000" s="12" t="str">
        <f ca="1">IFERROR(__xludf.DUMMYFUNCTION("FILTER('CLASFICACIÓN'!$F$3:$F2419,'CLASFICACIÓN'!$G$3:$G2419=M2000)"),"2023 Y 2024")</f>
        <v>2023 Y 2024</v>
      </c>
      <c r="K2000" s="12" t="s">
        <v>2011</v>
      </c>
      <c r="L2000" s="11" t="s">
        <v>94</v>
      </c>
      <c r="M2000" s="12" t="str">
        <f t="shared" ca="1" si="7"/>
        <v>6014482 Primaria</v>
      </c>
      <c r="N2000" s="11"/>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4"/>
    </row>
    <row r="2001" spans="1:36" ht="12.5" x14ac:dyDescent="0.25">
      <c r="A2001" s="9">
        <v>624</v>
      </c>
      <c r="B2001" s="10" t="s">
        <v>60</v>
      </c>
      <c r="C2001" s="10" t="s">
        <v>15</v>
      </c>
      <c r="D2001" s="10" t="s">
        <v>45</v>
      </c>
      <c r="E2001" s="11" t="str">
        <f ca="1">IFERROR(__xludf.DUMMYFUNCTION("FILTER(Colegios!$B$2:$B2419,Colegios!$A$2:$A2419=L2001)"),"601448")</f>
        <v>601448</v>
      </c>
      <c r="F2001" s="11" t="s">
        <v>17</v>
      </c>
      <c r="G2001" s="10" t="s">
        <v>18</v>
      </c>
      <c r="H2001" s="11" t="s">
        <v>19</v>
      </c>
      <c r="I2001" s="11" t="s">
        <v>113</v>
      </c>
      <c r="J2001" s="12" t="str">
        <f ca="1">IFERROR(__xludf.DUMMYFUNCTION("FILTER('CLASFICACIÓN'!$F$3:$F2419,'CLASFICACIÓN'!$G$3:$G2419=M2001)"),"2023 Y 2024")</f>
        <v>2023 Y 2024</v>
      </c>
      <c r="K2001" s="12" t="s">
        <v>2011</v>
      </c>
      <c r="L2001" s="11" t="s">
        <v>94</v>
      </c>
      <c r="M2001" s="12" t="str">
        <f t="shared" ca="1" si="7"/>
        <v>6014482 Primaria</v>
      </c>
      <c r="N2001" s="11"/>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4"/>
    </row>
    <row r="2002" spans="1:36" ht="12.5" x14ac:dyDescent="0.25">
      <c r="A2002" s="9">
        <v>625</v>
      </c>
      <c r="B2002" s="10" t="s">
        <v>60</v>
      </c>
      <c r="C2002" s="10" t="s">
        <v>15</v>
      </c>
      <c r="D2002" s="10" t="s">
        <v>45</v>
      </c>
      <c r="E2002" s="11" t="str">
        <f ca="1">IFERROR(__xludf.DUMMYFUNCTION("FILTER(Colegios!$B$2:$B2419,Colegios!$A$2:$A2419=L2002)"),"601448")</f>
        <v>601448</v>
      </c>
      <c r="F2002" s="11" t="s">
        <v>17</v>
      </c>
      <c r="G2002" s="10" t="s">
        <v>18</v>
      </c>
      <c r="H2002" s="11" t="s">
        <v>25</v>
      </c>
      <c r="I2002" s="11" t="s">
        <v>113</v>
      </c>
      <c r="J2002" s="12" t="str">
        <f ca="1">IFERROR(__xludf.DUMMYFUNCTION("FILTER('CLASFICACIÓN'!$F$3:$F2419,'CLASFICACIÓN'!$G$3:$G2419=M2002)"),"2023 Y 2024")</f>
        <v>2023 Y 2024</v>
      </c>
      <c r="K2002" s="12" t="s">
        <v>2011</v>
      </c>
      <c r="L2002" s="11" t="s">
        <v>94</v>
      </c>
      <c r="M2002" s="12" t="str">
        <f t="shared" ca="1" si="7"/>
        <v>6014482 Primaria</v>
      </c>
      <c r="N2002" s="11"/>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4"/>
    </row>
    <row r="2003" spans="1:36" ht="12.5" x14ac:dyDescent="0.25">
      <c r="A2003" s="9">
        <v>626</v>
      </c>
      <c r="B2003" s="10" t="s">
        <v>60</v>
      </c>
      <c r="C2003" s="10" t="s">
        <v>15</v>
      </c>
      <c r="D2003" s="10" t="s">
        <v>45</v>
      </c>
      <c r="E2003" s="11" t="str">
        <f ca="1">IFERROR(__xludf.DUMMYFUNCTION("FILTER(Colegios!$B$2:$B2419,Colegios!$A$2:$A2419=L2003)"),"601448")</f>
        <v>601448</v>
      </c>
      <c r="F2003" s="11" t="s">
        <v>17</v>
      </c>
      <c r="G2003" s="10" t="s">
        <v>18</v>
      </c>
      <c r="H2003" s="11" t="s">
        <v>19</v>
      </c>
      <c r="I2003" s="11" t="s">
        <v>113</v>
      </c>
      <c r="J2003" s="12" t="str">
        <f ca="1">IFERROR(__xludf.DUMMYFUNCTION("FILTER('CLASFICACIÓN'!$F$3:$F2419,'CLASFICACIÓN'!$G$3:$G2419=M2003)"),"2023 Y 2024")</f>
        <v>2023 Y 2024</v>
      </c>
      <c r="K2003" s="12" t="s">
        <v>2011</v>
      </c>
      <c r="L2003" s="11" t="s">
        <v>94</v>
      </c>
      <c r="M2003" s="12" t="str">
        <f t="shared" ca="1" si="7"/>
        <v>6014482 Primaria</v>
      </c>
      <c r="N2003" s="11"/>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4"/>
    </row>
    <row r="2004" spans="1:36" ht="12.5" x14ac:dyDescent="0.25">
      <c r="A2004" s="9">
        <v>627</v>
      </c>
      <c r="B2004" s="10" t="s">
        <v>60</v>
      </c>
      <c r="C2004" s="10" t="s">
        <v>15</v>
      </c>
      <c r="D2004" s="10" t="s">
        <v>45</v>
      </c>
      <c r="E2004" s="11" t="str">
        <f ca="1">IFERROR(__xludf.DUMMYFUNCTION("FILTER(Colegios!$B$2:$B2419,Colegios!$A$2:$A2419=L2004)"),"601448")</f>
        <v>601448</v>
      </c>
      <c r="F2004" s="11" t="s">
        <v>17</v>
      </c>
      <c r="G2004" s="10" t="s">
        <v>24</v>
      </c>
      <c r="H2004" s="11" t="s">
        <v>23</v>
      </c>
      <c r="I2004" s="11" t="s">
        <v>113</v>
      </c>
      <c r="J2004" s="12" t="str">
        <f ca="1">IFERROR(__xludf.DUMMYFUNCTION("FILTER('CLASFICACIÓN'!$F$3:$F2419,'CLASFICACIÓN'!$G$3:$G2419=M2004)"),"2023 Y 2024")</f>
        <v>2023 Y 2024</v>
      </c>
      <c r="K2004" s="12" t="s">
        <v>2011</v>
      </c>
      <c r="L2004" s="11" t="s">
        <v>137</v>
      </c>
      <c r="M2004" s="12" t="str">
        <f t="shared" ca="1" si="7"/>
        <v>6014482 Primaria</v>
      </c>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4"/>
    </row>
    <row r="2005" spans="1:36" ht="12.5" x14ac:dyDescent="0.25">
      <c r="A2005" s="9">
        <v>628</v>
      </c>
      <c r="B2005" s="10" t="s">
        <v>60</v>
      </c>
      <c r="C2005" s="10" t="s">
        <v>15</v>
      </c>
      <c r="D2005" s="10" t="s">
        <v>45</v>
      </c>
      <c r="E2005" s="11" t="str">
        <f ca="1">IFERROR(__xludf.DUMMYFUNCTION("FILTER(Colegios!$B$2:$B2419,Colegios!$A$2:$A2419=L2005)"),"601448")</f>
        <v>601448</v>
      </c>
      <c r="F2005" s="11" t="s">
        <v>17</v>
      </c>
      <c r="G2005" s="10" t="s">
        <v>18</v>
      </c>
      <c r="H2005" s="11" t="s">
        <v>23</v>
      </c>
      <c r="I2005" s="11" t="s">
        <v>113</v>
      </c>
      <c r="J2005" s="12" t="str">
        <f ca="1">IFERROR(__xludf.DUMMYFUNCTION("FILTER('CLASFICACIÓN'!$F$3:$F2419,'CLASFICACIÓN'!$G$3:$G2419=M2005)"),"2023 Y 2024")</f>
        <v>2023 Y 2024</v>
      </c>
      <c r="K2005" s="12" t="s">
        <v>2011</v>
      </c>
      <c r="L2005" s="11" t="s">
        <v>94</v>
      </c>
      <c r="M2005" s="12" t="str">
        <f t="shared" ca="1" si="7"/>
        <v>6014482 Primaria</v>
      </c>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4"/>
    </row>
    <row r="2006" spans="1:36" ht="12.5" x14ac:dyDescent="0.25">
      <c r="A2006" s="9">
        <v>629</v>
      </c>
      <c r="B2006" s="10" t="s">
        <v>60</v>
      </c>
      <c r="C2006" s="10" t="s">
        <v>15</v>
      </c>
      <c r="D2006" s="10" t="s">
        <v>45</v>
      </c>
      <c r="E2006" s="11" t="str">
        <f ca="1">IFERROR(__xludf.DUMMYFUNCTION("FILTER(Colegios!$B$2:$B2419,Colegios!$A$2:$A2419=L2006)"),"601448")</f>
        <v>601448</v>
      </c>
      <c r="F2006" s="11" t="s">
        <v>17</v>
      </c>
      <c r="G2006" s="10" t="s">
        <v>24</v>
      </c>
      <c r="H2006" s="11" t="s">
        <v>23</v>
      </c>
      <c r="I2006" s="11" t="s">
        <v>113</v>
      </c>
      <c r="J2006" s="12" t="str">
        <f ca="1">IFERROR(__xludf.DUMMYFUNCTION("FILTER('CLASFICACIÓN'!$F$3:$F2419,'CLASFICACIÓN'!$G$3:$G2419=M2006)"),"2023 Y 2024")</f>
        <v>2023 Y 2024</v>
      </c>
      <c r="K2006" s="12" t="s">
        <v>2011</v>
      </c>
      <c r="L2006" s="11" t="s">
        <v>94</v>
      </c>
      <c r="M2006" s="12" t="str">
        <f t="shared" ca="1" si="7"/>
        <v>6014482 Primaria</v>
      </c>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4"/>
    </row>
    <row r="2007" spans="1:36" ht="12.5" x14ac:dyDescent="0.25">
      <c r="A2007" s="9">
        <v>630</v>
      </c>
      <c r="B2007" s="10" t="s">
        <v>60</v>
      </c>
      <c r="C2007" s="10" t="s">
        <v>15</v>
      </c>
      <c r="D2007" s="10" t="s">
        <v>16</v>
      </c>
      <c r="E2007" s="11" t="str">
        <f ca="1">IFERROR(__xludf.DUMMYFUNCTION("FILTER(Colegios!$B$2:$B2419,Colegios!$A$2:$A2419=L2007)"),"601448")</f>
        <v>601448</v>
      </c>
      <c r="F2007" s="11" t="s">
        <v>17</v>
      </c>
      <c r="G2007" s="10" t="s">
        <v>18</v>
      </c>
      <c r="H2007" s="11" t="s">
        <v>25</v>
      </c>
      <c r="I2007" s="11" t="s">
        <v>113</v>
      </c>
      <c r="J2007" s="12" t="str">
        <f ca="1">IFERROR(__xludf.DUMMYFUNCTION("FILTER('CLASFICACIÓN'!$F$3:$F2419,'CLASFICACIÓN'!$G$3:$G2419=M2007)"),"LOS 3 AÑOS")</f>
        <v>LOS 3 AÑOS</v>
      </c>
      <c r="K2007" s="12" t="s">
        <v>2011</v>
      </c>
      <c r="L2007" s="11" t="s">
        <v>94</v>
      </c>
      <c r="M2007" s="12" t="str">
        <f t="shared" ca="1" si="7"/>
        <v>6014484 Primaria</v>
      </c>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4"/>
    </row>
    <row r="2008" spans="1:36" ht="12.5" x14ac:dyDescent="0.25">
      <c r="A2008" s="9">
        <v>631</v>
      </c>
      <c r="B2008" s="10" t="s">
        <v>60</v>
      </c>
      <c r="C2008" s="10" t="s">
        <v>15</v>
      </c>
      <c r="D2008" s="10" t="s">
        <v>16</v>
      </c>
      <c r="E2008" s="11" t="str">
        <f ca="1">IFERROR(__xludf.DUMMYFUNCTION("FILTER(Colegios!$B$2:$B2419,Colegios!$A$2:$A2419=L2008)"),"601448")</f>
        <v>601448</v>
      </c>
      <c r="F2008" s="11" t="s">
        <v>17</v>
      </c>
      <c r="G2008" s="10" t="s">
        <v>18</v>
      </c>
      <c r="H2008" s="11" t="s">
        <v>19</v>
      </c>
      <c r="I2008" s="11" t="s">
        <v>113</v>
      </c>
      <c r="J2008" s="12" t="str">
        <f ca="1">IFERROR(__xludf.DUMMYFUNCTION("FILTER('CLASFICACIÓN'!$F$3:$F2419,'CLASFICACIÓN'!$G$3:$G2419=M2008)"),"LOS 3 AÑOS")</f>
        <v>LOS 3 AÑOS</v>
      </c>
      <c r="K2008" s="12" t="s">
        <v>2011</v>
      </c>
      <c r="L2008" s="11" t="s">
        <v>94</v>
      </c>
      <c r="M2008" s="12" t="str">
        <f t="shared" ca="1" si="7"/>
        <v>6014484 Primaria</v>
      </c>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4"/>
    </row>
    <row r="2009" spans="1:36" ht="12.5" x14ac:dyDescent="0.25">
      <c r="A2009" s="9">
        <v>632</v>
      </c>
      <c r="B2009" s="10" t="s">
        <v>60</v>
      </c>
      <c r="C2009" s="10" t="s">
        <v>15</v>
      </c>
      <c r="D2009" s="10" t="s">
        <v>16</v>
      </c>
      <c r="E2009" s="11" t="str">
        <f ca="1">IFERROR(__xludf.DUMMYFUNCTION("FILTER(Colegios!$B$2:$B2419,Colegios!$A$2:$A2419=L2009)"),"601448")</f>
        <v>601448</v>
      </c>
      <c r="F2009" s="11" t="s">
        <v>17</v>
      </c>
      <c r="G2009" s="10" t="s">
        <v>18</v>
      </c>
      <c r="H2009" s="11" t="s">
        <v>23</v>
      </c>
      <c r="I2009" s="11" t="s">
        <v>113</v>
      </c>
      <c r="J2009" s="12" t="str">
        <f ca="1">IFERROR(__xludf.DUMMYFUNCTION("FILTER('CLASFICACIÓN'!$F$3:$F2419,'CLASFICACIÓN'!$G$3:$G2419=M2009)"),"LOS 3 AÑOS")</f>
        <v>LOS 3 AÑOS</v>
      </c>
      <c r="K2009" s="12" t="s">
        <v>2011</v>
      </c>
      <c r="L2009" s="11" t="s">
        <v>94</v>
      </c>
      <c r="M2009" s="12" t="str">
        <f t="shared" ca="1" si="7"/>
        <v>6014484 Primaria</v>
      </c>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4"/>
    </row>
    <row r="2010" spans="1:36" ht="12.5" x14ac:dyDescent="0.25">
      <c r="A2010" s="9">
        <v>633</v>
      </c>
      <c r="B2010" s="10" t="s">
        <v>60</v>
      </c>
      <c r="C2010" s="10" t="s">
        <v>15</v>
      </c>
      <c r="D2010" s="10" t="s">
        <v>16</v>
      </c>
      <c r="E2010" s="11" t="str">
        <f ca="1">IFERROR(__xludf.DUMMYFUNCTION("FILTER(Colegios!$B$2:$B2419,Colegios!$A$2:$A2419=L2010)"),"601448")</f>
        <v>601448</v>
      </c>
      <c r="F2010" s="11" t="s">
        <v>17</v>
      </c>
      <c r="G2010" s="10" t="s">
        <v>18</v>
      </c>
      <c r="H2010" s="11" t="s">
        <v>19</v>
      </c>
      <c r="I2010" s="11" t="s">
        <v>113</v>
      </c>
      <c r="J2010" s="12" t="str">
        <f ca="1">IFERROR(__xludf.DUMMYFUNCTION("FILTER('CLASFICACIÓN'!$F$3:$F2419,'CLASFICACIÓN'!$G$3:$G2419=M2010)"),"LOS 3 AÑOS")</f>
        <v>LOS 3 AÑOS</v>
      </c>
      <c r="K2010" s="12" t="s">
        <v>2011</v>
      </c>
      <c r="L2010" s="11" t="s">
        <v>94</v>
      </c>
      <c r="M2010" s="12" t="str">
        <f t="shared" ca="1" si="7"/>
        <v>6014484 Primaria</v>
      </c>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4"/>
    </row>
    <row r="2011" spans="1:36" ht="12.5" x14ac:dyDescent="0.25">
      <c r="A2011" s="9">
        <v>634</v>
      </c>
      <c r="B2011" s="10" t="s">
        <v>60</v>
      </c>
      <c r="C2011" s="10" t="s">
        <v>15</v>
      </c>
      <c r="D2011" s="10" t="s">
        <v>16</v>
      </c>
      <c r="E2011" s="11" t="str">
        <f ca="1">IFERROR(__xludf.DUMMYFUNCTION("FILTER(Colegios!$B$2:$B2419,Colegios!$A$2:$A2419=L2011)"),"601448")</f>
        <v>601448</v>
      </c>
      <c r="F2011" s="11" t="s">
        <v>17</v>
      </c>
      <c r="G2011" s="10" t="s">
        <v>18</v>
      </c>
      <c r="H2011" s="11" t="s">
        <v>19</v>
      </c>
      <c r="I2011" s="11" t="s">
        <v>113</v>
      </c>
      <c r="J2011" s="12" t="str">
        <f ca="1">IFERROR(__xludf.DUMMYFUNCTION("FILTER('CLASFICACIÓN'!$F$3:$F2419,'CLASFICACIÓN'!$G$3:$G2419=M2011)"),"LOS 3 AÑOS")</f>
        <v>LOS 3 AÑOS</v>
      </c>
      <c r="K2011" s="12" t="s">
        <v>2011</v>
      </c>
      <c r="L2011" s="11" t="s">
        <v>94</v>
      </c>
      <c r="M2011" s="12" t="str">
        <f t="shared" ca="1" si="7"/>
        <v>6014484 Primaria</v>
      </c>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4"/>
    </row>
    <row r="2012" spans="1:36" ht="12.5" x14ac:dyDescent="0.25">
      <c r="A2012" s="9">
        <v>635</v>
      </c>
      <c r="B2012" s="10" t="s">
        <v>60</v>
      </c>
      <c r="C2012" s="10" t="s">
        <v>15</v>
      </c>
      <c r="D2012" s="10" t="s">
        <v>16</v>
      </c>
      <c r="E2012" s="11" t="str">
        <f ca="1">IFERROR(__xludf.DUMMYFUNCTION("FILTER(Colegios!$B$2:$B2419,Colegios!$A$2:$A2419=L2012)"),"601448")</f>
        <v>601448</v>
      </c>
      <c r="F2012" s="11" t="s">
        <v>17</v>
      </c>
      <c r="G2012" s="10" t="s">
        <v>18</v>
      </c>
      <c r="H2012" s="11" t="s">
        <v>23</v>
      </c>
      <c r="I2012" s="11" t="s">
        <v>113</v>
      </c>
      <c r="J2012" s="12" t="str">
        <f ca="1">IFERROR(__xludf.DUMMYFUNCTION("FILTER('CLASFICACIÓN'!$F$3:$F2419,'CLASFICACIÓN'!$G$3:$G2419=M2012)"),"LOS 3 AÑOS")</f>
        <v>LOS 3 AÑOS</v>
      </c>
      <c r="K2012" s="12" t="s">
        <v>2011</v>
      </c>
      <c r="L2012" s="11" t="s">
        <v>94</v>
      </c>
      <c r="M2012" s="12" t="str">
        <f t="shared" ca="1" si="7"/>
        <v>6014484 Primaria</v>
      </c>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4"/>
    </row>
    <row r="2013" spans="1:36" ht="12.5" x14ac:dyDescent="0.25">
      <c r="A2013" s="9">
        <v>636</v>
      </c>
      <c r="B2013" s="10" t="s">
        <v>60</v>
      </c>
      <c r="C2013" s="10" t="s">
        <v>15</v>
      </c>
      <c r="D2013" s="10" t="s">
        <v>16</v>
      </c>
      <c r="E2013" s="11" t="str">
        <f ca="1">IFERROR(__xludf.DUMMYFUNCTION("FILTER(Colegios!$B$2:$B2419,Colegios!$A$2:$A2419=L2013)"),"601448")</f>
        <v>601448</v>
      </c>
      <c r="F2013" s="11" t="s">
        <v>17</v>
      </c>
      <c r="G2013" s="10" t="s">
        <v>18</v>
      </c>
      <c r="H2013" s="11" t="s">
        <v>19</v>
      </c>
      <c r="I2013" s="11" t="s">
        <v>113</v>
      </c>
      <c r="J2013" s="12" t="str">
        <f ca="1">IFERROR(__xludf.DUMMYFUNCTION("FILTER('CLASFICACIÓN'!$F$3:$F2419,'CLASFICACIÓN'!$G$3:$G2419=M2013)"),"LOS 3 AÑOS")</f>
        <v>LOS 3 AÑOS</v>
      </c>
      <c r="K2013" s="12" t="s">
        <v>2011</v>
      </c>
      <c r="L2013" s="11" t="s">
        <v>94</v>
      </c>
      <c r="M2013" s="12" t="str">
        <f t="shared" ca="1" si="7"/>
        <v>6014484 Primaria</v>
      </c>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4"/>
    </row>
    <row r="2014" spans="1:36" ht="12.5" x14ac:dyDescent="0.25">
      <c r="A2014" s="9">
        <v>637</v>
      </c>
      <c r="B2014" s="10" t="s">
        <v>60</v>
      </c>
      <c r="C2014" s="10" t="s">
        <v>15</v>
      </c>
      <c r="D2014" s="10" t="s">
        <v>37</v>
      </c>
      <c r="E2014" s="11" t="str">
        <f ca="1">IFERROR(__xludf.DUMMYFUNCTION("FILTER(Colegios!$B$2:$B2419,Colegios!$A$2:$A2419=L2014)"),"601448")</f>
        <v>601448</v>
      </c>
      <c r="F2014" s="11" t="s">
        <v>17</v>
      </c>
      <c r="G2014" s="10" t="s">
        <v>18</v>
      </c>
      <c r="H2014" s="11" t="s">
        <v>19</v>
      </c>
      <c r="I2014" s="11" t="s">
        <v>113</v>
      </c>
      <c r="J2014" s="12" t="str">
        <f ca="1">IFERROR(__xludf.DUMMYFUNCTION("FILTER('CLASFICACIÓN'!$F$3:$F2419,'CLASFICACIÓN'!$G$3:$G2419=M2014)"),"2023 Y 2024")</f>
        <v>2023 Y 2024</v>
      </c>
      <c r="K2014" s="12" t="s">
        <v>2011</v>
      </c>
      <c r="L2014" s="11" t="s">
        <v>94</v>
      </c>
      <c r="M2014" s="12" t="str">
        <f t="shared" ca="1" si="7"/>
        <v>6014486 Primaria</v>
      </c>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4"/>
    </row>
    <row r="2015" spans="1:36" ht="12.5" x14ac:dyDescent="0.25">
      <c r="A2015" s="9">
        <v>638</v>
      </c>
      <c r="B2015" s="10" t="s">
        <v>60</v>
      </c>
      <c r="C2015" s="10" t="s">
        <v>15</v>
      </c>
      <c r="D2015" s="10" t="s">
        <v>37</v>
      </c>
      <c r="E2015" s="11" t="str">
        <f ca="1">IFERROR(__xludf.DUMMYFUNCTION("FILTER(Colegios!$B$2:$B2419,Colegios!$A$2:$A2419=L2015)"),"601448")</f>
        <v>601448</v>
      </c>
      <c r="F2015" s="11" t="s">
        <v>17</v>
      </c>
      <c r="G2015" s="10" t="s">
        <v>18</v>
      </c>
      <c r="H2015" s="11" t="s">
        <v>25</v>
      </c>
      <c r="I2015" s="11" t="s">
        <v>113</v>
      </c>
      <c r="J2015" s="12" t="str">
        <f ca="1">IFERROR(__xludf.DUMMYFUNCTION("FILTER('CLASFICACIÓN'!$F$3:$F2419,'CLASFICACIÓN'!$G$3:$G2419=M2015)"),"2023 Y 2024")</f>
        <v>2023 Y 2024</v>
      </c>
      <c r="K2015" s="12" t="s">
        <v>2011</v>
      </c>
      <c r="L2015" s="11" t="s">
        <v>94</v>
      </c>
      <c r="M2015" s="12" t="str">
        <f t="shared" ca="1" si="7"/>
        <v>6014486 Primaria</v>
      </c>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4"/>
    </row>
    <row r="2016" spans="1:36" ht="12.5" x14ac:dyDescent="0.25">
      <c r="A2016" s="9">
        <v>639</v>
      </c>
      <c r="B2016" s="10" t="s">
        <v>60</v>
      </c>
      <c r="C2016" s="10" t="s">
        <v>15</v>
      </c>
      <c r="D2016" s="10" t="s">
        <v>37</v>
      </c>
      <c r="E2016" s="11" t="str">
        <f ca="1">IFERROR(__xludf.DUMMYFUNCTION("FILTER(Colegios!$B$2:$B2419,Colegios!$A$2:$A2419=L2016)"),"601448")</f>
        <v>601448</v>
      </c>
      <c r="F2016" s="11" t="s">
        <v>17</v>
      </c>
      <c r="G2016" s="10" t="s">
        <v>24</v>
      </c>
      <c r="H2016" s="11" t="s">
        <v>19</v>
      </c>
      <c r="I2016" s="11" t="s">
        <v>113</v>
      </c>
      <c r="J2016" s="12" t="str">
        <f ca="1">IFERROR(__xludf.DUMMYFUNCTION("FILTER('CLASFICACIÓN'!$F$3:$F2419,'CLASFICACIÓN'!$G$3:$G2419=M2016)"),"2023 Y 2024")</f>
        <v>2023 Y 2024</v>
      </c>
      <c r="K2016" s="12" t="s">
        <v>2011</v>
      </c>
      <c r="L2016" s="11" t="s">
        <v>94</v>
      </c>
      <c r="M2016" s="12" t="str">
        <f t="shared" ca="1" si="7"/>
        <v>6014486 Primaria</v>
      </c>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4"/>
    </row>
    <row r="2017" spans="1:36" ht="12.5" x14ac:dyDescent="0.25">
      <c r="A2017" s="9">
        <v>640</v>
      </c>
      <c r="B2017" s="10" t="s">
        <v>60</v>
      </c>
      <c r="C2017" s="10" t="s">
        <v>15</v>
      </c>
      <c r="D2017" s="10" t="s">
        <v>37</v>
      </c>
      <c r="E2017" s="11" t="str">
        <f ca="1">IFERROR(__xludf.DUMMYFUNCTION("FILTER(Colegios!$B$2:$B2419,Colegios!$A$2:$A2419=L2017)"),"601448")</f>
        <v>601448</v>
      </c>
      <c r="F2017" s="11" t="s">
        <v>17</v>
      </c>
      <c r="G2017" s="10" t="s">
        <v>18</v>
      </c>
      <c r="H2017" s="11" t="s">
        <v>19</v>
      </c>
      <c r="I2017" s="11" t="s">
        <v>113</v>
      </c>
      <c r="J2017" s="12" t="str">
        <f ca="1">IFERROR(__xludf.DUMMYFUNCTION("FILTER('CLASFICACIÓN'!$F$3:$F2419,'CLASFICACIÓN'!$G$3:$G2419=M2017)"),"2023 Y 2024")</f>
        <v>2023 Y 2024</v>
      </c>
      <c r="K2017" s="12" t="s">
        <v>2011</v>
      </c>
      <c r="L2017" s="11" t="s">
        <v>94</v>
      </c>
      <c r="M2017" s="12" t="str">
        <f t="shared" ca="1" si="7"/>
        <v>6014486 Primaria</v>
      </c>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4"/>
    </row>
    <row r="2018" spans="1:36" ht="12.5" x14ac:dyDescent="0.25">
      <c r="A2018" s="9">
        <v>641</v>
      </c>
      <c r="B2018" s="10" t="s">
        <v>60</v>
      </c>
      <c r="C2018" s="10" t="s">
        <v>15</v>
      </c>
      <c r="D2018" s="10" t="s">
        <v>37</v>
      </c>
      <c r="E2018" s="11" t="str">
        <f ca="1">IFERROR(__xludf.DUMMYFUNCTION("FILTER(Colegios!$B$2:$B2419,Colegios!$A$2:$A2419=L2018)"),"601448")</f>
        <v>601448</v>
      </c>
      <c r="F2018" s="11" t="s">
        <v>17</v>
      </c>
      <c r="G2018" s="10" t="s">
        <v>18</v>
      </c>
      <c r="H2018" s="11" t="s">
        <v>23</v>
      </c>
      <c r="I2018" s="11" t="s">
        <v>113</v>
      </c>
      <c r="J2018" s="12" t="str">
        <f ca="1">IFERROR(__xludf.DUMMYFUNCTION("FILTER('CLASFICACIÓN'!$F$3:$F2419,'CLASFICACIÓN'!$G$3:$G2419=M2018)"),"2023 Y 2024")</f>
        <v>2023 Y 2024</v>
      </c>
      <c r="K2018" s="12" t="s">
        <v>2011</v>
      </c>
      <c r="L2018" s="11" t="s">
        <v>94</v>
      </c>
      <c r="M2018" s="12" t="str">
        <f t="shared" ca="1" si="7"/>
        <v>6014486 Primaria</v>
      </c>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4"/>
    </row>
    <row r="2019" spans="1:36" ht="12.5" x14ac:dyDescent="0.25">
      <c r="A2019" s="9">
        <v>642</v>
      </c>
      <c r="B2019" s="10" t="s">
        <v>60</v>
      </c>
      <c r="C2019" s="10" t="s">
        <v>15</v>
      </c>
      <c r="D2019" s="10" t="s">
        <v>16</v>
      </c>
      <c r="E2019" s="11" t="str">
        <f ca="1">IFERROR(__xludf.DUMMYFUNCTION("FILTER(Colegios!$B$2:$B2419,Colegios!$A$2:$A2419=L2019)"),"601614")</f>
        <v>601614</v>
      </c>
      <c r="F2019" s="11" t="s">
        <v>17</v>
      </c>
      <c r="G2019" s="10" t="s">
        <v>18</v>
      </c>
      <c r="H2019" s="11" t="s">
        <v>23</v>
      </c>
      <c r="I2019" s="11" t="s">
        <v>113</v>
      </c>
      <c r="J2019" s="12" t="str">
        <f ca="1">IFERROR(__xludf.DUMMYFUNCTION("FILTER('CLASFICACIÓN'!$F$3:$F2419,'CLASFICACIÓN'!$G$3:$G2419=M2019)"),"2023 Y 2024")</f>
        <v>2023 Y 2024</v>
      </c>
      <c r="K2019" s="12" t="s">
        <v>2011</v>
      </c>
      <c r="L2019" s="11" t="s">
        <v>138</v>
      </c>
      <c r="M2019" s="12" t="str">
        <f t="shared" ca="1" si="7"/>
        <v>6016144 Primaria</v>
      </c>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4"/>
    </row>
    <row r="2020" spans="1:36" ht="12.5" x14ac:dyDescent="0.25">
      <c r="A2020" s="9">
        <v>643</v>
      </c>
      <c r="B2020" s="10" t="s">
        <v>60</v>
      </c>
      <c r="C2020" s="10" t="s">
        <v>15</v>
      </c>
      <c r="D2020" s="10" t="s">
        <v>37</v>
      </c>
      <c r="E2020" s="11" t="str">
        <f ca="1">IFERROR(__xludf.DUMMYFUNCTION("FILTER(Colegios!$B$2:$B2419,Colegios!$A$2:$A2419=L2020)"),"601614")</f>
        <v>601614</v>
      </c>
      <c r="F2020" s="11" t="s">
        <v>17</v>
      </c>
      <c r="G2020" s="10" t="s">
        <v>18</v>
      </c>
      <c r="H2020" s="11" t="s">
        <v>25</v>
      </c>
      <c r="I2020" s="11" t="s">
        <v>113</v>
      </c>
      <c r="J2020" s="12" t="str">
        <f ca="1">IFERROR(__xludf.DUMMYFUNCTION("FILTER('CLASFICACIÓN'!$F$3:$F2419,'CLASFICACIÓN'!$G$3:$G2419=M2020)"),"SOLO 2023")</f>
        <v>SOLO 2023</v>
      </c>
      <c r="K2020" s="12" t="s">
        <v>2011</v>
      </c>
      <c r="L2020" s="11" t="s">
        <v>138</v>
      </c>
      <c r="M2020" s="12" t="str">
        <f t="shared" ca="1" si="7"/>
        <v>6016146 Primaria</v>
      </c>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4"/>
    </row>
    <row r="2021" spans="1:36" ht="12.5" x14ac:dyDescent="0.25">
      <c r="A2021" s="9">
        <v>644</v>
      </c>
      <c r="B2021" s="10" t="s">
        <v>60</v>
      </c>
      <c r="C2021" s="10" t="s">
        <v>15</v>
      </c>
      <c r="D2021" s="10" t="s">
        <v>37</v>
      </c>
      <c r="E2021" s="11" t="str">
        <f ca="1">IFERROR(__xludf.DUMMYFUNCTION("FILTER(Colegios!$B$2:$B2419,Colegios!$A$2:$A2419=L2021)"),"601614")</f>
        <v>601614</v>
      </c>
      <c r="F2021" s="11" t="s">
        <v>17</v>
      </c>
      <c r="G2021" s="10" t="s">
        <v>24</v>
      </c>
      <c r="H2021" s="11" t="s">
        <v>23</v>
      </c>
      <c r="I2021" s="11" t="s">
        <v>113</v>
      </c>
      <c r="J2021" s="12" t="str">
        <f ca="1">IFERROR(__xludf.DUMMYFUNCTION("FILTER('CLASFICACIÓN'!$F$3:$F2419,'CLASFICACIÓN'!$G$3:$G2419=M2021)"),"SOLO 2023")</f>
        <v>SOLO 2023</v>
      </c>
      <c r="K2021" s="12" t="s">
        <v>2011</v>
      </c>
      <c r="L2021" s="11" t="s">
        <v>138</v>
      </c>
      <c r="M2021" s="12" t="str">
        <f t="shared" ca="1" si="7"/>
        <v>6016146 Primaria</v>
      </c>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4"/>
    </row>
    <row r="2022" spans="1:36" ht="12.5" x14ac:dyDescent="0.25">
      <c r="A2022" s="9">
        <v>645</v>
      </c>
      <c r="B2022" s="10" t="s">
        <v>60</v>
      </c>
      <c r="C2022" s="10" t="s">
        <v>15</v>
      </c>
      <c r="D2022" s="10" t="s">
        <v>37</v>
      </c>
      <c r="E2022" s="11" t="str">
        <f ca="1">IFERROR(__xludf.DUMMYFUNCTION("FILTER(Colegios!$B$2:$B2419,Colegios!$A$2:$A2419=L2022)"),"601614")</f>
        <v>601614</v>
      </c>
      <c r="F2022" s="11" t="s">
        <v>17</v>
      </c>
      <c r="G2022" s="10" t="s">
        <v>18</v>
      </c>
      <c r="H2022" s="11" t="s">
        <v>23</v>
      </c>
      <c r="I2022" s="11" t="s">
        <v>113</v>
      </c>
      <c r="J2022" s="12" t="str">
        <f ca="1">IFERROR(__xludf.DUMMYFUNCTION("FILTER('CLASFICACIÓN'!$F$3:$F2419,'CLASFICACIÓN'!$G$3:$G2419=M2022)"),"SOLO 2023")</f>
        <v>SOLO 2023</v>
      </c>
      <c r="K2022" s="12" t="s">
        <v>2011</v>
      </c>
      <c r="L2022" s="11" t="s">
        <v>138</v>
      </c>
      <c r="M2022" s="12" t="str">
        <f t="shared" ca="1" si="7"/>
        <v>6016146 Primaria</v>
      </c>
      <c r="N2022" s="11"/>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4"/>
    </row>
    <row r="2023" spans="1:36" ht="12.5" x14ac:dyDescent="0.25">
      <c r="A2023" s="9">
        <v>646</v>
      </c>
      <c r="B2023" s="10" t="s">
        <v>60</v>
      </c>
      <c r="C2023" s="10" t="s">
        <v>41</v>
      </c>
      <c r="D2023" s="10" t="s">
        <v>42</v>
      </c>
      <c r="E2023" s="11" t="str">
        <f ca="1">IFERROR(__xludf.DUMMYFUNCTION("FILTER(Colegios!$B$2:$B2419,Colegios!$A$2:$A2419=L2023)"),"EL MILAGRO")</f>
        <v>EL MILAGRO</v>
      </c>
      <c r="F2023" s="11" t="s">
        <v>17</v>
      </c>
      <c r="G2023" s="10" t="s">
        <v>24</v>
      </c>
      <c r="H2023" s="11" t="s">
        <v>19</v>
      </c>
      <c r="I2023" s="11" t="s">
        <v>113</v>
      </c>
      <c r="J2023" s="12" t="str">
        <f ca="1">IFERROR(__xludf.DUMMYFUNCTION("FILTER('CLASFICACIÓN'!$F$3:$F2419,'CLASFICACIÓN'!$G$3:$G2419=M2023)"),"LOS 3 AÑOS")</f>
        <v>LOS 3 AÑOS</v>
      </c>
      <c r="K2023" s="12" t="s">
        <v>2013</v>
      </c>
      <c r="L2023" s="11" t="s">
        <v>139</v>
      </c>
      <c r="M2023" s="12" t="str">
        <f t="shared" ca="1" si="7"/>
        <v>EL MILAGRO2 Secundaria</v>
      </c>
      <c r="N2023" s="11"/>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4"/>
    </row>
    <row r="2024" spans="1:36" ht="12.5" x14ac:dyDescent="0.25">
      <c r="A2024" s="9">
        <v>647</v>
      </c>
      <c r="B2024" s="10" t="s">
        <v>60</v>
      </c>
      <c r="C2024" s="10" t="s">
        <v>41</v>
      </c>
      <c r="D2024" s="10" t="s">
        <v>42</v>
      </c>
      <c r="E2024" s="11" t="str">
        <f ca="1">IFERROR(__xludf.DUMMYFUNCTION("FILTER(Colegios!$B$2:$B2419,Colegios!$A$2:$A2419=L2024)"),"EL MILAGRO")</f>
        <v>EL MILAGRO</v>
      </c>
      <c r="F2024" s="11" t="s">
        <v>17</v>
      </c>
      <c r="G2024" s="10" t="s">
        <v>18</v>
      </c>
      <c r="H2024" s="11" t="s">
        <v>19</v>
      </c>
      <c r="I2024" s="11" t="s">
        <v>113</v>
      </c>
      <c r="J2024" s="12" t="str">
        <f ca="1">IFERROR(__xludf.DUMMYFUNCTION("FILTER('CLASFICACIÓN'!$F$3:$F2419,'CLASFICACIÓN'!$G$3:$G2419=M2024)"),"LOS 3 AÑOS")</f>
        <v>LOS 3 AÑOS</v>
      </c>
      <c r="K2024" s="12" t="s">
        <v>2013</v>
      </c>
      <c r="L2024" s="11" t="s">
        <v>139</v>
      </c>
      <c r="M2024" s="12" t="str">
        <f t="shared" ca="1" si="7"/>
        <v>EL MILAGRO2 Secundaria</v>
      </c>
      <c r="N2024" s="11"/>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4"/>
    </row>
    <row r="2025" spans="1:36" ht="12.5" x14ac:dyDescent="0.25">
      <c r="A2025" s="9">
        <v>648</v>
      </c>
      <c r="B2025" s="10" t="s">
        <v>60</v>
      </c>
      <c r="C2025" s="10" t="s">
        <v>41</v>
      </c>
      <c r="D2025" s="10" t="s">
        <v>42</v>
      </c>
      <c r="E2025" s="11" t="str">
        <f ca="1">IFERROR(__xludf.DUMMYFUNCTION("FILTER(Colegios!$B$2:$B2419,Colegios!$A$2:$A2419=L2025)"),"EL MILAGRO")</f>
        <v>EL MILAGRO</v>
      </c>
      <c r="F2025" s="11" t="s">
        <v>17</v>
      </c>
      <c r="G2025" s="10" t="s">
        <v>24</v>
      </c>
      <c r="H2025" s="11" t="s">
        <v>23</v>
      </c>
      <c r="I2025" s="11" t="s">
        <v>113</v>
      </c>
      <c r="J2025" s="12" t="str">
        <f ca="1">IFERROR(__xludf.DUMMYFUNCTION("FILTER('CLASFICACIÓN'!$F$3:$F2419,'CLASFICACIÓN'!$G$3:$G2419=M2025)"),"LOS 3 AÑOS")</f>
        <v>LOS 3 AÑOS</v>
      </c>
      <c r="K2025" s="12" t="s">
        <v>2013</v>
      </c>
      <c r="L2025" s="11" t="s">
        <v>139</v>
      </c>
      <c r="M2025" s="12" t="str">
        <f t="shared" ca="1" si="7"/>
        <v>EL MILAGRO2 Secundaria</v>
      </c>
      <c r="N2025" s="11"/>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4"/>
    </row>
    <row r="2026" spans="1:36" ht="12.5" x14ac:dyDescent="0.25">
      <c r="A2026" s="9">
        <v>649</v>
      </c>
      <c r="B2026" s="10" t="s">
        <v>60</v>
      </c>
      <c r="C2026" s="10" t="s">
        <v>41</v>
      </c>
      <c r="D2026" s="10" t="s">
        <v>42</v>
      </c>
      <c r="E2026" s="11" t="str">
        <f ca="1">IFERROR(__xludf.DUMMYFUNCTION("FILTER(Colegios!$B$2:$B2419,Colegios!$A$2:$A2419=L2026)"),"EL MILAGRO")</f>
        <v>EL MILAGRO</v>
      </c>
      <c r="F2026" s="11" t="s">
        <v>17</v>
      </c>
      <c r="G2026" s="10" t="s">
        <v>18</v>
      </c>
      <c r="H2026" s="11" t="s">
        <v>23</v>
      </c>
      <c r="I2026" s="11" t="s">
        <v>113</v>
      </c>
      <c r="J2026" s="12" t="str">
        <f ca="1">IFERROR(__xludf.DUMMYFUNCTION("FILTER('CLASFICACIÓN'!$F$3:$F2419,'CLASFICACIÓN'!$G$3:$G2419=M2026)"),"LOS 3 AÑOS")</f>
        <v>LOS 3 AÑOS</v>
      </c>
      <c r="K2026" s="12" t="s">
        <v>2013</v>
      </c>
      <c r="L2026" s="11" t="s">
        <v>139</v>
      </c>
      <c r="M2026" s="12" t="str">
        <f t="shared" ca="1" si="7"/>
        <v>EL MILAGRO2 Secundaria</v>
      </c>
      <c r="N2026" s="11"/>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1"/>
      <c r="AJ2026" s="14"/>
    </row>
    <row r="2027" spans="1:36" ht="12.5" x14ac:dyDescent="0.25">
      <c r="A2027" s="9">
        <v>650</v>
      </c>
      <c r="B2027" s="10" t="s">
        <v>60</v>
      </c>
      <c r="C2027" s="10" t="s">
        <v>41</v>
      </c>
      <c r="D2027" s="10" t="s">
        <v>42</v>
      </c>
      <c r="E2027" s="11" t="str">
        <f ca="1">IFERROR(__xludf.DUMMYFUNCTION("FILTER(Colegios!$B$2:$B2419,Colegios!$A$2:$A2419=L2027)"),"EL MILAGRO")</f>
        <v>EL MILAGRO</v>
      </c>
      <c r="F2027" s="11" t="s">
        <v>17</v>
      </c>
      <c r="G2027" s="10" t="s">
        <v>18</v>
      </c>
      <c r="H2027" s="11" t="s">
        <v>19</v>
      </c>
      <c r="I2027" s="11" t="s">
        <v>113</v>
      </c>
      <c r="J2027" s="12" t="str">
        <f ca="1">IFERROR(__xludf.DUMMYFUNCTION("FILTER('CLASFICACIÓN'!$F$3:$F2419,'CLASFICACIÓN'!$G$3:$G2419=M2027)"),"LOS 3 AÑOS")</f>
        <v>LOS 3 AÑOS</v>
      </c>
      <c r="K2027" s="12" t="s">
        <v>2013</v>
      </c>
      <c r="L2027" s="11" t="s">
        <v>139</v>
      </c>
      <c r="M2027" s="12" t="str">
        <f t="shared" ca="1" si="7"/>
        <v>EL MILAGRO2 Secundaria</v>
      </c>
      <c r="N2027" s="11"/>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4"/>
    </row>
    <row r="2028" spans="1:36" ht="12.5" x14ac:dyDescent="0.25">
      <c r="A2028" s="9">
        <v>651</v>
      </c>
      <c r="B2028" s="10" t="s">
        <v>60</v>
      </c>
      <c r="C2028" s="10" t="s">
        <v>41</v>
      </c>
      <c r="D2028" s="10" t="s">
        <v>42</v>
      </c>
      <c r="E2028" s="11" t="str">
        <f ca="1">IFERROR(__xludf.DUMMYFUNCTION("FILTER(Colegios!$B$2:$B2419,Colegios!$A$2:$A2419=L2028)"),"EL MILAGRO")</f>
        <v>EL MILAGRO</v>
      </c>
      <c r="F2028" s="11" t="s">
        <v>17</v>
      </c>
      <c r="G2028" s="10" t="s">
        <v>18</v>
      </c>
      <c r="H2028" s="11" t="s">
        <v>19</v>
      </c>
      <c r="I2028" s="11" t="s">
        <v>113</v>
      </c>
      <c r="J2028" s="12" t="str">
        <f ca="1">IFERROR(__xludf.DUMMYFUNCTION("FILTER('CLASFICACIÓN'!$F$3:$F2419,'CLASFICACIÓN'!$G$3:$G2419=M2028)"),"LOS 3 AÑOS")</f>
        <v>LOS 3 AÑOS</v>
      </c>
      <c r="K2028" s="12" t="s">
        <v>2013</v>
      </c>
      <c r="L2028" s="11" t="s">
        <v>139</v>
      </c>
      <c r="M2028" s="12" t="str">
        <f t="shared" ca="1" si="7"/>
        <v>EL MILAGRO2 Secundaria</v>
      </c>
      <c r="N2028" s="11"/>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4"/>
    </row>
    <row r="2029" spans="1:36" ht="12.5" x14ac:dyDescent="0.25">
      <c r="A2029" s="9">
        <v>652</v>
      </c>
      <c r="B2029" s="10" t="s">
        <v>60</v>
      </c>
      <c r="C2029" s="10" t="s">
        <v>41</v>
      </c>
      <c r="D2029" s="10" t="s">
        <v>42</v>
      </c>
      <c r="E2029" s="11" t="str">
        <f ca="1">IFERROR(__xludf.DUMMYFUNCTION("FILTER(Colegios!$B$2:$B2419,Colegios!$A$2:$A2419=L2029)"),"EL MILAGRO")</f>
        <v>EL MILAGRO</v>
      </c>
      <c r="F2029" s="11" t="s">
        <v>17</v>
      </c>
      <c r="G2029" s="10" t="s">
        <v>24</v>
      </c>
      <c r="H2029" s="11" t="s">
        <v>25</v>
      </c>
      <c r="I2029" s="11" t="s">
        <v>113</v>
      </c>
      <c r="J2029" s="12" t="str">
        <f ca="1">IFERROR(__xludf.DUMMYFUNCTION("FILTER('CLASFICACIÓN'!$F$3:$F2419,'CLASFICACIÓN'!$G$3:$G2419=M2029)"),"LOS 3 AÑOS")</f>
        <v>LOS 3 AÑOS</v>
      </c>
      <c r="K2029" s="12" t="s">
        <v>2013</v>
      </c>
      <c r="L2029" s="11" t="s">
        <v>139</v>
      </c>
      <c r="M2029" s="12" t="str">
        <f t="shared" ca="1" si="7"/>
        <v>EL MILAGRO2 Secundaria</v>
      </c>
      <c r="N2029" s="11"/>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1"/>
      <c r="AJ2029" s="14"/>
    </row>
    <row r="2030" spans="1:36" ht="12.5" x14ac:dyDescent="0.25">
      <c r="A2030" s="9">
        <v>653</v>
      </c>
      <c r="B2030" s="10" t="s">
        <v>60</v>
      </c>
      <c r="C2030" s="10" t="s">
        <v>41</v>
      </c>
      <c r="D2030" s="10" t="s">
        <v>42</v>
      </c>
      <c r="E2030" s="11" t="str">
        <f ca="1">IFERROR(__xludf.DUMMYFUNCTION("FILTER(Colegios!$B$2:$B2419,Colegios!$A$2:$A2419=L2030)"),"EL MILAGRO")</f>
        <v>EL MILAGRO</v>
      </c>
      <c r="F2030" s="11" t="s">
        <v>17</v>
      </c>
      <c r="G2030" s="10" t="s">
        <v>24</v>
      </c>
      <c r="H2030" s="11" t="s">
        <v>19</v>
      </c>
      <c r="I2030" s="11" t="s">
        <v>113</v>
      </c>
      <c r="J2030" s="12" t="str">
        <f ca="1">IFERROR(__xludf.DUMMYFUNCTION("FILTER('CLASFICACIÓN'!$F$3:$F2419,'CLASFICACIÓN'!$G$3:$G2419=M2030)"),"LOS 3 AÑOS")</f>
        <v>LOS 3 AÑOS</v>
      </c>
      <c r="K2030" s="12" t="s">
        <v>2013</v>
      </c>
      <c r="L2030" s="11" t="s">
        <v>139</v>
      </c>
      <c r="M2030" s="12" t="str">
        <f t="shared" ca="1" si="7"/>
        <v>EL MILAGRO2 Secundaria</v>
      </c>
      <c r="N2030" s="11"/>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1"/>
      <c r="AJ2030" s="14"/>
    </row>
    <row r="2031" spans="1:36" ht="12.5" x14ac:dyDescent="0.25">
      <c r="A2031" s="9">
        <v>654</v>
      </c>
      <c r="B2031" s="10" t="s">
        <v>60</v>
      </c>
      <c r="C2031" s="10" t="s">
        <v>41</v>
      </c>
      <c r="D2031" s="10" t="s">
        <v>42</v>
      </c>
      <c r="E2031" s="11" t="str">
        <f ca="1">IFERROR(__xludf.DUMMYFUNCTION("FILTER(Colegios!$B$2:$B2419,Colegios!$A$2:$A2419=L2031)"),"EL MILAGRO")</f>
        <v>EL MILAGRO</v>
      </c>
      <c r="F2031" s="11" t="s">
        <v>17</v>
      </c>
      <c r="G2031" s="10" t="s">
        <v>18</v>
      </c>
      <c r="H2031" s="11" t="s">
        <v>19</v>
      </c>
      <c r="I2031" s="11" t="s">
        <v>113</v>
      </c>
      <c r="J2031" s="12" t="str">
        <f ca="1">IFERROR(__xludf.DUMMYFUNCTION("FILTER('CLASFICACIÓN'!$F$3:$F2419,'CLASFICACIÓN'!$G$3:$G2419=M2031)"),"LOS 3 AÑOS")</f>
        <v>LOS 3 AÑOS</v>
      </c>
      <c r="K2031" s="12" t="s">
        <v>2013</v>
      </c>
      <c r="L2031" s="11" t="s">
        <v>139</v>
      </c>
      <c r="M2031" s="12" t="str">
        <f t="shared" ca="1" si="7"/>
        <v>EL MILAGRO2 Secundaria</v>
      </c>
      <c r="N2031" s="11"/>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4"/>
    </row>
    <row r="2032" spans="1:36" ht="12.5" x14ac:dyDescent="0.25">
      <c r="A2032" s="9">
        <v>655</v>
      </c>
      <c r="B2032" s="10" t="s">
        <v>60</v>
      </c>
      <c r="C2032" s="10" t="s">
        <v>41</v>
      </c>
      <c r="D2032" s="10" t="s">
        <v>42</v>
      </c>
      <c r="E2032" s="11" t="str">
        <f ca="1">IFERROR(__xludf.DUMMYFUNCTION("FILTER(Colegios!$B$2:$B2419,Colegios!$A$2:$A2419=L2032)"),"EL MILAGRO")</f>
        <v>EL MILAGRO</v>
      </c>
      <c r="F2032" s="11" t="s">
        <v>17</v>
      </c>
      <c r="G2032" s="10" t="s">
        <v>18</v>
      </c>
      <c r="H2032" s="11" t="s">
        <v>19</v>
      </c>
      <c r="I2032" s="11" t="s">
        <v>113</v>
      </c>
      <c r="J2032" s="12" t="str">
        <f ca="1">IFERROR(__xludf.DUMMYFUNCTION("FILTER('CLASFICACIÓN'!$F$3:$F2419,'CLASFICACIÓN'!$G$3:$G2419=M2032)"),"LOS 3 AÑOS")</f>
        <v>LOS 3 AÑOS</v>
      </c>
      <c r="K2032" s="12" t="s">
        <v>2013</v>
      </c>
      <c r="L2032" s="11" t="s">
        <v>139</v>
      </c>
      <c r="M2032" s="12" t="str">
        <f t="shared" ca="1" si="7"/>
        <v>EL MILAGRO2 Secundaria</v>
      </c>
      <c r="N2032" s="11"/>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4"/>
    </row>
    <row r="2033" spans="1:36" ht="12.5" x14ac:dyDescent="0.25">
      <c r="A2033" s="9">
        <v>656</v>
      </c>
      <c r="B2033" s="10" t="s">
        <v>60</v>
      </c>
      <c r="C2033" s="10" t="s">
        <v>41</v>
      </c>
      <c r="D2033" s="10" t="s">
        <v>42</v>
      </c>
      <c r="E2033" s="11" t="str">
        <f ca="1">IFERROR(__xludf.DUMMYFUNCTION("FILTER(Colegios!$B$2:$B2419,Colegios!$A$2:$A2419=L2033)"),"EL MILAGRO")</f>
        <v>EL MILAGRO</v>
      </c>
      <c r="F2033" s="11" t="s">
        <v>17</v>
      </c>
      <c r="G2033" s="10" t="s">
        <v>24</v>
      </c>
      <c r="H2033" s="11" t="s">
        <v>19</v>
      </c>
      <c r="I2033" s="11" t="s">
        <v>113</v>
      </c>
      <c r="J2033" s="12" t="str">
        <f ca="1">IFERROR(__xludf.DUMMYFUNCTION("FILTER('CLASFICACIÓN'!$F$3:$F2419,'CLASFICACIÓN'!$G$3:$G2419=M2033)"),"LOS 3 AÑOS")</f>
        <v>LOS 3 AÑOS</v>
      </c>
      <c r="K2033" s="12" t="s">
        <v>2013</v>
      </c>
      <c r="L2033" s="11" t="s">
        <v>139</v>
      </c>
      <c r="M2033" s="12" t="str">
        <f t="shared" ca="1" si="7"/>
        <v>EL MILAGRO2 Secundaria</v>
      </c>
      <c r="N2033" s="11"/>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4"/>
    </row>
    <row r="2034" spans="1:36" ht="12.5" x14ac:dyDescent="0.25">
      <c r="A2034" s="9">
        <v>657</v>
      </c>
      <c r="B2034" s="10" t="s">
        <v>60</v>
      </c>
      <c r="C2034" s="10" t="s">
        <v>41</v>
      </c>
      <c r="D2034" s="10" t="s">
        <v>42</v>
      </c>
      <c r="E2034" s="11" t="str">
        <f ca="1">IFERROR(__xludf.DUMMYFUNCTION("FILTER(Colegios!$B$2:$B2419,Colegios!$A$2:$A2419=L2034)"),"EL MILAGRO")</f>
        <v>EL MILAGRO</v>
      </c>
      <c r="F2034" s="11" t="s">
        <v>17</v>
      </c>
      <c r="G2034" s="10" t="s">
        <v>18</v>
      </c>
      <c r="H2034" s="11" t="s">
        <v>25</v>
      </c>
      <c r="I2034" s="11" t="s">
        <v>113</v>
      </c>
      <c r="J2034" s="12" t="str">
        <f ca="1">IFERROR(__xludf.DUMMYFUNCTION("FILTER('CLASFICACIÓN'!$F$3:$F2419,'CLASFICACIÓN'!$G$3:$G2419=M2034)"),"LOS 3 AÑOS")</f>
        <v>LOS 3 AÑOS</v>
      </c>
      <c r="K2034" s="12" t="s">
        <v>2013</v>
      </c>
      <c r="L2034" s="11" t="s">
        <v>139</v>
      </c>
      <c r="M2034" s="12" t="str">
        <f t="shared" ca="1" si="7"/>
        <v>EL MILAGRO2 Secundaria</v>
      </c>
      <c r="N2034" s="11"/>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4"/>
    </row>
    <row r="2035" spans="1:36" ht="12.5" x14ac:dyDescent="0.25">
      <c r="A2035" s="9">
        <v>658</v>
      </c>
      <c r="B2035" s="10" t="s">
        <v>60</v>
      </c>
      <c r="C2035" s="10" t="s">
        <v>41</v>
      </c>
      <c r="D2035" s="10" t="s">
        <v>42</v>
      </c>
      <c r="E2035" s="11" t="str">
        <f ca="1">IFERROR(__xludf.DUMMYFUNCTION("FILTER(Colegios!$B$2:$B2419,Colegios!$A$2:$A2419=L2035)"),"EL MILAGRO")</f>
        <v>EL MILAGRO</v>
      </c>
      <c r="F2035" s="11" t="s">
        <v>17</v>
      </c>
      <c r="G2035" s="10" t="s">
        <v>18</v>
      </c>
      <c r="H2035" s="11" t="s">
        <v>19</v>
      </c>
      <c r="I2035" s="11" t="s">
        <v>113</v>
      </c>
      <c r="J2035" s="12" t="str">
        <f ca="1">IFERROR(__xludf.DUMMYFUNCTION("FILTER('CLASFICACIÓN'!$F$3:$F2419,'CLASFICACIÓN'!$G$3:$G2419=M2035)"),"LOS 3 AÑOS")</f>
        <v>LOS 3 AÑOS</v>
      </c>
      <c r="K2035" s="12" t="s">
        <v>2013</v>
      </c>
      <c r="L2035" s="11" t="s">
        <v>139</v>
      </c>
      <c r="M2035" s="12" t="str">
        <f t="shared" ca="1" si="7"/>
        <v>EL MILAGRO2 Secundaria</v>
      </c>
      <c r="N2035" s="11"/>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4"/>
    </row>
    <row r="2036" spans="1:36" ht="12.5" x14ac:dyDescent="0.25">
      <c r="A2036" s="9">
        <v>659</v>
      </c>
      <c r="B2036" s="10" t="s">
        <v>60</v>
      </c>
      <c r="C2036" s="10" t="s">
        <v>41</v>
      </c>
      <c r="D2036" s="10" t="s">
        <v>42</v>
      </c>
      <c r="E2036" s="11" t="str">
        <f ca="1">IFERROR(__xludf.DUMMYFUNCTION("FILTER(Colegios!$B$2:$B2419,Colegios!$A$2:$A2419=L2036)"),"EL MILAGRO")</f>
        <v>EL MILAGRO</v>
      </c>
      <c r="F2036" s="11" t="s">
        <v>17</v>
      </c>
      <c r="G2036" s="10" t="s">
        <v>18</v>
      </c>
      <c r="H2036" s="11" t="s">
        <v>19</v>
      </c>
      <c r="I2036" s="11" t="s">
        <v>113</v>
      </c>
      <c r="J2036" s="12" t="str">
        <f ca="1">IFERROR(__xludf.DUMMYFUNCTION("FILTER('CLASFICACIÓN'!$F$3:$F2419,'CLASFICACIÓN'!$G$3:$G2419=M2036)"),"LOS 3 AÑOS")</f>
        <v>LOS 3 AÑOS</v>
      </c>
      <c r="K2036" s="12" t="s">
        <v>2013</v>
      </c>
      <c r="L2036" s="11" t="s">
        <v>139</v>
      </c>
      <c r="M2036" s="12" t="str">
        <f t="shared" ca="1" si="7"/>
        <v>EL MILAGRO2 Secundaria</v>
      </c>
      <c r="N2036" s="11"/>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4"/>
    </row>
    <row r="2037" spans="1:36" ht="12.5" x14ac:dyDescent="0.25">
      <c r="A2037" s="9">
        <v>660</v>
      </c>
      <c r="B2037" s="10" t="s">
        <v>60</v>
      </c>
      <c r="C2037" s="10" t="s">
        <v>41</v>
      </c>
      <c r="D2037" s="10" t="s">
        <v>42</v>
      </c>
      <c r="E2037" s="11" t="str">
        <f ca="1">IFERROR(__xludf.DUMMYFUNCTION("FILTER(Colegios!$B$2:$B2419,Colegios!$A$2:$A2419=L2037)"),"EL MILAGRO")</f>
        <v>EL MILAGRO</v>
      </c>
      <c r="F2037" s="11" t="s">
        <v>17</v>
      </c>
      <c r="G2037" s="10" t="s">
        <v>18</v>
      </c>
      <c r="H2037" s="11" t="s">
        <v>19</v>
      </c>
      <c r="I2037" s="11" t="s">
        <v>113</v>
      </c>
      <c r="J2037" s="12" t="str">
        <f ca="1">IFERROR(__xludf.DUMMYFUNCTION("FILTER('CLASFICACIÓN'!$F$3:$F2419,'CLASFICACIÓN'!$G$3:$G2419=M2037)"),"LOS 3 AÑOS")</f>
        <v>LOS 3 AÑOS</v>
      </c>
      <c r="K2037" s="12" t="s">
        <v>2013</v>
      </c>
      <c r="L2037" s="11" t="s">
        <v>139</v>
      </c>
      <c r="M2037" s="12" t="str">
        <f t="shared" ca="1" si="7"/>
        <v>EL MILAGRO2 Secundaria</v>
      </c>
      <c r="N2037" s="11"/>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4"/>
    </row>
    <row r="2038" spans="1:36" ht="12.5" x14ac:dyDescent="0.25">
      <c r="A2038" s="9">
        <v>661</v>
      </c>
      <c r="B2038" s="10" t="s">
        <v>60</v>
      </c>
      <c r="C2038" s="10" t="s">
        <v>41</v>
      </c>
      <c r="D2038" s="10" t="s">
        <v>42</v>
      </c>
      <c r="E2038" s="11" t="str">
        <f ca="1">IFERROR(__xludf.DUMMYFUNCTION("FILTER(Colegios!$B$2:$B2419,Colegios!$A$2:$A2419=L2038)"),"EL MILAGRO")</f>
        <v>EL MILAGRO</v>
      </c>
      <c r="F2038" s="11" t="s">
        <v>17</v>
      </c>
      <c r="G2038" s="10" t="s">
        <v>18</v>
      </c>
      <c r="H2038" s="11" t="s">
        <v>23</v>
      </c>
      <c r="I2038" s="11" t="s">
        <v>113</v>
      </c>
      <c r="J2038" s="12" t="str">
        <f ca="1">IFERROR(__xludf.DUMMYFUNCTION("FILTER('CLASFICACIÓN'!$F$3:$F2419,'CLASFICACIÓN'!$G$3:$G2419=M2038)"),"LOS 3 AÑOS")</f>
        <v>LOS 3 AÑOS</v>
      </c>
      <c r="K2038" s="12" t="s">
        <v>2013</v>
      </c>
      <c r="L2038" s="11" t="s">
        <v>139</v>
      </c>
      <c r="M2038" s="12" t="str">
        <f t="shared" ca="1" si="7"/>
        <v>EL MILAGRO2 Secundaria</v>
      </c>
      <c r="N2038" s="11"/>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4"/>
    </row>
    <row r="2039" spans="1:36" ht="12.5" x14ac:dyDescent="0.25">
      <c r="A2039" s="9">
        <v>662</v>
      </c>
      <c r="B2039" s="10" t="s">
        <v>60</v>
      </c>
      <c r="C2039" s="10" t="s">
        <v>41</v>
      </c>
      <c r="D2039" s="10" t="s">
        <v>42</v>
      </c>
      <c r="E2039" s="11" t="str">
        <f ca="1">IFERROR(__xludf.DUMMYFUNCTION("FILTER(Colegios!$B$2:$B2419,Colegios!$A$2:$A2419=L2039)"),"EL MILAGRO")</f>
        <v>EL MILAGRO</v>
      </c>
      <c r="F2039" s="11" t="s">
        <v>17</v>
      </c>
      <c r="G2039" s="10" t="s">
        <v>18</v>
      </c>
      <c r="H2039" s="11" t="s">
        <v>19</v>
      </c>
      <c r="I2039" s="11" t="s">
        <v>113</v>
      </c>
      <c r="J2039" s="12" t="str">
        <f ca="1">IFERROR(__xludf.DUMMYFUNCTION("FILTER('CLASFICACIÓN'!$F$3:$F2419,'CLASFICACIÓN'!$G$3:$G2419=M2039)"),"LOS 3 AÑOS")</f>
        <v>LOS 3 AÑOS</v>
      </c>
      <c r="K2039" s="12" t="s">
        <v>2013</v>
      </c>
      <c r="L2039" s="11" t="s">
        <v>139</v>
      </c>
      <c r="M2039" s="12" t="str">
        <f t="shared" ca="1" si="7"/>
        <v>EL MILAGRO2 Secundaria</v>
      </c>
      <c r="N2039" s="11"/>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4"/>
    </row>
    <row r="2040" spans="1:36" ht="12.5" x14ac:dyDescent="0.25">
      <c r="A2040" s="9">
        <v>663</v>
      </c>
      <c r="B2040" s="10" t="s">
        <v>60</v>
      </c>
      <c r="C2040" s="10" t="s">
        <v>41</v>
      </c>
      <c r="D2040" s="10" t="s">
        <v>42</v>
      </c>
      <c r="E2040" s="11" t="str">
        <f ca="1">IFERROR(__xludf.DUMMYFUNCTION("FILTER(Colegios!$B$2:$B2419,Colegios!$A$2:$A2419=L2040)"),"EL MILAGRO")</f>
        <v>EL MILAGRO</v>
      </c>
      <c r="F2040" s="11" t="s">
        <v>17</v>
      </c>
      <c r="G2040" s="10" t="s">
        <v>18</v>
      </c>
      <c r="H2040" s="11" t="s">
        <v>19</v>
      </c>
      <c r="I2040" s="11" t="s">
        <v>113</v>
      </c>
      <c r="J2040" s="12" t="str">
        <f ca="1">IFERROR(__xludf.DUMMYFUNCTION("FILTER('CLASFICACIÓN'!$F$3:$F2419,'CLASFICACIÓN'!$G$3:$G2419=M2040)"),"LOS 3 AÑOS")</f>
        <v>LOS 3 AÑOS</v>
      </c>
      <c r="K2040" s="12" t="s">
        <v>2013</v>
      </c>
      <c r="L2040" s="11" t="s">
        <v>139</v>
      </c>
      <c r="M2040" s="12" t="str">
        <f t="shared" ca="1" si="7"/>
        <v>EL MILAGRO2 Secundaria</v>
      </c>
      <c r="N2040" s="11"/>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1"/>
      <c r="AJ2040" s="14"/>
    </row>
    <row r="2041" spans="1:36" ht="12.5" x14ac:dyDescent="0.25">
      <c r="A2041" s="9">
        <v>664</v>
      </c>
      <c r="B2041" s="10" t="s">
        <v>60</v>
      </c>
      <c r="C2041" s="10" t="s">
        <v>41</v>
      </c>
      <c r="D2041" s="10" t="s">
        <v>42</v>
      </c>
      <c r="E2041" s="11" t="str">
        <f ca="1">IFERROR(__xludf.DUMMYFUNCTION("FILTER(Colegios!$B$2:$B2419,Colegios!$A$2:$A2419=L2041)"),"EL MILAGRO")</f>
        <v>EL MILAGRO</v>
      </c>
      <c r="F2041" s="11" t="s">
        <v>17</v>
      </c>
      <c r="G2041" s="10" t="s">
        <v>18</v>
      </c>
      <c r="H2041" s="11" t="s">
        <v>19</v>
      </c>
      <c r="I2041" s="11" t="s">
        <v>113</v>
      </c>
      <c r="J2041" s="12" t="str">
        <f ca="1">IFERROR(__xludf.DUMMYFUNCTION("FILTER('CLASFICACIÓN'!$F$3:$F2419,'CLASFICACIÓN'!$G$3:$G2419=M2041)"),"LOS 3 AÑOS")</f>
        <v>LOS 3 AÑOS</v>
      </c>
      <c r="K2041" s="12" t="s">
        <v>2013</v>
      </c>
      <c r="L2041" s="11" t="s">
        <v>139</v>
      </c>
      <c r="M2041" s="12" t="str">
        <f t="shared" ca="1" si="7"/>
        <v>EL MILAGRO2 Secundaria</v>
      </c>
      <c r="N2041" s="11"/>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1"/>
      <c r="AJ2041" s="14"/>
    </row>
    <row r="2042" spans="1:36" ht="12.5" x14ac:dyDescent="0.25">
      <c r="A2042" s="9">
        <v>665</v>
      </c>
      <c r="B2042" s="10" t="s">
        <v>60</v>
      </c>
      <c r="C2042" s="10" t="s">
        <v>41</v>
      </c>
      <c r="D2042" s="10" t="s">
        <v>42</v>
      </c>
      <c r="E2042" s="11" t="str">
        <f ca="1">IFERROR(__xludf.DUMMYFUNCTION("FILTER(Colegios!$B$2:$B2419,Colegios!$A$2:$A2419=L2042)"),"EL MILAGRO")</f>
        <v>EL MILAGRO</v>
      </c>
      <c r="F2042" s="11" t="s">
        <v>17</v>
      </c>
      <c r="G2042" s="10" t="s">
        <v>18</v>
      </c>
      <c r="H2042" s="11" t="s">
        <v>19</v>
      </c>
      <c r="I2042" s="11" t="s">
        <v>113</v>
      </c>
      <c r="J2042" s="12" t="str">
        <f ca="1">IFERROR(__xludf.DUMMYFUNCTION("FILTER('CLASFICACIÓN'!$F$3:$F2419,'CLASFICACIÓN'!$G$3:$G2419=M2042)"),"LOS 3 AÑOS")</f>
        <v>LOS 3 AÑOS</v>
      </c>
      <c r="K2042" s="12" t="s">
        <v>2013</v>
      </c>
      <c r="L2042" s="11" t="s">
        <v>139</v>
      </c>
      <c r="M2042" s="12" t="str">
        <f t="shared" ref="M2042:M2296" ca="1" si="8">E2042&amp;D2042</f>
        <v>EL MILAGRO2 Secundaria</v>
      </c>
      <c r="N2042" s="11"/>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1"/>
      <c r="AJ2042" s="14"/>
    </row>
    <row r="2043" spans="1:36" ht="12.5" x14ac:dyDescent="0.25">
      <c r="A2043" s="9">
        <v>666</v>
      </c>
      <c r="B2043" s="10" t="s">
        <v>60</v>
      </c>
      <c r="C2043" s="10" t="s">
        <v>41</v>
      </c>
      <c r="D2043" s="10" t="s">
        <v>42</v>
      </c>
      <c r="E2043" s="11" t="str">
        <f ca="1">IFERROR(__xludf.DUMMYFUNCTION("FILTER(Colegios!$B$2:$B2419,Colegios!$A$2:$A2419=L2043)"),"EL MILAGRO")</f>
        <v>EL MILAGRO</v>
      </c>
      <c r="F2043" s="11" t="s">
        <v>17</v>
      </c>
      <c r="G2043" s="10" t="s">
        <v>18</v>
      </c>
      <c r="H2043" s="11" t="s">
        <v>19</v>
      </c>
      <c r="I2043" s="11" t="s">
        <v>113</v>
      </c>
      <c r="J2043" s="12" t="str">
        <f ca="1">IFERROR(__xludf.DUMMYFUNCTION("FILTER('CLASFICACIÓN'!$F$3:$F2419,'CLASFICACIÓN'!$G$3:$G2419=M2043)"),"LOS 3 AÑOS")</f>
        <v>LOS 3 AÑOS</v>
      </c>
      <c r="K2043" s="12" t="s">
        <v>2013</v>
      </c>
      <c r="L2043" s="11" t="s">
        <v>139</v>
      </c>
      <c r="M2043" s="12" t="str">
        <f t="shared" ca="1" si="8"/>
        <v>EL MILAGRO2 Secundaria</v>
      </c>
      <c r="N2043" s="11"/>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4"/>
    </row>
    <row r="2044" spans="1:36" ht="12.5" x14ac:dyDescent="0.25">
      <c r="A2044" s="9">
        <v>667</v>
      </c>
      <c r="B2044" s="10" t="s">
        <v>60</v>
      </c>
      <c r="C2044" s="10" t="s">
        <v>41</v>
      </c>
      <c r="D2044" s="10" t="s">
        <v>42</v>
      </c>
      <c r="E2044" s="11" t="str">
        <f ca="1">IFERROR(__xludf.DUMMYFUNCTION("FILTER(Colegios!$B$2:$B2419,Colegios!$A$2:$A2419=L2044)"),"EL MILAGRO")</f>
        <v>EL MILAGRO</v>
      </c>
      <c r="F2044" s="11" t="s">
        <v>17</v>
      </c>
      <c r="G2044" s="10" t="s">
        <v>18</v>
      </c>
      <c r="H2044" s="11" t="s">
        <v>19</v>
      </c>
      <c r="I2044" s="11" t="s">
        <v>113</v>
      </c>
      <c r="J2044" s="12" t="str">
        <f ca="1">IFERROR(__xludf.DUMMYFUNCTION("FILTER('CLASFICACIÓN'!$F$3:$F2419,'CLASFICACIÓN'!$G$3:$G2419=M2044)"),"LOS 3 AÑOS")</f>
        <v>LOS 3 AÑOS</v>
      </c>
      <c r="K2044" s="12" t="s">
        <v>2013</v>
      </c>
      <c r="L2044" s="11" t="s">
        <v>139</v>
      </c>
      <c r="M2044" s="12" t="str">
        <f t="shared" ca="1" si="8"/>
        <v>EL MILAGRO2 Secundaria</v>
      </c>
      <c r="N2044" s="11"/>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1"/>
      <c r="AJ2044" s="14"/>
    </row>
    <row r="2045" spans="1:36" ht="12.5" x14ac:dyDescent="0.25">
      <c r="A2045" s="9">
        <v>668</v>
      </c>
      <c r="B2045" s="10" t="s">
        <v>60</v>
      </c>
      <c r="C2045" s="10" t="s">
        <v>41</v>
      </c>
      <c r="D2045" s="10" t="s">
        <v>42</v>
      </c>
      <c r="E2045" s="11" t="str">
        <f ca="1">IFERROR(__xludf.DUMMYFUNCTION("FILTER(Colegios!$B$2:$B2419,Colegios!$A$2:$A2419=L2045)"),"EL MILAGRO")</f>
        <v>EL MILAGRO</v>
      </c>
      <c r="F2045" s="11" t="s">
        <v>17</v>
      </c>
      <c r="G2045" s="10" t="s">
        <v>18</v>
      </c>
      <c r="H2045" s="11" t="s">
        <v>19</v>
      </c>
      <c r="I2045" s="11" t="s">
        <v>113</v>
      </c>
      <c r="J2045" s="12" t="str">
        <f ca="1">IFERROR(__xludf.DUMMYFUNCTION("FILTER('CLASFICACIÓN'!$F$3:$F2419,'CLASFICACIÓN'!$G$3:$G2419=M2045)"),"LOS 3 AÑOS")</f>
        <v>LOS 3 AÑOS</v>
      </c>
      <c r="K2045" s="12" t="s">
        <v>2013</v>
      </c>
      <c r="L2045" s="11" t="s">
        <v>139</v>
      </c>
      <c r="M2045" s="12" t="str">
        <f t="shared" ca="1" si="8"/>
        <v>EL MILAGRO2 Secundaria</v>
      </c>
      <c r="N2045" s="11"/>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4"/>
    </row>
    <row r="2046" spans="1:36" ht="12.5" x14ac:dyDescent="0.25">
      <c r="A2046" s="9">
        <v>669</v>
      </c>
      <c r="B2046" s="10" t="s">
        <v>60</v>
      </c>
      <c r="C2046" s="10" t="s">
        <v>41</v>
      </c>
      <c r="D2046" s="10" t="s">
        <v>42</v>
      </c>
      <c r="E2046" s="11" t="str">
        <f ca="1">IFERROR(__xludf.DUMMYFUNCTION("FILTER(Colegios!$B$2:$B2419,Colegios!$A$2:$A2419=L2046)"),"EL MILAGRO")</f>
        <v>EL MILAGRO</v>
      </c>
      <c r="F2046" s="11" t="s">
        <v>17</v>
      </c>
      <c r="G2046" s="10" t="s">
        <v>18</v>
      </c>
      <c r="H2046" s="11" t="s">
        <v>19</v>
      </c>
      <c r="I2046" s="11" t="s">
        <v>113</v>
      </c>
      <c r="J2046" s="12" t="str">
        <f ca="1">IFERROR(__xludf.DUMMYFUNCTION("FILTER('CLASFICACIÓN'!$F$3:$F2419,'CLASFICACIÓN'!$G$3:$G2419=M2046)"),"LOS 3 AÑOS")</f>
        <v>LOS 3 AÑOS</v>
      </c>
      <c r="K2046" s="12" t="s">
        <v>2013</v>
      </c>
      <c r="L2046" s="11" t="s">
        <v>139</v>
      </c>
      <c r="M2046" s="12" t="str">
        <f t="shared" ca="1" si="8"/>
        <v>EL MILAGRO2 Secundaria</v>
      </c>
      <c r="N2046" s="11"/>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1"/>
      <c r="AJ2046" s="14"/>
    </row>
    <row r="2047" spans="1:36" ht="12.5" x14ac:dyDescent="0.25">
      <c r="A2047" s="9">
        <v>670</v>
      </c>
      <c r="B2047" s="10" t="s">
        <v>60</v>
      </c>
      <c r="C2047" s="10" t="s">
        <v>41</v>
      </c>
      <c r="D2047" s="10" t="s">
        <v>42</v>
      </c>
      <c r="E2047" s="11" t="str">
        <f ca="1">IFERROR(__xludf.DUMMYFUNCTION("FILTER(Colegios!$B$2:$B2419,Colegios!$A$2:$A2419=L2047)"),"EL MILAGRO")</f>
        <v>EL MILAGRO</v>
      </c>
      <c r="F2047" s="11" t="s">
        <v>17</v>
      </c>
      <c r="G2047" s="10" t="s">
        <v>24</v>
      </c>
      <c r="H2047" s="11" t="s">
        <v>19</v>
      </c>
      <c r="I2047" s="11" t="s">
        <v>113</v>
      </c>
      <c r="J2047" s="12" t="str">
        <f ca="1">IFERROR(__xludf.DUMMYFUNCTION("FILTER('CLASFICACIÓN'!$F$3:$F2419,'CLASFICACIÓN'!$G$3:$G2419=M2047)"),"LOS 3 AÑOS")</f>
        <v>LOS 3 AÑOS</v>
      </c>
      <c r="K2047" s="12" t="s">
        <v>2013</v>
      </c>
      <c r="L2047" s="11" t="s">
        <v>139</v>
      </c>
      <c r="M2047" s="12" t="str">
        <f t="shared" ca="1" si="8"/>
        <v>EL MILAGRO2 Secundaria</v>
      </c>
      <c r="N2047" s="11"/>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1"/>
      <c r="AJ2047" s="14"/>
    </row>
    <row r="2048" spans="1:36" ht="12.5" x14ac:dyDescent="0.25">
      <c r="A2048" s="9">
        <v>671</v>
      </c>
      <c r="B2048" s="10" t="s">
        <v>60</v>
      </c>
      <c r="C2048" s="10" t="s">
        <v>41</v>
      </c>
      <c r="D2048" s="10" t="s">
        <v>42</v>
      </c>
      <c r="E2048" s="11" t="str">
        <f ca="1">IFERROR(__xludf.DUMMYFUNCTION("FILTER(Colegios!$B$2:$B2419,Colegios!$A$2:$A2419=L2048)"),"EL MILAGRO")</f>
        <v>EL MILAGRO</v>
      </c>
      <c r="F2048" s="11" t="s">
        <v>17</v>
      </c>
      <c r="G2048" s="10" t="s">
        <v>18</v>
      </c>
      <c r="H2048" s="11" t="s">
        <v>19</v>
      </c>
      <c r="I2048" s="11" t="s">
        <v>113</v>
      </c>
      <c r="J2048" s="12" t="str">
        <f ca="1">IFERROR(__xludf.DUMMYFUNCTION("FILTER('CLASFICACIÓN'!$F$3:$F2419,'CLASFICACIÓN'!$G$3:$G2419=M2048)"),"LOS 3 AÑOS")</f>
        <v>LOS 3 AÑOS</v>
      </c>
      <c r="K2048" s="12" t="s">
        <v>2013</v>
      </c>
      <c r="L2048" s="11" t="s">
        <v>139</v>
      </c>
      <c r="M2048" s="12" t="str">
        <f t="shared" ca="1" si="8"/>
        <v>EL MILAGRO2 Secundaria</v>
      </c>
      <c r="N2048" s="11"/>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1"/>
      <c r="AJ2048" s="14"/>
    </row>
    <row r="2049" spans="1:36" ht="12.5" x14ac:dyDescent="0.25">
      <c r="A2049" s="9">
        <v>672</v>
      </c>
      <c r="B2049" s="10" t="s">
        <v>60</v>
      </c>
      <c r="C2049" s="10" t="s">
        <v>41</v>
      </c>
      <c r="D2049" s="10" t="s">
        <v>42</v>
      </c>
      <c r="E2049" s="11" t="str">
        <f ca="1">IFERROR(__xludf.DUMMYFUNCTION("FILTER(Colegios!$B$2:$B2419,Colegios!$A$2:$A2419=L2049)"),"EL MILAGRO")</f>
        <v>EL MILAGRO</v>
      </c>
      <c r="F2049" s="11" t="s">
        <v>17</v>
      </c>
      <c r="G2049" s="10" t="s">
        <v>18</v>
      </c>
      <c r="H2049" s="11" t="s">
        <v>19</v>
      </c>
      <c r="I2049" s="11" t="s">
        <v>113</v>
      </c>
      <c r="J2049" s="12" t="str">
        <f ca="1">IFERROR(__xludf.DUMMYFUNCTION("FILTER('CLASFICACIÓN'!$F$3:$F2419,'CLASFICACIÓN'!$G$3:$G2419=M2049)"),"LOS 3 AÑOS")</f>
        <v>LOS 3 AÑOS</v>
      </c>
      <c r="K2049" s="12" t="s">
        <v>2013</v>
      </c>
      <c r="L2049" s="11" t="s">
        <v>139</v>
      </c>
      <c r="M2049" s="12" t="str">
        <f t="shared" ca="1" si="8"/>
        <v>EL MILAGRO2 Secundaria</v>
      </c>
      <c r="N2049" s="11"/>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1"/>
      <c r="AJ2049" s="14"/>
    </row>
    <row r="2050" spans="1:36" ht="12.5" x14ac:dyDescent="0.25">
      <c r="A2050" s="9">
        <v>673</v>
      </c>
      <c r="B2050" s="10" t="s">
        <v>60</v>
      </c>
      <c r="C2050" s="10" t="s">
        <v>41</v>
      </c>
      <c r="D2050" s="10" t="s">
        <v>42</v>
      </c>
      <c r="E2050" s="11" t="str">
        <f ca="1">IFERROR(__xludf.DUMMYFUNCTION("FILTER(Colegios!$B$2:$B2419,Colegios!$A$2:$A2419=L2050)"),"EL MILAGRO")</f>
        <v>EL MILAGRO</v>
      </c>
      <c r="F2050" s="11" t="s">
        <v>17</v>
      </c>
      <c r="G2050" s="10" t="s">
        <v>24</v>
      </c>
      <c r="H2050" s="11" t="s">
        <v>19</v>
      </c>
      <c r="I2050" s="11" t="s">
        <v>113</v>
      </c>
      <c r="J2050" s="12" t="str">
        <f ca="1">IFERROR(__xludf.DUMMYFUNCTION("FILTER('CLASFICACIÓN'!$F$3:$F2419,'CLASFICACIÓN'!$G$3:$G2419=M2050)"),"LOS 3 AÑOS")</f>
        <v>LOS 3 AÑOS</v>
      </c>
      <c r="K2050" s="12" t="s">
        <v>2013</v>
      </c>
      <c r="L2050" s="11" t="s">
        <v>139</v>
      </c>
      <c r="M2050" s="12" t="str">
        <f t="shared" ca="1" si="8"/>
        <v>EL MILAGRO2 Secundaria</v>
      </c>
      <c r="N2050" s="11"/>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1"/>
      <c r="AJ2050" s="14"/>
    </row>
    <row r="2051" spans="1:36" ht="12.5" x14ac:dyDescent="0.25">
      <c r="A2051" s="9">
        <v>674</v>
      </c>
      <c r="B2051" s="10" t="s">
        <v>60</v>
      </c>
      <c r="C2051" s="10" t="s">
        <v>41</v>
      </c>
      <c r="D2051" s="10" t="s">
        <v>42</v>
      </c>
      <c r="E2051" s="11" t="str">
        <f ca="1">IFERROR(__xludf.DUMMYFUNCTION("FILTER(Colegios!$B$2:$B2419,Colegios!$A$2:$A2419=L2051)"),"EL MILAGRO")</f>
        <v>EL MILAGRO</v>
      </c>
      <c r="F2051" s="11" t="s">
        <v>17</v>
      </c>
      <c r="G2051" s="10" t="s">
        <v>24</v>
      </c>
      <c r="H2051" s="11" t="s">
        <v>23</v>
      </c>
      <c r="I2051" s="11" t="s">
        <v>113</v>
      </c>
      <c r="J2051" s="12" t="str">
        <f ca="1">IFERROR(__xludf.DUMMYFUNCTION("FILTER('CLASFICACIÓN'!$F$3:$F2419,'CLASFICACIÓN'!$G$3:$G2419=M2051)"),"LOS 3 AÑOS")</f>
        <v>LOS 3 AÑOS</v>
      </c>
      <c r="K2051" s="12" t="s">
        <v>2013</v>
      </c>
      <c r="L2051" s="11" t="s">
        <v>139</v>
      </c>
      <c r="M2051" s="12" t="str">
        <f t="shared" ca="1" si="8"/>
        <v>EL MILAGRO2 Secundaria</v>
      </c>
      <c r="N2051" s="11"/>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1"/>
      <c r="AJ2051" s="14"/>
    </row>
    <row r="2052" spans="1:36" ht="12.5" x14ac:dyDescent="0.25">
      <c r="A2052" s="9">
        <v>675</v>
      </c>
      <c r="B2052" s="10" t="s">
        <v>60</v>
      </c>
      <c r="C2052" s="10" t="s">
        <v>41</v>
      </c>
      <c r="D2052" s="10" t="s">
        <v>42</v>
      </c>
      <c r="E2052" s="11" t="str">
        <f ca="1">IFERROR(__xludf.DUMMYFUNCTION("FILTER(Colegios!$B$2:$B2419,Colegios!$A$2:$A2419=L2052)"),"EL MILAGRO")</f>
        <v>EL MILAGRO</v>
      </c>
      <c r="F2052" s="11" t="s">
        <v>17</v>
      </c>
      <c r="G2052" s="10" t="s">
        <v>18</v>
      </c>
      <c r="H2052" s="11" t="s">
        <v>19</v>
      </c>
      <c r="I2052" s="11" t="s">
        <v>113</v>
      </c>
      <c r="J2052" s="12" t="str">
        <f ca="1">IFERROR(__xludf.DUMMYFUNCTION("FILTER('CLASFICACIÓN'!$F$3:$F2419,'CLASFICACIÓN'!$G$3:$G2419=M2052)"),"LOS 3 AÑOS")</f>
        <v>LOS 3 AÑOS</v>
      </c>
      <c r="K2052" s="12" t="s">
        <v>2013</v>
      </c>
      <c r="L2052" s="11" t="s">
        <v>139</v>
      </c>
      <c r="M2052" s="12" t="str">
        <f t="shared" ca="1" si="8"/>
        <v>EL MILAGRO2 Secundaria</v>
      </c>
      <c r="N2052" s="11"/>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1"/>
      <c r="AJ2052" s="14"/>
    </row>
    <row r="2053" spans="1:36" ht="12.5" x14ac:dyDescent="0.25">
      <c r="A2053" s="9">
        <v>676</v>
      </c>
      <c r="B2053" s="10" t="s">
        <v>60</v>
      </c>
      <c r="C2053" s="10" t="s">
        <v>41</v>
      </c>
      <c r="D2053" s="10" t="s">
        <v>42</v>
      </c>
      <c r="E2053" s="11" t="str">
        <f ca="1">IFERROR(__xludf.DUMMYFUNCTION("FILTER(Colegios!$B$2:$B2419,Colegios!$A$2:$A2419=L2053)"),"EL MILAGRO")</f>
        <v>EL MILAGRO</v>
      </c>
      <c r="F2053" s="11" t="s">
        <v>17</v>
      </c>
      <c r="G2053" s="10" t="s">
        <v>24</v>
      </c>
      <c r="H2053" s="11" t="s">
        <v>23</v>
      </c>
      <c r="I2053" s="11" t="s">
        <v>113</v>
      </c>
      <c r="J2053" s="12" t="str">
        <f ca="1">IFERROR(__xludf.DUMMYFUNCTION("FILTER('CLASFICACIÓN'!$F$3:$F2419,'CLASFICACIÓN'!$G$3:$G2419=M2053)"),"LOS 3 AÑOS")</f>
        <v>LOS 3 AÑOS</v>
      </c>
      <c r="K2053" s="12" t="s">
        <v>2013</v>
      </c>
      <c r="L2053" s="11" t="s">
        <v>139</v>
      </c>
      <c r="M2053" s="12" t="str">
        <f t="shared" ca="1" si="8"/>
        <v>EL MILAGRO2 Secundaria</v>
      </c>
      <c r="N2053" s="11"/>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1"/>
      <c r="AJ2053" s="14"/>
    </row>
    <row r="2054" spans="1:36" ht="12.5" x14ac:dyDescent="0.25">
      <c r="A2054" s="9">
        <v>677</v>
      </c>
      <c r="B2054" s="10" t="s">
        <v>60</v>
      </c>
      <c r="C2054" s="10" t="s">
        <v>41</v>
      </c>
      <c r="D2054" s="10" t="s">
        <v>42</v>
      </c>
      <c r="E2054" s="11" t="str">
        <f ca="1">IFERROR(__xludf.DUMMYFUNCTION("FILTER(Colegios!$B$2:$B2419,Colegios!$A$2:$A2419=L2054)"),"EL MILAGRO")</f>
        <v>EL MILAGRO</v>
      </c>
      <c r="F2054" s="11" t="s">
        <v>17</v>
      </c>
      <c r="G2054" s="10" t="s">
        <v>24</v>
      </c>
      <c r="H2054" s="11" t="s">
        <v>19</v>
      </c>
      <c r="I2054" s="11" t="s">
        <v>113</v>
      </c>
      <c r="J2054" s="12" t="str">
        <f ca="1">IFERROR(__xludf.DUMMYFUNCTION("FILTER('CLASFICACIÓN'!$F$3:$F2419,'CLASFICACIÓN'!$G$3:$G2419=M2054)"),"LOS 3 AÑOS")</f>
        <v>LOS 3 AÑOS</v>
      </c>
      <c r="K2054" s="12" t="s">
        <v>2013</v>
      </c>
      <c r="L2054" s="11" t="s">
        <v>139</v>
      </c>
      <c r="M2054" s="12" t="str">
        <f t="shared" ca="1" si="8"/>
        <v>EL MILAGRO2 Secundaria</v>
      </c>
      <c r="N2054" s="11"/>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1"/>
      <c r="AJ2054" s="14"/>
    </row>
    <row r="2055" spans="1:36" ht="12.5" x14ac:dyDescent="0.25">
      <c r="A2055" s="9">
        <v>678</v>
      </c>
      <c r="B2055" s="10" t="s">
        <v>60</v>
      </c>
      <c r="C2055" s="10" t="s">
        <v>41</v>
      </c>
      <c r="D2055" s="10" t="s">
        <v>42</v>
      </c>
      <c r="E2055" s="11" t="str">
        <f ca="1">IFERROR(__xludf.DUMMYFUNCTION("FILTER(Colegios!$B$2:$B2419,Colegios!$A$2:$A2419=L2055)"),"EL MILAGRO")</f>
        <v>EL MILAGRO</v>
      </c>
      <c r="F2055" s="11" t="s">
        <v>17</v>
      </c>
      <c r="G2055" s="10" t="s">
        <v>24</v>
      </c>
      <c r="H2055" s="11" t="s">
        <v>19</v>
      </c>
      <c r="I2055" s="11" t="s">
        <v>113</v>
      </c>
      <c r="J2055" s="12" t="str">
        <f ca="1">IFERROR(__xludf.DUMMYFUNCTION("FILTER('CLASFICACIÓN'!$F$3:$F2419,'CLASFICACIÓN'!$G$3:$G2419=M2055)"),"LOS 3 AÑOS")</f>
        <v>LOS 3 AÑOS</v>
      </c>
      <c r="K2055" s="12" t="s">
        <v>2013</v>
      </c>
      <c r="L2055" s="11" t="s">
        <v>139</v>
      </c>
      <c r="M2055" s="12" t="str">
        <f t="shared" ca="1" si="8"/>
        <v>EL MILAGRO2 Secundaria</v>
      </c>
      <c r="N2055" s="11"/>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4"/>
    </row>
    <row r="2056" spans="1:36" ht="12.5" x14ac:dyDescent="0.25">
      <c r="A2056" s="9">
        <v>679</v>
      </c>
      <c r="B2056" s="10" t="s">
        <v>60</v>
      </c>
      <c r="C2056" s="10" t="s">
        <v>41</v>
      </c>
      <c r="D2056" s="10" t="s">
        <v>42</v>
      </c>
      <c r="E2056" s="11" t="str">
        <f ca="1">IFERROR(__xludf.DUMMYFUNCTION("FILTER(Colegios!$B$2:$B2419,Colegios!$A$2:$A2419=L2056)"),"EL MILAGRO")</f>
        <v>EL MILAGRO</v>
      </c>
      <c r="F2056" s="11" t="s">
        <v>17</v>
      </c>
      <c r="G2056" s="10" t="s">
        <v>18</v>
      </c>
      <c r="H2056" s="11" t="s">
        <v>19</v>
      </c>
      <c r="I2056" s="11" t="s">
        <v>113</v>
      </c>
      <c r="J2056" s="12" t="str">
        <f ca="1">IFERROR(__xludf.DUMMYFUNCTION("FILTER('CLASFICACIÓN'!$F$3:$F2419,'CLASFICACIÓN'!$G$3:$G2419=M2056)"),"LOS 3 AÑOS")</f>
        <v>LOS 3 AÑOS</v>
      </c>
      <c r="K2056" s="12" t="s">
        <v>2013</v>
      </c>
      <c r="L2056" s="11" t="s">
        <v>139</v>
      </c>
      <c r="M2056" s="12" t="str">
        <f t="shared" ca="1" si="8"/>
        <v>EL MILAGRO2 Secundaria</v>
      </c>
      <c r="N2056" s="11"/>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1"/>
      <c r="AJ2056" s="14"/>
    </row>
    <row r="2057" spans="1:36" ht="12.5" x14ac:dyDescent="0.25">
      <c r="A2057" s="9">
        <v>680</v>
      </c>
      <c r="B2057" s="10" t="s">
        <v>60</v>
      </c>
      <c r="C2057" s="10" t="s">
        <v>41</v>
      </c>
      <c r="D2057" s="10" t="s">
        <v>42</v>
      </c>
      <c r="E2057" s="11" t="str">
        <f ca="1">IFERROR(__xludf.DUMMYFUNCTION("FILTER(Colegios!$B$2:$B2419,Colegios!$A$2:$A2419=L2057)"),"EL MILAGRO")</f>
        <v>EL MILAGRO</v>
      </c>
      <c r="F2057" s="11" t="s">
        <v>17</v>
      </c>
      <c r="G2057" s="10" t="s">
        <v>24</v>
      </c>
      <c r="H2057" s="11" t="s">
        <v>19</v>
      </c>
      <c r="I2057" s="11" t="s">
        <v>113</v>
      </c>
      <c r="J2057" s="12" t="str">
        <f ca="1">IFERROR(__xludf.DUMMYFUNCTION("FILTER('CLASFICACIÓN'!$F$3:$F2419,'CLASFICACIÓN'!$G$3:$G2419=M2057)"),"LOS 3 AÑOS")</f>
        <v>LOS 3 AÑOS</v>
      </c>
      <c r="K2057" s="12" t="s">
        <v>2013</v>
      </c>
      <c r="L2057" s="11" t="s">
        <v>139</v>
      </c>
      <c r="M2057" s="12" t="str">
        <f t="shared" ca="1" si="8"/>
        <v>EL MILAGRO2 Secundaria</v>
      </c>
      <c r="N2057" s="11"/>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1"/>
      <c r="AJ2057" s="14"/>
    </row>
    <row r="2058" spans="1:36" ht="12.5" x14ac:dyDescent="0.25">
      <c r="A2058" s="9">
        <v>681</v>
      </c>
      <c r="B2058" s="10" t="s">
        <v>60</v>
      </c>
      <c r="C2058" s="10" t="s">
        <v>41</v>
      </c>
      <c r="D2058" s="10" t="s">
        <v>42</v>
      </c>
      <c r="E2058" s="11" t="str">
        <f ca="1">IFERROR(__xludf.DUMMYFUNCTION("FILTER(Colegios!$B$2:$B2419,Colegios!$A$2:$A2419=L2058)"),"EL MILAGRO")</f>
        <v>EL MILAGRO</v>
      </c>
      <c r="F2058" s="11" t="s">
        <v>17</v>
      </c>
      <c r="G2058" s="10" t="s">
        <v>24</v>
      </c>
      <c r="H2058" s="11" t="s">
        <v>19</v>
      </c>
      <c r="I2058" s="11" t="s">
        <v>113</v>
      </c>
      <c r="J2058" s="12" t="str">
        <f ca="1">IFERROR(__xludf.DUMMYFUNCTION("FILTER('CLASFICACIÓN'!$F$3:$F2419,'CLASFICACIÓN'!$G$3:$G2419=M2058)"),"LOS 3 AÑOS")</f>
        <v>LOS 3 AÑOS</v>
      </c>
      <c r="K2058" s="12" t="s">
        <v>2013</v>
      </c>
      <c r="L2058" s="11" t="s">
        <v>139</v>
      </c>
      <c r="M2058" s="12" t="str">
        <f t="shared" ca="1" si="8"/>
        <v>EL MILAGRO2 Secundaria</v>
      </c>
      <c r="N2058" s="11"/>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1"/>
      <c r="AJ2058" s="14"/>
    </row>
    <row r="2059" spans="1:36" ht="12.5" x14ac:dyDescent="0.25">
      <c r="A2059" s="9">
        <v>682</v>
      </c>
      <c r="B2059" s="10" t="s">
        <v>60</v>
      </c>
      <c r="C2059" s="10" t="s">
        <v>41</v>
      </c>
      <c r="D2059" s="10" t="s">
        <v>42</v>
      </c>
      <c r="E2059" s="11" t="str">
        <f ca="1">IFERROR(__xludf.DUMMYFUNCTION("FILTER(Colegios!$B$2:$B2419,Colegios!$A$2:$A2419=L2059)"),"EL MILAGRO")</f>
        <v>EL MILAGRO</v>
      </c>
      <c r="F2059" s="11" t="s">
        <v>17</v>
      </c>
      <c r="G2059" s="10" t="s">
        <v>24</v>
      </c>
      <c r="H2059" s="11" t="s">
        <v>19</v>
      </c>
      <c r="I2059" s="11" t="s">
        <v>113</v>
      </c>
      <c r="J2059" s="12" t="str">
        <f ca="1">IFERROR(__xludf.DUMMYFUNCTION("FILTER('CLASFICACIÓN'!$F$3:$F2419,'CLASFICACIÓN'!$G$3:$G2419=M2059)"),"LOS 3 AÑOS")</f>
        <v>LOS 3 AÑOS</v>
      </c>
      <c r="K2059" s="12" t="s">
        <v>2013</v>
      </c>
      <c r="L2059" s="11" t="s">
        <v>139</v>
      </c>
      <c r="M2059" s="12" t="str">
        <f t="shared" ca="1" si="8"/>
        <v>EL MILAGRO2 Secundaria</v>
      </c>
      <c r="N2059" s="11"/>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1"/>
      <c r="AJ2059" s="14"/>
    </row>
    <row r="2060" spans="1:36" ht="12.5" x14ac:dyDescent="0.25">
      <c r="A2060" s="9">
        <v>683</v>
      </c>
      <c r="B2060" s="10" t="s">
        <v>60</v>
      </c>
      <c r="C2060" s="10" t="s">
        <v>41</v>
      </c>
      <c r="D2060" s="10" t="s">
        <v>42</v>
      </c>
      <c r="E2060" s="11" t="str">
        <f ca="1">IFERROR(__xludf.DUMMYFUNCTION("FILTER(Colegios!$B$2:$B2419,Colegios!$A$2:$A2419=L2060)"),"EL MILAGRO")</f>
        <v>EL MILAGRO</v>
      </c>
      <c r="F2060" s="11" t="s">
        <v>17</v>
      </c>
      <c r="G2060" s="10" t="s">
        <v>24</v>
      </c>
      <c r="H2060" s="11" t="s">
        <v>19</v>
      </c>
      <c r="I2060" s="11" t="s">
        <v>113</v>
      </c>
      <c r="J2060" s="12" t="str">
        <f ca="1">IFERROR(__xludf.DUMMYFUNCTION("FILTER('CLASFICACIÓN'!$F$3:$F2419,'CLASFICACIÓN'!$G$3:$G2419=M2060)"),"LOS 3 AÑOS")</f>
        <v>LOS 3 AÑOS</v>
      </c>
      <c r="K2060" s="12" t="s">
        <v>2013</v>
      </c>
      <c r="L2060" s="11" t="s">
        <v>139</v>
      </c>
      <c r="M2060" s="12" t="str">
        <f t="shared" ca="1" si="8"/>
        <v>EL MILAGRO2 Secundaria</v>
      </c>
      <c r="N2060" s="11"/>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1"/>
      <c r="AJ2060" s="14"/>
    </row>
    <row r="2061" spans="1:36" ht="12.5" x14ac:dyDescent="0.25">
      <c r="A2061" s="9">
        <v>684</v>
      </c>
      <c r="B2061" s="10" t="s">
        <v>60</v>
      </c>
      <c r="C2061" s="10" t="s">
        <v>41</v>
      </c>
      <c r="D2061" s="10" t="s">
        <v>42</v>
      </c>
      <c r="E2061" s="11" t="str">
        <f ca="1">IFERROR(__xludf.DUMMYFUNCTION("FILTER(Colegios!$B$2:$B2419,Colegios!$A$2:$A2419=L2061)"),"EL MILAGRO")</f>
        <v>EL MILAGRO</v>
      </c>
      <c r="F2061" s="11" t="s">
        <v>17</v>
      </c>
      <c r="G2061" s="10" t="s">
        <v>24</v>
      </c>
      <c r="H2061" s="11" t="s">
        <v>19</v>
      </c>
      <c r="I2061" s="11" t="s">
        <v>113</v>
      </c>
      <c r="J2061" s="12" t="str">
        <f ca="1">IFERROR(__xludf.DUMMYFUNCTION("FILTER('CLASFICACIÓN'!$F$3:$F2419,'CLASFICACIÓN'!$G$3:$G2419=M2061)"),"LOS 3 AÑOS")</f>
        <v>LOS 3 AÑOS</v>
      </c>
      <c r="K2061" s="12" t="s">
        <v>2013</v>
      </c>
      <c r="L2061" s="11" t="s">
        <v>139</v>
      </c>
      <c r="M2061" s="12" t="str">
        <f t="shared" ca="1" si="8"/>
        <v>EL MILAGRO2 Secundaria</v>
      </c>
      <c r="N2061" s="11"/>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1"/>
      <c r="AJ2061" s="14"/>
    </row>
    <row r="2062" spans="1:36" ht="12.5" x14ac:dyDescent="0.25">
      <c r="A2062" s="9">
        <v>685</v>
      </c>
      <c r="B2062" s="10" t="s">
        <v>60</v>
      </c>
      <c r="C2062" s="10" t="s">
        <v>41</v>
      </c>
      <c r="D2062" s="10" t="s">
        <v>42</v>
      </c>
      <c r="E2062" s="11" t="str">
        <f ca="1">IFERROR(__xludf.DUMMYFUNCTION("FILTER(Colegios!$B$2:$B2419,Colegios!$A$2:$A2419=L2062)"),"EL MILAGRO")</f>
        <v>EL MILAGRO</v>
      </c>
      <c r="F2062" s="11" t="s">
        <v>17</v>
      </c>
      <c r="G2062" s="10" t="s">
        <v>24</v>
      </c>
      <c r="H2062" s="11" t="s">
        <v>19</v>
      </c>
      <c r="I2062" s="11" t="s">
        <v>113</v>
      </c>
      <c r="J2062" s="12" t="str">
        <f ca="1">IFERROR(__xludf.DUMMYFUNCTION("FILTER('CLASFICACIÓN'!$F$3:$F2419,'CLASFICACIÓN'!$G$3:$G2419=M2062)"),"LOS 3 AÑOS")</f>
        <v>LOS 3 AÑOS</v>
      </c>
      <c r="K2062" s="12" t="s">
        <v>2013</v>
      </c>
      <c r="L2062" s="11" t="s">
        <v>139</v>
      </c>
      <c r="M2062" s="12" t="str">
        <f t="shared" ca="1" si="8"/>
        <v>EL MILAGRO2 Secundaria</v>
      </c>
      <c r="N2062" s="11"/>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1"/>
      <c r="AJ2062" s="14"/>
    </row>
    <row r="2063" spans="1:36" ht="12.5" x14ac:dyDescent="0.25">
      <c r="A2063" s="9">
        <v>686</v>
      </c>
      <c r="B2063" s="10" t="s">
        <v>60</v>
      </c>
      <c r="C2063" s="10" t="s">
        <v>41</v>
      </c>
      <c r="D2063" s="10" t="s">
        <v>43</v>
      </c>
      <c r="E2063" s="11" t="str">
        <f ca="1">IFERROR(__xludf.DUMMYFUNCTION("FILTER(Colegios!$B$2:$B2419,Colegios!$A$2:$A2419=L2063)"),"EL MILAGRO")</f>
        <v>EL MILAGRO</v>
      </c>
      <c r="F2063" s="11" t="s">
        <v>17</v>
      </c>
      <c r="G2063" s="10" t="s">
        <v>18</v>
      </c>
      <c r="H2063" s="11" t="s">
        <v>23</v>
      </c>
      <c r="I2063" s="11" t="s">
        <v>113</v>
      </c>
      <c r="J2063" s="12" t="str">
        <f ca="1">IFERROR(__xludf.DUMMYFUNCTION("FILTER('CLASFICACIÓN'!$F$3:$F2419,'CLASFICACIÓN'!$G$3:$G2419=M2063)"),"LOS 3 AÑOS")</f>
        <v>LOS 3 AÑOS</v>
      </c>
      <c r="K2063" s="12" t="s">
        <v>2013</v>
      </c>
      <c r="L2063" s="11" t="s">
        <v>139</v>
      </c>
      <c r="M2063" s="12" t="str">
        <f t="shared" ca="1" si="8"/>
        <v>EL MILAGRO4 Secundaria</v>
      </c>
      <c r="N2063" s="11"/>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4"/>
    </row>
    <row r="2064" spans="1:36" ht="12.5" x14ac:dyDescent="0.25">
      <c r="A2064" s="9">
        <v>687</v>
      </c>
      <c r="B2064" s="10" t="s">
        <v>60</v>
      </c>
      <c r="C2064" s="10" t="s">
        <v>41</v>
      </c>
      <c r="D2064" s="10" t="s">
        <v>43</v>
      </c>
      <c r="E2064" s="11" t="str">
        <f ca="1">IFERROR(__xludf.DUMMYFUNCTION("FILTER(Colegios!$B$2:$B2419,Colegios!$A$2:$A2419=L2064)"),"EL MILAGRO")</f>
        <v>EL MILAGRO</v>
      </c>
      <c r="F2064" s="11" t="s">
        <v>17</v>
      </c>
      <c r="G2064" s="10" t="s">
        <v>18</v>
      </c>
      <c r="H2064" s="11" t="s">
        <v>23</v>
      </c>
      <c r="I2064" s="11" t="s">
        <v>113</v>
      </c>
      <c r="J2064" s="12" t="str">
        <f ca="1">IFERROR(__xludf.DUMMYFUNCTION("FILTER('CLASFICACIÓN'!$F$3:$F2419,'CLASFICACIÓN'!$G$3:$G2419=M2064)"),"LOS 3 AÑOS")</f>
        <v>LOS 3 AÑOS</v>
      </c>
      <c r="K2064" s="12" t="s">
        <v>2013</v>
      </c>
      <c r="L2064" s="11" t="s">
        <v>139</v>
      </c>
      <c r="M2064" s="12" t="str">
        <f t="shared" ca="1" si="8"/>
        <v>EL MILAGRO4 Secundaria</v>
      </c>
      <c r="N2064" s="11"/>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1"/>
      <c r="AJ2064" s="14"/>
    </row>
    <row r="2065" spans="1:36" ht="12.5" x14ac:dyDescent="0.25">
      <c r="A2065" s="9">
        <v>688</v>
      </c>
      <c r="B2065" s="10" t="s">
        <v>60</v>
      </c>
      <c r="C2065" s="10" t="s">
        <v>41</v>
      </c>
      <c r="D2065" s="10" t="s">
        <v>43</v>
      </c>
      <c r="E2065" s="11" t="str">
        <f ca="1">IFERROR(__xludf.DUMMYFUNCTION("FILTER(Colegios!$B$2:$B2419,Colegios!$A$2:$A2419=L2065)"),"EL MILAGRO")</f>
        <v>EL MILAGRO</v>
      </c>
      <c r="F2065" s="11" t="s">
        <v>17</v>
      </c>
      <c r="G2065" s="10" t="s">
        <v>24</v>
      </c>
      <c r="H2065" s="11" t="s">
        <v>25</v>
      </c>
      <c r="I2065" s="11" t="s">
        <v>113</v>
      </c>
      <c r="J2065" s="12" t="str">
        <f ca="1">IFERROR(__xludf.DUMMYFUNCTION("FILTER('CLASFICACIÓN'!$F$3:$F2419,'CLASFICACIÓN'!$G$3:$G2419=M2065)"),"LOS 3 AÑOS")</f>
        <v>LOS 3 AÑOS</v>
      </c>
      <c r="K2065" s="12" t="s">
        <v>2013</v>
      </c>
      <c r="L2065" s="11" t="s">
        <v>139</v>
      </c>
      <c r="M2065" s="12" t="str">
        <f t="shared" ca="1" si="8"/>
        <v>EL MILAGRO4 Secundaria</v>
      </c>
      <c r="N2065" s="11"/>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4"/>
    </row>
    <row r="2066" spans="1:36" ht="12.5" x14ac:dyDescent="0.25">
      <c r="A2066" s="9">
        <v>689</v>
      </c>
      <c r="B2066" s="10" t="s">
        <v>60</v>
      </c>
      <c r="C2066" s="10" t="s">
        <v>41</v>
      </c>
      <c r="D2066" s="10" t="s">
        <v>43</v>
      </c>
      <c r="E2066" s="11" t="str">
        <f ca="1">IFERROR(__xludf.DUMMYFUNCTION("FILTER(Colegios!$B$2:$B2419,Colegios!$A$2:$A2419=L2066)"),"EL MILAGRO")</f>
        <v>EL MILAGRO</v>
      </c>
      <c r="F2066" s="11" t="s">
        <v>17</v>
      </c>
      <c r="G2066" s="10" t="s">
        <v>18</v>
      </c>
      <c r="H2066" s="11" t="s">
        <v>23</v>
      </c>
      <c r="I2066" s="11" t="s">
        <v>113</v>
      </c>
      <c r="J2066" s="12" t="str">
        <f ca="1">IFERROR(__xludf.DUMMYFUNCTION("FILTER('CLASFICACIÓN'!$F$3:$F2419,'CLASFICACIÓN'!$G$3:$G2419=M2066)"),"LOS 3 AÑOS")</f>
        <v>LOS 3 AÑOS</v>
      </c>
      <c r="K2066" s="12" t="s">
        <v>2013</v>
      </c>
      <c r="L2066" s="11" t="s">
        <v>139</v>
      </c>
      <c r="M2066" s="12" t="str">
        <f t="shared" ca="1" si="8"/>
        <v>EL MILAGRO4 Secundaria</v>
      </c>
      <c r="N2066" s="11"/>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1"/>
      <c r="AJ2066" s="14"/>
    </row>
    <row r="2067" spans="1:36" ht="12.5" x14ac:dyDescent="0.25">
      <c r="A2067" s="9">
        <v>690</v>
      </c>
      <c r="B2067" s="10" t="s">
        <v>60</v>
      </c>
      <c r="C2067" s="10" t="s">
        <v>41</v>
      </c>
      <c r="D2067" s="10" t="s">
        <v>43</v>
      </c>
      <c r="E2067" s="11" t="str">
        <f ca="1">IFERROR(__xludf.DUMMYFUNCTION("FILTER(Colegios!$B$2:$B2419,Colegios!$A$2:$A2419=L2067)"),"EL MILAGRO")</f>
        <v>EL MILAGRO</v>
      </c>
      <c r="F2067" s="11" t="s">
        <v>17</v>
      </c>
      <c r="G2067" s="10" t="s">
        <v>24</v>
      </c>
      <c r="H2067" s="11" t="s">
        <v>23</v>
      </c>
      <c r="I2067" s="11" t="s">
        <v>113</v>
      </c>
      <c r="J2067" s="12" t="str">
        <f ca="1">IFERROR(__xludf.DUMMYFUNCTION("FILTER('CLASFICACIÓN'!$F$3:$F2419,'CLASFICACIÓN'!$G$3:$G2419=M2067)"),"LOS 3 AÑOS")</f>
        <v>LOS 3 AÑOS</v>
      </c>
      <c r="K2067" s="12" t="s">
        <v>2013</v>
      </c>
      <c r="L2067" s="11" t="s">
        <v>139</v>
      </c>
      <c r="M2067" s="12" t="str">
        <f t="shared" ca="1" si="8"/>
        <v>EL MILAGRO4 Secundaria</v>
      </c>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4"/>
    </row>
    <row r="2068" spans="1:36" ht="12.5" x14ac:dyDescent="0.25">
      <c r="A2068" s="9">
        <v>691</v>
      </c>
      <c r="B2068" s="10" t="s">
        <v>60</v>
      </c>
      <c r="C2068" s="10" t="s">
        <v>41</v>
      </c>
      <c r="D2068" s="10" t="s">
        <v>43</v>
      </c>
      <c r="E2068" s="11" t="str">
        <f ca="1">IFERROR(__xludf.DUMMYFUNCTION("FILTER(Colegios!$B$2:$B2419,Colegios!$A$2:$A2419=L2068)"),"EL MILAGRO")</f>
        <v>EL MILAGRO</v>
      </c>
      <c r="F2068" s="11" t="s">
        <v>17</v>
      </c>
      <c r="G2068" s="10" t="s">
        <v>24</v>
      </c>
      <c r="H2068" s="11" t="s">
        <v>23</v>
      </c>
      <c r="I2068" s="11" t="s">
        <v>113</v>
      </c>
      <c r="J2068" s="12" t="str">
        <f ca="1">IFERROR(__xludf.DUMMYFUNCTION("FILTER('CLASFICACIÓN'!$F$3:$F2419,'CLASFICACIÓN'!$G$3:$G2419=M2068)"),"LOS 3 AÑOS")</f>
        <v>LOS 3 AÑOS</v>
      </c>
      <c r="K2068" s="12" t="s">
        <v>2013</v>
      </c>
      <c r="L2068" s="11" t="s">
        <v>139</v>
      </c>
      <c r="M2068" s="12" t="str">
        <f t="shared" ca="1" si="8"/>
        <v>EL MILAGRO4 Secundaria</v>
      </c>
      <c r="N2068" s="11"/>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1"/>
      <c r="AJ2068" s="14"/>
    </row>
    <row r="2069" spans="1:36" ht="12.5" x14ac:dyDescent="0.25">
      <c r="A2069" s="9">
        <v>692</v>
      </c>
      <c r="B2069" s="10" t="s">
        <v>60</v>
      </c>
      <c r="C2069" s="10" t="s">
        <v>41</v>
      </c>
      <c r="D2069" s="10" t="s">
        <v>43</v>
      </c>
      <c r="E2069" s="11" t="str">
        <f ca="1">IFERROR(__xludf.DUMMYFUNCTION("FILTER(Colegios!$B$2:$B2419,Colegios!$A$2:$A2419=L2069)"),"EL MILAGRO")</f>
        <v>EL MILAGRO</v>
      </c>
      <c r="F2069" s="11" t="s">
        <v>17</v>
      </c>
      <c r="G2069" s="10" t="s">
        <v>24</v>
      </c>
      <c r="H2069" s="11" t="s">
        <v>25</v>
      </c>
      <c r="I2069" s="11" t="s">
        <v>113</v>
      </c>
      <c r="J2069" s="12" t="str">
        <f ca="1">IFERROR(__xludf.DUMMYFUNCTION("FILTER('CLASFICACIÓN'!$F$3:$F2419,'CLASFICACIÓN'!$G$3:$G2419=M2069)"),"LOS 3 AÑOS")</f>
        <v>LOS 3 AÑOS</v>
      </c>
      <c r="K2069" s="12" t="s">
        <v>2013</v>
      </c>
      <c r="L2069" s="11" t="s">
        <v>139</v>
      </c>
      <c r="M2069" s="12" t="str">
        <f t="shared" ca="1" si="8"/>
        <v>EL MILAGRO4 Secundaria</v>
      </c>
      <c r="N2069" s="11"/>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4"/>
    </row>
    <row r="2070" spans="1:36" ht="12.5" x14ac:dyDescent="0.25">
      <c r="A2070" s="9">
        <v>693</v>
      </c>
      <c r="B2070" s="10" t="s">
        <v>60</v>
      </c>
      <c r="C2070" s="10" t="s">
        <v>41</v>
      </c>
      <c r="D2070" s="10" t="s">
        <v>43</v>
      </c>
      <c r="E2070" s="11" t="str">
        <f ca="1">IFERROR(__xludf.DUMMYFUNCTION("FILTER(Colegios!$B$2:$B2419,Colegios!$A$2:$A2419=L2070)"),"EL MILAGRO")</f>
        <v>EL MILAGRO</v>
      </c>
      <c r="F2070" s="11" t="s">
        <v>17</v>
      </c>
      <c r="G2070" s="10" t="s">
        <v>24</v>
      </c>
      <c r="H2070" s="11" t="s">
        <v>23</v>
      </c>
      <c r="I2070" s="11" t="s">
        <v>113</v>
      </c>
      <c r="J2070" s="12" t="str">
        <f ca="1">IFERROR(__xludf.DUMMYFUNCTION("FILTER('CLASFICACIÓN'!$F$3:$F2419,'CLASFICACIÓN'!$G$3:$G2419=M2070)"),"LOS 3 AÑOS")</f>
        <v>LOS 3 AÑOS</v>
      </c>
      <c r="K2070" s="12" t="s">
        <v>2013</v>
      </c>
      <c r="L2070" s="11" t="s">
        <v>139</v>
      </c>
      <c r="M2070" s="12" t="str">
        <f t="shared" ca="1" si="8"/>
        <v>EL MILAGRO4 Secundaria</v>
      </c>
      <c r="N2070" s="11"/>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1"/>
      <c r="AJ2070" s="14"/>
    </row>
    <row r="2071" spans="1:36" ht="12.5" x14ac:dyDescent="0.25">
      <c r="A2071" s="9">
        <v>694</v>
      </c>
      <c r="B2071" s="10" t="s">
        <v>60</v>
      </c>
      <c r="C2071" s="10" t="s">
        <v>41</v>
      </c>
      <c r="D2071" s="10" t="s">
        <v>43</v>
      </c>
      <c r="E2071" s="11" t="str">
        <f ca="1">IFERROR(__xludf.DUMMYFUNCTION("FILTER(Colegios!$B$2:$B2419,Colegios!$A$2:$A2419=L2071)"),"EL MILAGRO")</f>
        <v>EL MILAGRO</v>
      </c>
      <c r="F2071" s="11" t="s">
        <v>17</v>
      </c>
      <c r="G2071" s="10" t="s">
        <v>18</v>
      </c>
      <c r="H2071" s="11" t="s">
        <v>19</v>
      </c>
      <c r="I2071" s="11" t="s">
        <v>113</v>
      </c>
      <c r="J2071" s="12" t="str">
        <f ca="1">IFERROR(__xludf.DUMMYFUNCTION("FILTER('CLASFICACIÓN'!$F$3:$F2419,'CLASFICACIÓN'!$G$3:$G2419=M2071)"),"LOS 3 AÑOS")</f>
        <v>LOS 3 AÑOS</v>
      </c>
      <c r="K2071" s="12" t="s">
        <v>2013</v>
      </c>
      <c r="L2071" s="11" t="s">
        <v>139</v>
      </c>
      <c r="M2071" s="12" t="str">
        <f t="shared" ca="1" si="8"/>
        <v>EL MILAGRO4 Secundaria</v>
      </c>
      <c r="N2071" s="11"/>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1"/>
      <c r="AJ2071" s="14"/>
    </row>
    <row r="2072" spans="1:36" ht="12.5" x14ac:dyDescent="0.25">
      <c r="A2072" s="9">
        <v>695</v>
      </c>
      <c r="B2072" s="10" t="s">
        <v>60</v>
      </c>
      <c r="C2072" s="10" t="s">
        <v>41</v>
      </c>
      <c r="D2072" s="10" t="s">
        <v>43</v>
      </c>
      <c r="E2072" s="11" t="str">
        <f ca="1">IFERROR(__xludf.DUMMYFUNCTION("FILTER(Colegios!$B$2:$B2419,Colegios!$A$2:$A2419=L2072)"),"EL MILAGRO")</f>
        <v>EL MILAGRO</v>
      </c>
      <c r="F2072" s="11" t="s">
        <v>17</v>
      </c>
      <c r="G2072" s="10" t="s">
        <v>24</v>
      </c>
      <c r="H2072" s="11" t="s">
        <v>19</v>
      </c>
      <c r="I2072" s="11" t="s">
        <v>113</v>
      </c>
      <c r="J2072" s="12" t="str">
        <f ca="1">IFERROR(__xludf.DUMMYFUNCTION("FILTER('CLASFICACIÓN'!$F$3:$F2419,'CLASFICACIÓN'!$G$3:$G2419=M2072)"),"LOS 3 AÑOS")</f>
        <v>LOS 3 AÑOS</v>
      </c>
      <c r="K2072" s="12" t="s">
        <v>2013</v>
      </c>
      <c r="L2072" s="11" t="s">
        <v>139</v>
      </c>
      <c r="M2072" s="12" t="str">
        <f t="shared" ca="1" si="8"/>
        <v>EL MILAGRO4 Secundaria</v>
      </c>
      <c r="N2072" s="11"/>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4"/>
    </row>
    <row r="2073" spans="1:36" ht="12.5" x14ac:dyDescent="0.25">
      <c r="A2073" s="9">
        <v>696</v>
      </c>
      <c r="B2073" s="10" t="s">
        <v>60</v>
      </c>
      <c r="C2073" s="10" t="s">
        <v>41</v>
      </c>
      <c r="D2073" s="10" t="s">
        <v>43</v>
      </c>
      <c r="E2073" s="11" t="str">
        <f ca="1">IFERROR(__xludf.DUMMYFUNCTION("FILTER(Colegios!$B$2:$B2419,Colegios!$A$2:$A2419=L2073)"),"EL MILAGRO")</f>
        <v>EL MILAGRO</v>
      </c>
      <c r="F2073" s="11" t="s">
        <v>17</v>
      </c>
      <c r="G2073" s="10" t="s">
        <v>18</v>
      </c>
      <c r="H2073" s="11" t="s">
        <v>19</v>
      </c>
      <c r="I2073" s="11" t="s">
        <v>113</v>
      </c>
      <c r="J2073" s="12" t="str">
        <f ca="1">IFERROR(__xludf.DUMMYFUNCTION("FILTER('CLASFICACIÓN'!$F$3:$F2419,'CLASFICACIÓN'!$G$3:$G2419=M2073)"),"LOS 3 AÑOS")</f>
        <v>LOS 3 AÑOS</v>
      </c>
      <c r="K2073" s="12" t="s">
        <v>2013</v>
      </c>
      <c r="L2073" s="11" t="s">
        <v>139</v>
      </c>
      <c r="M2073" s="12" t="str">
        <f t="shared" ca="1" si="8"/>
        <v>EL MILAGRO4 Secundaria</v>
      </c>
      <c r="N2073" s="11"/>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1"/>
      <c r="AJ2073" s="14"/>
    </row>
    <row r="2074" spans="1:36" ht="12.5" x14ac:dyDescent="0.25">
      <c r="A2074" s="9">
        <v>697</v>
      </c>
      <c r="B2074" s="10" t="s">
        <v>60</v>
      </c>
      <c r="C2074" s="10" t="s">
        <v>41</v>
      </c>
      <c r="D2074" s="10" t="s">
        <v>43</v>
      </c>
      <c r="E2074" s="11" t="str">
        <f ca="1">IFERROR(__xludf.DUMMYFUNCTION("FILTER(Colegios!$B$2:$B2419,Colegios!$A$2:$A2419=L2074)"),"EL MILAGRO")</f>
        <v>EL MILAGRO</v>
      </c>
      <c r="F2074" s="11" t="s">
        <v>17</v>
      </c>
      <c r="G2074" s="10" t="s">
        <v>18</v>
      </c>
      <c r="H2074" s="11" t="s">
        <v>23</v>
      </c>
      <c r="I2074" s="11" t="s">
        <v>113</v>
      </c>
      <c r="J2074" s="12" t="str">
        <f ca="1">IFERROR(__xludf.DUMMYFUNCTION("FILTER('CLASFICACIÓN'!$F$3:$F2419,'CLASFICACIÓN'!$G$3:$G2419=M2074)"),"LOS 3 AÑOS")</f>
        <v>LOS 3 AÑOS</v>
      </c>
      <c r="K2074" s="12" t="s">
        <v>2013</v>
      </c>
      <c r="L2074" s="11" t="s">
        <v>139</v>
      </c>
      <c r="M2074" s="12" t="str">
        <f t="shared" ca="1" si="8"/>
        <v>EL MILAGRO4 Secundaria</v>
      </c>
      <c r="N2074" s="11"/>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1"/>
      <c r="AJ2074" s="14"/>
    </row>
    <row r="2075" spans="1:36" ht="12.5" x14ac:dyDescent="0.25">
      <c r="A2075" s="9">
        <v>698</v>
      </c>
      <c r="B2075" s="10" t="s">
        <v>60</v>
      </c>
      <c r="C2075" s="10" t="s">
        <v>41</v>
      </c>
      <c r="D2075" s="10" t="s">
        <v>43</v>
      </c>
      <c r="E2075" s="11" t="str">
        <f ca="1">IFERROR(__xludf.DUMMYFUNCTION("FILTER(Colegios!$B$2:$B2419,Colegios!$A$2:$A2419=L2075)"),"EL MILAGRO")</f>
        <v>EL MILAGRO</v>
      </c>
      <c r="F2075" s="11" t="s">
        <v>17</v>
      </c>
      <c r="G2075" s="10" t="s">
        <v>18</v>
      </c>
      <c r="H2075" s="11" t="s">
        <v>19</v>
      </c>
      <c r="I2075" s="11" t="s">
        <v>113</v>
      </c>
      <c r="J2075" s="12" t="str">
        <f ca="1">IFERROR(__xludf.DUMMYFUNCTION("FILTER('CLASFICACIÓN'!$F$3:$F2419,'CLASFICACIÓN'!$G$3:$G2419=M2075)"),"LOS 3 AÑOS")</f>
        <v>LOS 3 AÑOS</v>
      </c>
      <c r="K2075" s="12" t="s">
        <v>2013</v>
      </c>
      <c r="L2075" s="11" t="s">
        <v>139</v>
      </c>
      <c r="M2075" s="12" t="str">
        <f t="shared" ca="1" si="8"/>
        <v>EL MILAGRO4 Secundaria</v>
      </c>
      <c r="N2075" s="11"/>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1"/>
      <c r="AJ2075" s="14"/>
    </row>
    <row r="2076" spans="1:36" ht="12.5" x14ac:dyDescent="0.25">
      <c r="A2076" s="9">
        <v>699</v>
      </c>
      <c r="B2076" s="10" t="s">
        <v>60</v>
      </c>
      <c r="C2076" s="10" t="s">
        <v>41</v>
      </c>
      <c r="D2076" s="10" t="s">
        <v>43</v>
      </c>
      <c r="E2076" s="11" t="str">
        <f ca="1">IFERROR(__xludf.DUMMYFUNCTION("FILTER(Colegios!$B$2:$B2419,Colegios!$A$2:$A2419=L2076)"),"EL MILAGRO")</f>
        <v>EL MILAGRO</v>
      </c>
      <c r="F2076" s="11" t="s">
        <v>17</v>
      </c>
      <c r="G2076" s="10" t="s">
        <v>18</v>
      </c>
      <c r="H2076" s="11" t="s">
        <v>19</v>
      </c>
      <c r="I2076" s="11" t="s">
        <v>113</v>
      </c>
      <c r="J2076" s="12" t="str">
        <f ca="1">IFERROR(__xludf.DUMMYFUNCTION("FILTER('CLASFICACIÓN'!$F$3:$F2419,'CLASFICACIÓN'!$G$3:$G2419=M2076)"),"LOS 3 AÑOS")</f>
        <v>LOS 3 AÑOS</v>
      </c>
      <c r="K2076" s="12" t="s">
        <v>2013</v>
      </c>
      <c r="L2076" s="11" t="s">
        <v>139</v>
      </c>
      <c r="M2076" s="12" t="str">
        <f t="shared" ca="1" si="8"/>
        <v>EL MILAGRO4 Secundaria</v>
      </c>
      <c r="N2076" s="11"/>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4"/>
    </row>
    <row r="2077" spans="1:36" ht="12.5" x14ac:dyDescent="0.25">
      <c r="A2077" s="9">
        <v>700</v>
      </c>
      <c r="B2077" s="10" t="s">
        <v>60</v>
      </c>
      <c r="C2077" s="10" t="s">
        <v>41</v>
      </c>
      <c r="D2077" s="10" t="s">
        <v>43</v>
      </c>
      <c r="E2077" s="11" t="str">
        <f ca="1">IFERROR(__xludf.DUMMYFUNCTION("FILTER(Colegios!$B$2:$B2419,Colegios!$A$2:$A2419=L2077)"),"EL MILAGRO")</f>
        <v>EL MILAGRO</v>
      </c>
      <c r="F2077" s="11" t="s">
        <v>17</v>
      </c>
      <c r="G2077" s="10" t="s">
        <v>24</v>
      </c>
      <c r="H2077" s="11" t="s">
        <v>19</v>
      </c>
      <c r="I2077" s="11" t="s">
        <v>113</v>
      </c>
      <c r="J2077" s="12" t="str">
        <f ca="1">IFERROR(__xludf.DUMMYFUNCTION("FILTER('CLASFICACIÓN'!$F$3:$F2419,'CLASFICACIÓN'!$G$3:$G2419=M2077)"),"LOS 3 AÑOS")</f>
        <v>LOS 3 AÑOS</v>
      </c>
      <c r="K2077" s="12" t="s">
        <v>2013</v>
      </c>
      <c r="L2077" s="11" t="s">
        <v>139</v>
      </c>
      <c r="M2077" s="12" t="str">
        <f t="shared" ca="1" si="8"/>
        <v>EL MILAGRO4 Secundaria</v>
      </c>
      <c r="N2077" s="11"/>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1"/>
      <c r="AJ2077" s="14"/>
    </row>
    <row r="2078" spans="1:36" ht="12.5" x14ac:dyDescent="0.25">
      <c r="A2078" s="9">
        <v>701</v>
      </c>
      <c r="B2078" s="10" t="s">
        <v>60</v>
      </c>
      <c r="C2078" s="10" t="s">
        <v>41</v>
      </c>
      <c r="D2078" s="10" t="s">
        <v>43</v>
      </c>
      <c r="E2078" s="11" t="str">
        <f ca="1">IFERROR(__xludf.DUMMYFUNCTION("FILTER(Colegios!$B$2:$B2419,Colegios!$A$2:$A2419=L2078)"),"EL MILAGRO")</f>
        <v>EL MILAGRO</v>
      </c>
      <c r="F2078" s="11" t="s">
        <v>17</v>
      </c>
      <c r="G2078" s="10" t="s">
        <v>18</v>
      </c>
      <c r="H2078" s="11" t="s">
        <v>19</v>
      </c>
      <c r="I2078" s="11" t="s">
        <v>113</v>
      </c>
      <c r="J2078" s="12" t="str">
        <f ca="1">IFERROR(__xludf.DUMMYFUNCTION("FILTER('CLASFICACIÓN'!$F$3:$F2419,'CLASFICACIÓN'!$G$3:$G2419=M2078)"),"LOS 3 AÑOS")</f>
        <v>LOS 3 AÑOS</v>
      </c>
      <c r="K2078" s="12" t="s">
        <v>2013</v>
      </c>
      <c r="L2078" s="11" t="s">
        <v>139</v>
      </c>
      <c r="M2078" s="12" t="str">
        <f t="shared" ca="1" si="8"/>
        <v>EL MILAGRO4 Secundaria</v>
      </c>
      <c r="N2078" s="11"/>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4"/>
    </row>
    <row r="2079" spans="1:36" ht="12.5" x14ac:dyDescent="0.25">
      <c r="A2079" s="9">
        <v>702</v>
      </c>
      <c r="B2079" s="10" t="s">
        <v>60</v>
      </c>
      <c r="C2079" s="10" t="s">
        <v>41</v>
      </c>
      <c r="D2079" s="10" t="s">
        <v>43</v>
      </c>
      <c r="E2079" s="11" t="str">
        <f ca="1">IFERROR(__xludf.DUMMYFUNCTION("FILTER(Colegios!$B$2:$B2419,Colegios!$A$2:$A2419=L2079)"),"EL MILAGRO")</f>
        <v>EL MILAGRO</v>
      </c>
      <c r="F2079" s="11" t="s">
        <v>17</v>
      </c>
      <c r="G2079" s="10" t="s">
        <v>24</v>
      </c>
      <c r="H2079" s="11" t="s">
        <v>19</v>
      </c>
      <c r="I2079" s="11" t="s">
        <v>113</v>
      </c>
      <c r="J2079" s="12" t="str">
        <f ca="1">IFERROR(__xludf.DUMMYFUNCTION("FILTER('CLASFICACIÓN'!$F$3:$F2419,'CLASFICACIÓN'!$G$3:$G2419=M2079)"),"LOS 3 AÑOS")</f>
        <v>LOS 3 AÑOS</v>
      </c>
      <c r="K2079" s="12" t="s">
        <v>2013</v>
      </c>
      <c r="L2079" s="11" t="s">
        <v>139</v>
      </c>
      <c r="M2079" s="12" t="str">
        <f t="shared" ca="1" si="8"/>
        <v>EL MILAGRO4 Secundaria</v>
      </c>
      <c r="N2079" s="11"/>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1"/>
      <c r="AJ2079" s="14"/>
    </row>
    <row r="2080" spans="1:36" ht="12.5" x14ac:dyDescent="0.25">
      <c r="A2080" s="9">
        <v>703</v>
      </c>
      <c r="B2080" s="10" t="s">
        <v>60</v>
      </c>
      <c r="C2080" s="10" t="s">
        <v>41</v>
      </c>
      <c r="D2080" s="10" t="s">
        <v>43</v>
      </c>
      <c r="E2080" s="11" t="str">
        <f ca="1">IFERROR(__xludf.DUMMYFUNCTION("FILTER(Colegios!$B$2:$B2419,Colegios!$A$2:$A2419=L2080)"),"EL MILAGRO")</f>
        <v>EL MILAGRO</v>
      </c>
      <c r="F2080" s="11" t="s">
        <v>17</v>
      </c>
      <c r="G2080" s="10" t="s">
        <v>18</v>
      </c>
      <c r="H2080" s="11" t="s">
        <v>19</v>
      </c>
      <c r="I2080" s="11" t="s">
        <v>113</v>
      </c>
      <c r="J2080" s="12" t="str">
        <f ca="1">IFERROR(__xludf.DUMMYFUNCTION("FILTER('CLASFICACIÓN'!$F$3:$F2419,'CLASFICACIÓN'!$G$3:$G2419=M2080)"),"LOS 3 AÑOS")</f>
        <v>LOS 3 AÑOS</v>
      </c>
      <c r="K2080" s="12" t="s">
        <v>2013</v>
      </c>
      <c r="L2080" s="11" t="s">
        <v>139</v>
      </c>
      <c r="M2080" s="12" t="str">
        <f t="shared" ca="1" si="8"/>
        <v>EL MILAGRO4 Secundaria</v>
      </c>
      <c r="N2080" s="11"/>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1"/>
      <c r="AJ2080" s="14"/>
    </row>
    <row r="2081" spans="1:36" ht="12.5" x14ac:dyDescent="0.25">
      <c r="A2081" s="9">
        <v>704</v>
      </c>
      <c r="B2081" s="10" t="s">
        <v>60</v>
      </c>
      <c r="C2081" s="10" t="s">
        <v>41</v>
      </c>
      <c r="D2081" s="10" t="s">
        <v>43</v>
      </c>
      <c r="E2081" s="11" t="str">
        <f ca="1">IFERROR(__xludf.DUMMYFUNCTION("FILTER(Colegios!$B$2:$B2419,Colegios!$A$2:$A2419=L2081)"),"EL MILAGRO")</f>
        <v>EL MILAGRO</v>
      </c>
      <c r="F2081" s="11" t="s">
        <v>17</v>
      </c>
      <c r="G2081" s="10" t="s">
        <v>18</v>
      </c>
      <c r="H2081" s="11" t="s">
        <v>19</v>
      </c>
      <c r="I2081" s="11" t="s">
        <v>113</v>
      </c>
      <c r="J2081" s="12" t="str">
        <f ca="1">IFERROR(__xludf.DUMMYFUNCTION("FILTER('CLASFICACIÓN'!$F$3:$F2419,'CLASFICACIÓN'!$G$3:$G2419=M2081)"),"LOS 3 AÑOS")</f>
        <v>LOS 3 AÑOS</v>
      </c>
      <c r="K2081" s="12" t="s">
        <v>2013</v>
      </c>
      <c r="L2081" s="11" t="s">
        <v>139</v>
      </c>
      <c r="M2081" s="12" t="str">
        <f t="shared" ca="1" si="8"/>
        <v>EL MILAGRO4 Secundaria</v>
      </c>
      <c r="N2081" s="11"/>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1"/>
      <c r="AJ2081" s="14"/>
    </row>
    <row r="2082" spans="1:36" ht="12.5" x14ac:dyDescent="0.25">
      <c r="A2082" s="9">
        <v>705</v>
      </c>
      <c r="B2082" s="10" t="s">
        <v>60</v>
      </c>
      <c r="C2082" s="10" t="s">
        <v>41</v>
      </c>
      <c r="D2082" s="10" t="s">
        <v>43</v>
      </c>
      <c r="E2082" s="11" t="str">
        <f ca="1">IFERROR(__xludf.DUMMYFUNCTION("FILTER(Colegios!$B$2:$B2419,Colegios!$A$2:$A2419=L2082)"),"EL MILAGRO")</f>
        <v>EL MILAGRO</v>
      </c>
      <c r="F2082" s="11" t="s">
        <v>17</v>
      </c>
      <c r="G2082" s="10" t="s">
        <v>24</v>
      </c>
      <c r="H2082" s="11" t="s">
        <v>23</v>
      </c>
      <c r="I2082" s="11" t="s">
        <v>113</v>
      </c>
      <c r="J2082" s="12" t="str">
        <f ca="1">IFERROR(__xludf.DUMMYFUNCTION("FILTER('CLASFICACIÓN'!$F$3:$F2419,'CLASFICACIÓN'!$G$3:$G2419=M2082)"),"LOS 3 AÑOS")</f>
        <v>LOS 3 AÑOS</v>
      </c>
      <c r="K2082" s="12" t="s">
        <v>2013</v>
      </c>
      <c r="L2082" s="11" t="s">
        <v>139</v>
      </c>
      <c r="M2082" s="12" t="str">
        <f t="shared" ca="1" si="8"/>
        <v>EL MILAGRO4 Secundaria</v>
      </c>
      <c r="N2082" s="11"/>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1"/>
      <c r="AJ2082" s="14"/>
    </row>
    <row r="2083" spans="1:36" ht="12.5" x14ac:dyDescent="0.25">
      <c r="A2083" s="9">
        <v>706</v>
      </c>
      <c r="B2083" s="10" t="s">
        <v>60</v>
      </c>
      <c r="C2083" s="10" t="s">
        <v>41</v>
      </c>
      <c r="D2083" s="10" t="s">
        <v>43</v>
      </c>
      <c r="E2083" s="11" t="str">
        <f ca="1">IFERROR(__xludf.DUMMYFUNCTION("FILTER(Colegios!$B$2:$B2419,Colegios!$A$2:$A2419=L2083)"),"EL MILAGRO")</f>
        <v>EL MILAGRO</v>
      </c>
      <c r="F2083" s="11" t="s">
        <v>17</v>
      </c>
      <c r="G2083" s="10" t="s">
        <v>18</v>
      </c>
      <c r="H2083" s="11" t="s">
        <v>19</v>
      </c>
      <c r="I2083" s="11" t="s">
        <v>113</v>
      </c>
      <c r="J2083" s="12" t="str">
        <f ca="1">IFERROR(__xludf.DUMMYFUNCTION("FILTER('CLASFICACIÓN'!$F$3:$F2419,'CLASFICACIÓN'!$G$3:$G2419=M2083)"),"LOS 3 AÑOS")</f>
        <v>LOS 3 AÑOS</v>
      </c>
      <c r="K2083" s="12" t="s">
        <v>2013</v>
      </c>
      <c r="L2083" s="11" t="s">
        <v>139</v>
      </c>
      <c r="M2083" s="12" t="str">
        <f t="shared" ca="1" si="8"/>
        <v>EL MILAGRO4 Secundaria</v>
      </c>
      <c r="N2083" s="11"/>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1"/>
      <c r="AJ2083" s="14"/>
    </row>
    <row r="2084" spans="1:36" ht="12.5" x14ac:dyDescent="0.25">
      <c r="A2084" s="9">
        <v>707</v>
      </c>
      <c r="B2084" s="10" t="s">
        <v>60</v>
      </c>
      <c r="C2084" s="10" t="s">
        <v>41</v>
      </c>
      <c r="D2084" s="10" t="s">
        <v>43</v>
      </c>
      <c r="E2084" s="11" t="str">
        <f ca="1">IFERROR(__xludf.DUMMYFUNCTION("FILTER(Colegios!$B$2:$B2419,Colegios!$A$2:$A2419=L2084)"),"EL MILAGRO")</f>
        <v>EL MILAGRO</v>
      </c>
      <c r="F2084" s="11" t="s">
        <v>17</v>
      </c>
      <c r="G2084" s="10" t="s">
        <v>18</v>
      </c>
      <c r="H2084" s="11" t="s">
        <v>19</v>
      </c>
      <c r="I2084" s="11" t="s">
        <v>113</v>
      </c>
      <c r="J2084" s="12" t="str">
        <f ca="1">IFERROR(__xludf.DUMMYFUNCTION("FILTER('CLASFICACIÓN'!$F$3:$F2419,'CLASFICACIÓN'!$G$3:$G2419=M2084)"),"LOS 3 AÑOS")</f>
        <v>LOS 3 AÑOS</v>
      </c>
      <c r="K2084" s="12" t="s">
        <v>2013</v>
      </c>
      <c r="L2084" s="11" t="s">
        <v>139</v>
      </c>
      <c r="M2084" s="12" t="str">
        <f t="shared" ca="1" si="8"/>
        <v>EL MILAGRO4 Secundaria</v>
      </c>
      <c r="N2084" s="11"/>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4"/>
    </row>
    <row r="2085" spans="1:36" ht="12.5" x14ac:dyDescent="0.25">
      <c r="A2085" s="9">
        <v>708</v>
      </c>
      <c r="B2085" s="10" t="s">
        <v>60</v>
      </c>
      <c r="C2085" s="10" t="s">
        <v>41</v>
      </c>
      <c r="D2085" s="10" t="s">
        <v>43</v>
      </c>
      <c r="E2085" s="11" t="str">
        <f ca="1">IFERROR(__xludf.DUMMYFUNCTION("FILTER(Colegios!$B$2:$B2419,Colegios!$A$2:$A2419=L2085)"),"EL MILAGRO")</f>
        <v>EL MILAGRO</v>
      </c>
      <c r="F2085" s="11" t="s">
        <v>17</v>
      </c>
      <c r="G2085" s="10" t="s">
        <v>18</v>
      </c>
      <c r="H2085" s="11" t="s">
        <v>19</v>
      </c>
      <c r="I2085" s="11" t="s">
        <v>113</v>
      </c>
      <c r="J2085" s="12" t="str">
        <f ca="1">IFERROR(__xludf.DUMMYFUNCTION("FILTER('CLASFICACIÓN'!$F$3:$F2419,'CLASFICACIÓN'!$G$3:$G2419=M2085)"),"LOS 3 AÑOS")</f>
        <v>LOS 3 AÑOS</v>
      </c>
      <c r="K2085" s="12" t="s">
        <v>2013</v>
      </c>
      <c r="L2085" s="11" t="s">
        <v>139</v>
      </c>
      <c r="M2085" s="12" t="str">
        <f t="shared" ca="1" si="8"/>
        <v>EL MILAGRO4 Secundaria</v>
      </c>
      <c r="N2085" s="11"/>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1"/>
      <c r="AJ2085" s="14"/>
    </row>
    <row r="2086" spans="1:36" ht="12.5" x14ac:dyDescent="0.25">
      <c r="A2086" s="9">
        <v>709</v>
      </c>
      <c r="B2086" s="10" t="s">
        <v>60</v>
      </c>
      <c r="C2086" s="10" t="s">
        <v>15</v>
      </c>
      <c r="D2086" s="10" t="s">
        <v>45</v>
      </c>
      <c r="E2086" s="11" t="str">
        <f ca="1">IFERROR(__xludf.DUMMYFUNCTION("FILTER(Colegios!$B$2:$B2419,Colegios!$A$2:$A2419=L2086)"),"601514")</f>
        <v>601514</v>
      </c>
      <c r="F2086" s="11" t="s">
        <v>17</v>
      </c>
      <c r="G2086" s="10" t="s">
        <v>18</v>
      </c>
      <c r="H2086" s="11" t="s">
        <v>19</v>
      </c>
      <c r="I2086" s="11" t="s">
        <v>113</v>
      </c>
      <c r="J2086" s="12" t="str">
        <f ca="1">IFERROR(__xludf.DUMMYFUNCTION("FILTER('CLASFICACIÓN'!$F$3:$F2419,'CLASFICACIÓN'!$G$3:$G2419=M2086)"),"2023 Y 2024")</f>
        <v>2023 Y 2024</v>
      </c>
      <c r="K2086" s="12" t="s">
        <v>2012</v>
      </c>
      <c r="L2086" s="11" t="s">
        <v>140</v>
      </c>
      <c r="M2086" s="12" t="str">
        <f t="shared" ca="1" si="8"/>
        <v>6015142 Primaria</v>
      </c>
      <c r="N2086" s="11"/>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1"/>
      <c r="AJ2086" s="14"/>
    </row>
    <row r="2087" spans="1:36" ht="12.5" x14ac:dyDescent="0.25">
      <c r="A2087" s="9">
        <v>710</v>
      </c>
      <c r="B2087" s="10" t="s">
        <v>60</v>
      </c>
      <c r="C2087" s="10" t="s">
        <v>15</v>
      </c>
      <c r="D2087" s="10" t="s">
        <v>45</v>
      </c>
      <c r="E2087" s="11" t="str">
        <f ca="1">IFERROR(__xludf.DUMMYFUNCTION("FILTER(Colegios!$B$2:$B2419,Colegios!$A$2:$A2419=L2087)"),"601514")</f>
        <v>601514</v>
      </c>
      <c r="F2087" s="11" t="s">
        <v>17</v>
      </c>
      <c r="G2087" s="10" t="s">
        <v>24</v>
      </c>
      <c r="H2087" s="11" t="s">
        <v>23</v>
      </c>
      <c r="I2087" s="11" t="s">
        <v>113</v>
      </c>
      <c r="J2087" s="12" t="str">
        <f ca="1">IFERROR(__xludf.DUMMYFUNCTION("FILTER('CLASFICACIÓN'!$F$3:$F2419,'CLASFICACIÓN'!$G$3:$G2419=M2087)"),"2023 Y 2024")</f>
        <v>2023 Y 2024</v>
      </c>
      <c r="K2087" s="12" t="s">
        <v>2012</v>
      </c>
      <c r="L2087" s="11" t="s">
        <v>140</v>
      </c>
      <c r="M2087" s="12" t="str">
        <f t="shared" ca="1" si="8"/>
        <v>6015142 Primaria</v>
      </c>
      <c r="N2087" s="11"/>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1"/>
      <c r="AJ2087" s="14"/>
    </row>
    <row r="2088" spans="1:36" ht="12.5" x14ac:dyDescent="0.25">
      <c r="A2088" s="9">
        <v>711</v>
      </c>
      <c r="B2088" s="10" t="s">
        <v>60</v>
      </c>
      <c r="C2088" s="10" t="s">
        <v>15</v>
      </c>
      <c r="D2088" s="10" t="s">
        <v>45</v>
      </c>
      <c r="E2088" s="11" t="str">
        <f ca="1">IFERROR(__xludf.DUMMYFUNCTION("FILTER(Colegios!$B$2:$B2419,Colegios!$A$2:$A2419=L2088)"),"601514")</f>
        <v>601514</v>
      </c>
      <c r="F2088" s="11" t="s">
        <v>17</v>
      </c>
      <c r="G2088" s="10" t="s">
        <v>24</v>
      </c>
      <c r="H2088" s="11" t="s">
        <v>19</v>
      </c>
      <c r="I2088" s="11" t="s">
        <v>113</v>
      </c>
      <c r="J2088" s="12" t="str">
        <f ca="1">IFERROR(__xludf.DUMMYFUNCTION("FILTER('CLASFICACIÓN'!$F$3:$F2419,'CLASFICACIÓN'!$G$3:$G2419=M2088)"),"2023 Y 2024")</f>
        <v>2023 Y 2024</v>
      </c>
      <c r="K2088" s="12" t="s">
        <v>2012</v>
      </c>
      <c r="L2088" s="11" t="s">
        <v>140</v>
      </c>
      <c r="M2088" s="12" t="str">
        <f t="shared" ca="1" si="8"/>
        <v>6015142 Primaria</v>
      </c>
      <c r="N2088" s="11"/>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4"/>
    </row>
    <row r="2089" spans="1:36" ht="12.5" x14ac:dyDescent="0.25">
      <c r="A2089" s="9">
        <v>712</v>
      </c>
      <c r="B2089" s="10" t="s">
        <v>60</v>
      </c>
      <c r="C2089" s="10" t="s">
        <v>15</v>
      </c>
      <c r="D2089" s="10" t="s">
        <v>45</v>
      </c>
      <c r="E2089" s="11" t="str">
        <f ca="1">IFERROR(__xludf.DUMMYFUNCTION("FILTER(Colegios!$B$2:$B2419,Colegios!$A$2:$A2419=L2089)"),"601514")</f>
        <v>601514</v>
      </c>
      <c r="F2089" s="11" t="s">
        <v>17</v>
      </c>
      <c r="G2089" s="10" t="s">
        <v>24</v>
      </c>
      <c r="H2089" s="11" t="s">
        <v>19</v>
      </c>
      <c r="I2089" s="11" t="s">
        <v>113</v>
      </c>
      <c r="J2089" s="12" t="str">
        <f ca="1">IFERROR(__xludf.DUMMYFUNCTION("FILTER('CLASFICACIÓN'!$F$3:$F2419,'CLASFICACIÓN'!$G$3:$G2419=M2089)"),"2023 Y 2024")</f>
        <v>2023 Y 2024</v>
      </c>
      <c r="K2089" s="12" t="s">
        <v>2012</v>
      </c>
      <c r="L2089" s="11" t="s">
        <v>140</v>
      </c>
      <c r="M2089" s="12" t="str">
        <f t="shared" ca="1" si="8"/>
        <v>6015142 Primaria</v>
      </c>
      <c r="N2089" s="11"/>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1"/>
      <c r="AJ2089" s="14"/>
    </row>
    <row r="2090" spans="1:36" ht="12.5" x14ac:dyDescent="0.25">
      <c r="A2090" s="9">
        <v>713</v>
      </c>
      <c r="B2090" s="10" t="s">
        <v>60</v>
      </c>
      <c r="C2090" s="10" t="s">
        <v>15</v>
      </c>
      <c r="D2090" s="10" t="s">
        <v>16</v>
      </c>
      <c r="E2090" s="11" t="str">
        <f ca="1">IFERROR(__xludf.DUMMYFUNCTION("FILTER(Colegios!$B$2:$B2419,Colegios!$A$2:$A2419=L2090)"),"601514")</f>
        <v>601514</v>
      </c>
      <c r="F2090" s="11" t="s">
        <v>17</v>
      </c>
      <c r="G2090" s="10" t="s">
        <v>24</v>
      </c>
      <c r="H2090" s="11" t="s">
        <v>23</v>
      </c>
      <c r="I2090" s="11" t="s">
        <v>113</v>
      </c>
      <c r="J2090" s="12" t="str">
        <f ca="1">IFERROR(__xludf.DUMMYFUNCTION("FILTER('CLASFICACIÓN'!$F$3:$F2419,'CLASFICACIÓN'!$G$3:$G2419=M2090)"),"2023 Y 2024")</f>
        <v>2023 Y 2024</v>
      </c>
      <c r="K2090" s="12" t="s">
        <v>2012</v>
      </c>
      <c r="L2090" s="11" t="s">
        <v>140</v>
      </c>
      <c r="M2090" s="12" t="str">
        <f t="shared" ca="1" si="8"/>
        <v>6015144 Primaria</v>
      </c>
      <c r="N2090" s="11"/>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1"/>
      <c r="AJ2090" s="14"/>
    </row>
    <row r="2091" spans="1:36" ht="12.5" x14ac:dyDescent="0.25">
      <c r="A2091" s="9">
        <v>714</v>
      </c>
      <c r="B2091" s="10" t="s">
        <v>60</v>
      </c>
      <c r="C2091" s="10" t="s">
        <v>15</v>
      </c>
      <c r="D2091" s="10" t="s">
        <v>16</v>
      </c>
      <c r="E2091" s="11" t="str">
        <f ca="1">IFERROR(__xludf.DUMMYFUNCTION("FILTER(Colegios!$B$2:$B2419,Colegios!$A$2:$A2419=L2091)"),"601514")</f>
        <v>601514</v>
      </c>
      <c r="F2091" s="11" t="s">
        <v>17</v>
      </c>
      <c r="G2091" s="10" t="s">
        <v>18</v>
      </c>
      <c r="H2091" s="11" t="s">
        <v>23</v>
      </c>
      <c r="I2091" s="11" t="s">
        <v>113</v>
      </c>
      <c r="J2091" s="12" t="str">
        <f ca="1">IFERROR(__xludf.DUMMYFUNCTION("FILTER('CLASFICACIÓN'!$F$3:$F2419,'CLASFICACIÓN'!$G$3:$G2419=M2091)"),"2023 Y 2024")</f>
        <v>2023 Y 2024</v>
      </c>
      <c r="K2091" s="12" t="s">
        <v>2012</v>
      </c>
      <c r="L2091" s="11" t="s">
        <v>140</v>
      </c>
      <c r="M2091" s="12" t="str">
        <f t="shared" ca="1" si="8"/>
        <v>6015144 Primaria</v>
      </c>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4"/>
    </row>
    <row r="2092" spans="1:36" ht="12.5" x14ac:dyDescent="0.25">
      <c r="A2092" s="9">
        <v>715</v>
      </c>
      <c r="B2092" s="10" t="s">
        <v>60</v>
      </c>
      <c r="C2092" s="10" t="s">
        <v>15</v>
      </c>
      <c r="D2092" s="10" t="s">
        <v>16</v>
      </c>
      <c r="E2092" s="11" t="str">
        <f ca="1">IFERROR(__xludf.DUMMYFUNCTION("FILTER(Colegios!$B$2:$B2419,Colegios!$A$2:$A2419=L2092)"),"601514")</f>
        <v>601514</v>
      </c>
      <c r="F2092" s="11" t="s">
        <v>17</v>
      </c>
      <c r="G2092" s="10" t="s">
        <v>18</v>
      </c>
      <c r="H2092" s="11" t="s">
        <v>23</v>
      </c>
      <c r="I2092" s="11" t="s">
        <v>113</v>
      </c>
      <c r="J2092" s="12" t="str">
        <f ca="1">IFERROR(__xludf.DUMMYFUNCTION("FILTER('CLASFICACIÓN'!$F$3:$F2419,'CLASFICACIÓN'!$G$3:$G2419=M2092)"),"2023 Y 2024")</f>
        <v>2023 Y 2024</v>
      </c>
      <c r="K2092" s="12" t="s">
        <v>2012</v>
      </c>
      <c r="L2092" s="11" t="s">
        <v>140</v>
      </c>
      <c r="M2092" s="12" t="str">
        <f t="shared" ca="1" si="8"/>
        <v>6015144 Primaria</v>
      </c>
      <c r="N2092" s="11"/>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1"/>
      <c r="AJ2092" s="14"/>
    </row>
    <row r="2093" spans="1:36" ht="12.5" x14ac:dyDescent="0.25">
      <c r="A2093" s="9">
        <v>716</v>
      </c>
      <c r="B2093" s="10" t="s">
        <v>60</v>
      </c>
      <c r="C2093" s="10" t="s">
        <v>15</v>
      </c>
      <c r="D2093" s="10" t="s">
        <v>16</v>
      </c>
      <c r="E2093" s="11" t="str">
        <f ca="1">IFERROR(__xludf.DUMMYFUNCTION("FILTER(Colegios!$B$2:$B2419,Colegios!$A$2:$A2419=L2093)"),"601514")</f>
        <v>601514</v>
      </c>
      <c r="F2093" s="11" t="s">
        <v>17</v>
      </c>
      <c r="G2093" s="10" t="s">
        <v>24</v>
      </c>
      <c r="H2093" s="11" t="s">
        <v>19</v>
      </c>
      <c r="I2093" s="11" t="s">
        <v>113</v>
      </c>
      <c r="J2093" s="12" t="str">
        <f ca="1">IFERROR(__xludf.DUMMYFUNCTION("FILTER('CLASFICACIÓN'!$F$3:$F2419,'CLASFICACIÓN'!$G$3:$G2419=M2093)"),"2023 Y 2024")</f>
        <v>2023 Y 2024</v>
      </c>
      <c r="K2093" s="12" t="s">
        <v>2012</v>
      </c>
      <c r="L2093" s="11" t="s">
        <v>140</v>
      </c>
      <c r="M2093" s="12" t="str">
        <f t="shared" ca="1" si="8"/>
        <v>6015144 Primaria</v>
      </c>
      <c r="N2093" s="11"/>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1"/>
      <c r="AJ2093" s="14"/>
    </row>
    <row r="2094" spans="1:36" ht="12.5" x14ac:dyDescent="0.25">
      <c r="A2094" s="9">
        <v>717</v>
      </c>
      <c r="B2094" s="10" t="s">
        <v>60</v>
      </c>
      <c r="C2094" s="10" t="s">
        <v>15</v>
      </c>
      <c r="D2094" s="10" t="s">
        <v>16</v>
      </c>
      <c r="E2094" s="11" t="str">
        <f ca="1">IFERROR(__xludf.DUMMYFUNCTION("FILTER(Colegios!$B$2:$B2419,Colegios!$A$2:$A2419=L2094)"),"601514")</f>
        <v>601514</v>
      </c>
      <c r="F2094" s="11" t="s">
        <v>17</v>
      </c>
      <c r="G2094" s="10" t="s">
        <v>18</v>
      </c>
      <c r="H2094" s="11" t="s">
        <v>19</v>
      </c>
      <c r="I2094" s="11" t="s">
        <v>113</v>
      </c>
      <c r="J2094" s="12" t="str">
        <f ca="1">IFERROR(__xludf.DUMMYFUNCTION("FILTER('CLASFICACIÓN'!$F$3:$F2419,'CLASFICACIÓN'!$G$3:$G2419=M2094)"),"2023 Y 2024")</f>
        <v>2023 Y 2024</v>
      </c>
      <c r="K2094" s="12" t="s">
        <v>2012</v>
      </c>
      <c r="L2094" s="11" t="s">
        <v>140</v>
      </c>
      <c r="M2094" s="12" t="str">
        <f t="shared" ca="1" si="8"/>
        <v>6015144 Primaria</v>
      </c>
      <c r="N2094" s="11"/>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1"/>
      <c r="AJ2094" s="14"/>
    </row>
    <row r="2095" spans="1:36" ht="12.5" x14ac:dyDescent="0.25">
      <c r="A2095" s="9">
        <v>718</v>
      </c>
      <c r="B2095" s="10" t="s">
        <v>60</v>
      </c>
      <c r="C2095" s="10" t="s">
        <v>15</v>
      </c>
      <c r="D2095" s="10" t="s">
        <v>16</v>
      </c>
      <c r="E2095" s="11" t="str">
        <f ca="1">IFERROR(__xludf.DUMMYFUNCTION("FILTER(Colegios!$B$2:$B2419,Colegios!$A$2:$A2419=L2095)"),"601514")</f>
        <v>601514</v>
      </c>
      <c r="F2095" s="11" t="s">
        <v>17</v>
      </c>
      <c r="G2095" s="10" t="s">
        <v>18</v>
      </c>
      <c r="H2095" s="11" t="s">
        <v>23</v>
      </c>
      <c r="I2095" s="11" t="s">
        <v>113</v>
      </c>
      <c r="J2095" s="12" t="str">
        <f ca="1">IFERROR(__xludf.DUMMYFUNCTION("FILTER('CLASFICACIÓN'!$F$3:$F2419,'CLASFICACIÓN'!$G$3:$G2419=M2095)"),"2023 Y 2024")</f>
        <v>2023 Y 2024</v>
      </c>
      <c r="K2095" s="12" t="s">
        <v>2012</v>
      </c>
      <c r="L2095" s="11" t="s">
        <v>140</v>
      </c>
      <c r="M2095" s="12" t="str">
        <f t="shared" ca="1" si="8"/>
        <v>6015144 Primaria</v>
      </c>
      <c r="N2095" s="11"/>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1"/>
      <c r="AJ2095" s="14"/>
    </row>
    <row r="2096" spans="1:36" ht="12.5" x14ac:dyDescent="0.25">
      <c r="A2096" s="9">
        <v>719</v>
      </c>
      <c r="B2096" s="10" t="s">
        <v>60</v>
      </c>
      <c r="C2096" s="10" t="s">
        <v>15</v>
      </c>
      <c r="D2096" s="10" t="s">
        <v>16</v>
      </c>
      <c r="E2096" s="11" t="str">
        <f ca="1">IFERROR(__xludf.DUMMYFUNCTION("FILTER(Colegios!$B$2:$B2419,Colegios!$A$2:$A2419=L2096)"),"601514")</f>
        <v>601514</v>
      </c>
      <c r="F2096" s="11" t="s">
        <v>17</v>
      </c>
      <c r="G2096" s="10" t="s">
        <v>24</v>
      </c>
      <c r="H2096" s="11" t="s">
        <v>23</v>
      </c>
      <c r="I2096" s="11" t="s">
        <v>113</v>
      </c>
      <c r="J2096" s="12" t="str">
        <f ca="1">IFERROR(__xludf.DUMMYFUNCTION("FILTER('CLASFICACIÓN'!$F$3:$F2419,'CLASFICACIÓN'!$G$3:$G2419=M2096)"),"2023 Y 2024")</f>
        <v>2023 Y 2024</v>
      </c>
      <c r="K2096" s="12" t="s">
        <v>2012</v>
      </c>
      <c r="L2096" s="11" t="s">
        <v>140</v>
      </c>
      <c r="M2096" s="12" t="str">
        <f t="shared" ca="1" si="8"/>
        <v>6015144 Primaria</v>
      </c>
      <c r="N2096" s="11"/>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1"/>
      <c r="AJ2096" s="14"/>
    </row>
    <row r="2097" spans="1:36" ht="12.5" x14ac:dyDescent="0.25">
      <c r="A2097" s="9">
        <v>720</v>
      </c>
      <c r="B2097" s="10" t="s">
        <v>60</v>
      </c>
      <c r="C2097" s="10" t="s">
        <v>15</v>
      </c>
      <c r="D2097" s="10" t="s">
        <v>16</v>
      </c>
      <c r="E2097" s="11" t="str">
        <f ca="1">IFERROR(__xludf.DUMMYFUNCTION("FILTER(Colegios!$B$2:$B2419,Colegios!$A$2:$A2419=L2097)"),"601514")</f>
        <v>601514</v>
      </c>
      <c r="F2097" s="11" t="s">
        <v>17</v>
      </c>
      <c r="G2097" s="10" t="s">
        <v>24</v>
      </c>
      <c r="H2097" s="11" t="s">
        <v>19</v>
      </c>
      <c r="I2097" s="11" t="s">
        <v>113</v>
      </c>
      <c r="J2097" s="12" t="str">
        <f ca="1">IFERROR(__xludf.DUMMYFUNCTION("FILTER('CLASFICACIÓN'!$F$3:$F2419,'CLASFICACIÓN'!$G$3:$G2419=M2097)"),"2023 Y 2024")</f>
        <v>2023 Y 2024</v>
      </c>
      <c r="K2097" s="12" t="s">
        <v>2012</v>
      </c>
      <c r="L2097" s="11" t="s">
        <v>140</v>
      </c>
      <c r="M2097" s="12" t="str">
        <f t="shared" ca="1" si="8"/>
        <v>6015144 Primaria</v>
      </c>
      <c r="N2097" s="11"/>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1"/>
      <c r="AJ2097" s="14"/>
    </row>
    <row r="2098" spans="1:36" ht="12.5" x14ac:dyDescent="0.25">
      <c r="A2098" s="9">
        <v>721</v>
      </c>
      <c r="B2098" s="10" t="s">
        <v>60</v>
      </c>
      <c r="C2098" s="10" t="s">
        <v>15</v>
      </c>
      <c r="D2098" s="10" t="s">
        <v>37</v>
      </c>
      <c r="E2098" s="11" t="str">
        <f ca="1">IFERROR(__xludf.DUMMYFUNCTION("FILTER(Colegios!$B$2:$B2419,Colegios!$A$2:$A2419=L2098)"),"601514")</f>
        <v>601514</v>
      </c>
      <c r="F2098" s="11" t="s">
        <v>17</v>
      </c>
      <c r="G2098" s="10" t="s">
        <v>24</v>
      </c>
      <c r="H2098" s="11" t="s">
        <v>19</v>
      </c>
      <c r="I2098" s="11" t="s">
        <v>113</v>
      </c>
      <c r="J2098" s="12" t="str">
        <f ca="1">IFERROR(__xludf.DUMMYFUNCTION("FILTER('CLASFICACIÓN'!$F$3:$F2419,'CLASFICACIÓN'!$G$3:$G2419=M2098)"),"2023 Y 2024")</f>
        <v>2023 Y 2024</v>
      </c>
      <c r="K2098" s="12" t="s">
        <v>2012</v>
      </c>
      <c r="L2098" s="11" t="s">
        <v>140</v>
      </c>
      <c r="M2098" s="12" t="str">
        <f t="shared" ca="1" si="8"/>
        <v>6015146 Primaria</v>
      </c>
      <c r="N2098" s="11"/>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4"/>
    </row>
    <row r="2099" spans="1:36" ht="12.5" x14ac:dyDescent="0.25">
      <c r="A2099" s="9">
        <v>722</v>
      </c>
      <c r="B2099" s="10" t="s">
        <v>60</v>
      </c>
      <c r="C2099" s="10" t="s">
        <v>15</v>
      </c>
      <c r="D2099" s="10" t="s">
        <v>37</v>
      </c>
      <c r="E2099" s="11" t="str">
        <f ca="1">IFERROR(__xludf.DUMMYFUNCTION("FILTER(Colegios!$B$2:$B2419,Colegios!$A$2:$A2419=L2099)"),"601514")</f>
        <v>601514</v>
      </c>
      <c r="F2099" s="11" t="s">
        <v>17</v>
      </c>
      <c r="G2099" s="10" t="s">
        <v>18</v>
      </c>
      <c r="H2099" s="11" t="s">
        <v>23</v>
      </c>
      <c r="I2099" s="11" t="s">
        <v>113</v>
      </c>
      <c r="J2099" s="12" t="str">
        <f ca="1">IFERROR(__xludf.DUMMYFUNCTION("FILTER('CLASFICACIÓN'!$F$3:$F2419,'CLASFICACIÓN'!$G$3:$G2419=M2099)"),"2023 Y 2024")</f>
        <v>2023 Y 2024</v>
      </c>
      <c r="K2099" s="12" t="s">
        <v>2012</v>
      </c>
      <c r="L2099" s="11" t="s">
        <v>140</v>
      </c>
      <c r="M2099" s="12" t="str">
        <f t="shared" ca="1" si="8"/>
        <v>6015146 Primaria</v>
      </c>
      <c r="N2099" s="11"/>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1"/>
      <c r="AJ2099" s="14"/>
    </row>
    <row r="2100" spans="1:36" ht="12.5" x14ac:dyDescent="0.25">
      <c r="A2100" s="9">
        <v>723</v>
      </c>
      <c r="B2100" s="10" t="s">
        <v>60</v>
      </c>
      <c r="C2100" s="10" t="s">
        <v>15</v>
      </c>
      <c r="D2100" s="10" t="s">
        <v>37</v>
      </c>
      <c r="E2100" s="11" t="str">
        <f ca="1">IFERROR(__xludf.DUMMYFUNCTION("FILTER(Colegios!$B$2:$B2419,Colegios!$A$2:$A2419=L2100)"),"601514")</f>
        <v>601514</v>
      </c>
      <c r="F2100" s="11" t="s">
        <v>17</v>
      </c>
      <c r="G2100" s="10" t="s">
        <v>18</v>
      </c>
      <c r="H2100" s="11" t="s">
        <v>23</v>
      </c>
      <c r="I2100" s="11" t="s">
        <v>113</v>
      </c>
      <c r="J2100" s="12" t="str">
        <f ca="1">IFERROR(__xludf.DUMMYFUNCTION("FILTER('CLASFICACIÓN'!$F$3:$F2419,'CLASFICACIÓN'!$G$3:$G2419=M2100)"),"2023 Y 2024")</f>
        <v>2023 Y 2024</v>
      </c>
      <c r="K2100" s="12" t="s">
        <v>2012</v>
      </c>
      <c r="L2100" s="11" t="s">
        <v>140</v>
      </c>
      <c r="M2100" s="12" t="str">
        <f t="shared" ca="1" si="8"/>
        <v>6015146 Primaria</v>
      </c>
      <c r="N2100" s="11"/>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1"/>
      <c r="AJ2100" s="14"/>
    </row>
    <row r="2101" spans="1:36" ht="12.5" x14ac:dyDescent="0.25">
      <c r="A2101" s="9">
        <v>724</v>
      </c>
      <c r="B2101" s="10" t="s">
        <v>60</v>
      </c>
      <c r="C2101" s="10" t="s">
        <v>15</v>
      </c>
      <c r="D2101" s="10" t="s">
        <v>37</v>
      </c>
      <c r="E2101" s="11" t="str">
        <f ca="1">IFERROR(__xludf.DUMMYFUNCTION("FILTER(Colegios!$B$2:$B2419,Colegios!$A$2:$A2419=L2101)"),"601514")</f>
        <v>601514</v>
      </c>
      <c r="F2101" s="11" t="s">
        <v>17</v>
      </c>
      <c r="G2101" s="10" t="s">
        <v>18</v>
      </c>
      <c r="H2101" s="11" t="s">
        <v>19</v>
      </c>
      <c r="I2101" s="11" t="s">
        <v>113</v>
      </c>
      <c r="J2101" s="12" t="str">
        <f ca="1">IFERROR(__xludf.DUMMYFUNCTION("FILTER('CLASFICACIÓN'!$F$3:$F2419,'CLASFICACIÓN'!$G$3:$G2419=M2101)"),"2023 Y 2024")</f>
        <v>2023 Y 2024</v>
      </c>
      <c r="K2101" s="12" t="s">
        <v>2012</v>
      </c>
      <c r="L2101" s="11" t="s">
        <v>140</v>
      </c>
      <c r="M2101" s="12" t="str">
        <f t="shared" ca="1" si="8"/>
        <v>6015146 Primaria</v>
      </c>
      <c r="N2101" s="11"/>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4"/>
    </row>
    <row r="2102" spans="1:36" ht="12.5" x14ac:dyDescent="0.25">
      <c r="A2102" s="9">
        <v>725</v>
      </c>
      <c r="B2102" s="10" t="s">
        <v>60</v>
      </c>
      <c r="C2102" s="10" t="s">
        <v>15</v>
      </c>
      <c r="D2102" s="10" t="s">
        <v>37</v>
      </c>
      <c r="E2102" s="11" t="str">
        <f ca="1">IFERROR(__xludf.DUMMYFUNCTION("FILTER(Colegios!$B$2:$B2419,Colegios!$A$2:$A2419=L2102)"),"601514")</f>
        <v>601514</v>
      </c>
      <c r="F2102" s="11" t="s">
        <v>17</v>
      </c>
      <c r="G2102" s="10" t="s">
        <v>18</v>
      </c>
      <c r="H2102" s="11" t="s">
        <v>19</v>
      </c>
      <c r="I2102" s="11" t="s">
        <v>113</v>
      </c>
      <c r="J2102" s="12" t="str">
        <f ca="1">IFERROR(__xludf.DUMMYFUNCTION("FILTER('CLASFICACIÓN'!$F$3:$F2419,'CLASFICACIÓN'!$G$3:$G2419=M2102)"),"2023 Y 2024")</f>
        <v>2023 Y 2024</v>
      </c>
      <c r="K2102" s="12" t="s">
        <v>2012</v>
      </c>
      <c r="L2102" s="11" t="s">
        <v>140</v>
      </c>
      <c r="M2102" s="12" t="str">
        <f t="shared" ca="1" si="8"/>
        <v>6015146 Primaria</v>
      </c>
      <c r="N2102" s="11"/>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1"/>
      <c r="AJ2102" s="14"/>
    </row>
    <row r="2103" spans="1:36" ht="12.5" x14ac:dyDescent="0.25">
      <c r="A2103" s="9">
        <v>726</v>
      </c>
      <c r="B2103" s="10" t="s">
        <v>60</v>
      </c>
      <c r="C2103" s="10" t="s">
        <v>15</v>
      </c>
      <c r="D2103" s="10" t="s">
        <v>37</v>
      </c>
      <c r="E2103" s="11" t="str">
        <f ca="1">IFERROR(__xludf.DUMMYFUNCTION("FILTER(Colegios!$B$2:$B2419,Colegios!$A$2:$A2419=L2103)"),"601514")</f>
        <v>601514</v>
      </c>
      <c r="F2103" s="11" t="s">
        <v>17</v>
      </c>
      <c r="G2103" s="10" t="s">
        <v>18</v>
      </c>
      <c r="H2103" s="11" t="s">
        <v>19</v>
      </c>
      <c r="I2103" s="11" t="s">
        <v>113</v>
      </c>
      <c r="J2103" s="12" t="str">
        <f ca="1">IFERROR(__xludf.DUMMYFUNCTION("FILTER('CLASFICACIÓN'!$F$3:$F2419,'CLASFICACIÓN'!$G$3:$G2419=M2103)"),"2023 Y 2024")</f>
        <v>2023 Y 2024</v>
      </c>
      <c r="K2103" s="12" t="s">
        <v>2012</v>
      </c>
      <c r="L2103" s="11" t="s">
        <v>140</v>
      </c>
      <c r="M2103" s="12" t="str">
        <f t="shared" ca="1" si="8"/>
        <v>6015146 Primaria</v>
      </c>
      <c r="N2103" s="11"/>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4"/>
    </row>
    <row r="2104" spans="1:36" ht="12.5" x14ac:dyDescent="0.25">
      <c r="A2104" s="9">
        <v>727</v>
      </c>
      <c r="B2104" s="10" t="s">
        <v>60</v>
      </c>
      <c r="C2104" s="10" t="s">
        <v>15</v>
      </c>
      <c r="D2104" s="10" t="s">
        <v>37</v>
      </c>
      <c r="E2104" s="11" t="str">
        <f ca="1">IFERROR(__xludf.DUMMYFUNCTION("FILTER(Colegios!$B$2:$B2419,Colegios!$A$2:$A2419=L2104)"),"601514")</f>
        <v>601514</v>
      </c>
      <c r="F2104" s="11" t="s">
        <v>17</v>
      </c>
      <c r="G2104" s="10" t="s">
        <v>18</v>
      </c>
      <c r="H2104" s="11" t="s">
        <v>19</v>
      </c>
      <c r="I2104" s="11" t="s">
        <v>113</v>
      </c>
      <c r="J2104" s="12" t="str">
        <f ca="1">IFERROR(__xludf.DUMMYFUNCTION("FILTER('CLASFICACIÓN'!$F$3:$F2419,'CLASFICACIÓN'!$G$3:$G2419=M2104)"),"2023 Y 2024")</f>
        <v>2023 Y 2024</v>
      </c>
      <c r="K2104" s="12" t="s">
        <v>2012</v>
      </c>
      <c r="L2104" s="11" t="s">
        <v>140</v>
      </c>
      <c r="M2104" s="12" t="str">
        <f t="shared" ca="1" si="8"/>
        <v>6015146 Primaria</v>
      </c>
      <c r="N2104" s="11"/>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1"/>
      <c r="AJ2104" s="14"/>
    </row>
    <row r="2105" spans="1:36" ht="12.5" x14ac:dyDescent="0.25">
      <c r="A2105" s="9">
        <v>728</v>
      </c>
      <c r="B2105" s="10" t="s">
        <v>60</v>
      </c>
      <c r="C2105" s="10" t="s">
        <v>15</v>
      </c>
      <c r="D2105" s="10" t="s">
        <v>37</v>
      </c>
      <c r="E2105" s="11" t="str">
        <f ca="1">IFERROR(__xludf.DUMMYFUNCTION("FILTER(Colegios!$B$2:$B2419,Colegios!$A$2:$A2419=L2105)"),"601514")</f>
        <v>601514</v>
      </c>
      <c r="F2105" s="11" t="s">
        <v>17</v>
      </c>
      <c r="G2105" s="10" t="s">
        <v>18</v>
      </c>
      <c r="H2105" s="11" t="s">
        <v>19</v>
      </c>
      <c r="I2105" s="11" t="s">
        <v>113</v>
      </c>
      <c r="J2105" s="12" t="str">
        <f ca="1">IFERROR(__xludf.DUMMYFUNCTION("FILTER('CLASFICACIÓN'!$F$3:$F2419,'CLASFICACIÓN'!$G$3:$G2419=M2105)"),"2023 Y 2024")</f>
        <v>2023 Y 2024</v>
      </c>
      <c r="K2105" s="12" t="s">
        <v>2012</v>
      </c>
      <c r="L2105" s="11" t="s">
        <v>140</v>
      </c>
      <c r="M2105" s="12" t="str">
        <f t="shared" ca="1" si="8"/>
        <v>6015146 Primaria</v>
      </c>
      <c r="N2105" s="11"/>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1"/>
      <c r="AJ2105" s="14"/>
    </row>
    <row r="2106" spans="1:36" ht="12.5" x14ac:dyDescent="0.25">
      <c r="A2106" s="9">
        <v>729</v>
      </c>
      <c r="B2106" s="10" t="s">
        <v>60</v>
      </c>
      <c r="C2106" s="10" t="s">
        <v>15</v>
      </c>
      <c r="D2106" s="10" t="s">
        <v>37</v>
      </c>
      <c r="E2106" s="11" t="str">
        <f ca="1">IFERROR(__xludf.DUMMYFUNCTION("FILTER(Colegios!$B$2:$B2419,Colegios!$A$2:$A2419=L2106)"),"601514")</f>
        <v>601514</v>
      </c>
      <c r="F2106" s="11" t="s">
        <v>17</v>
      </c>
      <c r="G2106" s="10" t="s">
        <v>24</v>
      </c>
      <c r="H2106" s="11" t="s">
        <v>19</v>
      </c>
      <c r="I2106" s="11" t="s">
        <v>113</v>
      </c>
      <c r="J2106" s="12" t="str">
        <f ca="1">IFERROR(__xludf.DUMMYFUNCTION("FILTER('CLASFICACIÓN'!$F$3:$F2419,'CLASFICACIÓN'!$G$3:$G2419=M2106)"),"2023 Y 2024")</f>
        <v>2023 Y 2024</v>
      </c>
      <c r="K2106" s="12" t="s">
        <v>2012</v>
      </c>
      <c r="L2106" s="11" t="s">
        <v>140</v>
      </c>
      <c r="M2106" s="12" t="str">
        <f t="shared" ca="1" si="8"/>
        <v>6015146 Primaria</v>
      </c>
      <c r="N2106" s="11"/>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1"/>
      <c r="AJ2106" s="14"/>
    </row>
    <row r="2107" spans="1:36" ht="12.5" x14ac:dyDescent="0.25">
      <c r="A2107" s="9">
        <v>730</v>
      </c>
      <c r="B2107" s="10" t="s">
        <v>60</v>
      </c>
      <c r="C2107" s="10" t="s">
        <v>15</v>
      </c>
      <c r="D2107" s="10" t="s">
        <v>45</v>
      </c>
      <c r="E2107" s="11" t="str">
        <f ca="1">IFERROR(__xludf.DUMMYFUNCTION("FILTER(Colegios!$B$2:$B2419,Colegios!$A$2:$A2419=L2107)"),"601331")</f>
        <v>601331</v>
      </c>
      <c r="F2107" s="11" t="s">
        <v>17</v>
      </c>
      <c r="G2107" s="10" t="s">
        <v>18</v>
      </c>
      <c r="H2107" s="11" t="s">
        <v>19</v>
      </c>
      <c r="I2107" s="11" t="s">
        <v>113</v>
      </c>
      <c r="J2107" s="12" t="str">
        <f ca="1">IFERROR(__xludf.DUMMYFUNCTION("FILTER('CLASFICACIÓN'!$F$3:$F2419,'CLASFICACIÓN'!$G$3:$G2419=M2107)"),"LOS 3 AÑOS")</f>
        <v>LOS 3 AÑOS</v>
      </c>
      <c r="K2107" s="12" t="s">
        <v>2012</v>
      </c>
      <c r="L2107" s="11" t="s">
        <v>91</v>
      </c>
      <c r="M2107" s="12" t="str">
        <f t="shared" ca="1" si="8"/>
        <v>6013312 Primaria</v>
      </c>
      <c r="N2107" s="11"/>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4"/>
    </row>
    <row r="2108" spans="1:36" ht="12.5" x14ac:dyDescent="0.25">
      <c r="A2108" s="9">
        <v>731</v>
      </c>
      <c r="B2108" s="10" t="s">
        <v>60</v>
      </c>
      <c r="C2108" s="10" t="s">
        <v>15</v>
      </c>
      <c r="D2108" s="10" t="s">
        <v>45</v>
      </c>
      <c r="E2108" s="11" t="str">
        <f ca="1">IFERROR(__xludf.DUMMYFUNCTION("FILTER(Colegios!$B$2:$B2419,Colegios!$A$2:$A2419=L2108)"),"601331")</f>
        <v>601331</v>
      </c>
      <c r="F2108" s="11" t="s">
        <v>17</v>
      </c>
      <c r="G2108" s="10" t="s">
        <v>18</v>
      </c>
      <c r="H2108" s="11" t="s">
        <v>23</v>
      </c>
      <c r="I2108" s="11" t="s">
        <v>113</v>
      </c>
      <c r="J2108" s="12" t="str">
        <f ca="1">IFERROR(__xludf.DUMMYFUNCTION("FILTER('CLASFICACIÓN'!$F$3:$F2419,'CLASFICACIÓN'!$G$3:$G2419=M2108)"),"LOS 3 AÑOS")</f>
        <v>LOS 3 AÑOS</v>
      </c>
      <c r="K2108" s="12" t="s">
        <v>2012</v>
      </c>
      <c r="L2108" s="11" t="s">
        <v>91</v>
      </c>
      <c r="M2108" s="12" t="str">
        <f t="shared" ca="1" si="8"/>
        <v>6013312 Primaria</v>
      </c>
      <c r="N2108" s="11"/>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1"/>
      <c r="AJ2108" s="14"/>
    </row>
    <row r="2109" spans="1:36" ht="12.5" x14ac:dyDescent="0.25">
      <c r="A2109" s="9">
        <v>732</v>
      </c>
      <c r="B2109" s="10" t="s">
        <v>60</v>
      </c>
      <c r="C2109" s="10" t="s">
        <v>15</v>
      </c>
      <c r="D2109" s="10" t="s">
        <v>45</v>
      </c>
      <c r="E2109" s="11" t="str">
        <f ca="1">IFERROR(__xludf.DUMMYFUNCTION("FILTER(Colegios!$B$2:$B2419,Colegios!$A$2:$A2419=L2109)"),"601331")</f>
        <v>601331</v>
      </c>
      <c r="F2109" s="11" t="s">
        <v>17</v>
      </c>
      <c r="G2109" s="10" t="s">
        <v>18</v>
      </c>
      <c r="H2109" s="11" t="s">
        <v>19</v>
      </c>
      <c r="I2109" s="11" t="s">
        <v>113</v>
      </c>
      <c r="J2109" s="12" t="str">
        <f ca="1">IFERROR(__xludf.DUMMYFUNCTION("FILTER('CLASFICACIÓN'!$F$3:$F2419,'CLASFICACIÓN'!$G$3:$G2419=M2109)"),"LOS 3 AÑOS")</f>
        <v>LOS 3 AÑOS</v>
      </c>
      <c r="K2109" s="12" t="s">
        <v>2012</v>
      </c>
      <c r="L2109" s="11" t="s">
        <v>91</v>
      </c>
      <c r="M2109" s="12" t="str">
        <f t="shared" ca="1" si="8"/>
        <v>6013312 Primaria</v>
      </c>
      <c r="N2109" s="11"/>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1"/>
      <c r="AJ2109" s="14"/>
    </row>
    <row r="2110" spans="1:36" ht="12.5" x14ac:dyDescent="0.25">
      <c r="A2110" s="9">
        <v>733</v>
      </c>
      <c r="B2110" s="10" t="s">
        <v>60</v>
      </c>
      <c r="C2110" s="10" t="s">
        <v>15</v>
      </c>
      <c r="D2110" s="10" t="s">
        <v>45</v>
      </c>
      <c r="E2110" s="11" t="str">
        <f ca="1">IFERROR(__xludf.DUMMYFUNCTION("FILTER(Colegios!$B$2:$B2419,Colegios!$A$2:$A2419=L2110)"),"601331")</f>
        <v>601331</v>
      </c>
      <c r="F2110" s="11" t="s">
        <v>17</v>
      </c>
      <c r="G2110" s="10" t="s">
        <v>24</v>
      </c>
      <c r="H2110" s="11" t="s">
        <v>19</v>
      </c>
      <c r="I2110" s="11" t="s">
        <v>113</v>
      </c>
      <c r="J2110" s="12" t="str">
        <f ca="1">IFERROR(__xludf.DUMMYFUNCTION("FILTER('CLASFICACIÓN'!$F$3:$F2419,'CLASFICACIÓN'!$G$3:$G2419=M2110)"),"LOS 3 AÑOS")</f>
        <v>LOS 3 AÑOS</v>
      </c>
      <c r="K2110" s="12" t="s">
        <v>2012</v>
      </c>
      <c r="L2110" s="11" t="s">
        <v>91</v>
      </c>
      <c r="M2110" s="12" t="str">
        <f t="shared" ca="1" si="8"/>
        <v>6013312 Primaria</v>
      </c>
      <c r="N2110" s="11"/>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4"/>
    </row>
    <row r="2111" spans="1:36" ht="12.5" x14ac:dyDescent="0.25">
      <c r="A2111" s="9">
        <v>734</v>
      </c>
      <c r="B2111" s="10" t="s">
        <v>60</v>
      </c>
      <c r="C2111" s="10" t="s">
        <v>15</v>
      </c>
      <c r="D2111" s="10" t="s">
        <v>45</v>
      </c>
      <c r="E2111" s="11" t="str">
        <f ca="1">IFERROR(__xludf.DUMMYFUNCTION("FILTER(Colegios!$B$2:$B2419,Colegios!$A$2:$A2419=L2111)"),"601331")</f>
        <v>601331</v>
      </c>
      <c r="F2111" s="11" t="s">
        <v>17</v>
      </c>
      <c r="G2111" s="10" t="s">
        <v>18</v>
      </c>
      <c r="H2111" s="11" t="s">
        <v>19</v>
      </c>
      <c r="I2111" s="11" t="s">
        <v>113</v>
      </c>
      <c r="J2111" s="12" t="str">
        <f ca="1">IFERROR(__xludf.DUMMYFUNCTION("FILTER('CLASFICACIÓN'!$F$3:$F2419,'CLASFICACIÓN'!$G$3:$G2419=M2111)"),"LOS 3 AÑOS")</f>
        <v>LOS 3 AÑOS</v>
      </c>
      <c r="K2111" s="12" t="s">
        <v>2012</v>
      </c>
      <c r="L2111" s="11" t="s">
        <v>91</v>
      </c>
      <c r="M2111" s="12" t="str">
        <f t="shared" ca="1" si="8"/>
        <v>6013312 Primaria</v>
      </c>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4"/>
    </row>
    <row r="2112" spans="1:36" ht="12.5" x14ac:dyDescent="0.25">
      <c r="A2112" s="9">
        <v>735</v>
      </c>
      <c r="B2112" s="10" t="s">
        <v>60</v>
      </c>
      <c r="C2112" s="10" t="s">
        <v>15</v>
      </c>
      <c r="D2112" s="10" t="s">
        <v>45</v>
      </c>
      <c r="E2112" s="11" t="str">
        <f ca="1">IFERROR(__xludf.DUMMYFUNCTION("FILTER(Colegios!$B$2:$B2419,Colegios!$A$2:$A2419=L2112)"),"601331")</f>
        <v>601331</v>
      </c>
      <c r="F2112" s="11" t="s">
        <v>17</v>
      </c>
      <c r="G2112" s="10" t="s">
        <v>24</v>
      </c>
      <c r="H2112" s="11" t="s">
        <v>19</v>
      </c>
      <c r="I2112" s="11" t="s">
        <v>113</v>
      </c>
      <c r="J2112" s="12" t="str">
        <f ca="1">IFERROR(__xludf.DUMMYFUNCTION("FILTER('CLASFICACIÓN'!$F$3:$F2419,'CLASFICACIÓN'!$G$3:$G2419=M2112)"),"LOS 3 AÑOS")</f>
        <v>LOS 3 AÑOS</v>
      </c>
      <c r="K2112" s="12" t="s">
        <v>2012</v>
      </c>
      <c r="L2112" s="11" t="s">
        <v>91</v>
      </c>
      <c r="M2112" s="12" t="str">
        <f t="shared" ca="1" si="8"/>
        <v>6013312 Primaria</v>
      </c>
      <c r="N2112" s="11"/>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4"/>
    </row>
    <row r="2113" spans="1:36" ht="12.5" x14ac:dyDescent="0.25">
      <c r="A2113" s="9">
        <v>736</v>
      </c>
      <c r="B2113" s="10" t="s">
        <v>60</v>
      </c>
      <c r="C2113" s="10" t="s">
        <v>15</v>
      </c>
      <c r="D2113" s="10" t="s">
        <v>45</v>
      </c>
      <c r="E2113" s="11" t="str">
        <f ca="1">IFERROR(__xludf.DUMMYFUNCTION("FILTER(Colegios!$B$2:$B2419,Colegios!$A$2:$A2419=L2113)"),"601331")</f>
        <v>601331</v>
      </c>
      <c r="F2113" s="11" t="s">
        <v>17</v>
      </c>
      <c r="G2113" s="10" t="s">
        <v>24</v>
      </c>
      <c r="H2113" s="11" t="s">
        <v>19</v>
      </c>
      <c r="I2113" s="11" t="s">
        <v>113</v>
      </c>
      <c r="J2113" s="12" t="str">
        <f ca="1">IFERROR(__xludf.DUMMYFUNCTION("FILTER('CLASFICACIÓN'!$F$3:$F2419,'CLASFICACIÓN'!$G$3:$G2419=M2113)"),"LOS 3 AÑOS")</f>
        <v>LOS 3 AÑOS</v>
      </c>
      <c r="K2113" s="12" t="s">
        <v>2012</v>
      </c>
      <c r="L2113" s="11" t="s">
        <v>91</v>
      </c>
      <c r="M2113" s="12" t="str">
        <f t="shared" ca="1" si="8"/>
        <v>6013312 Primaria</v>
      </c>
      <c r="N2113" s="11"/>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4"/>
    </row>
    <row r="2114" spans="1:36" ht="12.5" x14ac:dyDescent="0.25">
      <c r="A2114" s="9">
        <v>737</v>
      </c>
      <c r="B2114" s="10" t="s">
        <v>60</v>
      </c>
      <c r="C2114" s="10" t="s">
        <v>15</v>
      </c>
      <c r="D2114" s="10" t="s">
        <v>45</v>
      </c>
      <c r="E2114" s="11" t="str">
        <f ca="1">IFERROR(__xludf.DUMMYFUNCTION("FILTER(Colegios!$B$2:$B2419,Colegios!$A$2:$A2419=L2114)"),"601331")</f>
        <v>601331</v>
      </c>
      <c r="F2114" s="11" t="s">
        <v>17</v>
      </c>
      <c r="G2114" s="10" t="s">
        <v>18</v>
      </c>
      <c r="H2114" s="11" t="s">
        <v>19</v>
      </c>
      <c r="I2114" s="11" t="s">
        <v>113</v>
      </c>
      <c r="J2114" s="12" t="str">
        <f ca="1">IFERROR(__xludf.DUMMYFUNCTION("FILTER('CLASFICACIÓN'!$F$3:$F2419,'CLASFICACIÓN'!$G$3:$G2419=M2114)"),"LOS 3 AÑOS")</f>
        <v>LOS 3 AÑOS</v>
      </c>
      <c r="K2114" s="12" t="s">
        <v>2012</v>
      </c>
      <c r="L2114" s="11" t="s">
        <v>91</v>
      </c>
      <c r="M2114" s="12" t="str">
        <f t="shared" ca="1" si="8"/>
        <v>6013312 Primaria</v>
      </c>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4"/>
    </row>
    <row r="2115" spans="1:36" ht="12.5" x14ac:dyDescent="0.25">
      <c r="A2115" s="9">
        <v>738</v>
      </c>
      <c r="B2115" s="10" t="s">
        <v>60</v>
      </c>
      <c r="C2115" s="10" t="s">
        <v>15</v>
      </c>
      <c r="D2115" s="10" t="s">
        <v>45</v>
      </c>
      <c r="E2115" s="11" t="str">
        <f ca="1">IFERROR(__xludf.DUMMYFUNCTION("FILTER(Colegios!$B$2:$B2419,Colegios!$A$2:$A2419=L2115)"),"601331")</f>
        <v>601331</v>
      </c>
      <c r="F2115" s="11" t="s">
        <v>17</v>
      </c>
      <c r="G2115" s="10" t="s">
        <v>18</v>
      </c>
      <c r="H2115" s="11" t="s">
        <v>19</v>
      </c>
      <c r="I2115" s="11" t="s">
        <v>113</v>
      </c>
      <c r="J2115" s="12" t="str">
        <f ca="1">IFERROR(__xludf.DUMMYFUNCTION("FILTER('CLASFICACIÓN'!$F$3:$F2419,'CLASFICACIÓN'!$G$3:$G2419=M2115)"),"LOS 3 AÑOS")</f>
        <v>LOS 3 AÑOS</v>
      </c>
      <c r="K2115" s="12" t="s">
        <v>2012</v>
      </c>
      <c r="L2115" s="11" t="s">
        <v>91</v>
      </c>
      <c r="M2115" s="12" t="str">
        <f t="shared" ca="1" si="8"/>
        <v>6013312 Primaria</v>
      </c>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4"/>
    </row>
    <row r="2116" spans="1:36" ht="12.5" x14ac:dyDescent="0.25">
      <c r="A2116" s="9">
        <v>739</v>
      </c>
      <c r="B2116" s="10" t="s">
        <v>60</v>
      </c>
      <c r="C2116" s="10" t="s">
        <v>15</v>
      </c>
      <c r="D2116" s="10" t="s">
        <v>45</v>
      </c>
      <c r="E2116" s="11" t="str">
        <f ca="1">IFERROR(__xludf.DUMMYFUNCTION("FILTER(Colegios!$B$2:$B2419,Colegios!$A$2:$A2419=L2116)"),"601331")</f>
        <v>601331</v>
      </c>
      <c r="F2116" s="11" t="s">
        <v>17</v>
      </c>
      <c r="G2116" s="10" t="s">
        <v>24</v>
      </c>
      <c r="H2116" s="11" t="s">
        <v>19</v>
      </c>
      <c r="I2116" s="11" t="s">
        <v>113</v>
      </c>
      <c r="J2116" s="12" t="str">
        <f ca="1">IFERROR(__xludf.DUMMYFUNCTION("FILTER('CLASFICACIÓN'!$F$3:$F2419,'CLASFICACIÓN'!$G$3:$G2419=M2116)"),"LOS 3 AÑOS")</f>
        <v>LOS 3 AÑOS</v>
      </c>
      <c r="K2116" s="12" t="s">
        <v>2012</v>
      </c>
      <c r="L2116" s="11" t="s">
        <v>91</v>
      </c>
      <c r="M2116" s="12" t="str">
        <f t="shared" ca="1" si="8"/>
        <v>6013312 Primaria</v>
      </c>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4"/>
    </row>
    <row r="2117" spans="1:36" ht="12.5" x14ac:dyDescent="0.25">
      <c r="A2117" s="9">
        <v>740</v>
      </c>
      <c r="B2117" s="10" t="s">
        <v>60</v>
      </c>
      <c r="C2117" s="10" t="s">
        <v>15</v>
      </c>
      <c r="D2117" s="10" t="s">
        <v>45</v>
      </c>
      <c r="E2117" s="11" t="str">
        <f ca="1">IFERROR(__xludf.DUMMYFUNCTION("FILTER(Colegios!$B$2:$B2419,Colegios!$A$2:$A2419=L2117)"),"601331")</f>
        <v>601331</v>
      </c>
      <c r="F2117" s="11" t="s">
        <v>17</v>
      </c>
      <c r="G2117" s="10" t="s">
        <v>18</v>
      </c>
      <c r="H2117" s="11" t="s">
        <v>19</v>
      </c>
      <c r="I2117" s="11" t="s">
        <v>113</v>
      </c>
      <c r="J2117" s="12" t="str">
        <f ca="1">IFERROR(__xludf.DUMMYFUNCTION("FILTER('CLASFICACIÓN'!$F$3:$F2419,'CLASFICACIÓN'!$G$3:$G2419=M2117)"),"LOS 3 AÑOS")</f>
        <v>LOS 3 AÑOS</v>
      </c>
      <c r="K2117" s="12" t="s">
        <v>2012</v>
      </c>
      <c r="L2117" s="11" t="s">
        <v>91</v>
      </c>
      <c r="M2117" s="12" t="str">
        <f t="shared" ca="1" si="8"/>
        <v>6013312 Primaria</v>
      </c>
      <c r="N2117" s="11"/>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4"/>
    </row>
    <row r="2118" spans="1:36" ht="12.5" x14ac:dyDescent="0.25">
      <c r="A2118" s="9">
        <v>741</v>
      </c>
      <c r="B2118" s="10" t="s">
        <v>60</v>
      </c>
      <c r="C2118" s="10" t="s">
        <v>15</v>
      </c>
      <c r="D2118" s="10" t="s">
        <v>45</v>
      </c>
      <c r="E2118" s="11" t="str">
        <f ca="1">IFERROR(__xludf.DUMMYFUNCTION("FILTER(Colegios!$B$2:$B2419,Colegios!$A$2:$A2419=L2118)"),"601331")</f>
        <v>601331</v>
      </c>
      <c r="F2118" s="11" t="s">
        <v>17</v>
      </c>
      <c r="G2118" s="10" t="s">
        <v>24</v>
      </c>
      <c r="H2118" s="11" t="s">
        <v>19</v>
      </c>
      <c r="I2118" s="11" t="s">
        <v>113</v>
      </c>
      <c r="J2118" s="12" t="str">
        <f ca="1">IFERROR(__xludf.DUMMYFUNCTION("FILTER('CLASFICACIÓN'!$F$3:$F2419,'CLASFICACIÓN'!$G$3:$G2419=M2118)"),"LOS 3 AÑOS")</f>
        <v>LOS 3 AÑOS</v>
      </c>
      <c r="K2118" s="12" t="s">
        <v>2012</v>
      </c>
      <c r="L2118" s="11" t="s">
        <v>91</v>
      </c>
      <c r="M2118" s="12" t="str">
        <f t="shared" ca="1" si="8"/>
        <v>6013312 Primaria</v>
      </c>
      <c r="N2118" s="11"/>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4"/>
    </row>
    <row r="2119" spans="1:36" ht="12.5" x14ac:dyDescent="0.25">
      <c r="A2119" s="9">
        <v>742</v>
      </c>
      <c r="B2119" s="10" t="s">
        <v>60</v>
      </c>
      <c r="C2119" s="10" t="s">
        <v>15</v>
      </c>
      <c r="D2119" s="10" t="s">
        <v>45</v>
      </c>
      <c r="E2119" s="11" t="str">
        <f ca="1">IFERROR(__xludf.DUMMYFUNCTION("FILTER(Colegios!$B$2:$B2419,Colegios!$A$2:$A2419=L2119)"),"601331")</f>
        <v>601331</v>
      </c>
      <c r="F2119" s="11" t="s">
        <v>17</v>
      </c>
      <c r="G2119" s="10" t="s">
        <v>18</v>
      </c>
      <c r="H2119" s="11" t="s">
        <v>19</v>
      </c>
      <c r="I2119" s="11" t="s">
        <v>113</v>
      </c>
      <c r="J2119" s="12" t="str">
        <f ca="1">IFERROR(__xludf.DUMMYFUNCTION("FILTER('CLASFICACIÓN'!$F$3:$F2419,'CLASFICACIÓN'!$G$3:$G2419=M2119)"),"LOS 3 AÑOS")</f>
        <v>LOS 3 AÑOS</v>
      </c>
      <c r="K2119" s="12" t="s">
        <v>2012</v>
      </c>
      <c r="L2119" s="11" t="s">
        <v>91</v>
      </c>
      <c r="M2119" s="12" t="str">
        <f t="shared" ca="1" si="8"/>
        <v>6013312 Primaria</v>
      </c>
      <c r="N2119" s="11"/>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4"/>
    </row>
    <row r="2120" spans="1:36" ht="12.5" x14ac:dyDescent="0.25">
      <c r="A2120" s="9">
        <v>743</v>
      </c>
      <c r="B2120" s="10" t="s">
        <v>60</v>
      </c>
      <c r="C2120" s="10" t="s">
        <v>15</v>
      </c>
      <c r="D2120" s="10" t="s">
        <v>45</v>
      </c>
      <c r="E2120" s="11" t="str">
        <f ca="1">IFERROR(__xludf.DUMMYFUNCTION("FILTER(Colegios!$B$2:$B2419,Colegios!$A$2:$A2419=L2120)"),"601331")</f>
        <v>601331</v>
      </c>
      <c r="F2120" s="11" t="s">
        <v>17</v>
      </c>
      <c r="G2120" s="10" t="s">
        <v>18</v>
      </c>
      <c r="H2120" s="11" t="s">
        <v>19</v>
      </c>
      <c r="I2120" s="11" t="s">
        <v>113</v>
      </c>
      <c r="J2120" s="12" t="str">
        <f ca="1">IFERROR(__xludf.DUMMYFUNCTION("FILTER('CLASFICACIÓN'!$F$3:$F2419,'CLASFICACIÓN'!$G$3:$G2419=M2120)"),"LOS 3 AÑOS")</f>
        <v>LOS 3 AÑOS</v>
      </c>
      <c r="K2120" s="12" t="s">
        <v>2012</v>
      </c>
      <c r="L2120" s="11" t="s">
        <v>91</v>
      </c>
      <c r="M2120" s="12" t="str">
        <f t="shared" ca="1" si="8"/>
        <v>6013312 Primaria</v>
      </c>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4"/>
    </row>
    <row r="2121" spans="1:36" ht="12.5" x14ac:dyDescent="0.25">
      <c r="A2121" s="9">
        <v>744</v>
      </c>
      <c r="B2121" s="10" t="s">
        <v>60</v>
      </c>
      <c r="C2121" s="10" t="s">
        <v>15</v>
      </c>
      <c r="D2121" s="10" t="s">
        <v>45</v>
      </c>
      <c r="E2121" s="11" t="str">
        <f ca="1">IFERROR(__xludf.DUMMYFUNCTION("FILTER(Colegios!$B$2:$B2419,Colegios!$A$2:$A2419=L2121)"),"601331")</f>
        <v>601331</v>
      </c>
      <c r="F2121" s="11" t="s">
        <v>17</v>
      </c>
      <c r="G2121" s="10" t="s">
        <v>24</v>
      </c>
      <c r="H2121" s="11" t="s">
        <v>19</v>
      </c>
      <c r="I2121" s="11" t="s">
        <v>113</v>
      </c>
      <c r="J2121" s="12" t="str">
        <f ca="1">IFERROR(__xludf.DUMMYFUNCTION("FILTER('CLASFICACIÓN'!$F$3:$F2419,'CLASFICACIÓN'!$G$3:$G2419=M2121)"),"LOS 3 AÑOS")</f>
        <v>LOS 3 AÑOS</v>
      </c>
      <c r="K2121" s="12" t="s">
        <v>2012</v>
      </c>
      <c r="L2121" s="11" t="s">
        <v>91</v>
      </c>
      <c r="M2121" s="12" t="str">
        <f t="shared" ca="1" si="8"/>
        <v>6013312 Primaria</v>
      </c>
      <c r="N2121" s="11"/>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4"/>
    </row>
    <row r="2122" spans="1:36" ht="12.5" x14ac:dyDescent="0.25">
      <c r="A2122" s="9">
        <v>745</v>
      </c>
      <c r="B2122" s="10" t="s">
        <v>60</v>
      </c>
      <c r="C2122" s="10" t="s">
        <v>15</v>
      </c>
      <c r="D2122" s="10" t="s">
        <v>45</v>
      </c>
      <c r="E2122" s="11" t="str">
        <f ca="1">IFERROR(__xludf.DUMMYFUNCTION("FILTER(Colegios!$B$2:$B2419,Colegios!$A$2:$A2419=L2122)"),"601331")</f>
        <v>601331</v>
      </c>
      <c r="F2122" s="11" t="s">
        <v>17</v>
      </c>
      <c r="G2122" s="10" t="s">
        <v>24</v>
      </c>
      <c r="H2122" s="11" t="s">
        <v>19</v>
      </c>
      <c r="I2122" s="11" t="s">
        <v>113</v>
      </c>
      <c r="J2122" s="12" t="str">
        <f ca="1">IFERROR(__xludf.DUMMYFUNCTION("FILTER('CLASFICACIÓN'!$F$3:$F2419,'CLASFICACIÓN'!$G$3:$G2419=M2122)"),"LOS 3 AÑOS")</f>
        <v>LOS 3 AÑOS</v>
      </c>
      <c r="K2122" s="12" t="s">
        <v>2012</v>
      </c>
      <c r="L2122" s="11" t="s">
        <v>91</v>
      </c>
      <c r="M2122" s="12" t="str">
        <f t="shared" ca="1" si="8"/>
        <v>6013312 Primaria</v>
      </c>
      <c r="N2122" s="11"/>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4"/>
    </row>
    <row r="2123" spans="1:36" ht="12.5" x14ac:dyDescent="0.25">
      <c r="A2123" s="9">
        <v>746</v>
      </c>
      <c r="B2123" s="10" t="s">
        <v>60</v>
      </c>
      <c r="C2123" s="10" t="s">
        <v>15</v>
      </c>
      <c r="D2123" s="10" t="s">
        <v>45</v>
      </c>
      <c r="E2123" s="11" t="str">
        <f ca="1">IFERROR(__xludf.DUMMYFUNCTION("FILTER(Colegios!$B$2:$B2419,Colegios!$A$2:$A2419=L2123)"),"601331")</f>
        <v>601331</v>
      </c>
      <c r="F2123" s="11" t="s">
        <v>17</v>
      </c>
      <c r="G2123" s="10" t="s">
        <v>24</v>
      </c>
      <c r="H2123" s="11" t="s">
        <v>19</v>
      </c>
      <c r="I2123" s="11" t="s">
        <v>113</v>
      </c>
      <c r="J2123" s="12" t="str">
        <f ca="1">IFERROR(__xludf.DUMMYFUNCTION("FILTER('CLASFICACIÓN'!$F$3:$F2419,'CLASFICACIÓN'!$G$3:$G2419=M2123)"),"LOS 3 AÑOS")</f>
        <v>LOS 3 AÑOS</v>
      </c>
      <c r="K2123" s="12" t="s">
        <v>2012</v>
      </c>
      <c r="L2123" s="11" t="s">
        <v>91</v>
      </c>
      <c r="M2123" s="12" t="str">
        <f t="shared" ca="1" si="8"/>
        <v>6013312 Primaria</v>
      </c>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4"/>
    </row>
    <row r="2124" spans="1:36" ht="12.5" x14ac:dyDescent="0.25">
      <c r="A2124" s="9">
        <v>747</v>
      </c>
      <c r="B2124" s="10" t="s">
        <v>60</v>
      </c>
      <c r="C2124" s="10" t="s">
        <v>15</v>
      </c>
      <c r="D2124" s="10" t="s">
        <v>45</v>
      </c>
      <c r="E2124" s="11" t="str">
        <f ca="1">IFERROR(__xludf.DUMMYFUNCTION("FILTER(Colegios!$B$2:$B2419,Colegios!$A$2:$A2419=L2124)"),"601331")</f>
        <v>601331</v>
      </c>
      <c r="F2124" s="11" t="s">
        <v>17</v>
      </c>
      <c r="G2124" s="10" t="s">
        <v>18</v>
      </c>
      <c r="H2124" s="11" t="s">
        <v>19</v>
      </c>
      <c r="I2124" s="11" t="s">
        <v>113</v>
      </c>
      <c r="J2124" s="12" t="str">
        <f ca="1">IFERROR(__xludf.DUMMYFUNCTION("FILTER('CLASFICACIÓN'!$F$3:$F2419,'CLASFICACIÓN'!$G$3:$G2419=M2124)"),"LOS 3 AÑOS")</f>
        <v>LOS 3 AÑOS</v>
      </c>
      <c r="K2124" s="12" t="s">
        <v>2012</v>
      </c>
      <c r="L2124" s="11" t="s">
        <v>91</v>
      </c>
      <c r="M2124" s="12" t="str">
        <f t="shared" ca="1" si="8"/>
        <v>6013312 Primaria</v>
      </c>
      <c r="N2124" s="11"/>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4"/>
    </row>
    <row r="2125" spans="1:36" ht="12.5" x14ac:dyDescent="0.25">
      <c r="A2125" s="9">
        <v>748</v>
      </c>
      <c r="B2125" s="10" t="s">
        <v>60</v>
      </c>
      <c r="C2125" s="10" t="s">
        <v>15</v>
      </c>
      <c r="D2125" s="10" t="s">
        <v>45</v>
      </c>
      <c r="E2125" s="11" t="str">
        <f ca="1">IFERROR(__xludf.DUMMYFUNCTION("FILTER(Colegios!$B$2:$B2419,Colegios!$A$2:$A2419=L2125)"),"601331")</f>
        <v>601331</v>
      </c>
      <c r="F2125" s="11" t="s">
        <v>17</v>
      </c>
      <c r="G2125" s="10" t="s">
        <v>18</v>
      </c>
      <c r="H2125" s="11" t="s">
        <v>19</v>
      </c>
      <c r="I2125" s="11" t="s">
        <v>113</v>
      </c>
      <c r="J2125" s="12" t="str">
        <f ca="1">IFERROR(__xludf.DUMMYFUNCTION("FILTER('CLASFICACIÓN'!$F$3:$F2419,'CLASFICACIÓN'!$G$3:$G2419=M2125)"),"LOS 3 AÑOS")</f>
        <v>LOS 3 AÑOS</v>
      </c>
      <c r="K2125" s="12" t="s">
        <v>2012</v>
      </c>
      <c r="L2125" s="11" t="s">
        <v>91</v>
      </c>
      <c r="M2125" s="12" t="str">
        <f t="shared" ca="1" si="8"/>
        <v>6013312 Primaria</v>
      </c>
      <c r="N2125" s="11"/>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4"/>
    </row>
    <row r="2126" spans="1:36" ht="12.5" x14ac:dyDescent="0.25">
      <c r="A2126" s="9">
        <v>749</v>
      </c>
      <c r="B2126" s="10" t="s">
        <v>60</v>
      </c>
      <c r="C2126" s="10" t="s">
        <v>15</v>
      </c>
      <c r="D2126" s="10" t="s">
        <v>45</v>
      </c>
      <c r="E2126" s="11" t="str">
        <f ca="1">IFERROR(__xludf.DUMMYFUNCTION("FILTER(Colegios!$B$2:$B2419,Colegios!$A$2:$A2419=L2126)"),"601331")</f>
        <v>601331</v>
      </c>
      <c r="F2126" s="11" t="s">
        <v>17</v>
      </c>
      <c r="G2126" s="10" t="s">
        <v>18</v>
      </c>
      <c r="H2126" s="11" t="s">
        <v>19</v>
      </c>
      <c r="I2126" s="11" t="s">
        <v>113</v>
      </c>
      <c r="J2126" s="12" t="str">
        <f ca="1">IFERROR(__xludf.DUMMYFUNCTION("FILTER('CLASFICACIÓN'!$F$3:$F2419,'CLASFICACIÓN'!$G$3:$G2419=M2126)"),"LOS 3 AÑOS")</f>
        <v>LOS 3 AÑOS</v>
      </c>
      <c r="K2126" s="12" t="s">
        <v>2012</v>
      </c>
      <c r="L2126" s="11" t="s">
        <v>91</v>
      </c>
      <c r="M2126" s="12" t="str">
        <f t="shared" ca="1" si="8"/>
        <v>6013312 Primaria</v>
      </c>
      <c r="N2126" s="11"/>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4"/>
    </row>
    <row r="2127" spans="1:36" ht="12.5" x14ac:dyDescent="0.25">
      <c r="A2127" s="9">
        <v>750</v>
      </c>
      <c r="B2127" s="10" t="s">
        <v>60</v>
      </c>
      <c r="C2127" s="10" t="s">
        <v>15</v>
      </c>
      <c r="D2127" s="10" t="s">
        <v>45</v>
      </c>
      <c r="E2127" s="11" t="str">
        <f ca="1">IFERROR(__xludf.DUMMYFUNCTION("FILTER(Colegios!$B$2:$B2419,Colegios!$A$2:$A2419=L2127)"),"601331")</f>
        <v>601331</v>
      </c>
      <c r="F2127" s="11" t="s">
        <v>17</v>
      </c>
      <c r="G2127" s="10" t="s">
        <v>24</v>
      </c>
      <c r="H2127" s="11" t="s">
        <v>23</v>
      </c>
      <c r="I2127" s="11" t="s">
        <v>113</v>
      </c>
      <c r="J2127" s="12" t="str">
        <f ca="1">IFERROR(__xludf.DUMMYFUNCTION("FILTER('CLASFICACIÓN'!$F$3:$F2419,'CLASFICACIÓN'!$G$3:$G2419=M2127)"),"LOS 3 AÑOS")</f>
        <v>LOS 3 AÑOS</v>
      </c>
      <c r="K2127" s="12" t="s">
        <v>2012</v>
      </c>
      <c r="L2127" s="11" t="s">
        <v>91</v>
      </c>
      <c r="M2127" s="12" t="str">
        <f t="shared" ca="1" si="8"/>
        <v>6013312 Primaria</v>
      </c>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4"/>
    </row>
    <row r="2128" spans="1:36" ht="12.5" x14ac:dyDescent="0.25">
      <c r="A2128" s="9">
        <v>751</v>
      </c>
      <c r="B2128" s="10" t="s">
        <v>60</v>
      </c>
      <c r="C2128" s="10" t="s">
        <v>15</v>
      </c>
      <c r="D2128" s="10" t="s">
        <v>45</v>
      </c>
      <c r="E2128" s="11" t="str">
        <f ca="1">IFERROR(__xludf.DUMMYFUNCTION("FILTER(Colegios!$B$2:$B2419,Colegios!$A$2:$A2419=L2128)"),"601331")</f>
        <v>601331</v>
      </c>
      <c r="F2128" s="11" t="s">
        <v>17</v>
      </c>
      <c r="G2128" s="10" t="s">
        <v>18</v>
      </c>
      <c r="H2128" s="11" t="s">
        <v>19</v>
      </c>
      <c r="I2128" s="11" t="s">
        <v>113</v>
      </c>
      <c r="J2128" s="12" t="str">
        <f ca="1">IFERROR(__xludf.DUMMYFUNCTION("FILTER('CLASFICACIÓN'!$F$3:$F2419,'CLASFICACIÓN'!$G$3:$G2419=M2128)"),"LOS 3 AÑOS")</f>
        <v>LOS 3 AÑOS</v>
      </c>
      <c r="K2128" s="12" t="s">
        <v>2012</v>
      </c>
      <c r="L2128" s="11" t="s">
        <v>91</v>
      </c>
      <c r="M2128" s="12" t="str">
        <f t="shared" ca="1" si="8"/>
        <v>6013312 Primaria</v>
      </c>
      <c r="N2128" s="11"/>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4"/>
    </row>
    <row r="2129" spans="1:36" ht="12.5" x14ac:dyDescent="0.25">
      <c r="A2129" s="9">
        <v>752</v>
      </c>
      <c r="B2129" s="10" t="s">
        <v>60</v>
      </c>
      <c r="C2129" s="10" t="s">
        <v>15</v>
      </c>
      <c r="D2129" s="10" t="s">
        <v>16</v>
      </c>
      <c r="E2129" s="11" t="str">
        <f ca="1">IFERROR(__xludf.DUMMYFUNCTION("FILTER(Colegios!$B$2:$B2419,Colegios!$A$2:$A2419=L2129)"),"601331")</f>
        <v>601331</v>
      </c>
      <c r="F2129" s="11" t="s">
        <v>17</v>
      </c>
      <c r="G2129" s="10" t="s">
        <v>24</v>
      </c>
      <c r="H2129" s="11" t="s">
        <v>19</v>
      </c>
      <c r="I2129" s="11" t="s">
        <v>113</v>
      </c>
      <c r="J2129" s="12" t="str">
        <f ca="1">IFERROR(__xludf.DUMMYFUNCTION("FILTER('CLASFICACIÓN'!$F$3:$F2419,'CLASFICACIÓN'!$G$3:$G2419=M2129)"),"LOS 3 AÑOS")</f>
        <v>LOS 3 AÑOS</v>
      </c>
      <c r="K2129" s="12" t="s">
        <v>2012</v>
      </c>
      <c r="L2129" s="11" t="s">
        <v>91</v>
      </c>
      <c r="M2129" s="12" t="str">
        <f t="shared" ca="1" si="8"/>
        <v>6013314 Primaria</v>
      </c>
      <c r="N2129" s="11"/>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4"/>
    </row>
    <row r="2130" spans="1:36" ht="12.5" x14ac:dyDescent="0.25">
      <c r="A2130" s="9">
        <v>753</v>
      </c>
      <c r="B2130" s="10" t="s">
        <v>60</v>
      </c>
      <c r="C2130" s="10" t="s">
        <v>15</v>
      </c>
      <c r="D2130" s="10" t="s">
        <v>16</v>
      </c>
      <c r="E2130" s="11" t="str">
        <f ca="1">IFERROR(__xludf.DUMMYFUNCTION("FILTER(Colegios!$B$2:$B2419,Colegios!$A$2:$A2419=L2130)"),"601331")</f>
        <v>601331</v>
      </c>
      <c r="F2130" s="11" t="s">
        <v>17</v>
      </c>
      <c r="G2130" s="10" t="s">
        <v>24</v>
      </c>
      <c r="H2130" s="11" t="s">
        <v>19</v>
      </c>
      <c r="I2130" s="11" t="s">
        <v>113</v>
      </c>
      <c r="J2130" s="12" t="str">
        <f ca="1">IFERROR(__xludf.DUMMYFUNCTION("FILTER('CLASFICACIÓN'!$F$3:$F2419,'CLASFICACIÓN'!$G$3:$G2419=M2130)"),"LOS 3 AÑOS")</f>
        <v>LOS 3 AÑOS</v>
      </c>
      <c r="K2130" s="12" t="s">
        <v>2012</v>
      </c>
      <c r="L2130" s="11" t="s">
        <v>91</v>
      </c>
      <c r="M2130" s="12" t="str">
        <f t="shared" ca="1" si="8"/>
        <v>6013314 Primaria</v>
      </c>
      <c r="N2130" s="11"/>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4"/>
    </row>
    <row r="2131" spans="1:36" ht="12.5" x14ac:dyDescent="0.25">
      <c r="A2131" s="9">
        <v>754</v>
      </c>
      <c r="B2131" s="10" t="s">
        <v>60</v>
      </c>
      <c r="C2131" s="10" t="s">
        <v>15</v>
      </c>
      <c r="D2131" s="10" t="s">
        <v>16</v>
      </c>
      <c r="E2131" s="11" t="str">
        <f ca="1">IFERROR(__xludf.DUMMYFUNCTION("FILTER(Colegios!$B$2:$B2419,Colegios!$A$2:$A2419=L2131)"),"601331")</f>
        <v>601331</v>
      </c>
      <c r="F2131" s="11" t="s">
        <v>17</v>
      </c>
      <c r="G2131" s="10" t="s">
        <v>24</v>
      </c>
      <c r="H2131" s="11" t="s">
        <v>19</v>
      </c>
      <c r="I2131" s="11" t="s">
        <v>113</v>
      </c>
      <c r="J2131" s="12" t="str">
        <f ca="1">IFERROR(__xludf.DUMMYFUNCTION("FILTER('CLASFICACIÓN'!$F$3:$F2419,'CLASFICACIÓN'!$G$3:$G2419=M2131)"),"LOS 3 AÑOS")</f>
        <v>LOS 3 AÑOS</v>
      </c>
      <c r="K2131" s="12" t="s">
        <v>2012</v>
      </c>
      <c r="L2131" s="11" t="s">
        <v>91</v>
      </c>
      <c r="M2131" s="12" t="str">
        <f t="shared" ca="1" si="8"/>
        <v>6013314 Primaria</v>
      </c>
      <c r="N2131" s="11"/>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4"/>
    </row>
    <row r="2132" spans="1:36" ht="12.5" x14ac:dyDescent="0.25">
      <c r="A2132" s="9">
        <v>755</v>
      </c>
      <c r="B2132" s="10" t="s">
        <v>60</v>
      </c>
      <c r="C2132" s="10" t="s">
        <v>15</v>
      </c>
      <c r="D2132" s="10" t="s">
        <v>16</v>
      </c>
      <c r="E2132" s="11" t="str">
        <f ca="1">IFERROR(__xludf.DUMMYFUNCTION("FILTER(Colegios!$B$2:$B2419,Colegios!$A$2:$A2419=L2132)"),"601331")</f>
        <v>601331</v>
      </c>
      <c r="F2132" s="11" t="s">
        <v>17</v>
      </c>
      <c r="G2132" s="10" t="s">
        <v>18</v>
      </c>
      <c r="H2132" s="11" t="s">
        <v>19</v>
      </c>
      <c r="I2132" s="11" t="s">
        <v>113</v>
      </c>
      <c r="J2132" s="12" t="str">
        <f ca="1">IFERROR(__xludf.DUMMYFUNCTION("FILTER('CLASFICACIÓN'!$F$3:$F2419,'CLASFICACIÓN'!$G$3:$G2419=M2132)"),"LOS 3 AÑOS")</f>
        <v>LOS 3 AÑOS</v>
      </c>
      <c r="K2132" s="12" t="s">
        <v>2012</v>
      </c>
      <c r="L2132" s="11" t="s">
        <v>91</v>
      </c>
      <c r="M2132" s="12" t="str">
        <f t="shared" ca="1" si="8"/>
        <v>6013314 Primaria</v>
      </c>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4"/>
    </row>
    <row r="2133" spans="1:36" ht="12.5" x14ac:dyDescent="0.25">
      <c r="A2133" s="9">
        <v>756</v>
      </c>
      <c r="B2133" s="10" t="s">
        <v>60</v>
      </c>
      <c r="C2133" s="10" t="s">
        <v>15</v>
      </c>
      <c r="D2133" s="10" t="s">
        <v>16</v>
      </c>
      <c r="E2133" s="11" t="str">
        <f ca="1">IFERROR(__xludf.DUMMYFUNCTION("FILTER(Colegios!$B$2:$B2419,Colegios!$A$2:$A2419=L2133)"),"601331")</f>
        <v>601331</v>
      </c>
      <c r="F2133" s="11" t="s">
        <v>17</v>
      </c>
      <c r="G2133" s="10" t="s">
        <v>18</v>
      </c>
      <c r="H2133" s="11" t="s">
        <v>19</v>
      </c>
      <c r="I2133" s="11" t="s">
        <v>113</v>
      </c>
      <c r="J2133" s="12" t="str">
        <f ca="1">IFERROR(__xludf.DUMMYFUNCTION("FILTER('CLASFICACIÓN'!$F$3:$F2419,'CLASFICACIÓN'!$G$3:$G2419=M2133)"),"LOS 3 AÑOS")</f>
        <v>LOS 3 AÑOS</v>
      </c>
      <c r="K2133" s="12" t="s">
        <v>2012</v>
      </c>
      <c r="L2133" s="11" t="s">
        <v>91</v>
      </c>
      <c r="M2133" s="12" t="str">
        <f t="shared" ca="1" si="8"/>
        <v>6013314 Primaria</v>
      </c>
      <c r="N2133" s="11"/>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4"/>
    </row>
    <row r="2134" spans="1:36" ht="12.5" x14ac:dyDescent="0.25">
      <c r="A2134" s="9">
        <v>757</v>
      </c>
      <c r="B2134" s="10" t="s">
        <v>60</v>
      </c>
      <c r="C2134" s="10" t="s">
        <v>15</v>
      </c>
      <c r="D2134" s="10" t="s">
        <v>16</v>
      </c>
      <c r="E2134" s="11" t="str">
        <f ca="1">IFERROR(__xludf.DUMMYFUNCTION("FILTER(Colegios!$B$2:$B2419,Colegios!$A$2:$A2419=L2134)"),"601331")</f>
        <v>601331</v>
      </c>
      <c r="F2134" s="11" t="s">
        <v>17</v>
      </c>
      <c r="G2134" s="10" t="s">
        <v>24</v>
      </c>
      <c r="H2134" s="11" t="s">
        <v>19</v>
      </c>
      <c r="I2134" s="11" t="s">
        <v>113</v>
      </c>
      <c r="J2134" s="12" t="str">
        <f ca="1">IFERROR(__xludf.DUMMYFUNCTION("FILTER('CLASFICACIÓN'!$F$3:$F2419,'CLASFICACIÓN'!$G$3:$G2419=M2134)"),"LOS 3 AÑOS")</f>
        <v>LOS 3 AÑOS</v>
      </c>
      <c r="K2134" s="12" t="s">
        <v>2012</v>
      </c>
      <c r="L2134" s="11" t="s">
        <v>91</v>
      </c>
      <c r="M2134" s="12" t="str">
        <f t="shared" ca="1" si="8"/>
        <v>6013314 Primaria</v>
      </c>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4"/>
    </row>
    <row r="2135" spans="1:36" ht="12.5" x14ac:dyDescent="0.25">
      <c r="A2135" s="9">
        <v>758</v>
      </c>
      <c r="B2135" s="10" t="s">
        <v>60</v>
      </c>
      <c r="C2135" s="10" t="s">
        <v>15</v>
      </c>
      <c r="D2135" s="10" t="s">
        <v>16</v>
      </c>
      <c r="E2135" s="11" t="str">
        <f ca="1">IFERROR(__xludf.DUMMYFUNCTION("FILTER(Colegios!$B$2:$B2419,Colegios!$A$2:$A2419=L2135)"),"601331")</f>
        <v>601331</v>
      </c>
      <c r="F2135" s="11" t="s">
        <v>17</v>
      </c>
      <c r="G2135" s="10" t="s">
        <v>18</v>
      </c>
      <c r="H2135" s="11" t="s">
        <v>23</v>
      </c>
      <c r="I2135" s="11" t="s">
        <v>113</v>
      </c>
      <c r="J2135" s="12" t="str">
        <f ca="1">IFERROR(__xludf.DUMMYFUNCTION("FILTER('CLASFICACIÓN'!$F$3:$F2419,'CLASFICACIÓN'!$G$3:$G2419=M2135)"),"LOS 3 AÑOS")</f>
        <v>LOS 3 AÑOS</v>
      </c>
      <c r="K2135" s="12" t="s">
        <v>2012</v>
      </c>
      <c r="L2135" s="11" t="s">
        <v>91</v>
      </c>
      <c r="M2135" s="12" t="str">
        <f t="shared" ca="1" si="8"/>
        <v>6013314 Primaria</v>
      </c>
      <c r="N2135" s="11"/>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4"/>
    </row>
    <row r="2136" spans="1:36" ht="12.5" x14ac:dyDescent="0.25">
      <c r="A2136" s="9">
        <v>759</v>
      </c>
      <c r="B2136" s="10" t="s">
        <v>60</v>
      </c>
      <c r="C2136" s="10" t="s">
        <v>15</v>
      </c>
      <c r="D2136" s="10" t="s">
        <v>16</v>
      </c>
      <c r="E2136" s="11" t="str">
        <f ca="1">IFERROR(__xludf.DUMMYFUNCTION("FILTER(Colegios!$B$2:$B2419,Colegios!$A$2:$A2419=L2136)"),"601331")</f>
        <v>601331</v>
      </c>
      <c r="F2136" s="11" t="s">
        <v>17</v>
      </c>
      <c r="G2136" s="10" t="s">
        <v>18</v>
      </c>
      <c r="H2136" s="11" t="s">
        <v>19</v>
      </c>
      <c r="I2136" s="11" t="s">
        <v>113</v>
      </c>
      <c r="J2136" s="12" t="str">
        <f ca="1">IFERROR(__xludf.DUMMYFUNCTION("FILTER('CLASFICACIÓN'!$F$3:$F2419,'CLASFICACIÓN'!$G$3:$G2419=M2136)"),"LOS 3 AÑOS")</f>
        <v>LOS 3 AÑOS</v>
      </c>
      <c r="K2136" s="12" t="s">
        <v>2012</v>
      </c>
      <c r="L2136" s="11" t="s">
        <v>91</v>
      </c>
      <c r="M2136" s="12" t="str">
        <f t="shared" ca="1" si="8"/>
        <v>6013314 Primaria</v>
      </c>
      <c r="N2136" s="11"/>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1"/>
      <c r="AJ2136" s="14"/>
    </row>
    <row r="2137" spans="1:36" ht="12.5" x14ac:dyDescent="0.25">
      <c r="A2137" s="9">
        <v>760</v>
      </c>
      <c r="B2137" s="10" t="s">
        <v>60</v>
      </c>
      <c r="C2137" s="10" t="s">
        <v>15</v>
      </c>
      <c r="D2137" s="10" t="s">
        <v>16</v>
      </c>
      <c r="E2137" s="11" t="str">
        <f ca="1">IFERROR(__xludf.DUMMYFUNCTION("FILTER(Colegios!$B$2:$B2419,Colegios!$A$2:$A2419=L2137)"),"601331")</f>
        <v>601331</v>
      </c>
      <c r="F2137" s="11" t="s">
        <v>17</v>
      </c>
      <c r="G2137" s="10" t="s">
        <v>18</v>
      </c>
      <c r="H2137" s="11" t="s">
        <v>19</v>
      </c>
      <c r="I2137" s="11" t="s">
        <v>113</v>
      </c>
      <c r="J2137" s="12" t="str">
        <f ca="1">IFERROR(__xludf.DUMMYFUNCTION("FILTER('CLASFICACIÓN'!$F$3:$F2419,'CLASFICACIÓN'!$G$3:$G2419=M2137)"),"LOS 3 AÑOS")</f>
        <v>LOS 3 AÑOS</v>
      </c>
      <c r="K2137" s="12" t="s">
        <v>2012</v>
      </c>
      <c r="L2137" s="11" t="s">
        <v>91</v>
      </c>
      <c r="M2137" s="12" t="str">
        <f t="shared" ca="1" si="8"/>
        <v>6013314 Primaria</v>
      </c>
      <c r="N2137" s="11"/>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1"/>
      <c r="AJ2137" s="14"/>
    </row>
    <row r="2138" spans="1:36" ht="12.5" x14ac:dyDescent="0.25">
      <c r="A2138" s="9">
        <v>761</v>
      </c>
      <c r="B2138" s="10" t="s">
        <v>60</v>
      </c>
      <c r="C2138" s="10" t="s">
        <v>15</v>
      </c>
      <c r="D2138" s="10" t="s">
        <v>16</v>
      </c>
      <c r="E2138" s="11" t="str">
        <f ca="1">IFERROR(__xludf.DUMMYFUNCTION("FILTER(Colegios!$B$2:$B2419,Colegios!$A$2:$A2419=L2138)"),"601331")</f>
        <v>601331</v>
      </c>
      <c r="F2138" s="11" t="s">
        <v>17</v>
      </c>
      <c r="G2138" s="10" t="s">
        <v>24</v>
      </c>
      <c r="H2138" s="11" t="s">
        <v>19</v>
      </c>
      <c r="I2138" s="11" t="s">
        <v>113</v>
      </c>
      <c r="J2138" s="12" t="str">
        <f ca="1">IFERROR(__xludf.DUMMYFUNCTION("FILTER('CLASFICACIÓN'!$F$3:$F2419,'CLASFICACIÓN'!$G$3:$G2419=M2138)"),"LOS 3 AÑOS")</f>
        <v>LOS 3 AÑOS</v>
      </c>
      <c r="K2138" s="12" t="s">
        <v>2012</v>
      </c>
      <c r="L2138" s="11" t="s">
        <v>91</v>
      </c>
      <c r="M2138" s="12" t="str">
        <f t="shared" ca="1" si="8"/>
        <v>6013314 Primaria</v>
      </c>
      <c r="N2138" s="11"/>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4"/>
    </row>
    <row r="2139" spans="1:36" ht="12.5" x14ac:dyDescent="0.25">
      <c r="A2139" s="9">
        <v>762</v>
      </c>
      <c r="B2139" s="10" t="s">
        <v>60</v>
      </c>
      <c r="C2139" s="10" t="s">
        <v>15</v>
      </c>
      <c r="D2139" s="10" t="s">
        <v>16</v>
      </c>
      <c r="E2139" s="11" t="str">
        <f ca="1">IFERROR(__xludf.DUMMYFUNCTION("FILTER(Colegios!$B$2:$B2419,Colegios!$A$2:$A2419=L2139)"),"601331")</f>
        <v>601331</v>
      </c>
      <c r="F2139" s="11" t="s">
        <v>17</v>
      </c>
      <c r="G2139" s="10" t="s">
        <v>24</v>
      </c>
      <c r="H2139" s="11" t="s">
        <v>19</v>
      </c>
      <c r="I2139" s="11" t="s">
        <v>113</v>
      </c>
      <c r="J2139" s="12" t="str">
        <f ca="1">IFERROR(__xludf.DUMMYFUNCTION("FILTER('CLASFICACIÓN'!$F$3:$F2419,'CLASFICACIÓN'!$G$3:$G2419=M2139)"),"LOS 3 AÑOS")</f>
        <v>LOS 3 AÑOS</v>
      </c>
      <c r="K2139" s="12" t="s">
        <v>2012</v>
      </c>
      <c r="L2139" s="11" t="s">
        <v>91</v>
      </c>
      <c r="M2139" s="12" t="str">
        <f t="shared" ca="1" si="8"/>
        <v>6013314 Primaria</v>
      </c>
      <c r="N2139" s="11"/>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4"/>
    </row>
    <row r="2140" spans="1:36" ht="12.5" x14ac:dyDescent="0.25">
      <c r="A2140" s="9">
        <v>763</v>
      </c>
      <c r="B2140" s="10" t="s">
        <v>60</v>
      </c>
      <c r="C2140" s="10" t="s">
        <v>15</v>
      </c>
      <c r="D2140" s="10" t="s">
        <v>16</v>
      </c>
      <c r="E2140" s="11" t="str">
        <f ca="1">IFERROR(__xludf.DUMMYFUNCTION("FILTER(Colegios!$B$2:$B2419,Colegios!$A$2:$A2419=L2140)"),"601331")</f>
        <v>601331</v>
      </c>
      <c r="F2140" s="11" t="s">
        <v>17</v>
      </c>
      <c r="G2140" s="10" t="s">
        <v>18</v>
      </c>
      <c r="H2140" s="11" t="s">
        <v>19</v>
      </c>
      <c r="I2140" s="11" t="s">
        <v>113</v>
      </c>
      <c r="J2140" s="12" t="str">
        <f ca="1">IFERROR(__xludf.DUMMYFUNCTION("FILTER('CLASFICACIÓN'!$F$3:$F2419,'CLASFICACIÓN'!$G$3:$G2419=M2140)"),"LOS 3 AÑOS")</f>
        <v>LOS 3 AÑOS</v>
      </c>
      <c r="K2140" s="12" t="s">
        <v>2012</v>
      </c>
      <c r="L2140" s="11" t="s">
        <v>91</v>
      </c>
      <c r="M2140" s="12" t="str">
        <f t="shared" ca="1" si="8"/>
        <v>6013314 Primaria</v>
      </c>
      <c r="N2140" s="11"/>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4"/>
    </row>
    <row r="2141" spans="1:36" ht="12.5" x14ac:dyDescent="0.25">
      <c r="A2141" s="9">
        <v>764</v>
      </c>
      <c r="B2141" s="10" t="s">
        <v>60</v>
      </c>
      <c r="C2141" s="10" t="s">
        <v>15</v>
      </c>
      <c r="D2141" s="10" t="s">
        <v>16</v>
      </c>
      <c r="E2141" s="11" t="str">
        <f ca="1">IFERROR(__xludf.DUMMYFUNCTION("FILTER(Colegios!$B$2:$B2419,Colegios!$A$2:$A2419=L2141)"),"601331")</f>
        <v>601331</v>
      </c>
      <c r="F2141" s="11" t="s">
        <v>17</v>
      </c>
      <c r="G2141" s="10" t="s">
        <v>24</v>
      </c>
      <c r="H2141" s="11" t="s">
        <v>19</v>
      </c>
      <c r="I2141" s="11" t="s">
        <v>113</v>
      </c>
      <c r="J2141" s="12" t="str">
        <f ca="1">IFERROR(__xludf.DUMMYFUNCTION("FILTER('CLASFICACIÓN'!$F$3:$F2419,'CLASFICACIÓN'!$G$3:$G2419=M2141)"),"LOS 3 AÑOS")</f>
        <v>LOS 3 AÑOS</v>
      </c>
      <c r="K2141" s="12" t="s">
        <v>2012</v>
      </c>
      <c r="L2141" s="11" t="s">
        <v>91</v>
      </c>
      <c r="M2141" s="12" t="str">
        <f t="shared" ca="1" si="8"/>
        <v>6013314 Primaria</v>
      </c>
      <c r="N2141" s="11"/>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1"/>
      <c r="AJ2141" s="14"/>
    </row>
    <row r="2142" spans="1:36" ht="12.5" x14ac:dyDescent="0.25">
      <c r="A2142" s="9">
        <v>765</v>
      </c>
      <c r="B2142" s="10" t="s">
        <v>60</v>
      </c>
      <c r="C2142" s="10" t="s">
        <v>15</v>
      </c>
      <c r="D2142" s="10" t="s">
        <v>37</v>
      </c>
      <c r="E2142" s="11" t="str">
        <f ca="1">IFERROR(__xludf.DUMMYFUNCTION("FILTER(Colegios!$B$2:$B2419,Colegios!$A$2:$A2419=L2142)"),"601331")</f>
        <v>601331</v>
      </c>
      <c r="F2142" s="11" t="s">
        <v>17</v>
      </c>
      <c r="G2142" s="10" t="s">
        <v>24</v>
      </c>
      <c r="H2142" s="11" t="s">
        <v>19</v>
      </c>
      <c r="I2142" s="11" t="s">
        <v>113</v>
      </c>
      <c r="J2142" s="12" t="str">
        <f ca="1">IFERROR(__xludf.DUMMYFUNCTION("FILTER('CLASFICACIÓN'!$F$3:$F2419,'CLASFICACIÓN'!$G$3:$G2419=M2142)"),"LOS 3 AÑOS")</f>
        <v>LOS 3 AÑOS</v>
      </c>
      <c r="K2142" s="12" t="s">
        <v>2012</v>
      </c>
      <c r="L2142" s="11" t="s">
        <v>91</v>
      </c>
      <c r="M2142" s="12" t="str">
        <f t="shared" ca="1" si="8"/>
        <v>6013316 Primaria</v>
      </c>
      <c r="N2142" s="11"/>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1"/>
      <c r="AJ2142" s="14"/>
    </row>
    <row r="2143" spans="1:36" ht="12.5" x14ac:dyDescent="0.25">
      <c r="A2143" s="9">
        <v>766</v>
      </c>
      <c r="B2143" s="10" t="s">
        <v>60</v>
      </c>
      <c r="C2143" s="10" t="s">
        <v>15</v>
      </c>
      <c r="D2143" s="10" t="s">
        <v>37</v>
      </c>
      <c r="E2143" s="11" t="str">
        <f ca="1">IFERROR(__xludf.DUMMYFUNCTION("FILTER(Colegios!$B$2:$B2419,Colegios!$A$2:$A2419=L2143)"),"601331")</f>
        <v>601331</v>
      </c>
      <c r="F2143" s="11" t="s">
        <v>17</v>
      </c>
      <c r="G2143" s="10" t="s">
        <v>24</v>
      </c>
      <c r="H2143" s="11" t="s">
        <v>19</v>
      </c>
      <c r="I2143" s="11" t="s">
        <v>113</v>
      </c>
      <c r="J2143" s="12" t="str">
        <f ca="1">IFERROR(__xludf.DUMMYFUNCTION("FILTER('CLASFICACIÓN'!$F$3:$F2419,'CLASFICACIÓN'!$G$3:$G2419=M2143)"),"LOS 3 AÑOS")</f>
        <v>LOS 3 AÑOS</v>
      </c>
      <c r="K2143" s="12" t="s">
        <v>2012</v>
      </c>
      <c r="L2143" s="11" t="s">
        <v>91</v>
      </c>
      <c r="M2143" s="12" t="str">
        <f t="shared" ca="1" si="8"/>
        <v>6013316 Primaria</v>
      </c>
      <c r="N2143" s="11"/>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1"/>
      <c r="AJ2143" s="14"/>
    </row>
    <row r="2144" spans="1:36" ht="12.5" x14ac:dyDescent="0.25">
      <c r="A2144" s="9">
        <v>767</v>
      </c>
      <c r="B2144" s="10" t="s">
        <v>60</v>
      </c>
      <c r="C2144" s="10" t="s">
        <v>15</v>
      </c>
      <c r="D2144" s="10" t="s">
        <v>37</v>
      </c>
      <c r="E2144" s="11" t="str">
        <f ca="1">IFERROR(__xludf.DUMMYFUNCTION("FILTER(Colegios!$B$2:$B2419,Colegios!$A$2:$A2419=L2144)"),"601331")</f>
        <v>601331</v>
      </c>
      <c r="F2144" s="11" t="s">
        <v>17</v>
      </c>
      <c r="G2144" s="10" t="s">
        <v>18</v>
      </c>
      <c r="H2144" s="11" t="s">
        <v>19</v>
      </c>
      <c r="I2144" s="11" t="s">
        <v>113</v>
      </c>
      <c r="J2144" s="12" t="str">
        <f ca="1">IFERROR(__xludf.DUMMYFUNCTION("FILTER('CLASFICACIÓN'!$F$3:$F2419,'CLASFICACIÓN'!$G$3:$G2419=M2144)"),"LOS 3 AÑOS")</f>
        <v>LOS 3 AÑOS</v>
      </c>
      <c r="K2144" s="12" t="s">
        <v>2012</v>
      </c>
      <c r="L2144" s="11" t="s">
        <v>91</v>
      </c>
      <c r="M2144" s="12" t="str">
        <f t="shared" ca="1" si="8"/>
        <v>6013316 Primaria</v>
      </c>
      <c r="N2144" s="11"/>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1"/>
      <c r="AJ2144" s="14"/>
    </row>
    <row r="2145" spans="1:36" ht="12.5" x14ac:dyDescent="0.25">
      <c r="A2145" s="9">
        <v>768</v>
      </c>
      <c r="B2145" s="10" t="s">
        <v>60</v>
      </c>
      <c r="C2145" s="10" t="s">
        <v>15</v>
      </c>
      <c r="D2145" s="10" t="s">
        <v>37</v>
      </c>
      <c r="E2145" s="11" t="str">
        <f ca="1">IFERROR(__xludf.DUMMYFUNCTION("FILTER(Colegios!$B$2:$B2419,Colegios!$A$2:$A2419=L2145)"),"601331")</f>
        <v>601331</v>
      </c>
      <c r="F2145" s="11" t="s">
        <v>17</v>
      </c>
      <c r="G2145" s="10" t="s">
        <v>24</v>
      </c>
      <c r="H2145" s="11" t="s">
        <v>19</v>
      </c>
      <c r="I2145" s="11" t="s">
        <v>113</v>
      </c>
      <c r="J2145" s="12" t="str">
        <f ca="1">IFERROR(__xludf.DUMMYFUNCTION("FILTER('CLASFICACIÓN'!$F$3:$F2419,'CLASFICACIÓN'!$G$3:$G2419=M2145)"),"LOS 3 AÑOS")</f>
        <v>LOS 3 AÑOS</v>
      </c>
      <c r="K2145" s="12" t="s">
        <v>2012</v>
      </c>
      <c r="L2145" s="11" t="s">
        <v>91</v>
      </c>
      <c r="M2145" s="12" t="str">
        <f t="shared" ca="1" si="8"/>
        <v>6013316 Primaria</v>
      </c>
      <c r="N2145" s="11"/>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1"/>
      <c r="AJ2145" s="14"/>
    </row>
    <row r="2146" spans="1:36" ht="12.5" x14ac:dyDescent="0.25">
      <c r="A2146" s="9">
        <v>769</v>
      </c>
      <c r="B2146" s="10" t="s">
        <v>60</v>
      </c>
      <c r="C2146" s="10" t="s">
        <v>15</v>
      </c>
      <c r="D2146" s="10" t="s">
        <v>37</v>
      </c>
      <c r="E2146" s="11" t="str">
        <f ca="1">IFERROR(__xludf.DUMMYFUNCTION("FILTER(Colegios!$B$2:$B2419,Colegios!$A$2:$A2419=L2146)"),"601331")</f>
        <v>601331</v>
      </c>
      <c r="F2146" s="11" t="s">
        <v>17</v>
      </c>
      <c r="G2146" s="10" t="s">
        <v>24</v>
      </c>
      <c r="H2146" s="11" t="s">
        <v>19</v>
      </c>
      <c r="I2146" s="11" t="s">
        <v>113</v>
      </c>
      <c r="J2146" s="12" t="str">
        <f ca="1">IFERROR(__xludf.DUMMYFUNCTION("FILTER('CLASFICACIÓN'!$F$3:$F2419,'CLASFICACIÓN'!$G$3:$G2419=M2146)"),"LOS 3 AÑOS")</f>
        <v>LOS 3 AÑOS</v>
      </c>
      <c r="K2146" s="12" t="s">
        <v>2012</v>
      </c>
      <c r="L2146" s="11" t="s">
        <v>91</v>
      </c>
      <c r="M2146" s="12" t="str">
        <f t="shared" ca="1" si="8"/>
        <v>6013316 Primaria</v>
      </c>
      <c r="N2146" s="11"/>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4"/>
    </row>
    <row r="2147" spans="1:36" ht="12.5" x14ac:dyDescent="0.25">
      <c r="A2147" s="9">
        <v>770</v>
      </c>
      <c r="B2147" s="10" t="s">
        <v>60</v>
      </c>
      <c r="C2147" s="10" t="s">
        <v>15</v>
      </c>
      <c r="D2147" s="10" t="s">
        <v>37</v>
      </c>
      <c r="E2147" s="11" t="str">
        <f ca="1">IFERROR(__xludf.DUMMYFUNCTION("FILTER(Colegios!$B$2:$B2419,Colegios!$A$2:$A2419=L2147)"),"601331")</f>
        <v>601331</v>
      </c>
      <c r="F2147" s="11" t="s">
        <v>17</v>
      </c>
      <c r="G2147" s="10" t="s">
        <v>24</v>
      </c>
      <c r="H2147" s="11" t="s">
        <v>19</v>
      </c>
      <c r="I2147" s="11" t="s">
        <v>113</v>
      </c>
      <c r="J2147" s="12" t="str">
        <f ca="1">IFERROR(__xludf.DUMMYFUNCTION("FILTER('CLASFICACIÓN'!$F$3:$F2419,'CLASFICACIÓN'!$G$3:$G2419=M2147)"),"LOS 3 AÑOS")</f>
        <v>LOS 3 AÑOS</v>
      </c>
      <c r="K2147" s="12" t="s">
        <v>2012</v>
      </c>
      <c r="L2147" s="11" t="s">
        <v>91</v>
      </c>
      <c r="M2147" s="12" t="str">
        <f t="shared" ca="1" si="8"/>
        <v>6013316 Primaria</v>
      </c>
      <c r="N2147" s="11"/>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1"/>
      <c r="AJ2147" s="14"/>
    </row>
    <row r="2148" spans="1:36" ht="12.5" x14ac:dyDescent="0.25">
      <c r="A2148" s="9">
        <v>771</v>
      </c>
      <c r="B2148" s="10" t="s">
        <v>60</v>
      </c>
      <c r="C2148" s="10" t="s">
        <v>15</v>
      </c>
      <c r="D2148" s="10" t="s">
        <v>37</v>
      </c>
      <c r="E2148" s="11" t="str">
        <f ca="1">IFERROR(__xludf.DUMMYFUNCTION("FILTER(Colegios!$B$2:$B2419,Colegios!$A$2:$A2419=L2148)"),"601331")</f>
        <v>601331</v>
      </c>
      <c r="F2148" s="11" t="s">
        <v>17</v>
      </c>
      <c r="G2148" s="10" t="s">
        <v>24</v>
      </c>
      <c r="H2148" s="11" t="s">
        <v>19</v>
      </c>
      <c r="I2148" s="11" t="s">
        <v>113</v>
      </c>
      <c r="J2148" s="12" t="str">
        <f ca="1">IFERROR(__xludf.DUMMYFUNCTION("FILTER('CLASFICACIÓN'!$F$3:$F2419,'CLASFICACIÓN'!$G$3:$G2419=M2148)"),"LOS 3 AÑOS")</f>
        <v>LOS 3 AÑOS</v>
      </c>
      <c r="K2148" s="12" t="s">
        <v>2012</v>
      </c>
      <c r="L2148" s="11" t="s">
        <v>91</v>
      </c>
      <c r="M2148" s="12" t="str">
        <f t="shared" ca="1" si="8"/>
        <v>6013316 Primaria</v>
      </c>
      <c r="N2148" s="11"/>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1"/>
      <c r="AJ2148" s="14"/>
    </row>
    <row r="2149" spans="1:36" ht="12.5" x14ac:dyDescent="0.25">
      <c r="A2149" s="9">
        <v>772</v>
      </c>
      <c r="B2149" s="10" t="s">
        <v>60</v>
      </c>
      <c r="C2149" s="10" t="s">
        <v>15</v>
      </c>
      <c r="D2149" s="10" t="s">
        <v>37</v>
      </c>
      <c r="E2149" s="11" t="str">
        <f ca="1">IFERROR(__xludf.DUMMYFUNCTION("FILTER(Colegios!$B$2:$B2419,Colegios!$A$2:$A2419=L2149)"),"601331")</f>
        <v>601331</v>
      </c>
      <c r="F2149" s="11" t="s">
        <v>17</v>
      </c>
      <c r="G2149" s="10" t="s">
        <v>24</v>
      </c>
      <c r="H2149" s="11" t="s">
        <v>19</v>
      </c>
      <c r="I2149" s="11" t="s">
        <v>113</v>
      </c>
      <c r="J2149" s="12" t="str">
        <f ca="1">IFERROR(__xludf.DUMMYFUNCTION("FILTER('CLASFICACIÓN'!$F$3:$F2419,'CLASFICACIÓN'!$G$3:$G2419=M2149)"),"LOS 3 AÑOS")</f>
        <v>LOS 3 AÑOS</v>
      </c>
      <c r="K2149" s="12" t="s">
        <v>2012</v>
      </c>
      <c r="L2149" s="11" t="s">
        <v>91</v>
      </c>
      <c r="M2149" s="12" t="str">
        <f t="shared" ca="1" si="8"/>
        <v>6013316 Primaria</v>
      </c>
      <c r="N2149" s="11"/>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1"/>
      <c r="AJ2149" s="14"/>
    </row>
    <row r="2150" spans="1:36" ht="12.5" x14ac:dyDescent="0.25">
      <c r="A2150" s="9">
        <v>773</v>
      </c>
      <c r="B2150" s="10" t="s">
        <v>60</v>
      </c>
      <c r="C2150" s="10" t="s">
        <v>15</v>
      </c>
      <c r="D2150" s="10" t="s">
        <v>37</v>
      </c>
      <c r="E2150" s="11" t="str">
        <f ca="1">IFERROR(__xludf.DUMMYFUNCTION("FILTER(Colegios!$B$2:$B2419,Colegios!$A$2:$A2419=L2150)"),"601331")</f>
        <v>601331</v>
      </c>
      <c r="F2150" s="11" t="s">
        <v>17</v>
      </c>
      <c r="G2150" s="10" t="s">
        <v>18</v>
      </c>
      <c r="H2150" s="11" t="s">
        <v>19</v>
      </c>
      <c r="I2150" s="11" t="s">
        <v>113</v>
      </c>
      <c r="J2150" s="12" t="str">
        <f ca="1">IFERROR(__xludf.DUMMYFUNCTION("FILTER('CLASFICACIÓN'!$F$3:$F2419,'CLASFICACIÓN'!$G$3:$G2419=M2150)"),"LOS 3 AÑOS")</f>
        <v>LOS 3 AÑOS</v>
      </c>
      <c r="K2150" s="12" t="s">
        <v>2012</v>
      </c>
      <c r="L2150" s="11" t="s">
        <v>91</v>
      </c>
      <c r="M2150" s="12" t="str">
        <f t="shared" ca="1" si="8"/>
        <v>6013316 Primaria</v>
      </c>
      <c r="N2150" s="11"/>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1"/>
      <c r="AJ2150" s="14"/>
    </row>
    <row r="2151" spans="1:36" ht="12.5" x14ac:dyDescent="0.25">
      <c r="A2151" s="9">
        <v>774</v>
      </c>
      <c r="B2151" s="10" t="s">
        <v>60</v>
      </c>
      <c r="C2151" s="10" t="s">
        <v>15</v>
      </c>
      <c r="D2151" s="10" t="s">
        <v>37</v>
      </c>
      <c r="E2151" s="11" t="str">
        <f ca="1">IFERROR(__xludf.DUMMYFUNCTION("FILTER(Colegios!$B$2:$B2419,Colegios!$A$2:$A2419=L2151)"),"601331")</f>
        <v>601331</v>
      </c>
      <c r="F2151" s="11" t="s">
        <v>17</v>
      </c>
      <c r="G2151" s="10" t="s">
        <v>18</v>
      </c>
      <c r="H2151" s="11" t="s">
        <v>19</v>
      </c>
      <c r="I2151" s="11" t="s">
        <v>113</v>
      </c>
      <c r="J2151" s="12" t="str">
        <f ca="1">IFERROR(__xludf.DUMMYFUNCTION("FILTER('CLASFICACIÓN'!$F$3:$F2419,'CLASFICACIÓN'!$G$3:$G2419=M2151)"),"LOS 3 AÑOS")</f>
        <v>LOS 3 AÑOS</v>
      </c>
      <c r="K2151" s="12" t="s">
        <v>2012</v>
      </c>
      <c r="L2151" s="11" t="s">
        <v>91</v>
      </c>
      <c r="M2151" s="12" t="str">
        <f t="shared" ca="1" si="8"/>
        <v>6013316 Primaria</v>
      </c>
      <c r="N2151" s="11"/>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1"/>
      <c r="AJ2151" s="14"/>
    </row>
    <row r="2152" spans="1:36" ht="12.5" x14ac:dyDescent="0.25">
      <c r="A2152" s="9">
        <v>775</v>
      </c>
      <c r="B2152" s="10" t="s">
        <v>60</v>
      </c>
      <c r="C2152" s="10" t="s">
        <v>15</v>
      </c>
      <c r="D2152" s="10" t="s">
        <v>37</v>
      </c>
      <c r="E2152" s="11" t="str">
        <f ca="1">IFERROR(__xludf.DUMMYFUNCTION("FILTER(Colegios!$B$2:$B2419,Colegios!$A$2:$A2419=L2152)"),"601331")</f>
        <v>601331</v>
      </c>
      <c r="F2152" s="11" t="s">
        <v>17</v>
      </c>
      <c r="G2152" s="10" t="s">
        <v>18</v>
      </c>
      <c r="H2152" s="11" t="s">
        <v>19</v>
      </c>
      <c r="I2152" s="11" t="s">
        <v>113</v>
      </c>
      <c r="J2152" s="12" t="str">
        <f ca="1">IFERROR(__xludf.DUMMYFUNCTION("FILTER('CLASFICACIÓN'!$F$3:$F2419,'CLASFICACIÓN'!$G$3:$G2419=M2152)"),"LOS 3 AÑOS")</f>
        <v>LOS 3 AÑOS</v>
      </c>
      <c r="K2152" s="12" t="s">
        <v>2012</v>
      </c>
      <c r="L2152" s="11" t="s">
        <v>91</v>
      </c>
      <c r="M2152" s="12" t="str">
        <f t="shared" ca="1" si="8"/>
        <v>6013316 Primaria</v>
      </c>
      <c r="N2152" s="11"/>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1"/>
      <c r="AJ2152" s="14"/>
    </row>
    <row r="2153" spans="1:36" ht="12.5" x14ac:dyDescent="0.25">
      <c r="A2153" s="9">
        <v>776</v>
      </c>
      <c r="B2153" s="10" t="s">
        <v>60</v>
      </c>
      <c r="C2153" s="10" t="s">
        <v>15</v>
      </c>
      <c r="D2153" s="10" t="s">
        <v>37</v>
      </c>
      <c r="E2153" s="11" t="str">
        <f ca="1">IFERROR(__xludf.DUMMYFUNCTION("FILTER(Colegios!$B$2:$B2419,Colegios!$A$2:$A2419=L2153)"),"601331")</f>
        <v>601331</v>
      </c>
      <c r="F2153" s="11" t="s">
        <v>17</v>
      </c>
      <c r="G2153" s="10" t="s">
        <v>18</v>
      </c>
      <c r="H2153" s="11" t="s">
        <v>19</v>
      </c>
      <c r="I2153" s="11" t="s">
        <v>113</v>
      </c>
      <c r="J2153" s="12" t="str">
        <f ca="1">IFERROR(__xludf.DUMMYFUNCTION("FILTER('CLASFICACIÓN'!$F$3:$F2419,'CLASFICACIÓN'!$G$3:$G2419=M2153)"),"LOS 3 AÑOS")</f>
        <v>LOS 3 AÑOS</v>
      </c>
      <c r="K2153" s="12" t="s">
        <v>2012</v>
      </c>
      <c r="L2153" s="11" t="s">
        <v>91</v>
      </c>
      <c r="M2153" s="12" t="str">
        <f t="shared" ca="1" si="8"/>
        <v>6013316 Primaria</v>
      </c>
      <c r="N2153" s="11"/>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1"/>
      <c r="AJ2153" s="14"/>
    </row>
    <row r="2154" spans="1:36" ht="12.5" x14ac:dyDescent="0.25">
      <c r="A2154" s="9">
        <v>777</v>
      </c>
      <c r="B2154" s="10" t="s">
        <v>60</v>
      </c>
      <c r="C2154" s="10" t="s">
        <v>15</v>
      </c>
      <c r="D2154" s="10" t="s">
        <v>37</v>
      </c>
      <c r="E2154" s="11" t="str">
        <f ca="1">IFERROR(__xludf.DUMMYFUNCTION("FILTER(Colegios!$B$2:$B2419,Colegios!$A$2:$A2419=L2154)"),"601331")</f>
        <v>601331</v>
      </c>
      <c r="F2154" s="11" t="s">
        <v>17</v>
      </c>
      <c r="G2154" s="10" t="s">
        <v>18</v>
      </c>
      <c r="H2154" s="11" t="s">
        <v>19</v>
      </c>
      <c r="I2154" s="11" t="s">
        <v>113</v>
      </c>
      <c r="J2154" s="12" t="str">
        <f ca="1">IFERROR(__xludf.DUMMYFUNCTION("FILTER('CLASFICACIÓN'!$F$3:$F2419,'CLASFICACIÓN'!$G$3:$G2419=M2154)"),"LOS 3 AÑOS")</f>
        <v>LOS 3 AÑOS</v>
      </c>
      <c r="K2154" s="12" t="s">
        <v>2012</v>
      </c>
      <c r="L2154" s="11" t="s">
        <v>91</v>
      </c>
      <c r="M2154" s="12" t="str">
        <f t="shared" ca="1" si="8"/>
        <v>6013316 Primaria</v>
      </c>
      <c r="N2154" s="11"/>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1"/>
      <c r="AJ2154" s="14"/>
    </row>
    <row r="2155" spans="1:36" ht="12.5" x14ac:dyDescent="0.25">
      <c r="A2155" s="9">
        <v>778</v>
      </c>
      <c r="B2155" s="10" t="s">
        <v>60</v>
      </c>
      <c r="C2155" s="10" t="s">
        <v>15</v>
      </c>
      <c r="D2155" s="10" t="s">
        <v>37</v>
      </c>
      <c r="E2155" s="11" t="str">
        <f ca="1">IFERROR(__xludf.DUMMYFUNCTION("FILTER(Colegios!$B$2:$B2419,Colegios!$A$2:$A2419=L2155)"),"601331")</f>
        <v>601331</v>
      </c>
      <c r="F2155" s="11" t="s">
        <v>17</v>
      </c>
      <c r="G2155" s="10" t="s">
        <v>18</v>
      </c>
      <c r="H2155" s="11" t="s">
        <v>19</v>
      </c>
      <c r="I2155" s="11" t="s">
        <v>113</v>
      </c>
      <c r="J2155" s="12" t="str">
        <f ca="1">IFERROR(__xludf.DUMMYFUNCTION("FILTER('CLASFICACIÓN'!$F$3:$F2419,'CLASFICACIÓN'!$G$3:$G2419=M2155)"),"LOS 3 AÑOS")</f>
        <v>LOS 3 AÑOS</v>
      </c>
      <c r="K2155" s="12" t="s">
        <v>2012</v>
      </c>
      <c r="L2155" s="11" t="s">
        <v>91</v>
      </c>
      <c r="M2155" s="12" t="str">
        <f t="shared" ca="1" si="8"/>
        <v>6013316 Primaria</v>
      </c>
      <c r="N2155" s="11"/>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1"/>
      <c r="AJ2155" s="14"/>
    </row>
    <row r="2156" spans="1:36" ht="12.5" x14ac:dyDescent="0.25">
      <c r="A2156" s="9">
        <v>779</v>
      </c>
      <c r="B2156" s="10" t="s">
        <v>60</v>
      </c>
      <c r="C2156" s="10" t="s">
        <v>15</v>
      </c>
      <c r="D2156" s="10" t="s">
        <v>37</v>
      </c>
      <c r="E2156" s="11" t="str">
        <f ca="1">IFERROR(__xludf.DUMMYFUNCTION("FILTER(Colegios!$B$2:$B2419,Colegios!$A$2:$A2419=L2156)"),"601331")</f>
        <v>601331</v>
      </c>
      <c r="F2156" s="11" t="s">
        <v>17</v>
      </c>
      <c r="G2156" s="10" t="s">
        <v>18</v>
      </c>
      <c r="H2156" s="11" t="s">
        <v>19</v>
      </c>
      <c r="I2156" s="11" t="s">
        <v>113</v>
      </c>
      <c r="J2156" s="12" t="str">
        <f ca="1">IFERROR(__xludf.DUMMYFUNCTION("FILTER('CLASFICACIÓN'!$F$3:$F2419,'CLASFICACIÓN'!$G$3:$G2419=M2156)"),"LOS 3 AÑOS")</f>
        <v>LOS 3 AÑOS</v>
      </c>
      <c r="K2156" s="12" t="s">
        <v>2012</v>
      </c>
      <c r="L2156" s="11" t="s">
        <v>91</v>
      </c>
      <c r="M2156" s="12" t="str">
        <f t="shared" ca="1" si="8"/>
        <v>6013316 Primaria</v>
      </c>
      <c r="N2156" s="11"/>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1"/>
      <c r="AJ2156" s="14"/>
    </row>
    <row r="2157" spans="1:36" ht="12.5" x14ac:dyDescent="0.25">
      <c r="A2157" s="9">
        <v>780</v>
      </c>
      <c r="B2157" s="10" t="s">
        <v>60</v>
      </c>
      <c r="C2157" s="10" t="s">
        <v>15</v>
      </c>
      <c r="D2157" s="10" t="s">
        <v>37</v>
      </c>
      <c r="E2157" s="11" t="str">
        <f ca="1">IFERROR(__xludf.DUMMYFUNCTION("FILTER(Colegios!$B$2:$B2419,Colegios!$A$2:$A2419=L2157)"),"601331")</f>
        <v>601331</v>
      </c>
      <c r="F2157" s="11" t="s">
        <v>17</v>
      </c>
      <c r="G2157" s="10" t="s">
        <v>18</v>
      </c>
      <c r="H2157" s="11" t="s">
        <v>19</v>
      </c>
      <c r="I2157" s="11" t="s">
        <v>113</v>
      </c>
      <c r="J2157" s="12" t="str">
        <f ca="1">IFERROR(__xludf.DUMMYFUNCTION("FILTER('CLASFICACIÓN'!$F$3:$F2419,'CLASFICACIÓN'!$G$3:$G2419=M2157)"),"LOS 3 AÑOS")</f>
        <v>LOS 3 AÑOS</v>
      </c>
      <c r="K2157" s="12" t="s">
        <v>2012</v>
      </c>
      <c r="L2157" s="11" t="s">
        <v>91</v>
      </c>
      <c r="M2157" s="12" t="str">
        <f t="shared" ca="1" si="8"/>
        <v>6013316 Primaria</v>
      </c>
      <c r="N2157" s="11"/>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1"/>
      <c r="AJ2157" s="14"/>
    </row>
    <row r="2158" spans="1:36" ht="12.5" x14ac:dyDescent="0.25">
      <c r="A2158" s="9">
        <v>781</v>
      </c>
      <c r="B2158" s="10" t="s">
        <v>60</v>
      </c>
      <c r="C2158" s="10" t="s">
        <v>15</v>
      </c>
      <c r="D2158" s="10" t="s">
        <v>37</v>
      </c>
      <c r="E2158" s="11" t="str">
        <f ca="1">IFERROR(__xludf.DUMMYFUNCTION("FILTER(Colegios!$B$2:$B2419,Colegios!$A$2:$A2419=L2158)"),"601331")</f>
        <v>601331</v>
      </c>
      <c r="F2158" s="11" t="s">
        <v>17</v>
      </c>
      <c r="G2158" s="10" t="s">
        <v>24</v>
      </c>
      <c r="H2158" s="11" t="s">
        <v>19</v>
      </c>
      <c r="I2158" s="11" t="s">
        <v>113</v>
      </c>
      <c r="J2158" s="12" t="str">
        <f ca="1">IFERROR(__xludf.DUMMYFUNCTION("FILTER('CLASFICACIÓN'!$F$3:$F2419,'CLASFICACIÓN'!$G$3:$G2419=M2158)"),"LOS 3 AÑOS")</f>
        <v>LOS 3 AÑOS</v>
      </c>
      <c r="K2158" s="12" t="s">
        <v>2012</v>
      </c>
      <c r="L2158" s="11" t="s">
        <v>91</v>
      </c>
      <c r="M2158" s="12" t="str">
        <f t="shared" ca="1" si="8"/>
        <v>6013316 Primaria</v>
      </c>
      <c r="N2158" s="11"/>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1"/>
      <c r="AJ2158" s="14"/>
    </row>
    <row r="2159" spans="1:36" ht="12.5" x14ac:dyDescent="0.25">
      <c r="A2159" s="9">
        <v>782</v>
      </c>
      <c r="B2159" s="10" t="s">
        <v>60</v>
      </c>
      <c r="C2159" s="10" t="s">
        <v>15</v>
      </c>
      <c r="D2159" s="10" t="s">
        <v>37</v>
      </c>
      <c r="E2159" s="11" t="str">
        <f ca="1">IFERROR(__xludf.DUMMYFUNCTION("FILTER(Colegios!$B$2:$B2419,Colegios!$A$2:$A2419=L2159)"),"601331")</f>
        <v>601331</v>
      </c>
      <c r="F2159" s="11" t="s">
        <v>17</v>
      </c>
      <c r="G2159" s="10" t="s">
        <v>18</v>
      </c>
      <c r="H2159" s="11" t="s">
        <v>23</v>
      </c>
      <c r="I2159" s="11" t="s">
        <v>113</v>
      </c>
      <c r="J2159" s="12" t="str">
        <f ca="1">IFERROR(__xludf.DUMMYFUNCTION("FILTER('CLASFICACIÓN'!$F$3:$F2419,'CLASFICACIÓN'!$G$3:$G2419=M2159)"),"LOS 3 AÑOS")</f>
        <v>LOS 3 AÑOS</v>
      </c>
      <c r="K2159" s="12" t="s">
        <v>2012</v>
      </c>
      <c r="L2159" s="11" t="s">
        <v>91</v>
      </c>
      <c r="M2159" s="12" t="str">
        <f t="shared" ca="1" si="8"/>
        <v>6013316 Primaria</v>
      </c>
      <c r="N2159" s="11"/>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1"/>
      <c r="AJ2159" s="14"/>
    </row>
    <row r="2160" spans="1:36" ht="12.5" x14ac:dyDescent="0.25">
      <c r="A2160" s="9">
        <v>783</v>
      </c>
      <c r="B2160" s="10" t="s">
        <v>60</v>
      </c>
      <c r="C2160" s="10" t="s">
        <v>41</v>
      </c>
      <c r="D2160" s="10" t="s">
        <v>42</v>
      </c>
      <c r="E2160" s="11" t="str">
        <f ca="1">IFERROR(__xludf.DUMMYFUNCTION("FILTER(Colegios!$B$2:$B2419,Colegios!$A$2:$A2419=L2160)"),"601331")</f>
        <v>601331</v>
      </c>
      <c r="F2160" s="11" t="s">
        <v>17</v>
      </c>
      <c r="G2160" s="10" t="s">
        <v>18</v>
      </c>
      <c r="H2160" s="11" t="s">
        <v>23</v>
      </c>
      <c r="I2160" s="11" t="s">
        <v>113</v>
      </c>
      <c r="J2160" s="12" t="str">
        <f ca="1">IFERROR(__xludf.DUMMYFUNCTION("FILTER('CLASFICACIÓN'!$F$3:$F2419,'CLASFICACIÓN'!$G$3:$G2419=M2160)"),"LOS 3 AÑOS")</f>
        <v>LOS 3 AÑOS</v>
      </c>
      <c r="K2160" s="12" t="s">
        <v>2012</v>
      </c>
      <c r="L2160" s="11" t="s">
        <v>91</v>
      </c>
      <c r="M2160" s="12" t="str">
        <f t="shared" ca="1" si="8"/>
        <v>6013312 Secundaria</v>
      </c>
      <c r="N2160" s="11"/>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1"/>
      <c r="AJ2160" s="14"/>
    </row>
    <row r="2161" spans="1:36" ht="12.5" x14ac:dyDescent="0.25">
      <c r="A2161" s="9">
        <v>784</v>
      </c>
      <c r="B2161" s="10" t="s">
        <v>60</v>
      </c>
      <c r="C2161" s="10" t="s">
        <v>41</v>
      </c>
      <c r="D2161" s="10" t="s">
        <v>42</v>
      </c>
      <c r="E2161" s="11" t="str">
        <f ca="1">IFERROR(__xludf.DUMMYFUNCTION("FILTER(Colegios!$B$2:$B2419,Colegios!$A$2:$A2419=L2161)"),"601331")</f>
        <v>601331</v>
      </c>
      <c r="F2161" s="11" t="s">
        <v>17</v>
      </c>
      <c r="G2161" s="10" t="s">
        <v>18</v>
      </c>
      <c r="H2161" s="11" t="s">
        <v>23</v>
      </c>
      <c r="I2161" s="11" t="s">
        <v>113</v>
      </c>
      <c r="J2161" s="12" t="str">
        <f ca="1">IFERROR(__xludf.DUMMYFUNCTION("FILTER('CLASFICACIÓN'!$F$3:$F2419,'CLASFICACIÓN'!$G$3:$G2419=M2161)"),"LOS 3 AÑOS")</f>
        <v>LOS 3 AÑOS</v>
      </c>
      <c r="K2161" s="12" t="s">
        <v>2012</v>
      </c>
      <c r="L2161" s="11" t="s">
        <v>91</v>
      </c>
      <c r="M2161" s="12" t="str">
        <f t="shared" ca="1" si="8"/>
        <v>6013312 Secundaria</v>
      </c>
      <c r="N2161" s="11"/>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1"/>
      <c r="AJ2161" s="14"/>
    </row>
    <row r="2162" spans="1:36" ht="12.5" x14ac:dyDescent="0.25">
      <c r="A2162" s="9">
        <v>785</v>
      </c>
      <c r="B2162" s="10" t="s">
        <v>60</v>
      </c>
      <c r="C2162" s="10" t="s">
        <v>41</v>
      </c>
      <c r="D2162" s="10" t="s">
        <v>42</v>
      </c>
      <c r="E2162" s="11" t="str">
        <f ca="1">IFERROR(__xludf.DUMMYFUNCTION("FILTER(Colegios!$B$2:$B2419,Colegios!$A$2:$A2419=L2162)"),"601331")</f>
        <v>601331</v>
      </c>
      <c r="F2162" s="11" t="s">
        <v>17</v>
      </c>
      <c r="G2162" s="10" t="s">
        <v>24</v>
      </c>
      <c r="H2162" s="11" t="s">
        <v>19</v>
      </c>
      <c r="I2162" s="11" t="s">
        <v>113</v>
      </c>
      <c r="J2162" s="12" t="str">
        <f ca="1">IFERROR(__xludf.DUMMYFUNCTION("FILTER('CLASFICACIÓN'!$F$3:$F2419,'CLASFICACIÓN'!$G$3:$G2419=M2162)"),"LOS 3 AÑOS")</f>
        <v>LOS 3 AÑOS</v>
      </c>
      <c r="K2162" s="12" t="s">
        <v>2012</v>
      </c>
      <c r="L2162" s="11" t="s">
        <v>91</v>
      </c>
      <c r="M2162" s="12" t="str">
        <f t="shared" ca="1" si="8"/>
        <v>6013312 Secundaria</v>
      </c>
      <c r="N2162" s="11"/>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1"/>
      <c r="AJ2162" s="14"/>
    </row>
    <row r="2163" spans="1:36" ht="12.5" x14ac:dyDescent="0.25">
      <c r="A2163" s="9">
        <v>786</v>
      </c>
      <c r="B2163" s="10" t="s">
        <v>60</v>
      </c>
      <c r="C2163" s="10" t="s">
        <v>41</v>
      </c>
      <c r="D2163" s="10" t="s">
        <v>42</v>
      </c>
      <c r="E2163" s="11" t="str">
        <f ca="1">IFERROR(__xludf.DUMMYFUNCTION("FILTER(Colegios!$B$2:$B2419,Colegios!$A$2:$A2419=L2163)"),"601331")</f>
        <v>601331</v>
      </c>
      <c r="F2163" s="11" t="s">
        <v>17</v>
      </c>
      <c r="G2163" s="10" t="s">
        <v>24</v>
      </c>
      <c r="H2163" s="11" t="s">
        <v>19</v>
      </c>
      <c r="I2163" s="11" t="s">
        <v>113</v>
      </c>
      <c r="J2163" s="12" t="str">
        <f ca="1">IFERROR(__xludf.DUMMYFUNCTION("FILTER('CLASFICACIÓN'!$F$3:$F2419,'CLASFICACIÓN'!$G$3:$G2419=M2163)"),"LOS 3 AÑOS")</f>
        <v>LOS 3 AÑOS</v>
      </c>
      <c r="K2163" s="12" t="s">
        <v>2012</v>
      </c>
      <c r="L2163" s="11" t="s">
        <v>91</v>
      </c>
      <c r="M2163" s="12" t="str">
        <f t="shared" ca="1" si="8"/>
        <v>6013312 Secundaria</v>
      </c>
      <c r="N2163" s="11"/>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4"/>
    </row>
    <row r="2164" spans="1:36" ht="12.5" x14ac:dyDescent="0.25">
      <c r="A2164" s="9">
        <v>787</v>
      </c>
      <c r="B2164" s="10" t="s">
        <v>60</v>
      </c>
      <c r="C2164" s="10" t="s">
        <v>41</v>
      </c>
      <c r="D2164" s="10" t="s">
        <v>42</v>
      </c>
      <c r="E2164" s="11" t="str">
        <f ca="1">IFERROR(__xludf.DUMMYFUNCTION("FILTER(Colegios!$B$2:$B2419,Colegios!$A$2:$A2419=L2164)"),"601331")</f>
        <v>601331</v>
      </c>
      <c r="F2164" s="11" t="s">
        <v>17</v>
      </c>
      <c r="G2164" s="10" t="s">
        <v>24</v>
      </c>
      <c r="H2164" s="11" t="s">
        <v>23</v>
      </c>
      <c r="I2164" s="11" t="s">
        <v>113</v>
      </c>
      <c r="J2164" s="12" t="str">
        <f ca="1">IFERROR(__xludf.DUMMYFUNCTION("FILTER('CLASFICACIÓN'!$F$3:$F2419,'CLASFICACIÓN'!$G$3:$G2419=M2164)"),"LOS 3 AÑOS")</f>
        <v>LOS 3 AÑOS</v>
      </c>
      <c r="K2164" s="12" t="s">
        <v>2012</v>
      </c>
      <c r="L2164" s="11" t="s">
        <v>91</v>
      </c>
      <c r="M2164" s="12" t="str">
        <f t="shared" ca="1" si="8"/>
        <v>6013312 Secundaria</v>
      </c>
      <c r="N2164" s="11"/>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1"/>
      <c r="AJ2164" s="14"/>
    </row>
    <row r="2165" spans="1:36" ht="12.5" x14ac:dyDescent="0.25">
      <c r="A2165" s="9">
        <v>788</v>
      </c>
      <c r="B2165" s="10" t="s">
        <v>60</v>
      </c>
      <c r="C2165" s="10" t="s">
        <v>41</v>
      </c>
      <c r="D2165" s="10" t="s">
        <v>42</v>
      </c>
      <c r="E2165" s="11" t="str">
        <f ca="1">IFERROR(__xludf.DUMMYFUNCTION("FILTER(Colegios!$B$2:$B2419,Colegios!$A$2:$A2419=L2165)"),"601331")</f>
        <v>601331</v>
      </c>
      <c r="F2165" s="11" t="s">
        <v>17</v>
      </c>
      <c r="G2165" s="10" t="s">
        <v>24</v>
      </c>
      <c r="H2165" s="11" t="s">
        <v>23</v>
      </c>
      <c r="I2165" s="11" t="s">
        <v>113</v>
      </c>
      <c r="J2165" s="12" t="str">
        <f ca="1">IFERROR(__xludf.DUMMYFUNCTION("FILTER('CLASFICACIÓN'!$F$3:$F2419,'CLASFICACIÓN'!$G$3:$G2419=M2165)"),"LOS 3 AÑOS")</f>
        <v>LOS 3 AÑOS</v>
      </c>
      <c r="K2165" s="12" t="s">
        <v>2012</v>
      </c>
      <c r="L2165" s="11" t="s">
        <v>91</v>
      </c>
      <c r="M2165" s="12" t="str">
        <f t="shared" ca="1" si="8"/>
        <v>6013312 Secundaria</v>
      </c>
      <c r="N2165" s="11"/>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1"/>
      <c r="AJ2165" s="14"/>
    </row>
    <row r="2166" spans="1:36" ht="12.5" x14ac:dyDescent="0.25">
      <c r="A2166" s="9">
        <v>789</v>
      </c>
      <c r="B2166" s="10" t="s">
        <v>60</v>
      </c>
      <c r="C2166" s="10" t="s">
        <v>41</v>
      </c>
      <c r="D2166" s="10" t="s">
        <v>42</v>
      </c>
      <c r="E2166" s="11" t="str">
        <f ca="1">IFERROR(__xludf.DUMMYFUNCTION("FILTER(Colegios!$B$2:$B2419,Colegios!$A$2:$A2419=L2166)"),"601331")</f>
        <v>601331</v>
      </c>
      <c r="F2166" s="11" t="s">
        <v>17</v>
      </c>
      <c r="G2166" s="10" t="s">
        <v>24</v>
      </c>
      <c r="H2166" s="11" t="s">
        <v>19</v>
      </c>
      <c r="I2166" s="11" t="s">
        <v>113</v>
      </c>
      <c r="J2166" s="12" t="str">
        <f ca="1">IFERROR(__xludf.DUMMYFUNCTION("FILTER('CLASFICACIÓN'!$F$3:$F2419,'CLASFICACIÓN'!$G$3:$G2419=M2166)"),"LOS 3 AÑOS")</f>
        <v>LOS 3 AÑOS</v>
      </c>
      <c r="K2166" s="12" t="s">
        <v>2012</v>
      </c>
      <c r="L2166" s="11" t="s">
        <v>91</v>
      </c>
      <c r="M2166" s="12" t="str">
        <f t="shared" ca="1" si="8"/>
        <v>6013312 Secundaria</v>
      </c>
      <c r="N2166" s="11"/>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1"/>
      <c r="AJ2166" s="14"/>
    </row>
    <row r="2167" spans="1:36" ht="12.5" x14ac:dyDescent="0.25">
      <c r="A2167" s="9">
        <v>790</v>
      </c>
      <c r="B2167" s="10" t="s">
        <v>60</v>
      </c>
      <c r="C2167" s="10" t="s">
        <v>41</v>
      </c>
      <c r="D2167" s="10" t="s">
        <v>42</v>
      </c>
      <c r="E2167" s="11" t="str">
        <f ca="1">IFERROR(__xludf.DUMMYFUNCTION("FILTER(Colegios!$B$2:$B2419,Colegios!$A$2:$A2419=L2167)"),"601331")</f>
        <v>601331</v>
      </c>
      <c r="F2167" s="11" t="s">
        <v>17</v>
      </c>
      <c r="G2167" s="10" t="s">
        <v>18</v>
      </c>
      <c r="H2167" s="11" t="s">
        <v>19</v>
      </c>
      <c r="I2167" s="11" t="s">
        <v>113</v>
      </c>
      <c r="J2167" s="12" t="str">
        <f ca="1">IFERROR(__xludf.DUMMYFUNCTION("FILTER('CLASFICACIÓN'!$F$3:$F2419,'CLASFICACIÓN'!$G$3:$G2419=M2167)"),"LOS 3 AÑOS")</f>
        <v>LOS 3 AÑOS</v>
      </c>
      <c r="K2167" s="12" t="s">
        <v>2012</v>
      </c>
      <c r="L2167" s="11" t="s">
        <v>91</v>
      </c>
      <c r="M2167" s="12" t="str">
        <f t="shared" ca="1" si="8"/>
        <v>6013312 Secundaria</v>
      </c>
      <c r="N2167" s="11"/>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1"/>
      <c r="AJ2167" s="14"/>
    </row>
    <row r="2168" spans="1:36" ht="12.5" x14ac:dyDescent="0.25">
      <c r="A2168" s="9">
        <v>791</v>
      </c>
      <c r="B2168" s="10" t="s">
        <v>60</v>
      </c>
      <c r="C2168" s="10" t="s">
        <v>41</v>
      </c>
      <c r="D2168" s="10" t="s">
        <v>42</v>
      </c>
      <c r="E2168" s="11" t="str">
        <f ca="1">IFERROR(__xludf.DUMMYFUNCTION("FILTER(Colegios!$B$2:$B2419,Colegios!$A$2:$A2419=L2168)"),"601331")</f>
        <v>601331</v>
      </c>
      <c r="F2168" s="11" t="s">
        <v>17</v>
      </c>
      <c r="G2168" s="10" t="s">
        <v>24</v>
      </c>
      <c r="H2168" s="11" t="s">
        <v>19</v>
      </c>
      <c r="I2168" s="11" t="s">
        <v>113</v>
      </c>
      <c r="J2168" s="12" t="str">
        <f ca="1">IFERROR(__xludf.DUMMYFUNCTION("FILTER('CLASFICACIÓN'!$F$3:$F2419,'CLASFICACIÓN'!$G$3:$G2419=M2168)"),"LOS 3 AÑOS")</f>
        <v>LOS 3 AÑOS</v>
      </c>
      <c r="K2168" s="12" t="s">
        <v>2012</v>
      </c>
      <c r="L2168" s="11" t="s">
        <v>91</v>
      </c>
      <c r="M2168" s="12" t="str">
        <f t="shared" ca="1" si="8"/>
        <v>6013312 Secundaria</v>
      </c>
      <c r="N2168" s="11"/>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1"/>
      <c r="AJ2168" s="14"/>
    </row>
    <row r="2169" spans="1:36" ht="12.5" x14ac:dyDescent="0.25">
      <c r="A2169" s="9">
        <v>792</v>
      </c>
      <c r="B2169" s="10" t="s">
        <v>60</v>
      </c>
      <c r="C2169" s="10" t="s">
        <v>41</v>
      </c>
      <c r="D2169" s="10" t="s">
        <v>42</v>
      </c>
      <c r="E2169" s="11" t="str">
        <f ca="1">IFERROR(__xludf.DUMMYFUNCTION("FILTER(Colegios!$B$2:$B2419,Colegios!$A$2:$A2419=L2169)"),"601331")</f>
        <v>601331</v>
      </c>
      <c r="F2169" s="11" t="s">
        <v>17</v>
      </c>
      <c r="G2169" s="10" t="s">
        <v>18</v>
      </c>
      <c r="H2169" s="11" t="s">
        <v>19</v>
      </c>
      <c r="I2169" s="11" t="s">
        <v>113</v>
      </c>
      <c r="J2169" s="12" t="str">
        <f ca="1">IFERROR(__xludf.DUMMYFUNCTION("FILTER('CLASFICACIÓN'!$F$3:$F2419,'CLASFICACIÓN'!$G$3:$G2419=M2169)"),"LOS 3 AÑOS")</f>
        <v>LOS 3 AÑOS</v>
      </c>
      <c r="K2169" s="12" t="s">
        <v>2012</v>
      </c>
      <c r="L2169" s="11" t="s">
        <v>91</v>
      </c>
      <c r="M2169" s="12" t="str">
        <f t="shared" ca="1" si="8"/>
        <v>6013312 Secundaria</v>
      </c>
      <c r="N2169" s="11"/>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1"/>
      <c r="AJ2169" s="14"/>
    </row>
    <row r="2170" spans="1:36" ht="12.5" x14ac:dyDescent="0.25">
      <c r="A2170" s="9">
        <v>793</v>
      </c>
      <c r="B2170" s="10" t="s">
        <v>60</v>
      </c>
      <c r="C2170" s="10" t="s">
        <v>41</v>
      </c>
      <c r="D2170" s="10" t="s">
        <v>42</v>
      </c>
      <c r="E2170" s="11" t="str">
        <f ca="1">IFERROR(__xludf.DUMMYFUNCTION("FILTER(Colegios!$B$2:$B2419,Colegios!$A$2:$A2419=L2170)"),"601331")</f>
        <v>601331</v>
      </c>
      <c r="F2170" s="11" t="s">
        <v>17</v>
      </c>
      <c r="G2170" s="10" t="s">
        <v>18</v>
      </c>
      <c r="H2170" s="11" t="s">
        <v>19</v>
      </c>
      <c r="I2170" s="11" t="s">
        <v>113</v>
      </c>
      <c r="J2170" s="12" t="str">
        <f ca="1">IFERROR(__xludf.DUMMYFUNCTION("FILTER('CLASFICACIÓN'!$F$3:$F2419,'CLASFICACIÓN'!$G$3:$G2419=M2170)"),"LOS 3 AÑOS")</f>
        <v>LOS 3 AÑOS</v>
      </c>
      <c r="K2170" s="12" t="s">
        <v>2012</v>
      </c>
      <c r="L2170" s="11" t="s">
        <v>91</v>
      </c>
      <c r="M2170" s="12" t="str">
        <f t="shared" ca="1" si="8"/>
        <v>6013312 Secundaria</v>
      </c>
      <c r="N2170" s="11"/>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1"/>
      <c r="AJ2170" s="14"/>
    </row>
    <row r="2171" spans="1:36" ht="12.5" x14ac:dyDescent="0.25">
      <c r="A2171" s="9">
        <v>794</v>
      </c>
      <c r="B2171" s="10" t="s">
        <v>60</v>
      </c>
      <c r="C2171" s="10" t="s">
        <v>41</v>
      </c>
      <c r="D2171" s="10" t="s">
        <v>42</v>
      </c>
      <c r="E2171" s="11" t="str">
        <f ca="1">IFERROR(__xludf.DUMMYFUNCTION("FILTER(Colegios!$B$2:$B2419,Colegios!$A$2:$A2419=L2171)"),"601331")</f>
        <v>601331</v>
      </c>
      <c r="F2171" s="11" t="s">
        <v>17</v>
      </c>
      <c r="G2171" s="10" t="s">
        <v>24</v>
      </c>
      <c r="H2171" s="11" t="s">
        <v>19</v>
      </c>
      <c r="I2171" s="11" t="s">
        <v>113</v>
      </c>
      <c r="J2171" s="12" t="str">
        <f ca="1">IFERROR(__xludf.DUMMYFUNCTION("FILTER('CLASFICACIÓN'!$F$3:$F2419,'CLASFICACIÓN'!$G$3:$G2419=M2171)"),"LOS 3 AÑOS")</f>
        <v>LOS 3 AÑOS</v>
      </c>
      <c r="K2171" s="12" t="s">
        <v>2012</v>
      </c>
      <c r="L2171" s="11" t="s">
        <v>91</v>
      </c>
      <c r="M2171" s="12" t="str">
        <f t="shared" ca="1" si="8"/>
        <v>6013312 Secundaria</v>
      </c>
      <c r="N2171" s="11"/>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1"/>
      <c r="AJ2171" s="14"/>
    </row>
    <row r="2172" spans="1:36" ht="12.5" x14ac:dyDescent="0.25">
      <c r="A2172" s="9">
        <v>795</v>
      </c>
      <c r="B2172" s="10" t="s">
        <v>60</v>
      </c>
      <c r="C2172" s="10" t="s">
        <v>41</v>
      </c>
      <c r="D2172" s="10" t="s">
        <v>42</v>
      </c>
      <c r="E2172" s="11" t="str">
        <f ca="1">IFERROR(__xludf.DUMMYFUNCTION("FILTER(Colegios!$B$2:$B2419,Colegios!$A$2:$A2419=L2172)"),"601331")</f>
        <v>601331</v>
      </c>
      <c r="F2172" s="11" t="s">
        <v>17</v>
      </c>
      <c r="G2172" s="10" t="s">
        <v>18</v>
      </c>
      <c r="H2172" s="11" t="s">
        <v>19</v>
      </c>
      <c r="I2172" s="11" t="s">
        <v>113</v>
      </c>
      <c r="J2172" s="12" t="str">
        <f ca="1">IFERROR(__xludf.DUMMYFUNCTION("FILTER('CLASFICACIÓN'!$F$3:$F2419,'CLASFICACIÓN'!$G$3:$G2419=M2172)"),"LOS 3 AÑOS")</f>
        <v>LOS 3 AÑOS</v>
      </c>
      <c r="K2172" s="12" t="s">
        <v>2012</v>
      </c>
      <c r="L2172" s="11" t="s">
        <v>91</v>
      </c>
      <c r="M2172" s="12" t="str">
        <f t="shared" ca="1" si="8"/>
        <v>6013312 Secundaria</v>
      </c>
      <c r="N2172" s="11"/>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1"/>
      <c r="AJ2172" s="14"/>
    </row>
    <row r="2173" spans="1:36" ht="12.5" x14ac:dyDescent="0.25">
      <c r="A2173" s="9">
        <v>796</v>
      </c>
      <c r="B2173" s="10" t="s">
        <v>60</v>
      </c>
      <c r="C2173" s="10" t="s">
        <v>41</v>
      </c>
      <c r="D2173" s="10" t="s">
        <v>42</v>
      </c>
      <c r="E2173" s="11" t="str">
        <f ca="1">IFERROR(__xludf.DUMMYFUNCTION("FILTER(Colegios!$B$2:$B2419,Colegios!$A$2:$A2419=L2173)"),"601331")</f>
        <v>601331</v>
      </c>
      <c r="F2173" s="11" t="s">
        <v>17</v>
      </c>
      <c r="G2173" s="10" t="s">
        <v>18</v>
      </c>
      <c r="H2173" s="11" t="s">
        <v>19</v>
      </c>
      <c r="I2173" s="11" t="s">
        <v>113</v>
      </c>
      <c r="J2173" s="12" t="str">
        <f ca="1">IFERROR(__xludf.DUMMYFUNCTION("FILTER('CLASFICACIÓN'!$F$3:$F2419,'CLASFICACIÓN'!$G$3:$G2419=M2173)"),"LOS 3 AÑOS")</f>
        <v>LOS 3 AÑOS</v>
      </c>
      <c r="K2173" s="12" t="s">
        <v>2012</v>
      </c>
      <c r="L2173" s="11" t="s">
        <v>91</v>
      </c>
      <c r="M2173" s="12" t="str">
        <f t="shared" ca="1" si="8"/>
        <v>6013312 Secundaria</v>
      </c>
      <c r="N2173" s="11"/>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1"/>
      <c r="AJ2173" s="14"/>
    </row>
    <row r="2174" spans="1:36" ht="12.5" x14ac:dyDescent="0.25">
      <c r="A2174" s="9">
        <v>797</v>
      </c>
      <c r="B2174" s="10" t="s">
        <v>60</v>
      </c>
      <c r="C2174" s="10" t="s">
        <v>41</v>
      </c>
      <c r="D2174" s="10" t="s">
        <v>43</v>
      </c>
      <c r="E2174" s="11" t="str">
        <f ca="1">IFERROR(__xludf.DUMMYFUNCTION("FILTER(Colegios!$B$2:$B2419,Colegios!$A$2:$A2419=L2174)"),"601331")</f>
        <v>601331</v>
      </c>
      <c r="F2174" s="11" t="s">
        <v>17</v>
      </c>
      <c r="G2174" s="10" t="s">
        <v>18</v>
      </c>
      <c r="H2174" s="11" t="s">
        <v>19</v>
      </c>
      <c r="I2174" s="11" t="s">
        <v>113</v>
      </c>
      <c r="J2174" s="12" t="str">
        <f ca="1">IFERROR(__xludf.DUMMYFUNCTION("FILTER('CLASFICACIÓN'!$F$3:$F2419,'CLASFICACIÓN'!$G$3:$G2419=M2174)"),"LOS 3 AÑOS")</f>
        <v>LOS 3 AÑOS</v>
      </c>
      <c r="K2174" s="12" t="s">
        <v>2012</v>
      </c>
      <c r="L2174" s="11" t="s">
        <v>91</v>
      </c>
      <c r="M2174" s="12" t="str">
        <f t="shared" ca="1" si="8"/>
        <v>6013314 Secundaria</v>
      </c>
      <c r="N2174" s="11"/>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1"/>
      <c r="AJ2174" s="14"/>
    </row>
    <row r="2175" spans="1:36" ht="12.5" x14ac:dyDescent="0.25">
      <c r="A2175" s="9">
        <v>798</v>
      </c>
      <c r="B2175" s="10" t="s">
        <v>60</v>
      </c>
      <c r="C2175" s="10" t="s">
        <v>41</v>
      </c>
      <c r="D2175" s="10" t="s">
        <v>43</v>
      </c>
      <c r="E2175" s="11" t="str">
        <f ca="1">IFERROR(__xludf.DUMMYFUNCTION("FILTER(Colegios!$B$2:$B2419,Colegios!$A$2:$A2419=L2175)"),"601331")</f>
        <v>601331</v>
      </c>
      <c r="F2175" s="11" t="s">
        <v>17</v>
      </c>
      <c r="G2175" s="10" t="s">
        <v>24</v>
      </c>
      <c r="H2175" s="11" t="s">
        <v>19</v>
      </c>
      <c r="I2175" s="11" t="s">
        <v>113</v>
      </c>
      <c r="J2175" s="12" t="str">
        <f ca="1">IFERROR(__xludf.DUMMYFUNCTION("FILTER('CLASFICACIÓN'!$F$3:$F2419,'CLASFICACIÓN'!$G$3:$G2419=M2175)"),"LOS 3 AÑOS")</f>
        <v>LOS 3 AÑOS</v>
      </c>
      <c r="K2175" s="12" t="s">
        <v>2012</v>
      </c>
      <c r="L2175" s="11" t="s">
        <v>91</v>
      </c>
      <c r="M2175" s="12" t="str">
        <f t="shared" ca="1" si="8"/>
        <v>6013314 Secundaria</v>
      </c>
      <c r="N2175" s="11"/>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1"/>
      <c r="AJ2175" s="14"/>
    </row>
    <row r="2176" spans="1:36" ht="12.5" x14ac:dyDescent="0.25">
      <c r="A2176" s="9">
        <v>799</v>
      </c>
      <c r="B2176" s="10" t="s">
        <v>60</v>
      </c>
      <c r="C2176" s="10" t="s">
        <v>41</v>
      </c>
      <c r="D2176" s="10" t="s">
        <v>43</v>
      </c>
      <c r="E2176" s="11" t="str">
        <f ca="1">IFERROR(__xludf.DUMMYFUNCTION("FILTER(Colegios!$B$2:$B2419,Colegios!$A$2:$A2419=L2176)"),"601331")</f>
        <v>601331</v>
      </c>
      <c r="F2176" s="11" t="s">
        <v>17</v>
      </c>
      <c r="G2176" s="10" t="s">
        <v>24</v>
      </c>
      <c r="H2176" s="11" t="s">
        <v>19</v>
      </c>
      <c r="I2176" s="11" t="s">
        <v>113</v>
      </c>
      <c r="J2176" s="12" t="str">
        <f ca="1">IFERROR(__xludf.DUMMYFUNCTION("FILTER('CLASFICACIÓN'!$F$3:$F2419,'CLASFICACIÓN'!$G$3:$G2419=M2176)"),"LOS 3 AÑOS")</f>
        <v>LOS 3 AÑOS</v>
      </c>
      <c r="K2176" s="12" t="s">
        <v>2012</v>
      </c>
      <c r="L2176" s="11" t="s">
        <v>91</v>
      </c>
      <c r="M2176" s="12" t="str">
        <f t="shared" ca="1" si="8"/>
        <v>6013314 Secundaria</v>
      </c>
      <c r="N2176" s="11"/>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1"/>
      <c r="AJ2176" s="14"/>
    </row>
    <row r="2177" spans="1:36" ht="12.5" x14ac:dyDescent="0.25">
      <c r="A2177" s="9">
        <v>800</v>
      </c>
      <c r="B2177" s="10" t="s">
        <v>60</v>
      </c>
      <c r="C2177" s="10" t="s">
        <v>41</v>
      </c>
      <c r="D2177" s="10" t="s">
        <v>43</v>
      </c>
      <c r="E2177" s="11" t="str">
        <f ca="1">IFERROR(__xludf.DUMMYFUNCTION("FILTER(Colegios!$B$2:$B2419,Colegios!$A$2:$A2419=L2177)"),"601331")</f>
        <v>601331</v>
      </c>
      <c r="F2177" s="11" t="s">
        <v>17</v>
      </c>
      <c r="G2177" s="10" t="s">
        <v>24</v>
      </c>
      <c r="H2177" s="11" t="s">
        <v>19</v>
      </c>
      <c r="I2177" s="11" t="s">
        <v>113</v>
      </c>
      <c r="J2177" s="12" t="str">
        <f ca="1">IFERROR(__xludf.DUMMYFUNCTION("FILTER('CLASFICACIÓN'!$F$3:$F2419,'CLASFICACIÓN'!$G$3:$G2419=M2177)"),"LOS 3 AÑOS")</f>
        <v>LOS 3 AÑOS</v>
      </c>
      <c r="K2177" s="12" t="s">
        <v>2012</v>
      </c>
      <c r="L2177" s="11" t="s">
        <v>91</v>
      </c>
      <c r="M2177" s="12" t="str">
        <f t="shared" ca="1" si="8"/>
        <v>6013314 Secundaria</v>
      </c>
      <c r="N2177" s="11"/>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1"/>
      <c r="AJ2177" s="14"/>
    </row>
    <row r="2178" spans="1:36" ht="12.5" x14ac:dyDescent="0.25">
      <c r="A2178" s="9">
        <v>801</v>
      </c>
      <c r="B2178" s="10" t="s">
        <v>60</v>
      </c>
      <c r="C2178" s="10" t="s">
        <v>41</v>
      </c>
      <c r="D2178" s="10" t="s">
        <v>43</v>
      </c>
      <c r="E2178" s="11" t="str">
        <f ca="1">IFERROR(__xludf.DUMMYFUNCTION("FILTER(Colegios!$B$2:$B2419,Colegios!$A$2:$A2419=L2178)"),"601331")</f>
        <v>601331</v>
      </c>
      <c r="F2178" s="11" t="s">
        <v>17</v>
      </c>
      <c r="G2178" s="10" t="s">
        <v>18</v>
      </c>
      <c r="H2178" s="11" t="s">
        <v>19</v>
      </c>
      <c r="I2178" s="11" t="s">
        <v>113</v>
      </c>
      <c r="J2178" s="12" t="str">
        <f ca="1">IFERROR(__xludf.DUMMYFUNCTION("FILTER('CLASFICACIÓN'!$F$3:$F2419,'CLASFICACIÓN'!$G$3:$G2419=M2178)"),"LOS 3 AÑOS")</f>
        <v>LOS 3 AÑOS</v>
      </c>
      <c r="K2178" s="12" t="s">
        <v>2012</v>
      </c>
      <c r="L2178" s="11" t="s">
        <v>91</v>
      </c>
      <c r="M2178" s="12" t="str">
        <f t="shared" ca="1" si="8"/>
        <v>6013314 Secundaria</v>
      </c>
      <c r="N2178" s="11"/>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1"/>
      <c r="AJ2178" s="14"/>
    </row>
    <row r="2179" spans="1:36" ht="12.5" x14ac:dyDescent="0.25">
      <c r="A2179" s="9">
        <v>802</v>
      </c>
      <c r="B2179" s="10" t="s">
        <v>60</v>
      </c>
      <c r="C2179" s="10" t="s">
        <v>41</v>
      </c>
      <c r="D2179" s="10" t="s">
        <v>43</v>
      </c>
      <c r="E2179" s="11" t="str">
        <f ca="1">IFERROR(__xludf.DUMMYFUNCTION("FILTER(Colegios!$B$2:$B2419,Colegios!$A$2:$A2419=L2179)"),"601331")</f>
        <v>601331</v>
      </c>
      <c r="F2179" s="11" t="s">
        <v>17</v>
      </c>
      <c r="G2179" s="10" t="s">
        <v>24</v>
      </c>
      <c r="H2179" s="11" t="s">
        <v>19</v>
      </c>
      <c r="I2179" s="11" t="s">
        <v>113</v>
      </c>
      <c r="J2179" s="12" t="str">
        <f ca="1">IFERROR(__xludf.DUMMYFUNCTION("FILTER('CLASFICACIÓN'!$F$3:$F2419,'CLASFICACIÓN'!$G$3:$G2419=M2179)"),"LOS 3 AÑOS")</f>
        <v>LOS 3 AÑOS</v>
      </c>
      <c r="K2179" s="12" t="s">
        <v>2012</v>
      </c>
      <c r="L2179" s="11" t="s">
        <v>91</v>
      </c>
      <c r="M2179" s="12" t="str">
        <f t="shared" ca="1" si="8"/>
        <v>6013314 Secundaria</v>
      </c>
      <c r="N2179" s="11"/>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1"/>
      <c r="AJ2179" s="14"/>
    </row>
    <row r="2180" spans="1:36" ht="12.5" x14ac:dyDescent="0.25">
      <c r="A2180" s="9">
        <v>803</v>
      </c>
      <c r="B2180" s="10" t="s">
        <v>60</v>
      </c>
      <c r="C2180" s="10" t="s">
        <v>41</v>
      </c>
      <c r="D2180" s="10" t="s">
        <v>43</v>
      </c>
      <c r="E2180" s="11" t="str">
        <f ca="1">IFERROR(__xludf.DUMMYFUNCTION("FILTER(Colegios!$B$2:$B2419,Colegios!$A$2:$A2419=L2180)"),"601331")</f>
        <v>601331</v>
      </c>
      <c r="F2180" s="11" t="s">
        <v>17</v>
      </c>
      <c r="G2180" s="10" t="s">
        <v>18</v>
      </c>
      <c r="H2180" s="11" t="s">
        <v>19</v>
      </c>
      <c r="I2180" s="11" t="s">
        <v>113</v>
      </c>
      <c r="J2180" s="12" t="str">
        <f ca="1">IFERROR(__xludf.DUMMYFUNCTION("FILTER('CLASFICACIÓN'!$F$3:$F2419,'CLASFICACIÓN'!$G$3:$G2419=M2180)"),"LOS 3 AÑOS")</f>
        <v>LOS 3 AÑOS</v>
      </c>
      <c r="K2180" s="12" t="s">
        <v>2012</v>
      </c>
      <c r="L2180" s="11" t="s">
        <v>91</v>
      </c>
      <c r="M2180" s="12" t="str">
        <f t="shared" ca="1" si="8"/>
        <v>6013314 Secundaria</v>
      </c>
      <c r="N2180" s="11"/>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1"/>
      <c r="AJ2180" s="14"/>
    </row>
    <row r="2181" spans="1:36" ht="12.5" x14ac:dyDescent="0.25">
      <c r="A2181" s="9">
        <v>804</v>
      </c>
      <c r="B2181" s="10" t="s">
        <v>60</v>
      </c>
      <c r="C2181" s="10" t="s">
        <v>41</v>
      </c>
      <c r="D2181" s="10" t="s">
        <v>43</v>
      </c>
      <c r="E2181" s="11" t="str">
        <f ca="1">IFERROR(__xludf.DUMMYFUNCTION("FILTER(Colegios!$B$2:$B2419,Colegios!$A$2:$A2419=L2181)"),"601331")</f>
        <v>601331</v>
      </c>
      <c r="F2181" s="11" t="s">
        <v>17</v>
      </c>
      <c r="G2181" s="10" t="s">
        <v>18</v>
      </c>
      <c r="H2181" s="11" t="s">
        <v>19</v>
      </c>
      <c r="I2181" s="11" t="s">
        <v>113</v>
      </c>
      <c r="J2181" s="12" t="str">
        <f ca="1">IFERROR(__xludf.DUMMYFUNCTION("FILTER('CLASFICACIÓN'!$F$3:$F2419,'CLASFICACIÓN'!$G$3:$G2419=M2181)"),"LOS 3 AÑOS")</f>
        <v>LOS 3 AÑOS</v>
      </c>
      <c r="K2181" s="12" t="s">
        <v>2012</v>
      </c>
      <c r="L2181" s="11" t="s">
        <v>91</v>
      </c>
      <c r="M2181" s="12" t="str">
        <f t="shared" ca="1" si="8"/>
        <v>6013314 Secundaria</v>
      </c>
      <c r="N2181" s="11"/>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1"/>
      <c r="AJ2181" s="14"/>
    </row>
    <row r="2182" spans="1:36" ht="12.5" x14ac:dyDescent="0.25">
      <c r="A2182" s="9">
        <v>805</v>
      </c>
      <c r="B2182" s="10" t="s">
        <v>60</v>
      </c>
      <c r="C2182" s="10" t="s">
        <v>41</v>
      </c>
      <c r="D2182" s="10" t="s">
        <v>43</v>
      </c>
      <c r="E2182" s="11" t="str">
        <f ca="1">IFERROR(__xludf.DUMMYFUNCTION("FILTER(Colegios!$B$2:$B2419,Colegios!$A$2:$A2419=L2182)"),"601331")</f>
        <v>601331</v>
      </c>
      <c r="F2182" s="11" t="s">
        <v>17</v>
      </c>
      <c r="G2182" s="10" t="s">
        <v>24</v>
      </c>
      <c r="H2182" s="11" t="s">
        <v>19</v>
      </c>
      <c r="I2182" s="11" t="s">
        <v>113</v>
      </c>
      <c r="J2182" s="12" t="str">
        <f ca="1">IFERROR(__xludf.DUMMYFUNCTION("FILTER('CLASFICACIÓN'!$F$3:$F2419,'CLASFICACIÓN'!$G$3:$G2419=M2182)"),"LOS 3 AÑOS")</f>
        <v>LOS 3 AÑOS</v>
      </c>
      <c r="K2182" s="12" t="s">
        <v>2012</v>
      </c>
      <c r="L2182" s="11" t="s">
        <v>91</v>
      </c>
      <c r="M2182" s="12" t="str">
        <f t="shared" ca="1" si="8"/>
        <v>6013314 Secundaria</v>
      </c>
      <c r="N2182" s="11"/>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1"/>
      <c r="AJ2182" s="14"/>
    </row>
    <row r="2183" spans="1:36" ht="12.5" x14ac:dyDescent="0.25">
      <c r="A2183" s="9">
        <v>806</v>
      </c>
      <c r="B2183" s="10" t="s">
        <v>60</v>
      </c>
      <c r="C2183" s="10" t="s">
        <v>41</v>
      </c>
      <c r="D2183" s="10" t="s">
        <v>43</v>
      </c>
      <c r="E2183" s="11" t="str">
        <f ca="1">IFERROR(__xludf.DUMMYFUNCTION("FILTER(Colegios!$B$2:$B2419,Colegios!$A$2:$A2419=L2183)"),"601331")</f>
        <v>601331</v>
      </c>
      <c r="F2183" s="11" t="s">
        <v>17</v>
      </c>
      <c r="G2183" s="10" t="s">
        <v>24</v>
      </c>
      <c r="H2183" s="11" t="s">
        <v>19</v>
      </c>
      <c r="I2183" s="11" t="s">
        <v>113</v>
      </c>
      <c r="J2183" s="12" t="str">
        <f ca="1">IFERROR(__xludf.DUMMYFUNCTION("FILTER('CLASFICACIÓN'!$F$3:$F2419,'CLASFICACIÓN'!$G$3:$G2419=M2183)"),"LOS 3 AÑOS")</f>
        <v>LOS 3 AÑOS</v>
      </c>
      <c r="K2183" s="12" t="s">
        <v>2012</v>
      </c>
      <c r="L2183" s="11" t="s">
        <v>91</v>
      </c>
      <c r="M2183" s="12" t="str">
        <f t="shared" ca="1" si="8"/>
        <v>6013314 Secundaria</v>
      </c>
      <c r="N2183" s="11"/>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1"/>
      <c r="AJ2183" s="14"/>
    </row>
    <row r="2184" spans="1:36" ht="12.5" x14ac:dyDescent="0.25">
      <c r="A2184" s="9">
        <v>807</v>
      </c>
      <c r="B2184" s="10" t="s">
        <v>60</v>
      </c>
      <c r="C2184" s="10" t="s">
        <v>41</v>
      </c>
      <c r="D2184" s="10" t="s">
        <v>43</v>
      </c>
      <c r="E2184" s="11" t="str">
        <f ca="1">IFERROR(__xludf.DUMMYFUNCTION("FILTER(Colegios!$B$2:$B2419,Colegios!$A$2:$A2419=L2184)"),"601331")</f>
        <v>601331</v>
      </c>
      <c r="F2184" s="11" t="s">
        <v>17</v>
      </c>
      <c r="G2184" s="10" t="s">
        <v>24</v>
      </c>
      <c r="H2184" s="11" t="s">
        <v>19</v>
      </c>
      <c r="I2184" s="11" t="s">
        <v>113</v>
      </c>
      <c r="J2184" s="12" t="str">
        <f ca="1">IFERROR(__xludf.DUMMYFUNCTION("FILTER('CLASFICACIÓN'!$F$3:$F2419,'CLASFICACIÓN'!$G$3:$G2419=M2184)"),"LOS 3 AÑOS")</f>
        <v>LOS 3 AÑOS</v>
      </c>
      <c r="K2184" s="12" t="s">
        <v>2012</v>
      </c>
      <c r="L2184" s="11" t="s">
        <v>91</v>
      </c>
      <c r="M2184" s="12" t="str">
        <f t="shared" ca="1" si="8"/>
        <v>6013314 Secundaria</v>
      </c>
      <c r="N2184" s="11"/>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1"/>
      <c r="AJ2184" s="14"/>
    </row>
    <row r="2185" spans="1:36" ht="12.5" x14ac:dyDescent="0.25">
      <c r="A2185" s="9">
        <v>808</v>
      </c>
      <c r="B2185" s="10" t="s">
        <v>60</v>
      </c>
      <c r="C2185" s="10" t="s">
        <v>41</v>
      </c>
      <c r="D2185" s="10" t="s">
        <v>43</v>
      </c>
      <c r="E2185" s="11" t="str">
        <f ca="1">IFERROR(__xludf.DUMMYFUNCTION("FILTER(Colegios!$B$2:$B2419,Colegios!$A$2:$A2419=L2185)"),"601331")</f>
        <v>601331</v>
      </c>
      <c r="F2185" s="11" t="s">
        <v>17</v>
      </c>
      <c r="G2185" s="10" t="s">
        <v>24</v>
      </c>
      <c r="H2185" s="11" t="s">
        <v>19</v>
      </c>
      <c r="I2185" s="11" t="s">
        <v>113</v>
      </c>
      <c r="J2185" s="12" t="str">
        <f ca="1">IFERROR(__xludf.DUMMYFUNCTION("FILTER('CLASFICACIÓN'!$F$3:$F2419,'CLASFICACIÓN'!$G$3:$G2419=M2185)"),"LOS 3 AÑOS")</f>
        <v>LOS 3 AÑOS</v>
      </c>
      <c r="K2185" s="12" t="s">
        <v>2012</v>
      </c>
      <c r="L2185" s="11" t="s">
        <v>91</v>
      </c>
      <c r="M2185" s="12" t="str">
        <f t="shared" ca="1" si="8"/>
        <v>6013314 Secundaria</v>
      </c>
      <c r="N2185" s="11"/>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1"/>
      <c r="AJ2185" s="14"/>
    </row>
    <row r="2186" spans="1:36" ht="12.5" x14ac:dyDescent="0.25">
      <c r="A2186" s="9">
        <v>809</v>
      </c>
      <c r="B2186" s="10" t="s">
        <v>60</v>
      </c>
      <c r="C2186" s="10" t="s">
        <v>41</v>
      </c>
      <c r="D2186" s="10" t="s">
        <v>43</v>
      </c>
      <c r="E2186" s="11" t="str">
        <f ca="1">IFERROR(__xludf.DUMMYFUNCTION("FILTER(Colegios!$B$2:$B2419,Colegios!$A$2:$A2419=L2186)"),"601331")</f>
        <v>601331</v>
      </c>
      <c r="F2186" s="11" t="s">
        <v>17</v>
      </c>
      <c r="G2186" s="10" t="s">
        <v>18</v>
      </c>
      <c r="H2186" s="11" t="s">
        <v>19</v>
      </c>
      <c r="I2186" s="11" t="s">
        <v>113</v>
      </c>
      <c r="J2186" s="12" t="str">
        <f ca="1">IFERROR(__xludf.DUMMYFUNCTION("FILTER('CLASFICACIÓN'!$F$3:$F2419,'CLASFICACIÓN'!$G$3:$G2419=M2186)"),"LOS 3 AÑOS")</f>
        <v>LOS 3 AÑOS</v>
      </c>
      <c r="K2186" s="12" t="s">
        <v>2012</v>
      </c>
      <c r="L2186" s="11" t="s">
        <v>91</v>
      </c>
      <c r="M2186" s="12" t="str">
        <f t="shared" ca="1" si="8"/>
        <v>6013314 Secundaria</v>
      </c>
      <c r="N2186" s="11"/>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4"/>
    </row>
    <row r="2187" spans="1:36" ht="12.5" x14ac:dyDescent="0.25">
      <c r="A2187" s="9">
        <v>810</v>
      </c>
      <c r="B2187" s="10" t="s">
        <v>60</v>
      </c>
      <c r="C2187" s="10" t="s">
        <v>41</v>
      </c>
      <c r="D2187" s="10" t="s">
        <v>43</v>
      </c>
      <c r="E2187" s="11" t="str">
        <f ca="1">IFERROR(__xludf.DUMMYFUNCTION("FILTER(Colegios!$B$2:$B2419,Colegios!$A$2:$A2419=L2187)"),"601331")</f>
        <v>601331</v>
      </c>
      <c r="F2187" s="11" t="s">
        <v>17</v>
      </c>
      <c r="G2187" s="10" t="s">
        <v>24</v>
      </c>
      <c r="H2187" s="11" t="s">
        <v>19</v>
      </c>
      <c r="I2187" s="11" t="s">
        <v>113</v>
      </c>
      <c r="J2187" s="12" t="str">
        <f ca="1">IFERROR(__xludf.DUMMYFUNCTION("FILTER('CLASFICACIÓN'!$F$3:$F2419,'CLASFICACIÓN'!$G$3:$G2419=M2187)"),"LOS 3 AÑOS")</f>
        <v>LOS 3 AÑOS</v>
      </c>
      <c r="K2187" s="12" t="s">
        <v>2012</v>
      </c>
      <c r="L2187" s="11" t="s">
        <v>91</v>
      </c>
      <c r="M2187" s="12" t="str">
        <f t="shared" ca="1" si="8"/>
        <v>6013314 Secundaria</v>
      </c>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4"/>
    </row>
    <row r="2188" spans="1:36" ht="12.5" x14ac:dyDescent="0.25">
      <c r="A2188" s="9">
        <v>811</v>
      </c>
      <c r="B2188" s="10" t="s">
        <v>60</v>
      </c>
      <c r="C2188" s="10" t="s">
        <v>41</v>
      </c>
      <c r="D2188" s="10" t="s">
        <v>43</v>
      </c>
      <c r="E2188" s="11" t="str">
        <f ca="1">IFERROR(__xludf.DUMMYFUNCTION("FILTER(Colegios!$B$2:$B2419,Colegios!$A$2:$A2419=L2188)"),"601331")</f>
        <v>601331</v>
      </c>
      <c r="F2188" s="11" t="s">
        <v>17</v>
      </c>
      <c r="G2188" s="10" t="s">
        <v>24</v>
      </c>
      <c r="H2188" s="11" t="s">
        <v>19</v>
      </c>
      <c r="I2188" s="11" t="s">
        <v>113</v>
      </c>
      <c r="J2188" s="12" t="str">
        <f ca="1">IFERROR(__xludf.DUMMYFUNCTION("FILTER('CLASFICACIÓN'!$F$3:$F2419,'CLASFICACIÓN'!$G$3:$G2419=M2188)"),"LOS 3 AÑOS")</f>
        <v>LOS 3 AÑOS</v>
      </c>
      <c r="K2188" s="12" t="s">
        <v>2012</v>
      </c>
      <c r="L2188" s="11" t="s">
        <v>91</v>
      </c>
      <c r="M2188" s="12" t="str">
        <f t="shared" ca="1" si="8"/>
        <v>6013314 Secundaria</v>
      </c>
      <c r="N2188" s="11"/>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1"/>
      <c r="AJ2188" s="14"/>
    </row>
    <row r="2189" spans="1:36" ht="12.5" x14ac:dyDescent="0.25">
      <c r="A2189" s="9">
        <v>812</v>
      </c>
      <c r="B2189" s="10" t="s">
        <v>60</v>
      </c>
      <c r="C2189" s="10" t="s">
        <v>15</v>
      </c>
      <c r="D2189" s="10" t="s">
        <v>45</v>
      </c>
      <c r="E2189" s="11" t="str">
        <f ca="1">IFERROR(__xludf.DUMMYFUNCTION("FILTER(Colegios!$B$2:$B2419,Colegios!$A$2:$A2419=L2189)"),"6010230 BARBARA D'ACHILLE")</f>
        <v>6010230 BARBARA D'ACHILLE</v>
      </c>
      <c r="F2189" s="11" t="s">
        <v>17</v>
      </c>
      <c r="G2189" s="10" t="s">
        <v>18</v>
      </c>
      <c r="H2189" s="11" t="s">
        <v>19</v>
      </c>
      <c r="I2189" s="11" t="s">
        <v>113</v>
      </c>
      <c r="J2189" s="12" t="str">
        <f ca="1">IFERROR(__xludf.DUMMYFUNCTION("FILTER('CLASFICACIÓN'!$F$3:$F2419,'CLASFICACIÓN'!$G$3:$G2419=M2189)"),"2023 Y 2024")</f>
        <v>2023 Y 2024</v>
      </c>
      <c r="K2189" s="12" t="s">
        <v>2011</v>
      </c>
      <c r="L2189" s="11" t="s">
        <v>93</v>
      </c>
      <c r="M2189" s="12" t="str">
        <f t="shared" ca="1" si="8"/>
        <v>6010230 BARBARA D'ACHILLE2 Primaria</v>
      </c>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4"/>
    </row>
    <row r="2190" spans="1:36" ht="12.5" x14ac:dyDescent="0.25">
      <c r="A2190" s="9">
        <v>813</v>
      </c>
      <c r="B2190" s="10" t="s">
        <v>60</v>
      </c>
      <c r="C2190" s="10" t="s">
        <v>15</v>
      </c>
      <c r="D2190" s="10" t="s">
        <v>45</v>
      </c>
      <c r="E2190" s="11" t="str">
        <f ca="1">IFERROR(__xludf.DUMMYFUNCTION("FILTER(Colegios!$B$2:$B2419,Colegios!$A$2:$A2419=L2190)"),"6010230 BARBARA D'ACHILLE")</f>
        <v>6010230 BARBARA D'ACHILLE</v>
      </c>
      <c r="F2190" s="11" t="s">
        <v>17</v>
      </c>
      <c r="G2190" s="10" t="s">
        <v>18</v>
      </c>
      <c r="H2190" s="11" t="s">
        <v>19</v>
      </c>
      <c r="I2190" s="11" t="s">
        <v>113</v>
      </c>
      <c r="J2190" s="12" t="str">
        <f ca="1">IFERROR(__xludf.DUMMYFUNCTION("FILTER('CLASFICACIÓN'!$F$3:$F2419,'CLASFICACIÓN'!$G$3:$G2419=M2190)"),"2023 Y 2024")</f>
        <v>2023 Y 2024</v>
      </c>
      <c r="K2190" s="12" t="s">
        <v>2011</v>
      </c>
      <c r="L2190" s="11" t="s">
        <v>93</v>
      </c>
      <c r="M2190" s="12" t="str">
        <f t="shared" ca="1" si="8"/>
        <v>6010230 BARBARA D'ACHILLE2 Primaria</v>
      </c>
      <c r="N2190" s="11"/>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1"/>
      <c r="AJ2190" s="14"/>
    </row>
    <row r="2191" spans="1:36" ht="12.5" x14ac:dyDescent="0.25">
      <c r="A2191" s="9">
        <v>814</v>
      </c>
      <c r="B2191" s="10" t="s">
        <v>60</v>
      </c>
      <c r="C2191" s="10" t="s">
        <v>15</v>
      </c>
      <c r="D2191" s="10" t="s">
        <v>45</v>
      </c>
      <c r="E2191" s="11" t="str">
        <f ca="1">IFERROR(__xludf.DUMMYFUNCTION("FILTER(Colegios!$B$2:$B2419,Colegios!$A$2:$A2419=L2191)"),"6010230 BARBARA D'ACHILLE")</f>
        <v>6010230 BARBARA D'ACHILLE</v>
      </c>
      <c r="F2191" s="11" t="s">
        <v>17</v>
      </c>
      <c r="G2191" s="10" t="s">
        <v>18</v>
      </c>
      <c r="H2191" s="11" t="s">
        <v>19</v>
      </c>
      <c r="I2191" s="11" t="s">
        <v>113</v>
      </c>
      <c r="J2191" s="12" t="str">
        <f ca="1">IFERROR(__xludf.DUMMYFUNCTION("FILTER('CLASFICACIÓN'!$F$3:$F2419,'CLASFICACIÓN'!$G$3:$G2419=M2191)"),"2023 Y 2024")</f>
        <v>2023 Y 2024</v>
      </c>
      <c r="K2191" s="12" t="s">
        <v>2011</v>
      </c>
      <c r="L2191" s="11" t="s">
        <v>93</v>
      </c>
      <c r="M2191" s="12" t="str">
        <f t="shared" ca="1" si="8"/>
        <v>6010230 BARBARA D'ACHILLE2 Primaria</v>
      </c>
      <c r="N2191" s="11"/>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4"/>
    </row>
    <row r="2192" spans="1:36" ht="12.5" x14ac:dyDescent="0.25">
      <c r="A2192" s="9">
        <v>815</v>
      </c>
      <c r="B2192" s="10" t="s">
        <v>60</v>
      </c>
      <c r="C2192" s="10" t="s">
        <v>15</v>
      </c>
      <c r="D2192" s="10" t="s">
        <v>45</v>
      </c>
      <c r="E2192" s="11" t="str">
        <f ca="1">IFERROR(__xludf.DUMMYFUNCTION("FILTER(Colegios!$B$2:$B2419,Colegios!$A$2:$A2419=L2192)"),"6010230 BARBARA D'ACHILLE")</f>
        <v>6010230 BARBARA D'ACHILLE</v>
      </c>
      <c r="F2192" s="11" t="s">
        <v>17</v>
      </c>
      <c r="G2192" s="10" t="s">
        <v>18</v>
      </c>
      <c r="H2192" s="11" t="s">
        <v>23</v>
      </c>
      <c r="I2192" s="11" t="s">
        <v>113</v>
      </c>
      <c r="J2192" s="12" t="str">
        <f ca="1">IFERROR(__xludf.DUMMYFUNCTION("FILTER('CLASFICACIÓN'!$F$3:$F2419,'CLASFICACIÓN'!$G$3:$G2419=M2192)"),"2023 Y 2024")</f>
        <v>2023 Y 2024</v>
      </c>
      <c r="K2192" s="12" t="s">
        <v>2011</v>
      </c>
      <c r="L2192" s="11" t="s">
        <v>93</v>
      </c>
      <c r="M2192" s="12" t="str">
        <f t="shared" ca="1" si="8"/>
        <v>6010230 BARBARA D'ACHILLE2 Primaria</v>
      </c>
      <c r="N2192" s="11"/>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1"/>
      <c r="AJ2192" s="14"/>
    </row>
    <row r="2193" spans="1:36" ht="12.5" x14ac:dyDescent="0.25">
      <c r="A2193" s="9">
        <v>816</v>
      </c>
      <c r="B2193" s="10" t="s">
        <v>60</v>
      </c>
      <c r="C2193" s="10" t="s">
        <v>15</v>
      </c>
      <c r="D2193" s="10" t="s">
        <v>16</v>
      </c>
      <c r="E2193" s="11" t="str">
        <f ca="1">IFERROR(__xludf.DUMMYFUNCTION("FILTER(Colegios!$B$2:$B2419,Colegios!$A$2:$A2419=L2193)"),"6010230 BARBARA D'ACHILLE")</f>
        <v>6010230 BARBARA D'ACHILLE</v>
      </c>
      <c r="F2193" s="11" t="s">
        <v>17</v>
      </c>
      <c r="G2193" s="10" t="s">
        <v>18</v>
      </c>
      <c r="H2193" s="11" t="s">
        <v>19</v>
      </c>
      <c r="I2193" s="11" t="s">
        <v>113</v>
      </c>
      <c r="J2193" s="12" t="str">
        <f ca="1">IFERROR(__xludf.DUMMYFUNCTION("FILTER('CLASFICACIÓN'!$F$3:$F2419,'CLASFICACIÓN'!$G$3:$G2419=M2193)"),"LOS 3 AÑOS")</f>
        <v>LOS 3 AÑOS</v>
      </c>
      <c r="K2193" s="12" t="s">
        <v>2011</v>
      </c>
      <c r="L2193" s="11" t="s">
        <v>93</v>
      </c>
      <c r="M2193" s="12" t="str">
        <f t="shared" ca="1" si="8"/>
        <v>6010230 BARBARA D'ACHILLE4 Primaria</v>
      </c>
      <c r="N2193" s="11"/>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1"/>
      <c r="AJ2193" s="14"/>
    </row>
    <row r="2194" spans="1:36" ht="12.5" x14ac:dyDescent="0.25">
      <c r="A2194" s="9">
        <v>817</v>
      </c>
      <c r="B2194" s="10" t="s">
        <v>60</v>
      </c>
      <c r="C2194" s="10" t="s">
        <v>15</v>
      </c>
      <c r="D2194" s="10" t="s">
        <v>16</v>
      </c>
      <c r="E2194" s="11" t="str">
        <f ca="1">IFERROR(__xludf.DUMMYFUNCTION("FILTER(Colegios!$B$2:$B2419,Colegios!$A$2:$A2419=L2194)"),"6010230 BARBARA D'ACHILLE")</f>
        <v>6010230 BARBARA D'ACHILLE</v>
      </c>
      <c r="F2194" s="11" t="s">
        <v>17</v>
      </c>
      <c r="G2194" s="10" t="s">
        <v>24</v>
      </c>
      <c r="H2194" s="11" t="s">
        <v>19</v>
      </c>
      <c r="I2194" s="11" t="s">
        <v>113</v>
      </c>
      <c r="J2194" s="12" t="str">
        <f ca="1">IFERROR(__xludf.DUMMYFUNCTION("FILTER('CLASFICACIÓN'!$F$3:$F2419,'CLASFICACIÓN'!$G$3:$G2419=M2194)"),"LOS 3 AÑOS")</f>
        <v>LOS 3 AÑOS</v>
      </c>
      <c r="K2194" s="12" t="s">
        <v>2011</v>
      </c>
      <c r="L2194" s="11" t="s">
        <v>93</v>
      </c>
      <c r="M2194" s="12" t="str">
        <f t="shared" ca="1" si="8"/>
        <v>6010230 BARBARA D'ACHILLE4 Primaria</v>
      </c>
      <c r="N2194" s="11"/>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1"/>
      <c r="AJ2194" s="14"/>
    </row>
    <row r="2195" spans="1:36" ht="12.5" x14ac:dyDescent="0.25">
      <c r="A2195" s="9">
        <v>818</v>
      </c>
      <c r="B2195" s="10" t="s">
        <v>60</v>
      </c>
      <c r="C2195" s="10" t="s">
        <v>15</v>
      </c>
      <c r="D2195" s="10" t="s">
        <v>16</v>
      </c>
      <c r="E2195" s="11" t="str">
        <f ca="1">IFERROR(__xludf.DUMMYFUNCTION("FILTER(Colegios!$B$2:$B2419,Colegios!$A$2:$A2419=L2195)"),"6010230 BARBARA D'ACHILLE")</f>
        <v>6010230 BARBARA D'ACHILLE</v>
      </c>
      <c r="F2195" s="11" t="s">
        <v>17</v>
      </c>
      <c r="G2195" s="10" t="s">
        <v>18</v>
      </c>
      <c r="H2195" s="11" t="s">
        <v>19</v>
      </c>
      <c r="I2195" s="11" t="s">
        <v>113</v>
      </c>
      <c r="J2195" s="12" t="str">
        <f ca="1">IFERROR(__xludf.DUMMYFUNCTION("FILTER('CLASFICACIÓN'!$F$3:$F2419,'CLASFICACIÓN'!$G$3:$G2419=M2195)"),"LOS 3 AÑOS")</f>
        <v>LOS 3 AÑOS</v>
      </c>
      <c r="K2195" s="12" t="s">
        <v>2011</v>
      </c>
      <c r="L2195" s="11" t="s">
        <v>93</v>
      </c>
      <c r="M2195" s="12" t="str">
        <f t="shared" ca="1" si="8"/>
        <v>6010230 BARBARA D'ACHILLE4 Primaria</v>
      </c>
      <c r="N2195" s="11"/>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1"/>
      <c r="AJ2195" s="14"/>
    </row>
    <row r="2196" spans="1:36" ht="12.5" x14ac:dyDescent="0.25">
      <c r="A2196" s="9">
        <v>819</v>
      </c>
      <c r="B2196" s="10" t="s">
        <v>60</v>
      </c>
      <c r="C2196" s="10" t="s">
        <v>15</v>
      </c>
      <c r="D2196" s="10" t="s">
        <v>16</v>
      </c>
      <c r="E2196" s="11" t="str">
        <f ca="1">IFERROR(__xludf.DUMMYFUNCTION("FILTER(Colegios!$B$2:$B2419,Colegios!$A$2:$A2419=L2196)"),"6010230 BARBARA D'ACHILLE")</f>
        <v>6010230 BARBARA D'ACHILLE</v>
      </c>
      <c r="F2196" s="11" t="s">
        <v>17</v>
      </c>
      <c r="G2196" s="10" t="s">
        <v>18</v>
      </c>
      <c r="H2196" s="11" t="s">
        <v>19</v>
      </c>
      <c r="I2196" s="11" t="s">
        <v>113</v>
      </c>
      <c r="J2196" s="12" t="str">
        <f ca="1">IFERROR(__xludf.DUMMYFUNCTION("FILTER('CLASFICACIÓN'!$F$3:$F2419,'CLASFICACIÓN'!$G$3:$G2419=M2196)"),"LOS 3 AÑOS")</f>
        <v>LOS 3 AÑOS</v>
      </c>
      <c r="K2196" s="12" t="s">
        <v>2011</v>
      </c>
      <c r="L2196" s="11" t="s">
        <v>93</v>
      </c>
      <c r="M2196" s="12" t="str">
        <f t="shared" ca="1" si="8"/>
        <v>6010230 BARBARA D'ACHILLE4 Primaria</v>
      </c>
      <c r="N2196" s="11"/>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1"/>
      <c r="AJ2196" s="14"/>
    </row>
    <row r="2197" spans="1:36" ht="12.5" x14ac:dyDescent="0.25">
      <c r="A2197" s="9">
        <v>820</v>
      </c>
      <c r="B2197" s="10" t="s">
        <v>60</v>
      </c>
      <c r="C2197" s="10" t="s">
        <v>15</v>
      </c>
      <c r="D2197" s="10" t="s">
        <v>16</v>
      </c>
      <c r="E2197" s="11" t="str">
        <f ca="1">IFERROR(__xludf.DUMMYFUNCTION("FILTER(Colegios!$B$2:$B2419,Colegios!$A$2:$A2419=L2197)"),"6010230 BARBARA D'ACHILLE")</f>
        <v>6010230 BARBARA D'ACHILLE</v>
      </c>
      <c r="F2197" s="11" t="s">
        <v>17</v>
      </c>
      <c r="G2197" s="10" t="s">
        <v>24</v>
      </c>
      <c r="H2197" s="11" t="s">
        <v>19</v>
      </c>
      <c r="I2197" s="11" t="s">
        <v>113</v>
      </c>
      <c r="J2197" s="12" t="str">
        <f ca="1">IFERROR(__xludf.DUMMYFUNCTION("FILTER('CLASFICACIÓN'!$F$3:$F2419,'CLASFICACIÓN'!$G$3:$G2419=M2197)"),"LOS 3 AÑOS")</f>
        <v>LOS 3 AÑOS</v>
      </c>
      <c r="K2197" s="12" t="s">
        <v>2011</v>
      </c>
      <c r="L2197" s="11" t="s">
        <v>93</v>
      </c>
      <c r="M2197" s="12" t="str">
        <f t="shared" ca="1" si="8"/>
        <v>6010230 BARBARA D'ACHILLE4 Primaria</v>
      </c>
      <c r="N2197" s="11"/>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1"/>
      <c r="AJ2197" s="14"/>
    </row>
    <row r="2198" spans="1:36" ht="12.5" x14ac:dyDescent="0.25">
      <c r="A2198" s="9">
        <v>821</v>
      </c>
      <c r="B2198" s="10" t="s">
        <v>60</v>
      </c>
      <c r="C2198" s="10" t="s">
        <v>15</v>
      </c>
      <c r="D2198" s="10" t="s">
        <v>16</v>
      </c>
      <c r="E2198" s="11" t="str">
        <f ca="1">IFERROR(__xludf.DUMMYFUNCTION("FILTER(Colegios!$B$2:$B2419,Colegios!$A$2:$A2419=L2198)"),"6010230 BARBARA D'ACHILLE")</f>
        <v>6010230 BARBARA D'ACHILLE</v>
      </c>
      <c r="F2198" s="11" t="s">
        <v>17</v>
      </c>
      <c r="G2198" s="10" t="s">
        <v>18</v>
      </c>
      <c r="H2198" s="11" t="s">
        <v>19</v>
      </c>
      <c r="I2198" s="11" t="s">
        <v>113</v>
      </c>
      <c r="J2198" s="12" t="str">
        <f ca="1">IFERROR(__xludf.DUMMYFUNCTION("FILTER('CLASFICACIÓN'!$F$3:$F2419,'CLASFICACIÓN'!$G$3:$G2419=M2198)"),"LOS 3 AÑOS")</f>
        <v>LOS 3 AÑOS</v>
      </c>
      <c r="K2198" s="12" t="s">
        <v>2011</v>
      </c>
      <c r="L2198" s="11" t="s">
        <v>93</v>
      </c>
      <c r="M2198" s="12" t="str">
        <f t="shared" ca="1" si="8"/>
        <v>6010230 BARBARA D'ACHILLE4 Primaria</v>
      </c>
      <c r="N2198" s="11"/>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1"/>
      <c r="AJ2198" s="14"/>
    </row>
    <row r="2199" spans="1:36" ht="12.5" x14ac:dyDescent="0.25">
      <c r="A2199" s="9">
        <v>822</v>
      </c>
      <c r="B2199" s="10" t="s">
        <v>60</v>
      </c>
      <c r="C2199" s="10" t="s">
        <v>15</v>
      </c>
      <c r="D2199" s="10" t="s">
        <v>16</v>
      </c>
      <c r="E2199" s="11" t="str">
        <f ca="1">IFERROR(__xludf.DUMMYFUNCTION("FILTER(Colegios!$B$2:$B2419,Colegios!$A$2:$A2419=L2199)"),"6010230 BARBARA D'ACHILLE")</f>
        <v>6010230 BARBARA D'ACHILLE</v>
      </c>
      <c r="F2199" s="11" t="s">
        <v>17</v>
      </c>
      <c r="G2199" s="10" t="s">
        <v>18</v>
      </c>
      <c r="H2199" s="11" t="s">
        <v>19</v>
      </c>
      <c r="I2199" s="11" t="s">
        <v>113</v>
      </c>
      <c r="J2199" s="12" t="str">
        <f ca="1">IFERROR(__xludf.DUMMYFUNCTION("FILTER('CLASFICACIÓN'!$F$3:$F2419,'CLASFICACIÓN'!$G$3:$G2419=M2199)"),"LOS 3 AÑOS")</f>
        <v>LOS 3 AÑOS</v>
      </c>
      <c r="K2199" s="12" t="s">
        <v>2011</v>
      </c>
      <c r="L2199" s="11" t="s">
        <v>93</v>
      </c>
      <c r="M2199" s="12" t="str">
        <f t="shared" ca="1" si="8"/>
        <v>6010230 BARBARA D'ACHILLE4 Primaria</v>
      </c>
      <c r="N2199" s="11"/>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1"/>
      <c r="AJ2199" s="14"/>
    </row>
    <row r="2200" spans="1:36" ht="12.5" x14ac:dyDescent="0.25">
      <c r="A2200" s="9">
        <v>823</v>
      </c>
      <c r="B2200" s="10" t="s">
        <v>60</v>
      </c>
      <c r="C2200" s="10" t="s">
        <v>15</v>
      </c>
      <c r="D2200" s="10" t="s">
        <v>16</v>
      </c>
      <c r="E2200" s="11" t="str">
        <f ca="1">IFERROR(__xludf.DUMMYFUNCTION("FILTER(Colegios!$B$2:$B2419,Colegios!$A$2:$A2419=L2200)"),"6010230 BARBARA D'ACHILLE")</f>
        <v>6010230 BARBARA D'ACHILLE</v>
      </c>
      <c r="F2200" s="11" t="s">
        <v>17</v>
      </c>
      <c r="G2200" s="10" t="s">
        <v>18</v>
      </c>
      <c r="H2200" s="11" t="s">
        <v>19</v>
      </c>
      <c r="I2200" s="11" t="s">
        <v>113</v>
      </c>
      <c r="J2200" s="12" t="str">
        <f ca="1">IFERROR(__xludf.DUMMYFUNCTION("FILTER('CLASFICACIÓN'!$F$3:$F2419,'CLASFICACIÓN'!$G$3:$G2419=M2200)"),"LOS 3 AÑOS")</f>
        <v>LOS 3 AÑOS</v>
      </c>
      <c r="K2200" s="12" t="s">
        <v>2011</v>
      </c>
      <c r="L2200" s="11" t="s">
        <v>93</v>
      </c>
      <c r="M2200" s="12" t="str">
        <f t="shared" ca="1" si="8"/>
        <v>6010230 BARBARA D'ACHILLE4 Primaria</v>
      </c>
      <c r="N2200" s="11"/>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1"/>
      <c r="AJ2200" s="14"/>
    </row>
    <row r="2201" spans="1:36" ht="12.5" x14ac:dyDescent="0.25">
      <c r="A2201" s="9">
        <v>824</v>
      </c>
      <c r="B2201" s="10" t="s">
        <v>60</v>
      </c>
      <c r="C2201" s="10" t="s">
        <v>15</v>
      </c>
      <c r="D2201" s="10" t="s">
        <v>37</v>
      </c>
      <c r="E2201" s="11" t="str">
        <f ca="1">IFERROR(__xludf.DUMMYFUNCTION("FILTER(Colegios!$B$2:$B2419,Colegios!$A$2:$A2419=L2201)"),"6010230 BARBARA D'ACHILLE")</f>
        <v>6010230 BARBARA D'ACHILLE</v>
      </c>
      <c r="F2201" s="11" t="s">
        <v>17</v>
      </c>
      <c r="G2201" s="10" t="s">
        <v>24</v>
      </c>
      <c r="H2201" s="11" t="s">
        <v>19</v>
      </c>
      <c r="I2201" s="11" t="s">
        <v>113</v>
      </c>
      <c r="J2201" s="12" t="str">
        <f ca="1">IFERROR(__xludf.DUMMYFUNCTION("FILTER('CLASFICACIÓN'!$F$3:$F2419,'CLASFICACIÓN'!$G$3:$G2419=M2201)"),"LOS 3 AÑOS")</f>
        <v>LOS 3 AÑOS</v>
      </c>
      <c r="K2201" s="12" t="s">
        <v>2011</v>
      </c>
      <c r="L2201" s="11" t="s">
        <v>93</v>
      </c>
      <c r="M2201" s="12" t="str">
        <f t="shared" ca="1" si="8"/>
        <v>6010230 BARBARA D'ACHILLE6 Primaria</v>
      </c>
      <c r="N2201" s="11"/>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1"/>
      <c r="AJ2201" s="14"/>
    </row>
    <row r="2202" spans="1:36" ht="12.5" x14ac:dyDescent="0.25">
      <c r="A2202" s="9">
        <v>825</v>
      </c>
      <c r="B2202" s="10" t="s">
        <v>60</v>
      </c>
      <c r="C2202" s="10" t="s">
        <v>15</v>
      </c>
      <c r="D2202" s="10" t="s">
        <v>37</v>
      </c>
      <c r="E2202" s="11" t="str">
        <f ca="1">IFERROR(__xludf.DUMMYFUNCTION("FILTER(Colegios!$B$2:$B2419,Colegios!$A$2:$A2419=L2202)"),"6010230 BARBARA D'ACHILLE")</f>
        <v>6010230 BARBARA D'ACHILLE</v>
      </c>
      <c r="F2202" s="11" t="s">
        <v>17</v>
      </c>
      <c r="G2202" s="10" t="s">
        <v>24</v>
      </c>
      <c r="H2202" s="11" t="s">
        <v>23</v>
      </c>
      <c r="I2202" s="11" t="s">
        <v>113</v>
      </c>
      <c r="J2202" s="12" t="str">
        <f ca="1">IFERROR(__xludf.DUMMYFUNCTION("FILTER('CLASFICACIÓN'!$F$3:$F2419,'CLASFICACIÓN'!$G$3:$G2419=M2202)"),"LOS 3 AÑOS")</f>
        <v>LOS 3 AÑOS</v>
      </c>
      <c r="K2202" s="12" t="s">
        <v>2011</v>
      </c>
      <c r="L2202" s="11" t="s">
        <v>93</v>
      </c>
      <c r="M2202" s="12" t="str">
        <f t="shared" ca="1" si="8"/>
        <v>6010230 BARBARA D'ACHILLE6 Primaria</v>
      </c>
      <c r="N2202" s="11"/>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4"/>
    </row>
    <row r="2203" spans="1:36" ht="12.5" x14ac:dyDescent="0.25">
      <c r="A2203" s="9">
        <v>826</v>
      </c>
      <c r="B2203" s="10" t="s">
        <v>60</v>
      </c>
      <c r="C2203" s="10" t="s">
        <v>15</v>
      </c>
      <c r="D2203" s="10" t="s">
        <v>37</v>
      </c>
      <c r="E2203" s="11" t="str">
        <f ca="1">IFERROR(__xludf.DUMMYFUNCTION("FILTER(Colegios!$B$2:$B2419,Colegios!$A$2:$A2419=L2203)"),"6010230 BARBARA D'ACHILLE")</f>
        <v>6010230 BARBARA D'ACHILLE</v>
      </c>
      <c r="F2203" s="11" t="s">
        <v>17</v>
      </c>
      <c r="G2203" s="10" t="s">
        <v>24</v>
      </c>
      <c r="H2203" s="11" t="s">
        <v>23</v>
      </c>
      <c r="I2203" s="11" t="s">
        <v>113</v>
      </c>
      <c r="J2203" s="12" t="str">
        <f ca="1">IFERROR(__xludf.DUMMYFUNCTION("FILTER('CLASFICACIÓN'!$F$3:$F2419,'CLASFICACIÓN'!$G$3:$G2419=M2203)"),"LOS 3 AÑOS")</f>
        <v>LOS 3 AÑOS</v>
      </c>
      <c r="K2203" s="12" t="s">
        <v>2011</v>
      </c>
      <c r="L2203" s="11" t="s">
        <v>93</v>
      </c>
      <c r="M2203" s="12" t="str">
        <f t="shared" ca="1" si="8"/>
        <v>6010230 BARBARA D'ACHILLE6 Primaria</v>
      </c>
      <c r="N2203" s="11"/>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4"/>
    </row>
    <row r="2204" spans="1:36" ht="12.5" x14ac:dyDescent="0.25">
      <c r="A2204" s="9">
        <v>827</v>
      </c>
      <c r="B2204" s="10" t="s">
        <v>60</v>
      </c>
      <c r="C2204" s="10" t="s">
        <v>15</v>
      </c>
      <c r="D2204" s="10" t="s">
        <v>37</v>
      </c>
      <c r="E2204" s="11" t="str">
        <f ca="1">IFERROR(__xludf.DUMMYFUNCTION("FILTER(Colegios!$B$2:$B2419,Colegios!$A$2:$A2419=L2204)"),"6010230 BARBARA D'ACHILLE")</f>
        <v>6010230 BARBARA D'ACHILLE</v>
      </c>
      <c r="F2204" s="11" t="s">
        <v>17</v>
      </c>
      <c r="G2204" s="10" t="s">
        <v>18</v>
      </c>
      <c r="H2204" s="11" t="s">
        <v>19</v>
      </c>
      <c r="I2204" s="11" t="s">
        <v>113</v>
      </c>
      <c r="J2204" s="12" t="str">
        <f ca="1">IFERROR(__xludf.DUMMYFUNCTION("FILTER('CLASFICACIÓN'!$F$3:$F2419,'CLASFICACIÓN'!$G$3:$G2419=M2204)"),"LOS 3 AÑOS")</f>
        <v>LOS 3 AÑOS</v>
      </c>
      <c r="K2204" s="12" t="s">
        <v>2011</v>
      </c>
      <c r="L2204" s="11" t="s">
        <v>93</v>
      </c>
      <c r="M2204" s="12" t="str">
        <f t="shared" ca="1" si="8"/>
        <v>6010230 BARBARA D'ACHILLE6 Primaria</v>
      </c>
      <c r="N2204" s="11"/>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1"/>
      <c r="AJ2204" s="14"/>
    </row>
    <row r="2205" spans="1:36" ht="12.5" x14ac:dyDescent="0.25">
      <c r="A2205" s="9">
        <v>828</v>
      </c>
      <c r="B2205" s="10" t="s">
        <v>60</v>
      </c>
      <c r="C2205" s="10" t="s">
        <v>15</v>
      </c>
      <c r="D2205" s="10" t="s">
        <v>37</v>
      </c>
      <c r="E2205" s="11" t="str">
        <f ca="1">IFERROR(__xludf.DUMMYFUNCTION("FILTER(Colegios!$B$2:$B2419,Colegios!$A$2:$A2419=L2205)"),"6010230 BARBARA D'ACHILLE")</f>
        <v>6010230 BARBARA D'ACHILLE</v>
      </c>
      <c r="F2205" s="11" t="s">
        <v>17</v>
      </c>
      <c r="G2205" s="10" t="s">
        <v>24</v>
      </c>
      <c r="H2205" s="11" t="s">
        <v>19</v>
      </c>
      <c r="I2205" s="11" t="s">
        <v>113</v>
      </c>
      <c r="J2205" s="12" t="str">
        <f ca="1">IFERROR(__xludf.DUMMYFUNCTION("FILTER('CLASFICACIÓN'!$F$3:$F2419,'CLASFICACIÓN'!$G$3:$G2419=M2205)"),"LOS 3 AÑOS")</f>
        <v>LOS 3 AÑOS</v>
      </c>
      <c r="K2205" s="12" t="s">
        <v>2011</v>
      </c>
      <c r="L2205" s="11" t="s">
        <v>93</v>
      </c>
      <c r="M2205" s="12" t="str">
        <f t="shared" ca="1" si="8"/>
        <v>6010230 BARBARA D'ACHILLE6 Primaria</v>
      </c>
      <c r="N2205" s="11"/>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1"/>
      <c r="AJ2205" s="14"/>
    </row>
    <row r="2206" spans="1:36" ht="12.5" x14ac:dyDescent="0.25">
      <c r="A2206" s="9">
        <v>829</v>
      </c>
      <c r="B2206" s="10" t="s">
        <v>60</v>
      </c>
      <c r="C2206" s="10" t="s">
        <v>41</v>
      </c>
      <c r="D2206" s="10" t="s">
        <v>42</v>
      </c>
      <c r="E2206" s="11" t="str">
        <f ca="1">IFERROR(__xludf.DUMMYFUNCTION("FILTER(Colegios!$B$2:$B2419,Colegios!$A$2:$A2419=L2206)"),"6010230 BARBARA D'ACHILLE")</f>
        <v>6010230 BARBARA D'ACHILLE</v>
      </c>
      <c r="F2206" s="11" t="s">
        <v>17</v>
      </c>
      <c r="G2206" s="10" t="s">
        <v>18</v>
      </c>
      <c r="H2206" s="11" t="s">
        <v>23</v>
      </c>
      <c r="I2206" s="11" t="s">
        <v>113</v>
      </c>
      <c r="J2206" s="12" t="str">
        <f ca="1">IFERROR(__xludf.DUMMYFUNCTION("FILTER('CLASFICACIÓN'!$F$3:$F2419,'CLASFICACIÓN'!$G$3:$G2419=M2206)"),"LOS 3 AÑOS")</f>
        <v>LOS 3 AÑOS</v>
      </c>
      <c r="K2206" s="12" t="s">
        <v>2011</v>
      </c>
      <c r="L2206" s="11" t="s">
        <v>93</v>
      </c>
      <c r="M2206" s="12" t="str">
        <f t="shared" ca="1" si="8"/>
        <v>6010230 BARBARA D'ACHILLE2 Secundaria</v>
      </c>
      <c r="N2206" s="11"/>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1"/>
      <c r="AJ2206" s="14"/>
    </row>
    <row r="2207" spans="1:36" ht="12.5" x14ac:dyDescent="0.25">
      <c r="A2207" s="9">
        <v>830</v>
      </c>
      <c r="B2207" s="10" t="s">
        <v>60</v>
      </c>
      <c r="C2207" s="10" t="s">
        <v>41</v>
      </c>
      <c r="D2207" s="10" t="s">
        <v>42</v>
      </c>
      <c r="E2207" s="11" t="str">
        <f ca="1">IFERROR(__xludf.DUMMYFUNCTION("FILTER(Colegios!$B$2:$B2419,Colegios!$A$2:$A2419=L2207)"),"6010230 BARBARA D'ACHILLE")</f>
        <v>6010230 BARBARA D'ACHILLE</v>
      </c>
      <c r="F2207" s="11" t="s">
        <v>17</v>
      </c>
      <c r="G2207" s="10" t="s">
        <v>24</v>
      </c>
      <c r="H2207" s="11" t="s">
        <v>23</v>
      </c>
      <c r="I2207" s="11" t="s">
        <v>113</v>
      </c>
      <c r="J2207" s="12" t="str">
        <f ca="1">IFERROR(__xludf.DUMMYFUNCTION("FILTER('CLASFICACIÓN'!$F$3:$F2419,'CLASFICACIÓN'!$G$3:$G2419=M2207)"),"LOS 3 AÑOS")</f>
        <v>LOS 3 AÑOS</v>
      </c>
      <c r="K2207" s="12" t="s">
        <v>2011</v>
      </c>
      <c r="L2207" s="11" t="s">
        <v>93</v>
      </c>
      <c r="M2207" s="12" t="str">
        <f t="shared" ca="1" si="8"/>
        <v>6010230 BARBARA D'ACHILLE2 Secundaria</v>
      </c>
      <c r="N2207" s="11"/>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1"/>
      <c r="AJ2207" s="14"/>
    </row>
    <row r="2208" spans="1:36" ht="12.5" x14ac:dyDescent="0.25">
      <c r="A2208" s="9">
        <v>831</v>
      </c>
      <c r="B2208" s="10" t="s">
        <v>60</v>
      </c>
      <c r="C2208" s="10" t="s">
        <v>41</v>
      </c>
      <c r="D2208" s="10" t="s">
        <v>42</v>
      </c>
      <c r="E2208" s="11" t="str">
        <f ca="1">IFERROR(__xludf.DUMMYFUNCTION("FILTER(Colegios!$B$2:$B2419,Colegios!$A$2:$A2419=L2208)"),"6010230 BARBARA D'ACHILLE")</f>
        <v>6010230 BARBARA D'ACHILLE</v>
      </c>
      <c r="F2208" s="11" t="s">
        <v>17</v>
      </c>
      <c r="G2208" s="10" t="s">
        <v>24</v>
      </c>
      <c r="H2208" s="11" t="s">
        <v>23</v>
      </c>
      <c r="I2208" s="11" t="s">
        <v>113</v>
      </c>
      <c r="J2208" s="12" t="str">
        <f ca="1">IFERROR(__xludf.DUMMYFUNCTION("FILTER('CLASFICACIÓN'!$F$3:$F2419,'CLASFICACIÓN'!$G$3:$G2419=M2208)"),"LOS 3 AÑOS")</f>
        <v>LOS 3 AÑOS</v>
      </c>
      <c r="K2208" s="12" t="s">
        <v>2011</v>
      </c>
      <c r="L2208" s="11" t="s">
        <v>93</v>
      </c>
      <c r="M2208" s="12" t="str">
        <f t="shared" ca="1" si="8"/>
        <v>6010230 BARBARA D'ACHILLE2 Secundaria</v>
      </c>
      <c r="N2208" s="11"/>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1"/>
      <c r="AJ2208" s="14"/>
    </row>
    <row r="2209" spans="1:36" ht="12.5" x14ac:dyDescent="0.25">
      <c r="A2209" s="9">
        <v>832</v>
      </c>
      <c r="B2209" s="10" t="s">
        <v>60</v>
      </c>
      <c r="C2209" s="10" t="s">
        <v>41</v>
      </c>
      <c r="D2209" s="10" t="s">
        <v>42</v>
      </c>
      <c r="E2209" s="11" t="str">
        <f ca="1">IFERROR(__xludf.DUMMYFUNCTION("FILTER(Colegios!$B$2:$B2419,Colegios!$A$2:$A2419=L2209)"),"6010230 BARBARA D'ACHILLE")</f>
        <v>6010230 BARBARA D'ACHILLE</v>
      </c>
      <c r="F2209" s="11" t="s">
        <v>17</v>
      </c>
      <c r="G2209" s="10" t="s">
        <v>18</v>
      </c>
      <c r="H2209" s="11" t="s">
        <v>23</v>
      </c>
      <c r="I2209" s="11" t="s">
        <v>113</v>
      </c>
      <c r="J2209" s="12" t="str">
        <f ca="1">IFERROR(__xludf.DUMMYFUNCTION("FILTER('CLASFICACIÓN'!$F$3:$F2419,'CLASFICACIÓN'!$G$3:$G2419=M2209)"),"LOS 3 AÑOS")</f>
        <v>LOS 3 AÑOS</v>
      </c>
      <c r="K2209" s="12" t="s">
        <v>2011</v>
      </c>
      <c r="L2209" s="11" t="s">
        <v>93</v>
      </c>
      <c r="M2209" s="12" t="str">
        <f t="shared" ca="1" si="8"/>
        <v>6010230 BARBARA D'ACHILLE2 Secundaria</v>
      </c>
      <c r="N2209" s="11"/>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1"/>
      <c r="AJ2209" s="14"/>
    </row>
    <row r="2210" spans="1:36" ht="12.5" x14ac:dyDescent="0.25">
      <c r="A2210" s="9">
        <v>833</v>
      </c>
      <c r="B2210" s="10" t="s">
        <v>60</v>
      </c>
      <c r="C2210" s="10" t="s">
        <v>41</v>
      </c>
      <c r="D2210" s="10" t="s">
        <v>42</v>
      </c>
      <c r="E2210" s="11" t="str">
        <f ca="1">IFERROR(__xludf.DUMMYFUNCTION("FILTER(Colegios!$B$2:$B2419,Colegios!$A$2:$A2419=L2210)"),"6010230 BARBARA D'ACHILLE")</f>
        <v>6010230 BARBARA D'ACHILLE</v>
      </c>
      <c r="F2210" s="11" t="s">
        <v>17</v>
      </c>
      <c r="G2210" s="10" t="s">
        <v>18</v>
      </c>
      <c r="H2210" s="11" t="s">
        <v>19</v>
      </c>
      <c r="I2210" s="11" t="s">
        <v>113</v>
      </c>
      <c r="J2210" s="12" t="str">
        <f ca="1">IFERROR(__xludf.DUMMYFUNCTION("FILTER('CLASFICACIÓN'!$F$3:$F2419,'CLASFICACIÓN'!$G$3:$G2419=M2210)"),"LOS 3 AÑOS")</f>
        <v>LOS 3 AÑOS</v>
      </c>
      <c r="K2210" s="12" t="s">
        <v>2011</v>
      </c>
      <c r="L2210" s="11" t="s">
        <v>93</v>
      </c>
      <c r="M2210" s="12" t="str">
        <f t="shared" ca="1" si="8"/>
        <v>6010230 BARBARA D'ACHILLE2 Secundaria</v>
      </c>
      <c r="N2210" s="11"/>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4"/>
    </row>
    <row r="2211" spans="1:36" ht="12.5" x14ac:dyDescent="0.25">
      <c r="A2211" s="9">
        <v>834</v>
      </c>
      <c r="B2211" s="10" t="s">
        <v>60</v>
      </c>
      <c r="C2211" s="10" t="s">
        <v>41</v>
      </c>
      <c r="D2211" s="10" t="s">
        <v>42</v>
      </c>
      <c r="E2211" s="11" t="str">
        <f ca="1">IFERROR(__xludf.DUMMYFUNCTION("FILTER(Colegios!$B$2:$B2419,Colegios!$A$2:$A2419=L2211)"),"6010230 BARBARA D'ACHILLE")</f>
        <v>6010230 BARBARA D'ACHILLE</v>
      </c>
      <c r="F2211" s="11" t="s">
        <v>17</v>
      </c>
      <c r="G2211" s="10" t="s">
        <v>24</v>
      </c>
      <c r="H2211" s="11" t="s">
        <v>23</v>
      </c>
      <c r="I2211" s="11" t="s">
        <v>113</v>
      </c>
      <c r="J2211" s="12" t="str">
        <f ca="1">IFERROR(__xludf.DUMMYFUNCTION("FILTER('CLASFICACIÓN'!$F$3:$F2419,'CLASFICACIÓN'!$G$3:$G2419=M2211)"),"LOS 3 AÑOS")</f>
        <v>LOS 3 AÑOS</v>
      </c>
      <c r="K2211" s="12" t="s">
        <v>2011</v>
      </c>
      <c r="L2211" s="11" t="s">
        <v>93</v>
      </c>
      <c r="M2211" s="12" t="str">
        <f t="shared" ca="1" si="8"/>
        <v>6010230 BARBARA D'ACHILLE2 Secundaria</v>
      </c>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4"/>
    </row>
    <row r="2212" spans="1:36" ht="12.5" x14ac:dyDescent="0.25">
      <c r="A2212" s="9">
        <v>835</v>
      </c>
      <c r="B2212" s="10" t="s">
        <v>60</v>
      </c>
      <c r="C2212" s="10" t="s">
        <v>41</v>
      </c>
      <c r="D2212" s="10" t="s">
        <v>42</v>
      </c>
      <c r="E2212" s="11" t="str">
        <f ca="1">IFERROR(__xludf.DUMMYFUNCTION("FILTER(Colegios!$B$2:$B2419,Colegios!$A$2:$A2419=L2212)"),"6010230 BARBARA D'ACHILLE")</f>
        <v>6010230 BARBARA D'ACHILLE</v>
      </c>
      <c r="F2212" s="11" t="s">
        <v>17</v>
      </c>
      <c r="G2212" s="10" t="s">
        <v>18</v>
      </c>
      <c r="H2212" s="11" t="s">
        <v>19</v>
      </c>
      <c r="I2212" s="11" t="s">
        <v>113</v>
      </c>
      <c r="J2212" s="12" t="str">
        <f ca="1">IFERROR(__xludf.DUMMYFUNCTION("FILTER('CLASFICACIÓN'!$F$3:$F2419,'CLASFICACIÓN'!$G$3:$G2419=M2212)"),"LOS 3 AÑOS")</f>
        <v>LOS 3 AÑOS</v>
      </c>
      <c r="K2212" s="12" t="s">
        <v>2011</v>
      </c>
      <c r="L2212" s="11" t="s">
        <v>93</v>
      </c>
      <c r="M2212" s="12" t="str">
        <f t="shared" ca="1" si="8"/>
        <v>6010230 BARBARA D'ACHILLE2 Secundaria</v>
      </c>
      <c r="N2212" s="11"/>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1"/>
      <c r="AJ2212" s="14"/>
    </row>
    <row r="2213" spans="1:36" ht="12.5" x14ac:dyDescent="0.25">
      <c r="A2213" s="9">
        <v>836</v>
      </c>
      <c r="B2213" s="10" t="s">
        <v>60</v>
      </c>
      <c r="C2213" s="10" t="s">
        <v>41</v>
      </c>
      <c r="D2213" s="10" t="s">
        <v>42</v>
      </c>
      <c r="E2213" s="11" t="str">
        <f ca="1">IFERROR(__xludf.DUMMYFUNCTION("FILTER(Colegios!$B$2:$B2419,Colegios!$A$2:$A2419=L2213)"),"6010230 BARBARA D'ACHILLE")</f>
        <v>6010230 BARBARA D'ACHILLE</v>
      </c>
      <c r="F2213" s="11" t="s">
        <v>17</v>
      </c>
      <c r="G2213" s="10" t="s">
        <v>24</v>
      </c>
      <c r="H2213" s="11" t="s">
        <v>23</v>
      </c>
      <c r="I2213" s="11" t="s">
        <v>113</v>
      </c>
      <c r="J2213" s="12" t="str">
        <f ca="1">IFERROR(__xludf.DUMMYFUNCTION("FILTER('CLASFICACIÓN'!$F$3:$F2419,'CLASFICACIÓN'!$G$3:$G2419=M2213)"),"LOS 3 AÑOS")</f>
        <v>LOS 3 AÑOS</v>
      </c>
      <c r="K2213" s="12" t="s">
        <v>2011</v>
      </c>
      <c r="L2213" s="11" t="s">
        <v>93</v>
      </c>
      <c r="M2213" s="12" t="str">
        <f t="shared" ca="1" si="8"/>
        <v>6010230 BARBARA D'ACHILLE2 Secundaria</v>
      </c>
      <c r="N2213" s="11"/>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1"/>
      <c r="AJ2213" s="14"/>
    </row>
    <row r="2214" spans="1:36" ht="12.5" x14ac:dyDescent="0.25">
      <c r="A2214" s="9">
        <v>837</v>
      </c>
      <c r="B2214" s="10" t="s">
        <v>60</v>
      </c>
      <c r="C2214" s="10" t="s">
        <v>41</v>
      </c>
      <c r="D2214" s="10" t="s">
        <v>42</v>
      </c>
      <c r="E2214" s="11" t="str">
        <f ca="1">IFERROR(__xludf.DUMMYFUNCTION("FILTER(Colegios!$B$2:$B2419,Colegios!$A$2:$A2419=L2214)"),"6010230 BARBARA D'ACHILLE")</f>
        <v>6010230 BARBARA D'ACHILLE</v>
      </c>
      <c r="F2214" s="11" t="s">
        <v>17</v>
      </c>
      <c r="G2214" s="10" t="s">
        <v>24</v>
      </c>
      <c r="H2214" s="11" t="s">
        <v>23</v>
      </c>
      <c r="I2214" s="11" t="s">
        <v>113</v>
      </c>
      <c r="J2214" s="12" t="str">
        <f ca="1">IFERROR(__xludf.DUMMYFUNCTION("FILTER('CLASFICACIÓN'!$F$3:$F2419,'CLASFICACIÓN'!$G$3:$G2419=M2214)"),"LOS 3 AÑOS")</f>
        <v>LOS 3 AÑOS</v>
      </c>
      <c r="K2214" s="12" t="s">
        <v>2011</v>
      </c>
      <c r="L2214" s="11" t="s">
        <v>93</v>
      </c>
      <c r="M2214" s="12" t="str">
        <f t="shared" ca="1" si="8"/>
        <v>6010230 BARBARA D'ACHILLE2 Secundaria</v>
      </c>
      <c r="N2214" s="11"/>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1"/>
      <c r="AJ2214" s="14"/>
    </row>
    <row r="2215" spans="1:36" ht="12.5" x14ac:dyDescent="0.25">
      <c r="A2215" s="9">
        <v>838</v>
      </c>
      <c r="B2215" s="10" t="s">
        <v>60</v>
      </c>
      <c r="C2215" s="10" t="s">
        <v>41</v>
      </c>
      <c r="D2215" s="10" t="s">
        <v>43</v>
      </c>
      <c r="E2215" s="11" t="str">
        <f ca="1">IFERROR(__xludf.DUMMYFUNCTION("FILTER(Colegios!$B$2:$B2419,Colegios!$A$2:$A2419=L2215)"),"6010230 BARBARA D'ACHILLE")</f>
        <v>6010230 BARBARA D'ACHILLE</v>
      </c>
      <c r="F2215" s="11" t="s">
        <v>17</v>
      </c>
      <c r="G2215" s="10" t="s">
        <v>24</v>
      </c>
      <c r="H2215" s="11" t="s">
        <v>23</v>
      </c>
      <c r="I2215" s="11" t="s">
        <v>113</v>
      </c>
      <c r="J2215" s="12" t="str">
        <f ca="1">IFERROR(__xludf.DUMMYFUNCTION("FILTER('CLASFICACIÓN'!$F$3:$F2419,'CLASFICACIÓN'!$G$3:$G2419=M2215)"),"LOS 3 AÑOS")</f>
        <v>LOS 3 AÑOS</v>
      </c>
      <c r="K2215" s="12" t="s">
        <v>2011</v>
      </c>
      <c r="L2215" s="11" t="s">
        <v>93</v>
      </c>
      <c r="M2215" s="12" t="str">
        <f t="shared" ca="1" si="8"/>
        <v>6010230 BARBARA D'ACHILLE4 Secundaria</v>
      </c>
      <c r="N2215" s="11"/>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1"/>
      <c r="AJ2215" s="14"/>
    </row>
    <row r="2216" spans="1:36" ht="12.5" x14ac:dyDescent="0.25">
      <c r="A2216" s="9">
        <v>839</v>
      </c>
      <c r="B2216" s="10" t="s">
        <v>60</v>
      </c>
      <c r="C2216" s="10" t="s">
        <v>41</v>
      </c>
      <c r="D2216" s="10" t="s">
        <v>43</v>
      </c>
      <c r="E2216" s="11" t="str">
        <f ca="1">IFERROR(__xludf.DUMMYFUNCTION("FILTER(Colegios!$B$2:$B2419,Colegios!$A$2:$A2419=L2216)"),"6010230 BARBARA D'ACHILLE")</f>
        <v>6010230 BARBARA D'ACHILLE</v>
      </c>
      <c r="F2216" s="11" t="s">
        <v>17</v>
      </c>
      <c r="G2216" s="10" t="s">
        <v>18</v>
      </c>
      <c r="H2216" s="11" t="s">
        <v>23</v>
      </c>
      <c r="I2216" s="11" t="s">
        <v>113</v>
      </c>
      <c r="J2216" s="12" t="str">
        <f ca="1">IFERROR(__xludf.DUMMYFUNCTION("FILTER('CLASFICACIÓN'!$F$3:$F2419,'CLASFICACIÓN'!$G$3:$G2419=M2216)"),"LOS 3 AÑOS")</f>
        <v>LOS 3 AÑOS</v>
      </c>
      <c r="K2216" s="12" t="s">
        <v>2011</v>
      </c>
      <c r="L2216" s="11" t="s">
        <v>93</v>
      </c>
      <c r="M2216" s="12" t="str">
        <f t="shared" ca="1" si="8"/>
        <v>6010230 BARBARA D'ACHILLE4 Secundaria</v>
      </c>
      <c r="N2216" s="11"/>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4"/>
    </row>
    <row r="2217" spans="1:36" ht="12.5" x14ac:dyDescent="0.25">
      <c r="A2217" s="9">
        <v>840</v>
      </c>
      <c r="B2217" s="10" t="s">
        <v>60</v>
      </c>
      <c r="C2217" s="10" t="s">
        <v>41</v>
      </c>
      <c r="D2217" s="10" t="s">
        <v>43</v>
      </c>
      <c r="E2217" s="11" t="str">
        <f ca="1">IFERROR(__xludf.DUMMYFUNCTION("FILTER(Colegios!$B$2:$B2419,Colegios!$A$2:$A2419=L2217)"),"6010230 BARBARA D'ACHILLE")</f>
        <v>6010230 BARBARA D'ACHILLE</v>
      </c>
      <c r="F2217" s="11" t="s">
        <v>17</v>
      </c>
      <c r="G2217" s="10" t="s">
        <v>18</v>
      </c>
      <c r="H2217" s="11" t="s">
        <v>19</v>
      </c>
      <c r="I2217" s="11" t="s">
        <v>113</v>
      </c>
      <c r="J2217" s="12" t="str">
        <f ca="1">IFERROR(__xludf.DUMMYFUNCTION("FILTER('CLASFICACIÓN'!$F$3:$F2419,'CLASFICACIÓN'!$G$3:$G2419=M2217)"),"LOS 3 AÑOS")</f>
        <v>LOS 3 AÑOS</v>
      </c>
      <c r="K2217" s="12" t="s">
        <v>2011</v>
      </c>
      <c r="L2217" s="11" t="s">
        <v>93</v>
      </c>
      <c r="M2217" s="12" t="str">
        <f t="shared" ca="1" si="8"/>
        <v>6010230 BARBARA D'ACHILLE4 Secundaria</v>
      </c>
      <c r="N2217" s="11"/>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4"/>
    </row>
    <row r="2218" spans="1:36" ht="12.5" x14ac:dyDescent="0.25">
      <c r="A2218" s="9">
        <v>841</v>
      </c>
      <c r="B2218" s="10" t="s">
        <v>60</v>
      </c>
      <c r="C2218" s="10" t="s">
        <v>41</v>
      </c>
      <c r="D2218" s="10" t="s">
        <v>43</v>
      </c>
      <c r="E2218" s="11" t="str">
        <f ca="1">IFERROR(__xludf.DUMMYFUNCTION("FILTER(Colegios!$B$2:$B2419,Colegios!$A$2:$A2419=L2218)"),"6010230 BARBARA D'ACHILLE")</f>
        <v>6010230 BARBARA D'ACHILLE</v>
      </c>
      <c r="F2218" s="11" t="s">
        <v>17</v>
      </c>
      <c r="G2218" s="10" t="s">
        <v>24</v>
      </c>
      <c r="H2218" s="11" t="s">
        <v>19</v>
      </c>
      <c r="I2218" s="11" t="s">
        <v>113</v>
      </c>
      <c r="J2218" s="12" t="str">
        <f ca="1">IFERROR(__xludf.DUMMYFUNCTION("FILTER('CLASFICACIÓN'!$F$3:$F2419,'CLASFICACIÓN'!$G$3:$G2419=M2218)"),"LOS 3 AÑOS")</f>
        <v>LOS 3 AÑOS</v>
      </c>
      <c r="K2218" s="12" t="s">
        <v>2011</v>
      </c>
      <c r="L2218" s="11" t="s">
        <v>93</v>
      </c>
      <c r="M2218" s="12" t="str">
        <f t="shared" ca="1" si="8"/>
        <v>6010230 BARBARA D'ACHILLE4 Secundaria</v>
      </c>
      <c r="N2218" s="11"/>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4"/>
    </row>
    <row r="2219" spans="1:36" ht="12.5" x14ac:dyDescent="0.25">
      <c r="A2219" s="9">
        <v>842</v>
      </c>
      <c r="B2219" s="10" t="s">
        <v>60</v>
      </c>
      <c r="C2219" s="10" t="s">
        <v>41</v>
      </c>
      <c r="D2219" s="10" t="s">
        <v>43</v>
      </c>
      <c r="E2219" s="11" t="str">
        <f ca="1">IFERROR(__xludf.DUMMYFUNCTION("FILTER(Colegios!$B$2:$B2419,Colegios!$A$2:$A2419=L2219)"),"6010230 BARBARA D'ACHILLE")</f>
        <v>6010230 BARBARA D'ACHILLE</v>
      </c>
      <c r="F2219" s="11" t="s">
        <v>17</v>
      </c>
      <c r="G2219" s="10" t="s">
        <v>24</v>
      </c>
      <c r="H2219" s="11" t="s">
        <v>23</v>
      </c>
      <c r="I2219" s="11" t="s">
        <v>113</v>
      </c>
      <c r="J2219" s="12" t="str">
        <f ca="1">IFERROR(__xludf.DUMMYFUNCTION("FILTER('CLASFICACIÓN'!$F$3:$F2419,'CLASFICACIÓN'!$G$3:$G2419=M2219)"),"LOS 3 AÑOS")</f>
        <v>LOS 3 AÑOS</v>
      </c>
      <c r="K2219" s="12" t="s">
        <v>2011</v>
      </c>
      <c r="L2219" s="11" t="s">
        <v>93</v>
      </c>
      <c r="M2219" s="12" t="str">
        <f t="shared" ca="1" si="8"/>
        <v>6010230 BARBARA D'ACHILLE4 Secundaria</v>
      </c>
      <c r="N2219" s="11"/>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4"/>
    </row>
    <row r="2220" spans="1:36" ht="12.5" x14ac:dyDescent="0.25">
      <c r="A2220" s="9">
        <v>843</v>
      </c>
      <c r="B2220" s="10" t="s">
        <v>60</v>
      </c>
      <c r="C2220" s="10" t="s">
        <v>15</v>
      </c>
      <c r="D2220" s="10" t="s">
        <v>45</v>
      </c>
      <c r="E2220" s="11" t="str">
        <f ca="1">IFERROR(__xludf.DUMMYFUNCTION("FILTER(Colegios!$B$2:$B2419,Colegios!$A$2:$A2419=L2220)"),"60133")</f>
        <v>60133</v>
      </c>
      <c r="F2220" s="11" t="s">
        <v>17</v>
      </c>
      <c r="G2220" s="10" t="s">
        <v>24</v>
      </c>
      <c r="H2220" s="11" t="s">
        <v>23</v>
      </c>
      <c r="I2220" s="11" t="s">
        <v>113</v>
      </c>
      <c r="J2220" s="12" t="str">
        <f ca="1">IFERROR(__xludf.DUMMYFUNCTION("FILTER('CLASFICACIÓN'!$F$3:$F2419,'CLASFICACIÓN'!$G$3:$G2419=M2220)"),"LOS 3 AÑOS")</f>
        <v>LOS 3 AÑOS</v>
      </c>
      <c r="K2220" s="12" t="s">
        <v>2011</v>
      </c>
      <c r="L2220" s="11" t="s">
        <v>92</v>
      </c>
      <c r="M2220" s="12" t="str">
        <f t="shared" ca="1" si="8"/>
        <v>601332 Primaria</v>
      </c>
      <c r="N2220" s="11"/>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1"/>
      <c r="AJ2220" s="14"/>
    </row>
    <row r="2221" spans="1:36" ht="12.5" x14ac:dyDescent="0.25">
      <c r="A2221" s="9">
        <v>844</v>
      </c>
      <c r="B2221" s="10" t="s">
        <v>60</v>
      </c>
      <c r="C2221" s="10" t="s">
        <v>15</v>
      </c>
      <c r="D2221" s="10" t="s">
        <v>45</v>
      </c>
      <c r="E2221" s="11" t="str">
        <f ca="1">IFERROR(__xludf.DUMMYFUNCTION("FILTER(Colegios!$B$2:$B2419,Colegios!$A$2:$A2419=L2221)"),"60133")</f>
        <v>60133</v>
      </c>
      <c r="F2221" s="11" t="s">
        <v>17</v>
      </c>
      <c r="G2221" s="10" t="s">
        <v>24</v>
      </c>
      <c r="H2221" s="11" t="s">
        <v>23</v>
      </c>
      <c r="I2221" s="11" t="s">
        <v>113</v>
      </c>
      <c r="J2221" s="12" t="str">
        <f ca="1">IFERROR(__xludf.DUMMYFUNCTION("FILTER('CLASFICACIÓN'!$F$3:$F2419,'CLASFICACIÓN'!$G$3:$G2419=M2221)"),"LOS 3 AÑOS")</f>
        <v>LOS 3 AÑOS</v>
      </c>
      <c r="K2221" s="12" t="s">
        <v>2011</v>
      </c>
      <c r="L2221" s="11" t="s">
        <v>92</v>
      </c>
      <c r="M2221" s="12" t="str">
        <f t="shared" ca="1" si="8"/>
        <v>601332 Primaria</v>
      </c>
      <c r="N2221" s="11"/>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1"/>
      <c r="AJ2221" s="14"/>
    </row>
    <row r="2222" spans="1:36" ht="12.5" x14ac:dyDescent="0.25">
      <c r="A2222" s="9">
        <v>845</v>
      </c>
      <c r="B2222" s="10" t="s">
        <v>60</v>
      </c>
      <c r="C2222" s="10" t="s">
        <v>15</v>
      </c>
      <c r="D2222" s="10" t="s">
        <v>45</v>
      </c>
      <c r="E2222" s="11" t="str">
        <f ca="1">IFERROR(__xludf.DUMMYFUNCTION("FILTER(Colegios!$B$2:$B2419,Colegios!$A$2:$A2419=L2222)"),"60133")</f>
        <v>60133</v>
      </c>
      <c r="F2222" s="11" t="s">
        <v>17</v>
      </c>
      <c r="G2222" s="10" t="s">
        <v>24</v>
      </c>
      <c r="H2222" s="11" t="s">
        <v>19</v>
      </c>
      <c r="I2222" s="11" t="s">
        <v>113</v>
      </c>
      <c r="J2222" s="12" t="str">
        <f ca="1">IFERROR(__xludf.DUMMYFUNCTION("FILTER('CLASFICACIÓN'!$F$3:$F2419,'CLASFICACIÓN'!$G$3:$G2419=M2222)"),"LOS 3 AÑOS")</f>
        <v>LOS 3 AÑOS</v>
      </c>
      <c r="K2222" s="12" t="s">
        <v>2011</v>
      </c>
      <c r="L2222" s="11" t="s">
        <v>92</v>
      </c>
      <c r="M2222" s="12" t="str">
        <f t="shared" ca="1" si="8"/>
        <v>601332 Primaria</v>
      </c>
      <c r="N2222" s="11"/>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1"/>
      <c r="AJ2222" s="14"/>
    </row>
    <row r="2223" spans="1:36" ht="12.5" x14ac:dyDescent="0.25">
      <c r="A2223" s="9">
        <v>846</v>
      </c>
      <c r="B2223" s="10" t="s">
        <v>60</v>
      </c>
      <c r="C2223" s="10" t="s">
        <v>15</v>
      </c>
      <c r="D2223" s="10" t="s">
        <v>45</v>
      </c>
      <c r="E2223" s="11" t="str">
        <f ca="1">IFERROR(__xludf.DUMMYFUNCTION("FILTER(Colegios!$B$2:$B2419,Colegios!$A$2:$A2419=L2223)"),"60133")</f>
        <v>60133</v>
      </c>
      <c r="F2223" s="11" t="s">
        <v>17</v>
      </c>
      <c r="G2223" s="10" t="s">
        <v>18</v>
      </c>
      <c r="H2223" s="11" t="s">
        <v>19</v>
      </c>
      <c r="I2223" s="11" t="s">
        <v>113</v>
      </c>
      <c r="J2223" s="12" t="str">
        <f ca="1">IFERROR(__xludf.DUMMYFUNCTION("FILTER('CLASFICACIÓN'!$F$3:$F2419,'CLASFICACIÓN'!$G$3:$G2419=M2223)"),"LOS 3 AÑOS")</f>
        <v>LOS 3 AÑOS</v>
      </c>
      <c r="K2223" s="12" t="s">
        <v>2011</v>
      </c>
      <c r="L2223" s="11" t="s">
        <v>92</v>
      </c>
      <c r="M2223" s="12" t="str">
        <f t="shared" ca="1" si="8"/>
        <v>601332 Primaria</v>
      </c>
      <c r="N2223" s="11"/>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1"/>
      <c r="AJ2223" s="14"/>
    </row>
    <row r="2224" spans="1:36" ht="12.5" x14ac:dyDescent="0.25">
      <c r="A2224" s="9">
        <v>847</v>
      </c>
      <c r="B2224" s="10" t="s">
        <v>60</v>
      </c>
      <c r="C2224" s="10" t="s">
        <v>15</v>
      </c>
      <c r="D2224" s="10" t="s">
        <v>45</v>
      </c>
      <c r="E2224" s="11" t="str">
        <f ca="1">IFERROR(__xludf.DUMMYFUNCTION("FILTER(Colegios!$B$2:$B2419,Colegios!$A$2:$A2419=L2224)"),"60133")</f>
        <v>60133</v>
      </c>
      <c r="F2224" s="11" t="s">
        <v>17</v>
      </c>
      <c r="G2224" s="10" t="s">
        <v>24</v>
      </c>
      <c r="H2224" s="11" t="s">
        <v>19</v>
      </c>
      <c r="I2224" s="11" t="s">
        <v>113</v>
      </c>
      <c r="J2224" s="12" t="str">
        <f ca="1">IFERROR(__xludf.DUMMYFUNCTION("FILTER('CLASFICACIÓN'!$F$3:$F2419,'CLASFICACIÓN'!$G$3:$G2419=M2224)"),"LOS 3 AÑOS")</f>
        <v>LOS 3 AÑOS</v>
      </c>
      <c r="K2224" s="12" t="s">
        <v>2011</v>
      </c>
      <c r="L2224" s="11" t="s">
        <v>92</v>
      </c>
      <c r="M2224" s="12" t="str">
        <f t="shared" ca="1" si="8"/>
        <v>601332 Primaria</v>
      </c>
      <c r="N2224" s="11"/>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1"/>
      <c r="AJ2224" s="14"/>
    </row>
    <row r="2225" spans="1:36" ht="12.5" x14ac:dyDescent="0.25">
      <c r="A2225" s="9">
        <v>848</v>
      </c>
      <c r="B2225" s="10" t="s">
        <v>60</v>
      </c>
      <c r="C2225" s="10" t="s">
        <v>15</v>
      </c>
      <c r="D2225" s="10" t="s">
        <v>45</v>
      </c>
      <c r="E2225" s="11" t="str">
        <f ca="1">IFERROR(__xludf.DUMMYFUNCTION("FILTER(Colegios!$B$2:$B2419,Colegios!$A$2:$A2419=L2225)"),"60133")</f>
        <v>60133</v>
      </c>
      <c r="F2225" s="11" t="s">
        <v>17</v>
      </c>
      <c r="G2225" s="10" t="s">
        <v>24</v>
      </c>
      <c r="H2225" s="11" t="s">
        <v>23</v>
      </c>
      <c r="I2225" s="11" t="s">
        <v>113</v>
      </c>
      <c r="J2225" s="12" t="str">
        <f ca="1">IFERROR(__xludf.DUMMYFUNCTION("FILTER('CLASFICACIÓN'!$F$3:$F2419,'CLASFICACIÓN'!$G$3:$G2419=M2225)"),"LOS 3 AÑOS")</f>
        <v>LOS 3 AÑOS</v>
      </c>
      <c r="K2225" s="12" t="s">
        <v>2011</v>
      </c>
      <c r="L2225" s="11" t="s">
        <v>92</v>
      </c>
      <c r="M2225" s="12" t="str">
        <f t="shared" ca="1" si="8"/>
        <v>601332 Primaria</v>
      </c>
      <c r="N2225" s="11"/>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1"/>
      <c r="AJ2225" s="14"/>
    </row>
    <row r="2226" spans="1:36" ht="12.5" x14ac:dyDescent="0.25">
      <c r="A2226" s="9">
        <v>849</v>
      </c>
      <c r="B2226" s="10" t="s">
        <v>60</v>
      </c>
      <c r="C2226" s="10" t="s">
        <v>15</v>
      </c>
      <c r="D2226" s="10" t="s">
        <v>45</v>
      </c>
      <c r="E2226" s="11" t="str">
        <f ca="1">IFERROR(__xludf.DUMMYFUNCTION("FILTER(Colegios!$B$2:$B2419,Colegios!$A$2:$A2419=L2226)"),"60133")</f>
        <v>60133</v>
      </c>
      <c r="F2226" s="11" t="s">
        <v>17</v>
      </c>
      <c r="G2226" s="10" t="s">
        <v>18</v>
      </c>
      <c r="H2226" s="11" t="s">
        <v>19</v>
      </c>
      <c r="I2226" s="11" t="s">
        <v>113</v>
      </c>
      <c r="J2226" s="12" t="str">
        <f ca="1">IFERROR(__xludf.DUMMYFUNCTION("FILTER('CLASFICACIÓN'!$F$3:$F2419,'CLASFICACIÓN'!$G$3:$G2419=M2226)"),"LOS 3 AÑOS")</f>
        <v>LOS 3 AÑOS</v>
      </c>
      <c r="K2226" s="12" t="s">
        <v>2011</v>
      </c>
      <c r="L2226" s="11" t="s">
        <v>92</v>
      </c>
      <c r="M2226" s="12" t="str">
        <f t="shared" ca="1" si="8"/>
        <v>601332 Primaria</v>
      </c>
      <c r="N2226" s="11"/>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1"/>
      <c r="AJ2226" s="14"/>
    </row>
    <row r="2227" spans="1:36" ht="12.5" x14ac:dyDescent="0.25">
      <c r="A2227" s="9">
        <v>850</v>
      </c>
      <c r="B2227" s="10" t="s">
        <v>60</v>
      </c>
      <c r="C2227" s="10" t="s">
        <v>15</v>
      </c>
      <c r="D2227" s="10" t="s">
        <v>45</v>
      </c>
      <c r="E2227" s="11" t="str">
        <f ca="1">IFERROR(__xludf.DUMMYFUNCTION("FILTER(Colegios!$B$2:$B2419,Colegios!$A$2:$A2419=L2227)"),"60133")</f>
        <v>60133</v>
      </c>
      <c r="F2227" s="11" t="s">
        <v>17</v>
      </c>
      <c r="G2227" s="10" t="s">
        <v>18</v>
      </c>
      <c r="H2227" s="11" t="s">
        <v>19</v>
      </c>
      <c r="I2227" s="11" t="s">
        <v>113</v>
      </c>
      <c r="J2227" s="12" t="str">
        <f ca="1">IFERROR(__xludf.DUMMYFUNCTION("FILTER('CLASFICACIÓN'!$F$3:$F2419,'CLASFICACIÓN'!$G$3:$G2419=M2227)"),"LOS 3 AÑOS")</f>
        <v>LOS 3 AÑOS</v>
      </c>
      <c r="K2227" s="12" t="s">
        <v>2011</v>
      </c>
      <c r="L2227" s="11" t="s">
        <v>92</v>
      </c>
      <c r="M2227" s="12" t="str">
        <f t="shared" ca="1" si="8"/>
        <v>601332 Primaria</v>
      </c>
      <c r="N2227" s="11"/>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4"/>
    </row>
    <row r="2228" spans="1:36" ht="12.5" x14ac:dyDescent="0.25">
      <c r="A2228" s="9">
        <v>851</v>
      </c>
      <c r="B2228" s="10" t="s">
        <v>60</v>
      </c>
      <c r="C2228" s="10" t="s">
        <v>15</v>
      </c>
      <c r="D2228" s="10" t="s">
        <v>45</v>
      </c>
      <c r="E2228" s="11" t="str">
        <f ca="1">IFERROR(__xludf.DUMMYFUNCTION("FILTER(Colegios!$B$2:$B2419,Colegios!$A$2:$A2419=L2228)"),"60133")</f>
        <v>60133</v>
      </c>
      <c r="F2228" s="11" t="s">
        <v>17</v>
      </c>
      <c r="G2228" s="10" t="s">
        <v>18</v>
      </c>
      <c r="H2228" s="11" t="s">
        <v>23</v>
      </c>
      <c r="I2228" s="11" t="s">
        <v>113</v>
      </c>
      <c r="J2228" s="12" t="str">
        <f ca="1">IFERROR(__xludf.DUMMYFUNCTION("FILTER('CLASFICACIÓN'!$F$3:$F2419,'CLASFICACIÓN'!$G$3:$G2419=M2228)"),"LOS 3 AÑOS")</f>
        <v>LOS 3 AÑOS</v>
      </c>
      <c r="K2228" s="12" t="s">
        <v>2011</v>
      </c>
      <c r="L2228" s="11" t="s">
        <v>92</v>
      </c>
      <c r="M2228" s="12" t="str">
        <f t="shared" ca="1" si="8"/>
        <v>601332 Primaria</v>
      </c>
      <c r="N2228" s="11"/>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4"/>
    </row>
    <row r="2229" spans="1:36" ht="12.5" x14ac:dyDescent="0.25">
      <c r="A2229" s="9">
        <v>852</v>
      </c>
      <c r="B2229" s="10" t="s">
        <v>60</v>
      </c>
      <c r="C2229" s="10" t="s">
        <v>15</v>
      </c>
      <c r="D2229" s="10" t="s">
        <v>45</v>
      </c>
      <c r="E2229" s="11" t="str">
        <f ca="1">IFERROR(__xludf.DUMMYFUNCTION("FILTER(Colegios!$B$2:$B2419,Colegios!$A$2:$A2419=L2229)"),"60133")</f>
        <v>60133</v>
      </c>
      <c r="F2229" s="11" t="s">
        <v>17</v>
      </c>
      <c r="G2229" s="10" t="s">
        <v>18</v>
      </c>
      <c r="H2229" s="11" t="s">
        <v>23</v>
      </c>
      <c r="I2229" s="11" t="s">
        <v>113</v>
      </c>
      <c r="J2229" s="12" t="str">
        <f ca="1">IFERROR(__xludf.DUMMYFUNCTION("FILTER('CLASFICACIÓN'!$F$3:$F2419,'CLASFICACIÓN'!$G$3:$G2419=M2229)"),"LOS 3 AÑOS")</f>
        <v>LOS 3 AÑOS</v>
      </c>
      <c r="K2229" s="12" t="s">
        <v>2011</v>
      </c>
      <c r="L2229" s="11" t="s">
        <v>92</v>
      </c>
      <c r="M2229" s="12" t="str">
        <f t="shared" ca="1" si="8"/>
        <v>601332 Primaria</v>
      </c>
      <c r="N2229" s="11"/>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4"/>
    </row>
    <row r="2230" spans="1:36" ht="12.5" x14ac:dyDescent="0.25">
      <c r="A2230" s="9">
        <v>853</v>
      </c>
      <c r="B2230" s="10" t="s">
        <v>60</v>
      </c>
      <c r="C2230" s="10" t="s">
        <v>15</v>
      </c>
      <c r="D2230" s="10" t="s">
        <v>45</v>
      </c>
      <c r="E2230" s="11" t="str">
        <f ca="1">IFERROR(__xludf.DUMMYFUNCTION("FILTER(Colegios!$B$2:$B2419,Colegios!$A$2:$A2419=L2230)"),"60133")</f>
        <v>60133</v>
      </c>
      <c r="F2230" s="11" t="s">
        <v>17</v>
      </c>
      <c r="G2230" s="10" t="s">
        <v>24</v>
      </c>
      <c r="H2230" s="11" t="s">
        <v>19</v>
      </c>
      <c r="I2230" s="11" t="s">
        <v>113</v>
      </c>
      <c r="J2230" s="12" t="str">
        <f ca="1">IFERROR(__xludf.DUMMYFUNCTION("FILTER('CLASFICACIÓN'!$F$3:$F2419,'CLASFICACIÓN'!$G$3:$G2419=M2230)"),"LOS 3 AÑOS")</f>
        <v>LOS 3 AÑOS</v>
      </c>
      <c r="K2230" s="12" t="s">
        <v>2011</v>
      </c>
      <c r="L2230" s="11" t="s">
        <v>92</v>
      </c>
      <c r="M2230" s="12" t="str">
        <f t="shared" ca="1" si="8"/>
        <v>601332 Primaria</v>
      </c>
      <c r="N2230" s="11"/>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1"/>
      <c r="AJ2230" s="14"/>
    </row>
    <row r="2231" spans="1:36" ht="12.5" x14ac:dyDescent="0.25">
      <c r="A2231" s="9">
        <v>854</v>
      </c>
      <c r="B2231" s="10" t="s">
        <v>60</v>
      </c>
      <c r="C2231" s="10" t="s">
        <v>15</v>
      </c>
      <c r="D2231" s="10" t="s">
        <v>45</v>
      </c>
      <c r="E2231" s="11" t="str">
        <f ca="1">IFERROR(__xludf.DUMMYFUNCTION("FILTER(Colegios!$B$2:$B2419,Colegios!$A$2:$A2419=L2231)"),"60133")</f>
        <v>60133</v>
      </c>
      <c r="F2231" s="11" t="s">
        <v>17</v>
      </c>
      <c r="G2231" s="10" t="s">
        <v>18</v>
      </c>
      <c r="H2231" s="11" t="s">
        <v>19</v>
      </c>
      <c r="I2231" s="11" t="s">
        <v>113</v>
      </c>
      <c r="J2231" s="12" t="str">
        <f ca="1">IFERROR(__xludf.DUMMYFUNCTION("FILTER('CLASFICACIÓN'!$F$3:$F2419,'CLASFICACIÓN'!$G$3:$G2419=M2231)"),"LOS 3 AÑOS")</f>
        <v>LOS 3 AÑOS</v>
      </c>
      <c r="K2231" s="12" t="s">
        <v>2011</v>
      </c>
      <c r="L2231" s="11" t="s">
        <v>92</v>
      </c>
      <c r="M2231" s="12" t="str">
        <f t="shared" ca="1" si="8"/>
        <v>601332 Primaria</v>
      </c>
      <c r="N2231" s="11"/>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1"/>
      <c r="AJ2231" s="14"/>
    </row>
    <row r="2232" spans="1:36" ht="12.5" x14ac:dyDescent="0.25">
      <c r="A2232" s="9">
        <v>855</v>
      </c>
      <c r="B2232" s="10" t="s">
        <v>60</v>
      </c>
      <c r="C2232" s="10" t="s">
        <v>15</v>
      </c>
      <c r="D2232" s="10" t="s">
        <v>45</v>
      </c>
      <c r="E2232" s="11" t="str">
        <f ca="1">IFERROR(__xludf.DUMMYFUNCTION("FILTER(Colegios!$B$2:$B2419,Colegios!$A$2:$A2419=L2232)"),"60133")</f>
        <v>60133</v>
      </c>
      <c r="F2232" s="11" t="s">
        <v>17</v>
      </c>
      <c r="G2232" s="10" t="s">
        <v>24</v>
      </c>
      <c r="H2232" s="11" t="s">
        <v>19</v>
      </c>
      <c r="I2232" s="11" t="s">
        <v>113</v>
      </c>
      <c r="J2232" s="12" t="str">
        <f ca="1">IFERROR(__xludf.DUMMYFUNCTION("FILTER('CLASFICACIÓN'!$F$3:$F2419,'CLASFICACIÓN'!$G$3:$G2419=M2232)"),"LOS 3 AÑOS")</f>
        <v>LOS 3 AÑOS</v>
      </c>
      <c r="K2232" s="12" t="s">
        <v>2011</v>
      </c>
      <c r="L2232" s="11" t="s">
        <v>92</v>
      </c>
      <c r="M2232" s="12" t="str">
        <f t="shared" ca="1" si="8"/>
        <v>601332 Primaria</v>
      </c>
      <c r="N2232" s="11"/>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4"/>
    </row>
    <row r="2233" spans="1:36" ht="12.5" x14ac:dyDescent="0.25">
      <c r="A2233" s="9">
        <v>856</v>
      </c>
      <c r="B2233" s="10" t="s">
        <v>60</v>
      </c>
      <c r="C2233" s="10" t="s">
        <v>15</v>
      </c>
      <c r="D2233" s="10" t="s">
        <v>45</v>
      </c>
      <c r="E2233" s="11" t="str">
        <f ca="1">IFERROR(__xludf.DUMMYFUNCTION("FILTER(Colegios!$B$2:$B2419,Colegios!$A$2:$A2419=L2233)"),"60133")</f>
        <v>60133</v>
      </c>
      <c r="F2233" s="11" t="s">
        <v>17</v>
      </c>
      <c r="G2233" s="10" t="s">
        <v>18</v>
      </c>
      <c r="H2233" s="11" t="s">
        <v>19</v>
      </c>
      <c r="I2233" s="11" t="s">
        <v>113</v>
      </c>
      <c r="J2233" s="12" t="str">
        <f ca="1">IFERROR(__xludf.DUMMYFUNCTION("FILTER('CLASFICACIÓN'!$F$3:$F2419,'CLASFICACIÓN'!$G$3:$G2419=M2233)"),"LOS 3 AÑOS")</f>
        <v>LOS 3 AÑOS</v>
      </c>
      <c r="K2233" s="12" t="s">
        <v>2011</v>
      </c>
      <c r="L2233" s="11" t="s">
        <v>92</v>
      </c>
      <c r="M2233" s="12" t="str">
        <f t="shared" ca="1" si="8"/>
        <v>601332 Primaria</v>
      </c>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4"/>
    </row>
    <row r="2234" spans="1:36" ht="12.5" x14ac:dyDescent="0.25">
      <c r="A2234" s="9">
        <v>857</v>
      </c>
      <c r="B2234" s="10" t="s">
        <v>60</v>
      </c>
      <c r="C2234" s="10" t="s">
        <v>15</v>
      </c>
      <c r="D2234" s="10" t="s">
        <v>16</v>
      </c>
      <c r="E2234" s="11" t="str">
        <f ca="1">IFERROR(__xludf.DUMMYFUNCTION("FILTER(Colegios!$B$2:$B2419,Colegios!$A$2:$A2419=L2234)"),"60133")</f>
        <v>60133</v>
      </c>
      <c r="F2234" s="11" t="s">
        <v>17</v>
      </c>
      <c r="G2234" s="10" t="s">
        <v>24</v>
      </c>
      <c r="H2234" s="11" t="s">
        <v>19</v>
      </c>
      <c r="I2234" s="11" t="s">
        <v>113</v>
      </c>
      <c r="J2234" s="12" t="str">
        <f ca="1">IFERROR(__xludf.DUMMYFUNCTION("FILTER('CLASFICACIÓN'!$F$3:$F2419,'CLASFICACIÓN'!$G$3:$G2419=M2234)"),"2023 Y 2024")</f>
        <v>2023 Y 2024</v>
      </c>
      <c r="K2234" s="12" t="s">
        <v>2011</v>
      </c>
      <c r="L2234" s="11" t="s">
        <v>92</v>
      </c>
      <c r="M2234" s="12" t="str">
        <f t="shared" ca="1" si="8"/>
        <v>601334 Primaria</v>
      </c>
      <c r="N2234" s="11"/>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4"/>
    </row>
    <row r="2235" spans="1:36" ht="12.5" x14ac:dyDescent="0.25">
      <c r="A2235" s="9">
        <v>858</v>
      </c>
      <c r="B2235" s="10" t="s">
        <v>60</v>
      </c>
      <c r="C2235" s="10" t="s">
        <v>15</v>
      </c>
      <c r="D2235" s="10" t="s">
        <v>16</v>
      </c>
      <c r="E2235" s="11" t="str">
        <f ca="1">IFERROR(__xludf.DUMMYFUNCTION("FILTER(Colegios!$B$2:$B2419,Colegios!$A$2:$A2419=L2235)"),"60133")</f>
        <v>60133</v>
      </c>
      <c r="F2235" s="11" t="s">
        <v>17</v>
      </c>
      <c r="G2235" s="10" t="s">
        <v>18</v>
      </c>
      <c r="H2235" s="11" t="s">
        <v>19</v>
      </c>
      <c r="I2235" s="11" t="s">
        <v>113</v>
      </c>
      <c r="J2235" s="12" t="str">
        <f ca="1">IFERROR(__xludf.DUMMYFUNCTION("FILTER('CLASFICACIÓN'!$F$3:$F2419,'CLASFICACIÓN'!$G$3:$G2419=M2235)"),"2023 Y 2024")</f>
        <v>2023 Y 2024</v>
      </c>
      <c r="K2235" s="12" t="s">
        <v>2011</v>
      </c>
      <c r="L2235" s="11" t="s">
        <v>92</v>
      </c>
      <c r="M2235" s="12" t="str">
        <f t="shared" ca="1" si="8"/>
        <v>601334 Primaria</v>
      </c>
      <c r="N2235" s="11"/>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4"/>
    </row>
    <row r="2236" spans="1:36" ht="12.5" x14ac:dyDescent="0.25">
      <c r="A2236" s="9">
        <v>859</v>
      </c>
      <c r="B2236" s="10" t="s">
        <v>60</v>
      </c>
      <c r="C2236" s="10" t="s">
        <v>15</v>
      </c>
      <c r="D2236" s="10" t="s">
        <v>16</v>
      </c>
      <c r="E2236" s="11" t="str">
        <f ca="1">IFERROR(__xludf.DUMMYFUNCTION("FILTER(Colegios!$B$2:$B2419,Colegios!$A$2:$A2419=L2236)"),"60133")</f>
        <v>60133</v>
      </c>
      <c r="F2236" s="11" t="s">
        <v>17</v>
      </c>
      <c r="G2236" s="10" t="s">
        <v>18</v>
      </c>
      <c r="H2236" s="11" t="s">
        <v>19</v>
      </c>
      <c r="I2236" s="11" t="s">
        <v>113</v>
      </c>
      <c r="J2236" s="12" t="str">
        <f ca="1">IFERROR(__xludf.DUMMYFUNCTION("FILTER('CLASFICACIÓN'!$F$3:$F2419,'CLASFICACIÓN'!$G$3:$G2419=M2236)"),"2023 Y 2024")</f>
        <v>2023 Y 2024</v>
      </c>
      <c r="K2236" s="12" t="s">
        <v>2011</v>
      </c>
      <c r="L2236" s="11" t="s">
        <v>92</v>
      </c>
      <c r="M2236" s="12" t="str">
        <f t="shared" ca="1" si="8"/>
        <v>601334 Primaria</v>
      </c>
      <c r="N2236" s="11"/>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1"/>
      <c r="AJ2236" s="14"/>
    </row>
    <row r="2237" spans="1:36" ht="12.5" x14ac:dyDescent="0.25">
      <c r="A2237" s="9">
        <v>860</v>
      </c>
      <c r="B2237" s="10" t="s">
        <v>60</v>
      </c>
      <c r="C2237" s="10" t="s">
        <v>15</v>
      </c>
      <c r="D2237" s="10" t="s">
        <v>16</v>
      </c>
      <c r="E2237" s="11" t="str">
        <f ca="1">IFERROR(__xludf.DUMMYFUNCTION("FILTER(Colegios!$B$2:$B2419,Colegios!$A$2:$A2419=L2237)"),"60133")</f>
        <v>60133</v>
      </c>
      <c r="F2237" s="11" t="s">
        <v>17</v>
      </c>
      <c r="G2237" s="10" t="s">
        <v>18</v>
      </c>
      <c r="H2237" s="11" t="s">
        <v>19</v>
      </c>
      <c r="I2237" s="11" t="s">
        <v>113</v>
      </c>
      <c r="J2237" s="12" t="str">
        <f ca="1">IFERROR(__xludf.DUMMYFUNCTION("FILTER('CLASFICACIÓN'!$F$3:$F2419,'CLASFICACIÓN'!$G$3:$G2419=M2237)"),"2023 Y 2024")</f>
        <v>2023 Y 2024</v>
      </c>
      <c r="K2237" s="12" t="s">
        <v>2011</v>
      </c>
      <c r="L2237" s="11" t="s">
        <v>92</v>
      </c>
      <c r="M2237" s="12" t="str">
        <f t="shared" ca="1" si="8"/>
        <v>601334 Primaria</v>
      </c>
      <c r="N2237" s="11"/>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1"/>
      <c r="AJ2237" s="14"/>
    </row>
    <row r="2238" spans="1:36" ht="12.5" x14ac:dyDescent="0.25">
      <c r="A2238" s="9">
        <v>861</v>
      </c>
      <c r="B2238" s="10" t="s">
        <v>60</v>
      </c>
      <c r="C2238" s="10" t="s">
        <v>15</v>
      </c>
      <c r="D2238" s="10" t="s">
        <v>16</v>
      </c>
      <c r="E2238" s="11" t="str">
        <f ca="1">IFERROR(__xludf.DUMMYFUNCTION("FILTER(Colegios!$B$2:$B2419,Colegios!$A$2:$A2419=L2238)"),"60133")</f>
        <v>60133</v>
      </c>
      <c r="F2238" s="11" t="s">
        <v>17</v>
      </c>
      <c r="G2238" s="10" t="s">
        <v>24</v>
      </c>
      <c r="H2238" s="11" t="s">
        <v>19</v>
      </c>
      <c r="I2238" s="11" t="s">
        <v>113</v>
      </c>
      <c r="J2238" s="12" t="str">
        <f ca="1">IFERROR(__xludf.DUMMYFUNCTION("FILTER('CLASFICACIÓN'!$F$3:$F2419,'CLASFICACIÓN'!$G$3:$G2419=M2238)"),"2023 Y 2024")</f>
        <v>2023 Y 2024</v>
      </c>
      <c r="K2238" s="12" t="s">
        <v>2011</v>
      </c>
      <c r="L2238" s="11" t="s">
        <v>92</v>
      </c>
      <c r="M2238" s="12" t="str">
        <f t="shared" ca="1" si="8"/>
        <v>601334 Primaria</v>
      </c>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4"/>
    </row>
    <row r="2239" spans="1:36" ht="12.5" x14ac:dyDescent="0.25">
      <c r="A2239" s="9">
        <v>862</v>
      </c>
      <c r="B2239" s="10" t="s">
        <v>60</v>
      </c>
      <c r="C2239" s="10" t="s">
        <v>15</v>
      </c>
      <c r="D2239" s="10" t="s">
        <v>16</v>
      </c>
      <c r="E2239" s="11" t="str">
        <f ca="1">IFERROR(__xludf.DUMMYFUNCTION("FILTER(Colegios!$B$2:$B2419,Colegios!$A$2:$A2419=L2239)"),"60133")</f>
        <v>60133</v>
      </c>
      <c r="F2239" s="11" t="s">
        <v>17</v>
      </c>
      <c r="G2239" s="10" t="s">
        <v>24</v>
      </c>
      <c r="H2239" s="11" t="s">
        <v>19</v>
      </c>
      <c r="I2239" s="11" t="s">
        <v>113</v>
      </c>
      <c r="J2239" s="12" t="str">
        <f ca="1">IFERROR(__xludf.DUMMYFUNCTION("FILTER('CLASFICACIÓN'!$F$3:$F2419,'CLASFICACIÓN'!$G$3:$G2419=M2239)"),"2023 Y 2024")</f>
        <v>2023 Y 2024</v>
      </c>
      <c r="K2239" s="12" t="s">
        <v>2011</v>
      </c>
      <c r="L2239" s="11" t="s">
        <v>92</v>
      </c>
      <c r="M2239" s="12" t="str">
        <f t="shared" ca="1" si="8"/>
        <v>601334 Primaria</v>
      </c>
      <c r="N2239" s="11"/>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1"/>
      <c r="AJ2239" s="14"/>
    </row>
    <row r="2240" spans="1:36" ht="12.5" x14ac:dyDescent="0.25">
      <c r="A2240" s="9">
        <v>863</v>
      </c>
      <c r="B2240" s="10" t="s">
        <v>60</v>
      </c>
      <c r="C2240" s="10" t="s">
        <v>15</v>
      </c>
      <c r="D2240" s="10" t="s">
        <v>16</v>
      </c>
      <c r="E2240" s="11" t="str">
        <f ca="1">IFERROR(__xludf.DUMMYFUNCTION("FILTER(Colegios!$B$2:$B2419,Colegios!$A$2:$A2419=L2240)"),"60133")</f>
        <v>60133</v>
      </c>
      <c r="F2240" s="11" t="s">
        <v>17</v>
      </c>
      <c r="G2240" s="10" t="s">
        <v>24</v>
      </c>
      <c r="H2240" s="11" t="s">
        <v>19</v>
      </c>
      <c r="I2240" s="11" t="s">
        <v>113</v>
      </c>
      <c r="J2240" s="12" t="str">
        <f ca="1">IFERROR(__xludf.DUMMYFUNCTION("FILTER('CLASFICACIÓN'!$F$3:$F2419,'CLASFICACIÓN'!$G$3:$G2419=M2240)"),"2023 Y 2024")</f>
        <v>2023 Y 2024</v>
      </c>
      <c r="K2240" s="12" t="s">
        <v>2011</v>
      </c>
      <c r="L2240" s="11" t="s">
        <v>92</v>
      </c>
      <c r="M2240" s="12" t="str">
        <f t="shared" ca="1" si="8"/>
        <v>601334 Primaria</v>
      </c>
      <c r="N2240" s="11"/>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1"/>
      <c r="AJ2240" s="14"/>
    </row>
    <row r="2241" spans="1:36" ht="12.5" x14ac:dyDescent="0.25">
      <c r="A2241" s="9">
        <v>864</v>
      </c>
      <c r="B2241" s="10" t="s">
        <v>60</v>
      </c>
      <c r="C2241" s="10" t="s">
        <v>15</v>
      </c>
      <c r="D2241" s="10" t="s">
        <v>16</v>
      </c>
      <c r="E2241" s="11" t="str">
        <f ca="1">IFERROR(__xludf.DUMMYFUNCTION("FILTER(Colegios!$B$2:$B2419,Colegios!$A$2:$A2419=L2241)"),"60133")</f>
        <v>60133</v>
      </c>
      <c r="F2241" s="11" t="s">
        <v>17</v>
      </c>
      <c r="G2241" s="10" t="s">
        <v>24</v>
      </c>
      <c r="H2241" s="11" t="s">
        <v>19</v>
      </c>
      <c r="I2241" s="11" t="s">
        <v>113</v>
      </c>
      <c r="J2241" s="12" t="str">
        <f ca="1">IFERROR(__xludf.DUMMYFUNCTION("FILTER('CLASFICACIÓN'!$F$3:$F2419,'CLASFICACIÓN'!$G$3:$G2419=M2241)"),"2023 Y 2024")</f>
        <v>2023 Y 2024</v>
      </c>
      <c r="K2241" s="12" t="s">
        <v>2011</v>
      </c>
      <c r="L2241" s="11" t="s">
        <v>92</v>
      </c>
      <c r="M2241" s="12" t="str">
        <f t="shared" ca="1" si="8"/>
        <v>601334 Primaria</v>
      </c>
      <c r="N2241" s="11"/>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1"/>
      <c r="AJ2241" s="14"/>
    </row>
    <row r="2242" spans="1:36" ht="12.5" x14ac:dyDescent="0.25">
      <c r="A2242" s="9">
        <v>865</v>
      </c>
      <c r="B2242" s="10" t="s">
        <v>60</v>
      </c>
      <c r="C2242" s="10" t="s">
        <v>15</v>
      </c>
      <c r="D2242" s="10" t="s">
        <v>16</v>
      </c>
      <c r="E2242" s="11" t="str">
        <f ca="1">IFERROR(__xludf.DUMMYFUNCTION("FILTER(Colegios!$B$2:$B2419,Colegios!$A$2:$A2419=L2242)"),"60133")</f>
        <v>60133</v>
      </c>
      <c r="F2242" s="11" t="s">
        <v>17</v>
      </c>
      <c r="G2242" s="10" t="s">
        <v>24</v>
      </c>
      <c r="H2242" s="11" t="s">
        <v>19</v>
      </c>
      <c r="I2242" s="11" t="s">
        <v>113</v>
      </c>
      <c r="J2242" s="12" t="str">
        <f ca="1">IFERROR(__xludf.DUMMYFUNCTION("FILTER('CLASFICACIÓN'!$F$3:$F2419,'CLASFICACIÓN'!$G$3:$G2419=M2242)"),"2023 Y 2024")</f>
        <v>2023 Y 2024</v>
      </c>
      <c r="K2242" s="12" t="s">
        <v>2011</v>
      </c>
      <c r="L2242" s="11" t="s">
        <v>92</v>
      </c>
      <c r="M2242" s="12" t="str">
        <f t="shared" ca="1" si="8"/>
        <v>601334 Primaria</v>
      </c>
      <c r="N2242" s="11"/>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1"/>
      <c r="AJ2242" s="14"/>
    </row>
    <row r="2243" spans="1:36" ht="12.5" x14ac:dyDescent="0.25">
      <c r="A2243" s="9">
        <v>866</v>
      </c>
      <c r="B2243" s="10" t="s">
        <v>60</v>
      </c>
      <c r="C2243" s="10" t="s">
        <v>15</v>
      </c>
      <c r="D2243" s="10" t="s">
        <v>16</v>
      </c>
      <c r="E2243" s="11" t="str">
        <f ca="1">IFERROR(__xludf.DUMMYFUNCTION("FILTER(Colegios!$B$2:$B2419,Colegios!$A$2:$A2419=L2243)"),"60133")</f>
        <v>60133</v>
      </c>
      <c r="F2243" s="11" t="s">
        <v>17</v>
      </c>
      <c r="G2243" s="10" t="s">
        <v>24</v>
      </c>
      <c r="H2243" s="11" t="s">
        <v>19</v>
      </c>
      <c r="I2243" s="11" t="s">
        <v>113</v>
      </c>
      <c r="J2243" s="12" t="str">
        <f ca="1">IFERROR(__xludf.DUMMYFUNCTION("FILTER('CLASFICACIÓN'!$F$3:$F2419,'CLASFICACIÓN'!$G$3:$G2419=M2243)"),"2023 Y 2024")</f>
        <v>2023 Y 2024</v>
      </c>
      <c r="K2243" s="12" t="s">
        <v>2011</v>
      </c>
      <c r="L2243" s="11" t="s">
        <v>92</v>
      </c>
      <c r="M2243" s="12" t="str">
        <f t="shared" ca="1" si="8"/>
        <v>601334 Primaria</v>
      </c>
      <c r="N2243" s="11"/>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1"/>
      <c r="AJ2243" s="14"/>
    </row>
    <row r="2244" spans="1:36" ht="12.5" x14ac:dyDescent="0.25">
      <c r="A2244" s="9">
        <v>867</v>
      </c>
      <c r="B2244" s="10" t="s">
        <v>60</v>
      </c>
      <c r="C2244" s="10" t="s">
        <v>15</v>
      </c>
      <c r="D2244" s="10" t="s">
        <v>16</v>
      </c>
      <c r="E2244" s="11" t="str">
        <f ca="1">IFERROR(__xludf.DUMMYFUNCTION("FILTER(Colegios!$B$2:$B2419,Colegios!$A$2:$A2419=L2244)"),"60133")</f>
        <v>60133</v>
      </c>
      <c r="F2244" s="11" t="s">
        <v>17</v>
      </c>
      <c r="G2244" s="10" t="s">
        <v>24</v>
      </c>
      <c r="H2244" s="11" t="s">
        <v>19</v>
      </c>
      <c r="I2244" s="11" t="s">
        <v>113</v>
      </c>
      <c r="J2244" s="12" t="str">
        <f ca="1">IFERROR(__xludf.DUMMYFUNCTION("FILTER('CLASFICACIÓN'!$F$3:$F2419,'CLASFICACIÓN'!$G$3:$G2419=M2244)"),"2023 Y 2024")</f>
        <v>2023 Y 2024</v>
      </c>
      <c r="K2244" s="12" t="s">
        <v>2011</v>
      </c>
      <c r="L2244" s="11" t="s">
        <v>92</v>
      </c>
      <c r="M2244" s="12" t="str">
        <f t="shared" ca="1" si="8"/>
        <v>601334 Primaria</v>
      </c>
      <c r="N2244" s="11"/>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1"/>
      <c r="AJ2244" s="14"/>
    </row>
    <row r="2245" spans="1:36" ht="12.5" x14ac:dyDescent="0.25">
      <c r="A2245" s="9">
        <v>868</v>
      </c>
      <c r="B2245" s="10" t="s">
        <v>60</v>
      </c>
      <c r="C2245" s="10" t="s">
        <v>15</v>
      </c>
      <c r="D2245" s="10" t="s">
        <v>16</v>
      </c>
      <c r="E2245" s="11" t="str">
        <f ca="1">IFERROR(__xludf.DUMMYFUNCTION("FILTER(Colegios!$B$2:$B2419,Colegios!$A$2:$A2419=L2245)"),"60133")</f>
        <v>60133</v>
      </c>
      <c r="F2245" s="11" t="s">
        <v>17</v>
      </c>
      <c r="G2245" s="10" t="s">
        <v>24</v>
      </c>
      <c r="H2245" s="11" t="s">
        <v>19</v>
      </c>
      <c r="I2245" s="11" t="s">
        <v>113</v>
      </c>
      <c r="J2245" s="12" t="str">
        <f ca="1">IFERROR(__xludf.DUMMYFUNCTION("FILTER('CLASFICACIÓN'!$F$3:$F2419,'CLASFICACIÓN'!$G$3:$G2419=M2245)"),"2023 Y 2024")</f>
        <v>2023 Y 2024</v>
      </c>
      <c r="K2245" s="12" t="s">
        <v>2011</v>
      </c>
      <c r="L2245" s="11" t="s">
        <v>92</v>
      </c>
      <c r="M2245" s="12" t="str">
        <f t="shared" ca="1" si="8"/>
        <v>601334 Primaria</v>
      </c>
      <c r="N2245" s="11"/>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1"/>
      <c r="AJ2245" s="14"/>
    </row>
    <row r="2246" spans="1:36" ht="12.5" x14ac:dyDescent="0.25">
      <c r="A2246" s="9">
        <v>869</v>
      </c>
      <c r="B2246" s="10" t="s">
        <v>60</v>
      </c>
      <c r="C2246" s="10" t="s">
        <v>15</v>
      </c>
      <c r="D2246" s="10" t="s">
        <v>16</v>
      </c>
      <c r="E2246" s="11" t="str">
        <f ca="1">IFERROR(__xludf.DUMMYFUNCTION("FILTER(Colegios!$B$2:$B2419,Colegios!$A$2:$A2419=L2246)"),"60133")</f>
        <v>60133</v>
      </c>
      <c r="F2246" s="11" t="s">
        <v>17</v>
      </c>
      <c r="G2246" s="10" t="s">
        <v>18</v>
      </c>
      <c r="H2246" s="11" t="s">
        <v>19</v>
      </c>
      <c r="I2246" s="11" t="s">
        <v>113</v>
      </c>
      <c r="J2246" s="12" t="str">
        <f ca="1">IFERROR(__xludf.DUMMYFUNCTION("FILTER('CLASFICACIÓN'!$F$3:$F2419,'CLASFICACIÓN'!$G$3:$G2419=M2246)"),"2023 Y 2024")</f>
        <v>2023 Y 2024</v>
      </c>
      <c r="K2246" s="12" t="s">
        <v>2011</v>
      </c>
      <c r="L2246" s="11" t="s">
        <v>92</v>
      </c>
      <c r="M2246" s="12" t="str">
        <f t="shared" ca="1" si="8"/>
        <v>601334 Primaria</v>
      </c>
      <c r="N2246" s="11"/>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1"/>
      <c r="AJ2246" s="14"/>
    </row>
    <row r="2247" spans="1:36" ht="12.5" x14ac:dyDescent="0.25">
      <c r="A2247" s="9">
        <v>870</v>
      </c>
      <c r="B2247" s="10" t="s">
        <v>60</v>
      </c>
      <c r="C2247" s="10" t="s">
        <v>15</v>
      </c>
      <c r="D2247" s="10" t="s">
        <v>16</v>
      </c>
      <c r="E2247" s="11" t="str">
        <f ca="1">IFERROR(__xludf.DUMMYFUNCTION("FILTER(Colegios!$B$2:$B2419,Colegios!$A$2:$A2419=L2247)"),"60133")</f>
        <v>60133</v>
      </c>
      <c r="F2247" s="11" t="s">
        <v>17</v>
      </c>
      <c r="G2247" s="10" t="s">
        <v>18</v>
      </c>
      <c r="H2247" s="11" t="s">
        <v>19</v>
      </c>
      <c r="I2247" s="11" t="s">
        <v>113</v>
      </c>
      <c r="J2247" s="12" t="str">
        <f ca="1">IFERROR(__xludf.DUMMYFUNCTION("FILTER('CLASFICACIÓN'!$F$3:$F2419,'CLASFICACIÓN'!$G$3:$G2419=M2247)"),"2023 Y 2024")</f>
        <v>2023 Y 2024</v>
      </c>
      <c r="K2247" s="12" t="s">
        <v>2011</v>
      </c>
      <c r="L2247" s="11" t="s">
        <v>92</v>
      </c>
      <c r="M2247" s="12" t="str">
        <f t="shared" ca="1" si="8"/>
        <v>601334 Primaria</v>
      </c>
      <c r="N2247" s="11"/>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1"/>
      <c r="AJ2247" s="14"/>
    </row>
    <row r="2248" spans="1:36" ht="12.5" x14ac:dyDescent="0.25">
      <c r="A2248" s="9">
        <v>871</v>
      </c>
      <c r="B2248" s="10" t="s">
        <v>60</v>
      </c>
      <c r="C2248" s="10" t="s">
        <v>15</v>
      </c>
      <c r="D2248" s="10" t="s">
        <v>16</v>
      </c>
      <c r="E2248" s="11" t="str">
        <f ca="1">IFERROR(__xludf.DUMMYFUNCTION("FILTER(Colegios!$B$2:$B2419,Colegios!$A$2:$A2419=L2248)"),"60133")</f>
        <v>60133</v>
      </c>
      <c r="F2248" s="11" t="s">
        <v>17</v>
      </c>
      <c r="G2248" s="10" t="s">
        <v>24</v>
      </c>
      <c r="H2248" s="11" t="s">
        <v>19</v>
      </c>
      <c r="I2248" s="11" t="s">
        <v>113</v>
      </c>
      <c r="J2248" s="12" t="str">
        <f ca="1">IFERROR(__xludf.DUMMYFUNCTION("FILTER('CLASFICACIÓN'!$F$3:$F2419,'CLASFICACIÓN'!$G$3:$G2419=M2248)"),"2023 Y 2024")</f>
        <v>2023 Y 2024</v>
      </c>
      <c r="K2248" s="12" t="s">
        <v>2011</v>
      </c>
      <c r="L2248" s="11" t="s">
        <v>92</v>
      </c>
      <c r="M2248" s="12" t="str">
        <f t="shared" ca="1" si="8"/>
        <v>601334 Primaria</v>
      </c>
      <c r="N2248" s="11"/>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4"/>
    </row>
    <row r="2249" spans="1:36" ht="12.5" x14ac:dyDescent="0.25">
      <c r="A2249" s="9">
        <v>872</v>
      </c>
      <c r="B2249" s="10" t="s">
        <v>60</v>
      </c>
      <c r="C2249" s="10" t="s">
        <v>15</v>
      </c>
      <c r="D2249" s="10" t="s">
        <v>16</v>
      </c>
      <c r="E2249" s="11" t="str">
        <f ca="1">IFERROR(__xludf.DUMMYFUNCTION("FILTER(Colegios!$B$2:$B2419,Colegios!$A$2:$A2419=L2249)"),"60133")</f>
        <v>60133</v>
      </c>
      <c r="F2249" s="11" t="s">
        <v>17</v>
      </c>
      <c r="G2249" s="10" t="s">
        <v>18</v>
      </c>
      <c r="H2249" s="11" t="s">
        <v>19</v>
      </c>
      <c r="I2249" s="11" t="s">
        <v>113</v>
      </c>
      <c r="J2249" s="12" t="str">
        <f ca="1">IFERROR(__xludf.DUMMYFUNCTION("FILTER('CLASFICACIÓN'!$F$3:$F2419,'CLASFICACIÓN'!$G$3:$G2419=M2249)"),"2023 Y 2024")</f>
        <v>2023 Y 2024</v>
      </c>
      <c r="K2249" s="12" t="s">
        <v>2011</v>
      </c>
      <c r="L2249" s="11" t="s">
        <v>92</v>
      </c>
      <c r="M2249" s="12" t="str">
        <f t="shared" ca="1" si="8"/>
        <v>601334 Primaria</v>
      </c>
      <c r="N2249" s="11"/>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1"/>
      <c r="AJ2249" s="14"/>
    </row>
    <row r="2250" spans="1:36" ht="12.5" x14ac:dyDescent="0.25">
      <c r="A2250" s="9">
        <v>873</v>
      </c>
      <c r="B2250" s="10" t="s">
        <v>60</v>
      </c>
      <c r="C2250" s="10" t="s">
        <v>15</v>
      </c>
      <c r="D2250" s="10" t="s">
        <v>37</v>
      </c>
      <c r="E2250" s="11" t="str">
        <f ca="1">IFERROR(__xludf.DUMMYFUNCTION("FILTER(Colegios!$B$2:$B2419,Colegios!$A$2:$A2419=L2250)"),"60133")</f>
        <v>60133</v>
      </c>
      <c r="F2250" s="11" t="s">
        <v>17</v>
      </c>
      <c r="G2250" s="10" t="s">
        <v>18</v>
      </c>
      <c r="H2250" s="11" t="s">
        <v>19</v>
      </c>
      <c r="I2250" s="11" t="s">
        <v>113</v>
      </c>
      <c r="J2250" s="12" t="str">
        <f ca="1">IFERROR(__xludf.DUMMYFUNCTION("FILTER('CLASFICACIÓN'!$F$3:$F2419,'CLASFICACIÓN'!$G$3:$G2419=M2250)"),"LOS 3 AÑOS")</f>
        <v>LOS 3 AÑOS</v>
      </c>
      <c r="K2250" s="12" t="s">
        <v>2011</v>
      </c>
      <c r="L2250" s="11" t="s">
        <v>92</v>
      </c>
      <c r="M2250" s="12" t="str">
        <f t="shared" ca="1" si="8"/>
        <v>601336 Primaria</v>
      </c>
      <c r="N2250" s="11"/>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4"/>
    </row>
    <row r="2251" spans="1:36" ht="12.5" x14ac:dyDescent="0.25">
      <c r="A2251" s="9">
        <v>874</v>
      </c>
      <c r="B2251" s="10" t="s">
        <v>60</v>
      </c>
      <c r="C2251" s="10" t="s">
        <v>15</v>
      </c>
      <c r="D2251" s="10" t="s">
        <v>37</v>
      </c>
      <c r="E2251" s="11" t="str">
        <f ca="1">IFERROR(__xludf.DUMMYFUNCTION("FILTER(Colegios!$B$2:$B2419,Colegios!$A$2:$A2419=L2251)"),"60133")</f>
        <v>60133</v>
      </c>
      <c r="F2251" s="11" t="s">
        <v>17</v>
      </c>
      <c r="G2251" s="10" t="s">
        <v>24</v>
      </c>
      <c r="H2251" s="11" t="s">
        <v>19</v>
      </c>
      <c r="I2251" s="11" t="s">
        <v>113</v>
      </c>
      <c r="J2251" s="12" t="str">
        <f ca="1">IFERROR(__xludf.DUMMYFUNCTION("FILTER('CLASFICACIÓN'!$F$3:$F2419,'CLASFICACIÓN'!$G$3:$G2419=M2251)"),"LOS 3 AÑOS")</f>
        <v>LOS 3 AÑOS</v>
      </c>
      <c r="K2251" s="12" t="s">
        <v>2011</v>
      </c>
      <c r="L2251" s="11" t="s">
        <v>92</v>
      </c>
      <c r="M2251" s="12" t="str">
        <f t="shared" ca="1" si="8"/>
        <v>601336 Primaria</v>
      </c>
      <c r="N2251" s="11"/>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1"/>
      <c r="AJ2251" s="14"/>
    </row>
    <row r="2252" spans="1:36" ht="12.5" x14ac:dyDescent="0.25">
      <c r="A2252" s="9">
        <v>875</v>
      </c>
      <c r="B2252" s="10" t="s">
        <v>60</v>
      </c>
      <c r="C2252" s="10" t="s">
        <v>15</v>
      </c>
      <c r="D2252" s="10" t="s">
        <v>37</v>
      </c>
      <c r="E2252" s="11" t="str">
        <f ca="1">IFERROR(__xludf.DUMMYFUNCTION("FILTER(Colegios!$B$2:$B2419,Colegios!$A$2:$A2419=L2252)"),"60133")</f>
        <v>60133</v>
      </c>
      <c r="F2252" s="11" t="s">
        <v>17</v>
      </c>
      <c r="G2252" s="10" t="s">
        <v>18</v>
      </c>
      <c r="H2252" s="11" t="s">
        <v>19</v>
      </c>
      <c r="I2252" s="11" t="s">
        <v>113</v>
      </c>
      <c r="J2252" s="12" t="str">
        <f ca="1">IFERROR(__xludf.DUMMYFUNCTION("FILTER('CLASFICACIÓN'!$F$3:$F2419,'CLASFICACIÓN'!$G$3:$G2419=M2252)"),"LOS 3 AÑOS")</f>
        <v>LOS 3 AÑOS</v>
      </c>
      <c r="K2252" s="12" t="s">
        <v>2011</v>
      </c>
      <c r="L2252" s="11" t="s">
        <v>92</v>
      </c>
      <c r="M2252" s="12" t="str">
        <f t="shared" ca="1" si="8"/>
        <v>601336 Primaria</v>
      </c>
      <c r="N2252" s="11"/>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1"/>
      <c r="AJ2252" s="14"/>
    </row>
    <row r="2253" spans="1:36" ht="12.5" x14ac:dyDescent="0.25">
      <c r="A2253" s="9">
        <v>876</v>
      </c>
      <c r="B2253" s="10" t="s">
        <v>60</v>
      </c>
      <c r="C2253" s="10" t="s">
        <v>15</v>
      </c>
      <c r="D2253" s="10" t="s">
        <v>37</v>
      </c>
      <c r="E2253" s="11" t="str">
        <f ca="1">IFERROR(__xludf.DUMMYFUNCTION("FILTER(Colegios!$B$2:$B2419,Colegios!$A$2:$A2419=L2253)"),"60133")</f>
        <v>60133</v>
      </c>
      <c r="F2253" s="11" t="s">
        <v>17</v>
      </c>
      <c r="G2253" s="10" t="s">
        <v>18</v>
      </c>
      <c r="H2253" s="11" t="s">
        <v>19</v>
      </c>
      <c r="I2253" s="11" t="s">
        <v>113</v>
      </c>
      <c r="J2253" s="12" t="str">
        <f ca="1">IFERROR(__xludf.DUMMYFUNCTION("FILTER('CLASFICACIÓN'!$F$3:$F2419,'CLASFICACIÓN'!$G$3:$G2419=M2253)"),"LOS 3 AÑOS")</f>
        <v>LOS 3 AÑOS</v>
      </c>
      <c r="K2253" s="12" t="s">
        <v>2011</v>
      </c>
      <c r="L2253" s="11" t="s">
        <v>92</v>
      </c>
      <c r="M2253" s="12" t="str">
        <f t="shared" ca="1" si="8"/>
        <v>601336 Primaria</v>
      </c>
      <c r="N2253" s="11"/>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1"/>
      <c r="AJ2253" s="14"/>
    </row>
    <row r="2254" spans="1:36" ht="12.5" x14ac:dyDescent="0.25">
      <c r="A2254" s="9">
        <v>877</v>
      </c>
      <c r="B2254" s="10" t="s">
        <v>60</v>
      </c>
      <c r="C2254" s="10" t="s">
        <v>15</v>
      </c>
      <c r="D2254" s="10" t="s">
        <v>37</v>
      </c>
      <c r="E2254" s="11" t="str">
        <f ca="1">IFERROR(__xludf.DUMMYFUNCTION("FILTER(Colegios!$B$2:$B2419,Colegios!$A$2:$A2419=L2254)"),"60133")</f>
        <v>60133</v>
      </c>
      <c r="F2254" s="11" t="s">
        <v>17</v>
      </c>
      <c r="G2254" s="10" t="s">
        <v>18</v>
      </c>
      <c r="H2254" s="11" t="s">
        <v>19</v>
      </c>
      <c r="I2254" s="11" t="s">
        <v>113</v>
      </c>
      <c r="J2254" s="12" t="str">
        <f ca="1">IFERROR(__xludf.DUMMYFUNCTION("FILTER('CLASFICACIÓN'!$F$3:$F2419,'CLASFICACIÓN'!$G$3:$G2419=M2254)"),"LOS 3 AÑOS")</f>
        <v>LOS 3 AÑOS</v>
      </c>
      <c r="K2254" s="12" t="s">
        <v>2011</v>
      </c>
      <c r="L2254" s="11" t="s">
        <v>92</v>
      </c>
      <c r="M2254" s="12" t="str">
        <f t="shared" ca="1" si="8"/>
        <v>601336 Primaria</v>
      </c>
      <c r="N2254" s="11"/>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1"/>
      <c r="AJ2254" s="14"/>
    </row>
    <row r="2255" spans="1:36" ht="12.5" x14ac:dyDescent="0.25">
      <c r="A2255" s="9">
        <v>878</v>
      </c>
      <c r="B2255" s="10" t="s">
        <v>60</v>
      </c>
      <c r="C2255" s="10" t="s">
        <v>15</v>
      </c>
      <c r="D2255" s="10" t="s">
        <v>37</v>
      </c>
      <c r="E2255" s="11" t="str">
        <f ca="1">IFERROR(__xludf.DUMMYFUNCTION("FILTER(Colegios!$B$2:$B2419,Colegios!$A$2:$A2419=L2255)"),"60133")</f>
        <v>60133</v>
      </c>
      <c r="F2255" s="11" t="s">
        <v>17</v>
      </c>
      <c r="G2255" s="10" t="s">
        <v>24</v>
      </c>
      <c r="H2255" s="11" t="s">
        <v>19</v>
      </c>
      <c r="I2255" s="11" t="s">
        <v>113</v>
      </c>
      <c r="J2255" s="12" t="str">
        <f ca="1">IFERROR(__xludf.DUMMYFUNCTION("FILTER('CLASFICACIÓN'!$F$3:$F2419,'CLASFICACIÓN'!$G$3:$G2419=M2255)"),"LOS 3 AÑOS")</f>
        <v>LOS 3 AÑOS</v>
      </c>
      <c r="K2255" s="12" t="s">
        <v>2011</v>
      </c>
      <c r="L2255" s="11" t="s">
        <v>92</v>
      </c>
      <c r="M2255" s="12" t="str">
        <f t="shared" ca="1" si="8"/>
        <v>601336 Primaria</v>
      </c>
      <c r="N2255" s="11"/>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1"/>
      <c r="AJ2255" s="14"/>
    </row>
    <row r="2256" spans="1:36" ht="12.5" x14ac:dyDescent="0.25">
      <c r="A2256" s="9">
        <v>879</v>
      </c>
      <c r="B2256" s="10" t="s">
        <v>60</v>
      </c>
      <c r="C2256" s="10" t="s">
        <v>15</v>
      </c>
      <c r="D2256" s="10" t="s">
        <v>37</v>
      </c>
      <c r="E2256" s="11" t="str">
        <f ca="1">IFERROR(__xludf.DUMMYFUNCTION("FILTER(Colegios!$B$2:$B2419,Colegios!$A$2:$A2419=L2256)"),"60133")</f>
        <v>60133</v>
      </c>
      <c r="F2256" s="11" t="s">
        <v>17</v>
      </c>
      <c r="G2256" s="10" t="s">
        <v>24</v>
      </c>
      <c r="H2256" s="11" t="s">
        <v>19</v>
      </c>
      <c r="I2256" s="11" t="s">
        <v>113</v>
      </c>
      <c r="J2256" s="12" t="str">
        <f ca="1">IFERROR(__xludf.DUMMYFUNCTION("FILTER('CLASFICACIÓN'!$F$3:$F2419,'CLASFICACIÓN'!$G$3:$G2419=M2256)"),"LOS 3 AÑOS")</f>
        <v>LOS 3 AÑOS</v>
      </c>
      <c r="K2256" s="12" t="s">
        <v>2011</v>
      </c>
      <c r="L2256" s="11" t="s">
        <v>92</v>
      </c>
      <c r="M2256" s="12" t="str">
        <f t="shared" ca="1" si="8"/>
        <v>601336 Primaria</v>
      </c>
      <c r="N2256" s="11"/>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1"/>
      <c r="AJ2256" s="14"/>
    </row>
    <row r="2257" spans="1:36" ht="12.5" x14ac:dyDescent="0.25">
      <c r="A2257" s="9">
        <v>880</v>
      </c>
      <c r="B2257" s="10" t="s">
        <v>60</v>
      </c>
      <c r="C2257" s="10" t="s">
        <v>15</v>
      </c>
      <c r="D2257" s="10" t="s">
        <v>37</v>
      </c>
      <c r="E2257" s="11" t="str">
        <f ca="1">IFERROR(__xludf.DUMMYFUNCTION("FILTER(Colegios!$B$2:$B2419,Colegios!$A$2:$A2419=L2257)"),"60133")</f>
        <v>60133</v>
      </c>
      <c r="F2257" s="11" t="s">
        <v>17</v>
      </c>
      <c r="G2257" s="10" t="s">
        <v>24</v>
      </c>
      <c r="H2257" s="11" t="s">
        <v>19</v>
      </c>
      <c r="I2257" s="11" t="s">
        <v>113</v>
      </c>
      <c r="J2257" s="12" t="str">
        <f ca="1">IFERROR(__xludf.DUMMYFUNCTION("FILTER('CLASFICACIÓN'!$F$3:$F2419,'CLASFICACIÓN'!$G$3:$G2419=M2257)"),"LOS 3 AÑOS")</f>
        <v>LOS 3 AÑOS</v>
      </c>
      <c r="K2257" s="12" t="s">
        <v>2011</v>
      </c>
      <c r="L2257" s="11" t="s">
        <v>92</v>
      </c>
      <c r="M2257" s="12" t="str">
        <f t="shared" ca="1" si="8"/>
        <v>601336 Primaria</v>
      </c>
      <c r="N2257" s="11"/>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1"/>
      <c r="AJ2257" s="14"/>
    </row>
    <row r="2258" spans="1:36" ht="12.5" x14ac:dyDescent="0.25">
      <c r="A2258" s="9">
        <v>881</v>
      </c>
      <c r="B2258" s="10" t="s">
        <v>60</v>
      </c>
      <c r="C2258" s="10" t="s">
        <v>15</v>
      </c>
      <c r="D2258" s="10" t="s">
        <v>37</v>
      </c>
      <c r="E2258" s="11" t="str">
        <f ca="1">IFERROR(__xludf.DUMMYFUNCTION("FILTER(Colegios!$B$2:$B2419,Colegios!$A$2:$A2419=L2258)"),"60133")</f>
        <v>60133</v>
      </c>
      <c r="F2258" s="11" t="s">
        <v>17</v>
      </c>
      <c r="G2258" s="10" t="s">
        <v>18</v>
      </c>
      <c r="H2258" s="11" t="s">
        <v>19</v>
      </c>
      <c r="I2258" s="11" t="s">
        <v>113</v>
      </c>
      <c r="J2258" s="12" t="str">
        <f ca="1">IFERROR(__xludf.DUMMYFUNCTION("FILTER('CLASFICACIÓN'!$F$3:$F2419,'CLASFICACIÓN'!$G$3:$G2419=M2258)"),"LOS 3 AÑOS")</f>
        <v>LOS 3 AÑOS</v>
      </c>
      <c r="K2258" s="12" t="s">
        <v>2011</v>
      </c>
      <c r="L2258" s="11" t="s">
        <v>92</v>
      </c>
      <c r="M2258" s="12" t="str">
        <f t="shared" ca="1" si="8"/>
        <v>601336 Primaria</v>
      </c>
      <c r="N2258" s="11"/>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1"/>
      <c r="AJ2258" s="14"/>
    </row>
    <row r="2259" spans="1:36" ht="12.5" x14ac:dyDescent="0.25">
      <c r="A2259" s="9">
        <v>882</v>
      </c>
      <c r="B2259" s="10" t="s">
        <v>60</v>
      </c>
      <c r="C2259" s="10" t="s">
        <v>15</v>
      </c>
      <c r="D2259" s="10" t="s">
        <v>37</v>
      </c>
      <c r="E2259" s="11" t="str">
        <f ca="1">IFERROR(__xludf.DUMMYFUNCTION("FILTER(Colegios!$B$2:$B2419,Colegios!$A$2:$A2419=L2259)"),"60133")</f>
        <v>60133</v>
      </c>
      <c r="F2259" s="11" t="s">
        <v>17</v>
      </c>
      <c r="G2259" s="10" t="s">
        <v>18</v>
      </c>
      <c r="H2259" s="11" t="s">
        <v>19</v>
      </c>
      <c r="I2259" s="11" t="s">
        <v>113</v>
      </c>
      <c r="J2259" s="12" t="str">
        <f ca="1">IFERROR(__xludf.DUMMYFUNCTION("FILTER('CLASFICACIÓN'!$F$3:$F2419,'CLASFICACIÓN'!$G$3:$G2419=M2259)"),"LOS 3 AÑOS")</f>
        <v>LOS 3 AÑOS</v>
      </c>
      <c r="K2259" s="12" t="s">
        <v>2011</v>
      </c>
      <c r="L2259" s="11" t="s">
        <v>92</v>
      </c>
      <c r="M2259" s="12" t="str">
        <f t="shared" ca="1" si="8"/>
        <v>601336 Primaria</v>
      </c>
      <c r="N2259" s="11"/>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4"/>
    </row>
    <row r="2260" spans="1:36" ht="12.5" x14ac:dyDescent="0.25">
      <c r="A2260" s="9">
        <v>883</v>
      </c>
      <c r="B2260" s="10" t="s">
        <v>60</v>
      </c>
      <c r="C2260" s="10" t="s">
        <v>15</v>
      </c>
      <c r="D2260" s="10" t="s">
        <v>37</v>
      </c>
      <c r="E2260" s="11" t="str">
        <f ca="1">IFERROR(__xludf.DUMMYFUNCTION("FILTER(Colegios!$B$2:$B2419,Colegios!$A$2:$A2419=L2260)"),"60133")</f>
        <v>60133</v>
      </c>
      <c r="F2260" s="11" t="s">
        <v>17</v>
      </c>
      <c r="G2260" s="10" t="s">
        <v>18</v>
      </c>
      <c r="H2260" s="11" t="s">
        <v>19</v>
      </c>
      <c r="I2260" s="11" t="s">
        <v>113</v>
      </c>
      <c r="J2260" s="12" t="str">
        <f ca="1">IFERROR(__xludf.DUMMYFUNCTION("FILTER('CLASFICACIÓN'!$F$3:$F2419,'CLASFICACIÓN'!$G$3:$G2419=M2260)"),"LOS 3 AÑOS")</f>
        <v>LOS 3 AÑOS</v>
      </c>
      <c r="K2260" s="12" t="s">
        <v>2011</v>
      </c>
      <c r="L2260" s="11" t="s">
        <v>92</v>
      </c>
      <c r="M2260" s="12" t="str">
        <f t="shared" ca="1" si="8"/>
        <v>601336 Primaria</v>
      </c>
      <c r="N2260" s="11"/>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1"/>
      <c r="AJ2260" s="14"/>
    </row>
    <row r="2261" spans="1:36" ht="12.5" x14ac:dyDescent="0.25">
      <c r="A2261" s="9">
        <v>884</v>
      </c>
      <c r="B2261" s="10" t="s">
        <v>60</v>
      </c>
      <c r="C2261" s="10" t="s">
        <v>15</v>
      </c>
      <c r="D2261" s="10" t="s">
        <v>37</v>
      </c>
      <c r="E2261" s="11" t="str">
        <f ca="1">IFERROR(__xludf.DUMMYFUNCTION("FILTER(Colegios!$B$2:$B2419,Colegios!$A$2:$A2419=L2261)"),"60133")</f>
        <v>60133</v>
      </c>
      <c r="F2261" s="11" t="s">
        <v>17</v>
      </c>
      <c r="G2261" s="10" t="s">
        <v>24</v>
      </c>
      <c r="H2261" s="11" t="s">
        <v>19</v>
      </c>
      <c r="I2261" s="11" t="s">
        <v>113</v>
      </c>
      <c r="J2261" s="12" t="str">
        <f ca="1">IFERROR(__xludf.DUMMYFUNCTION("FILTER('CLASFICACIÓN'!$F$3:$F2419,'CLASFICACIÓN'!$G$3:$G2419=M2261)"),"LOS 3 AÑOS")</f>
        <v>LOS 3 AÑOS</v>
      </c>
      <c r="K2261" s="12" t="s">
        <v>2011</v>
      </c>
      <c r="L2261" s="11" t="s">
        <v>92</v>
      </c>
      <c r="M2261" s="12" t="str">
        <f t="shared" ca="1" si="8"/>
        <v>601336 Primaria</v>
      </c>
      <c r="N2261" s="11"/>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1"/>
      <c r="AJ2261" s="14"/>
    </row>
    <row r="2262" spans="1:36" ht="12.5" x14ac:dyDescent="0.25">
      <c r="A2262" s="9">
        <v>885</v>
      </c>
      <c r="B2262" s="10" t="s">
        <v>60</v>
      </c>
      <c r="C2262" s="10" t="s">
        <v>15</v>
      </c>
      <c r="D2262" s="10" t="s">
        <v>37</v>
      </c>
      <c r="E2262" s="11" t="str">
        <f ca="1">IFERROR(__xludf.DUMMYFUNCTION("FILTER(Colegios!$B$2:$B2419,Colegios!$A$2:$A2419=L2262)"),"60133")</f>
        <v>60133</v>
      </c>
      <c r="F2262" s="11" t="s">
        <v>17</v>
      </c>
      <c r="G2262" s="10" t="s">
        <v>18</v>
      </c>
      <c r="H2262" s="11" t="s">
        <v>19</v>
      </c>
      <c r="I2262" s="11" t="s">
        <v>113</v>
      </c>
      <c r="J2262" s="12" t="str">
        <f ca="1">IFERROR(__xludf.DUMMYFUNCTION("FILTER('CLASFICACIÓN'!$F$3:$F2419,'CLASFICACIÓN'!$G$3:$G2419=M2262)"),"LOS 3 AÑOS")</f>
        <v>LOS 3 AÑOS</v>
      </c>
      <c r="K2262" s="12" t="s">
        <v>2011</v>
      </c>
      <c r="L2262" s="11" t="s">
        <v>92</v>
      </c>
      <c r="M2262" s="12" t="str">
        <f t="shared" ca="1" si="8"/>
        <v>601336 Primaria</v>
      </c>
      <c r="N2262" s="11"/>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1"/>
      <c r="AJ2262" s="14"/>
    </row>
    <row r="2263" spans="1:36" ht="12.5" x14ac:dyDescent="0.25">
      <c r="A2263" s="9">
        <v>886</v>
      </c>
      <c r="B2263" s="10" t="s">
        <v>60</v>
      </c>
      <c r="C2263" s="10" t="s">
        <v>15</v>
      </c>
      <c r="D2263" s="10" t="s">
        <v>37</v>
      </c>
      <c r="E2263" s="11" t="str">
        <f ca="1">IFERROR(__xludf.DUMMYFUNCTION("FILTER(Colegios!$B$2:$B2419,Colegios!$A$2:$A2419=L2263)"),"60133")</f>
        <v>60133</v>
      </c>
      <c r="F2263" s="11" t="s">
        <v>17</v>
      </c>
      <c r="G2263" s="10" t="s">
        <v>18</v>
      </c>
      <c r="H2263" s="11" t="s">
        <v>19</v>
      </c>
      <c r="I2263" s="11" t="s">
        <v>113</v>
      </c>
      <c r="J2263" s="12" t="str">
        <f ca="1">IFERROR(__xludf.DUMMYFUNCTION("FILTER('CLASFICACIÓN'!$F$3:$F2419,'CLASFICACIÓN'!$G$3:$G2419=M2263)"),"LOS 3 AÑOS")</f>
        <v>LOS 3 AÑOS</v>
      </c>
      <c r="K2263" s="12" t="s">
        <v>2011</v>
      </c>
      <c r="L2263" s="11" t="s">
        <v>92</v>
      </c>
      <c r="M2263" s="12" t="str">
        <f t="shared" ca="1" si="8"/>
        <v>601336 Primaria</v>
      </c>
      <c r="N2263" s="11"/>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1"/>
      <c r="AJ2263" s="14"/>
    </row>
    <row r="2264" spans="1:36" ht="12.5" x14ac:dyDescent="0.25">
      <c r="A2264" s="9">
        <v>887</v>
      </c>
      <c r="B2264" s="10" t="s">
        <v>60</v>
      </c>
      <c r="C2264" s="10" t="s">
        <v>15</v>
      </c>
      <c r="D2264" s="10" t="s">
        <v>37</v>
      </c>
      <c r="E2264" s="11" t="str">
        <f ca="1">IFERROR(__xludf.DUMMYFUNCTION("FILTER(Colegios!$B$2:$B2419,Colegios!$A$2:$A2419=L2264)"),"60133")</f>
        <v>60133</v>
      </c>
      <c r="F2264" s="11" t="s">
        <v>17</v>
      </c>
      <c r="G2264" s="10" t="s">
        <v>24</v>
      </c>
      <c r="H2264" s="11" t="s">
        <v>19</v>
      </c>
      <c r="I2264" s="11" t="s">
        <v>113</v>
      </c>
      <c r="J2264" s="12" t="str">
        <f ca="1">IFERROR(__xludf.DUMMYFUNCTION("FILTER('CLASFICACIÓN'!$F$3:$F2419,'CLASFICACIÓN'!$G$3:$G2419=M2264)"),"LOS 3 AÑOS")</f>
        <v>LOS 3 AÑOS</v>
      </c>
      <c r="K2264" s="12" t="s">
        <v>2011</v>
      </c>
      <c r="L2264" s="11" t="s">
        <v>92</v>
      </c>
      <c r="M2264" s="12" t="str">
        <f t="shared" ca="1" si="8"/>
        <v>601336 Primaria</v>
      </c>
      <c r="N2264" s="11"/>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1"/>
      <c r="AJ2264" s="14"/>
    </row>
    <row r="2265" spans="1:36" ht="12.5" x14ac:dyDescent="0.25">
      <c r="A2265" s="9">
        <v>888</v>
      </c>
      <c r="B2265" s="10" t="s">
        <v>60</v>
      </c>
      <c r="C2265" s="10" t="s">
        <v>15</v>
      </c>
      <c r="D2265" s="10" t="s">
        <v>37</v>
      </c>
      <c r="E2265" s="11" t="str">
        <f ca="1">IFERROR(__xludf.DUMMYFUNCTION("FILTER(Colegios!$B$2:$B2419,Colegios!$A$2:$A2419=L2265)"),"60133")</f>
        <v>60133</v>
      </c>
      <c r="F2265" s="11" t="s">
        <v>17</v>
      </c>
      <c r="G2265" s="10" t="s">
        <v>24</v>
      </c>
      <c r="H2265" s="11" t="s">
        <v>19</v>
      </c>
      <c r="I2265" s="11" t="s">
        <v>113</v>
      </c>
      <c r="J2265" s="12" t="str">
        <f ca="1">IFERROR(__xludf.DUMMYFUNCTION("FILTER('CLASFICACIÓN'!$F$3:$F2419,'CLASFICACIÓN'!$G$3:$G2419=M2265)"),"LOS 3 AÑOS")</f>
        <v>LOS 3 AÑOS</v>
      </c>
      <c r="K2265" s="12" t="s">
        <v>2011</v>
      </c>
      <c r="L2265" s="11" t="s">
        <v>92</v>
      </c>
      <c r="M2265" s="12" t="str">
        <f t="shared" ca="1" si="8"/>
        <v>601336 Primaria</v>
      </c>
      <c r="N2265" s="11"/>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1"/>
      <c r="AJ2265" s="14"/>
    </row>
    <row r="2266" spans="1:36" ht="12.5" x14ac:dyDescent="0.25">
      <c r="A2266" s="9">
        <v>889</v>
      </c>
      <c r="B2266" s="10" t="s">
        <v>60</v>
      </c>
      <c r="C2266" s="10" t="s">
        <v>15</v>
      </c>
      <c r="D2266" s="10" t="s">
        <v>37</v>
      </c>
      <c r="E2266" s="11" t="str">
        <f ca="1">IFERROR(__xludf.DUMMYFUNCTION("FILTER(Colegios!$B$2:$B2419,Colegios!$A$2:$A2419=L2266)"),"60133")</f>
        <v>60133</v>
      </c>
      <c r="F2266" s="11" t="s">
        <v>17</v>
      </c>
      <c r="G2266" s="10" t="s">
        <v>24</v>
      </c>
      <c r="H2266" s="11" t="s">
        <v>19</v>
      </c>
      <c r="I2266" s="11" t="s">
        <v>113</v>
      </c>
      <c r="J2266" s="12" t="str">
        <f ca="1">IFERROR(__xludf.DUMMYFUNCTION("FILTER('CLASFICACIÓN'!$F$3:$F2419,'CLASFICACIÓN'!$G$3:$G2419=M2266)"),"LOS 3 AÑOS")</f>
        <v>LOS 3 AÑOS</v>
      </c>
      <c r="K2266" s="12" t="s">
        <v>2011</v>
      </c>
      <c r="L2266" s="11" t="s">
        <v>92</v>
      </c>
      <c r="M2266" s="12" t="str">
        <f t="shared" ca="1" si="8"/>
        <v>601336 Primaria</v>
      </c>
      <c r="N2266" s="11"/>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1"/>
      <c r="AJ2266" s="14"/>
    </row>
    <row r="2267" spans="1:36" ht="12.5" x14ac:dyDescent="0.25">
      <c r="A2267" s="9">
        <v>890</v>
      </c>
      <c r="B2267" s="10" t="s">
        <v>60</v>
      </c>
      <c r="C2267" s="10" t="s">
        <v>15</v>
      </c>
      <c r="D2267" s="10" t="s">
        <v>37</v>
      </c>
      <c r="E2267" s="11" t="str">
        <f ca="1">IFERROR(__xludf.DUMMYFUNCTION("FILTER(Colegios!$B$2:$B2419,Colegios!$A$2:$A2419=L2267)"),"60133")</f>
        <v>60133</v>
      </c>
      <c r="F2267" s="11" t="s">
        <v>17</v>
      </c>
      <c r="G2267" s="10" t="s">
        <v>18</v>
      </c>
      <c r="H2267" s="11" t="s">
        <v>19</v>
      </c>
      <c r="I2267" s="11" t="s">
        <v>113</v>
      </c>
      <c r="J2267" s="12" t="str">
        <f ca="1">IFERROR(__xludf.DUMMYFUNCTION("FILTER('CLASFICACIÓN'!$F$3:$F2419,'CLASFICACIÓN'!$G$3:$G2419=M2267)"),"LOS 3 AÑOS")</f>
        <v>LOS 3 AÑOS</v>
      </c>
      <c r="K2267" s="12" t="s">
        <v>2011</v>
      </c>
      <c r="L2267" s="11" t="s">
        <v>92</v>
      </c>
      <c r="M2267" s="12" t="str">
        <f t="shared" ca="1" si="8"/>
        <v>601336 Primaria</v>
      </c>
      <c r="N2267" s="11"/>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1"/>
      <c r="AJ2267" s="14"/>
    </row>
    <row r="2268" spans="1:36" ht="12.5" x14ac:dyDescent="0.25">
      <c r="A2268" s="9">
        <v>891</v>
      </c>
      <c r="B2268" s="10" t="s">
        <v>60</v>
      </c>
      <c r="C2268" s="10" t="s">
        <v>15</v>
      </c>
      <c r="D2268" s="10" t="s">
        <v>37</v>
      </c>
      <c r="E2268" s="11" t="str">
        <f ca="1">IFERROR(__xludf.DUMMYFUNCTION("FILTER(Colegios!$B$2:$B2419,Colegios!$A$2:$A2419=L2268)"),"60133")</f>
        <v>60133</v>
      </c>
      <c r="F2268" s="11" t="s">
        <v>17</v>
      </c>
      <c r="G2268" s="10" t="s">
        <v>18</v>
      </c>
      <c r="H2268" s="11" t="s">
        <v>19</v>
      </c>
      <c r="I2268" s="11" t="s">
        <v>113</v>
      </c>
      <c r="J2268" s="12" t="str">
        <f ca="1">IFERROR(__xludf.DUMMYFUNCTION("FILTER('CLASFICACIÓN'!$F$3:$F2419,'CLASFICACIÓN'!$G$3:$G2419=M2268)"),"LOS 3 AÑOS")</f>
        <v>LOS 3 AÑOS</v>
      </c>
      <c r="K2268" s="12" t="s">
        <v>2011</v>
      </c>
      <c r="L2268" s="11" t="s">
        <v>92</v>
      </c>
      <c r="M2268" s="12" t="str">
        <f t="shared" ca="1" si="8"/>
        <v>601336 Primaria</v>
      </c>
      <c r="N2268" s="11"/>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1"/>
      <c r="AJ2268" s="14"/>
    </row>
    <row r="2269" spans="1:36" ht="12.5" x14ac:dyDescent="0.25">
      <c r="A2269" s="9">
        <v>892</v>
      </c>
      <c r="B2269" s="10" t="s">
        <v>60</v>
      </c>
      <c r="C2269" s="10" t="s">
        <v>15</v>
      </c>
      <c r="D2269" s="10" t="s">
        <v>37</v>
      </c>
      <c r="E2269" s="11" t="str">
        <f ca="1">IFERROR(__xludf.DUMMYFUNCTION("FILTER(Colegios!$B$2:$B2419,Colegios!$A$2:$A2419=L2269)"),"60133")</f>
        <v>60133</v>
      </c>
      <c r="F2269" s="11" t="s">
        <v>17</v>
      </c>
      <c r="G2269" s="10" t="s">
        <v>18</v>
      </c>
      <c r="H2269" s="11" t="s">
        <v>19</v>
      </c>
      <c r="I2269" s="11" t="s">
        <v>113</v>
      </c>
      <c r="J2269" s="12" t="str">
        <f ca="1">IFERROR(__xludf.DUMMYFUNCTION("FILTER('CLASFICACIÓN'!$F$3:$F2419,'CLASFICACIÓN'!$G$3:$G2419=M2269)"),"LOS 3 AÑOS")</f>
        <v>LOS 3 AÑOS</v>
      </c>
      <c r="K2269" s="12" t="s">
        <v>2011</v>
      </c>
      <c r="L2269" s="11" t="s">
        <v>92</v>
      </c>
      <c r="M2269" s="12" t="str">
        <f t="shared" ca="1" si="8"/>
        <v>601336 Primaria</v>
      </c>
      <c r="N2269" s="11"/>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1"/>
      <c r="AJ2269" s="14"/>
    </row>
    <row r="2270" spans="1:36" ht="12.5" x14ac:dyDescent="0.25">
      <c r="A2270" s="9">
        <v>893</v>
      </c>
      <c r="B2270" s="10" t="s">
        <v>60</v>
      </c>
      <c r="C2270" s="10" t="s">
        <v>15</v>
      </c>
      <c r="D2270" s="10" t="s">
        <v>37</v>
      </c>
      <c r="E2270" s="11" t="str">
        <f ca="1">IFERROR(__xludf.DUMMYFUNCTION("FILTER(Colegios!$B$2:$B2419,Colegios!$A$2:$A2419=L2270)"),"60133")</f>
        <v>60133</v>
      </c>
      <c r="F2270" s="11" t="s">
        <v>17</v>
      </c>
      <c r="G2270" s="10" t="s">
        <v>18</v>
      </c>
      <c r="H2270" s="11" t="s">
        <v>19</v>
      </c>
      <c r="I2270" s="11" t="s">
        <v>113</v>
      </c>
      <c r="J2270" s="12" t="str">
        <f ca="1">IFERROR(__xludf.DUMMYFUNCTION("FILTER('CLASFICACIÓN'!$F$3:$F2419,'CLASFICACIÓN'!$G$3:$G2419=M2270)"),"LOS 3 AÑOS")</f>
        <v>LOS 3 AÑOS</v>
      </c>
      <c r="K2270" s="12" t="s">
        <v>2011</v>
      </c>
      <c r="L2270" s="11" t="s">
        <v>92</v>
      </c>
      <c r="M2270" s="12" t="str">
        <f t="shared" ca="1" si="8"/>
        <v>601336 Primaria</v>
      </c>
      <c r="N2270" s="11"/>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1"/>
      <c r="AJ2270" s="14"/>
    </row>
    <row r="2271" spans="1:36" ht="12.5" x14ac:dyDescent="0.25">
      <c r="A2271" s="9">
        <v>894</v>
      </c>
      <c r="B2271" s="10" t="s">
        <v>60</v>
      </c>
      <c r="C2271" s="10" t="s">
        <v>15</v>
      </c>
      <c r="D2271" s="10" t="s">
        <v>37</v>
      </c>
      <c r="E2271" s="11" t="str">
        <f ca="1">IFERROR(__xludf.DUMMYFUNCTION("FILTER(Colegios!$B$2:$B2419,Colegios!$A$2:$A2419=L2271)"),"60133")</f>
        <v>60133</v>
      </c>
      <c r="F2271" s="11" t="s">
        <v>17</v>
      </c>
      <c r="G2271" s="10" t="s">
        <v>18</v>
      </c>
      <c r="H2271" s="11" t="s">
        <v>19</v>
      </c>
      <c r="I2271" s="11" t="s">
        <v>113</v>
      </c>
      <c r="J2271" s="12" t="str">
        <f ca="1">IFERROR(__xludf.DUMMYFUNCTION("FILTER('CLASFICACIÓN'!$F$3:$F2419,'CLASFICACIÓN'!$G$3:$G2419=M2271)"),"LOS 3 AÑOS")</f>
        <v>LOS 3 AÑOS</v>
      </c>
      <c r="K2271" s="12" t="s">
        <v>2011</v>
      </c>
      <c r="L2271" s="11" t="s">
        <v>92</v>
      </c>
      <c r="M2271" s="12" t="str">
        <f t="shared" ca="1" si="8"/>
        <v>601336 Primaria</v>
      </c>
      <c r="N2271" s="11"/>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1"/>
      <c r="AJ2271" s="14"/>
    </row>
    <row r="2272" spans="1:36" ht="12.5" x14ac:dyDescent="0.25">
      <c r="A2272" s="9">
        <v>895</v>
      </c>
      <c r="B2272" s="10" t="s">
        <v>60</v>
      </c>
      <c r="C2272" s="10" t="s">
        <v>15</v>
      </c>
      <c r="D2272" s="10" t="s">
        <v>37</v>
      </c>
      <c r="E2272" s="11" t="str">
        <f ca="1">IFERROR(__xludf.DUMMYFUNCTION("FILTER(Colegios!$B$2:$B2419,Colegios!$A$2:$A2419=L2272)"),"60133")</f>
        <v>60133</v>
      </c>
      <c r="F2272" s="11" t="s">
        <v>17</v>
      </c>
      <c r="G2272" s="10" t="s">
        <v>18</v>
      </c>
      <c r="H2272" s="11" t="s">
        <v>23</v>
      </c>
      <c r="I2272" s="11" t="s">
        <v>113</v>
      </c>
      <c r="J2272" s="12" t="str">
        <f ca="1">IFERROR(__xludf.DUMMYFUNCTION("FILTER('CLASFICACIÓN'!$F$3:$F2419,'CLASFICACIÓN'!$G$3:$G2419=M2272)"),"LOS 3 AÑOS")</f>
        <v>LOS 3 AÑOS</v>
      </c>
      <c r="K2272" s="12" t="s">
        <v>2011</v>
      </c>
      <c r="L2272" s="11" t="s">
        <v>92</v>
      </c>
      <c r="M2272" s="12" t="str">
        <f t="shared" ca="1" si="8"/>
        <v>601336 Primaria</v>
      </c>
      <c r="N2272" s="11"/>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1"/>
      <c r="AJ2272" s="14"/>
    </row>
    <row r="2273" spans="1:36" ht="12.5" x14ac:dyDescent="0.25">
      <c r="A2273" s="9">
        <v>896</v>
      </c>
      <c r="B2273" s="10" t="s">
        <v>60</v>
      </c>
      <c r="C2273" s="10" t="s">
        <v>15</v>
      </c>
      <c r="D2273" s="10" t="s">
        <v>37</v>
      </c>
      <c r="E2273" s="11" t="str">
        <f ca="1">IFERROR(__xludf.DUMMYFUNCTION("FILTER(Colegios!$B$2:$B2419,Colegios!$A$2:$A2419=L2273)"),"60133")</f>
        <v>60133</v>
      </c>
      <c r="F2273" s="11" t="s">
        <v>17</v>
      </c>
      <c r="G2273" s="10" t="s">
        <v>18</v>
      </c>
      <c r="H2273" s="11" t="s">
        <v>23</v>
      </c>
      <c r="I2273" s="11" t="s">
        <v>113</v>
      </c>
      <c r="J2273" s="12" t="str">
        <f ca="1">IFERROR(__xludf.DUMMYFUNCTION("FILTER('CLASFICACIÓN'!$F$3:$F2419,'CLASFICACIÓN'!$G$3:$G2419=M2273)"),"LOS 3 AÑOS")</f>
        <v>LOS 3 AÑOS</v>
      </c>
      <c r="K2273" s="12" t="s">
        <v>2011</v>
      </c>
      <c r="L2273" s="11" t="s">
        <v>92</v>
      </c>
      <c r="M2273" s="12" t="str">
        <f t="shared" ca="1" si="8"/>
        <v>601336 Primaria</v>
      </c>
      <c r="N2273" s="11"/>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1"/>
      <c r="AJ2273" s="14"/>
    </row>
    <row r="2274" spans="1:36" ht="12.5" x14ac:dyDescent="0.25">
      <c r="A2274" s="9">
        <v>897</v>
      </c>
      <c r="B2274" s="10" t="s">
        <v>60</v>
      </c>
      <c r="C2274" s="10" t="s">
        <v>41</v>
      </c>
      <c r="D2274" s="10" t="s">
        <v>42</v>
      </c>
      <c r="E2274" s="11" t="str">
        <f ca="1">IFERROR(__xludf.DUMMYFUNCTION("FILTER(Colegios!$B$2:$B2419,Colegios!$A$2:$A2419=L2274)"),"60133")</f>
        <v>60133</v>
      </c>
      <c r="F2274" s="11" t="s">
        <v>17</v>
      </c>
      <c r="G2274" s="10" t="s">
        <v>24</v>
      </c>
      <c r="H2274" s="11" t="s">
        <v>23</v>
      </c>
      <c r="I2274" s="11" t="s">
        <v>113</v>
      </c>
      <c r="J2274" s="12" t="str">
        <f ca="1">IFERROR(__xludf.DUMMYFUNCTION("FILTER('CLASFICACIÓN'!$F$3:$F2419,'CLASFICACIÓN'!$G$3:$G2419=M2274)"),"LOS 3 AÑOS")</f>
        <v>LOS 3 AÑOS</v>
      </c>
      <c r="K2274" s="12" t="s">
        <v>2011</v>
      </c>
      <c r="L2274" s="11" t="s">
        <v>92</v>
      </c>
      <c r="M2274" s="12" t="str">
        <f t="shared" ca="1" si="8"/>
        <v>601332 Secundaria</v>
      </c>
      <c r="N2274" s="11"/>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1"/>
      <c r="AJ2274" s="14"/>
    </row>
    <row r="2275" spans="1:36" ht="12.5" x14ac:dyDescent="0.25">
      <c r="A2275" s="9">
        <v>898</v>
      </c>
      <c r="B2275" s="10" t="s">
        <v>60</v>
      </c>
      <c r="C2275" s="10" t="s">
        <v>41</v>
      </c>
      <c r="D2275" s="10" t="s">
        <v>42</v>
      </c>
      <c r="E2275" s="11" t="str">
        <f ca="1">IFERROR(__xludf.DUMMYFUNCTION("FILTER(Colegios!$B$2:$B2419,Colegios!$A$2:$A2419=L2275)"),"60133")</f>
        <v>60133</v>
      </c>
      <c r="F2275" s="11" t="s">
        <v>17</v>
      </c>
      <c r="G2275" s="10" t="s">
        <v>24</v>
      </c>
      <c r="H2275" s="11" t="s">
        <v>23</v>
      </c>
      <c r="I2275" s="11" t="s">
        <v>113</v>
      </c>
      <c r="J2275" s="12" t="str">
        <f ca="1">IFERROR(__xludf.DUMMYFUNCTION("FILTER('CLASFICACIÓN'!$F$3:$F2419,'CLASFICACIÓN'!$G$3:$G2419=M2275)"),"LOS 3 AÑOS")</f>
        <v>LOS 3 AÑOS</v>
      </c>
      <c r="K2275" s="12" t="s">
        <v>2011</v>
      </c>
      <c r="L2275" s="11" t="s">
        <v>92</v>
      </c>
      <c r="M2275" s="12" t="str">
        <f t="shared" ca="1" si="8"/>
        <v>601332 Secundaria</v>
      </c>
      <c r="N2275" s="11"/>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1"/>
      <c r="AJ2275" s="14"/>
    </row>
    <row r="2276" spans="1:36" ht="12.5" x14ac:dyDescent="0.25">
      <c r="A2276" s="9">
        <v>899</v>
      </c>
      <c r="B2276" s="10" t="s">
        <v>60</v>
      </c>
      <c r="C2276" s="10" t="s">
        <v>41</v>
      </c>
      <c r="D2276" s="10" t="s">
        <v>42</v>
      </c>
      <c r="E2276" s="11" t="str">
        <f ca="1">IFERROR(__xludf.DUMMYFUNCTION("FILTER(Colegios!$B$2:$B2419,Colegios!$A$2:$A2419=L2276)"),"60133")</f>
        <v>60133</v>
      </c>
      <c r="F2276" s="11" t="s">
        <v>17</v>
      </c>
      <c r="G2276" s="10" t="s">
        <v>24</v>
      </c>
      <c r="H2276" s="11" t="s">
        <v>23</v>
      </c>
      <c r="I2276" s="11" t="s">
        <v>113</v>
      </c>
      <c r="J2276" s="12" t="str">
        <f ca="1">IFERROR(__xludf.DUMMYFUNCTION("FILTER('CLASFICACIÓN'!$F$3:$F2419,'CLASFICACIÓN'!$G$3:$G2419=M2276)"),"LOS 3 AÑOS")</f>
        <v>LOS 3 AÑOS</v>
      </c>
      <c r="K2276" s="12" t="s">
        <v>2011</v>
      </c>
      <c r="L2276" s="11" t="s">
        <v>92</v>
      </c>
      <c r="M2276" s="12" t="str">
        <f t="shared" ca="1" si="8"/>
        <v>601332 Secundaria</v>
      </c>
      <c r="N2276" s="11"/>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1"/>
      <c r="AJ2276" s="14"/>
    </row>
    <row r="2277" spans="1:36" ht="12.5" x14ac:dyDescent="0.25">
      <c r="A2277" s="9">
        <v>900</v>
      </c>
      <c r="B2277" s="10" t="s">
        <v>60</v>
      </c>
      <c r="C2277" s="10" t="s">
        <v>41</v>
      </c>
      <c r="D2277" s="10" t="s">
        <v>42</v>
      </c>
      <c r="E2277" s="11" t="str">
        <f ca="1">IFERROR(__xludf.DUMMYFUNCTION("FILTER(Colegios!$B$2:$B2419,Colegios!$A$2:$A2419=L2277)"),"60133")</f>
        <v>60133</v>
      </c>
      <c r="F2277" s="11" t="s">
        <v>17</v>
      </c>
      <c r="G2277" s="10" t="s">
        <v>18</v>
      </c>
      <c r="H2277" s="11" t="s">
        <v>23</v>
      </c>
      <c r="I2277" s="11" t="s">
        <v>113</v>
      </c>
      <c r="J2277" s="12" t="str">
        <f ca="1">IFERROR(__xludf.DUMMYFUNCTION("FILTER('CLASFICACIÓN'!$F$3:$F2419,'CLASFICACIÓN'!$G$3:$G2419=M2277)"),"LOS 3 AÑOS")</f>
        <v>LOS 3 AÑOS</v>
      </c>
      <c r="K2277" s="12" t="s">
        <v>2011</v>
      </c>
      <c r="L2277" s="11" t="s">
        <v>92</v>
      </c>
      <c r="M2277" s="12" t="str">
        <f t="shared" ca="1" si="8"/>
        <v>601332 Secundaria</v>
      </c>
      <c r="N2277" s="11"/>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4"/>
    </row>
    <row r="2278" spans="1:36" ht="12.5" x14ac:dyDescent="0.25">
      <c r="A2278" s="9">
        <v>901</v>
      </c>
      <c r="B2278" s="10" t="s">
        <v>60</v>
      </c>
      <c r="C2278" s="10" t="s">
        <v>41</v>
      </c>
      <c r="D2278" s="10" t="s">
        <v>42</v>
      </c>
      <c r="E2278" s="11" t="str">
        <f ca="1">IFERROR(__xludf.DUMMYFUNCTION("FILTER(Colegios!$B$2:$B2419,Colegios!$A$2:$A2419=L2278)"),"60133")</f>
        <v>60133</v>
      </c>
      <c r="F2278" s="11" t="s">
        <v>17</v>
      </c>
      <c r="G2278" s="10" t="s">
        <v>24</v>
      </c>
      <c r="H2278" s="11" t="s">
        <v>23</v>
      </c>
      <c r="I2278" s="11" t="s">
        <v>113</v>
      </c>
      <c r="J2278" s="12" t="str">
        <f ca="1">IFERROR(__xludf.DUMMYFUNCTION("FILTER('CLASFICACIÓN'!$F$3:$F2419,'CLASFICACIÓN'!$G$3:$G2419=M2278)"),"LOS 3 AÑOS")</f>
        <v>LOS 3 AÑOS</v>
      </c>
      <c r="K2278" s="12" t="s">
        <v>2011</v>
      </c>
      <c r="L2278" s="11" t="s">
        <v>92</v>
      </c>
      <c r="M2278" s="12" t="str">
        <f t="shared" ca="1" si="8"/>
        <v>601332 Secundaria</v>
      </c>
      <c r="N2278" s="11"/>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4"/>
    </row>
    <row r="2279" spans="1:36" ht="12.5" x14ac:dyDescent="0.25">
      <c r="A2279" s="9">
        <v>902</v>
      </c>
      <c r="B2279" s="10" t="s">
        <v>60</v>
      </c>
      <c r="C2279" s="10" t="s">
        <v>41</v>
      </c>
      <c r="D2279" s="10" t="s">
        <v>42</v>
      </c>
      <c r="E2279" s="11" t="str">
        <f ca="1">IFERROR(__xludf.DUMMYFUNCTION("FILTER(Colegios!$B$2:$B2419,Colegios!$A$2:$A2419=L2279)"),"60133")</f>
        <v>60133</v>
      </c>
      <c r="F2279" s="11" t="s">
        <v>17</v>
      </c>
      <c r="G2279" s="10" t="s">
        <v>18</v>
      </c>
      <c r="H2279" s="11" t="s">
        <v>23</v>
      </c>
      <c r="I2279" s="11" t="s">
        <v>113</v>
      </c>
      <c r="J2279" s="12" t="str">
        <f ca="1">IFERROR(__xludf.DUMMYFUNCTION("FILTER('CLASFICACIÓN'!$F$3:$F2419,'CLASFICACIÓN'!$G$3:$G2419=M2279)"),"LOS 3 AÑOS")</f>
        <v>LOS 3 AÑOS</v>
      </c>
      <c r="K2279" s="12" t="s">
        <v>2011</v>
      </c>
      <c r="L2279" s="11" t="s">
        <v>92</v>
      </c>
      <c r="M2279" s="12" t="str">
        <f t="shared" ca="1" si="8"/>
        <v>601332 Secundaria</v>
      </c>
      <c r="N2279" s="11"/>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1"/>
      <c r="AJ2279" s="14"/>
    </row>
    <row r="2280" spans="1:36" ht="12.5" x14ac:dyDescent="0.25">
      <c r="A2280" s="9">
        <v>903</v>
      </c>
      <c r="B2280" s="10" t="s">
        <v>60</v>
      </c>
      <c r="C2280" s="10" t="s">
        <v>41</v>
      </c>
      <c r="D2280" s="10" t="s">
        <v>42</v>
      </c>
      <c r="E2280" s="11" t="str">
        <f ca="1">IFERROR(__xludf.DUMMYFUNCTION("FILTER(Colegios!$B$2:$B2419,Colegios!$A$2:$A2419=L2280)"),"60133")</f>
        <v>60133</v>
      </c>
      <c r="F2280" s="11" t="s">
        <v>17</v>
      </c>
      <c r="G2280" s="10" t="s">
        <v>24</v>
      </c>
      <c r="H2280" s="11" t="s">
        <v>23</v>
      </c>
      <c r="I2280" s="11" t="s">
        <v>113</v>
      </c>
      <c r="J2280" s="12" t="str">
        <f ca="1">IFERROR(__xludf.DUMMYFUNCTION("FILTER('CLASFICACIÓN'!$F$3:$F2419,'CLASFICACIÓN'!$G$3:$G2419=M2280)"),"LOS 3 AÑOS")</f>
        <v>LOS 3 AÑOS</v>
      </c>
      <c r="K2280" s="12" t="s">
        <v>2011</v>
      </c>
      <c r="L2280" s="11" t="s">
        <v>92</v>
      </c>
      <c r="M2280" s="12" t="str">
        <f t="shared" ca="1" si="8"/>
        <v>601332 Secundaria</v>
      </c>
      <c r="N2280" s="11"/>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1"/>
      <c r="AJ2280" s="14"/>
    </row>
    <row r="2281" spans="1:36" ht="12.5" x14ac:dyDescent="0.25">
      <c r="A2281" s="9">
        <v>904</v>
      </c>
      <c r="B2281" s="10" t="s">
        <v>60</v>
      </c>
      <c r="C2281" s="10" t="s">
        <v>41</v>
      </c>
      <c r="D2281" s="10" t="s">
        <v>42</v>
      </c>
      <c r="E2281" s="11" t="str">
        <f ca="1">IFERROR(__xludf.DUMMYFUNCTION("FILTER(Colegios!$B$2:$B2419,Colegios!$A$2:$A2419=L2281)"),"60133")</f>
        <v>60133</v>
      </c>
      <c r="F2281" s="11" t="s">
        <v>17</v>
      </c>
      <c r="G2281" s="10" t="s">
        <v>18</v>
      </c>
      <c r="H2281" s="11" t="s">
        <v>23</v>
      </c>
      <c r="I2281" s="11" t="s">
        <v>113</v>
      </c>
      <c r="J2281" s="12" t="str">
        <f ca="1">IFERROR(__xludf.DUMMYFUNCTION("FILTER('CLASFICACIÓN'!$F$3:$F2419,'CLASFICACIÓN'!$G$3:$G2419=M2281)"),"LOS 3 AÑOS")</f>
        <v>LOS 3 AÑOS</v>
      </c>
      <c r="K2281" s="12" t="s">
        <v>2011</v>
      </c>
      <c r="L2281" s="11" t="s">
        <v>92</v>
      </c>
      <c r="M2281" s="12" t="str">
        <f t="shared" ca="1" si="8"/>
        <v>601332 Secundaria</v>
      </c>
      <c r="N2281" s="11"/>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1"/>
      <c r="AJ2281" s="14"/>
    </row>
    <row r="2282" spans="1:36" ht="12.5" x14ac:dyDescent="0.25">
      <c r="A2282" s="9">
        <v>905</v>
      </c>
      <c r="B2282" s="10" t="s">
        <v>60</v>
      </c>
      <c r="C2282" s="10" t="s">
        <v>41</v>
      </c>
      <c r="D2282" s="10" t="s">
        <v>42</v>
      </c>
      <c r="E2282" s="11" t="str">
        <f ca="1">IFERROR(__xludf.DUMMYFUNCTION("FILTER(Colegios!$B$2:$B2419,Colegios!$A$2:$A2419=L2282)"),"60133")</f>
        <v>60133</v>
      </c>
      <c r="F2282" s="11" t="s">
        <v>17</v>
      </c>
      <c r="G2282" s="10" t="s">
        <v>24</v>
      </c>
      <c r="H2282" s="11" t="s">
        <v>23</v>
      </c>
      <c r="I2282" s="11" t="s">
        <v>113</v>
      </c>
      <c r="J2282" s="12" t="str">
        <f ca="1">IFERROR(__xludf.DUMMYFUNCTION("FILTER('CLASFICACIÓN'!$F$3:$F2419,'CLASFICACIÓN'!$G$3:$G2419=M2282)"),"LOS 3 AÑOS")</f>
        <v>LOS 3 AÑOS</v>
      </c>
      <c r="K2282" s="12" t="s">
        <v>2011</v>
      </c>
      <c r="L2282" s="11" t="s">
        <v>92</v>
      </c>
      <c r="M2282" s="12" t="str">
        <f t="shared" ca="1" si="8"/>
        <v>601332 Secundaria</v>
      </c>
      <c r="N2282" s="11"/>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1"/>
      <c r="AJ2282" s="14"/>
    </row>
    <row r="2283" spans="1:36" ht="12.5" x14ac:dyDescent="0.25">
      <c r="A2283" s="9">
        <v>906</v>
      </c>
      <c r="B2283" s="10" t="s">
        <v>60</v>
      </c>
      <c r="C2283" s="10" t="s">
        <v>41</v>
      </c>
      <c r="D2283" s="10" t="s">
        <v>42</v>
      </c>
      <c r="E2283" s="11" t="str">
        <f ca="1">IFERROR(__xludf.DUMMYFUNCTION("FILTER(Colegios!$B$2:$B2419,Colegios!$A$2:$A2419=L2283)"),"60133")</f>
        <v>60133</v>
      </c>
      <c r="F2283" s="11" t="s">
        <v>17</v>
      </c>
      <c r="G2283" s="10" t="s">
        <v>24</v>
      </c>
      <c r="H2283" s="11" t="s">
        <v>23</v>
      </c>
      <c r="I2283" s="11" t="s">
        <v>113</v>
      </c>
      <c r="J2283" s="12" t="str">
        <f ca="1">IFERROR(__xludf.DUMMYFUNCTION("FILTER('CLASFICACIÓN'!$F$3:$F2419,'CLASFICACIÓN'!$G$3:$G2419=M2283)"),"LOS 3 AÑOS")</f>
        <v>LOS 3 AÑOS</v>
      </c>
      <c r="K2283" s="12" t="s">
        <v>2011</v>
      </c>
      <c r="L2283" s="11" t="s">
        <v>92</v>
      </c>
      <c r="M2283" s="12" t="str">
        <f t="shared" ca="1" si="8"/>
        <v>601332 Secundaria</v>
      </c>
      <c r="N2283" s="11"/>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1"/>
      <c r="AJ2283" s="14"/>
    </row>
    <row r="2284" spans="1:36" ht="12.5" x14ac:dyDescent="0.25">
      <c r="A2284" s="9">
        <v>907</v>
      </c>
      <c r="B2284" s="10" t="s">
        <v>60</v>
      </c>
      <c r="C2284" s="10" t="s">
        <v>41</v>
      </c>
      <c r="D2284" s="10" t="s">
        <v>42</v>
      </c>
      <c r="E2284" s="11" t="str">
        <f ca="1">IFERROR(__xludf.DUMMYFUNCTION("FILTER(Colegios!$B$2:$B2419,Colegios!$A$2:$A2419=L2284)"),"60133")</f>
        <v>60133</v>
      </c>
      <c r="F2284" s="11" t="s">
        <v>17</v>
      </c>
      <c r="G2284" s="10" t="s">
        <v>24</v>
      </c>
      <c r="H2284" s="11" t="s">
        <v>23</v>
      </c>
      <c r="I2284" s="11" t="s">
        <v>113</v>
      </c>
      <c r="J2284" s="12" t="str">
        <f ca="1">IFERROR(__xludf.DUMMYFUNCTION("FILTER('CLASFICACIÓN'!$F$3:$F2419,'CLASFICACIÓN'!$G$3:$G2419=M2284)"),"LOS 3 AÑOS")</f>
        <v>LOS 3 AÑOS</v>
      </c>
      <c r="K2284" s="12" t="s">
        <v>2011</v>
      </c>
      <c r="L2284" s="11" t="s">
        <v>92</v>
      </c>
      <c r="M2284" s="12" t="str">
        <f t="shared" ca="1" si="8"/>
        <v>601332 Secundaria</v>
      </c>
      <c r="N2284" s="11"/>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1"/>
      <c r="AJ2284" s="14"/>
    </row>
    <row r="2285" spans="1:36" ht="12.5" x14ac:dyDescent="0.25">
      <c r="A2285" s="9">
        <v>908</v>
      </c>
      <c r="B2285" s="10" t="s">
        <v>60</v>
      </c>
      <c r="C2285" s="10" t="s">
        <v>41</v>
      </c>
      <c r="D2285" s="10" t="s">
        <v>42</v>
      </c>
      <c r="E2285" s="11" t="str">
        <f ca="1">IFERROR(__xludf.DUMMYFUNCTION("FILTER(Colegios!$B$2:$B2419,Colegios!$A$2:$A2419=L2285)"),"60133")</f>
        <v>60133</v>
      </c>
      <c r="F2285" s="11" t="s">
        <v>17</v>
      </c>
      <c r="G2285" s="10" t="s">
        <v>24</v>
      </c>
      <c r="H2285" s="11" t="s">
        <v>23</v>
      </c>
      <c r="I2285" s="11" t="s">
        <v>113</v>
      </c>
      <c r="J2285" s="12" t="str">
        <f ca="1">IFERROR(__xludf.DUMMYFUNCTION("FILTER('CLASFICACIÓN'!$F$3:$F2419,'CLASFICACIÓN'!$G$3:$G2419=M2285)"),"LOS 3 AÑOS")</f>
        <v>LOS 3 AÑOS</v>
      </c>
      <c r="K2285" s="12" t="s">
        <v>2011</v>
      </c>
      <c r="L2285" s="11" t="s">
        <v>92</v>
      </c>
      <c r="M2285" s="12" t="str">
        <f t="shared" ca="1" si="8"/>
        <v>601332 Secundaria</v>
      </c>
      <c r="N2285" s="11"/>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4"/>
    </row>
    <row r="2286" spans="1:36" ht="12.5" x14ac:dyDescent="0.25">
      <c r="A2286" s="9">
        <v>909</v>
      </c>
      <c r="B2286" s="10" t="s">
        <v>60</v>
      </c>
      <c r="C2286" s="10" t="s">
        <v>41</v>
      </c>
      <c r="D2286" s="10" t="s">
        <v>42</v>
      </c>
      <c r="E2286" s="11" t="str">
        <f ca="1">IFERROR(__xludf.DUMMYFUNCTION("FILTER(Colegios!$B$2:$B2419,Colegios!$A$2:$A2419=L2286)"),"60133")</f>
        <v>60133</v>
      </c>
      <c r="F2286" s="11" t="s">
        <v>17</v>
      </c>
      <c r="G2286" s="10" t="s">
        <v>18</v>
      </c>
      <c r="H2286" s="11" t="s">
        <v>23</v>
      </c>
      <c r="I2286" s="11" t="s">
        <v>113</v>
      </c>
      <c r="J2286" s="12" t="str">
        <f ca="1">IFERROR(__xludf.DUMMYFUNCTION("FILTER('CLASFICACIÓN'!$F$3:$F2419,'CLASFICACIÓN'!$G$3:$G2419=M2286)"),"LOS 3 AÑOS")</f>
        <v>LOS 3 AÑOS</v>
      </c>
      <c r="K2286" s="12" t="s">
        <v>2011</v>
      </c>
      <c r="L2286" s="11" t="s">
        <v>92</v>
      </c>
      <c r="M2286" s="12" t="str">
        <f t="shared" ca="1" si="8"/>
        <v>601332 Secundaria</v>
      </c>
      <c r="N2286" s="11"/>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4"/>
    </row>
    <row r="2287" spans="1:36" ht="12.5" x14ac:dyDescent="0.25">
      <c r="A2287" s="9">
        <v>910</v>
      </c>
      <c r="B2287" s="10" t="s">
        <v>60</v>
      </c>
      <c r="C2287" s="10" t="s">
        <v>41</v>
      </c>
      <c r="D2287" s="10" t="s">
        <v>42</v>
      </c>
      <c r="E2287" s="11" t="str">
        <f ca="1">IFERROR(__xludf.DUMMYFUNCTION("FILTER(Colegios!$B$2:$B2419,Colegios!$A$2:$A2419=L2287)"),"60133")</f>
        <v>60133</v>
      </c>
      <c r="F2287" s="11" t="s">
        <v>17</v>
      </c>
      <c r="G2287" s="10" t="s">
        <v>18</v>
      </c>
      <c r="H2287" s="11" t="s">
        <v>23</v>
      </c>
      <c r="I2287" s="11" t="s">
        <v>113</v>
      </c>
      <c r="J2287" s="12" t="str">
        <f ca="1">IFERROR(__xludf.DUMMYFUNCTION("FILTER('CLASFICACIÓN'!$F$3:$F2419,'CLASFICACIÓN'!$G$3:$G2419=M2287)"),"LOS 3 AÑOS")</f>
        <v>LOS 3 AÑOS</v>
      </c>
      <c r="K2287" s="12" t="s">
        <v>2011</v>
      </c>
      <c r="L2287" s="11" t="s">
        <v>92</v>
      </c>
      <c r="M2287" s="12" t="str">
        <f t="shared" ca="1" si="8"/>
        <v>601332 Secundaria</v>
      </c>
      <c r="N2287" s="11"/>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1"/>
      <c r="AJ2287" s="14"/>
    </row>
    <row r="2288" spans="1:36" ht="12.5" x14ac:dyDescent="0.25">
      <c r="A2288" s="9">
        <v>911</v>
      </c>
      <c r="B2288" s="10" t="s">
        <v>60</v>
      </c>
      <c r="C2288" s="10" t="s">
        <v>41</v>
      </c>
      <c r="D2288" s="10" t="s">
        <v>42</v>
      </c>
      <c r="E2288" s="11" t="str">
        <f ca="1">IFERROR(__xludf.DUMMYFUNCTION("FILTER(Colegios!$B$2:$B2419,Colegios!$A$2:$A2419=L2288)"),"60133")</f>
        <v>60133</v>
      </c>
      <c r="F2288" s="11" t="s">
        <v>17</v>
      </c>
      <c r="G2288" s="10" t="s">
        <v>24</v>
      </c>
      <c r="H2288" s="11" t="s">
        <v>23</v>
      </c>
      <c r="I2288" s="11" t="s">
        <v>113</v>
      </c>
      <c r="J2288" s="12" t="str">
        <f ca="1">IFERROR(__xludf.DUMMYFUNCTION("FILTER('CLASFICACIÓN'!$F$3:$F2419,'CLASFICACIÓN'!$G$3:$G2419=M2288)"),"LOS 3 AÑOS")</f>
        <v>LOS 3 AÑOS</v>
      </c>
      <c r="K2288" s="12" t="s">
        <v>2011</v>
      </c>
      <c r="L2288" s="11" t="s">
        <v>92</v>
      </c>
      <c r="M2288" s="12" t="str">
        <f t="shared" ca="1" si="8"/>
        <v>601332 Secundaria</v>
      </c>
      <c r="N2288" s="11"/>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1"/>
      <c r="AJ2288" s="14"/>
    </row>
    <row r="2289" spans="1:36" ht="12.5" x14ac:dyDescent="0.25">
      <c r="A2289" s="9">
        <v>912</v>
      </c>
      <c r="B2289" s="10" t="s">
        <v>60</v>
      </c>
      <c r="C2289" s="10" t="s">
        <v>41</v>
      </c>
      <c r="D2289" s="10" t="s">
        <v>42</v>
      </c>
      <c r="E2289" s="11" t="str">
        <f ca="1">IFERROR(__xludf.DUMMYFUNCTION("FILTER(Colegios!$B$2:$B2419,Colegios!$A$2:$A2419=L2289)"),"60133")</f>
        <v>60133</v>
      </c>
      <c r="F2289" s="11" t="s">
        <v>17</v>
      </c>
      <c r="G2289" s="10" t="s">
        <v>18</v>
      </c>
      <c r="H2289" s="11" t="s">
        <v>23</v>
      </c>
      <c r="I2289" s="11" t="s">
        <v>113</v>
      </c>
      <c r="J2289" s="12" t="str">
        <f ca="1">IFERROR(__xludf.DUMMYFUNCTION("FILTER('CLASFICACIÓN'!$F$3:$F2419,'CLASFICACIÓN'!$G$3:$G2419=M2289)"),"LOS 3 AÑOS")</f>
        <v>LOS 3 AÑOS</v>
      </c>
      <c r="K2289" s="12" t="s">
        <v>2011</v>
      </c>
      <c r="L2289" s="11" t="s">
        <v>92</v>
      </c>
      <c r="M2289" s="12" t="str">
        <f t="shared" ca="1" si="8"/>
        <v>601332 Secundaria</v>
      </c>
      <c r="N2289" s="11"/>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1"/>
      <c r="AJ2289" s="14"/>
    </row>
    <row r="2290" spans="1:36" ht="12.5" x14ac:dyDescent="0.25">
      <c r="A2290" s="9">
        <v>913</v>
      </c>
      <c r="B2290" s="10" t="s">
        <v>60</v>
      </c>
      <c r="C2290" s="10" t="s">
        <v>41</v>
      </c>
      <c r="D2290" s="10" t="s">
        <v>42</v>
      </c>
      <c r="E2290" s="11" t="str">
        <f ca="1">IFERROR(__xludf.DUMMYFUNCTION("FILTER(Colegios!$B$2:$B2419,Colegios!$A$2:$A2419=L2290)"),"60133")</f>
        <v>60133</v>
      </c>
      <c r="F2290" s="11" t="s">
        <v>17</v>
      </c>
      <c r="G2290" s="10" t="s">
        <v>24</v>
      </c>
      <c r="H2290" s="11" t="s">
        <v>23</v>
      </c>
      <c r="I2290" s="11" t="s">
        <v>113</v>
      </c>
      <c r="J2290" s="12" t="str">
        <f ca="1">IFERROR(__xludf.DUMMYFUNCTION("FILTER('CLASFICACIÓN'!$F$3:$F2419,'CLASFICACIÓN'!$G$3:$G2419=M2290)"),"LOS 3 AÑOS")</f>
        <v>LOS 3 AÑOS</v>
      </c>
      <c r="K2290" s="12" t="s">
        <v>2011</v>
      </c>
      <c r="L2290" s="11" t="s">
        <v>92</v>
      </c>
      <c r="M2290" s="12" t="str">
        <f t="shared" ca="1" si="8"/>
        <v>601332 Secundaria</v>
      </c>
      <c r="N2290" s="11"/>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1"/>
      <c r="AJ2290" s="14"/>
    </row>
    <row r="2291" spans="1:36" ht="12.5" x14ac:dyDescent="0.25">
      <c r="A2291" s="9">
        <v>914</v>
      </c>
      <c r="B2291" s="10" t="s">
        <v>60</v>
      </c>
      <c r="C2291" s="10" t="s">
        <v>41</v>
      </c>
      <c r="D2291" s="10" t="s">
        <v>42</v>
      </c>
      <c r="E2291" s="11" t="str">
        <f ca="1">IFERROR(__xludf.DUMMYFUNCTION("FILTER(Colegios!$B$2:$B2419,Colegios!$A$2:$A2419=L2291)"),"60133")</f>
        <v>60133</v>
      </c>
      <c r="F2291" s="11" t="s">
        <v>17</v>
      </c>
      <c r="G2291" s="10" t="s">
        <v>24</v>
      </c>
      <c r="H2291" s="11" t="s">
        <v>23</v>
      </c>
      <c r="I2291" s="11" t="s">
        <v>113</v>
      </c>
      <c r="J2291" s="12" t="str">
        <f ca="1">IFERROR(__xludf.DUMMYFUNCTION("FILTER('CLASFICACIÓN'!$F$3:$F2419,'CLASFICACIÓN'!$G$3:$G2419=M2291)"),"LOS 3 AÑOS")</f>
        <v>LOS 3 AÑOS</v>
      </c>
      <c r="K2291" s="12" t="s">
        <v>2011</v>
      </c>
      <c r="L2291" s="11" t="s">
        <v>92</v>
      </c>
      <c r="M2291" s="12" t="str">
        <f t="shared" ca="1" si="8"/>
        <v>601332 Secundaria</v>
      </c>
      <c r="N2291" s="11"/>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1"/>
      <c r="AJ2291" s="14"/>
    </row>
    <row r="2292" spans="1:36" ht="12.5" x14ac:dyDescent="0.25">
      <c r="A2292" s="9">
        <v>915</v>
      </c>
      <c r="B2292" s="10" t="s">
        <v>60</v>
      </c>
      <c r="C2292" s="10" t="s">
        <v>41</v>
      </c>
      <c r="D2292" s="10" t="s">
        <v>42</v>
      </c>
      <c r="E2292" s="11" t="str">
        <f ca="1">IFERROR(__xludf.DUMMYFUNCTION("FILTER(Colegios!$B$2:$B2419,Colegios!$A$2:$A2419=L2292)"),"60133")</f>
        <v>60133</v>
      </c>
      <c r="F2292" s="11" t="s">
        <v>17</v>
      </c>
      <c r="G2292" s="10" t="s">
        <v>18</v>
      </c>
      <c r="H2292" s="11" t="s">
        <v>23</v>
      </c>
      <c r="I2292" s="11" t="s">
        <v>113</v>
      </c>
      <c r="J2292" s="12" t="str">
        <f ca="1">IFERROR(__xludf.DUMMYFUNCTION("FILTER('CLASFICACIÓN'!$F$3:$F2419,'CLASFICACIÓN'!$G$3:$G2419=M2292)"),"LOS 3 AÑOS")</f>
        <v>LOS 3 AÑOS</v>
      </c>
      <c r="K2292" s="12" t="s">
        <v>2011</v>
      </c>
      <c r="L2292" s="11" t="s">
        <v>92</v>
      </c>
      <c r="M2292" s="12" t="str">
        <f t="shared" ca="1" si="8"/>
        <v>601332 Secundaria</v>
      </c>
      <c r="N2292" s="11"/>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1"/>
      <c r="AJ2292" s="14"/>
    </row>
    <row r="2293" spans="1:36" ht="12.5" x14ac:dyDescent="0.25">
      <c r="A2293" s="9">
        <v>916</v>
      </c>
      <c r="B2293" s="10" t="s">
        <v>60</v>
      </c>
      <c r="C2293" s="10" t="s">
        <v>41</v>
      </c>
      <c r="D2293" s="10" t="s">
        <v>42</v>
      </c>
      <c r="E2293" s="11" t="str">
        <f ca="1">IFERROR(__xludf.DUMMYFUNCTION("FILTER(Colegios!$B$2:$B2419,Colegios!$A$2:$A2419=L2293)"),"60133")</f>
        <v>60133</v>
      </c>
      <c r="F2293" s="11" t="s">
        <v>17</v>
      </c>
      <c r="G2293" s="10" t="s">
        <v>24</v>
      </c>
      <c r="H2293" s="11" t="s">
        <v>23</v>
      </c>
      <c r="I2293" s="11" t="s">
        <v>113</v>
      </c>
      <c r="J2293" s="12" t="str">
        <f ca="1">IFERROR(__xludf.DUMMYFUNCTION("FILTER('CLASFICACIÓN'!$F$3:$F2419,'CLASFICACIÓN'!$G$3:$G2419=M2293)"),"LOS 3 AÑOS")</f>
        <v>LOS 3 AÑOS</v>
      </c>
      <c r="K2293" s="12" t="s">
        <v>2011</v>
      </c>
      <c r="L2293" s="11" t="s">
        <v>92</v>
      </c>
      <c r="M2293" s="12" t="str">
        <f t="shared" ca="1" si="8"/>
        <v>601332 Secundaria</v>
      </c>
      <c r="N2293" s="11"/>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1"/>
      <c r="AJ2293" s="14"/>
    </row>
    <row r="2294" spans="1:36" ht="12.5" x14ac:dyDescent="0.25">
      <c r="A2294" s="9">
        <v>917</v>
      </c>
      <c r="B2294" s="10" t="s">
        <v>60</v>
      </c>
      <c r="C2294" s="10" t="s">
        <v>41</v>
      </c>
      <c r="D2294" s="10" t="s">
        <v>42</v>
      </c>
      <c r="E2294" s="11" t="str">
        <f ca="1">IFERROR(__xludf.DUMMYFUNCTION("FILTER(Colegios!$B$2:$B2419,Colegios!$A$2:$A2419=L2294)"),"60133")</f>
        <v>60133</v>
      </c>
      <c r="F2294" s="11" t="s">
        <v>17</v>
      </c>
      <c r="G2294" s="10" t="s">
        <v>18</v>
      </c>
      <c r="H2294" s="11" t="s">
        <v>23</v>
      </c>
      <c r="I2294" s="11" t="s">
        <v>113</v>
      </c>
      <c r="J2294" s="12" t="str">
        <f ca="1">IFERROR(__xludf.DUMMYFUNCTION("FILTER('CLASFICACIÓN'!$F$3:$F2419,'CLASFICACIÓN'!$G$3:$G2419=M2294)"),"LOS 3 AÑOS")</f>
        <v>LOS 3 AÑOS</v>
      </c>
      <c r="K2294" s="12" t="s">
        <v>2011</v>
      </c>
      <c r="L2294" s="11" t="s">
        <v>92</v>
      </c>
      <c r="M2294" s="12" t="str">
        <f t="shared" ca="1" si="8"/>
        <v>601332 Secundaria</v>
      </c>
      <c r="N2294" s="11"/>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1"/>
      <c r="AJ2294" s="14"/>
    </row>
    <row r="2295" spans="1:36" ht="12.5" x14ac:dyDescent="0.25">
      <c r="A2295" s="9">
        <v>918</v>
      </c>
      <c r="B2295" s="10" t="s">
        <v>60</v>
      </c>
      <c r="C2295" s="10" t="s">
        <v>41</v>
      </c>
      <c r="D2295" s="10" t="s">
        <v>42</v>
      </c>
      <c r="E2295" s="11" t="str">
        <f ca="1">IFERROR(__xludf.DUMMYFUNCTION("FILTER(Colegios!$B$2:$B2419,Colegios!$A$2:$A2419=L2295)"),"60133")</f>
        <v>60133</v>
      </c>
      <c r="F2295" s="11" t="s">
        <v>17</v>
      </c>
      <c r="G2295" s="10" t="s">
        <v>18</v>
      </c>
      <c r="H2295" s="11" t="s">
        <v>23</v>
      </c>
      <c r="I2295" s="11" t="s">
        <v>113</v>
      </c>
      <c r="J2295" s="12" t="str">
        <f ca="1">IFERROR(__xludf.DUMMYFUNCTION("FILTER('CLASFICACIÓN'!$F$3:$F2419,'CLASFICACIÓN'!$G$3:$G2419=M2295)"),"LOS 3 AÑOS")</f>
        <v>LOS 3 AÑOS</v>
      </c>
      <c r="K2295" s="12" t="s">
        <v>2011</v>
      </c>
      <c r="L2295" s="11" t="s">
        <v>92</v>
      </c>
      <c r="M2295" s="12" t="str">
        <f t="shared" ca="1" si="8"/>
        <v>601332 Secundaria</v>
      </c>
      <c r="N2295" s="11"/>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1"/>
      <c r="AJ2295" s="14"/>
    </row>
    <row r="2296" spans="1:36" ht="12.5" x14ac:dyDescent="0.25">
      <c r="A2296" s="9">
        <v>919</v>
      </c>
      <c r="B2296" s="10" t="s">
        <v>60</v>
      </c>
      <c r="C2296" s="10" t="s">
        <v>41</v>
      </c>
      <c r="D2296" s="10" t="s">
        <v>43</v>
      </c>
      <c r="E2296" s="11" t="str">
        <f ca="1">IFERROR(__xludf.DUMMYFUNCTION("FILTER(Colegios!$B$2:$B2419,Colegios!$A$2:$A2419=L2296)"),"60133")</f>
        <v>60133</v>
      </c>
      <c r="F2296" s="11" t="s">
        <v>17</v>
      </c>
      <c r="G2296" s="10" t="s">
        <v>18</v>
      </c>
      <c r="H2296" s="11" t="s">
        <v>23</v>
      </c>
      <c r="I2296" s="11" t="s">
        <v>113</v>
      </c>
      <c r="J2296" s="12" t="str">
        <f ca="1">IFERROR(__xludf.DUMMYFUNCTION("FILTER('CLASFICACIÓN'!$F$3:$F2419,'CLASFICACIÓN'!$G$3:$G2419=M2296)"),"LOS 3 AÑOS")</f>
        <v>LOS 3 AÑOS</v>
      </c>
      <c r="K2296" s="12" t="s">
        <v>2011</v>
      </c>
      <c r="L2296" s="11" t="s">
        <v>92</v>
      </c>
      <c r="M2296" s="12" t="str">
        <f t="shared" ca="1" si="8"/>
        <v>601334 Secundaria</v>
      </c>
      <c r="N2296" s="11"/>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1"/>
      <c r="AJ2296" s="14"/>
    </row>
    <row r="2297" spans="1:36" ht="12.5" x14ac:dyDescent="0.25">
      <c r="A2297" s="9">
        <v>920</v>
      </c>
      <c r="B2297" s="10" t="s">
        <v>60</v>
      </c>
      <c r="C2297" s="10" t="s">
        <v>41</v>
      </c>
      <c r="D2297" s="10" t="s">
        <v>43</v>
      </c>
      <c r="E2297" s="11" t="str">
        <f ca="1">IFERROR(__xludf.DUMMYFUNCTION("FILTER(Colegios!$B$2:$B2419,Colegios!$A$2:$A2419=L2297)"),"60133")</f>
        <v>60133</v>
      </c>
      <c r="F2297" s="11" t="s">
        <v>17</v>
      </c>
      <c r="G2297" s="10" t="s">
        <v>24</v>
      </c>
      <c r="H2297" s="11" t="s">
        <v>23</v>
      </c>
      <c r="I2297" s="11" t="s">
        <v>113</v>
      </c>
      <c r="J2297" s="12" t="str">
        <f ca="1">IFERROR(__xludf.DUMMYFUNCTION("FILTER('CLASFICACIÓN'!$F$3:$F2419,'CLASFICACIÓN'!$G$3:$G2419=M2297)"),"LOS 3 AÑOS")</f>
        <v>LOS 3 AÑOS</v>
      </c>
      <c r="K2297" s="12" t="s">
        <v>2011</v>
      </c>
      <c r="L2297" s="11" t="s">
        <v>92</v>
      </c>
      <c r="M2297" s="12" t="str">
        <f t="shared" ref="M2297:M2419" ca="1" si="9">E2297&amp;D2297</f>
        <v>601334 Secundaria</v>
      </c>
      <c r="N2297" s="11"/>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1"/>
      <c r="AJ2297" s="14"/>
    </row>
    <row r="2298" spans="1:36" ht="12.5" x14ac:dyDescent="0.25">
      <c r="A2298" s="9">
        <v>921</v>
      </c>
      <c r="B2298" s="10" t="s">
        <v>60</v>
      </c>
      <c r="C2298" s="10" t="s">
        <v>41</v>
      </c>
      <c r="D2298" s="10" t="s">
        <v>43</v>
      </c>
      <c r="E2298" s="11" t="str">
        <f ca="1">IFERROR(__xludf.DUMMYFUNCTION("FILTER(Colegios!$B$2:$B2419,Colegios!$A$2:$A2419=L2298)"),"60133")</f>
        <v>60133</v>
      </c>
      <c r="F2298" s="11" t="s">
        <v>17</v>
      </c>
      <c r="G2298" s="10" t="s">
        <v>18</v>
      </c>
      <c r="H2298" s="11" t="s">
        <v>23</v>
      </c>
      <c r="I2298" s="11" t="s">
        <v>113</v>
      </c>
      <c r="J2298" s="12" t="str">
        <f ca="1">IFERROR(__xludf.DUMMYFUNCTION("FILTER('CLASFICACIÓN'!$F$3:$F2419,'CLASFICACIÓN'!$G$3:$G2419=M2298)"),"LOS 3 AÑOS")</f>
        <v>LOS 3 AÑOS</v>
      </c>
      <c r="K2298" s="12" t="s">
        <v>2011</v>
      </c>
      <c r="L2298" s="11" t="s">
        <v>92</v>
      </c>
      <c r="M2298" s="12" t="str">
        <f t="shared" ca="1" si="9"/>
        <v>601334 Secundaria</v>
      </c>
      <c r="N2298" s="11"/>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1"/>
      <c r="AJ2298" s="14"/>
    </row>
    <row r="2299" spans="1:36" ht="12.5" x14ac:dyDescent="0.25">
      <c r="A2299" s="9">
        <v>922</v>
      </c>
      <c r="B2299" s="10" t="s">
        <v>60</v>
      </c>
      <c r="C2299" s="10" t="s">
        <v>41</v>
      </c>
      <c r="D2299" s="10" t="s">
        <v>43</v>
      </c>
      <c r="E2299" s="11" t="str">
        <f ca="1">IFERROR(__xludf.DUMMYFUNCTION("FILTER(Colegios!$B$2:$B2419,Colegios!$A$2:$A2419=L2299)"),"60133")</f>
        <v>60133</v>
      </c>
      <c r="F2299" s="11" t="s">
        <v>17</v>
      </c>
      <c r="G2299" s="10" t="s">
        <v>18</v>
      </c>
      <c r="H2299" s="11" t="s">
        <v>23</v>
      </c>
      <c r="I2299" s="11" t="s">
        <v>113</v>
      </c>
      <c r="J2299" s="12" t="str">
        <f ca="1">IFERROR(__xludf.DUMMYFUNCTION("FILTER('CLASFICACIÓN'!$F$3:$F2419,'CLASFICACIÓN'!$G$3:$G2419=M2299)"),"LOS 3 AÑOS")</f>
        <v>LOS 3 AÑOS</v>
      </c>
      <c r="K2299" s="12" t="s">
        <v>2011</v>
      </c>
      <c r="L2299" s="11" t="s">
        <v>92</v>
      </c>
      <c r="M2299" s="12" t="str">
        <f t="shared" ca="1" si="9"/>
        <v>601334 Secundaria</v>
      </c>
      <c r="N2299" s="11"/>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1"/>
      <c r="AJ2299" s="14"/>
    </row>
    <row r="2300" spans="1:36" ht="12.5" x14ac:dyDescent="0.25">
      <c r="A2300" s="9">
        <v>923</v>
      </c>
      <c r="B2300" s="10" t="s">
        <v>60</v>
      </c>
      <c r="C2300" s="10" t="s">
        <v>41</v>
      </c>
      <c r="D2300" s="10" t="s">
        <v>43</v>
      </c>
      <c r="E2300" s="11" t="str">
        <f ca="1">IFERROR(__xludf.DUMMYFUNCTION("FILTER(Colegios!$B$2:$B2419,Colegios!$A$2:$A2419=L2300)"),"60133")</f>
        <v>60133</v>
      </c>
      <c r="F2300" s="11" t="s">
        <v>17</v>
      </c>
      <c r="G2300" s="10" t="s">
        <v>18</v>
      </c>
      <c r="H2300" s="11" t="s">
        <v>23</v>
      </c>
      <c r="I2300" s="11" t="s">
        <v>113</v>
      </c>
      <c r="J2300" s="12" t="str">
        <f ca="1">IFERROR(__xludf.DUMMYFUNCTION("FILTER('CLASFICACIÓN'!$F$3:$F2419,'CLASFICACIÓN'!$G$3:$G2419=M2300)"),"LOS 3 AÑOS")</f>
        <v>LOS 3 AÑOS</v>
      </c>
      <c r="K2300" s="12" t="s">
        <v>2011</v>
      </c>
      <c r="L2300" s="11" t="s">
        <v>92</v>
      </c>
      <c r="M2300" s="12" t="str">
        <f t="shared" ca="1" si="9"/>
        <v>601334 Secundaria</v>
      </c>
      <c r="N2300" s="11"/>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1"/>
      <c r="AJ2300" s="14"/>
    </row>
    <row r="2301" spans="1:36" ht="12.5" x14ac:dyDescent="0.25">
      <c r="A2301" s="9">
        <v>924</v>
      </c>
      <c r="B2301" s="10" t="s">
        <v>60</v>
      </c>
      <c r="C2301" s="10" t="s">
        <v>41</v>
      </c>
      <c r="D2301" s="10" t="s">
        <v>43</v>
      </c>
      <c r="E2301" s="11" t="str">
        <f ca="1">IFERROR(__xludf.DUMMYFUNCTION("FILTER(Colegios!$B$2:$B2419,Colegios!$A$2:$A2419=L2301)"),"60133")</f>
        <v>60133</v>
      </c>
      <c r="F2301" s="11" t="s">
        <v>17</v>
      </c>
      <c r="G2301" s="10" t="s">
        <v>18</v>
      </c>
      <c r="H2301" s="11" t="s">
        <v>23</v>
      </c>
      <c r="I2301" s="11" t="s">
        <v>113</v>
      </c>
      <c r="J2301" s="12" t="str">
        <f ca="1">IFERROR(__xludf.DUMMYFUNCTION("FILTER('CLASFICACIÓN'!$F$3:$F2419,'CLASFICACIÓN'!$G$3:$G2419=M2301)"),"LOS 3 AÑOS")</f>
        <v>LOS 3 AÑOS</v>
      </c>
      <c r="K2301" s="12" t="s">
        <v>2011</v>
      </c>
      <c r="L2301" s="11" t="s">
        <v>92</v>
      </c>
      <c r="M2301" s="12" t="str">
        <f t="shared" ca="1" si="9"/>
        <v>601334 Secundaria</v>
      </c>
      <c r="N2301" s="11"/>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1"/>
      <c r="AJ2301" s="14"/>
    </row>
    <row r="2302" spans="1:36" ht="12.5" x14ac:dyDescent="0.25">
      <c r="A2302" s="9">
        <v>925</v>
      </c>
      <c r="B2302" s="10" t="s">
        <v>60</v>
      </c>
      <c r="C2302" s="10" t="s">
        <v>41</v>
      </c>
      <c r="D2302" s="10" t="s">
        <v>43</v>
      </c>
      <c r="E2302" s="11" t="str">
        <f ca="1">IFERROR(__xludf.DUMMYFUNCTION("FILTER(Colegios!$B$2:$B2419,Colegios!$A$2:$A2419=L2302)"),"60133")</f>
        <v>60133</v>
      </c>
      <c r="F2302" s="11" t="s">
        <v>17</v>
      </c>
      <c r="G2302" s="10" t="s">
        <v>24</v>
      </c>
      <c r="H2302" s="11" t="s">
        <v>23</v>
      </c>
      <c r="I2302" s="11" t="s">
        <v>113</v>
      </c>
      <c r="J2302" s="12" t="str">
        <f ca="1">IFERROR(__xludf.DUMMYFUNCTION("FILTER('CLASFICACIÓN'!$F$3:$F2419,'CLASFICACIÓN'!$G$3:$G2419=M2302)"),"LOS 3 AÑOS")</f>
        <v>LOS 3 AÑOS</v>
      </c>
      <c r="K2302" s="12" t="s">
        <v>2011</v>
      </c>
      <c r="L2302" s="11" t="s">
        <v>92</v>
      </c>
      <c r="M2302" s="12" t="str">
        <f t="shared" ca="1" si="9"/>
        <v>601334 Secundaria</v>
      </c>
      <c r="N2302" s="11"/>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1"/>
      <c r="AJ2302" s="14"/>
    </row>
    <row r="2303" spans="1:36" ht="12.5" x14ac:dyDescent="0.25">
      <c r="A2303" s="9">
        <v>926</v>
      </c>
      <c r="B2303" s="10" t="s">
        <v>60</v>
      </c>
      <c r="C2303" s="10" t="s">
        <v>41</v>
      </c>
      <c r="D2303" s="10" t="s">
        <v>43</v>
      </c>
      <c r="E2303" s="11" t="str">
        <f ca="1">IFERROR(__xludf.DUMMYFUNCTION("FILTER(Colegios!$B$2:$B2419,Colegios!$A$2:$A2419=L2303)"),"60133")</f>
        <v>60133</v>
      </c>
      <c r="F2303" s="11" t="s">
        <v>17</v>
      </c>
      <c r="G2303" s="10" t="s">
        <v>24</v>
      </c>
      <c r="H2303" s="11" t="s">
        <v>19</v>
      </c>
      <c r="I2303" s="11" t="s">
        <v>113</v>
      </c>
      <c r="J2303" s="12" t="str">
        <f ca="1">IFERROR(__xludf.DUMMYFUNCTION("FILTER('CLASFICACIÓN'!$F$3:$F2419,'CLASFICACIÓN'!$G$3:$G2419=M2303)"),"LOS 3 AÑOS")</f>
        <v>LOS 3 AÑOS</v>
      </c>
      <c r="K2303" s="12" t="s">
        <v>2011</v>
      </c>
      <c r="L2303" s="11" t="s">
        <v>92</v>
      </c>
      <c r="M2303" s="12" t="str">
        <f t="shared" ca="1" si="9"/>
        <v>601334 Secundaria</v>
      </c>
      <c r="N2303" s="11"/>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4"/>
    </row>
    <row r="2304" spans="1:36" ht="12.5" x14ac:dyDescent="0.25">
      <c r="A2304" s="9">
        <v>927</v>
      </c>
      <c r="B2304" s="10" t="s">
        <v>60</v>
      </c>
      <c r="C2304" s="10" t="s">
        <v>41</v>
      </c>
      <c r="D2304" s="10" t="s">
        <v>43</v>
      </c>
      <c r="E2304" s="11" t="str">
        <f ca="1">IFERROR(__xludf.DUMMYFUNCTION("FILTER(Colegios!$B$2:$B2419,Colegios!$A$2:$A2419=L2304)"),"60133")</f>
        <v>60133</v>
      </c>
      <c r="F2304" s="11" t="s">
        <v>17</v>
      </c>
      <c r="G2304" s="10" t="s">
        <v>24</v>
      </c>
      <c r="H2304" s="11" t="s">
        <v>23</v>
      </c>
      <c r="I2304" s="11" t="s">
        <v>113</v>
      </c>
      <c r="J2304" s="12" t="str">
        <f ca="1">IFERROR(__xludf.DUMMYFUNCTION("FILTER('CLASFICACIÓN'!$F$3:$F2419,'CLASFICACIÓN'!$G$3:$G2419=M2304)"),"LOS 3 AÑOS")</f>
        <v>LOS 3 AÑOS</v>
      </c>
      <c r="K2304" s="12" t="s">
        <v>2011</v>
      </c>
      <c r="L2304" s="11" t="s">
        <v>92</v>
      </c>
      <c r="M2304" s="12" t="str">
        <f t="shared" ca="1" si="9"/>
        <v>601334 Secundaria</v>
      </c>
      <c r="N2304" s="11"/>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1"/>
      <c r="AJ2304" s="14"/>
    </row>
    <row r="2305" spans="1:36" ht="12.5" x14ac:dyDescent="0.25">
      <c r="A2305" s="9">
        <v>928</v>
      </c>
      <c r="B2305" s="10" t="s">
        <v>60</v>
      </c>
      <c r="C2305" s="10" t="s">
        <v>41</v>
      </c>
      <c r="D2305" s="10" t="s">
        <v>43</v>
      </c>
      <c r="E2305" s="11" t="str">
        <f ca="1">IFERROR(__xludf.DUMMYFUNCTION("FILTER(Colegios!$B$2:$B2419,Colegios!$A$2:$A2419=L2305)"),"60133")</f>
        <v>60133</v>
      </c>
      <c r="F2305" s="11" t="s">
        <v>17</v>
      </c>
      <c r="G2305" s="10" t="s">
        <v>24</v>
      </c>
      <c r="H2305" s="11" t="s">
        <v>23</v>
      </c>
      <c r="I2305" s="11" t="s">
        <v>113</v>
      </c>
      <c r="J2305" s="12" t="str">
        <f ca="1">IFERROR(__xludf.DUMMYFUNCTION("FILTER('CLASFICACIÓN'!$F$3:$F2419,'CLASFICACIÓN'!$G$3:$G2419=M2305)"),"LOS 3 AÑOS")</f>
        <v>LOS 3 AÑOS</v>
      </c>
      <c r="K2305" s="12" t="s">
        <v>2011</v>
      </c>
      <c r="L2305" s="11" t="s">
        <v>92</v>
      </c>
      <c r="M2305" s="12" t="str">
        <f t="shared" ca="1" si="9"/>
        <v>601334 Secundaria</v>
      </c>
      <c r="N2305" s="11"/>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4"/>
    </row>
    <row r="2306" spans="1:36" ht="12.5" x14ac:dyDescent="0.25">
      <c r="A2306" s="9">
        <v>929</v>
      </c>
      <c r="B2306" s="10" t="s">
        <v>60</v>
      </c>
      <c r="C2306" s="10" t="s">
        <v>41</v>
      </c>
      <c r="D2306" s="10" t="s">
        <v>43</v>
      </c>
      <c r="E2306" s="11" t="str">
        <f ca="1">IFERROR(__xludf.DUMMYFUNCTION("FILTER(Colegios!$B$2:$B2419,Colegios!$A$2:$A2419=L2306)"),"60133")</f>
        <v>60133</v>
      </c>
      <c r="F2306" s="11" t="s">
        <v>17</v>
      </c>
      <c r="G2306" s="10" t="s">
        <v>24</v>
      </c>
      <c r="H2306" s="11" t="s">
        <v>23</v>
      </c>
      <c r="I2306" s="11" t="s">
        <v>113</v>
      </c>
      <c r="J2306" s="12" t="str">
        <f ca="1">IFERROR(__xludf.DUMMYFUNCTION("FILTER('CLASFICACIÓN'!$F$3:$F2419,'CLASFICACIÓN'!$G$3:$G2419=M2306)"),"LOS 3 AÑOS")</f>
        <v>LOS 3 AÑOS</v>
      </c>
      <c r="K2306" s="12" t="s">
        <v>2011</v>
      </c>
      <c r="L2306" s="11" t="s">
        <v>92</v>
      </c>
      <c r="M2306" s="12" t="str">
        <f t="shared" ca="1" si="9"/>
        <v>601334 Secundaria</v>
      </c>
      <c r="N2306" s="11"/>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1"/>
      <c r="AJ2306" s="14"/>
    </row>
    <row r="2307" spans="1:36" ht="12.5" x14ac:dyDescent="0.25">
      <c r="A2307" s="9">
        <v>930</v>
      </c>
      <c r="B2307" s="10" t="s">
        <v>60</v>
      </c>
      <c r="C2307" s="10" t="s">
        <v>41</v>
      </c>
      <c r="D2307" s="10" t="s">
        <v>43</v>
      </c>
      <c r="E2307" s="11" t="str">
        <f ca="1">IFERROR(__xludf.DUMMYFUNCTION("FILTER(Colegios!$B$2:$B2419,Colegios!$A$2:$A2419=L2307)"),"60133")</f>
        <v>60133</v>
      </c>
      <c r="F2307" s="11" t="s">
        <v>17</v>
      </c>
      <c r="G2307" s="10" t="s">
        <v>24</v>
      </c>
      <c r="H2307" s="11" t="s">
        <v>23</v>
      </c>
      <c r="I2307" s="11" t="s">
        <v>113</v>
      </c>
      <c r="J2307" s="12" t="str">
        <f ca="1">IFERROR(__xludf.DUMMYFUNCTION("FILTER('CLASFICACIÓN'!$F$3:$F2419,'CLASFICACIÓN'!$G$3:$G2419=M2307)"),"LOS 3 AÑOS")</f>
        <v>LOS 3 AÑOS</v>
      </c>
      <c r="K2307" s="12" t="s">
        <v>2011</v>
      </c>
      <c r="L2307" s="11" t="s">
        <v>92</v>
      </c>
      <c r="M2307" s="12" t="str">
        <f t="shared" ca="1" si="9"/>
        <v>601334 Secundaria</v>
      </c>
      <c r="N2307" s="11"/>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1"/>
      <c r="AJ2307" s="14"/>
    </row>
    <row r="2308" spans="1:36" ht="12.5" x14ac:dyDescent="0.25">
      <c r="A2308" s="9">
        <v>931</v>
      </c>
      <c r="B2308" s="10" t="s">
        <v>60</v>
      </c>
      <c r="C2308" s="10" t="s">
        <v>41</v>
      </c>
      <c r="D2308" s="10" t="s">
        <v>43</v>
      </c>
      <c r="E2308" s="11" t="str">
        <f ca="1">IFERROR(__xludf.DUMMYFUNCTION("FILTER(Colegios!$B$2:$B2419,Colegios!$A$2:$A2419=L2308)"),"60133")</f>
        <v>60133</v>
      </c>
      <c r="F2308" s="11" t="s">
        <v>17</v>
      </c>
      <c r="G2308" s="10" t="s">
        <v>24</v>
      </c>
      <c r="H2308" s="11" t="s">
        <v>23</v>
      </c>
      <c r="I2308" s="11" t="s">
        <v>113</v>
      </c>
      <c r="J2308" s="12" t="str">
        <f ca="1">IFERROR(__xludf.DUMMYFUNCTION("FILTER('CLASFICACIÓN'!$F$3:$F2419,'CLASFICACIÓN'!$G$3:$G2419=M2308)"),"LOS 3 AÑOS")</f>
        <v>LOS 3 AÑOS</v>
      </c>
      <c r="K2308" s="12" t="s">
        <v>2011</v>
      </c>
      <c r="L2308" s="11" t="s">
        <v>92</v>
      </c>
      <c r="M2308" s="12" t="str">
        <f t="shared" ca="1" si="9"/>
        <v>601334 Secundaria</v>
      </c>
      <c r="N2308" s="11"/>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4"/>
    </row>
    <row r="2309" spans="1:36" ht="12.5" x14ac:dyDescent="0.25">
      <c r="A2309" s="9">
        <v>932</v>
      </c>
      <c r="B2309" s="10" t="s">
        <v>60</v>
      </c>
      <c r="C2309" s="10" t="s">
        <v>41</v>
      </c>
      <c r="D2309" s="10" t="s">
        <v>43</v>
      </c>
      <c r="E2309" s="11" t="str">
        <f ca="1">IFERROR(__xludf.DUMMYFUNCTION("FILTER(Colegios!$B$2:$B2419,Colegios!$A$2:$A2419=L2309)"),"60133")</f>
        <v>60133</v>
      </c>
      <c r="F2309" s="11" t="s">
        <v>17</v>
      </c>
      <c r="G2309" s="10" t="s">
        <v>24</v>
      </c>
      <c r="H2309" s="11" t="s">
        <v>23</v>
      </c>
      <c r="I2309" s="11" t="s">
        <v>113</v>
      </c>
      <c r="J2309" s="12" t="str">
        <f ca="1">IFERROR(__xludf.DUMMYFUNCTION("FILTER('CLASFICACIÓN'!$F$3:$F2419,'CLASFICACIÓN'!$G$3:$G2419=M2309)"),"LOS 3 AÑOS")</f>
        <v>LOS 3 AÑOS</v>
      </c>
      <c r="K2309" s="12" t="s">
        <v>2011</v>
      </c>
      <c r="L2309" s="11" t="s">
        <v>92</v>
      </c>
      <c r="M2309" s="12" t="str">
        <f t="shared" ca="1" si="9"/>
        <v>601334 Secundaria</v>
      </c>
      <c r="N2309" s="11"/>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1"/>
      <c r="AJ2309" s="14"/>
    </row>
    <row r="2310" spans="1:36" ht="12.5" x14ac:dyDescent="0.25">
      <c r="A2310" s="15">
        <v>1</v>
      </c>
      <c r="B2310" s="16" t="s">
        <v>54</v>
      </c>
      <c r="C2310" s="16" t="s">
        <v>15</v>
      </c>
      <c r="D2310" s="16" t="s">
        <v>141</v>
      </c>
      <c r="E2310" s="11" t="str">
        <f ca="1">IFERROR(__xludf.DUMMYFUNCTION("FILTER(Colegios!$B$2:$B2419,Colegios!$A$2:$A2419=L2310)"),"36207")</f>
        <v>36207</v>
      </c>
      <c r="F2310" s="17" t="s">
        <v>17</v>
      </c>
      <c r="G2310" s="16" t="s">
        <v>24</v>
      </c>
      <c r="H2310" s="17" t="s">
        <v>19</v>
      </c>
      <c r="I2310" s="17" t="s">
        <v>20</v>
      </c>
      <c r="J2310" s="12" t="str">
        <f ca="1">IFERROR(__xludf.DUMMYFUNCTION("FILTER('CLASFICACIÓN'!$F$3:$F2419,'CLASFICACIÓN'!$G$3:$G2419=M2310)"),"SOLO 2024")</f>
        <v>SOLO 2024</v>
      </c>
      <c r="K2310" s="12" t="s">
        <v>2011</v>
      </c>
      <c r="L2310" s="17" t="s">
        <v>57</v>
      </c>
      <c r="M2310" s="12" t="str">
        <f t="shared" ca="1" si="9"/>
        <v>362071 Primaria</v>
      </c>
      <c r="N2310" s="17"/>
      <c r="O2310" s="17"/>
      <c r="P2310" s="17"/>
      <c r="Q2310" s="17"/>
      <c r="R2310" s="17"/>
      <c r="S2310" s="17"/>
      <c r="T2310" s="17"/>
      <c r="U2310" s="17"/>
      <c r="V2310" s="17"/>
      <c r="W2310" s="17"/>
      <c r="X2310" s="17"/>
      <c r="Y2310" s="17"/>
      <c r="Z2310" s="17"/>
      <c r="AA2310" s="17"/>
      <c r="AB2310" s="17"/>
      <c r="AC2310" s="17"/>
      <c r="AD2310" s="17"/>
      <c r="AE2310" s="17"/>
      <c r="AF2310" s="17"/>
      <c r="AG2310" s="17"/>
      <c r="AH2310" s="17"/>
      <c r="AI2310" s="17"/>
      <c r="AJ2310" s="18"/>
    </row>
    <row r="2311" spans="1:36" ht="12.5" x14ac:dyDescent="0.25">
      <c r="A2311" s="9">
        <v>2</v>
      </c>
      <c r="B2311" s="10" t="s">
        <v>54</v>
      </c>
      <c r="C2311" s="10" t="s">
        <v>15</v>
      </c>
      <c r="D2311" s="10" t="s">
        <v>141</v>
      </c>
      <c r="E2311" s="11" t="str">
        <f ca="1">IFERROR(__xludf.DUMMYFUNCTION("FILTER(Colegios!$B$2:$B2419,Colegios!$A$2:$A2419=L2311)"),"36207")</f>
        <v>36207</v>
      </c>
      <c r="F2311" s="11" t="s">
        <v>17</v>
      </c>
      <c r="G2311" s="10" t="s">
        <v>18</v>
      </c>
      <c r="H2311" s="11" t="s">
        <v>19</v>
      </c>
      <c r="I2311" s="11" t="s">
        <v>20</v>
      </c>
      <c r="J2311" s="12" t="str">
        <f ca="1">IFERROR(__xludf.DUMMYFUNCTION("FILTER('CLASFICACIÓN'!$F$3:$F2419,'CLASFICACIÓN'!$G$3:$G2419=M2311)"),"SOLO 2024")</f>
        <v>SOLO 2024</v>
      </c>
      <c r="K2311" s="12" t="s">
        <v>2011</v>
      </c>
      <c r="L2311" s="11" t="s">
        <v>57</v>
      </c>
      <c r="M2311" s="12" t="str">
        <f t="shared" ca="1" si="9"/>
        <v>362071 Primaria</v>
      </c>
      <c r="N2311" s="11"/>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4"/>
    </row>
    <row r="2312" spans="1:36" ht="12.5" x14ac:dyDescent="0.25">
      <c r="A2312" s="9">
        <v>3</v>
      </c>
      <c r="B2312" s="10" t="s">
        <v>54</v>
      </c>
      <c r="C2312" s="10" t="s">
        <v>15</v>
      </c>
      <c r="D2312" s="10" t="s">
        <v>141</v>
      </c>
      <c r="E2312" s="11" t="str">
        <f ca="1">IFERROR(__xludf.DUMMYFUNCTION("FILTER(Colegios!$B$2:$B2419,Colegios!$A$2:$A2419=L2312)"),"36207")</f>
        <v>36207</v>
      </c>
      <c r="F2312" s="11" t="s">
        <v>17</v>
      </c>
      <c r="G2312" s="10" t="s">
        <v>24</v>
      </c>
      <c r="H2312" s="11" t="s">
        <v>23</v>
      </c>
      <c r="I2312" s="11" t="s">
        <v>20</v>
      </c>
      <c r="J2312" s="12" t="str">
        <f ca="1">IFERROR(__xludf.DUMMYFUNCTION("FILTER('CLASFICACIÓN'!$F$3:$F2419,'CLASFICACIÓN'!$G$3:$G2419=M2312)"),"SOLO 2024")</f>
        <v>SOLO 2024</v>
      </c>
      <c r="K2312" s="12" t="s">
        <v>2011</v>
      </c>
      <c r="L2312" s="11" t="s">
        <v>57</v>
      </c>
      <c r="M2312" s="12" t="str">
        <f t="shared" ca="1" si="9"/>
        <v>362071 Primaria</v>
      </c>
      <c r="N2312" s="11"/>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1"/>
      <c r="AJ2312" s="14"/>
    </row>
    <row r="2313" spans="1:36" ht="12.5" x14ac:dyDescent="0.25">
      <c r="A2313" s="9">
        <v>4</v>
      </c>
      <c r="B2313" s="10" t="s">
        <v>54</v>
      </c>
      <c r="C2313" s="10" t="s">
        <v>15</v>
      </c>
      <c r="D2313" s="10" t="s">
        <v>141</v>
      </c>
      <c r="E2313" s="11" t="str">
        <f ca="1">IFERROR(__xludf.DUMMYFUNCTION("FILTER(Colegios!$B$2:$B2419,Colegios!$A$2:$A2419=L2313)"),"36207")</f>
        <v>36207</v>
      </c>
      <c r="F2313" s="11" t="s">
        <v>17</v>
      </c>
      <c r="G2313" s="10" t="s">
        <v>18</v>
      </c>
      <c r="H2313" s="11" t="s">
        <v>19</v>
      </c>
      <c r="I2313" s="11" t="s">
        <v>20</v>
      </c>
      <c r="J2313" s="12" t="str">
        <f ca="1">IFERROR(__xludf.DUMMYFUNCTION("FILTER('CLASFICACIÓN'!$F$3:$F2419,'CLASFICACIÓN'!$G$3:$G2419=M2313)"),"SOLO 2024")</f>
        <v>SOLO 2024</v>
      </c>
      <c r="K2313" s="12" t="s">
        <v>2011</v>
      </c>
      <c r="L2313" s="11" t="s">
        <v>57</v>
      </c>
      <c r="M2313" s="12" t="str">
        <f t="shared" ca="1" si="9"/>
        <v>362071 Primaria</v>
      </c>
      <c r="N2313" s="11"/>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4"/>
    </row>
    <row r="2314" spans="1:36" ht="12.5" x14ac:dyDescent="0.25">
      <c r="A2314" s="9">
        <v>5</v>
      </c>
      <c r="B2314" s="10" t="s">
        <v>54</v>
      </c>
      <c r="C2314" s="10" t="s">
        <v>15</v>
      </c>
      <c r="D2314" s="10" t="s">
        <v>141</v>
      </c>
      <c r="E2314" s="11" t="str">
        <f ca="1">IFERROR(__xludf.DUMMYFUNCTION("FILTER(Colegios!$B$2:$B2419,Colegios!$A$2:$A2419=L2314)"),"36207")</f>
        <v>36207</v>
      </c>
      <c r="F2314" s="11" t="s">
        <v>17</v>
      </c>
      <c r="G2314" s="10" t="s">
        <v>18</v>
      </c>
      <c r="H2314" s="11" t="s">
        <v>19</v>
      </c>
      <c r="I2314" s="11" t="s">
        <v>20</v>
      </c>
      <c r="J2314" s="12" t="str">
        <f ca="1">IFERROR(__xludf.DUMMYFUNCTION("FILTER('CLASFICACIÓN'!$F$3:$F2419,'CLASFICACIÓN'!$G$3:$G2419=M2314)"),"SOLO 2024")</f>
        <v>SOLO 2024</v>
      </c>
      <c r="K2314" s="12" t="s">
        <v>2011</v>
      </c>
      <c r="L2314" s="11" t="s">
        <v>57</v>
      </c>
      <c r="M2314" s="12" t="str">
        <f t="shared" ca="1" si="9"/>
        <v>362071 Primaria</v>
      </c>
      <c r="N2314" s="11"/>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1"/>
      <c r="AJ2314" s="14"/>
    </row>
    <row r="2315" spans="1:36" ht="12.5" x14ac:dyDescent="0.25">
      <c r="A2315" s="9">
        <v>6</v>
      </c>
      <c r="B2315" s="10" t="s">
        <v>54</v>
      </c>
      <c r="C2315" s="10" t="s">
        <v>15</v>
      </c>
      <c r="D2315" s="10" t="s">
        <v>141</v>
      </c>
      <c r="E2315" s="11" t="str">
        <f ca="1">IFERROR(__xludf.DUMMYFUNCTION("FILTER(Colegios!$B$2:$B2419,Colegios!$A$2:$A2419=L2315)"),"36207")</f>
        <v>36207</v>
      </c>
      <c r="F2315" s="11" t="s">
        <v>17</v>
      </c>
      <c r="G2315" s="10" t="s">
        <v>24</v>
      </c>
      <c r="H2315" s="11" t="s">
        <v>19</v>
      </c>
      <c r="I2315" s="11" t="s">
        <v>20</v>
      </c>
      <c r="J2315" s="12" t="str">
        <f ca="1">IFERROR(__xludf.DUMMYFUNCTION("FILTER('CLASFICACIÓN'!$F$3:$F2419,'CLASFICACIÓN'!$G$3:$G2419=M2315)"),"SOLO 2024")</f>
        <v>SOLO 2024</v>
      </c>
      <c r="K2315" s="12" t="s">
        <v>2011</v>
      </c>
      <c r="L2315" s="11" t="s">
        <v>57</v>
      </c>
      <c r="M2315" s="12" t="str">
        <f t="shared" ca="1" si="9"/>
        <v>362071 Primaria</v>
      </c>
      <c r="N2315" s="11"/>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1"/>
      <c r="AJ2315" s="14"/>
    </row>
    <row r="2316" spans="1:36" ht="12.5" x14ac:dyDescent="0.25">
      <c r="A2316" s="9">
        <v>7</v>
      </c>
      <c r="B2316" s="10" t="s">
        <v>54</v>
      </c>
      <c r="C2316" s="10" t="s">
        <v>15</v>
      </c>
      <c r="D2316" s="10" t="s">
        <v>141</v>
      </c>
      <c r="E2316" s="11" t="str">
        <f ca="1">IFERROR(__xludf.DUMMYFUNCTION("FILTER(Colegios!$B$2:$B2419,Colegios!$A$2:$A2419=L2316)"),"36207")</f>
        <v>36207</v>
      </c>
      <c r="F2316" s="11" t="s">
        <v>17</v>
      </c>
      <c r="G2316" s="10" t="s">
        <v>18</v>
      </c>
      <c r="H2316" s="11" t="s">
        <v>19</v>
      </c>
      <c r="I2316" s="11" t="s">
        <v>20</v>
      </c>
      <c r="J2316" s="12" t="str">
        <f ca="1">IFERROR(__xludf.DUMMYFUNCTION("FILTER('CLASFICACIÓN'!$F$3:$F2419,'CLASFICACIÓN'!$G$3:$G2419=M2316)"),"SOLO 2024")</f>
        <v>SOLO 2024</v>
      </c>
      <c r="K2316" s="12" t="s">
        <v>2011</v>
      </c>
      <c r="L2316" s="11" t="s">
        <v>57</v>
      </c>
      <c r="M2316" s="12" t="str">
        <f t="shared" ca="1" si="9"/>
        <v>362071 Primaria</v>
      </c>
      <c r="N2316" s="11"/>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1"/>
      <c r="AJ2316" s="14"/>
    </row>
    <row r="2317" spans="1:36" ht="12.5" x14ac:dyDescent="0.25">
      <c r="A2317" s="9">
        <v>8</v>
      </c>
      <c r="B2317" s="10" t="s">
        <v>54</v>
      </c>
      <c r="C2317" s="10" t="s">
        <v>15</v>
      </c>
      <c r="D2317" s="10" t="s">
        <v>141</v>
      </c>
      <c r="E2317" s="11" t="str">
        <f ca="1">IFERROR(__xludf.DUMMYFUNCTION("FILTER(Colegios!$B$2:$B2419,Colegios!$A$2:$A2419=L2317)"),"36207")</f>
        <v>36207</v>
      </c>
      <c r="F2317" s="11" t="s">
        <v>17</v>
      </c>
      <c r="G2317" s="10" t="s">
        <v>24</v>
      </c>
      <c r="H2317" s="11" t="s">
        <v>19</v>
      </c>
      <c r="I2317" s="11" t="s">
        <v>20</v>
      </c>
      <c r="J2317" s="12" t="str">
        <f ca="1">IFERROR(__xludf.DUMMYFUNCTION("FILTER('CLASFICACIÓN'!$F$3:$F2419,'CLASFICACIÓN'!$G$3:$G2419=M2317)"),"SOLO 2024")</f>
        <v>SOLO 2024</v>
      </c>
      <c r="K2317" s="12" t="s">
        <v>2011</v>
      </c>
      <c r="L2317" s="11" t="s">
        <v>57</v>
      </c>
      <c r="M2317" s="12" t="str">
        <f t="shared" ca="1" si="9"/>
        <v>362071 Primaria</v>
      </c>
      <c r="N2317" s="11"/>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1"/>
      <c r="AJ2317" s="14"/>
    </row>
    <row r="2318" spans="1:36" ht="12.5" x14ac:dyDescent="0.25">
      <c r="A2318" s="9">
        <v>1</v>
      </c>
      <c r="B2318" s="10" t="s">
        <v>54</v>
      </c>
      <c r="C2318" s="10" t="s">
        <v>15</v>
      </c>
      <c r="D2318" s="10" t="s">
        <v>141</v>
      </c>
      <c r="E2318" s="11" t="str">
        <f ca="1">IFERROR(__xludf.DUMMYFUNCTION("FILTER(Colegios!$B$2:$B2419,Colegios!$A$2:$A2419=L2318)"),"36173")</f>
        <v>36173</v>
      </c>
      <c r="F2318" s="11" t="s">
        <v>17</v>
      </c>
      <c r="G2318" s="10" t="s">
        <v>18</v>
      </c>
      <c r="H2318" s="11" t="s">
        <v>23</v>
      </c>
      <c r="I2318" s="11" t="s">
        <v>20</v>
      </c>
      <c r="J2318" s="12" t="str">
        <f ca="1">IFERROR(__xludf.DUMMYFUNCTION("FILTER('CLASFICACIÓN'!$F$3:$F2419,'CLASFICACIÓN'!$G$3:$G2419=M2318)"),"SOLO 2024")</f>
        <v>SOLO 2024</v>
      </c>
      <c r="K2318" s="12" t="s">
        <v>2011</v>
      </c>
      <c r="L2318" s="11" t="s">
        <v>59</v>
      </c>
      <c r="M2318" s="12" t="str">
        <f t="shared" ca="1" si="9"/>
        <v>361731 Primaria</v>
      </c>
      <c r="N2318" s="11"/>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1"/>
      <c r="AJ2318" s="14"/>
    </row>
    <row r="2319" spans="1:36" ht="12.5" x14ac:dyDescent="0.25">
      <c r="A2319" s="9">
        <v>2</v>
      </c>
      <c r="B2319" s="10" t="s">
        <v>54</v>
      </c>
      <c r="C2319" s="10" t="s">
        <v>15</v>
      </c>
      <c r="D2319" s="10" t="s">
        <v>141</v>
      </c>
      <c r="E2319" s="11" t="str">
        <f ca="1">IFERROR(__xludf.DUMMYFUNCTION("FILTER(Colegios!$B$2:$B2419,Colegios!$A$2:$A2419=L2319)"),"36173")</f>
        <v>36173</v>
      </c>
      <c r="F2319" s="11" t="s">
        <v>17</v>
      </c>
      <c r="G2319" s="10" t="s">
        <v>18</v>
      </c>
      <c r="H2319" s="11" t="s">
        <v>19</v>
      </c>
      <c r="I2319" s="11" t="s">
        <v>20</v>
      </c>
      <c r="J2319" s="12" t="str">
        <f ca="1">IFERROR(__xludf.DUMMYFUNCTION("FILTER('CLASFICACIÓN'!$F$3:$F2419,'CLASFICACIÓN'!$G$3:$G2419=M2319)"),"SOLO 2024")</f>
        <v>SOLO 2024</v>
      </c>
      <c r="K2319" s="12" t="s">
        <v>2011</v>
      </c>
      <c r="L2319" s="11" t="s">
        <v>59</v>
      </c>
      <c r="M2319" s="12" t="str">
        <f t="shared" ca="1" si="9"/>
        <v>361731 Primaria</v>
      </c>
      <c r="N2319" s="11"/>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1"/>
      <c r="AJ2319" s="14"/>
    </row>
    <row r="2320" spans="1:36" ht="12.5" x14ac:dyDescent="0.25">
      <c r="A2320" s="9">
        <v>3</v>
      </c>
      <c r="B2320" s="10" t="s">
        <v>54</v>
      </c>
      <c r="C2320" s="10" t="s">
        <v>15</v>
      </c>
      <c r="D2320" s="10" t="s">
        <v>141</v>
      </c>
      <c r="E2320" s="11" t="str">
        <f ca="1">IFERROR(__xludf.DUMMYFUNCTION("FILTER(Colegios!$B$2:$B2419,Colegios!$A$2:$A2419=L2320)"),"36173")</f>
        <v>36173</v>
      </c>
      <c r="F2320" s="11" t="s">
        <v>17</v>
      </c>
      <c r="G2320" s="10" t="s">
        <v>24</v>
      </c>
      <c r="H2320" s="11" t="s">
        <v>19</v>
      </c>
      <c r="I2320" s="11" t="s">
        <v>20</v>
      </c>
      <c r="J2320" s="12" t="str">
        <f ca="1">IFERROR(__xludf.DUMMYFUNCTION("FILTER('CLASFICACIÓN'!$F$3:$F2419,'CLASFICACIÓN'!$G$3:$G2419=M2320)"),"SOLO 2024")</f>
        <v>SOLO 2024</v>
      </c>
      <c r="K2320" s="12" t="s">
        <v>2011</v>
      </c>
      <c r="L2320" s="11" t="s">
        <v>59</v>
      </c>
      <c r="M2320" s="12" t="str">
        <f t="shared" ca="1" si="9"/>
        <v>361731 Primaria</v>
      </c>
      <c r="N2320" s="11"/>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1"/>
      <c r="AJ2320" s="14"/>
    </row>
    <row r="2321" spans="1:36" ht="12.5" x14ac:dyDescent="0.25">
      <c r="A2321" s="9">
        <v>4</v>
      </c>
      <c r="B2321" s="10" t="s">
        <v>54</v>
      </c>
      <c r="C2321" s="10" t="s">
        <v>15</v>
      </c>
      <c r="D2321" s="10" t="s">
        <v>141</v>
      </c>
      <c r="E2321" s="11" t="str">
        <f ca="1">IFERROR(__xludf.DUMMYFUNCTION("FILTER(Colegios!$B$2:$B2419,Colegios!$A$2:$A2419=L2321)"),"36173")</f>
        <v>36173</v>
      </c>
      <c r="F2321" s="11" t="s">
        <v>17</v>
      </c>
      <c r="G2321" s="10" t="s">
        <v>24</v>
      </c>
      <c r="H2321" s="11" t="s">
        <v>19</v>
      </c>
      <c r="I2321" s="11" t="s">
        <v>20</v>
      </c>
      <c r="J2321" s="12" t="str">
        <f ca="1">IFERROR(__xludf.DUMMYFUNCTION("FILTER('CLASFICACIÓN'!$F$3:$F2419,'CLASFICACIÓN'!$G$3:$G2419=M2321)"),"SOLO 2024")</f>
        <v>SOLO 2024</v>
      </c>
      <c r="K2321" s="12" t="s">
        <v>2011</v>
      </c>
      <c r="L2321" s="11" t="s">
        <v>59</v>
      </c>
      <c r="M2321" s="12" t="str">
        <f t="shared" ca="1" si="9"/>
        <v>361731 Primaria</v>
      </c>
      <c r="N2321" s="11"/>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1"/>
      <c r="AJ2321" s="14"/>
    </row>
    <row r="2322" spans="1:36" ht="12.5" x14ac:dyDescent="0.25">
      <c r="A2322" s="9">
        <v>5</v>
      </c>
      <c r="B2322" s="10" t="s">
        <v>54</v>
      </c>
      <c r="C2322" s="10" t="s">
        <v>15</v>
      </c>
      <c r="D2322" s="10" t="s">
        <v>141</v>
      </c>
      <c r="E2322" s="11" t="str">
        <f ca="1">IFERROR(__xludf.DUMMYFUNCTION("FILTER(Colegios!$B$2:$B2419,Colegios!$A$2:$A2419=L2322)"),"36173")</f>
        <v>36173</v>
      </c>
      <c r="F2322" s="11" t="s">
        <v>17</v>
      </c>
      <c r="G2322" s="10" t="s">
        <v>24</v>
      </c>
      <c r="H2322" s="11" t="s">
        <v>19</v>
      </c>
      <c r="I2322" s="11" t="s">
        <v>20</v>
      </c>
      <c r="J2322" s="12" t="str">
        <f ca="1">IFERROR(__xludf.DUMMYFUNCTION("FILTER('CLASFICACIÓN'!$F$3:$F2419,'CLASFICACIÓN'!$G$3:$G2419=M2322)"),"SOLO 2024")</f>
        <v>SOLO 2024</v>
      </c>
      <c r="K2322" s="12" t="s">
        <v>2011</v>
      </c>
      <c r="L2322" s="11" t="s">
        <v>59</v>
      </c>
      <c r="M2322" s="12" t="str">
        <f t="shared" ca="1" si="9"/>
        <v>361731 Primaria</v>
      </c>
      <c r="N2322" s="11"/>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1"/>
      <c r="AJ2322" s="14"/>
    </row>
    <row r="2323" spans="1:36" ht="12.5" x14ac:dyDescent="0.25">
      <c r="A2323" s="9">
        <v>6</v>
      </c>
      <c r="B2323" s="10" t="s">
        <v>54</v>
      </c>
      <c r="C2323" s="10" t="s">
        <v>15</v>
      </c>
      <c r="D2323" s="10" t="s">
        <v>141</v>
      </c>
      <c r="E2323" s="11" t="str">
        <f ca="1">IFERROR(__xludf.DUMMYFUNCTION("FILTER(Colegios!$B$2:$B2419,Colegios!$A$2:$A2419=L2323)"),"36173")</f>
        <v>36173</v>
      </c>
      <c r="F2323" s="11" t="s">
        <v>17</v>
      </c>
      <c r="G2323" s="10" t="s">
        <v>24</v>
      </c>
      <c r="H2323" s="11" t="s">
        <v>19</v>
      </c>
      <c r="I2323" s="11" t="s">
        <v>20</v>
      </c>
      <c r="J2323" s="12" t="str">
        <f ca="1">IFERROR(__xludf.DUMMYFUNCTION("FILTER('CLASFICACIÓN'!$F$3:$F2419,'CLASFICACIÓN'!$G$3:$G2419=M2323)"),"SOLO 2024")</f>
        <v>SOLO 2024</v>
      </c>
      <c r="K2323" s="12" t="s">
        <v>2011</v>
      </c>
      <c r="L2323" s="11" t="s">
        <v>59</v>
      </c>
      <c r="M2323" s="12" t="str">
        <f t="shared" ca="1" si="9"/>
        <v>361731 Primaria</v>
      </c>
      <c r="N2323" s="11"/>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1"/>
      <c r="AJ2323" s="14"/>
    </row>
    <row r="2324" spans="1:36" ht="12.5" x14ac:dyDescent="0.25">
      <c r="A2324" s="9">
        <v>7</v>
      </c>
      <c r="B2324" s="10" t="s">
        <v>54</v>
      </c>
      <c r="C2324" s="10" t="s">
        <v>15</v>
      </c>
      <c r="D2324" s="10" t="s">
        <v>141</v>
      </c>
      <c r="E2324" s="11" t="str">
        <f ca="1">IFERROR(__xludf.DUMMYFUNCTION("FILTER(Colegios!$B$2:$B2419,Colegios!$A$2:$A2419=L2324)"),"36173")</f>
        <v>36173</v>
      </c>
      <c r="F2324" s="11" t="s">
        <v>17</v>
      </c>
      <c r="G2324" s="10" t="s">
        <v>18</v>
      </c>
      <c r="H2324" s="11" t="s">
        <v>19</v>
      </c>
      <c r="I2324" s="11" t="s">
        <v>20</v>
      </c>
      <c r="J2324" s="12" t="str">
        <f ca="1">IFERROR(__xludf.DUMMYFUNCTION("FILTER('CLASFICACIÓN'!$F$3:$F2419,'CLASFICACIÓN'!$G$3:$G2419=M2324)"),"SOLO 2024")</f>
        <v>SOLO 2024</v>
      </c>
      <c r="K2324" s="12" t="s">
        <v>2011</v>
      </c>
      <c r="L2324" s="11" t="s">
        <v>59</v>
      </c>
      <c r="M2324" s="12" t="str">
        <f t="shared" ca="1" si="9"/>
        <v>361731 Primaria</v>
      </c>
      <c r="N2324" s="11"/>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1"/>
      <c r="AJ2324" s="14"/>
    </row>
    <row r="2325" spans="1:36" ht="12.5" x14ac:dyDescent="0.25">
      <c r="A2325" s="9">
        <v>8</v>
      </c>
      <c r="B2325" s="10" t="s">
        <v>54</v>
      </c>
      <c r="C2325" s="10" t="s">
        <v>15</v>
      </c>
      <c r="D2325" s="10" t="s">
        <v>141</v>
      </c>
      <c r="E2325" s="11" t="str">
        <f ca="1">IFERROR(__xludf.DUMMYFUNCTION("FILTER(Colegios!$B$2:$B2419,Colegios!$A$2:$A2419=L2325)"),"36173")</f>
        <v>36173</v>
      </c>
      <c r="F2325" s="11" t="s">
        <v>17</v>
      </c>
      <c r="G2325" s="10" t="s">
        <v>24</v>
      </c>
      <c r="H2325" s="11" t="s">
        <v>19</v>
      </c>
      <c r="I2325" s="11" t="s">
        <v>20</v>
      </c>
      <c r="J2325" s="12" t="str">
        <f ca="1">IFERROR(__xludf.DUMMYFUNCTION("FILTER('CLASFICACIÓN'!$F$3:$F2419,'CLASFICACIÓN'!$G$3:$G2419=M2325)"),"SOLO 2024")</f>
        <v>SOLO 2024</v>
      </c>
      <c r="K2325" s="12" t="s">
        <v>2011</v>
      </c>
      <c r="L2325" s="11" t="s">
        <v>59</v>
      </c>
      <c r="M2325" s="12" t="str">
        <f t="shared" ca="1" si="9"/>
        <v>361731 Primaria</v>
      </c>
      <c r="N2325" s="11"/>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1"/>
      <c r="AJ2325" s="14"/>
    </row>
    <row r="2326" spans="1:36" ht="12.5" x14ac:dyDescent="0.25">
      <c r="A2326" s="9">
        <v>9</v>
      </c>
      <c r="B2326" s="10" t="s">
        <v>54</v>
      </c>
      <c r="C2326" s="10" t="s">
        <v>15</v>
      </c>
      <c r="D2326" s="10" t="s">
        <v>141</v>
      </c>
      <c r="E2326" s="11" t="str">
        <f ca="1">IFERROR(__xludf.DUMMYFUNCTION("FILTER(Colegios!$B$2:$B2419,Colegios!$A$2:$A2419=L2326)"),"36173")</f>
        <v>36173</v>
      </c>
      <c r="F2326" s="11" t="s">
        <v>17</v>
      </c>
      <c r="G2326" s="10" t="s">
        <v>18</v>
      </c>
      <c r="H2326" s="11" t="s">
        <v>19</v>
      </c>
      <c r="I2326" s="11" t="s">
        <v>20</v>
      </c>
      <c r="J2326" s="12" t="str">
        <f ca="1">IFERROR(__xludf.DUMMYFUNCTION("FILTER('CLASFICACIÓN'!$F$3:$F2419,'CLASFICACIÓN'!$G$3:$G2419=M2326)"),"SOLO 2024")</f>
        <v>SOLO 2024</v>
      </c>
      <c r="K2326" s="12" t="s">
        <v>2011</v>
      </c>
      <c r="L2326" s="11" t="s">
        <v>59</v>
      </c>
      <c r="M2326" s="12" t="str">
        <f t="shared" ca="1" si="9"/>
        <v>361731 Primaria</v>
      </c>
      <c r="N2326" s="11"/>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4"/>
    </row>
    <row r="2327" spans="1:36" ht="12.5" x14ac:dyDescent="0.25">
      <c r="A2327" s="9">
        <v>10</v>
      </c>
      <c r="B2327" s="10" t="s">
        <v>54</v>
      </c>
      <c r="C2327" s="10" t="s">
        <v>15</v>
      </c>
      <c r="D2327" s="10" t="s">
        <v>141</v>
      </c>
      <c r="E2327" s="11" t="str">
        <f ca="1">IFERROR(__xludf.DUMMYFUNCTION("FILTER(Colegios!$B$2:$B2419,Colegios!$A$2:$A2419=L2327)"),"36173")</f>
        <v>36173</v>
      </c>
      <c r="F2327" s="11" t="s">
        <v>17</v>
      </c>
      <c r="G2327" s="10" t="s">
        <v>18</v>
      </c>
      <c r="H2327" s="11" t="s">
        <v>19</v>
      </c>
      <c r="I2327" s="11" t="s">
        <v>20</v>
      </c>
      <c r="J2327" s="12" t="str">
        <f ca="1">IFERROR(__xludf.DUMMYFUNCTION("FILTER('CLASFICACIÓN'!$F$3:$F2419,'CLASFICACIÓN'!$G$3:$G2419=M2327)"),"SOLO 2024")</f>
        <v>SOLO 2024</v>
      </c>
      <c r="K2327" s="12" t="s">
        <v>2011</v>
      </c>
      <c r="L2327" s="11" t="s">
        <v>59</v>
      </c>
      <c r="M2327" s="12" t="str">
        <f t="shared" ca="1" si="9"/>
        <v>361731 Primaria</v>
      </c>
      <c r="N2327" s="11"/>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1"/>
      <c r="AJ2327" s="14"/>
    </row>
    <row r="2328" spans="1:36" ht="12.5" x14ac:dyDescent="0.25">
      <c r="A2328" s="9">
        <v>2005</v>
      </c>
      <c r="B2328" s="10" t="s">
        <v>60</v>
      </c>
      <c r="C2328" s="10" t="s">
        <v>15</v>
      </c>
      <c r="D2328" s="10" t="s">
        <v>141</v>
      </c>
      <c r="E2328" s="11" t="str">
        <f ca="1">IFERROR(__xludf.DUMMYFUNCTION("FILTER(Colegios!$B$2:$B2419,Colegios!$A$2:$A2419=L2328)"),"60133")</f>
        <v>60133</v>
      </c>
      <c r="F2328" s="11" t="s">
        <v>17</v>
      </c>
      <c r="G2328" s="10" t="s">
        <v>18</v>
      </c>
      <c r="H2328" s="11" t="s">
        <v>23</v>
      </c>
      <c r="I2328" s="11">
        <v>2022</v>
      </c>
      <c r="J2328" s="12" t="str">
        <f ca="1">IFERROR(__xludf.DUMMYFUNCTION("FILTER('CLASFICACIÓN'!$F$3:$F2419,'CLASFICACIÓN'!$G$3:$G2419=M2328)"),"SOLO LINEA BASE")</f>
        <v>SOLO LINEA BASE</v>
      </c>
      <c r="K2328" s="12" t="s">
        <v>2011</v>
      </c>
      <c r="L2328" s="11" t="s">
        <v>92</v>
      </c>
      <c r="M2328" s="12" t="str">
        <f t="shared" ca="1" si="9"/>
        <v>601331 Primaria</v>
      </c>
      <c r="N2328" s="11"/>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1"/>
      <c r="AJ2328" s="14"/>
    </row>
    <row r="2329" spans="1:36" ht="12.5" x14ac:dyDescent="0.25">
      <c r="A2329" s="9">
        <v>2006</v>
      </c>
      <c r="B2329" s="10" t="s">
        <v>60</v>
      </c>
      <c r="C2329" s="10" t="s">
        <v>15</v>
      </c>
      <c r="D2329" s="10" t="s">
        <v>141</v>
      </c>
      <c r="E2329" s="11" t="str">
        <f ca="1">IFERROR(__xludf.DUMMYFUNCTION("FILTER(Colegios!$B$2:$B2419,Colegios!$A$2:$A2419=L2329)"),"60133")</f>
        <v>60133</v>
      </c>
      <c r="F2329" s="11" t="s">
        <v>17</v>
      </c>
      <c r="G2329" s="10" t="s">
        <v>24</v>
      </c>
      <c r="H2329" s="11" t="s">
        <v>19</v>
      </c>
      <c r="I2329" s="11">
        <v>2022</v>
      </c>
      <c r="J2329" s="12" t="str">
        <f ca="1">IFERROR(__xludf.DUMMYFUNCTION("FILTER('CLASFICACIÓN'!$F$3:$F2419,'CLASFICACIÓN'!$G$3:$G2419=M2329)"),"SOLO LINEA BASE")</f>
        <v>SOLO LINEA BASE</v>
      </c>
      <c r="K2329" s="12" t="s">
        <v>2011</v>
      </c>
      <c r="L2329" s="11" t="s">
        <v>92</v>
      </c>
      <c r="M2329" s="12" t="str">
        <f t="shared" ca="1" si="9"/>
        <v>601331 Primaria</v>
      </c>
      <c r="N2329" s="11"/>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1"/>
      <c r="AJ2329" s="14"/>
    </row>
    <row r="2330" spans="1:36" ht="12.5" x14ac:dyDescent="0.25">
      <c r="A2330" s="9">
        <v>2007</v>
      </c>
      <c r="B2330" s="10" t="s">
        <v>60</v>
      </c>
      <c r="C2330" s="10" t="s">
        <v>15</v>
      </c>
      <c r="D2330" s="10" t="s">
        <v>141</v>
      </c>
      <c r="E2330" s="11" t="str">
        <f ca="1">IFERROR(__xludf.DUMMYFUNCTION("FILTER(Colegios!$B$2:$B2419,Colegios!$A$2:$A2419=L2330)"),"60133")</f>
        <v>60133</v>
      </c>
      <c r="F2330" s="11" t="s">
        <v>17</v>
      </c>
      <c r="G2330" s="10" t="s">
        <v>24</v>
      </c>
      <c r="H2330" s="11" t="s">
        <v>19</v>
      </c>
      <c r="I2330" s="11">
        <v>2022</v>
      </c>
      <c r="J2330" s="12" t="str">
        <f ca="1">IFERROR(__xludf.DUMMYFUNCTION("FILTER('CLASFICACIÓN'!$F$3:$F2419,'CLASFICACIÓN'!$G$3:$G2419=M2330)"),"SOLO LINEA BASE")</f>
        <v>SOLO LINEA BASE</v>
      </c>
      <c r="K2330" s="12" t="s">
        <v>2011</v>
      </c>
      <c r="L2330" s="11" t="s">
        <v>92</v>
      </c>
      <c r="M2330" s="12" t="str">
        <f t="shared" ca="1" si="9"/>
        <v>601331 Primaria</v>
      </c>
      <c r="N2330" s="11"/>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1"/>
      <c r="AJ2330" s="14"/>
    </row>
    <row r="2331" spans="1:36" ht="12.5" x14ac:dyDescent="0.25">
      <c r="A2331" s="9">
        <v>2728</v>
      </c>
      <c r="B2331" s="10" t="s">
        <v>83</v>
      </c>
      <c r="C2331" s="10" t="s">
        <v>15</v>
      </c>
      <c r="D2331" s="10" t="s">
        <v>141</v>
      </c>
      <c r="E2331" s="11" t="str">
        <f ca="1">IFERROR(__xludf.DUMMYFUNCTION("FILTER(Colegios!$B$2:$B2419,Colegios!$A$2:$A2419=L2331)"),"88225 CAPTUY")</f>
        <v>88225 CAPTUY</v>
      </c>
      <c r="F2331" s="11" t="s">
        <v>17</v>
      </c>
      <c r="G2331" s="10" t="s">
        <v>18</v>
      </c>
      <c r="H2331" s="11" t="s">
        <v>19</v>
      </c>
      <c r="I2331" s="11">
        <v>2022</v>
      </c>
      <c r="J2331" s="12" t="str">
        <f ca="1">IFERROR(__xludf.DUMMYFUNCTION("FILTER('CLASFICACIÓN'!$F$3:$F2419,'CLASFICACIÓN'!$G$3:$G2419=M2331)"),"SOLO LINEA BASE")</f>
        <v>SOLO LINEA BASE</v>
      </c>
      <c r="K2331" s="12" t="s">
        <v>2013</v>
      </c>
      <c r="L2331" s="11" t="s">
        <v>95</v>
      </c>
      <c r="M2331" s="12" t="str">
        <f t="shared" ca="1" si="9"/>
        <v>88225 CAPTUY1 Primaria</v>
      </c>
      <c r="N2331" s="11"/>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1"/>
      <c r="AJ2331" s="14"/>
    </row>
    <row r="2332" spans="1:36" ht="12.5" x14ac:dyDescent="0.25">
      <c r="A2332" s="9">
        <v>2729</v>
      </c>
      <c r="B2332" s="10" t="s">
        <v>83</v>
      </c>
      <c r="C2332" s="10" t="s">
        <v>15</v>
      </c>
      <c r="D2332" s="10" t="s">
        <v>141</v>
      </c>
      <c r="E2332" s="11" t="str">
        <f ca="1">IFERROR(__xludf.DUMMYFUNCTION("FILTER(Colegios!$B$2:$B2419,Colegios!$A$2:$A2419=L2332)"),"88225 CAPTUY")</f>
        <v>88225 CAPTUY</v>
      </c>
      <c r="F2332" s="11" t="s">
        <v>17</v>
      </c>
      <c r="G2332" s="10" t="s">
        <v>24</v>
      </c>
      <c r="H2332" s="11" t="s">
        <v>19</v>
      </c>
      <c r="I2332" s="11">
        <v>2022</v>
      </c>
      <c r="J2332" s="12" t="str">
        <f ca="1">IFERROR(__xludf.DUMMYFUNCTION("FILTER('CLASFICACIÓN'!$F$3:$F2419,'CLASFICACIÓN'!$G$3:$G2419=M2332)"),"SOLO LINEA BASE")</f>
        <v>SOLO LINEA BASE</v>
      </c>
      <c r="K2332" s="12" t="s">
        <v>2013</v>
      </c>
      <c r="L2332" s="11" t="s">
        <v>95</v>
      </c>
      <c r="M2332" s="12" t="str">
        <f t="shared" ca="1" si="9"/>
        <v>88225 CAPTUY1 Primaria</v>
      </c>
      <c r="N2332" s="11"/>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1"/>
      <c r="AJ2332" s="14"/>
    </row>
    <row r="2333" spans="1:36" ht="12.5" x14ac:dyDescent="0.25">
      <c r="A2333" s="9">
        <v>2730</v>
      </c>
      <c r="B2333" s="10" t="s">
        <v>83</v>
      </c>
      <c r="C2333" s="10" t="s">
        <v>15</v>
      </c>
      <c r="D2333" s="10" t="s">
        <v>141</v>
      </c>
      <c r="E2333" s="11" t="str">
        <f ca="1">IFERROR(__xludf.DUMMYFUNCTION("FILTER(Colegios!$B$2:$B2419,Colegios!$A$2:$A2419=L2333)"),"86809")</f>
        <v>86809</v>
      </c>
      <c r="F2333" s="11" t="s">
        <v>17</v>
      </c>
      <c r="G2333" s="10" t="s">
        <v>18</v>
      </c>
      <c r="H2333" s="11" t="s">
        <v>19</v>
      </c>
      <c r="I2333" s="11">
        <v>2022</v>
      </c>
      <c r="J2333" s="12" t="str">
        <f ca="1">IFERROR(__xludf.DUMMYFUNCTION("FILTER('CLASFICACIÓN'!$F$3:$F2419,'CLASFICACIÓN'!$G$3:$G2419=M2333)"),"SOLO LINEA BASE")</f>
        <v>SOLO LINEA BASE</v>
      </c>
      <c r="K2333" s="12" t="s">
        <v>2012</v>
      </c>
      <c r="L2333" s="11" t="s">
        <v>96</v>
      </c>
      <c r="M2333" s="12" t="str">
        <f t="shared" ca="1" si="9"/>
        <v>868091 Primaria</v>
      </c>
      <c r="N2333" s="11"/>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4"/>
    </row>
    <row r="2334" spans="1:36" ht="12.5" x14ac:dyDescent="0.25">
      <c r="A2334" s="19">
        <v>1</v>
      </c>
      <c r="B2334" s="20" t="s">
        <v>14</v>
      </c>
      <c r="C2334" s="20" t="s">
        <v>15</v>
      </c>
      <c r="D2334" s="20" t="s">
        <v>45</v>
      </c>
      <c r="E2334" s="11" t="str">
        <f ca="1">IFERROR(__xludf.DUMMYFUNCTION("FILTER(Colegios!$B$2:$B2419,Colegios!$A$2:$A2419=L2334)"),"14924 DANIEL ALCIDES CARRION")</f>
        <v>14924 DANIEL ALCIDES CARRION</v>
      </c>
      <c r="F2334" s="11" t="s">
        <v>17</v>
      </c>
      <c r="G2334" s="21" t="s">
        <v>18</v>
      </c>
      <c r="H2334" s="21" t="s">
        <v>25</v>
      </c>
      <c r="I2334" s="21" t="s">
        <v>20</v>
      </c>
      <c r="J2334" s="12" t="str">
        <f ca="1">IFERROR(__xludf.DUMMYFUNCTION("FILTER('CLASFICACIÓN'!$F$3:$F2419,'CLASFICACIÓN'!$G$3:$G2419=M2334)"),"2023 Y 2024")</f>
        <v>2023 Y 2024</v>
      </c>
      <c r="K2334" s="12" t="s">
        <v>2011</v>
      </c>
      <c r="L2334" s="21" t="s">
        <v>21</v>
      </c>
      <c r="M2334" s="12" t="str">
        <f t="shared" ca="1" si="9"/>
        <v>14924 DANIEL ALCIDES CARRION2 Primaria</v>
      </c>
      <c r="N2334" s="2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2"/>
    </row>
    <row r="2335" spans="1:36" ht="12.5" x14ac:dyDescent="0.25">
      <c r="A2335" s="9">
        <v>2</v>
      </c>
      <c r="B2335" s="10" t="s">
        <v>14</v>
      </c>
      <c r="C2335" s="10" t="s">
        <v>15</v>
      </c>
      <c r="D2335" s="10" t="s">
        <v>45</v>
      </c>
      <c r="E2335" s="11" t="str">
        <f ca="1">IFERROR(__xludf.DUMMYFUNCTION("FILTER(Colegios!$B$2:$B2419,Colegios!$A$2:$A2419=L2335)"),"14924 DANIEL ALCIDES CARRION")</f>
        <v>14924 DANIEL ALCIDES CARRION</v>
      </c>
      <c r="F2335" s="11" t="s">
        <v>17</v>
      </c>
      <c r="G2335" s="11" t="s">
        <v>24</v>
      </c>
      <c r="H2335" s="11" t="s">
        <v>19</v>
      </c>
      <c r="I2335" s="11" t="s">
        <v>20</v>
      </c>
      <c r="J2335" s="12" t="str">
        <f ca="1">IFERROR(__xludf.DUMMYFUNCTION("FILTER('CLASFICACIÓN'!$F$3:$F2419,'CLASFICACIÓN'!$G$3:$G2419=M2335)"),"2023 Y 2024")</f>
        <v>2023 Y 2024</v>
      </c>
      <c r="K2335" s="12" t="s">
        <v>2011</v>
      </c>
      <c r="L2335" s="11" t="s">
        <v>21</v>
      </c>
      <c r="M2335" s="12" t="str">
        <f t="shared" ca="1" si="9"/>
        <v>14924 DANIEL ALCIDES CARRION2 Primaria</v>
      </c>
      <c r="N2335" s="11"/>
      <c r="O2335" s="11"/>
      <c r="P2335" s="11"/>
      <c r="Q2335" s="11"/>
      <c r="R2335" s="11"/>
      <c r="S2335" s="11"/>
      <c r="T2335" s="11"/>
      <c r="U2335" s="11"/>
      <c r="V2335" s="11"/>
      <c r="W2335" s="11"/>
      <c r="X2335" s="11"/>
      <c r="Y2335" s="11"/>
      <c r="Z2335" s="11"/>
      <c r="AA2335" s="11"/>
      <c r="AB2335" s="11"/>
      <c r="AC2335" s="11"/>
      <c r="AD2335" s="11"/>
      <c r="AE2335" s="11"/>
      <c r="AF2335" s="11"/>
      <c r="AG2335" s="11"/>
      <c r="AH2335" s="11"/>
      <c r="AI2335" s="11"/>
      <c r="AJ2335" s="14"/>
    </row>
    <row r="2336" spans="1:36" ht="12.5" x14ac:dyDescent="0.25">
      <c r="A2336" s="9">
        <v>3</v>
      </c>
      <c r="B2336" s="10" t="s">
        <v>14</v>
      </c>
      <c r="C2336" s="10" t="s">
        <v>15</v>
      </c>
      <c r="D2336" s="10" t="s">
        <v>45</v>
      </c>
      <c r="E2336" s="11" t="str">
        <f ca="1">IFERROR(__xludf.DUMMYFUNCTION("FILTER(Colegios!$B$2:$B2419,Colegios!$A$2:$A2419=L2336)"),"14924 DANIEL ALCIDES CARRION")</f>
        <v>14924 DANIEL ALCIDES CARRION</v>
      </c>
      <c r="F2336" s="11" t="s">
        <v>17</v>
      </c>
      <c r="G2336" s="11" t="s">
        <v>18</v>
      </c>
      <c r="H2336" s="11" t="s">
        <v>25</v>
      </c>
      <c r="I2336" s="11" t="s">
        <v>20</v>
      </c>
      <c r="J2336" s="12" t="str">
        <f ca="1">IFERROR(__xludf.DUMMYFUNCTION("FILTER('CLASFICACIÓN'!$F$3:$F2419,'CLASFICACIÓN'!$G$3:$G2419=M2336)"),"2023 Y 2024")</f>
        <v>2023 Y 2024</v>
      </c>
      <c r="K2336" s="12" t="s">
        <v>2011</v>
      </c>
      <c r="L2336" s="11" t="s">
        <v>21</v>
      </c>
      <c r="M2336" s="12" t="str">
        <f t="shared" ca="1" si="9"/>
        <v>14924 DANIEL ALCIDES CARRION2 Primaria</v>
      </c>
      <c r="N2336" s="11"/>
      <c r="O2336" s="11"/>
      <c r="P2336" s="11"/>
      <c r="Q2336" s="11"/>
      <c r="R2336" s="11"/>
      <c r="S2336" s="11"/>
      <c r="T2336" s="11"/>
      <c r="U2336" s="11"/>
      <c r="V2336" s="11"/>
      <c r="W2336" s="11"/>
      <c r="X2336" s="11"/>
      <c r="Y2336" s="11"/>
      <c r="Z2336" s="11"/>
      <c r="AA2336" s="11"/>
      <c r="AB2336" s="11"/>
      <c r="AC2336" s="11"/>
      <c r="AD2336" s="11"/>
      <c r="AE2336" s="11"/>
      <c r="AF2336" s="11"/>
      <c r="AG2336" s="11"/>
      <c r="AH2336" s="11"/>
      <c r="AI2336" s="11"/>
      <c r="AJ2336" s="14"/>
    </row>
    <row r="2337" spans="1:36" ht="12.5" x14ac:dyDescent="0.25">
      <c r="A2337" s="9">
        <v>4</v>
      </c>
      <c r="B2337" s="10" t="s">
        <v>14</v>
      </c>
      <c r="C2337" s="10" t="s">
        <v>15</v>
      </c>
      <c r="D2337" s="10" t="s">
        <v>45</v>
      </c>
      <c r="E2337" s="11" t="str">
        <f ca="1">IFERROR(__xludf.DUMMYFUNCTION("FILTER(Colegios!$B$2:$B2419,Colegios!$A$2:$A2419=L2337)"),"14924 DANIEL ALCIDES CARRION")</f>
        <v>14924 DANIEL ALCIDES CARRION</v>
      </c>
      <c r="F2337" s="11" t="s">
        <v>17</v>
      </c>
      <c r="G2337" s="11" t="s">
        <v>18</v>
      </c>
      <c r="H2337" s="11" t="s">
        <v>23</v>
      </c>
      <c r="I2337" s="11" t="s">
        <v>20</v>
      </c>
      <c r="J2337" s="12" t="str">
        <f ca="1">IFERROR(__xludf.DUMMYFUNCTION("FILTER('CLASFICACIÓN'!$F$3:$F2419,'CLASFICACIÓN'!$G$3:$G2419=M2337)"),"2023 Y 2024")</f>
        <v>2023 Y 2024</v>
      </c>
      <c r="K2337" s="12" t="s">
        <v>2011</v>
      </c>
      <c r="L2337" s="11" t="s">
        <v>21</v>
      </c>
      <c r="M2337" s="12" t="str">
        <f t="shared" ca="1" si="9"/>
        <v>14924 DANIEL ALCIDES CARRION2 Primaria</v>
      </c>
      <c r="N2337" s="11"/>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4"/>
    </row>
    <row r="2338" spans="1:36" ht="12.5" x14ac:dyDescent="0.25">
      <c r="A2338" s="9">
        <v>5</v>
      </c>
      <c r="B2338" s="10" t="s">
        <v>14</v>
      </c>
      <c r="C2338" s="10" t="s">
        <v>15</v>
      </c>
      <c r="D2338" s="10" t="s">
        <v>45</v>
      </c>
      <c r="E2338" s="11" t="str">
        <f ca="1">IFERROR(__xludf.DUMMYFUNCTION("FILTER(Colegios!$B$2:$B2419,Colegios!$A$2:$A2419=L2338)"),"14924 DANIEL ALCIDES CARRION")</f>
        <v>14924 DANIEL ALCIDES CARRION</v>
      </c>
      <c r="F2338" s="11" t="s">
        <v>17</v>
      </c>
      <c r="G2338" s="11" t="s">
        <v>18</v>
      </c>
      <c r="H2338" s="11" t="s">
        <v>19</v>
      </c>
      <c r="I2338" s="11" t="s">
        <v>20</v>
      </c>
      <c r="J2338" s="12" t="str">
        <f ca="1">IFERROR(__xludf.DUMMYFUNCTION("FILTER('CLASFICACIÓN'!$F$3:$F2419,'CLASFICACIÓN'!$G$3:$G2419=M2338)"),"2023 Y 2024")</f>
        <v>2023 Y 2024</v>
      </c>
      <c r="K2338" s="12" t="s">
        <v>2011</v>
      </c>
      <c r="L2338" s="11" t="s">
        <v>21</v>
      </c>
      <c r="M2338" s="12" t="str">
        <f t="shared" ca="1" si="9"/>
        <v>14924 DANIEL ALCIDES CARRION2 Primaria</v>
      </c>
      <c r="N2338" s="11"/>
      <c r="O2338" s="11"/>
      <c r="P2338" s="11"/>
      <c r="Q2338" s="11"/>
      <c r="R2338" s="11"/>
      <c r="S2338" s="11"/>
      <c r="T2338" s="11"/>
      <c r="U2338" s="11"/>
      <c r="V2338" s="11"/>
      <c r="W2338" s="11"/>
      <c r="X2338" s="11"/>
      <c r="Y2338" s="11"/>
      <c r="Z2338" s="11"/>
      <c r="AA2338" s="11"/>
      <c r="AB2338" s="11"/>
      <c r="AC2338" s="11"/>
      <c r="AD2338" s="11"/>
      <c r="AE2338" s="11"/>
      <c r="AF2338" s="11"/>
      <c r="AG2338" s="11"/>
      <c r="AH2338" s="11"/>
      <c r="AI2338" s="11"/>
      <c r="AJ2338" s="14"/>
    </row>
    <row r="2339" spans="1:36" ht="12.5" x14ac:dyDescent="0.25">
      <c r="A2339" s="9">
        <v>6</v>
      </c>
      <c r="B2339" s="10" t="s">
        <v>14</v>
      </c>
      <c r="C2339" s="10" t="s">
        <v>15</v>
      </c>
      <c r="D2339" s="10" t="s">
        <v>45</v>
      </c>
      <c r="E2339" s="11" t="str">
        <f ca="1">IFERROR(__xludf.DUMMYFUNCTION("FILTER(Colegios!$B$2:$B2419,Colegios!$A$2:$A2419=L2339)"),"14924 DANIEL ALCIDES CARRION")</f>
        <v>14924 DANIEL ALCIDES CARRION</v>
      </c>
      <c r="F2339" s="11" t="s">
        <v>17</v>
      </c>
      <c r="G2339" s="11" t="s">
        <v>24</v>
      </c>
      <c r="H2339" s="11" t="s">
        <v>19</v>
      </c>
      <c r="I2339" s="11" t="s">
        <v>20</v>
      </c>
      <c r="J2339" s="12" t="str">
        <f ca="1">IFERROR(__xludf.DUMMYFUNCTION("FILTER('CLASFICACIÓN'!$F$3:$F2419,'CLASFICACIÓN'!$G$3:$G2419=M2339)"),"2023 Y 2024")</f>
        <v>2023 Y 2024</v>
      </c>
      <c r="K2339" s="12" t="s">
        <v>2011</v>
      </c>
      <c r="L2339" s="11" t="s">
        <v>21</v>
      </c>
      <c r="M2339" s="12" t="str">
        <f t="shared" ca="1" si="9"/>
        <v>14924 DANIEL ALCIDES CARRION2 Primaria</v>
      </c>
      <c r="N2339" s="11"/>
      <c r="O2339" s="11"/>
      <c r="P2339" s="11"/>
      <c r="Q2339" s="11"/>
      <c r="R2339" s="11"/>
      <c r="S2339" s="11"/>
      <c r="T2339" s="11"/>
      <c r="U2339" s="11"/>
      <c r="V2339" s="11"/>
      <c r="W2339" s="11"/>
      <c r="X2339" s="11"/>
      <c r="Y2339" s="11"/>
      <c r="Z2339" s="11"/>
      <c r="AA2339" s="11"/>
      <c r="AB2339" s="11"/>
      <c r="AC2339" s="11"/>
      <c r="AD2339" s="11"/>
      <c r="AE2339" s="11"/>
      <c r="AF2339" s="11"/>
      <c r="AG2339" s="11"/>
      <c r="AH2339" s="11"/>
      <c r="AI2339" s="11"/>
      <c r="AJ2339" s="14"/>
    </row>
    <row r="2340" spans="1:36" ht="12.5" x14ac:dyDescent="0.25">
      <c r="A2340" s="9">
        <v>7</v>
      </c>
      <c r="B2340" s="10" t="s">
        <v>14</v>
      </c>
      <c r="C2340" s="10" t="s">
        <v>15</v>
      </c>
      <c r="D2340" s="10" t="s">
        <v>45</v>
      </c>
      <c r="E2340" s="11" t="str">
        <f ca="1">IFERROR(__xludf.DUMMYFUNCTION("FILTER(Colegios!$B$2:$B2419,Colegios!$A$2:$A2419=L2340)"),"14924 DANIEL ALCIDES CARRION")</f>
        <v>14924 DANIEL ALCIDES CARRION</v>
      </c>
      <c r="F2340" s="11" t="s">
        <v>17</v>
      </c>
      <c r="G2340" s="11" t="s">
        <v>24</v>
      </c>
      <c r="H2340" s="11" t="s">
        <v>19</v>
      </c>
      <c r="I2340" s="11" t="s">
        <v>20</v>
      </c>
      <c r="J2340" s="12" t="str">
        <f ca="1">IFERROR(__xludf.DUMMYFUNCTION("FILTER('CLASFICACIÓN'!$F$3:$F2419,'CLASFICACIÓN'!$G$3:$G2419=M2340)"),"2023 Y 2024")</f>
        <v>2023 Y 2024</v>
      </c>
      <c r="K2340" s="12" t="s">
        <v>2011</v>
      </c>
      <c r="L2340" s="11" t="s">
        <v>21</v>
      </c>
      <c r="M2340" s="12" t="str">
        <f t="shared" ca="1" si="9"/>
        <v>14924 DANIEL ALCIDES CARRION2 Primaria</v>
      </c>
      <c r="N2340" s="11"/>
      <c r="O2340" s="11"/>
      <c r="P2340" s="11"/>
      <c r="Q2340" s="11"/>
      <c r="R2340" s="11"/>
      <c r="S2340" s="11"/>
      <c r="T2340" s="11"/>
      <c r="U2340" s="11"/>
      <c r="V2340" s="11"/>
      <c r="W2340" s="11"/>
      <c r="X2340" s="11"/>
      <c r="Y2340" s="11"/>
      <c r="Z2340" s="11"/>
      <c r="AA2340" s="11"/>
      <c r="AB2340" s="11"/>
      <c r="AC2340" s="11"/>
      <c r="AD2340" s="11"/>
      <c r="AE2340" s="11"/>
      <c r="AF2340" s="11"/>
      <c r="AG2340" s="11"/>
      <c r="AH2340" s="11"/>
      <c r="AI2340" s="11"/>
      <c r="AJ2340" s="14"/>
    </row>
    <row r="2341" spans="1:36" ht="12.5" x14ac:dyDescent="0.25">
      <c r="A2341" s="9">
        <v>8</v>
      </c>
      <c r="B2341" s="10" t="s">
        <v>14</v>
      </c>
      <c r="C2341" s="10" t="s">
        <v>15</v>
      </c>
      <c r="D2341" s="10" t="s">
        <v>45</v>
      </c>
      <c r="E2341" s="11" t="str">
        <f ca="1">IFERROR(__xludf.DUMMYFUNCTION("FILTER(Colegios!$B$2:$B2419,Colegios!$A$2:$A2419=L2341)"),"14924 DANIEL ALCIDES CARRION")</f>
        <v>14924 DANIEL ALCIDES CARRION</v>
      </c>
      <c r="F2341" s="11" t="s">
        <v>17</v>
      </c>
      <c r="G2341" s="11" t="s">
        <v>24</v>
      </c>
      <c r="H2341" s="11" t="s">
        <v>19</v>
      </c>
      <c r="I2341" s="11" t="s">
        <v>20</v>
      </c>
      <c r="J2341" s="12" t="str">
        <f ca="1">IFERROR(__xludf.DUMMYFUNCTION("FILTER('CLASFICACIÓN'!$F$3:$F2419,'CLASFICACIÓN'!$G$3:$G2419=M2341)"),"2023 Y 2024")</f>
        <v>2023 Y 2024</v>
      </c>
      <c r="K2341" s="12" t="s">
        <v>2011</v>
      </c>
      <c r="L2341" s="11" t="s">
        <v>21</v>
      </c>
      <c r="M2341" s="12" t="str">
        <f t="shared" ca="1" si="9"/>
        <v>14924 DANIEL ALCIDES CARRION2 Primaria</v>
      </c>
      <c r="N2341" s="11"/>
      <c r="O2341" s="11"/>
      <c r="P2341" s="11"/>
      <c r="Q2341" s="11"/>
      <c r="R2341" s="11"/>
      <c r="S2341" s="11"/>
      <c r="T2341" s="11"/>
      <c r="U2341" s="11"/>
      <c r="V2341" s="11"/>
      <c r="W2341" s="11"/>
      <c r="X2341" s="11"/>
      <c r="Y2341" s="11"/>
      <c r="Z2341" s="11"/>
      <c r="AA2341" s="11"/>
      <c r="AB2341" s="11"/>
      <c r="AC2341" s="11"/>
      <c r="AD2341" s="11"/>
      <c r="AE2341" s="11"/>
      <c r="AF2341" s="11"/>
      <c r="AG2341" s="11"/>
      <c r="AH2341" s="11"/>
      <c r="AI2341" s="11"/>
      <c r="AJ2341" s="14"/>
    </row>
    <row r="2342" spans="1:36" ht="12.5" x14ac:dyDescent="0.25">
      <c r="A2342" s="9">
        <v>9</v>
      </c>
      <c r="B2342" s="10" t="s">
        <v>14</v>
      </c>
      <c r="C2342" s="10" t="s">
        <v>15</v>
      </c>
      <c r="D2342" s="10" t="s">
        <v>45</v>
      </c>
      <c r="E2342" s="11" t="str">
        <f ca="1">IFERROR(__xludf.DUMMYFUNCTION("FILTER(Colegios!$B$2:$B2419,Colegios!$A$2:$A2419=L2342)"),"14924 DANIEL ALCIDES CARRION")</f>
        <v>14924 DANIEL ALCIDES CARRION</v>
      </c>
      <c r="F2342" s="11" t="s">
        <v>17</v>
      </c>
      <c r="G2342" s="11" t="s">
        <v>24</v>
      </c>
      <c r="H2342" s="11" t="s">
        <v>25</v>
      </c>
      <c r="I2342" s="11" t="s">
        <v>20</v>
      </c>
      <c r="J2342" s="12" t="str">
        <f ca="1">IFERROR(__xludf.DUMMYFUNCTION("FILTER('CLASFICACIÓN'!$F$3:$F2419,'CLASFICACIÓN'!$G$3:$G2419=M2342)"),"2023 Y 2024")</f>
        <v>2023 Y 2024</v>
      </c>
      <c r="K2342" s="12" t="s">
        <v>2011</v>
      </c>
      <c r="L2342" s="11" t="s">
        <v>21</v>
      </c>
      <c r="M2342" s="12" t="str">
        <f t="shared" ca="1" si="9"/>
        <v>14924 DANIEL ALCIDES CARRION2 Primaria</v>
      </c>
      <c r="N2342" s="11"/>
      <c r="O2342" s="11"/>
      <c r="P2342" s="11"/>
      <c r="Q2342" s="11"/>
      <c r="R2342" s="11"/>
      <c r="S2342" s="11"/>
      <c r="T2342" s="11"/>
      <c r="U2342" s="11"/>
      <c r="V2342" s="11"/>
      <c r="W2342" s="11"/>
      <c r="X2342" s="11"/>
      <c r="Y2342" s="11"/>
      <c r="Z2342" s="11"/>
      <c r="AA2342" s="11"/>
      <c r="AB2342" s="11"/>
      <c r="AC2342" s="11"/>
      <c r="AD2342" s="11"/>
      <c r="AE2342" s="11"/>
      <c r="AF2342" s="11"/>
      <c r="AG2342" s="11"/>
      <c r="AH2342" s="11"/>
      <c r="AI2342" s="11"/>
      <c r="AJ2342" s="14"/>
    </row>
    <row r="2343" spans="1:36" ht="12.5" x14ac:dyDescent="0.25">
      <c r="A2343" s="9">
        <v>10</v>
      </c>
      <c r="B2343" s="10" t="s">
        <v>14</v>
      </c>
      <c r="C2343" s="10" t="s">
        <v>15</v>
      </c>
      <c r="D2343" s="10" t="s">
        <v>45</v>
      </c>
      <c r="E2343" s="11" t="str">
        <f ca="1">IFERROR(__xludf.DUMMYFUNCTION("FILTER(Colegios!$B$2:$B2419,Colegios!$A$2:$A2419=L2343)"),"14924 DANIEL ALCIDES CARRION")</f>
        <v>14924 DANIEL ALCIDES CARRION</v>
      </c>
      <c r="F2343" s="11" t="s">
        <v>17</v>
      </c>
      <c r="G2343" s="11" t="s">
        <v>18</v>
      </c>
      <c r="H2343" s="11" t="s">
        <v>19</v>
      </c>
      <c r="I2343" s="11" t="s">
        <v>20</v>
      </c>
      <c r="J2343" s="12" t="str">
        <f ca="1">IFERROR(__xludf.DUMMYFUNCTION("FILTER('CLASFICACIÓN'!$F$3:$F2419,'CLASFICACIÓN'!$G$3:$G2419=M2343)"),"2023 Y 2024")</f>
        <v>2023 Y 2024</v>
      </c>
      <c r="K2343" s="12" t="s">
        <v>2011</v>
      </c>
      <c r="L2343" s="11" t="s">
        <v>21</v>
      </c>
      <c r="M2343" s="12" t="str">
        <f t="shared" ca="1" si="9"/>
        <v>14924 DANIEL ALCIDES CARRION2 Primaria</v>
      </c>
      <c r="N2343" s="11"/>
      <c r="O2343" s="11"/>
      <c r="P2343" s="11"/>
      <c r="Q2343" s="11"/>
      <c r="R2343" s="11"/>
      <c r="S2343" s="11"/>
      <c r="T2343" s="11"/>
      <c r="U2343" s="11"/>
      <c r="V2343" s="11"/>
      <c r="W2343" s="11"/>
      <c r="X2343" s="11"/>
      <c r="Y2343" s="11"/>
      <c r="Z2343" s="11"/>
      <c r="AA2343" s="11"/>
      <c r="AB2343" s="11"/>
      <c r="AC2343" s="11"/>
      <c r="AD2343" s="11"/>
      <c r="AE2343" s="11"/>
      <c r="AF2343" s="11"/>
      <c r="AG2343" s="11"/>
      <c r="AH2343" s="11"/>
      <c r="AI2343" s="11"/>
      <c r="AJ2343" s="14"/>
    </row>
    <row r="2344" spans="1:36" ht="12.5" x14ac:dyDescent="0.25">
      <c r="A2344" s="9">
        <v>11</v>
      </c>
      <c r="B2344" s="10" t="s">
        <v>14</v>
      </c>
      <c r="C2344" s="10" t="s">
        <v>15</v>
      </c>
      <c r="D2344" s="10" t="s">
        <v>45</v>
      </c>
      <c r="E2344" s="11" t="str">
        <f ca="1">IFERROR(__xludf.DUMMYFUNCTION("FILTER(Colegios!$B$2:$B2419,Colegios!$A$2:$A2419=L2344)"),"14924 DANIEL ALCIDES CARRION")</f>
        <v>14924 DANIEL ALCIDES CARRION</v>
      </c>
      <c r="F2344" s="11" t="s">
        <v>17</v>
      </c>
      <c r="G2344" s="11" t="s">
        <v>18</v>
      </c>
      <c r="H2344" s="11" t="s">
        <v>19</v>
      </c>
      <c r="I2344" s="11" t="s">
        <v>20</v>
      </c>
      <c r="J2344" s="12" t="str">
        <f ca="1">IFERROR(__xludf.DUMMYFUNCTION("FILTER('CLASFICACIÓN'!$F$3:$F2419,'CLASFICACIÓN'!$G$3:$G2419=M2344)"),"2023 Y 2024")</f>
        <v>2023 Y 2024</v>
      </c>
      <c r="K2344" s="12" t="s">
        <v>2011</v>
      </c>
      <c r="L2344" s="11" t="s">
        <v>21</v>
      </c>
      <c r="M2344" s="12" t="str">
        <f t="shared" ca="1" si="9"/>
        <v>14924 DANIEL ALCIDES CARRION2 Primaria</v>
      </c>
      <c r="N2344" s="11"/>
      <c r="O2344" s="11"/>
      <c r="P2344" s="11"/>
      <c r="Q2344" s="11"/>
      <c r="R2344" s="11"/>
      <c r="S2344" s="11"/>
      <c r="T2344" s="11"/>
      <c r="U2344" s="11"/>
      <c r="V2344" s="11"/>
      <c r="W2344" s="11"/>
      <c r="X2344" s="11"/>
      <c r="Y2344" s="11"/>
      <c r="Z2344" s="11"/>
      <c r="AA2344" s="11"/>
      <c r="AB2344" s="11"/>
      <c r="AC2344" s="11"/>
      <c r="AD2344" s="11"/>
      <c r="AE2344" s="11"/>
      <c r="AF2344" s="11"/>
      <c r="AG2344" s="11"/>
      <c r="AH2344" s="11"/>
      <c r="AI2344" s="11"/>
      <c r="AJ2344" s="14"/>
    </row>
    <row r="2345" spans="1:36" ht="12.5" x14ac:dyDescent="0.25">
      <c r="A2345" s="9">
        <v>12</v>
      </c>
      <c r="B2345" s="10" t="s">
        <v>14</v>
      </c>
      <c r="C2345" s="10" t="s">
        <v>15</v>
      </c>
      <c r="D2345" s="10" t="s">
        <v>45</v>
      </c>
      <c r="E2345" s="11" t="str">
        <f ca="1">IFERROR(__xludf.DUMMYFUNCTION("FILTER(Colegios!$B$2:$B2419,Colegios!$A$2:$A2419=L2345)"),"14924 DANIEL ALCIDES CARRION")</f>
        <v>14924 DANIEL ALCIDES CARRION</v>
      </c>
      <c r="F2345" s="11" t="s">
        <v>17</v>
      </c>
      <c r="G2345" s="11" t="s">
        <v>24</v>
      </c>
      <c r="H2345" s="11" t="s">
        <v>25</v>
      </c>
      <c r="I2345" s="11" t="s">
        <v>20</v>
      </c>
      <c r="J2345" s="12" t="str">
        <f ca="1">IFERROR(__xludf.DUMMYFUNCTION("FILTER('CLASFICACIÓN'!$F$3:$F2419,'CLASFICACIÓN'!$G$3:$G2419=M2345)"),"2023 Y 2024")</f>
        <v>2023 Y 2024</v>
      </c>
      <c r="K2345" s="12" t="s">
        <v>2011</v>
      </c>
      <c r="L2345" s="11" t="s">
        <v>21</v>
      </c>
      <c r="M2345" s="12" t="str">
        <f t="shared" ca="1" si="9"/>
        <v>14924 DANIEL ALCIDES CARRION2 Primaria</v>
      </c>
      <c r="N2345" s="11"/>
      <c r="O2345" s="11"/>
      <c r="P2345" s="11"/>
      <c r="Q2345" s="11"/>
      <c r="R2345" s="11"/>
      <c r="S2345" s="11"/>
      <c r="T2345" s="11"/>
      <c r="U2345" s="11"/>
      <c r="V2345" s="11"/>
      <c r="W2345" s="11"/>
      <c r="X2345" s="11"/>
      <c r="Y2345" s="11"/>
      <c r="Z2345" s="11"/>
      <c r="AA2345" s="11"/>
      <c r="AB2345" s="11"/>
      <c r="AC2345" s="11"/>
      <c r="AD2345" s="11"/>
      <c r="AE2345" s="11"/>
      <c r="AF2345" s="11"/>
      <c r="AG2345" s="11"/>
      <c r="AH2345" s="11"/>
      <c r="AI2345" s="11"/>
      <c r="AJ2345" s="14"/>
    </row>
    <row r="2346" spans="1:36" ht="12.5" x14ac:dyDescent="0.25">
      <c r="A2346" s="9">
        <v>13</v>
      </c>
      <c r="B2346" s="10" t="s">
        <v>14</v>
      </c>
      <c r="C2346" s="10" t="s">
        <v>15</v>
      </c>
      <c r="D2346" s="10" t="s">
        <v>45</v>
      </c>
      <c r="E2346" s="11" t="str">
        <f ca="1">IFERROR(__xludf.DUMMYFUNCTION("FILTER(Colegios!$B$2:$B2419,Colegios!$A$2:$A2419=L2346)"),"14924 DANIEL ALCIDES CARRION")</f>
        <v>14924 DANIEL ALCIDES CARRION</v>
      </c>
      <c r="F2346" s="11" t="s">
        <v>17</v>
      </c>
      <c r="G2346" s="11" t="s">
        <v>18</v>
      </c>
      <c r="H2346" s="11" t="s">
        <v>25</v>
      </c>
      <c r="I2346" s="11" t="s">
        <v>20</v>
      </c>
      <c r="J2346" s="12" t="str">
        <f ca="1">IFERROR(__xludf.DUMMYFUNCTION("FILTER('CLASFICACIÓN'!$F$3:$F2419,'CLASFICACIÓN'!$G$3:$G2419=M2346)"),"2023 Y 2024")</f>
        <v>2023 Y 2024</v>
      </c>
      <c r="K2346" s="12" t="s">
        <v>2011</v>
      </c>
      <c r="L2346" s="11" t="s">
        <v>21</v>
      </c>
      <c r="M2346" s="12" t="str">
        <f t="shared" ca="1" si="9"/>
        <v>14924 DANIEL ALCIDES CARRION2 Primaria</v>
      </c>
      <c r="N2346" s="11"/>
      <c r="O2346" s="11"/>
      <c r="P2346" s="11"/>
      <c r="Q2346" s="11"/>
      <c r="R2346" s="11"/>
      <c r="S2346" s="11"/>
      <c r="T2346" s="11"/>
      <c r="U2346" s="11"/>
      <c r="V2346" s="11"/>
      <c r="W2346" s="11"/>
      <c r="X2346" s="11"/>
      <c r="Y2346" s="11"/>
      <c r="Z2346" s="11"/>
      <c r="AA2346" s="11"/>
      <c r="AB2346" s="11"/>
      <c r="AC2346" s="11"/>
      <c r="AD2346" s="11"/>
      <c r="AE2346" s="11"/>
      <c r="AF2346" s="11"/>
      <c r="AG2346" s="11"/>
      <c r="AH2346" s="11"/>
      <c r="AI2346" s="11"/>
      <c r="AJ2346" s="14"/>
    </row>
    <row r="2347" spans="1:36" ht="12.5" x14ac:dyDescent="0.25">
      <c r="A2347" s="9">
        <v>14</v>
      </c>
      <c r="B2347" s="10" t="s">
        <v>14</v>
      </c>
      <c r="C2347" s="10" t="s">
        <v>15</v>
      </c>
      <c r="D2347" s="10" t="s">
        <v>45</v>
      </c>
      <c r="E2347" s="11" t="str">
        <f ca="1">IFERROR(__xludf.DUMMYFUNCTION("FILTER(Colegios!$B$2:$B2419,Colegios!$A$2:$A2419=L2347)"),"14924 DANIEL ALCIDES CARRION")</f>
        <v>14924 DANIEL ALCIDES CARRION</v>
      </c>
      <c r="F2347" s="11" t="s">
        <v>17</v>
      </c>
      <c r="G2347" s="11" t="s">
        <v>18</v>
      </c>
      <c r="H2347" s="11" t="s">
        <v>25</v>
      </c>
      <c r="I2347" s="11" t="s">
        <v>20</v>
      </c>
      <c r="J2347" s="12" t="str">
        <f ca="1">IFERROR(__xludf.DUMMYFUNCTION("FILTER('CLASFICACIÓN'!$F$3:$F2419,'CLASFICACIÓN'!$G$3:$G2419=M2347)"),"2023 Y 2024")</f>
        <v>2023 Y 2024</v>
      </c>
      <c r="K2347" s="12" t="s">
        <v>2011</v>
      </c>
      <c r="L2347" s="11" t="s">
        <v>21</v>
      </c>
      <c r="M2347" s="12" t="str">
        <f t="shared" ca="1" si="9"/>
        <v>14924 DANIEL ALCIDES CARRION2 Primaria</v>
      </c>
      <c r="N2347" s="11"/>
      <c r="O2347" s="11"/>
      <c r="P2347" s="11"/>
      <c r="Q2347" s="11"/>
      <c r="R2347" s="11"/>
      <c r="S2347" s="11"/>
      <c r="T2347" s="11"/>
      <c r="U2347" s="11"/>
      <c r="V2347" s="11"/>
      <c r="W2347" s="11"/>
      <c r="X2347" s="11"/>
      <c r="Y2347" s="11"/>
      <c r="Z2347" s="11"/>
      <c r="AA2347" s="11"/>
      <c r="AB2347" s="11"/>
      <c r="AC2347" s="11"/>
      <c r="AD2347" s="11"/>
      <c r="AE2347" s="11"/>
      <c r="AF2347" s="11"/>
      <c r="AG2347" s="11"/>
      <c r="AH2347" s="11"/>
      <c r="AI2347" s="11"/>
      <c r="AJ2347" s="14"/>
    </row>
    <row r="2348" spans="1:36" ht="12.5" x14ac:dyDescent="0.25">
      <c r="A2348" s="9">
        <v>15</v>
      </c>
      <c r="B2348" s="10" t="s">
        <v>14</v>
      </c>
      <c r="C2348" s="10" t="s">
        <v>15</v>
      </c>
      <c r="D2348" s="10" t="s">
        <v>45</v>
      </c>
      <c r="E2348" s="11" t="str">
        <f ca="1">IFERROR(__xludf.DUMMYFUNCTION("FILTER(Colegios!$B$2:$B2419,Colegios!$A$2:$A2419=L2348)"),"14924 DANIEL ALCIDES CARRION")</f>
        <v>14924 DANIEL ALCIDES CARRION</v>
      </c>
      <c r="F2348" s="11" t="s">
        <v>17</v>
      </c>
      <c r="G2348" s="11" t="s">
        <v>18</v>
      </c>
      <c r="H2348" s="11" t="s">
        <v>19</v>
      </c>
      <c r="I2348" s="11" t="s">
        <v>20</v>
      </c>
      <c r="J2348" s="12" t="str">
        <f ca="1">IFERROR(__xludf.DUMMYFUNCTION("FILTER('CLASFICACIÓN'!$F$3:$F2419,'CLASFICACIÓN'!$G$3:$G2419=M2348)"),"2023 Y 2024")</f>
        <v>2023 Y 2024</v>
      </c>
      <c r="K2348" s="12" t="s">
        <v>2011</v>
      </c>
      <c r="L2348" s="11" t="s">
        <v>21</v>
      </c>
      <c r="M2348" s="12" t="str">
        <f t="shared" ca="1" si="9"/>
        <v>14924 DANIEL ALCIDES CARRION2 Primaria</v>
      </c>
      <c r="N2348" s="11"/>
      <c r="O2348" s="11"/>
      <c r="P2348" s="11"/>
      <c r="Q2348" s="11"/>
      <c r="R2348" s="11"/>
      <c r="S2348" s="11"/>
      <c r="T2348" s="11"/>
      <c r="U2348" s="11"/>
      <c r="V2348" s="11"/>
      <c r="W2348" s="11"/>
      <c r="X2348" s="11"/>
      <c r="Y2348" s="11"/>
      <c r="Z2348" s="11"/>
      <c r="AA2348" s="11"/>
      <c r="AB2348" s="11"/>
      <c r="AC2348" s="11"/>
      <c r="AD2348" s="11"/>
      <c r="AE2348" s="11"/>
      <c r="AF2348" s="11"/>
      <c r="AG2348" s="11"/>
      <c r="AH2348" s="11"/>
      <c r="AI2348" s="11"/>
      <c r="AJ2348" s="14"/>
    </row>
    <row r="2349" spans="1:36" ht="12.5" x14ac:dyDescent="0.25">
      <c r="A2349" s="9">
        <v>16</v>
      </c>
      <c r="B2349" s="10" t="s">
        <v>14</v>
      </c>
      <c r="C2349" s="10" t="s">
        <v>15</v>
      </c>
      <c r="D2349" s="10" t="s">
        <v>45</v>
      </c>
      <c r="E2349" s="11" t="str">
        <f ca="1">IFERROR(__xludf.DUMMYFUNCTION("FILTER(Colegios!$B$2:$B2419,Colegios!$A$2:$A2419=L2349)"),"14924 DANIEL ALCIDES CARRION")</f>
        <v>14924 DANIEL ALCIDES CARRION</v>
      </c>
      <c r="F2349" s="11" t="s">
        <v>17</v>
      </c>
      <c r="G2349" s="11" t="s">
        <v>18</v>
      </c>
      <c r="H2349" s="11" t="s">
        <v>19</v>
      </c>
      <c r="I2349" s="11" t="s">
        <v>20</v>
      </c>
      <c r="J2349" s="12" t="str">
        <f ca="1">IFERROR(__xludf.DUMMYFUNCTION("FILTER('CLASFICACIÓN'!$F$3:$F2419,'CLASFICACIÓN'!$G$3:$G2419=M2349)"),"2023 Y 2024")</f>
        <v>2023 Y 2024</v>
      </c>
      <c r="K2349" s="12" t="s">
        <v>2011</v>
      </c>
      <c r="L2349" s="11" t="s">
        <v>21</v>
      </c>
      <c r="M2349" s="12" t="str">
        <f t="shared" ca="1" si="9"/>
        <v>14924 DANIEL ALCIDES CARRION2 Primaria</v>
      </c>
      <c r="N2349" s="11"/>
      <c r="O2349" s="11"/>
      <c r="P2349" s="11"/>
      <c r="Q2349" s="11"/>
      <c r="R2349" s="11"/>
      <c r="S2349" s="11"/>
      <c r="T2349" s="11"/>
      <c r="U2349" s="11"/>
      <c r="V2349" s="11"/>
      <c r="W2349" s="11"/>
      <c r="X2349" s="11"/>
      <c r="Y2349" s="11"/>
      <c r="Z2349" s="11"/>
      <c r="AA2349" s="11"/>
      <c r="AB2349" s="11"/>
      <c r="AC2349" s="11"/>
      <c r="AD2349" s="11"/>
      <c r="AE2349" s="11"/>
      <c r="AF2349" s="11"/>
      <c r="AG2349" s="11"/>
      <c r="AH2349" s="11"/>
      <c r="AI2349" s="11"/>
      <c r="AJ2349" s="14"/>
    </row>
    <row r="2350" spans="1:36" ht="12.5" x14ac:dyDescent="0.25">
      <c r="A2350" s="9">
        <v>17</v>
      </c>
      <c r="B2350" s="10" t="s">
        <v>14</v>
      </c>
      <c r="C2350" s="10" t="s">
        <v>15</v>
      </c>
      <c r="D2350" s="10" t="s">
        <v>45</v>
      </c>
      <c r="E2350" s="11" t="str">
        <f ca="1">IFERROR(__xludf.DUMMYFUNCTION("FILTER(Colegios!$B$2:$B2419,Colegios!$A$2:$A2419=L2350)"),"14924 DANIEL ALCIDES CARRION")</f>
        <v>14924 DANIEL ALCIDES CARRION</v>
      </c>
      <c r="F2350" s="11" t="s">
        <v>17</v>
      </c>
      <c r="G2350" s="11" t="s">
        <v>24</v>
      </c>
      <c r="H2350" s="11" t="s">
        <v>19</v>
      </c>
      <c r="I2350" s="11" t="s">
        <v>20</v>
      </c>
      <c r="J2350" s="12" t="str">
        <f ca="1">IFERROR(__xludf.DUMMYFUNCTION("FILTER('CLASFICACIÓN'!$F$3:$F2419,'CLASFICACIÓN'!$G$3:$G2419=M2350)"),"2023 Y 2024")</f>
        <v>2023 Y 2024</v>
      </c>
      <c r="K2350" s="12" t="s">
        <v>2011</v>
      </c>
      <c r="L2350" s="11" t="s">
        <v>21</v>
      </c>
      <c r="M2350" s="12" t="str">
        <f t="shared" ca="1" si="9"/>
        <v>14924 DANIEL ALCIDES CARRION2 Primaria</v>
      </c>
      <c r="N2350" s="11"/>
      <c r="O2350" s="11"/>
      <c r="P2350" s="11"/>
      <c r="Q2350" s="11"/>
      <c r="R2350" s="11"/>
      <c r="S2350" s="11"/>
      <c r="T2350" s="11"/>
      <c r="U2350" s="11"/>
      <c r="V2350" s="11"/>
      <c r="W2350" s="11"/>
      <c r="X2350" s="11"/>
      <c r="Y2350" s="11"/>
      <c r="Z2350" s="11"/>
      <c r="AA2350" s="11"/>
      <c r="AB2350" s="11"/>
      <c r="AC2350" s="11"/>
      <c r="AD2350" s="11"/>
      <c r="AE2350" s="11"/>
      <c r="AF2350" s="11"/>
      <c r="AG2350" s="11"/>
      <c r="AH2350" s="11"/>
      <c r="AI2350" s="11"/>
      <c r="AJ2350" s="14"/>
    </row>
    <row r="2351" spans="1:36" ht="12.5" x14ac:dyDescent="0.25">
      <c r="A2351" s="9">
        <v>18</v>
      </c>
      <c r="B2351" s="10" t="s">
        <v>14</v>
      </c>
      <c r="C2351" s="10" t="s">
        <v>15</v>
      </c>
      <c r="D2351" s="10" t="s">
        <v>45</v>
      </c>
      <c r="E2351" s="11" t="str">
        <f ca="1">IFERROR(__xludf.DUMMYFUNCTION("FILTER(Colegios!$B$2:$B2419,Colegios!$A$2:$A2419=L2351)"),"14924 DANIEL ALCIDES CARRION")</f>
        <v>14924 DANIEL ALCIDES CARRION</v>
      </c>
      <c r="F2351" s="11" t="s">
        <v>17</v>
      </c>
      <c r="G2351" s="11" t="s">
        <v>18</v>
      </c>
      <c r="H2351" s="11" t="s">
        <v>25</v>
      </c>
      <c r="I2351" s="11" t="s">
        <v>20</v>
      </c>
      <c r="J2351" s="12" t="str">
        <f ca="1">IFERROR(__xludf.DUMMYFUNCTION("FILTER('CLASFICACIÓN'!$F$3:$F2419,'CLASFICACIÓN'!$G$3:$G2419=M2351)"),"2023 Y 2024")</f>
        <v>2023 Y 2024</v>
      </c>
      <c r="K2351" s="12" t="s">
        <v>2011</v>
      </c>
      <c r="L2351" s="11" t="s">
        <v>21</v>
      </c>
      <c r="M2351" s="12" t="str">
        <f t="shared" ca="1" si="9"/>
        <v>14924 DANIEL ALCIDES CARRION2 Primaria</v>
      </c>
      <c r="N2351" s="11"/>
      <c r="O2351" s="11"/>
      <c r="P2351" s="11"/>
      <c r="Q2351" s="11"/>
      <c r="R2351" s="11"/>
      <c r="S2351" s="11"/>
      <c r="T2351" s="11"/>
      <c r="U2351" s="11"/>
      <c r="V2351" s="11"/>
      <c r="W2351" s="11"/>
      <c r="X2351" s="11"/>
      <c r="Y2351" s="11"/>
      <c r="Z2351" s="11"/>
      <c r="AA2351" s="11"/>
      <c r="AB2351" s="11"/>
      <c r="AC2351" s="11"/>
      <c r="AD2351" s="11"/>
      <c r="AE2351" s="11"/>
      <c r="AF2351" s="11"/>
      <c r="AG2351" s="11"/>
      <c r="AH2351" s="11"/>
      <c r="AI2351" s="11"/>
      <c r="AJ2351" s="14"/>
    </row>
    <row r="2352" spans="1:36" ht="12.5" x14ac:dyDescent="0.25">
      <c r="A2352" s="9">
        <v>19</v>
      </c>
      <c r="B2352" s="10" t="s">
        <v>14</v>
      </c>
      <c r="C2352" s="10" t="s">
        <v>15</v>
      </c>
      <c r="D2352" s="10" t="s">
        <v>45</v>
      </c>
      <c r="E2352" s="11" t="str">
        <f ca="1">IFERROR(__xludf.DUMMYFUNCTION("FILTER(Colegios!$B$2:$B2419,Colegios!$A$2:$A2419=L2352)"),"14924 DANIEL ALCIDES CARRION")</f>
        <v>14924 DANIEL ALCIDES CARRION</v>
      </c>
      <c r="F2352" s="11" t="s">
        <v>17</v>
      </c>
      <c r="G2352" s="11" t="s">
        <v>24</v>
      </c>
      <c r="H2352" s="11" t="s">
        <v>19</v>
      </c>
      <c r="I2352" s="11" t="s">
        <v>20</v>
      </c>
      <c r="J2352" s="12" t="str">
        <f ca="1">IFERROR(__xludf.DUMMYFUNCTION("FILTER('CLASFICACIÓN'!$F$3:$F2419,'CLASFICACIÓN'!$G$3:$G2419=M2352)"),"2023 Y 2024")</f>
        <v>2023 Y 2024</v>
      </c>
      <c r="K2352" s="12" t="s">
        <v>2011</v>
      </c>
      <c r="L2352" s="11" t="s">
        <v>21</v>
      </c>
      <c r="M2352" s="12" t="str">
        <f t="shared" ca="1" si="9"/>
        <v>14924 DANIEL ALCIDES CARRION2 Primaria</v>
      </c>
      <c r="N2352" s="11"/>
      <c r="O2352" s="11"/>
      <c r="P2352" s="11"/>
      <c r="Q2352" s="11"/>
      <c r="R2352" s="11"/>
      <c r="S2352" s="11"/>
      <c r="T2352" s="11"/>
      <c r="U2352" s="11"/>
      <c r="V2352" s="11"/>
      <c r="W2352" s="11"/>
      <c r="X2352" s="11"/>
      <c r="Y2352" s="11"/>
      <c r="Z2352" s="11"/>
      <c r="AA2352" s="11"/>
      <c r="AB2352" s="11"/>
      <c r="AC2352" s="11"/>
      <c r="AD2352" s="11"/>
      <c r="AE2352" s="11"/>
      <c r="AF2352" s="11"/>
      <c r="AG2352" s="11"/>
      <c r="AH2352" s="11"/>
      <c r="AI2352" s="11"/>
      <c r="AJ2352" s="14"/>
    </row>
    <row r="2353" spans="1:36" ht="12.5" x14ac:dyDescent="0.25">
      <c r="A2353" s="9">
        <v>20</v>
      </c>
      <c r="B2353" s="10" t="s">
        <v>14</v>
      </c>
      <c r="C2353" s="10" t="s">
        <v>15</v>
      </c>
      <c r="D2353" s="10" t="s">
        <v>45</v>
      </c>
      <c r="E2353" s="11" t="str">
        <f ca="1">IFERROR(__xludf.DUMMYFUNCTION("FILTER(Colegios!$B$2:$B2419,Colegios!$A$2:$A2419=L2353)"),"14924 DANIEL ALCIDES CARRION")</f>
        <v>14924 DANIEL ALCIDES CARRION</v>
      </c>
      <c r="F2353" s="11" t="s">
        <v>17</v>
      </c>
      <c r="G2353" s="11" t="s">
        <v>18</v>
      </c>
      <c r="H2353" s="11" t="s">
        <v>19</v>
      </c>
      <c r="I2353" s="11" t="s">
        <v>20</v>
      </c>
      <c r="J2353" s="12" t="str">
        <f ca="1">IFERROR(__xludf.DUMMYFUNCTION("FILTER('CLASFICACIÓN'!$F$3:$F2419,'CLASFICACIÓN'!$G$3:$G2419=M2353)"),"2023 Y 2024")</f>
        <v>2023 Y 2024</v>
      </c>
      <c r="K2353" s="12" t="s">
        <v>2011</v>
      </c>
      <c r="L2353" s="11" t="s">
        <v>21</v>
      </c>
      <c r="M2353" s="12" t="str">
        <f t="shared" ca="1" si="9"/>
        <v>14924 DANIEL ALCIDES CARRION2 Primaria</v>
      </c>
      <c r="N2353" s="11"/>
      <c r="O2353" s="11"/>
      <c r="P2353" s="11"/>
      <c r="Q2353" s="11"/>
      <c r="R2353" s="11"/>
      <c r="S2353" s="11"/>
      <c r="T2353" s="11"/>
      <c r="U2353" s="11"/>
      <c r="V2353" s="11"/>
      <c r="W2353" s="11"/>
      <c r="X2353" s="11"/>
      <c r="Y2353" s="11"/>
      <c r="Z2353" s="11"/>
      <c r="AA2353" s="11"/>
      <c r="AB2353" s="11"/>
      <c r="AC2353" s="11"/>
      <c r="AD2353" s="11"/>
      <c r="AE2353" s="11"/>
      <c r="AF2353" s="11"/>
      <c r="AG2353" s="11"/>
      <c r="AH2353" s="11"/>
      <c r="AI2353" s="11"/>
      <c r="AJ2353" s="14"/>
    </row>
    <row r="2354" spans="1:36" ht="12.5" x14ac:dyDescent="0.25">
      <c r="A2354" s="9">
        <v>21</v>
      </c>
      <c r="B2354" s="10" t="s">
        <v>14</v>
      </c>
      <c r="C2354" s="10" t="s">
        <v>15</v>
      </c>
      <c r="D2354" s="10" t="s">
        <v>45</v>
      </c>
      <c r="E2354" s="11" t="str">
        <f ca="1">IFERROR(__xludf.DUMMYFUNCTION("FILTER(Colegios!$B$2:$B2419,Colegios!$A$2:$A2419=L2354)"),"14924 DANIEL ALCIDES CARRION")</f>
        <v>14924 DANIEL ALCIDES CARRION</v>
      </c>
      <c r="F2354" s="11" t="s">
        <v>17</v>
      </c>
      <c r="G2354" s="11" t="s">
        <v>24</v>
      </c>
      <c r="H2354" s="11" t="s">
        <v>19</v>
      </c>
      <c r="I2354" s="11" t="s">
        <v>20</v>
      </c>
      <c r="J2354" s="12" t="str">
        <f ca="1">IFERROR(__xludf.DUMMYFUNCTION("FILTER('CLASFICACIÓN'!$F$3:$F2419,'CLASFICACIÓN'!$G$3:$G2419=M2354)"),"2023 Y 2024")</f>
        <v>2023 Y 2024</v>
      </c>
      <c r="K2354" s="12" t="s">
        <v>2011</v>
      </c>
      <c r="L2354" s="11" t="s">
        <v>21</v>
      </c>
      <c r="M2354" s="12" t="str">
        <f t="shared" ca="1" si="9"/>
        <v>14924 DANIEL ALCIDES CARRION2 Primaria</v>
      </c>
      <c r="N2354" s="11"/>
      <c r="O2354" s="11"/>
      <c r="P2354" s="11"/>
      <c r="Q2354" s="11"/>
      <c r="R2354" s="11"/>
      <c r="S2354" s="11"/>
      <c r="T2354" s="11"/>
      <c r="U2354" s="11"/>
      <c r="V2354" s="11"/>
      <c r="W2354" s="11"/>
      <c r="X2354" s="11"/>
      <c r="Y2354" s="11"/>
      <c r="Z2354" s="11"/>
      <c r="AA2354" s="11"/>
      <c r="AB2354" s="11"/>
      <c r="AC2354" s="11"/>
      <c r="AD2354" s="11"/>
      <c r="AE2354" s="11"/>
      <c r="AF2354" s="11"/>
      <c r="AG2354" s="11"/>
      <c r="AH2354" s="11"/>
      <c r="AI2354" s="11"/>
      <c r="AJ2354" s="14"/>
    </row>
    <row r="2355" spans="1:36" ht="12.5" x14ac:dyDescent="0.25">
      <c r="A2355" s="9">
        <v>22</v>
      </c>
      <c r="B2355" s="10" t="s">
        <v>14</v>
      </c>
      <c r="C2355" s="10" t="s">
        <v>15</v>
      </c>
      <c r="D2355" s="10" t="s">
        <v>45</v>
      </c>
      <c r="E2355" s="11" t="str">
        <f ca="1">IFERROR(__xludf.DUMMYFUNCTION("FILTER(Colegios!$B$2:$B2419,Colegios!$A$2:$A2419=L2355)"),"20104")</f>
        <v>20104</v>
      </c>
      <c r="F2355" s="11" t="s">
        <v>17</v>
      </c>
      <c r="G2355" s="11" t="s">
        <v>18</v>
      </c>
      <c r="H2355" s="11" t="s">
        <v>25</v>
      </c>
      <c r="I2355" s="11" t="s">
        <v>20</v>
      </c>
      <c r="J2355" s="12" t="str">
        <f ca="1">IFERROR(__xludf.DUMMYFUNCTION("FILTER('CLASFICACIÓN'!$F$3:$F2419,'CLASFICACIÓN'!$G$3:$G2419=M2355)"),"2023 Y 2024")</f>
        <v>2023 Y 2024</v>
      </c>
      <c r="K2355" s="12" t="s">
        <v>2011</v>
      </c>
      <c r="L2355" s="11" t="s">
        <v>26</v>
      </c>
      <c r="M2355" s="12" t="str">
        <f t="shared" ca="1" si="9"/>
        <v>201042 Primaria</v>
      </c>
      <c r="N2355" s="11"/>
      <c r="O2355" s="11"/>
      <c r="P2355" s="11"/>
      <c r="Q2355" s="11"/>
      <c r="R2355" s="11"/>
      <c r="S2355" s="11"/>
      <c r="T2355" s="11"/>
      <c r="U2355" s="11"/>
      <c r="V2355" s="11"/>
      <c r="W2355" s="11"/>
      <c r="X2355" s="11"/>
      <c r="Y2355" s="11"/>
      <c r="Z2355" s="11"/>
      <c r="AA2355" s="11"/>
      <c r="AB2355" s="11"/>
      <c r="AC2355" s="11"/>
      <c r="AD2355" s="11"/>
      <c r="AE2355" s="11"/>
      <c r="AF2355" s="11"/>
      <c r="AG2355" s="11"/>
      <c r="AH2355" s="11"/>
      <c r="AI2355" s="11"/>
      <c r="AJ2355" s="14"/>
    </row>
    <row r="2356" spans="1:36" ht="12.5" x14ac:dyDescent="0.25">
      <c r="A2356" s="9">
        <v>23</v>
      </c>
      <c r="B2356" s="10" t="s">
        <v>14</v>
      </c>
      <c r="C2356" s="10" t="s">
        <v>15</v>
      </c>
      <c r="D2356" s="10" t="s">
        <v>45</v>
      </c>
      <c r="E2356" s="11" t="str">
        <f ca="1">IFERROR(__xludf.DUMMYFUNCTION("FILTER(Colegios!$B$2:$B2419,Colegios!$A$2:$A2419=L2356)"),"20104")</f>
        <v>20104</v>
      </c>
      <c r="F2356" s="11" t="s">
        <v>17</v>
      </c>
      <c r="G2356" s="11" t="s">
        <v>18</v>
      </c>
      <c r="H2356" s="11" t="s">
        <v>19</v>
      </c>
      <c r="I2356" s="11" t="s">
        <v>20</v>
      </c>
      <c r="J2356" s="12" t="str">
        <f ca="1">IFERROR(__xludf.DUMMYFUNCTION("FILTER('CLASFICACIÓN'!$F$3:$F2419,'CLASFICACIÓN'!$G$3:$G2419=M2356)"),"2023 Y 2024")</f>
        <v>2023 Y 2024</v>
      </c>
      <c r="K2356" s="12" t="s">
        <v>2011</v>
      </c>
      <c r="L2356" s="11" t="s">
        <v>26</v>
      </c>
      <c r="M2356" s="12" t="str">
        <f t="shared" ca="1" si="9"/>
        <v>201042 Primaria</v>
      </c>
      <c r="N2356" s="11"/>
      <c r="O2356" s="11"/>
      <c r="P2356" s="11"/>
      <c r="Q2356" s="11"/>
      <c r="R2356" s="11"/>
      <c r="S2356" s="11"/>
      <c r="T2356" s="11"/>
      <c r="U2356" s="11"/>
      <c r="V2356" s="11"/>
      <c r="W2356" s="11"/>
      <c r="X2356" s="11"/>
      <c r="Y2356" s="11"/>
      <c r="Z2356" s="11"/>
      <c r="AA2356" s="11"/>
      <c r="AB2356" s="11"/>
      <c r="AC2356" s="11"/>
      <c r="AD2356" s="11"/>
      <c r="AE2356" s="11"/>
      <c r="AF2356" s="11"/>
      <c r="AG2356" s="11"/>
      <c r="AH2356" s="11"/>
      <c r="AI2356" s="11"/>
      <c r="AJ2356" s="14"/>
    </row>
    <row r="2357" spans="1:36" ht="12.5" x14ac:dyDescent="0.25">
      <c r="A2357" s="9">
        <v>24</v>
      </c>
      <c r="B2357" s="10" t="s">
        <v>14</v>
      </c>
      <c r="C2357" s="10" t="s">
        <v>15</v>
      </c>
      <c r="D2357" s="10" t="s">
        <v>45</v>
      </c>
      <c r="E2357" s="11" t="str">
        <f ca="1">IFERROR(__xludf.DUMMYFUNCTION("FILTER(Colegios!$B$2:$B2419,Colegios!$A$2:$A2419=L2357)"),"20104")</f>
        <v>20104</v>
      </c>
      <c r="F2357" s="11" t="s">
        <v>17</v>
      </c>
      <c r="G2357" s="11" t="s">
        <v>18</v>
      </c>
      <c r="H2357" s="11" t="s">
        <v>19</v>
      </c>
      <c r="I2357" s="11" t="s">
        <v>20</v>
      </c>
      <c r="J2357" s="12" t="str">
        <f ca="1">IFERROR(__xludf.DUMMYFUNCTION("FILTER('CLASFICACIÓN'!$F$3:$F2419,'CLASFICACIÓN'!$G$3:$G2419=M2357)"),"2023 Y 2024")</f>
        <v>2023 Y 2024</v>
      </c>
      <c r="K2357" s="12" t="s">
        <v>2011</v>
      </c>
      <c r="L2357" s="11" t="s">
        <v>26</v>
      </c>
      <c r="M2357" s="12" t="str">
        <f t="shared" ca="1" si="9"/>
        <v>201042 Primaria</v>
      </c>
      <c r="N2357" s="11"/>
      <c r="O2357" s="11"/>
      <c r="P2357" s="11"/>
      <c r="Q2357" s="11"/>
      <c r="R2357" s="11"/>
      <c r="S2357" s="11"/>
      <c r="T2357" s="11"/>
      <c r="U2357" s="11"/>
      <c r="V2357" s="11"/>
      <c r="W2357" s="11"/>
      <c r="X2357" s="11"/>
      <c r="Y2357" s="11"/>
      <c r="Z2357" s="11"/>
      <c r="AA2357" s="11"/>
      <c r="AB2357" s="11"/>
      <c r="AC2357" s="11"/>
      <c r="AD2357" s="11"/>
      <c r="AE2357" s="11"/>
      <c r="AF2357" s="11"/>
      <c r="AG2357" s="11"/>
      <c r="AH2357" s="11"/>
      <c r="AI2357" s="11"/>
      <c r="AJ2357" s="14"/>
    </row>
    <row r="2358" spans="1:36" ht="12.5" x14ac:dyDescent="0.25">
      <c r="A2358" s="9">
        <v>25</v>
      </c>
      <c r="B2358" s="10" t="s">
        <v>14</v>
      </c>
      <c r="C2358" s="10" t="s">
        <v>15</v>
      </c>
      <c r="D2358" s="10" t="s">
        <v>45</v>
      </c>
      <c r="E2358" s="11" t="str">
        <f ca="1">IFERROR(__xludf.DUMMYFUNCTION("FILTER(Colegios!$B$2:$B2419,Colegios!$A$2:$A2419=L2358)"),"20104")</f>
        <v>20104</v>
      </c>
      <c r="F2358" s="11" t="s">
        <v>17</v>
      </c>
      <c r="G2358" s="11" t="s">
        <v>24</v>
      </c>
      <c r="H2358" s="11" t="s">
        <v>23</v>
      </c>
      <c r="I2358" s="11" t="s">
        <v>20</v>
      </c>
      <c r="J2358" s="12" t="str">
        <f ca="1">IFERROR(__xludf.DUMMYFUNCTION("FILTER('CLASFICACIÓN'!$F$3:$F2419,'CLASFICACIÓN'!$G$3:$G2419=M2358)"),"2023 Y 2024")</f>
        <v>2023 Y 2024</v>
      </c>
      <c r="K2358" s="12" t="s">
        <v>2011</v>
      </c>
      <c r="L2358" s="11" t="s">
        <v>26</v>
      </c>
      <c r="M2358" s="12" t="str">
        <f t="shared" ca="1" si="9"/>
        <v>201042 Primaria</v>
      </c>
      <c r="N2358" s="11"/>
      <c r="O2358" s="11"/>
      <c r="P2358" s="11"/>
      <c r="Q2358" s="11"/>
      <c r="R2358" s="11"/>
      <c r="S2358" s="11"/>
      <c r="T2358" s="11"/>
      <c r="U2358" s="11"/>
      <c r="V2358" s="11"/>
      <c r="W2358" s="11"/>
      <c r="X2358" s="11"/>
      <c r="Y2358" s="11"/>
      <c r="Z2358" s="11"/>
      <c r="AA2358" s="11"/>
      <c r="AB2358" s="11"/>
      <c r="AC2358" s="11"/>
      <c r="AD2358" s="11"/>
      <c r="AE2358" s="11"/>
      <c r="AF2358" s="11"/>
      <c r="AG2358" s="11"/>
      <c r="AH2358" s="11"/>
      <c r="AI2358" s="11"/>
      <c r="AJ2358" s="14"/>
    </row>
    <row r="2359" spans="1:36" ht="12.5" x14ac:dyDescent="0.25">
      <c r="A2359" s="9">
        <v>26</v>
      </c>
      <c r="B2359" s="10" t="s">
        <v>14</v>
      </c>
      <c r="C2359" s="10" t="s">
        <v>15</v>
      </c>
      <c r="D2359" s="10" t="s">
        <v>45</v>
      </c>
      <c r="E2359" s="11" t="str">
        <f ca="1">IFERROR(__xludf.DUMMYFUNCTION("FILTER(Colegios!$B$2:$B2419,Colegios!$A$2:$A2419=L2359)"),"20104")</f>
        <v>20104</v>
      </c>
      <c r="F2359" s="11" t="s">
        <v>17</v>
      </c>
      <c r="G2359" s="11" t="s">
        <v>24</v>
      </c>
      <c r="H2359" s="11" t="s">
        <v>19</v>
      </c>
      <c r="I2359" s="11" t="s">
        <v>20</v>
      </c>
      <c r="J2359" s="12" t="str">
        <f ca="1">IFERROR(__xludf.DUMMYFUNCTION("FILTER('CLASFICACIÓN'!$F$3:$F2419,'CLASFICACIÓN'!$G$3:$G2419=M2359)"),"2023 Y 2024")</f>
        <v>2023 Y 2024</v>
      </c>
      <c r="K2359" s="12" t="s">
        <v>2011</v>
      </c>
      <c r="L2359" s="11" t="s">
        <v>26</v>
      </c>
      <c r="M2359" s="12" t="str">
        <f t="shared" ca="1" si="9"/>
        <v>201042 Primaria</v>
      </c>
      <c r="N2359" s="11"/>
      <c r="O2359" s="11"/>
      <c r="P2359" s="11"/>
      <c r="Q2359" s="11"/>
      <c r="R2359" s="11"/>
      <c r="S2359" s="11"/>
      <c r="T2359" s="11"/>
      <c r="U2359" s="11"/>
      <c r="V2359" s="11"/>
      <c r="W2359" s="11"/>
      <c r="X2359" s="11"/>
      <c r="Y2359" s="11"/>
      <c r="Z2359" s="11"/>
      <c r="AA2359" s="11"/>
      <c r="AB2359" s="11"/>
      <c r="AC2359" s="11"/>
      <c r="AD2359" s="11"/>
      <c r="AE2359" s="11"/>
      <c r="AF2359" s="11"/>
      <c r="AG2359" s="11"/>
      <c r="AH2359" s="11"/>
      <c r="AI2359" s="11"/>
      <c r="AJ2359" s="14"/>
    </row>
    <row r="2360" spans="1:36" ht="12.5" x14ac:dyDescent="0.25">
      <c r="A2360" s="9">
        <v>27</v>
      </c>
      <c r="B2360" s="10" t="s">
        <v>14</v>
      </c>
      <c r="C2360" s="10" t="s">
        <v>15</v>
      </c>
      <c r="D2360" s="10" t="s">
        <v>45</v>
      </c>
      <c r="E2360" s="11" t="str">
        <f ca="1">IFERROR(__xludf.DUMMYFUNCTION("FILTER(Colegios!$B$2:$B2419,Colegios!$A$2:$A2419=L2360)"),"14975")</f>
        <v>14975</v>
      </c>
      <c r="F2360" s="11" t="s">
        <v>17</v>
      </c>
      <c r="G2360" s="11" t="s">
        <v>18</v>
      </c>
      <c r="H2360" s="11" t="s">
        <v>19</v>
      </c>
      <c r="I2360" s="11" t="s">
        <v>20</v>
      </c>
      <c r="J2360" s="12" t="str">
        <f ca="1">IFERROR(__xludf.DUMMYFUNCTION("FILTER('CLASFICACIÓN'!$F$3:$F2419,'CLASFICACIÓN'!$G$3:$G2419=M2360)"),"2023 Y 2024")</f>
        <v>2023 Y 2024</v>
      </c>
      <c r="K2360" s="12" t="s">
        <v>2011</v>
      </c>
      <c r="L2360" s="11" t="s">
        <v>27</v>
      </c>
      <c r="M2360" s="12" t="str">
        <f t="shared" ca="1" si="9"/>
        <v>149752 Primaria</v>
      </c>
      <c r="N2360" s="11"/>
      <c r="O2360" s="11"/>
      <c r="P2360" s="11"/>
      <c r="Q2360" s="11"/>
      <c r="R2360" s="11"/>
      <c r="S2360" s="11"/>
      <c r="T2360" s="11"/>
      <c r="U2360" s="11"/>
      <c r="V2360" s="11"/>
      <c r="W2360" s="11"/>
      <c r="X2360" s="11"/>
      <c r="Y2360" s="11"/>
      <c r="Z2360" s="11"/>
      <c r="AA2360" s="11"/>
      <c r="AB2360" s="11"/>
      <c r="AC2360" s="11"/>
      <c r="AD2360" s="11"/>
      <c r="AE2360" s="11"/>
      <c r="AF2360" s="11"/>
      <c r="AG2360" s="11"/>
      <c r="AH2360" s="11"/>
      <c r="AI2360" s="11"/>
      <c r="AJ2360" s="14"/>
    </row>
    <row r="2361" spans="1:36" ht="12.5" x14ac:dyDescent="0.25">
      <c r="A2361" s="9">
        <v>28</v>
      </c>
      <c r="B2361" s="10" t="s">
        <v>14</v>
      </c>
      <c r="C2361" s="10" t="s">
        <v>15</v>
      </c>
      <c r="D2361" s="10" t="s">
        <v>45</v>
      </c>
      <c r="E2361" s="11" t="str">
        <f ca="1">IFERROR(__xludf.DUMMYFUNCTION("FILTER(Colegios!$B$2:$B2419,Colegios!$A$2:$A2419=L2361)"),"14975")</f>
        <v>14975</v>
      </c>
      <c r="F2361" s="11" t="s">
        <v>17</v>
      </c>
      <c r="G2361" s="11" t="s">
        <v>18</v>
      </c>
      <c r="H2361" s="11" t="s">
        <v>25</v>
      </c>
      <c r="I2361" s="11" t="s">
        <v>20</v>
      </c>
      <c r="J2361" s="12" t="str">
        <f ca="1">IFERROR(__xludf.DUMMYFUNCTION("FILTER('CLASFICACIÓN'!$F$3:$F2419,'CLASFICACIÓN'!$G$3:$G2419=M2361)"),"2023 Y 2024")</f>
        <v>2023 Y 2024</v>
      </c>
      <c r="K2361" s="12" t="s">
        <v>2011</v>
      </c>
      <c r="L2361" s="11" t="s">
        <v>27</v>
      </c>
      <c r="M2361" s="12" t="str">
        <f t="shared" ca="1" si="9"/>
        <v>149752 Primaria</v>
      </c>
      <c r="N2361" s="11"/>
      <c r="O2361" s="11"/>
      <c r="P2361" s="11"/>
      <c r="Q2361" s="11"/>
      <c r="R2361" s="11"/>
      <c r="S2361" s="11"/>
      <c r="T2361" s="11"/>
      <c r="U2361" s="11"/>
      <c r="V2361" s="11"/>
      <c r="W2361" s="11"/>
      <c r="X2361" s="11"/>
      <c r="Y2361" s="11"/>
      <c r="Z2361" s="11"/>
      <c r="AA2361" s="11"/>
      <c r="AB2361" s="11"/>
      <c r="AC2361" s="11"/>
      <c r="AD2361" s="11"/>
      <c r="AE2361" s="11"/>
      <c r="AF2361" s="11"/>
      <c r="AG2361" s="11"/>
      <c r="AH2361" s="11"/>
      <c r="AI2361" s="11"/>
      <c r="AJ2361" s="14"/>
    </row>
    <row r="2362" spans="1:36" ht="12.5" x14ac:dyDescent="0.25">
      <c r="A2362" s="9">
        <v>29</v>
      </c>
      <c r="B2362" s="10" t="s">
        <v>14</v>
      </c>
      <c r="C2362" s="10" t="s">
        <v>15</v>
      </c>
      <c r="D2362" s="10" t="s">
        <v>45</v>
      </c>
      <c r="E2362" s="11" t="str">
        <f ca="1">IFERROR(__xludf.DUMMYFUNCTION("FILTER(Colegios!$B$2:$B2419,Colegios!$A$2:$A2419=L2362)"),"14975")</f>
        <v>14975</v>
      </c>
      <c r="F2362" s="11" t="s">
        <v>17</v>
      </c>
      <c r="G2362" s="11" t="s">
        <v>18</v>
      </c>
      <c r="H2362" s="11" t="s">
        <v>19</v>
      </c>
      <c r="I2362" s="11" t="s">
        <v>20</v>
      </c>
      <c r="J2362" s="12" t="str">
        <f ca="1">IFERROR(__xludf.DUMMYFUNCTION("FILTER('CLASFICACIÓN'!$F$3:$F2419,'CLASFICACIÓN'!$G$3:$G2419=M2362)"),"2023 Y 2024")</f>
        <v>2023 Y 2024</v>
      </c>
      <c r="K2362" s="12" t="s">
        <v>2011</v>
      </c>
      <c r="L2362" s="11" t="s">
        <v>27</v>
      </c>
      <c r="M2362" s="12" t="str">
        <f t="shared" ca="1" si="9"/>
        <v>149752 Primaria</v>
      </c>
      <c r="N2362" s="11"/>
      <c r="O2362" s="11"/>
      <c r="P2362" s="11"/>
      <c r="Q2362" s="11"/>
      <c r="R2362" s="11"/>
      <c r="S2362" s="11"/>
      <c r="T2362" s="11"/>
      <c r="U2362" s="11"/>
      <c r="V2362" s="11"/>
      <c r="W2362" s="11"/>
      <c r="X2362" s="11"/>
      <c r="Y2362" s="11"/>
      <c r="Z2362" s="11"/>
      <c r="AA2362" s="11"/>
      <c r="AB2362" s="11"/>
      <c r="AC2362" s="11"/>
      <c r="AD2362" s="11"/>
      <c r="AE2362" s="11"/>
      <c r="AF2362" s="11"/>
      <c r="AG2362" s="11"/>
      <c r="AH2362" s="11"/>
      <c r="AI2362" s="11"/>
      <c r="AJ2362" s="14"/>
    </row>
    <row r="2363" spans="1:36" ht="12.5" x14ac:dyDescent="0.25">
      <c r="A2363" s="9">
        <v>30</v>
      </c>
      <c r="B2363" s="10" t="s">
        <v>14</v>
      </c>
      <c r="C2363" s="10" t="s">
        <v>15</v>
      </c>
      <c r="D2363" s="10" t="s">
        <v>45</v>
      </c>
      <c r="E2363" s="11" t="str">
        <f ca="1">IFERROR(__xludf.DUMMYFUNCTION("FILTER(Colegios!$B$2:$B2419,Colegios!$A$2:$A2419=L2363)"),"14975")</f>
        <v>14975</v>
      </c>
      <c r="F2363" s="11" t="s">
        <v>17</v>
      </c>
      <c r="G2363" s="11" t="s">
        <v>24</v>
      </c>
      <c r="H2363" s="11" t="s">
        <v>19</v>
      </c>
      <c r="I2363" s="11" t="s">
        <v>20</v>
      </c>
      <c r="J2363" s="12" t="str">
        <f ca="1">IFERROR(__xludf.DUMMYFUNCTION("FILTER('CLASFICACIÓN'!$F$3:$F2419,'CLASFICACIÓN'!$G$3:$G2419=M2363)"),"2023 Y 2024")</f>
        <v>2023 Y 2024</v>
      </c>
      <c r="K2363" s="12" t="s">
        <v>2011</v>
      </c>
      <c r="L2363" s="11" t="s">
        <v>27</v>
      </c>
      <c r="M2363" s="12" t="str">
        <f t="shared" ca="1" si="9"/>
        <v>149752 Primaria</v>
      </c>
      <c r="N2363" s="11"/>
      <c r="O2363" s="11"/>
      <c r="P2363" s="11"/>
      <c r="Q2363" s="11"/>
      <c r="R2363" s="11"/>
      <c r="S2363" s="11"/>
      <c r="T2363" s="11"/>
      <c r="U2363" s="11"/>
      <c r="V2363" s="11"/>
      <c r="W2363" s="11"/>
      <c r="X2363" s="11"/>
      <c r="Y2363" s="11"/>
      <c r="Z2363" s="11"/>
      <c r="AA2363" s="11"/>
      <c r="AB2363" s="11"/>
      <c r="AC2363" s="11"/>
      <c r="AD2363" s="11"/>
      <c r="AE2363" s="11"/>
      <c r="AF2363" s="11"/>
      <c r="AG2363" s="11"/>
      <c r="AH2363" s="11"/>
      <c r="AI2363" s="11"/>
      <c r="AJ2363" s="14"/>
    </row>
    <row r="2364" spans="1:36" ht="12.5" x14ac:dyDescent="0.25">
      <c r="A2364" s="9">
        <v>31</v>
      </c>
      <c r="B2364" s="10" t="s">
        <v>14</v>
      </c>
      <c r="C2364" s="10" t="s">
        <v>15</v>
      </c>
      <c r="D2364" s="10" t="s">
        <v>45</v>
      </c>
      <c r="E2364" s="11" t="str">
        <f ca="1">IFERROR(__xludf.DUMMYFUNCTION("FILTER(Colegios!$B$2:$B2419,Colegios!$A$2:$A2419=L2364)"),"14975")</f>
        <v>14975</v>
      </c>
      <c r="F2364" s="11" t="s">
        <v>17</v>
      </c>
      <c r="G2364" s="11" t="s">
        <v>24</v>
      </c>
      <c r="H2364" s="11" t="s">
        <v>25</v>
      </c>
      <c r="I2364" s="11" t="s">
        <v>20</v>
      </c>
      <c r="J2364" s="12" t="str">
        <f ca="1">IFERROR(__xludf.DUMMYFUNCTION("FILTER('CLASFICACIÓN'!$F$3:$F2419,'CLASFICACIÓN'!$G$3:$G2419=M2364)"),"2023 Y 2024")</f>
        <v>2023 Y 2024</v>
      </c>
      <c r="K2364" s="12" t="s">
        <v>2011</v>
      </c>
      <c r="L2364" s="11" t="s">
        <v>27</v>
      </c>
      <c r="M2364" s="12" t="str">
        <f t="shared" ca="1" si="9"/>
        <v>149752 Primaria</v>
      </c>
      <c r="N2364" s="11"/>
      <c r="O2364" s="11"/>
      <c r="P2364" s="11"/>
      <c r="Q2364" s="11"/>
      <c r="R2364" s="11"/>
      <c r="S2364" s="11"/>
      <c r="T2364" s="11"/>
      <c r="U2364" s="11"/>
      <c r="V2364" s="11"/>
      <c r="W2364" s="11"/>
      <c r="X2364" s="11"/>
      <c r="Y2364" s="11"/>
      <c r="Z2364" s="11"/>
      <c r="AA2364" s="11"/>
      <c r="AB2364" s="11"/>
      <c r="AC2364" s="11"/>
      <c r="AD2364" s="11"/>
      <c r="AE2364" s="11"/>
      <c r="AF2364" s="11"/>
      <c r="AG2364" s="11"/>
      <c r="AH2364" s="11"/>
      <c r="AI2364" s="11"/>
      <c r="AJ2364" s="14"/>
    </row>
    <row r="2365" spans="1:36" ht="12.5" x14ac:dyDescent="0.25">
      <c r="A2365" s="9">
        <v>32</v>
      </c>
      <c r="B2365" s="10" t="s">
        <v>14</v>
      </c>
      <c r="C2365" s="10" t="s">
        <v>15</v>
      </c>
      <c r="D2365" s="10" t="s">
        <v>45</v>
      </c>
      <c r="E2365" s="11" t="str">
        <f ca="1">IFERROR(__xludf.DUMMYFUNCTION("FILTER(Colegios!$B$2:$B2419,Colegios!$A$2:$A2419=L2365)"),"15304")</f>
        <v>15304</v>
      </c>
      <c r="F2365" s="11" t="s">
        <v>17</v>
      </c>
      <c r="G2365" s="11" t="s">
        <v>18</v>
      </c>
      <c r="H2365" s="11" t="s">
        <v>23</v>
      </c>
      <c r="I2365" s="11" t="s">
        <v>20</v>
      </c>
      <c r="J2365" s="12" t="str">
        <f ca="1">IFERROR(__xludf.DUMMYFUNCTION("FILTER('CLASFICACIÓN'!$F$3:$F2419,'CLASFICACIÓN'!$G$3:$G2419=M2365)"),"2023 Y 2024")</f>
        <v>2023 Y 2024</v>
      </c>
      <c r="K2365" s="12" t="s">
        <v>2012</v>
      </c>
      <c r="L2365" s="11" t="s">
        <v>28</v>
      </c>
      <c r="M2365" s="12" t="str">
        <f t="shared" ca="1" si="9"/>
        <v>153042 Primaria</v>
      </c>
      <c r="N2365" s="11"/>
      <c r="O2365" s="11"/>
      <c r="P2365" s="11"/>
      <c r="Q2365" s="11"/>
      <c r="R2365" s="11"/>
      <c r="S2365" s="11"/>
      <c r="T2365" s="11"/>
      <c r="U2365" s="11"/>
      <c r="V2365" s="11"/>
      <c r="W2365" s="11"/>
      <c r="X2365" s="11"/>
      <c r="Y2365" s="11"/>
      <c r="Z2365" s="11"/>
      <c r="AA2365" s="11"/>
      <c r="AB2365" s="11"/>
      <c r="AC2365" s="11"/>
      <c r="AD2365" s="11"/>
      <c r="AE2365" s="11"/>
      <c r="AF2365" s="11"/>
      <c r="AG2365" s="11"/>
      <c r="AH2365" s="11"/>
      <c r="AI2365" s="11"/>
      <c r="AJ2365" s="14"/>
    </row>
    <row r="2366" spans="1:36" ht="12.5" x14ac:dyDescent="0.25">
      <c r="A2366" s="9">
        <v>33</v>
      </c>
      <c r="B2366" s="10" t="s">
        <v>14</v>
      </c>
      <c r="C2366" s="10" t="s">
        <v>15</v>
      </c>
      <c r="D2366" s="10" t="s">
        <v>45</v>
      </c>
      <c r="E2366" s="11" t="str">
        <f ca="1">IFERROR(__xludf.DUMMYFUNCTION("FILTER(Colegios!$B$2:$B2419,Colegios!$A$2:$A2419=L2366)"),"15304")</f>
        <v>15304</v>
      </c>
      <c r="F2366" s="11" t="s">
        <v>17</v>
      </c>
      <c r="G2366" s="11" t="s">
        <v>18</v>
      </c>
      <c r="H2366" s="11" t="s">
        <v>19</v>
      </c>
      <c r="I2366" s="11" t="s">
        <v>20</v>
      </c>
      <c r="J2366" s="12" t="str">
        <f ca="1">IFERROR(__xludf.DUMMYFUNCTION("FILTER('CLASFICACIÓN'!$F$3:$F2419,'CLASFICACIÓN'!$G$3:$G2419=M2366)"),"2023 Y 2024")</f>
        <v>2023 Y 2024</v>
      </c>
      <c r="K2366" s="12" t="s">
        <v>2012</v>
      </c>
      <c r="L2366" s="11" t="s">
        <v>28</v>
      </c>
      <c r="M2366" s="12" t="str">
        <f t="shared" ca="1" si="9"/>
        <v>153042 Primaria</v>
      </c>
      <c r="N2366" s="11"/>
      <c r="O2366" s="11"/>
      <c r="P2366" s="11"/>
      <c r="Q2366" s="11"/>
      <c r="R2366" s="11"/>
      <c r="S2366" s="11"/>
      <c r="T2366" s="11"/>
      <c r="U2366" s="11"/>
      <c r="V2366" s="11"/>
      <c r="W2366" s="11"/>
      <c r="X2366" s="11"/>
      <c r="Y2366" s="11"/>
      <c r="Z2366" s="11"/>
      <c r="AA2366" s="11"/>
      <c r="AB2366" s="11"/>
      <c r="AC2366" s="11"/>
      <c r="AD2366" s="11"/>
      <c r="AE2366" s="11"/>
      <c r="AF2366" s="11"/>
      <c r="AG2366" s="11"/>
      <c r="AH2366" s="11"/>
      <c r="AI2366" s="11"/>
      <c r="AJ2366" s="14"/>
    </row>
    <row r="2367" spans="1:36" ht="12.5" x14ac:dyDescent="0.25">
      <c r="A2367" s="9">
        <v>34</v>
      </c>
      <c r="B2367" s="10" t="s">
        <v>14</v>
      </c>
      <c r="C2367" s="10" t="s">
        <v>15</v>
      </c>
      <c r="D2367" s="10" t="s">
        <v>45</v>
      </c>
      <c r="E2367" s="11" t="str">
        <f ca="1">IFERROR(__xludf.DUMMYFUNCTION("FILTER(Colegios!$B$2:$B2419,Colegios!$A$2:$A2419=L2367)"),"15304")</f>
        <v>15304</v>
      </c>
      <c r="F2367" s="11" t="s">
        <v>17</v>
      </c>
      <c r="G2367" s="11" t="s">
        <v>24</v>
      </c>
      <c r="H2367" s="11" t="s">
        <v>19</v>
      </c>
      <c r="I2367" s="11" t="s">
        <v>20</v>
      </c>
      <c r="J2367" s="12" t="str">
        <f ca="1">IFERROR(__xludf.DUMMYFUNCTION("FILTER('CLASFICACIÓN'!$F$3:$F2419,'CLASFICACIÓN'!$G$3:$G2419=M2367)"),"2023 Y 2024")</f>
        <v>2023 Y 2024</v>
      </c>
      <c r="K2367" s="12" t="s">
        <v>2012</v>
      </c>
      <c r="L2367" s="11" t="s">
        <v>28</v>
      </c>
      <c r="M2367" s="12" t="str">
        <f t="shared" ca="1" si="9"/>
        <v>153042 Primaria</v>
      </c>
      <c r="N2367" s="11"/>
      <c r="O2367" s="11"/>
      <c r="P2367" s="11"/>
      <c r="Q2367" s="11"/>
      <c r="R2367" s="11"/>
      <c r="S2367" s="11"/>
      <c r="T2367" s="11"/>
      <c r="U2367" s="11"/>
      <c r="V2367" s="11"/>
      <c r="W2367" s="11"/>
      <c r="X2367" s="11"/>
      <c r="Y2367" s="11"/>
      <c r="Z2367" s="11"/>
      <c r="AA2367" s="11"/>
      <c r="AB2367" s="11"/>
      <c r="AC2367" s="11"/>
      <c r="AD2367" s="11"/>
      <c r="AE2367" s="11"/>
      <c r="AF2367" s="11"/>
      <c r="AG2367" s="11"/>
      <c r="AH2367" s="11"/>
      <c r="AI2367" s="11"/>
      <c r="AJ2367" s="14"/>
    </row>
    <row r="2368" spans="1:36" ht="12.5" x14ac:dyDescent="0.25">
      <c r="A2368" s="9">
        <v>35</v>
      </c>
      <c r="B2368" s="10" t="s">
        <v>14</v>
      </c>
      <c r="C2368" s="10" t="s">
        <v>15</v>
      </c>
      <c r="D2368" s="10" t="s">
        <v>45</v>
      </c>
      <c r="E2368" s="11" t="str">
        <f ca="1">IFERROR(__xludf.DUMMYFUNCTION("FILTER(Colegios!$B$2:$B2419,Colegios!$A$2:$A2419=L2368)"),"15304")</f>
        <v>15304</v>
      </c>
      <c r="F2368" s="11" t="s">
        <v>17</v>
      </c>
      <c r="G2368" s="11" t="s">
        <v>24</v>
      </c>
      <c r="H2368" s="11" t="s">
        <v>25</v>
      </c>
      <c r="I2368" s="11" t="s">
        <v>20</v>
      </c>
      <c r="J2368" s="12" t="str">
        <f ca="1">IFERROR(__xludf.DUMMYFUNCTION("FILTER('CLASFICACIÓN'!$F$3:$F2419,'CLASFICACIÓN'!$G$3:$G2419=M2368)"),"2023 Y 2024")</f>
        <v>2023 Y 2024</v>
      </c>
      <c r="K2368" s="12" t="s">
        <v>2012</v>
      </c>
      <c r="L2368" s="11" t="s">
        <v>28</v>
      </c>
      <c r="M2368" s="12" t="str">
        <f t="shared" ca="1" si="9"/>
        <v>153042 Primaria</v>
      </c>
      <c r="N2368" s="11"/>
      <c r="O2368" s="11"/>
      <c r="P2368" s="11"/>
      <c r="Q2368" s="11"/>
      <c r="R2368" s="11"/>
      <c r="S2368" s="11"/>
      <c r="T2368" s="11"/>
      <c r="U2368" s="11"/>
      <c r="V2368" s="11"/>
      <c r="W2368" s="11"/>
      <c r="X2368" s="11"/>
      <c r="Y2368" s="11"/>
      <c r="Z2368" s="11"/>
      <c r="AA2368" s="11"/>
      <c r="AB2368" s="11"/>
      <c r="AC2368" s="11"/>
      <c r="AD2368" s="11"/>
      <c r="AE2368" s="11"/>
      <c r="AF2368" s="11"/>
      <c r="AG2368" s="11"/>
      <c r="AH2368" s="11"/>
      <c r="AI2368" s="11"/>
      <c r="AJ2368" s="14"/>
    </row>
    <row r="2369" spans="1:36" ht="12.5" x14ac:dyDescent="0.25">
      <c r="A2369" s="9">
        <v>36</v>
      </c>
      <c r="B2369" s="10" t="s">
        <v>14</v>
      </c>
      <c r="C2369" s="10" t="s">
        <v>15</v>
      </c>
      <c r="D2369" s="10" t="s">
        <v>45</v>
      </c>
      <c r="E2369" s="11" t="str">
        <f ca="1">IFERROR(__xludf.DUMMYFUNCTION("FILTER(Colegios!$B$2:$B2419,Colegios!$A$2:$A2419=L2369)"),"15374")</f>
        <v>15374</v>
      </c>
      <c r="F2369" s="11" t="s">
        <v>17</v>
      </c>
      <c r="G2369" s="11" t="s">
        <v>18</v>
      </c>
      <c r="H2369" s="11" t="s">
        <v>19</v>
      </c>
      <c r="I2369" s="11" t="s">
        <v>20</v>
      </c>
      <c r="J2369" s="12" t="str">
        <f ca="1">IFERROR(__xludf.DUMMYFUNCTION("FILTER('CLASFICACIÓN'!$F$3:$F2419,'CLASFICACIÓN'!$G$3:$G2419=M2369)"),"SOLO 2024")</f>
        <v>SOLO 2024</v>
      </c>
      <c r="K2369" s="12" t="s">
        <v>2012</v>
      </c>
      <c r="L2369" s="11" t="s">
        <v>142</v>
      </c>
      <c r="M2369" s="12" t="str">
        <f t="shared" ca="1" si="9"/>
        <v>153742 Primaria</v>
      </c>
      <c r="N2369" s="11"/>
      <c r="O2369" s="11"/>
      <c r="P2369" s="11"/>
      <c r="Q2369" s="11"/>
      <c r="R2369" s="11"/>
      <c r="S2369" s="11"/>
      <c r="T2369" s="11"/>
      <c r="U2369" s="11"/>
      <c r="V2369" s="11"/>
      <c r="W2369" s="11"/>
      <c r="X2369" s="11"/>
      <c r="Y2369" s="11"/>
      <c r="Z2369" s="11"/>
      <c r="AA2369" s="11"/>
      <c r="AB2369" s="11"/>
      <c r="AC2369" s="11"/>
      <c r="AD2369" s="11"/>
      <c r="AE2369" s="11"/>
      <c r="AF2369" s="11"/>
      <c r="AG2369" s="11"/>
      <c r="AH2369" s="11"/>
      <c r="AI2369" s="11"/>
      <c r="AJ2369" s="14"/>
    </row>
    <row r="2370" spans="1:36" ht="12.5" x14ac:dyDescent="0.25">
      <c r="A2370" s="9">
        <v>37</v>
      </c>
      <c r="B2370" s="10" t="s">
        <v>14</v>
      </c>
      <c r="C2370" s="10" t="s">
        <v>15</v>
      </c>
      <c r="D2370" s="10" t="s">
        <v>45</v>
      </c>
      <c r="E2370" s="11" t="str">
        <f ca="1">IFERROR(__xludf.DUMMYFUNCTION("FILTER(Colegios!$B$2:$B2419,Colegios!$A$2:$A2419=L2370)"),"15374")</f>
        <v>15374</v>
      </c>
      <c r="F2370" s="11" t="s">
        <v>17</v>
      </c>
      <c r="G2370" s="11" t="s">
        <v>18</v>
      </c>
      <c r="H2370" s="11" t="s">
        <v>23</v>
      </c>
      <c r="I2370" s="11" t="s">
        <v>20</v>
      </c>
      <c r="J2370" s="12" t="str">
        <f ca="1">IFERROR(__xludf.DUMMYFUNCTION("FILTER('CLASFICACIÓN'!$F$3:$F2419,'CLASFICACIÓN'!$G$3:$G2419=M2370)"),"SOLO 2024")</f>
        <v>SOLO 2024</v>
      </c>
      <c r="K2370" s="12" t="s">
        <v>2012</v>
      </c>
      <c r="L2370" s="11" t="s">
        <v>142</v>
      </c>
      <c r="M2370" s="12" t="str">
        <f t="shared" ca="1" si="9"/>
        <v>153742 Primaria</v>
      </c>
      <c r="N2370" s="11"/>
      <c r="O2370" s="11"/>
      <c r="P2370" s="11"/>
      <c r="Q2370" s="11"/>
      <c r="R2370" s="11"/>
      <c r="S2370" s="11"/>
      <c r="T2370" s="11"/>
      <c r="U2370" s="11"/>
      <c r="V2370" s="11"/>
      <c r="W2370" s="11"/>
      <c r="X2370" s="11"/>
      <c r="Y2370" s="11"/>
      <c r="Z2370" s="11"/>
      <c r="AA2370" s="11"/>
      <c r="AB2370" s="11"/>
      <c r="AC2370" s="11"/>
      <c r="AD2370" s="11"/>
      <c r="AE2370" s="11"/>
      <c r="AF2370" s="11"/>
      <c r="AG2370" s="11"/>
      <c r="AH2370" s="11"/>
      <c r="AI2370" s="11"/>
      <c r="AJ2370" s="14"/>
    </row>
    <row r="2371" spans="1:36" ht="12.5" x14ac:dyDescent="0.25">
      <c r="A2371" s="9">
        <v>38</v>
      </c>
      <c r="B2371" s="10" t="s">
        <v>14</v>
      </c>
      <c r="C2371" s="10" t="s">
        <v>15</v>
      </c>
      <c r="D2371" s="10" t="s">
        <v>45</v>
      </c>
      <c r="E2371" s="11" t="str">
        <f ca="1">IFERROR(__xludf.DUMMYFUNCTION("FILTER(Colegios!$B$2:$B2419,Colegios!$A$2:$A2419=L2371)"),"15374")</f>
        <v>15374</v>
      </c>
      <c r="F2371" s="11" t="s">
        <v>17</v>
      </c>
      <c r="G2371" s="11" t="s">
        <v>18</v>
      </c>
      <c r="H2371" s="11" t="s">
        <v>25</v>
      </c>
      <c r="I2371" s="11" t="s">
        <v>20</v>
      </c>
      <c r="J2371" s="12" t="str">
        <f ca="1">IFERROR(__xludf.DUMMYFUNCTION("FILTER('CLASFICACIÓN'!$F$3:$F2419,'CLASFICACIÓN'!$G$3:$G2419=M2371)"),"SOLO 2024")</f>
        <v>SOLO 2024</v>
      </c>
      <c r="K2371" s="12" t="s">
        <v>2012</v>
      </c>
      <c r="L2371" s="11" t="s">
        <v>142</v>
      </c>
      <c r="M2371" s="12" t="str">
        <f t="shared" ca="1" si="9"/>
        <v>153742 Primaria</v>
      </c>
      <c r="N2371" s="11"/>
      <c r="O2371" s="11"/>
      <c r="P2371" s="11"/>
      <c r="Q2371" s="11"/>
      <c r="R2371" s="11"/>
      <c r="S2371" s="11"/>
      <c r="T2371" s="11"/>
      <c r="U2371" s="11"/>
      <c r="V2371" s="11"/>
      <c r="W2371" s="11"/>
      <c r="X2371" s="11"/>
      <c r="Y2371" s="11"/>
      <c r="Z2371" s="11"/>
      <c r="AA2371" s="11"/>
      <c r="AB2371" s="11"/>
      <c r="AC2371" s="11"/>
      <c r="AD2371" s="11"/>
      <c r="AE2371" s="11"/>
      <c r="AF2371" s="11"/>
      <c r="AG2371" s="11"/>
      <c r="AH2371" s="11"/>
      <c r="AI2371" s="11"/>
      <c r="AJ2371" s="14"/>
    </row>
    <row r="2372" spans="1:36" ht="12.5" x14ac:dyDescent="0.25">
      <c r="A2372" s="9">
        <v>39</v>
      </c>
      <c r="B2372" s="10" t="s">
        <v>14</v>
      </c>
      <c r="C2372" s="10" t="s">
        <v>15</v>
      </c>
      <c r="D2372" s="10" t="s">
        <v>45</v>
      </c>
      <c r="E2372" s="11" t="str">
        <f ca="1">IFERROR(__xludf.DUMMYFUNCTION("FILTER(Colegios!$B$2:$B2419,Colegios!$A$2:$A2419=L2372)"),"15374")</f>
        <v>15374</v>
      </c>
      <c r="F2372" s="11" t="s">
        <v>17</v>
      </c>
      <c r="G2372" s="11" t="s">
        <v>24</v>
      </c>
      <c r="H2372" s="11" t="s">
        <v>19</v>
      </c>
      <c r="I2372" s="11" t="s">
        <v>20</v>
      </c>
      <c r="J2372" s="12" t="str">
        <f ca="1">IFERROR(__xludf.DUMMYFUNCTION("FILTER('CLASFICACIÓN'!$F$3:$F2419,'CLASFICACIÓN'!$G$3:$G2419=M2372)"),"SOLO 2024")</f>
        <v>SOLO 2024</v>
      </c>
      <c r="K2372" s="12" t="s">
        <v>2012</v>
      </c>
      <c r="L2372" s="11" t="s">
        <v>142</v>
      </c>
      <c r="M2372" s="12" t="str">
        <f t="shared" ca="1" si="9"/>
        <v>153742 Primaria</v>
      </c>
      <c r="N2372" s="11"/>
      <c r="O2372" s="11"/>
      <c r="P2372" s="11"/>
      <c r="Q2372" s="11"/>
      <c r="R2372" s="11"/>
      <c r="S2372" s="11"/>
      <c r="T2372" s="11"/>
      <c r="U2372" s="11"/>
      <c r="V2372" s="11"/>
      <c r="W2372" s="11"/>
      <c r="X2372" s="11"/>
      <c r="Y2372" s="11"/>
      <c r="Z2372" s="11"/>
      <c r="AA2372" s="11"/>
      <c r="AB2372" s="11"/>
      <c r="AC2372" s="11"/>
      <c r="AD2372" s="11"/>
      <c r="AE2372" s="11"/>
      <c r="AF2372" s="11"/>
      <c r="AG2372" s="11"/>
      <c r="AH2372" s="11"/>
      <c r="AI2372" s="11"/>
      <c r="AJ2372" s="14"/>
    </row>
    <row r="2373" spans="1:36" ht="12.5" x14ac:dyDescent="0.25">
      <c r="A2373" s="9">
        <v>40</v>
      </c>
      <c r="B2373" s="10" t="s">
        <v>14</v>
      </c>
      <c r="C2373" s="10" t="s">
        <v>15</v>
      </c>
      <c r="D2373" s="10" t="s">
        <v>45</v>
      </c>
      <c r="E2373" s="11" t="str">
        <f ca="1">IFERROR(__xludf.DUMMYFUNCTION("FILTER(Colegios!$B$2:$B2419,Colegios!$A$2:$A2419=L2373)"),"15374")</f>
        <v>15374</v>
      </c>
      <c r="F2373" s="11" t="s">
        <v>17</v>
      </c>
      <c r="G2373" s="11" t="s">
        <v>24</v>
      </c>
      <c r="H2373" s="11" t="s">
        <v>23</v>
      </c>
      <c r="I2373" s="11" t="s">
        <v>20</v>
      </c>
      <c r="J2373" s="12" t="str">
        <f ca="1">IFERROR(__xludf.DUMMYFUNCTION("FILTER('CLASFICACIÓN'!$F$3:$F2419,'CLASFICACIÓN'!$G$3:$G2419=M2373)"),"SOLO 2024")</f>
        <v>SOLO 2024</v>
      </c>
      <c r="K2373" s="12" t="s">
        <v>2012</v>
      </c>
      <c r="L2373" s="11" t="s">
        <v>142</v>
      </c>
      <c r="M2373" s="12" t="str">
        <f t="shared" ca="1" si="9"/>
        <v>153742 Primaria</v>
      </c>
      <c r="N2373" s="11"/>
      <c r="O2373" s="11"/>
      <c r="P2373" s="11"/>
      <c r="Q2373" s="11"/>
      <c r="R2373" s="11"/>
      <c r="S2373" s="11"/>
      <c r="T2373" s="11"/>
      <c r="U2373" s="11"/>
      <c r="V2373" s="11"/>
      <c r="W2373" s="11"/>
      <c r="X2373" s="11"/>
      <c r="Y2373" s="11"/>
      <c r="Z2373" s="11"/>
      <c r="AA2373" s="11"/>
      <c r="AB2373" s="11"/>
      <c r="AC2373" s="11"/>
      <c r="AD2373" s="11"/>
      <c r="AE2373" s="11"/>
      <c r="AF2373" s="11"/>
      <c r="AG2373" s="11"/>
      <c r="AH2373" s="11"/>
      <c r="AI2373" s="11"/>
      <c r="AJ2373" s="14"/>
    </row>
    <row r="2374" spans="1:36" ht="12.5" x14ac:dyDescent="0.25">
      <c r="A2374" s="9">
        <v>41</v>
      </c>
      <c r="B2374" s="10" t="s">
        <v>14</v>
      </c>
      <c r="C2374" s="10" t="s">
        <v>15</v>
      </c>
      <c r="D2374" s="10" t="s">
        <v>45</v>
      </c>
      <c r="E2374" s="11" t="str">
        <f ca="1">IFERROR(__xludf.DUMMYFUNCTION("FILTER(Colegios!$B$2:$B2419,Colegios!$A$2:$A2419=L2374)"),"15374")</f>
        <v>15374</v>
      </c>
      <c r="F2374" s="11" t="s">
        <v>17</v>
      </c>
      <c r="G2374" s="11" t="s">
        <v>24</v>
      </c>
      <c r="H2374" s="11" t="s">
        <v>19</v>
      </c>
      <c r="I2374" s="11" t="s">
        <v>20</v>
      </c>
      <c r="J2374" s="12" t="str">
        <f ca="1">IFERROR(__xludf.DUMMYFUNCTION("FILTER('CLASFICACIÓN'!$F$3:$F2419,'CLASFICACIÓN'!$G$3:$G2419=M2374)"),"SOLO 2024")</f>
        <v>SOLO 2024</v>
      </c>
      <c r="K2374" s="12" t="s">
        <v>2012</v>
      </c>
      <c r="L2374" s="11" t="s">
        <v>142</v>
      </c>
      <c r="M2374" s="12" t="str">
        <f t="shared" ca="1" si="9"/>
        <v>153742 Primaria</v>
      </c>
      <c r="N2374" s="11"/>
      <c r="O2374" s="11"/>
      <c r="P2374" s="11"/>
      <c r="Q2374" s="11"/>
      <c r="R2374" s="11"/>
      <c r="S2374" s="11"/>
      <c r="T2374" s="11"/>
      <c r="U2374" s="11"/>
      <c r="V2374" s="11"/>
      <c r="W2374" s="11"/>
      <c r="X2374" s="11"/>
      <c r="Y2374" s="11"/>
      <c r="Z2374" s="11"/>
      <c r="AA2374" s="11"/>
      <c r="AB2374" s="11"/>
      <c r="AC2374" s="11"/>
      <c r="AD2374" s="11"/>
      <c r="AE2374" s="11"/>
      <c r="AF2374" s="11"/>
      <c r="AG2374" s="11"/>
      <c r="AH2374" s="11"/>
      <c r="AI2374" s="11"/>
      <c r="AJ2374" s="14"/>
    </row>
    <row r="2375" spans="1:36" ht="12.5" x14ac:dyDescent="0.25">
      <c r="A2375" s="9">
        <v>42</v>
      </c>
      <c r="B2375" s="10" t="s">
        <v>14</v>
      </c>
      <c r="C2375" s="10" t="s">
        <v>15</v>
      </c>
      <c r="D2375" s="10" t="s">
        <v>45</v>
      </c>
      <c r="E2375" s="11" t="str">
        <f ca="1">IFERROR(__xludf.DUMMYFUNCTION("FILTER(Colegios!$B$2:$B2419,Colegios!$A$2:$A2419=L2375)"),"15374")</f>
        <v>15374</v>
      </c>
      <c r="F2375" s="11" t="s">
        <v>17</v>
      </c>
      <c r="G2375" s="11" t="s">
        <v>24</v>
      </c>
      <c r="H2375" s="11" t="s">
        <v>19</v>
      </c>
      <c r="I2375" s="11" t="s">
        <v>20</v>
      </c>
      <c r="J2375" s="12" t="str">
        <f ca="1">IFERROR(__xludf.DUMMYFUNCTION("FILTER('CLASFICACIÓN'!$F$3:$F2419,'CLASFICACIÓN'!$G$3:$G2419=M2375)"),"SOLO 2024")</f>
        <v>SOLO 2024</v>
      </c>
      <c r="K2375" s="12" t="s">
        <v>2012</v>
      </c>
      <c r="L2375" s="11" t="s">
        <v>142</v>
      </c>
      <c r="M2375" s="12" t="str">
        <f t="shared" ca="1" si="9"/>
        <v>153742 Primaria</v>
      </c>
      <c r="N2375" s="11"/>
      <c r="O2375" s="11"/>
      <c r="P2375" s="11"/>
      <c r="Q2375" s="11"/>
      <c r="R2375" s="11"/>
      <c r="S2375" s="11"/>
      <c r="T2375" s="11"/>
      <c r="U2375" s="11"/>
      <c r="V2375" s="11"/>
      <c r="W2375" s="11"/>
      <c r="X2375" s="11"/>
      <c r="Y2375" s="11"/>
      <c r="Z2375" s="11"/>
      <c r="AA2375" s="11"/>
      <c r="AB2375" s="11"/>
      <c r="AC2375" s="11"/>
      <c r="AD2375" s="11"/>
      <c r="AE2375" s="11"/>
      <c r="AF2375" s="11"/>
      <c r="AG2375" s="11"/>
      <c r="AH2375" s="11"/>
      <c r="AI2375" s="11"/>
      <c r="AJ2375" s="14"/>
    </row>
    <row r="2376" spans="1:36" ht="12.5" x14ac:dyDescent="0.25">
      <c r="A2376" s="9">
        <v>43</v>
      </c>
      <c r="B2376" s="10" t="s">
        <v>14</v>
      </c>
      <c r="C2376" s="10" t="s">
        <v>15</v>
      </c>
      <c r="D2376" s="10" t="s">
        <v>45</v>
      </c>
      <c r="E2376" s="11" t="str">
        <f ca="1">IFERROR(__xludf.DUMMYFUNCTION("FILTER(Colegios!$B$2:$B2419,Colegios!$A$2:$A2419=L2376)"),"20123")</f>
        <v>20123</v>
      </c>
      <c r="F2376" s="11" t="s">
        <v>17</v>
      </c>
      <c r="G2376" s="11" t="s">
        <v>24</v>
      </c>
      <c r="H2376" s="11" t="s">
        <v>25</v>
      </c>
      <c r="I2376" s="11" t="s">
        <v>20</v>
      </c>
      <c r="J2376" s="12" t="str">
        <f ca="1">IFERROR(__xludf.DUMMYFUNCTION("FILTER('CLASFICACIÓN'!$F$3:$F2419,'CLASFICACIÓN'!$G$3:$G2419=M2376)"),"2023 Y 2024")</f>
        <v>2023 Y 2024</v>
      </c>
      <c r="K2376" s="12" t="s">
        <v>2012</v>
      </c>
      <c r="L2376" s="11" t="s">
        <v>38</v>
      </c>
      <c r="M2376" s="12" t="str">
        <f t="shared" ca="1" si="9"/>
        <v>201232 Primaria</v>
      </c>
      <c r="N2376" s="11"/>
      <c r="O2376" s="11"/>
      <c r="P2376" s="11"/>
      <c r="Q2376" s="11"/>
      <c r="R2376" s="11"/>
      <c r="S2376" s="11"/>
      <c r="T2376" s="11"/>
      <c r="U2376" s="11"/>
      <c r="V2376" s="11"/>
      <c r="W2376" s="11"/>
      <c r="X2376" s="11"/>
      <c r="Y2376" s="11"/>
      <c r="Z2376" s="11"/>
      <c r="AA2376" s="11"/>
      <c r="AB2376" s="11"/>
      <c r="AC2376" s="11"/>
      <c r="AD2376" s="11"/>
      <c r="AE2376" s="11"/>
      <c r="AF2376" s="11"/>
      <c r="AG2376" s="11"/>
      <c r="AH2376" s="11"/>
      <c r="AI2376" s="11"/>
      <c r="AJ2376" s="14"/>
    </row>
    <row r="2377" spans="1:36" ht="12.5" x14ac:dyDescent="0.25">
      <c r="A2377" s="9">
        <v>44</v>
      </c>
      <c r="B2377" s="10" t="s">
        <v>14</v>
      </c>
      <c r="C2377" s="10" t="s">
        <v>15</v>
      </c>
      <c r="D2377" s="10" t="s">
        <v>45</v>
      </c>
      <c r="E2377" s="11" t="str">
        <f ca="1">IFERROR(__xludf.DUMMYFUNCTION("FILTER(Colegios!$B$2:$B2419,Colegios!$A$2:$A2419=L2377)"),"14144 SANTA ROSA")</f>
        <v>14144 SANTA ROSA</v>
      </c>
      <c r="F2377" s="11" t="s">
        <v>17</v>
      </c>
      <c r="G2377" s="11" t="s">
        <v>24</v>
      </c>
      <c r="H2377" s="11" t="s">
        <v>19</v>
      </c>
      <c r="I2377" s="11" t="s">
        <v>20</v>
      </c>
      <c r="J2377" s="12" t="str">
        <f ca="1">IFERROR(__xludf.DUMMYFUNCTION("FILTER('CLASFICACIÓN'!$F$3:$F2419,'CLASFICACIÓN'!$G$3:$G2419=M2377)"),"2023 Y 2024")</f>
        <v>2023 Y 2024</v>
      </c>
      <c r="K2377" s="12" t="s">
        <v>2012</v>
      </c>
      <c r="L2377" s="11" t="s">
        <v>30</v>
      </c>
      <c r="M2377" s="12" t="str">
        <f t="shared" ca="1" si="9"/>
        <v>14144 SANTA ROSA2 Primaria</v>
      </c>
      <c r="N2377" s="11"/>
      <c r="O2377" s="11"/>
      <c r="P2377" s="11"/>
      <c r="Q2377" s="11"/>
      <c r="R2377" s="11"/>
      <c r="S2377" s="11"/>
      <c r="T2377" s="11"/>
      <c r="U2377" s="11"/>
      <c r="V2377" s="11"/>
      <c r="W2377" s="11"/>
      <c r="X2377" s="11"/>
      <c r="Y2377" s="11"/>
      <c r="Z2377" s="11"/>
      <c r="AA2377" s="11"/>
      <c r="AB2377" s="11"/>
      <c r="AC2377" s="11"/>
      <c r="AD2377" s="11"/>
      <c r="AE2377" s="11"/>
      <c r="AF2377" s="11"/>
      <c r="AG2377" s="11"/>
      <c r="AH2377" s="11"/>
      <c r="AI2377" s="11"/>
      <c r="AJ2377" s="14"/>
    </row>
    <row r="2378" spans="1:36" ht="12.5" x14ac:dyDescent="0.25">
      <c r="A2378" s="9">
        <v>45</v>
      </c>
      <c r="B2378" s="10" t="s">
        <v>14</v>
      </c>
      <c r="C2378" s="10" t="s">
        <v>15</v>
      </c>
      <c r="D2378" s="10" t="s">
        <v>45</v>
      </c>
      <c r="E2378" s="11" t="str">
        <f ca="1">IFERROR(__xludf.DUMMYFUNCTION("FILTER(Colegios!$B$2:$B2419,Colegios!$A$2:$A2419=L2378)"),"14144 SANTA ROSA")</f>
        <v>14144 SANTA ROSA</v>
      </c>
      <c r="F2378" s="11" t="s">
        <v>17</v>
      </c>
      <c r="G2378" s="11" t="s">
        <v>18</v>
      </c>
      <c r="H2378" s="11" t="s">
        <v>23</v>
      </c>
      <c r="I2378" s="11" t="s">
        <v>20</v>
      </c>
      <c r="J2378" s="12" t="str">
        <f ca="1">IFERROR(__xludf.DUMMYFUNCTION("FILTER('CLASFICACIÓN'!$F$3:$F2419,'CLASFICACIÓN'!$G$3:$G2419=M2378)"),"2023 Y 2024")</f>
        <v>2023 Y 2024</v>
      </c>
      <c r="K2378" s="12" t="s">
        <v>2012</v>
      </c>
      <c r="L2378" s="11" t="s">
        <v>30</v>
      </c>
      <c r="M2378" s="12" t="str">
        <f t="shared" ca="1" si="9"/>
        <v>14144 SANTA ROSA2 Primaria</v>
      </c>
      <c r="N2378" s="11"/>
      <c r="O2378" s="11"/>
      <c r="P2378" s="11"/>
      <c r="Q2378" s="11"/>
      <c r="R2378" s="11"/>
      <c r="S2378" s="11"/>
      <c r="T2378" s="11"/>
      <c r="U2378" s="11"/>
      <c r="V2378" s="11"/>
      <c r="W2378" s="11"/>
      <c r="X2378" s="11"/>
      <c r="Y2378" s="11"/>
      <c r="Z2378" s="11"/>
      <c r="AA2378" s="11"/>
      <c r="AB2378" s="11"/>
      <c r="AC2378" s="11"/>
      <c r="AD2378" s="11"/>
      <c r="AE2378" s="11"/>
      <c r="AF2378" s="11"/>
      <c r="AG2378" s="11"/>
      <c r="AH2378" s="11"/>
      <c r="AI2378" s="11"/>
      <c r="AJ2378" s="14"/>
    </row>
    <row r="2379" spans="1:36" ht="12.5" x14ac:dyDescent="0.25">
      <c r="A2379" s="9">
        <v>46</v>
      </c>
      <c r="B2379" s="10" t="s">
        <v>14</v>
      </c>
      <c r="C2379" s="10" t="s">
        <v>15</v>
      </c>
      <c r="D2379" s="10" t="s">
        <v>45</v>
      </c>
      <c r="E2379" s="11" t="str">
        <f ca="1">IFERROR(__xludf.DUMMYFUNCTION("FILTER(Colegios!$B$2:$B2419,Colegios!$A$2:$A2419=L2379)"),"14144 SANTA ROSA")</f>
        <v>14144 SANTA ROSA</v>
      </c>
      <c r="F2379" s="11" t="s">
        <v>17</v>
      </c>
      <c r="G2379" s="11" t="s">
        <v>18</v>
      </c>
      <c r="H2379" s="11" t="s">
        <v>23</v>
      </c>
      <c r="I2379" s="11" t="s">
        <v>20</v>
      </c>
      <c r="J2379" s="12" t="str">
        <f ca="1">IFERROR(__xludf.DUMMYFUNCTION("FILTER('CLASFICACIÓN'!$F$3:$F2419,'CLASFICACIÓN'!$G$3:$G2419=M2379)"),"2023 Y 2024")</f>
        <v>2023 Y 2024</v>
      </c>
      <c r="K2379" s="12" t="s">
        <v>2012</v>
      </c>
      <c r="L2379" s="11" t="s">
        <v>30</v>
      </c>
      <c r="M2379" s="12" t="str">
        <f t="shared" ca="1" si="9"/>
        <v>14144 SANTA ROSA2 Primaria</v>
      </c>
      <c r="N2379" s="11"/>
      <c r="O2379" s="11"/>
      <c r="P2379" s="11"/>
      <c r="Q2379" s="11"/>
      <c r="R2379" s="11"/>
      <c r="S2379" s="11"/>
      <c r="T2379" s="11"/>
      <c r="U2379" s="11"/>
      <c r="V2379" s="11"/>
      <c r="W2379" s="11"/>
      <c r="X2379" s="11"/>
      <c r="Y2379" s="11"/>
      <c r="Z2379" s="11"/>
      <c r="AA2379" s="11"/>
      <c r="AB2379" s="11"/>
      <c r="AC2379" s="11"/>
      <c r="AD2379" s="11"/>
      <c r="AE2379" s="11"/>
      <c r="AF2379" s="11"/>
      <c r="AG2379" s="11"/>
      <c r="AH2379" s="11"/>
      <c r="AI2379" s="11"/>
      <c r="AJ2379" s="14"/>
    </row>
    <row r="2380" spans="1:36" ht="12.5" x14ac:dyDescent="0.25">
      <c r="A2380" s="9">
        <v>47</v>
      </c>
      <c r="B2380" s="10" t="s">
        <v>14</v>
      </c>
      <c r="C2380" s="10" t="s">
        <v>15</v>
      </c>
      <c r="D2380" s="10" t="s">
        <v>45</v>
      </c>
      <c r="E2380" s="11" t="str">
        <f ca="1">IFERROR(__xludf.DUMMYFUNCTION("FILTER(Colegios!$B$2:$B2419,Colegios!$A$2:$A2419=L2380)"),"14144 SANTA ROSA")</f>
        <v>14144 SANTA ROSA</v>
      </c>
      <c r="F2380" s="11" t="s">
        <v>17</v>
      </c>
      <c r="G2380" s="11" t="s">
        <v>24</v>
      </c>
      <c r="H2380" s="11" t="s">
        <v>25</v>
      </c>
      <c r="I2380" s="11" t="s">
        <v>20</v>
      </c>
      <c r="J2380" s="12" t="str">
        <f ca="1">IFERROR(__xludf.DUMMYFUNCTION("FILTER('CLASFICACIÓN'!$F$3:$F2419,'CLASFICACIÓN'!$G$3:$G2419=M2380)"),"2023 Y 2024")</f>
        <v>2023 Y 2024</v>
      </c>
      <c r="K2380" s="12" t="s">
        <v>2012</v>
      </c>
      <c r="L2380" s="11" t="s">
        <v>30</v>
      </c>
      <c r="M2380" s="12" t="str">
        <f t="shared" ca="1" si="9"/>
        <v>14144 SANTA ROSA2 Primaria</v>
      </c>
      <c r="N2380" s="11"/>
      <c r="O2380" s="11"/>
      <c r="P2380" s="11"/>
      <c r="Q2380" s="11"/>
      <c r="R2380" s="11"/>
      <c r="S2380" s="11"/>
      <c r="T2380" s="11"/>
      <c r="U2380" s="11"/>
      <c r="V2380" s="11"/>
      <c r="W2380" s="11"/>
      <c r="X2380" s="11"/>
      <c r="Y2380" s="11"/>
      <c r="Z2380" s="11"/>
      <c r="AA2380" s="11"/>
      <c r="AB2380" s="11"/>
      <c r="AC2380" s="11"/>
      <c r="AD2380" s="11"/>
      <c r="AE2380" s="11"/>
      <c r="AF2380" s="11"/>
      <c r="AG2380" s="11"/>
      <c r="AH2380" s="11"/>
      <c r="AI2380" s="11"/>
      <c r="AJ2380" s="14"/>
    </row>
    <row r="2381" spans="1:36" ht="12.5" x14ac:dyDescent="0.25">
      <c r="A2381" s="9">
        <v>48</v>
      </c>
      <c r="B2381" s="10" t="s">
        <v>14</v>
      </c>
      <c r="C2381" s="10" t="s">
        <v>15</v>
      </c>
      <c r="D2381" s="10" t="s">
        <v>45</v>
      </c>
      <c r="E2381" s="11" t="str">
        <f ca="1">IFERROR(__xludf.DUMMYFUNCTION("FILTER(Colegios!$B$2:$B2419,Colegios!$A$2:$A2419=L2381)"),"14144 SANTA ROSA")</f>
        <v>14144 SANTA ROSA</v>
      </c>
      <c r="F2381" s="11" t="s">
        <v>17</v>
      </c>
      <c r="G2381" s="11" t="s">
        <v>18</v>
      </c>
      <c r="H2381" s="11" t="s">
        <v>19</v>
      </c>
      <c r="I2381" s="11" t="s">
        <v>20</v>
      </c>
      <c r="J2381" s="12" t="str">
        <f ca="1">IFERROR(__xludf.DUMMYFUNCTION("FILTER('CLASFICACIÓN'!$F$3:$F2419,'CLASFICACIÓN'!$G$3:$G2419=M2381)"),"2023 Y 2024")</f>
        <v>2023 Y 2024</v>
      </c>
      <c r="K2381" s="12" t="s">
        <v>2012</v>
      </c>
      <c r="L2381" s="11" t="s">
        <v>30</v>
      </c>
      <c r="M2381" s="12" t="str">
        <f t="shared" ca="1" si="9"/>
        <v>14144 SANTA ROSA2 Primaria</v>
      </c>
      <c r="N2381" s="11"/>
      <c r="O2381" s="11"/>
      <c r="P2381" s="11"/>
      <c r="Q2381" s="11"/>
      <c r="R2381" s="11"/>
      <c r="S2381" s="11"/>
      <c r="T2381" s="11"/>
      <c r="U2381" s="11"/>
      <c r="V2381" s="11"/>
      <c r="W2381" s="11"/>
      <c r="X2381" s="11"/>
      <c r="Y2381" s="11"/>
      <c r="Z2381" s="11"/>
      <c r="AA2381" s="11"/>
      <c r="AB2381" s="11"/>
      <c r="AC2381" s="11"/>
      <c r="AD2381" s="11"/>
      <c r="AE2381" s="11"/>
      <c r="AF2381" s="11"/>
      <c r="AG2381" s="11"/>
      <c r="AH2381" s="11"/>
      <c r="AI2381" s="11"/>
      <c r="AJ2381" s="14"/>
    </row>
    <row r="2382" spans="1:36" ht="12.5" x14ac:dyDescent="0.25">
      <c r="A2382" s="9">
        <v>49</v>
      </c>
      <c r="B2382" s="10" t="s">
        <v>14</v>
      </c>
      <c r="C2382" s="10" t="s">
        <v>15</v>
      </c>
      <c r="D2382" s="10" t="s">
        <v>45</v>
      </c>
      <c r="E2382" s="11" t="str">
        <f ca="1">IFERROR(__xludf.DUMMYFUNCTION("FILTER(Colegios!$B$2:$B2419,Colegios!$A$2:$A2419=L2382)"),"14144 SANTA ROSA")</f>
        <v>14144 SANTA ROSA</v>
      </c>
      <c r="F2382" s="11" t="s">
        <v>17</v>
      </c>
      <c r="G2382" s="11" t="s">
        <v>24</v>
      </c>
      <c r="H2382" s="11" t="s">
        <v>23</v>
      </c>
      <c r="I2382" s="11" t="s">
        <v>20</v>
      </c>
      <c r="J2382" s="12" t="str">
        <f ca="1">IFERROR(__xludf.DUMMYFUNCTION("FILTER('CLASFICACIÓN'!$F$3:$F2419,'CLASFICACIÓN'!$G$3:$G2419=M2382)"),"2023 Y 2024")</f>
        <v>2023 Y 2024</v>
      </c>
      <c r="K2382" s="12" t="s">
        <v>2012</v>
      </c>
      <c r="L2382" s="11" t="s">
        <v>30</v>
      </c>
      <c r="M2382" s="12" t="str">
        <f t="shared" ca="1" si="9"/>
        <v>14144 SANTA ROSA2 Primaria</v>
      </c>
      <c r="N2382" s="11"/>
      <c r="O2382" s="11"/>
      <c r="P2382" s="11"/>
      <c r="Q2382" s="11"/>
      <c r="R2382" s="11"/>
      <c r="S2382" s="11"/>
      <c r="T2382" s="11"/>
      <c r="U2382" s="11"/>
      <c r="V2382" s="11"/>
      <c r="W2382" s="11"/>
      <c r="X2382" s="11"/>
      <c r="Y2382" s="11"/>
      <c r="Z2382" s="11"/>
      <c r="AA2382" s="11"/>
      <c r="AB2382" s="11"/>
      <c r="AC2382" s="11"/>
      <c r="AD2382" s="11"/>
      <c r="AE2382" s="11"/>
      <c r="AF2382" s="11"/>
      <c r="AG2382" s="11"/>
      <c r="AH2382" s="11"/>
      <c r="AI2382" s="11"/>
      <c r="AJ2382" s="14"/>
    </row>
    <row r="2383" spans="1:36" ht="12.5" x14ac:dyDescent="0.25">
      <c r="A2383" s="9">
        <v>50</v>
      </c>
      <c r="B2383" s="10" t="s">
        <v>14</v>
      </c>
      <c r="C2383" s="10" t="s">
        <v>15</v>
      </c>
      <c r="D2383" s="10" t="s">
        <v>45</v>
      </c>
      <c r="E2383" s="11" t="str">
        <f ca="1">IFERROR(__xludf.DUMMYFUNCTION("FILTER(Colegios!$B$2:$B2419,Colegios!$A$2:$A2419=L2383)"),"14144 SANTA ROSA")</f>
        <v>14144 SANTA ROSA</v>
      </c>
      <c r="F2383" s="11" t="s">
        <v>17</v>
      </c>
      <c r="G2383" s="11" t="s">
        <v>24</v>
      </c>
      <c r="H2383" s="11" t="s">
        <v>19</v>
      </c>
      <c r="I2383" s="11" t="s">
        <v>20</v>
      </c>
      <c r="J2383" s="12" t="str">
        <f ca="1">IFERROR(__xludf.DUMMYFUNCTION("FILTER('CLASFICACIÓN'!$F$3:$F2419,'CLASFICACIÓN'!$G$3:$G2419=M2383)"),"2023 Y 2024")</f>
        <v>2023 Y 2024</v>
      </c>
      <c r="K2383" s="12" t="s">
        <v>2012</v>
      </c>
      <c r="L2383" s="11" t="s">
        <v>30</v>
      </c>
      <c r="M2383" s="12" t="str">
        <f t="shared" ca="1" si="9"/>
        <v>14144 SANTA ROSA2 Primaria</v>
      </c>
      <c r="N2383" s="11"/>
      <c r="O2383" s="11"/>
      <c r="P2383" s="11"/>
      <c r="Q2383" s="11"/>
      <c r="R2383" s="11"/>
      <c r="S2383" s="11"/>
      <c r="T2383" s="11"/>
      <c r="U2383" s="11"/>
      <c r="V2383" s="11"/>
      <c r="W2383" s="11"/>
      <c r="X2383" s="11"/>
      <c r="Y2383" s="11"/>
      <c r="Z2383" s="11"/>
      <c r="AA2383" s="11"/>
      <c r="AB2383" s="11"/>
      <c r="AC2383" s="11"/>
      <c r="AD2383" s="11"/>
      <c r="AE2383" s="11"/>
      <c r="AF2383" s="11"/>
      <c r="AG2383" s="11"/>
      <c r="AH2383" s="11"/>
      <c r="AI2383" s="11"/>
      <c r="AJ2383" s="14"/>
    </row>
    <row r="2384" spans="1:36" ht="12.5" x14ac:dyDescent="0.25">
      <c r="A2384" s="9">
        <v>51</v>
      </c>
      <c r="B2384" s="10" t="s">
        <v>14</v>
      </c>
      <c r="C2384" s="10" t="s">
        <v>15</v>
      </c>
      <c r="D2384" s="10" t="s">
        <v>45</v>
      </c>
      <c r="E2384" s="11" t="str">
        <f ca="1">IFERROR(__xludf.DUMMYFUNCTION("FILTER(Colegios!$B$2:$B2419,Colegios!$A$2:$A2419=L2384)"),"14144 SANTA ROSA")</f>
        <v>14144 SANTA ROSA</v>
      </c>
      <c r="F2384" s="11" t="s">
        <v>17</v>
      </c>
      <c r="G2384" s="11" t="s">
        <v>24</v>
      </c>
      <c r="H2384" s="11" t="s">
        <v>25</v>
      </c>
      <c r="I2384" s="11" t="s">
        <v>20</v>
      </c>
      <c r="J2384" s="12" t="str">
        <f ca="1">IFERROR(__xludf.DUMMYFUNCTION("FILTER('CLASFICACIÓN'!$F$3:$F2419,'CLASFICACIÓN'!$G$3:$G2419=M2384)"),"2023 Y 2024")</f>
        <v>2023 Y 2024</v>
      </c>
      <c r="K2384" s="12" t="s">
        <v>2012</v>
      </c>
      <c r="L2384" s="11" t="s">
        <v>30</v>
      </c>
      <c r="M2384" s="12" t="str">
        <f t="shared" ca="1" si="9"/>
        <v>14144 SANTA ROSA2 Primaria</v>
      </c>
      <c r="N2384" s="11"/>
      <c r="O2384" s="11"/>
      <c r="P2384" s="11"/>
      <c r="Q2384" s="11"/>
      <c r="R2384" s="11"/>
      <c r="S2384" s="11"/>
      <c r="T2384" s="11"/>
      <c r="U2384" s="11"/>
      <c r="V2384" s="11"/>
      <c r="W2384" s="11"/>
      <c r="X2384" s="11"/>
      <c r="Y2384" s="11"/>
      <c r="Z2384" s="11"/>
      <c r="AA2384" s="11"/>
      <c r="AB2384" s="11"/>
      <c r="AC2384" s="11"/>
      <c r="AD2384" s="11"/>
      <c r="AE2384" s="11"/>
      <c r="AF2384" s="11"/>
      <c r="AG2384" s="11"/>
      <c r="AH2384" s="11"/>
      <c r="AI2384" s="11"/>
      <c r="AJ2384" s="14"/>
    </row>
    <row r="2385" spans="1:36" ht="12.5" x14ac:dyDescent="0.25">
      <c r="A2385" s="9">
        <v>52</v>
      </c>
      <c r="B2385" s="10" t="s">
        <v>14</v>
      </c>
      <c r="C2385" s="10" t="s">
        <v>15</v>
      </c>
      <c r="D2385" s="10" t="s">
        <v>45</v>
      </c>
      <c r="E2385" s="11" t="str">
        <f ca="1">IFERROR(__xludf.DUMMYFUNCTION("FILTER(Colegios!$B$2:$B2419,Colegios!$A$2:$A2419=L2385)"),"14144 SANTA ROSA")</f>
        <v>14144 SANTA ROSA</v>
      </c>
      <c r="F2385" s="11" t="s">
        <v>17</v>
      </c>
      <c r="G2385" s="11" t="s">
        <v>24</v>
      </c>
      <c r="H2385" s="11" t="s">
        <v>23</v>
      </c>
      <c r="I2385" s="11" t="s">
        <v>20</v>
      </c>
      <c r="J2385" s="12" t="str">
        <f ca="1">IFERROR(__xludf.DUMMYFUNCTION("FILTER('CLASFICACIÓN'!$F$3:$F2419,'CLASFICACIÓN'!$G$3:$G2419=M2385)"),"2023 Y 2024")</f>
        <v>2023 Y 2024</v>
      </c>
      <c r="K2385" s="12" t="s">
        <v>2012</v>
      </c>
      <c r="L2385" s="11" t="s">
        <v>30</v>
      </c>
      <c r="M2385" s="12" t="str">
        <f t="shared" ca="1" si="9"/>
        <v>14144 SANTA ROSA2 Primaria</v>
      </c>
      <c r="N2385" s="11"/>
      <c r="O2385" s="11"/>
      <c r="P2385" s="11"/>
      <c r="Q2385" s="11"/>
      <c r="R2385" s="11"/>
      <c r="S2385" s="11"/>
      <c r="T2385" s="11"/>
      <c r="U2385" s="11"/>
      <c r="V2385" s="11"/>
      <c r="W2385" s="11"/>
      <c r="X2385" s="11"/>
      <c r="Y2385" s="11"/>
      <c r="Z2385" s="11"/>
      <c r="AA2385" s="11"/>
      <c r="AB2385" s="11"/>
      <c r="AC2385" s="11"/>
      <c r="AD2385" s="11"/>
      <c r="AE2385" s="11"/>
      <c r="AF2385" s="11"/>
      <c r="AG2385" s="11"/>
      <c r="AH2385" s="11"/>
      <c r="AI2385" s="11"/>
      <c r="AJ2385" s="14"/>
    </row>
    <row r="2386" spans="1:36" ht="12.5" x14ac:dyDescent="0.25">
      <c r="A2386" s="9">
        <v>53</v>
      </c>
      <c r="B2386" s="10" t="s">
        <v>14</v>
      </c>
      <c r="C2386" s="10" t="s">
        <v>15</v>
      </c>
      <c r="D2386" s="10" t="s">
        <v>45</v>
      </c>
      <c r="E2386" s="11" t="str">
        <f ca="1">IFERROR(__xludf.DUMMYFUNCTION("FILTER(Colegios!$B$2:$B2419,Colegios!$A$2:$A2419=L2386)"),"14144 SANTA ROSA")</f>
        <v>14144 SANTA ROSA</v>
      </c>
      <c r="F2386" s="11" t="s">
        <v>17</v>
      </c>
      <c r="G2386" s="11" t="s">
        <v>18</v>
      </c>
      <c r="H2386" s="11" t="s">
        <v>23</v>
      </c>
      <c r="I2386" s="11" t="s">
        <v>20</v>
      </c>
      <c r="J2386" s="12" t="str">
        <f ca="1">IFERROR(__xludf.DUMMYFUNCTION("FILTER('CLASFICACIÓN'!$F$3:$F2419,'CLASFICACIÓN'!$G$3:$G2419=M2386)"),"2023 Y 2024")</f>
        <v>2023 Y 2024</v>
      </c>
      <c r="K2386" s="12" t="s">
        <v>2012</v>
      </c>
      <c r="L2386" s="11" t="s">
        <v>30</v>
      </c>
      <c r="M2386" s="12" t="str">
        <f t="shared" ca="1" si="9"/>
        <v>14144 SANTA ROSA2 Primaria</v>
      </c>
      <c r="N2386" s="11"/>
      <c r="O2386" s="11"/>
      <c r="P2386" s="11"/>
      <c r="Q2386" s="11"/>
      <c r="R2386" s="11"/>
      <c r="S2386" s="11"/>
      <c r="T2386" s="11"/>
      <c r="U2386" s="11"/>
      <c r="V2386" s="11"/>
      <c r="W2386" s="11"/>
      <c r="X2386" s="11"/>
      <c r="Y2386" s="11"/>
      <c r="Z2386" s="11"/>
      <c r="AA2386" s="11"/>
      <c r="AB2386" s="11"/>
      <c r="AC2386" s="11"/>
      <c r="AD2386" s="11"/>
      <c r="AE2386" s="11"/>
      <c r="AF2386" s="11"/>
      <c r="AG2386" s="11"/>
      <c r="AH2386" s="11"/>
      <c r="AI2386" s="11"/>
      <c r="AJ2386" s="14"/>
    </row>
    <row r="2387" spans="1:36" ht="12.5" x14ac:dyDescent="0.25">
      <c r="A2387" s="9">
        <v>54</v>
      </c>
      <c r="B2387" s="10" t="s">
        <v>14</v>
      </c>
      <c r="C2387" s="10" t="s">
        <v>15</v>
      </c>
      <c r="D2387" s="10" t="s">
        <v>45</v>
      </c>
      <c r="E2387" s="11" t="str">
        <f ca="1">IFERROR(__xludf.DUMMYFUNCTION("FILTER(Colegios!$B$2:$B2419,Colegios!$A$2:$A2419=L2387)"),"14144 SANTA ROSA")</f>
        <v>14144 SANTA ROSA</v>
      </c>
      <c r="F2387" s="11" t="s">
        <v>17</v>
      </c>
      <c r="G2387" s="11" t="s">
        <v>18</v>
      </c>
      <c r="H2387" s="11" t="s">
        <v>23</v>
      </c>
      <c r="I2387" s="11" t="s">
        <v>20</v>
      </c>
      <c r="J2387" s="12" t="str">
        <f ca="1">IFERROR(__xludf.DUMMYFUNCTION("FILTER('CLASFICACIÓN'!$F$3:$F2419,'CLASFICACIÓN'!$G$3:$G2419=M2387)"),"2023 Y 2024")</f>
        <v>2023 Y 2024</v>
      </c>
      <c r="K2387" s="12" t="s">
        <v>2012</v>
      </c>
      <c r="L2387" s="11" t="s">
        <v>30</v>
      </c>
      <c r="M2387" s="12" t="str">
        <f t="shared" ca="1" si="9"/>
        <v>14144 SANTA ROSA2 Primaria</v>
      </c>
      <c r="N2387" s="11"/>
      <c r="O2387" s="11"/>
      <c r="P2387" s="11"/>
      <c r="Q2387" s="11"/>
      <c r="R2387" s="11"/>
      <c r="S2387" s="11"/>
      <c r="T2387" s="11"/>
      <c r="U2387" s="11"/>
      <c r="V2387" s="11"/>
      <c r="W2387" s="11"/>
      <c r="X2387" s="11"/>
      <c r="Y2387" s="11"/>
      <c r="Z2387" s="11"/>
      <c r="AA2387" s="11"/>
      <c r="AB2387" s="11"/>
      <c r="AC2387" s="11"/>
      <c r="AD2387" s="11"/>
      <c r="AE2387" s="11"/>
      <c r="AF2387" s="11"/>
      <c r="AG2387" s="11"/>
      <c r="AH2387" s="11"/>
      <c r="AI2387" s="11"/>
      <c r="AJ2387" s="14"/>
    </row>
    <row r="2388" spans="1:36" ht="12.5" x14ac:dyDescent="0.25">
      <c r="A2388" s="9">
        <v>55</v>
      </c>
      <c r="B2388" s="10" t="s">
        <v>14</v>
      </c>
      <c r="C2388" s="10" t="s">
        <v>15</v>
      </c>
      <c r="D2388" s="10" t="s">
        <v>45</v>
      </c>
      <c r="E2388" s="11" t="str">
        <f ca="1">IFERROR(__xludf.DUMMYFUNCTION("FILTER(Colegios!$B$2:$B2419,Colegios!$A$2:$A2419=L2388)"),"14144 SANTA ROSA")</f>
        <v>14144 SANTA ROSA</v>
      </c>
      <c r="F2388" s="11" t="s">
        <v>17</v>
      </c>
      <c r="G2388" s="11" t="s">
        <v>24</v>
      </c>
      <c r="H2388" s="11" t="s">
        <v>19</v>
      </c>
      <c r="I2388" s="11" t="s">
        <v>20</v>
      </c>
      <c r="J2388" s="12" t="str">
        <f ca="1">IFERROR(__xludf.DUMMYFUNCTION("FILTER('CLASFICACIÓN'!$F$3:$F2419,'CLASFICACIÓN'!$G$3:$G2419=M2388)"),"2023 Y 2024")</f>
        <v>2023 Y 2024</v>
      </c>
      <c r="K2388" s="12" t="s">
        <v>2012</v>
      </c>
      <c r="L2388" s="11" t="s">
        <v>30</v>
      </c>
      <c r="M2388" s="12" t="str">
        <f t="shared" ca="1" si="9"/>
        <v>14144 SANTA ROSA2 Primaria</v>
      </c>
      <c r="N2388" s="11"/>
      <c r="O2388" s="11"/>
      <c r="P2388" s="11"/>
      <c r="Q2388" s="11"/>
      <c r="R2388" s="11"/>
      <c r="S2388" s="11"/>
      <c r="T2388" s="11"/>
      <c r="U2388" s="11"/>
      <c r="V2388" s="11"/>
      <c r="W2388" s="11"/>
      <c r="X2388" s="11"/>
      <c r="Y2388" s="11"/>
      <c r="Z2388" s="11"/>
      <c r="AA2388" s="11"/>
      <c r="AB2388" s="11"/>
      <c r="AC2388" s="11"/>
      <c r="AD2388" s="11"/>
      <c r="AE2388" s="11"/>
      <c r="AF2388" s="11"/>
      <c r="AG2388" s="11"/>
      <c r="AH2388" s="11"/>
      <c r="AI2388" s="11"/>
      <c r="AJ2388" s="14"/>
    </row>
    <row r="2389" spans="1:36" ht="12.5" x14ac:dyDescent="0.25">
      <c r="A2389" s="9">
        <v>56</v>
      </c>
      <c r="B2389" s="10" t="s">
        <v>14</v>
      </c>
      <c r="C2389" s="10" t="s">
        <v>15</v>
      </c>
      <c r="D2389" s="10" t="s">
        <v>45</v>
      </c>
      <c r="E2389" s="11" t="str">
        <f ca="1">IFERROR(__xludf.DUMMYFUNCTION("FILTER(Colegios!$B$2:$B2419,Colegios!$A$2:$A2419=L2389)"),"14144 SANTA ROSA")</f>
        <v>14144 SANTA ROSA</v>
      </c>
      <c r="F2389" s="11" t="s">
        <v>17</v>
      </c>
      <c r="G2389" s="11" t="s">
        <v>24</v>
      </c>
      <c r="H2389" s="11" t="s">
        <v>23</v>
      </c>
      <c r="I2389" s="11" t="s">
        <v>20</v>
      </c>
      <c r="J2389" s="12" t="str">
        <f ca="1">IFERROR(__xludf.DUMMYFUNCTION("FILTER('CLASFICACIÓN'!$F$3:$F2419,'CLASFICACIÓN'!$G$3:$G2419=M2389)"),"2023 Y 2024")</f>
        <v>2023 Y 2024</v>
      </c>
      <c r="K2389" s="12" t="s">
        <v>2012</v>
      </c>
      <c r="L2389" s="11" t="s">
        <v>30</v>
      </c>
      <c r="M2389" s="12" t="str">
        <f t="shared" ca="1" si="9"/>
        <v>14144 SANTA ROSA2 Primaria</v>
      </c>
      <c r="N2389" s="11"/>
      <c r="O2389" s="11"/>
      <c r="P2389" s="11"/>
      <c r="Q2389" s="11"/>
      <c r="R2389" s="11"/>
      <c r="S2389" s="11"/>
      <c r="T2389" s="11"/>
      <c r="U2389" s="11"/>
      <c r="V2389" s="11"/>
      <c r="W2389" s="11"/>
      <c r="X2389" s="11"/>
      <c r="Y2389" s="11"/>
      <c r="Z2389" s="11"/>
      <c r="AA2389" s="11"/>
      <c r="AB2389" s="11"/>
      <c r="AC2389" s="11"/>
      <c r="AD2389" s="11"/>
      <c r="AE2389" s="11"/>
      <c r="AF2389" s="11"/>
      <c r="AG2389" s="11"/>
      <c r="AH2389" s="11"/>
      <c r="AI2389" s="11"/>
      <c r="AJ2389" s="14"/>
    </row>
    <row r="2390" spans="1:36" ht="12.5" x14ac:dyDescent="0.25">
      <c r="A2390" s="9">
        <v>57</v>
      </c>
      <c r="B2390" s="10" t="s">
        <v>14</v>
      </c>
      <c r="C2390" s="10" t="s">
        <v>15</v>
      </c>
      <c r="D2390" s="10" t="s">
        <v>45</v>
      </c>
      <c r="E2390" s="11" t="str">
        <f ca="1">IFERROR(__xludf.DUMMYFUNCTION("FILTER(Colegios!$B$2:$B2419,Colegios!$A$2:$A2419=L2390)"),"14144 SANTA ROSA")</f>
        <v>14144 SANTA ROSA</v>
      </c>
      <c r="F2390" s="11" t="s">
        <v>17</v>
      </c>
      <c r="G2390" s="11" t="s">
        <v>18</v>
      </c>
      <c r="H2390" s="11" t="s">
        <v>19</v>
      </c>
      <c r="I2390" s="11" t="s">
        <v>20</v>
      </c>
      <c r="J2390" s="12" t="str">
        <f ca="1">IFERROR(__xludf.DUMMYFUNCTION("FILTER('CLASFICACIÓN'!$F$3:$F2419,'CLASFICACIÓN'!$G$3:$G2419=M2390)"),"2023 Y 2024")</f>
        <v>2023 Y 2024</v>
      </c>
      <c r="K2390" s="12" t="s">
        <v>2012</v>
      </c>
      <c r="L2390" s="11" t="s">
        <v>30</v>
      </c>
      <c r="M2390" s="12" t="str">
        <f t="shared" ca="1" si="9"/>
        <v>14144 SANTA ROSA2 Primaria</v>
      </c>
      <c r="N2390" s="11"/>
      <c r="O2390" s="11"/>
      <c r="P2390" s="11"/>
      <c r="Q2390" s="11"/>
      <c r="R2390" s="11"/>
      <c r="S2390" s="11"/>
      <c r="T2390" s="11"/>
      <c r="U2390" s="11"/>
      <c r="V2390" s="11"/>
      <c r="W2390" s="11"/>
      <c r="X2390" s="11"/>
      <c r="Y2390" s="11"/>
      <c r="Z2390" s="11"/>
      <c r="AA2390" s="11"/>
      <c r="AB2390" s="11"/>
      <c r="AC2390" s="11"/>
      <c r="AD2390" s="11"/>
      <c r="AE2390" s="11"/>
      <c r="AF2390" s="11"/>
      <c r="AG2390" s="11"/>
      <c r="AH2390" s="11"/>
      <c r="AI2390" s="11"/>
      <c r="AJ2390" s="14"/>
    </row>
    <row r="2391" spans="1:36" ht="12.5" x14ac:dyDescent="0.25">
      <c r="A2391" s="9">
        <v>58</v>
      </c>
      <c r="B2391" s="10" t="s">
        <v>14</v>
      </c>
      <c r="C2391" s="10" t="s">
        <v>15</v>
      </c>
      <c r="D2391" s="10" t="s">
        <v>45</v>
      </c>
      <c r="E2391" s="11" t="str">
        <f ca="1">IFERROR(__xludf.DUMMYFUNCTION("FILTER(Colegios!$B$2:$B2419,Colegios!$A$2:$A2419=L2391)"),"14144 SANTA ROSA")</f>
        <v>14144 SANTA ROSA</v>
      </c>
      <c r="F2391" s="11" t="s">
        <v>17</v>
      </c>
      <c r="G2391" s="11" t="s">
        <v>18</v>
      </c>
      <c r="H2391" s="11" t="s">
        <v>25</v>
      </c>
      <c r="I2391" s="11" t="s">
        <v>20</v>
      </c>
      <c r="J2391" s="12" t="str">
        <f ca="1">IFERROR(__xludf.DUMMYFUNCTION("FILTER('CLASFICACIÓN'!$F$3:$F2419,'CLASFICACIÓN'!$G$3:$G2419=M2391)"),"2023 Y 2024")</f>
        <v>2023 Y 2024</v>
      </c>
      <c r="K2391" s="12" t="s">
        <v>2012</v>
      </c>
      <c r="L2391" s="11" t="s">
        <v>30</v>
      </c>
      <c r="M2391" s="12" t="str">
        <f t="shared" ca="1" si="9"/>
        <v>14144 SANTA ROSA2 Primaria</v>
      </c>
      <c r="N2391" s="11"/>
      <c r="O2391" s="11"/>
      <c r="P2391" s="11"/>
      <c r="Q2391" s="11"/>
      <c r="R2391" s="11"/>
      <c r="S2391" s="11"/>
      <c r="T2391" s="11"/>
      <c r="U2391" s="11"/>
      <c r="V2391" s="11"/>
      <c r="W2391" s="11"/>
      <c r="X2391" s="11"/>
      <c r="Y2391" s="11"/>
      <c r="Z2391" s="11"/>
      <c r="AA2391" s="11"/>
      <c r="AB2391" s="11"/>
      <c r="AC2391" s="11"/>
      <c r="AD2391" s="11"/>
      <c r="AE2391" s="11"/>
      <c r="AF2391" s="11"/>
      <c r="AG2391" s="11"/>
      <c r="AH2391" s="11"/>
      <c r="AI2391" s="11"/>
      <c r="AJ2391" s="14"/>
    </row>
    <row r="2392" spans="1:36" ht="12.5" x14ac:dyDescent="0.25">
      <c r="A2392" s="9">
        <v>59</v>
      </c>
      <c r="B2392" s="10" t="s">
        <v>14</v>
      </c>
      <c r="C2392" s="10" t="s">
        <v>15</v>
      </c>
      <c r="D2392" s="10" t="s">
        <v>45</v>
      </c>
      <c r="E2392" s="11" t="str">
        <f ca="1">IFERROR(__xludf.DUMMYFUNCTION("FILTER(Colegios!$B$2:$B2419,Colegios!$A$2:$A2419=L2392)"),"14144 SANTA ROSA")</f>
        <v>14144 SANTA ROSA</v>
      </c>
      <c r="F2392" s="11" t="s">
        <v>17</v>
      </c>
      <c r="G2392" s="11" t="s">
        <v>18</v>
      </c>
      <c r="H2392" s="11" t="s">
        <v>19</v>
      </c>
      <c r="I2392" s="11" t="s">
        <v>20</v>
      </c>
      <c r="J2392" s="12" t="str">
        <f ca="1">IFERROR(__xludf.DUMMYFUNCTION("FILTER('CLASFICACIÓN'!$F$3:$F2419,'CLASFICACIÓN'!$G$3:$G2419=M2392)"),"2023 Y 2024")</f>
        <v>2023 Y 2024</v>
      </c>
      <c r="K2392" s="12" t="s">
        <v>2012</v>
      </c>
      <c r="L2392" s="11" t="s">
        <v>30</v>
      </c>
      <c r="M2392" s="12" t="str">
        <f t="shared" ca="1" si="9"/>
        <v>14144 SANTA ROSA2 Primaria</v>
      </c>
      <c r="N2392" s="11"/>
      <c r="O2392" s="11"/>
      <c r="P2392" s="11"/>
      <c r="Q2392" s="11"/>
      <c r="R2392" s="11"/>
      <c r="S2392" s="11"/>
      <c r="T2392" s="11"/>
      <c r="U2392" s="11"/>
      <c r="V2392" s="11"/>
      <c r="W2392" s="11"/>
      <c r="X2392" s="11"/>
      <c r="Y2392" s="11"/>
      <c r="Z2392" s="11"/>
      <c r="AA2392" s="11"/>
      <c r="AB2392" s="11"/>
      <c r="AC2392" s="11"/>
      <c r="AD2392" s="11"/>
      <c r="AE2392" s="11"/>
      <c r="AF2392" s="11"/>
      <c r="AG2392" s="11"/>
      <c r="AH2392" s="11"/>
      <c r="AI2392" s="11"/>
      <c r="AJ2392" s="14"/>
    </row>
    <row r="2393" spans="1:36" ht="12.5" x14ac:dyDescent="0.25">
      <c r="A2393" s="9">
        <v>60</v>
      </c>
      <c r="B2393" s="10" t="s">
        <v>14</v>
      </c>
      <c r="C2393" s="10" t="s">
        <v>15</v>
      </c>
      <c r="D2393" s="10" t="s">
        <v>45</v>
      </c>
      <c r="E2393" s="11" t="str">
        <f ca="1">IFERROR(__xludf.DUMMYFUNCTION("FILTER(Colegios!$B$2:$B2419,Colegios!$A$2:$A2419=L2393)"),"14144 SANTA ROSA")</f>
        <v>14144 SANTA ROSA</v>
      </c>
      <c r="F2393" s="11" t="s">
        <v>17</v>
      </c>
      <c r="G2393" s="11" t="s">
        <v>18</v>
      </c>
      <c r="H2393" s="11" t="s">
        <v>19</v>
      </c>
      <c r="I2393" s="11" t="s">
        <v>20</v>
      </c>
      <c r="J2393" s="12" t="str">
        <f ca="1">IFERROR(__xludf.DUMMYFUNCTION("FILTER('CLASFICACIÓN'!$F$3:$F2419,'CLASFICACIÓN'!$G$3:$G2419=M2393)"),"2023 Y 2024")</f>
        <v>2023 Y 2024</v>
      </c>
      <c r="K2393" s="12" t="s">
        <v>2012</v>
      </c>
      <c r="L2393" s="11" t="s">
        <v>30</v>
      </c>
      <c r="M2393" s="12" t="str">
        <f t="shared" ca="1" si="9"/>
        <v>14144 SANTA ROSA2 Primaria</v>
      </c>
      <c r="N2393" s="11"/>
      <c r="O2393" s="11"/>
      <c r="P2393" s="11"/>
      <c r="Q2393" s="11"/>
      <c r="R2393" s="11"/>
      <c r="S2393" s="11"/>
      <c r="T2393" s="11"/>
      <c r="U2393" s="11"/>
      <c r="V2393" s="11"/>
      <c r="W2393" s="11"/>
      <c r="X2393" s="11"/>
      <c r="Y2393" s="11"/>
      <c r="Z2393" s="11"/>
      <c r="AA2393" s="11"/>
      <c r="AB2393" s="11"/>
      <c r="AC2393" s="11"/>
      <c r="AD2393" s="11"/>
      <c r="AE2393" s="11"/>
      <c r="AF2393" s="11"/>
      <c r="AG2393" s="11"/>
      <c r="AH2393" s="11"/>
      <c r="AI2393" s="11"/>
      <c r="AJ2393" s="14"/>
    </row>
    <row r="2394" spans="1:36" ht="12.5" x14ac:dyDescent="0.25">
      <c r="A2394" s="9">
        <v>61</v>
      </c>
      <c r="B2394" s="10" t="s">
        <v>14</v>
      </c>
      <c r="C2394" s="10" t="s">
        <v>15</v>
      </c>
      <c r="D2394" s="10" t="s">
        <v>45</v>
      </c>
      <c r="E2394" s="11" t="str">
        <f ca="1">IFERROR(__xludf.DUMMYFUNCTION("FILTER(Colegios!$B$2:$B2419,Colegios!$A$2:$A2419=L2394)"),"14144 SANTA ROSA")</f>
        <v>14144 SANTA ROSA</v>
      </c>
      <c r="F2394" s="11" t="s">
        <v>17</v>
      </c>
      <c r="G2394" s="11" t="s">
        <v>18</v>
      </c>
      <c r="H2394" s="11" t="s">
        <v>25</v>
      </c>
      <c r="I2394" s="11" t="s">
        <v>20</v>
      </c>
      <c r="J2394" s="12" t="str">
        <f ca="1">IFERROR(__xludf.DUMMYFUNCTION("FILTER('CLASFICACIÓN'!$F$3:$F2419,'CLASFICACIÓN'!$G$3:$G2419=M2394)"),"2023 Y 2024")</f>
        <v>2023 Y 2024</v>
      </c>
      <c r="K2394" s="12" t="s">
        <v>2012</v>
      </c>
      <c r="L2394" s="11" t="s">
        <v>30</v>
      </c>
      <c r="M2394" s="12" t="str">
        <f t="shared" ca="1" si="9"/>
        <v>14144 SANTA ROSA2 Primaria</v>
      </c>
      <c r="N2394" s="11"/>
      <c r="O2394" s="11"/>
      <c r="P2394" s="11"/>
      <c r="Q2394" s="11"/>
      <c r="R2394" s="11"/>
      <c r="S2394" s="11"/>
      <c r="T2394" s="11"/>
      <c r="U2394" s="11"/>
      <c r="V2394" s="11"/>
      <c r="W2394" s="11"/>
      <c r="X2394" s="11"/>
      <c r="Y2394" s="11"/>
      <c r="Z2394" s="11"/>
      <c r="AA2394" s="11"/>
      <c r="AB2394" s="11"/>
      <c r="AC2394" s="11"/>
      <c r="AD2394" s="11"/>
      <c r="AE2394" s="11"/>
      <c r="AF2394" s="11"/>
      <c r="AG2394" s="11"/>
      <c r="AH2394" s="11"/>
      <c r="AI2394" s="11"/>
      <c r="AJ2394" s="14"/>
    </row>
    <row r="2395" spans="1:36" ht="12.5" x14ac:dyDescent="0.25">
      <c r="A2395" s="9">
        <v>62</v>
      </c>
      <c r="B2395" s="10" t="s">
        <v>14</v>
      </c>
      <c r="C2395" s="10" t="s">
        <v>15</v>
      </c>
      <c r="D2395" s="10" t="s">
        <v>45</v>
      </c>
      <c r="E2395" s="11" t="str">
        <f ca="1">IFERROR(__xludf.DUMMYFUNCTION("FILTER(Colegios!$B$2:$B2419,Colegios!$A$2:$A2419=L2395)"),"14144 SANTA ROSA")</f>
        <v>14144 SANTA ROSA</v>
      </c>
      <c r="F2395" s="11" t="s">
        <v>17</v>
      </c>
      <c r="G2395" s="11" t="s">
        <v>18</v>
      </c>
      <c r="H2395" s="11" t="s">
        <v>25</v>
      </c>
      <c r="I2395" s="11" t="s">
        <v>20</v>
      </c>
      <c r="J2395" s="12" t="str">
        <f ca="1">IFERROR(__xludf.DUMMYFUNCTION("FILTER('CLASFICACIÓN'!$F$3:$F2419,'CLASFICACIÓN'!$G$3:$G2419=M2395)"),"2023 Y 2024")</f>
        <v>2023 Y 2024</v>
      </c>
      <c r="K2395" s="12" t="s">
        <v>2012</v>
      </c>
      <c r="L2395" s="11" t="s">
        <v>30</v>
      </c>
      <c r="M2395" s="12" t="str">
        <f t="shared" ca="1" si="9"/>
        <v>14144 SANTA ROSA2 Primaria</v>
      </c>
      <c r="N2395" s="11"/>
      <c r="O2395" s="11"/>
      <c r="P2395" s="11"/>
      <c r="Q2395" s="11"/>
      <c r="R2395" s="11"/>
      <c r="S2395" s="11"/>
      <c r="T2395" s="11"/>
      <c r="U2395" s="11"/>
      <c r="V2395" s="11"/>
      <c r="W2395" s="11"/>
      <c r="X2395" s="11"/>
      <c r="Y2395" s="11"/>
      <c r="Z2395" s="11"/>
      <c r="AA2395" s="11"/>
      <c r="AB2395" s="11"/>
      <c r="AC2395" s="11"/>
      <c r="AD2395" s="11"/>
      <c r="AE2395" s="11"/>
      <c r="AF2395" s="11"/>
      <c r="AG2395" s="11"/>
      <c r="AH2395" s="11"/>
      <c r="AI2395" s="11"/>
      <c r="AJ2395" s="14"/>
    </row>
    <row r="2396" spans="1:36" ht="12.5" x14ac:dyDescent="0.25">
      <c r="A2396" s="9">
        <v>63</v>
      </c>
      <c r="B2396" s="10" t="s">
        <v>14</v>
      </c>
      <c r="C2396" s="10" t="s">
        <v>15</v>
      </c>
      <c r="D2396" s="10" t="s">
        <v>45</v>
      </c>
      <c r="E2396" s="11" t="str">
        <f ca="1">IFERROR(__xludf.DUMMYFUNCTION("FILTER(Colegios!$B$2:$B2419,Colegios!$A$2:$A2419=L2396)"),"14144 SANTA ROSA")</f>
        <v>14144 SANTA ROSA</v>
      </c>
      <c r="F2396" s="11" t="s">
        <v>17</v>
      </c>
      <c r="G2396" s="11" t="s">
        <v>24</v>
      </c>
      <c r="H2396" s="11" t="s">
        <v>25</v>
      </c>
      <c r="I2396" s="11" t="s">
        <v>20</v>
      </c>
      <c r="J2396" s="12" t="str">
        <f ca="1">IFERROR(__xludf.DUMMYFUNCTION("FILTER('CLASFICACIÓN'!$F$3:$F2419,'CLASFICACIÓN'!$G$3:$G2419=M2396)"),"2023 Y 2024")</f>
        <v>2023 Y 2024</v>
      </c>
      <c r="K2396" s="12" t="s">
        <v>2012</v>
      </c>
      <c r="L2396" s="11" t="s">
        <v>30</v>
      </c>
      <c r="M2396" s="12" t="str">
        <f t="shared" ca="1" si="9"/>
        <v>14144 SANTA ROSA2 Primaria</v>
      </c>
      <c r="N2396" s="11"/>
      <c r="O2396" s="11"/>
      <c r="P2396" s="11"/>
      <c r="Q2396" s="11"/>
      <c r="R2396" s="11"/>
      <c r="S2396" s="11"/>
      <c r="T2396" s="11"/>
      <c r="U2396" s="11"/>
      <c r="V2396" s="11"/>
      <c r="W2396" s="11"/>
      <c r="X2396" s="11"/>
      <c r="Y2396" s="11"/>
      <c r="Z2396" s="11"/>
      <c r="AA2396" s="11"/>
      <c r="AB2396" s="11"/>
      <c r="AC2396" s="11"/>
      <c r="AD2396" s="11"/>
      <c r="AE2396" s="11"/>
      <c r="AF2396" s="11"/>
      <c r="AG2396" s="11"/>
      <c r="AH2396" s="11"/>
      <c r="AI2396" s="11"/>
      <c r="AJ2396" s="14"/>
    </row>
    <row r="2397" spans="1:36" ht="12.5" x14ac:dyDescent="0.25">
      <c r="A2397" s="9">
        <v>64</v>
      </c>
      <c r="B2397" s="10" t="s">
        <v>14</v>
      </c>
      <c r="C2397" s="10" t="s">
        <v>15</v>
      </c>
      <c r="D2397" s="10" t="s">
        <v>45</v>
      </c>
      <c r="E2397" s="11" t="str">
        <f ca="1">IFERROR(__xludf.DUMMYFUNCTION("FILTER(Colegios!$B$2:$B2419,Colegios!$A$2:$A2419=L2397)"),"14144 SANTA ROSA")</f>
        <v>14144 SANTA ROSA</v>
      </c>
      <c r="F2397" s="11" t="s">
        <v>17</v>
      </c>
      <c r="G2397" s="11" t="s">
        <v>24</v>
      </c>
      <c r="H2397" s="11" t="s">
        <v>25</v>
      </c>
      <c r="I2397" s="11" t="s">
        <v>20</v>
      </c>
      <c r="J2397" s="12" t="str">
        <f ca="1">IFERROR(__xludf.DUMMYFUNCTION("FILTER('CLASFICACIÓN'!$F$3:$F2419,'CLASFICACIÓN'!$G$3:$G2419=M2397)"),"2023 Y 2024")</f>
        <v>2023 Y 2024</v>
      </c>
      <c r="K2397" s="12" t="s">
        <v>2012</v>
      </c>
      <c r="L2397" s="11" t="s">
        <v>30</v>
      </c>
      <c r="M2397" s="12" t="str">
        <f t="shared" ca="1" si="9"/>
        <v>14144 SANTA ROSA2 Primaria</v>
      </c>
      <c r="N2397" s="11"/>
      <c r="O2397" s="11"/>
      <c r="P2397" s="11"/>
      <c r="Q2397" s="11"/>
      <c r="R2397" s="11"/>
      <c r="S2397" s="11"/>
      <c r="T2397" s="11"/>
      <c r="U2397" s="11"/>
      <c r="V2397" s="11"/>
      <c r="W2397" s="11"/>
      <c r="X2397" s="11"/>
      <c r="Y2397" s="11"/>
      <c r="Z2397" s="11"/>
      <c r="AA2397" s="11"/>
      <c r="AB2397" s="11"/>
      <c r="AC2397" s="11"/>
      <c r="AD2397" s="11"/>
      <c r="AE2397" s="11"/>
      <c r="AF2397" s="11"/>
      <c r="AG2397" s="11"/>
      <c r="AH2397" s="11"/>
      <c r="AI2397" s="11"/>
      <c r="AJ2397" s="14"/>
    </row>
    <row r="2398" spans="1:36" ht="12.5" x14ac:dyDescent="0.25">
      <c r="A2398" s="9">
        <v>65</v>
      </c>
      <c r="B2398" s="10" t="s">
        <v>14</v>
      </c>
      <c r="C2398" s="10" t="s">
        <v>15</v>
      </c>
      <c r="D2398" s="10" t="s">
        <v>45</v>
      </c>
      <c r="E2398" s="11" t="str">
        <f ca="1">IFERROR(__xludf.DUMMYFUNCTION("FILTER(Colegios!$B$2:$B2419,Colegios!$A$2:$A2419=L2398)"),"14144 SANTA ROSA")</f>
        <v>14144 SANTA ROSA</v>
      </c>
      <c r="F2398" s="11" t="s">
        <v>17</v>
      </c>
      <c r="G2398" s="11" t="s">
        <v>24</v>
      </c>
      <c r="H2398" s="11" t="s">
        <v>25</v>
      </c>
      <c r="I2398" s="11" t="s">
        <v>20</v>
      </c>
      <c r="J2398" s="12" t="str">
        <f ca="1">IFERROR(__xludf.DUMMYFUNCTION("FILTER('CLASFICACIÓN'!$F$3:$F2419,'CLASFICACIÓN'!$G$3:$G2419=M2398)"),"2023 Y 2024")</f>
        <v>2023 Y 2024</v>
      </c>
      <c r="K2398" s="12" t="s">
        <v>2012</v>
      </c>
      <c r="L2398" s="11" t="s">
        <v>30</v>
      </c>
      <c r="M2398" s="12" t="str">
        <f t="shared" ca="1" si="9"/>
        <v>14144 SANTA ROSA2 Primaria</v>
      </c>
      <c r="N2398" s="11"/>
      <c r="O2398" s="11"/>
      <c r="P2398" s="11"/>
      <c r="Q2398" s="11"/>
      <c r="R2398" s="11"/>
      <c r="S2398" s="11"/>
      <c r="T2398" s="11"/>
      <c r="U2398" s="11"/>
      <c r="V2398" s="11"/>
      <c r="W2398" s="11"/>
      <c r="X2398" s="11"/>
      <c r="Y2398" s="11"/>
      <c r="Z2398" s="11"/>
      <c r="AA2398" s="11"/>
      <c r="AB2398" s="11"/>
      <c r="AC2398" s="11"/>
      <c r="AD2398" s="11"/>
      <c r="AE2398" s="11"/>
      <c r="AF2398" s="11"/>
      <c r="AG2398" s="11"/>
      <c r="AH2398" s="11"/>
      <c r="AI2398" s="11"/>
      <c r="AJ2398" s="14"/>
    </row>
    <row r="2399" spans="1:36" ht="12.5" x14ac:dyDescent="0.25">
      <c r="A2399" s="9">
        <v>66</v>
      </c>
      <c r="B2399" s="10" t="s">
        <v>14</v>
      </c>
      <c r="C2399" s="10" t="s">
        <v>15</v>
      </c>
      <c r="D2399" s="10" t="s">
        <v>45</v>
      </c>
      <c r="E2399" s="11" t="str">
        <f ca="1">IFERROR(__xludf.DUMMYFUNCTION("FILTER(Colegios!$B$2:$B2419,Colegios!$A$2:$A2419=L2399)"),"14144 SANTA ROSA")</f>
        <v>14144 SANTA ROSA</v>
      </c>
      <c r="F2399" s="11" t="s">
        <v>17</v>
      </c>
      <c r="G2399" s="11" t="s">
        <v>24</v>
      </c>
      <c r="H2399" s="11" t="s">
        <v>25</v>
      </c>
      <c r="I2399" s="11" t="s">
        <v>20</v>
      </c>
      <c r="J2399" s="12" t="str">
        <f ca="1">IFERROR(__xludf.DUMMYFUNCTION("FILTER('CLASFICACIÓN'!$F$3:$F2419,'CLASFICACIÓN'!$G$3:$G2419=M2399)"),"2023 Y 2024")</f>
        <v>2023 Y 2024</v>
      </c>
      <c r="K2399" s="12" t="s">
        <v>2012</v>
      </c>
      <c r="L2399" s="11" t="s">
        <v>30</v>
      </c>
      <c r="M2399" s="12" t="str">
        <f t="shared" ca="1" si="9"/>
        <v>14144 SANTA ROSA2 Primaria</v>
      </c>
      <c r="N2399" s="11"/>
      <c r="O2399" s="11"/>
      <c r="P2399" s="11"/>
      <c r="Q2399" s="11"/>
      <c r="R2399" s="11"/>
      <c r="S2399" s="11"/>
      <c r="T2399" s="11"/>
      <c r="U2399" s="11"/>
      <c r="V2399" s="11"/>
      <c r="W2399" s="11"/>
      <c r="X2399" s="11"/>
      <c r="Y2399" s="11"/>
      <c r="Z2399" s="11"/>
      <c r="AA2399" s="11"/>
      <c r="AB2399" s="11"/>
      <c r="AC2399" s="11"/>
      <c r="AD2399" s="11"/>
      <c r="AE2399" s="11"/>
      <c r="AF2399" s="11"/>
      <c r="AG2399" s="11"/>
      <c r="AH2399" s="11"/>
      <c r="AI2399" s="11"/>
      <c r="AJ2399" s="14"/>
    </row>
    <row r="2400" spans="1:36" ht="12.5" x14ac:dyDescent="0.25">
      <c r="A2400" s="9">
        <v>67</v>
      </c>
      <c r="B2400" s="10" t="s">
        <v>14</v>
      </c>
      <c r="C2400" s="10" t="s">
        <v>15</v>
      </c>
      <c r="D2400" s="10" t="s">
        <v>45</v>
      </c>
      <c r="E2400" s="11" t="str">
        <f ca="1">IFERROR(__xludf.DUMMYFUNCTION("FILTER(Colegios!$B$2:$B2419,Colegios!$A$2:$A2419=L2400)"),"14144 SANTA ROSA")</f>
        <v>14144 SANTA ROSA</v>
      </c>
      <c r="F2400" s="11" t="s">
        <v>17</v>
      </c>
      <c r="G2400" s="11" t="s">
        <v>24</v>
      </c>
      <c r="H2400" s="11" t="s">
        <v>19</v>
      </c>
      <c r="I2400" s="11" t="s">
        <v>20</v>
      </c>
      <c r="J2400" s="12" t="str">
        <f ca="1">IFERROR(__xludf.DUMMYFUNCTION("FILTER('CLASFICACIÓN'!$F$3:$F2419,'CLASFICACIÓN'!$G$3:$G2419=M2400)"),"2023 Y 2024")</f>
        <v>2023 Y 2024</v>
      </c>
      <c r="K2400" s="12" t="s">
        <v>2012</v>
      </c>
      <c r="L2400" s="11" t="s">
        <v>30</v>
      </c>
      <c r="M2400" s="12" t="str">
        <f t="shared" ca="1" si="9"/>
        <v>14144 SANTA ROSA2 Primaria</v>
      </c>
      <c r="N2400" s="11"/>
      <c r="O2400" s="11"/>
      <c r="P2400" s="11"/>
      <c r="Q2400" s="11"/>
      <c r="R2400" s="11"/>
      <c r="S2400" s="11"/>
      <c r="T2400" s="11"/>
      <c r="U2400" s="11"/>
      <c r="V2400" s="11"/>
      <c r="W2400" s="11"/>
      <c r="X2400" s="11"/>
      <c r="Y2400" s="11"/>
      <c r="Z2400" s="11"/>
      <c r="AA2400" s="11"/>
      <c r="AB2400" s="11"/>
      <c r="AC2400" s="11"/>
      <c r="AD2400" s="11"/>
      <c r="AE2400" s="11"/>
      <c r="AF2400" s="11"/>
      <c r="AG2400" s="11"/>
      <c r="AH2400" s="11"/>
      <c r="AI2400" s="11"/>
      <c r="AJ2400" s="14"/>
    </row>
    <row r="2401" spans="1:36" ht="12.5" x14ac:dyDescent="0.25">
      <c r="A2401" s="9">
        <v>68</v>
      </c>
      <c r="B2401" s="10" t="s">
        <v>14</v>
      </c>
      <c r="C2401" s="10" t="s">
        <v>15</v>
      </c>
      <c r="D2401" s="10" t="s">
        <v>45</v>
      </c>
      <c r="E2401" s="11" t="str">
        <f ca="1">IFERROR(__xludf.DUMMYFUNCTION("FILTER(Colegios!$B$2:$B2419,Colegios!$A$2:$A2419=L2401)"),"14144 SANTA ROSA")</f>
        <v>14144 SANTA ROSA</v>
      </c>
      <c r="F2401" s="11" t="s">
        <v>17</v>
      </c>
      <c r="G2401" s="11" t="s">
        <v>24</v>
      </c>
      <c r="H2401" s="11" t="s">
        <v>25</v>
      </c>
      <c r="I2401" s="11" t="s">
        <v>20</v>
      </c>
      <c r="J2401" s="12" t="str">
        <f ca="1">IFERROR(__xludf.DUMMYFUNCTION("FILTER('CLASFICACIÓN'!$F$3:$F2419,'CLASFICACIÓN'!$G$3:$G2419=M2401)"),"2023 Y 2024")</f>
        <v>2023 Y 2024</v>
      </c>
      <c r="K2401" s="12" t="s">
        <v>2012</v>
      </c>
      <c r="L2401" s="11" t="s">
        <v>30</v>
      </c>
      <c r="M2401" s="12" t="str">
        <f t="shared" ca="1" si="9"/>
        <v>14144 SANTA ROSA2 Primaria</v>
      </c>
      <c r="N2401" s="11"/>
      <c r="O2401" s="11"/>
      <c r="P2401" s="11"/>
      <c r="Q2401" s="11"/>
      <c r="R2401" s="11"/>
      <c r="S2401" s="11"/>
      <c r="T2401" s="11"/>
      <c r="U2401" s="11"/>
      <c r="V2401" s="11"/>
      <c r="W2401" s="11"/>
      <c r="X2401" s="11"/>
      <c r="Y2401" s="11"/>
      <c r="Z2401" s="11"/>
      <c r="AA2401" s="11"/>
      <c r="AB2401" s="11"/>
      <c r="AC2401" s="11"/>
      <c r="AD2401" s="11"/>
      <c r="AE2401" s="11"/>
      <c r="AF2401" s="11"/>
      <c r="AG2401" s="11"/>
      <c r="AH2401" s="11"/>
      <c r="AI2401" s="11"/>
      <c r="AJ2401" s="14"/>
    </row>
    <row r="2402" spans="1:36" ht="12.5" x14ac:dyDescent="0.25">
      <c r="A2402" s="9">
        <v>69</v>
      </c>
      <c r="B2402" s="10" t="s">
        <v>14</v>
      </c>
      <c r="C2402" s="10" t="s">
        <v>15</v>
      </c>
      <c r="D2402" s="10" t="s">
        <v>45</v>
      </c>
      <c r="E2402" s="11" t="str">
        <f ca="1">IFERROR(__xludf.DUMMYFUNCTION("FILTER(Colegios!$B$2:$B2419,Colegios!$A$2:$A2419=L2402)"),"14894")</f>
        <v>14894</v>
      </c>
      <c r="F2402" s="11" t="s">
        <v>17</v>
      </c>
      <c r="G2402" s="11" t="s">
        <v>24</v>
      </c>
      <c r="H2402" s="11" t="s">
        <v>19</v>
      </c>
      <c r="I2402" s="11" t="s">
        <v>20</v>
      </c>
      <c r="J2402" s="12" t="str">
        <f ca="1">IFERROR(__xludf.DUMMYFUNCTION("FILTER('CLASFICACIÓN'!$F$3:$F2419,'CLASFICACIÓN'!$G$3:$G2419=M2402)"),"SOLO 2024")</f>
        <v>SOLO 2024</v>
      </c>
      <c r="K2402" s="12" t="s">
        <v>2014</v>
      </c>
      <c r="L2402" s="11" t="s">
        <v>31</v>
      </c>
      <c r="M2402" s="12" t="str">
        <f t="shared" ca="1" si="9"/>
        <v>148942 Primaria</v>
      </c>
      <c r="N2402" s="11"/>
      <c r="O2402" s="11"/>
      <c r="P2402" s="11"/>
      <c r="Q2402" s="11"/>
      <c r="R2402" s="11"/>
      <c r="S2402" s="11"/>
      <c r="T2402" s="11"/>
      <c r="U2402" s="11"/>
      <c r="V2402" s="11"/>
      <c r="W2402" s="11"/>
      <c r="X2402" s="11"/>
      <c r="Y2402" s="11"/>
      <c r="Z2402" s="11"/>
      <c r="AA2402" s="11"/>
      <c r="AB2402" s="11"/>
      <c r="AC2402" s="11"/>
      <c r="AD2402" s="11"/>
      <c r="AE2402" s="11"/>
      <c r="AF2402" s="11"/>
      <c r="AG2402" s="11"/>
      <c r="AH2402" s="11"/>
      <c r="AI2402" s="11"/>
      <c r="AJ2402" s="14"/>
    </row>
    <row r="2403" spans="1:36" ht="12.5" x14ac:dyDescent="0.25">
      <c r="A2403" s="9">
        <v>70</v>
      </c>
      <c r="B2403" s="10" t="s">
        <v>14</v>
      </c>
      <c r="C2403" s="10" t="s">
        <v>15</v>
      </c>
      <c r="D2403" s="10" t="s">
        <v>45</v>
      </c>
      <c r="E2403" s="11" t="str">
        <f ca="1">IFERROR(__xludf.DUMMYFUNCTION("FILTER(Colegios!$B$2:$B2419,Colegios!$A$2:$A2419=L2403)"),"15219")</f>
        <v>15219</v>
      </c>
      <c r="F2403" s="11" t="s">
        <v>17</v>
      </c>
      <c r="G2403" s="11" t="s">
        <v>24</v>
      </c>
      <c r="H2403" s="11" t="s">
        <v>19</v>
      </c>
      <c r="I2403" s="11" t="s">
        <v>20</v>
      </c>
      <c r="J2403" s="12" t="str">
        <f ca="1">IFERROR(__xludf.DUMMYFUNCTION("FILTER('CLASFICACIÓN'!$F$3:$F2419,'CLASFICACIÓN'!$G$3:$G2419=M2403)"),"2023 Y 2024")</f>
        <v>2023 Y 2024</v>
      </c>
      <c r="K2403" s="12" t="s">
        <v>2012</v>
      </c>
      <c r="L2403" s="11" t="s">
        <v>39</v>
      </c>
      <c r="M2403" s="12" t="str">
        <f t="shared" ca="1" si="9"/>
        <v>152192 Primaria</v>
      </c>
      <c r="N2403" s="11"/>
      <c r="O2403" s="11"/>
      <c r="P2403" s="11"/>
      <c r="Q2403" s="11"/>
      <c r="R2403" s="11"/>
      <c r="S2403" s="11"/>
      <c r="T2403" s="11"/>
      <c r="U2403" s="11"/>
      <c r="V2403" s="11"/>
      <c r="W2403" s="11"/>
      <c r="X2403" s="11"/>
      <c r="Y2403" s="11"/>
      <c r="Z2403" s="11"/>
      <c r="AA2403" s="11"/>
      <c r="AB2403" s="11"/>
      <c r="AC2403" s="11"/>
      <c r="AD2403" s="11"/>
      <c r="AE2403" s="11"/>
      <c r="AF2403" s="11"/>
      <c r="AG2403" s="11"/>
      <c r="AH2403" s="11"/>
      <c r="AI2403" s="11"/>
      <c r="AJ2403" s="14"/>
    </row>
    <row r="2404" spans="1:36" ht="12.5" x14ac:dyDescent="0.25">
      <c r="A2404" s="9">
        <v>71</v>
      </c>
      <c r="B2404" s="10" t="s">
        <v>14</v>
      </c>
      <c r="C2404" s="10" t="s">
        <v>15</v>
      </c>
      <c r="D2404" s="10" t="s">
        <v>45</v>
      </c>
      <c r="E2404" s="11" t="str">
        <f ca="1">IFERROR(__xludf.DUMMYFUNCTION("FILTER(Colegios!$B$2:$B2419,Colegios!$A$2:$A2419=L2404)"),"15219")</f>
        <v>15219</v>
      </c>
      <c r="F2404" s="11" t="s">
        <v>17</v>
      </c>
      <c r="G2404" s="11" t="s">
        <v>24</v>
      </c>
      <c r="H2404" s="11" t="s">
        <v>19</v>
      </c>
      <c r="I2404" s="11" t="s">
        <v>20</v>
      </c>
      <c r="J2404" s="12" t="str">
        <f ca="1">IFERROR(__xludf.DUMMYFUNCTION("FILTER('CLASFICACIÓN'!$F$3:$F2419,'CLASFICACIÓN'!$G$3:$G2419=M2404)"),"2023 Y 2024")</f>
        <v>2023 Y 2024</v>
      </c>
      <c r="K2404" s="12" t="s">
        <v>2012</v>
      </c>
      <c r="L2404" s="11" t="s">
        <v>39</v>
      </c>
      <c r="M2404" s="12" t="str">
        <f t="shared" ca="1" si="9"/>
        <v>152192 Primaria</v>
      </c>
      <c r="N2404" s="11"/>
      <c r="O2404" s="11"/>
      <c r="P2404" s="11"/>
      <c r="Q2404" s="11"/>
      <c r="R2404" s="11"/>
      <c r="S2404" s="11"/>
      <c r="T2404" s="11"/>
      <c r="U2404" s="11"/>
      <c r="V2404" s="11"/>
      <c r="W2404" s="11"/>
      <c r="X2404" s="11"/>
      <c r="Y2404" s="11"/>
      <c r="Z2404" s="11"/>
      <c r="AA2404" s="11"/>
      <c r="AB2404" s="11"/>
      <c r="AC2404" s="11"/>
      <c r="AD2404" s="11"/>
      <c r="AE2404" s="11"/>
      <c r="AF2404" s="11"/>
      <c r="AG2404" s="11"/>
      <c r="AH2404" s="11"/>
      <c r="AI2404" s="11"/>
      <c r="AJ2404" s="14"/>
    </row>
    <row r="2405" spans="1:36" ht="12.5" x14ac:dyDescent="0.25">
      <c r="A2405" s="9">
        <v>72</v>
      </c>
      <c r="B2405" s="10" t="s">
        <v>14</v>
      </c>
      <c r="C2405" s="10" t="s">
        <v>15</v>
      </c>
      <c r="D2405" s="10" t="s">
        <v>45</v>
      </c>
      <c r="E2405" s="11" t="str">
        <f ca="1">IFERROR(__xludf.DUMMYFUNCTION("FILTER(Colegios!$B$2:$B2419,Colegios!$A$2:$A2419=L2405)"),"14141")</f>
        <v>14141</v>
      </c>
      <c r="F2405" s="11" t="s">
        <v>17</v>
      </c>
      <c r="G2405" s="11" t="s">
        <v>18</v>
      </c>
      <c r="H2405" s="11" t="s">
        <v>19</v>
      </c>
      <c r="I2405" s="11" t="s">
        <v>20</v>
      </c>
      <c r="J2405" s="12" t="str">
        <f ca="1">IFERROR(__xludf.DUMMYFUNCTION("FILTER('CLASFICACIÓN'!$F$3:$F2419,'CLASFICACIÓN'!$G$3:$G2419=M2405)"),"2023 Y 2024")</f>
        <v>2023 Y 2024</v>
      </c>
      <c r="K2405" s="12" t="s">
        <v>2011</v>
      </c>
      <c r="L2405" s="11" t="s">
        <v>33</v>
      </c>
      <c r="M2405" s="12" t="str">
        <f t="shared" ca="1" si="9"/>
        <v>141412 Primaria</v>
      </c>
      <c r="N2405" s="11"/>
      <c r="O2405" s="11"/>
      <c r="P2405" s="11"/>
      <c r="Q2405" s="11"/>
      <c r="R2405" s="11"/>
      <c r="S2405" s="11"/>
      <c r="T2405" s="11"/>
      <c r="U2405" s="11"/>
      <c r="V2405" s="11"/>
      <c r="W2405" s="11"/>
      <c r="X2405" s="11"/>
      <c r="Y2405" s="11"/>
      <c r="Z2405" s="11"/>
      <c r="AA2405" s="11"/>
      <c r="AB2405" s="11"/>
      <c r="AC2405" s="11"/>
      <c r="AD2405" s="11"/>
      <c r="AE2405" s="11"/>
      <c r="AF2405" s="11"/>
      <c r="AG2405" s="11"/>
      <c r="AH2405" s="11"/>
      <c r="AI2405" s="11"/>
      <c r="AJ2405" s="14"/>
    </row>
    <row r="2406" spans="1:36" ht="12.5" x14ac:dyDescent="0.25">
      <c r="A2406" s="9">
        <v>73</v>
      </c>
      <c r="B2406" s="10" t="s">
        <v>14</v>
      </c>
      <c r="C2406" s="10" t="s">
        <v>15</v>
      </c>
      <c r="D2406" s="10" t="s">
        <v>45</v>
      </c>
      <c r="E2406" s="11" t="str">
        <f ca="1">IFERROR(__xludf.DUMMYFUNCTION("FILTER(Colegios!$B$2:$B2419,Colegios!$A$2:$A2419=L2406)"),"15478")</f>
        <v>15478</v>
      </c>
      <c r="F2406" s="11" t="s">
        <v>17</v>
      </c>
      <c r="G2406" s="11" t="s">
        <v>24</v>
      </c>
      <c r="H2406" s="11" t="s">
        <v>19</v>
      </c>
      <c r="I2406" s="11" t="s">
        <v>20</v>
      </c>
      <c r="J2406" s="12" t="str">
        <f ca="1">IFERROR(__xludf.DUMMYFUNCTION("FILTER('CLASFICACIÓN'!$F$3:$F2419,'CLASFICACIÓN'!$G$3:$G2419=M2406)"),"2023 Y 2024")</f>
        <v>2023 Y 2024</v>
      </c>
      <c r="K2406" s="12" t="s">
        <v>2011</v>
      </c>
      <c r="L2406" s="11" t="s">
        <v>34</v>
      </c>
      <c r="M2406" s="12" t="str">
        <f t="shared" ca="1" si="9"/>
        <v>154782 Primaria</v>
      </c>
      <c r="N2406" s="11"/>
      <c r="O2406" s="11"/>
      <c r="P2406" s="11"/>
      <c r="Q2406" s="11"/>
      <c r="R2406" s="11"/>
      <c r="S2406" s="11"/>
      <c r="T2406" s="11"/>
      <c r="U2406" s="11"/>
      <c r="V2406" s="11"/>
      <c r="W2406" s="11"/>
      <c r="X2406" s="11"/>
      <c r="Y2406" s="11"/>
      <c r="Z2406" s="11"/>
      <c r="AA2406" s="11"/>
      <c r="AB2406" s="11"/>
      <c r="AC2406" s="11"/>
      <c r="AD2406" s="11"/>
      <c r="AE2406" s="11"/>
      <c r="AF2406" s="11"/>
      <c r="AG2406" s="11"/>
      <c r="AH2406" s="11"/>
      <c r="AI2406" s="11"/>
      <c r="AJ2406" s="14"/>
    </row>
    <row r="2407" spans="1:36" ht="12.5" x14ac:dyDescent="0.25">
      <c r="A2407" s="9">
        <v>74</v>
      </c>
      <c r="B2407" s="10" t="s">
        <v>14</v>
      </c>
      <c r="C2407" s="10" t="s">
        <v>15</v>
      </c>
      <c r="D2407" s="10" t="s">
        <v>45</v>
      </c>
      <c r="E2407" s="11" t="str">
        <f ca="1">IFERROR(__xludf.DUMMYFUNCTION("FILTER(Colegios!$B$2:$B2419,Colegios!$A$2:$A2419=L2407)"),"15478")</f>
        <v>15478</v>
      </c>
      <c r="F2407" s="11" t="s">
        <v>17</v>
      </c>
      <c r="G2407" s="11" t="s">
        <v>24</v>
      </c>
      <c r="H2407" s="11" t="s">
        <v>19</v>
      </c>
      <c r="I2407" s="11" t="s">
        <v>20</v>
      </c>
      <c r="J2407" s="12" t="str">
        <f ca="1">IFERROR(__xludf.DUMMYFUNCTION("FILTER('CLASFICACIÓN'!$F$3:$F2419,'CLASFICACIÓN'!$G$3:$G2419=M2407)"),"2023 Y 2024")</f>
        <v>2023 Y 2024</v>
      </c>
      <c r="K2407" s="12" t="s">
        <v>2011</v>
      </c>
      <c r="L2407" s="11" t="s">
        <v>34</v>
      </c>
      <c r="M2407" s="12" t="str">
        <f t="shared" ca="1" si="9"/>
        <v>154782 Primaria</v>
      </c>
      <c r="N2407" s="11"/>
      <c r="O2407" s="11"/>
      <c r="P2407" s="11"/>
      <c r="Q2407" s="11"/>
      <c r="R2407" s="11"/>
      <c r="S2407" s="11"/>
      <c r="T2407" s="11"/>
      <c r="U2407" s="11"/>
      <c r="V2407" s="11"/>
      <c r="W2407" s="11"/>
      <c r="X2407" s="11"/>
      <c r="Y2407" s="11"/>
      <c r="Z2407" s="11"/>
      <c r="AA2407" s="11"/>
      <c r="AB2407" s="11"/>
      <c r="AC2407" s="11"/>
      <c r="AD2407" s="11"/>
      <c r="AE2407" s="11"/>
      <c r="AF2407" s="11"/>
      <c r="AG2407" s="11"/>
      <c r="AH2407" s="11"/>
      <c r="AI2407" s="11"/>
      <c r="AJ2407" s="14"/>
    </row>
    <row r="2408" spans="1:36" ht="12.5" x14ac:dyDescent="0.25">
      <c r="A2408" s="9">
        <v>75</v>
      </c>
      <c r="B2408" s="10" t="s">
        <v>14</v>
      </c>
      <c r="C2408" s="10" t="s">
        <v>15</v>
      </c>
      <c r="D2408" s="10" t="s">
        <v>45</v>
      </c>
      <c r="E2408" s="11" t="str">
        <f ca="1">IFERROR(__xludf.DUMMYFUNCTION("FILTER(Colegios!$B$2:$B2419,Colegios!$A$2:$A2419=L2408)"),"14045")</f>
        <v>14045</v>
      </c>
      <c r="F2408" s="11" t="s">
        <v>17</v>
      </c>
      <c r="G2408" s="11" t="s">
        <v>18</v>
      </c>
      <c r="H2408" s="11" t="s">
        <v>19</v>
      </c>
      <c r="I2408" s="11" t="s">
        <v>20</v>
      </c>
      <c r="J2408" s="12" t="str">
        <f ca="1">IFERROR(__xludf.DUMMYFUNCTION("FILTER('CLASFICACIÓN'!$F$3:$F2419,'CLASFICACIÓN'!$G$3:$G2419=M2408)"),"SOLO 2024")</f>
        <v>SOLO 2024</v>
      </c>
      <c r="K2408" s="12" t="s">
        <v>2012</v>
      </c>
      <c r="L2408" s="11" t="s">
        <v>35</v>
      </c>
      <c r="M2408" s="12" t="str">
        <f t="shared" ca="1" si="9"/>
        <v>140452 Primaria</v>
      </c>
      <c r="N2408" s="11"/>
      <c r="O2408" s="11"/>
      <c r="P2408" s="11"/>
      <c r="Q2408" s="11"/>
      <c r="R2408" s="11"/>
      <c r="S2408" s="11"/>
      <c r="T2408" s="11"/>
      <c r="U2408" s="11"/>
      <c r="V2408" s="11"/>
      <c r="W2408" s="11"/>
      <c r="X2408" s="11"/>
      <c r="Y2408" s="11"/>
      <c r="Z2408" s="11"/>
      <c r="AA2408" s="11"/>
      <c r="AB2408" s="11"/>
      <c r="AC2408" s="11"/>
      <c r="AD2408" s="11"/>
      <c r="AE2408" s="11"/>
      <c r="AF2408" s="11"/>
      <c r="AG2408" s="11"/>
      <c r="AH2408" s="11"/>
      <c r="AI2408" s="11"/>
      <c r="AJ2408" s="14"/>
    </row>
    <row r="2409" spans="1:36" ht="12.5" x14ac:dyDescent="0.25">
      <c r="A2409" s="9">
        <v>76</v>
      </c>
      <c r="B2409" s="10" t="s">
        <v>14</v>
      </c>
      <c r="C2409" s="10" t="s">
        <v>15</v>
      </c>
      <c r="D2409" s="10" t="s">
        <v>45</v>
      </c>
      <c r="E2409" s="11" t="str">
        <f ca="1">IFERROR(__xludf.DUMMYFUNCTION("FILTER(Colegios!$B$2:$B2419,Colegios!$A$2:$A2419=L2409)"),"14045")</f>
        <v>14045</v>
      </c>
      <c r="F2409" s="11" t="s">
        <v>17</v>
      </c>
      <c r="G2409" s="11" t="s">
        <v>24</v>
      </c>
      <c r="H2409" s="11" t="s">
        <v>23</v>
      </c>
      <c r="I2409" s="11" t="s">
        <v>20</v>
      </c>
      <c r="J2409" s="12" t="str">
        <f ca="1">IFERROR(__xludf.DUMMYFUNCTION("FILTER('CLASFICACIÓN'!$F$3:$F2419,'CLASFICACIÓN'!$G$3:$G2419=M2409)"),"SOLO 2024")</f>
        <v>SOLO 2024</v>
      </c>
      <c r="K2409" s="12" t="s">
        <v>2012</v>
      </c>
      <c r="L2409" s="11" t="s">
        <v>35</v>
      </c>
      <c r="M2409" s="12" t="str">
        <f t="shared" ca="1" si="9"/>
        <v>140452 Primaria</v>
      </c>
      <c r="N2409" s="11"/>
      <c r="O2409" s="11"/>
      <c r="P2409" s="11"/>
      <c r="Q2409" s="11"/>
      <c r="R2409" s="11"/>
      <c r="S2409" s="11"/>
      <c r="T2409" s="11"/>
      <c r="U2409" s="11"/>
      <c r="V2409" s="11"/>
      <c r="W2409" s="11"/>
      <c r="X2409" s="11"/>
      <c r="Y2409" s="11"/>
      <c r="Z2409" s="11"/>
      <c r="AA2409" s="11"/>
      <c r="AB2409" s="11"/>
      <c r="AC2409" s="11"/>
      <c r="AD2409" s="11"/>
      <c r="AE2409" s="11"/>
      <c r="AF2409" s="11"/>
      <c r="AG2409" s="11"/>
      <c r="AH2409" s="11"/>
      <c r="AI2409" s="11"/>
      <c r="AJ2409" s="14"/>
    </row>
    <row r="2410" spans="1:36" ht="12.5" x14ac:dyDescent="0.25">
      <c r="A2410" s="9">
        <v>77</v>
      </c>
      <c r="B2410" s="10" t="s">
        <v>14</v>
      </c>
      <c r="C2410" s="10" t="s">
        <v>15</v>
      </c>
      <c r="D2410" s="10" t="s">
        <v>45</v>
      </c>
      <c r="E2410" s="11" t="str">
        <f ca="1">IFERROR(__xludf.DUMMYFUNCTION("FILTER(Colegios!$B$2:$B2419,Colegios!$A$2:$A2419=L2410)"),"14145 SANTA JULIA BILLIART")</f>
        <v>14145 SANTA JULIA BILLIART</v>
      </c>
      <c r="F2410" s="11" t="s">
        <v>17</v>
      </c>
      <c r="G2410" s="11" t="s">
        <v>24</v>
      </c>
      <c r="H2410" s="11" t="s">
        <v>19</v>
      </c>
      <c r="I2410" s="11" t="s">
        <v>20</v>
      </c>
      <c r="J2410" s="12" t="str">
        <f ca="1">IFERROR(__xludf.DUMMYFUNCTION("FILTER('CLASFICACIÓN'!$F$3:$F2419,'CLASFICACIÓN'!$G$3:$G2419=M2410)"),"2023 Y 2024")</f>
        <v>2023 Y 2024</v>
      </c>
      <c r="K2410" s="12" t="s">
        <v>2012</v>
      </c>
      <c r="L2410" s="11" t="s">
        <v>36</v>
      </c>
      <c r="M2410" s="12" t="str">
        <f t="shared" ca="1" si="9"/>
        <v>14145 SANTA JULIA BILLIART2 Primaria</v>
      </c>
      <c r="N2410" s="11"/>
      <c r="O2410" s="11"/>
      <c r="P2410" s="11"/>
      <c r="Q2410" s="11"/>
      <c r="R2410" s="11"/>
      <c r="S2410" s="11"/>
      <c r="T2410" s="11"/>
      <c r="U2410" s="11"/>
      <c r="V2410" s="11"/>
      <c r="W2410" s="11"/>
      <c r="X2410" s="11"/>
      <c r="Y2410" s="11"/>
      <c r="Z2410" s="11"/>
      <c r="AA2410" s="11"/>
      <c r="AB2410" s="11"/>
      <c r="AC2410" s="11"/>
      <c r="AD2410" s="11"/>
      <c r="AE2410" s="11"/>
      <c r="AF2410" s="11"/>
      <c r="AG2410" s="11"/>
      <c r="AH2410" s="11"/>
      <c r="AI2410" s="11"/>
      <c r="AJ2410" s="14"/>
    </row>
    <row r="2411" spans="1:36" ht="12.5" x14ac:dyDescent="0.25">
      <c r="A2411" s="9">
        <v>78</v>
      </c>
      <c r="B2411" s="10" t="s">
        <v>14</v>
      </c>
      <c r="C2411" s="10" t="s">
        <v>15</v>
      </c>
      <c r="D2411" s="10" t="s">
        <v>45</v>
      </c>
      <c r="E2411" s="11" t="str">
        <f ca="1">IFERROR(__xludf.DUMMYFUNCTION("FILTER(Colegios!$B$2:$B2419,Colegios!$A$2:$A2419=L2411)"),"14145 SANTA JULIA BILLIART")</f>
        <v>14145 SANTA JULIA BILLIART</v>
      </c>
      <c r="F2411" s="11" t="s">
        <v>17</v>
      </c>
      <c r="G2411" s="11" t="s">
        <v>24</v>
      </c>
      <c r="H2411" s="11" t="s">
        <v>19</v>
      </c>
      <c r="I2411" s="11" t="s">
        <v>20</v>
      </c>
      <c r="J2411" s="12" t="str">
        <f ca="1">IFERROR(__xludf.DUMMYFUNCTION("FILTER('CLASFICACIÓN'!$F$3:$F2419,'CLASFICACIÓN'!$G$3:$G2419=M2411)"),"2023 Y 2024")</f>
        <v>2023 Y 2024</v>
      </c>
      <c r="K2411" s="12" t="s">
        <v>2012</v>
      </c>
      <c r="L2411" s="11" t="s">
        <v>36</v>
      </c>
      <c r="M2411" s="12" t="str">
        <f t="shared" ca="1" si="9"/>
        <v>14145 SANTA JULIA BILLIART2 Primaria</v>
      </c>
      <c r="N2411" s="11"/>
      <c r="O2411" s="11"/>
      <c r="P2411" s="11"/>
      <c r="Q2411" s="11"/>
      <c r="R2411" s="11"/>
      <c r="S2411" s="11"/>
      <c r="T2411" s="11"/>
      <c r="U2411" s="11"/>
      <c r="V2411" s="11"/>
      <c r="W2411" s="11"/>
      <c r="X2411" s="11"/>
      <c r="Y2411" s="11"/>
      <c r="Z2411" s="11"/>
      <c r="AA2411" s="11"/>
      <c r="AB2411" s="11"/>
      <c r="AC2411" s="11"/>
      <c r="AD2411" s="11"/>
      <c r="AE2411" s="11"/>
      <c r="AF2411" s="11"/>
      <c r="AG2411" s="11"/>
      <c r="AH2411" s="11"/>
      <c r="AI2411" s="11"/>
      <c r="AJ2411" s="14"/>
    </row>
    <row r="2412" spans="1:36" ht="12.5" x14ac:dyDescent="0.25">
      <c r="A2412" s="9">
        <v>79</v>
      </c>
      <c r="B2412" s="10" t="s">
        <v>14</v>
      </c>
      <c r="C2412" s="10" t="s">
        <v>15</v>
      </c>
      <c r="D2412" s="10" t="s">
        <v>45</v>
      </c>
      <c r="E2412" s="11" t="str">
        <f ca="1">IFERROR(__xludf.DUMMYFUNCTION("FILTER(Colegios!$B$2:$B2419,Colegios!$A$2:$A2419=L2412)"),"14145 SANTA JULIA BILLIART")</f>
        <v>14145 SANTA JULIA BILLIART</v>
      </c>
      <c r="F2412" s="11" t="s">
        <v>17</v>
      </c>
      <c r="G2412" s="11" t="s">
        <v>24</v>
      </c>
      <c r="H2412" s="11" t="s">
        <v>19</v>
      </c>
      <c r="I2412" s="11" t="s">
        <v>20</v>
      </c>
      <c r="J2412" s="12" t="str">
        <f ca="1">IFERROR(__xludf.DUMMYFUNCTION("FILTER('CLASFICACIÓN'!$F$3:$F2419,'CLASFICACIÓN'!$G$3:$G2419=M2412)"),"2023 Y 2024")</f>
        <v>2023 Y 2024</v>
      </c>
      <c r="K2412" s="12" t="s">
        <v>2012</v>
      </c>
      <c r="L2412" s="11" t="s">
        <v>36</v>
      </c>
      <c r="M2412" s="12" t="str">
        <f t="shared" ca="1" si="9"/>
        <v>14145 SANTA JULIA BILLIART2 Primaria</v>
      </c>
      <c r="N2412" s="11"/>
      <c r="O2412" s="11"/>
      <c r="P2412" s="11"/>
      <c r="Q2412" s="11"/>
      <c r="R2412" s="11"/>
      <c r="S2412" s="11"/>
      <c r="T2412" s="11"/>
      <c r="U2412" s="11"/>
      <c r="V2412" s="11"/>
      <c r="W2412" s="11"/>
      <c r="X2412" s="11"/>
      <c r="Y2412" s="11"/>
      <c r="Z2412" s="11"/>
      <c r="AA2412" s="11"/>
      <c r="AB2412" s="11"/>
      <c r="AC2412" s="11"/>
      <c r="AD2412" s="11"/>
      <c r="AE2412" s="11"/>
      <c r="AF2412" s="11"/>
      <c r="AG2412" s="11"/>
      <c r="AH2412" s="11"/>
      <c r="AI2412" s="11"/>
      <c r="AJ2412" s="14"/>
    </row>
    <row r="2413" spans="1:36" ht="12.5" x14ac:dyDescent="0.25">
      <c r="A2413" s="9">
        <v>80</v>
      </c>
      <c r="B2413" s="10" t="s">
        <v>14</v>
      </c>
      <c r="C2413" s="10" t="s">
        <v>15</v>
      </c>
      <c r="D2413" s="10" t="s">
        <v>45</v>
      </c>
      <c r="E2413" s="11" t="str">
        <f ca="1">IFERROR(__xludf.DUMMYFUNCTION("FILTER(Colegios!$B$2:$B2419,Colegios!$A$2:$A2419=L2413)"),"14145 SANTA JULIA BILLIART")</f>
        <v>14145 SANTA JULIA BILLIART</v>
      </c>
      <c r="F2413" s="11" t="s">
        <v>17</v>
      </c>
      <c r="G2413" s="11" t="s">
        <v>24</v>
      </c>
      <c r="H2413" s="11" t="s">
        <v>25</v>
      </c>
      <c r="I2413" s="11" t="s">
        <v>20</v>
      </c>
      <c r="J2413" s="12" t="str">
        <f ca="1">IFERROR(__xludf.DUMMYFUNCTION("FILTER('CLASFICACIÓN'!$F$3:$F2419,'CLASFICACIÓN'!$G$3:$G2419=M2413)"),"2023 Y 2024")</f>
        <v>2023 Y 2024</v>
      </c>
      <c r="K2413" s="12" t="s">
        <v>2012</v>
      </c>
      <c r="L2413" s="11" t="s">
        <v>36</v>
      </c>
      <c r="M2413" s="12" t="str">
        <f t="shared" ca="1" si="9"/>
        <v>14145 SANTA JULIA BILLIART2 Primaria</v>
      </c>
      <c r="N2413" s="11"/>
      <c r="O2413" s="11"/>
      <c r="P2413" s="11"/>
      <c r="Q2413" s="11"/>
      <c r="R2413" s="11"/>
      <c r="S2413" s="11"/>
      <c r="T2413" s="11"/>
      <c r="U2413" s="11"/>
      <c r="V2413" s="11"/>
      <c r="W2413" s="11"/>
      <c r="X2413" s="11"/>
      <c r="Y2413" s="11"/>
      <c r="Z2413" s="11"/>
      <c r="AA2413" s="11"/>
      <c r="AB2413" s="11"/>
      <c r="AC2413" s="11"/>
      <c r="AD2413" s="11"/>
      <c r="AE2413" s="11"/>
      <c r="AF2413" s="11"/>
      <c r="AG2413" s="11"/>
      <c r="AH2413" s="11"/>
      <c r="AI2413" s="11"/>
      <c r="AJ2413" s="14"/>
    </row>
    <row r="2414" spans="1:36" ht="12.5" x14ac:dyDescent="0.25">
      <c r="A2414" s="9">
        <v>81</v>
      </c>
      <c r="B2414" s="10" t="s">
        <v>14</v>
      </c>
      <c r="C2414" s="10" t="s">
        <v>15</v>
      </c>
      <c r="D2414" s="10" t="s">
        <v>45</v>
      </c>
      <c r="E2414" s="11" t="str">
        <f ca="1">IFERROR(__xludf.DUMMYFUNCTION("FILTER(Colegios!$B$2:$B2419,Colegios!$A$2:$A2419=L2414)"),"14145 SANTA JULIA BILLIART")</f>
        <v>14145 SANTA JULIA BILLIART</v>
      </c>
      <c r="F2414" s="11" t="s">
        <v>17</v>
      </c>
      <c r="G2414" s="11" t="s">
        <v>24</v>
      </c>
      <c r="H2414" s="11" t="s">
        <v>19</v>
      </c>
      <c r="I2414" s="11" t="s">
        <v>20</v>
      </c>
      <c r="J2414" s="12" t="str">
        <f ca="1">IFERROR(__xludf.DUMMYFUNCTION("FILTER('CLASFICACIÓN'!$F$3:$F2419,'CLASFICACIÓN'!$G$3:$G2419=M2414)"),"2023 Y 2024")</f>
        <v>2023 Y 2024</v>
      </c>
      <c r="K2414" s="12" t="s">
        <v>2012</v>
      </c>
      <c r="L2414" s="11" t="s">
        <v>36</v>
      </c>
      <c r="M2414" s="12" t="str">
        <f t="shared" ca="1" si="9"/>
        <v>14145 SANTA JULIA BILLIART2 Primaria</v>
      </c>
      <c r="N2414" s="11"/>
      <c r="O2414" s="11"/>
      <c r="P2414" s="11"/>
      <c r="Q2414" s="11"/>
      <c r="R2414" s="11"/>
      <c r="S2414" s="11"/>
      <c r="T2414" s="11"/>
      <c r="U2414" s="11"/>
      <c r="V2414" s="11"/>
      <c r="W2414" s="11"/>
      <c r="X2414" s="11"/>
      <c r="Y2414" s="11"/>
      <c r="Z2414" s="11"/>
      <c r="AA2414" s="11"/>
      <c r="AB2414" s="11"/>
      <c r="AC2414" s="11"/>
      <c r="AD2414" s="11"/>
      <c r="AE2414" s="11"/>
      <c r="AF2414" s="11"/>
      <c r="AG2414" s="11"/>
      <c r="AH2414" s="11"/>
      <c r="AI2414" s="11"/>
      <c r="AJ2414" s="14"/>
    </row>
    <row r="2415" spans="1:36" ht="12.5" x14ac:dyDescent="0.25">
      <c r="A2415" s="9">
        <v>82</v>
      </c>
      <c r="B2415" s="10" t="s">
        <v>14</v>
      </c>
      <c r="C2415" s="10" t="s">
        <v>15</v>
      </c>
      <c r="D2415" s="10" t="s">
        <v>45</v>
      </c>
      <c r="E2415" s="11" t="str">
        <f ca="1">IFERROR(__xludf.DUMMYFUNCTION("FILTER(Colegios!$B$2:$B2419,Colegios!$A$2:$A2419=L2415)"),"14145 SANTA JULIA BILLIART")</f>
        <v>14145 SANTA JULIA BILLIART</v>
      </c>
      <c r="F2415" s="11" t="s">
        <v>17</v>
      </c>
      <c r="G2415" s="11" t="s">
        <v>18</v>
      </c>
      <c r="H2415" s="11" t="s">
        <v>19</v>
      </c>
      <c r="I2415" s="11" t="s">
        <v>20</v>
      </c>
      <c r="J2415" s="12" t="str">
        <f ca="1">IFERROR(__xludf.DUMMYFUNCTION("FILTER('CLASFICACIÓN'!$F$3:$F2419,'CLASFICACIÓN'!$G$3:$G2419=M2415)"),"2023 Y 2024")</f>
        <v>2023 Y 2024</v>
      </c>
      <c r="K2415" s="12" t="s">
        <v>2012</v>
      </c>
      <c r="L2415" s="11" t="s">
        <v>36</v>
      </c>
      <c r="M2415" s="12" t="str">
        <f t="shared" ca="1" si="9"/>
        <v>14145 SANTA JULIA BILLIART2 Primaria</v>
      </c>
      <c r="N2415" s="11"/>
      <c r="O2415" s="11"/>
      <c r="P2415" s="11"/>
      <c r="Q2415" s="11"/>
      <c r="R2415" s="11"/>
      <c r="S2415" s="11"/>
      <c r="T2415" s="11"/>
      <c r="U2415" s="11"/>
      <c r="V2415" s="11"/>
      <c r="W2415" s="11"/>
      <c r="X2415" s="11"/>
      <c r="Y2415" s="11"/>
      <c r="Z2415" s="11"/>
      <c r="AA2415" s="11"/>
      <c r="AB2415" s="11"/>
      <c r="AC2415" s="11"/>
      <c r="AD2415" s="11"/>
      <c r="AE2415" s="11"/>
      <c r="AF2415" s="11"/>
      <c r="AG2415" s="11"/>
      <c r="AH2415" s="11"/>
      <c r="AI2415" s="11"/>
      <c r="AJ2415" s="14"/>
    </row>
    <row r="2416" spans="1:36" ht="12.5" x14ac:dyDescent="0.25">
      <c r="A2416" s="9">
        <v>83</v>
      </c>
      <c r="B2416" s="10" t="s">
        <v>14</v>
      </c>
      <c r="C2416" s="10" t="s">
        <v>15</v>
      </c>
      <c r="D2416" s="10" t="s">
        <v>45</v>
      </c>
      <c r="E2416" s="11" t="str">
        <f ca="1">IFERROR(__xludf.DUMMYFUNCTION("FILTER(Colegios!$B$2:$B2419,Colegios!$A$2:$A2419=L2416)"),"14145 SANTA JULIA BILLIART")</f>
        <v>14145 SANTA JULIA BILLIART</v>
      </c>
      <c r="F2416" s="11" t="s">
        <v>17</v>
      </c>
      <c r="G2416" s="11" t="s">
        <v>18</v>
      </c>
      <c r="H2416" s="11" t="s">
        <v>19</v>
      </c>
      <c r="I2416" s="11" t="s">
        <v>20</v>
      </c>
      <c r="J2416" s="12" t="str">
        <f ca="1">IFERROR(__xludf.DUMMYFUNCTION("FILTER('CLASFICACIÓN'!$F$3:$F2419,'CLASFICACIÓN'!$G$3:$G2419=M2416)"),"2023 Y 2024")</f>
        <v>2023 Y 2024</v>
      </c>
      <c r="K2416" s="12" t="s">
        <v>2012</v>
      </c>
      <c r="L2416" s="11" t="s">
        <v>36</v>
      </c>
      <c r="M2416" s="12" t="str">
        <f t="shared" ca="1" si="9"/>
        <v>14145 SANTA JULIA BILLIART2 Primaria</v>
      </c>
      <c r="N2416" s="11"/>
      <c r="O2416" s="11"/>
      <c r="P2416" s="11"/>
      <c r="Q2416" s="11"/>
      <c r="R2416" s="11"/>
      <c r="S2416" s="11"/>
      <c r="T2416" s="11"/>
      <c r="U2416" s="11"/>
      <c r="V2416" s="11"/>
      <c r="W2416" s="11"/>
      <c r="X2416" s="11"/>
      <c r="Y2416" s="11"/>
      <c r="Z2416" s="11"/>
      <c r="AA2416" s="11"/>
      <c r="AB2416" s="11"/>
      <c r="AC2416" s="11"/>
      <c r="AD2416" s="11"/>
      <c r="AE2416" s="11"/>
      <c r="AF2416" s="11"/>
      <c r="AG2416" s="11"/>
      <c r="AH2416" s="11"/>
      <c r="AI2416" s="11"/>
      <c r="AJ2416" s="14"/>
    </row>
    <row r="2417" spans="1:36" ht="12.5" x14ac:dyDescent="0.25">
      <c r="A2417" s="9">
        <v>84</v>
      </c>
      <c r="B2417" s="10" t="s">
        <v>14</v>
      </c>
      <c r="C2417" s="10" t="s">
        <v>15</v>
      </c>
      <c r="D2417" s="10" t="s">
        <v>45</v>
      </c>
      <c r="E2417" s="11" t="str">
        <f ca="1">IFERROR(__xludf.DUMMYFUNCTION("FILTER(Colegios!$B$2:$B2419,Colegios!$A$2:$A2419=L2417)"),"14145 SANTA JULIA BILLIART")</f>
        <v>14145 SANTA JULIA BILLIART</v>
      </c>
      <c r="F2417" s="11" t="s">
        <v>17</v>
      </c>
      <c r="G2417" s="11" t="s">
        <v>18</v>
      </c>
      <c r="H2417" s="11" t="s">
        <v>19</v>
      </c>
      <c r="I2417" s="11" t="s">
        <v>20</v>
      </c>
      <c r="J2417" s="12" t="str">
        <f ca="1">IFERROR(__xludf.DUMMYFUNCTION("FILTER('CLASFICACIÓN'!$F$3:$F2419,'CLASFICACIÓN'!$G$3:$G2419=M2417)"),"2023 Y 2024")</f>
        <v>2023 Y 2024</v>
      </c>
      <c r="K2417" s="12" t="s">
        <v>2012</v>
      </c>
      <c r="L2417" s="11" t="s">
        <v>36</v>
      </c>
      <c r="M2417" s="12" t="str">
        <f t="shared" ca="1" si="9"/>
        <v>14145 SANTA JULIA BILLIART2 Primaria</v>
      </c>
      <c r="N2417" s="11"/>
      <c r="O2417" s="11"/>
      <c r="P2417" s="11"/>
      <c r="Q2417" s="11"/>
      <c r="R2417" s="11"/>
      <c r="S2417" s="11"/>
      <c r="T2417" s="11"/>
      <c r="U2417" s="11"/>
      <c r="V2417" s="11"/>
      <c r="W2417" s="11"/>
      <c r="X2417" s="11"/>
      <c r="Y2417" s="11"/>
      <c r="Z2417" s="11"/>
      <c r="AA2417" s="11"/>
      <c r="AB2417" s="11"/>
      <c r="AC2417" s="11"/>
      <c r="AD2417" s="11"/>
      <c r="AE2417" s="11"/>
      <c r="AF2417" s="11"/>
      <c r="AG2417" s="11"/>
      <c r="AH2417" s="11"/>
      <c r="AI2417" s="11"/>
      <c r="AJ2417" s="14"/>
    </row>
    <row r="2418" spans="1:36" ht="12.5" x14ac:dyDescent="0.25">
      <c r="A2418" s="9">
        <v>85</v>
      </c>
      <c r="B2418" s="10" t="s">
        <v>14</v>
      </c>
      <c r="C2418" s="10" t="s">
        <v>15</v>
      </c>
      <c r="D2418" s="10" t="s">
        <v>45</v>
      </c>
      <c r="E2418" s="11" t="str">
        <f ca="1">IFERROR(__xludf.DUMMYFUNCTION("FILTER(Colegios!$B$2:$B2419,Colegios!$A$2:$A2419=L2418)"),"14145 SANTA JULIA BILLIART")</f>
        <v>14145 SANTA JULIA BILLIART</v>
      </c>
      <c r="F2418" s="11" t="s">
        <v>17</v>
      </c>
      <c r="G2418" s="11" t="s">
        <v>18</v>
      </c>
      <c r="H2418" s="11" t="s">
        <v>19</v>
      </c>
      <c r="I2418" s="11" t="s">
        <v>20</v>
      </c>
      <c r="J2418" s="12" t="str">
        <f ca="1">IFERROR(__xludf.DUMMYFUNCTION("FILTER('CLASFICACIÓN'!$F$3:$F2419,'CLASFICACIÓN'!$G$3:$G2419=M2418)"),"2023 Y 2024")</f>
        <v>2023 Y 2024</v>
      </c>
      <c r="K2418" s="12" t="s">
        <v>2012</v>
      </c>
      <c r="L2418" s="11" t="s">
        <v>36</v>
      </c>
      <c r="M2418" s="12" t="str">
        <f t="shared" ca="1" si="9"/>
        <v>14145 SANTA JULIA BILLIART2 Primaria</v>
      </c>
      <c r="N2418" s="11"/>
      <c r="O2418" s="11"/>
      <c r="P2418" s="11"/>
      <c r="Q2418" s="11"/>
      <c r="R2418" s="11"/>
      <c r="S2418" s="11"/>
      <c r="T2418" s="11"/>
      <c r="U2418" s="11"/>
      <c r="V2418" s="11"/>
      <c r="W2418" s="11"/>
      <c r="X2418" s="11"/>
      <c r="Y2418" s="11"/>
      <c r="Z2418" s="11"/>
      <c r="AA2418" s="11"/>
      <c r="AB2418" s="11"/>
      <c r="AC2418" s="11"/>
      <c r="AD2418" s="11"/>
      <c r="AE2418" s="11"/>
      <c r="AF2418" s="11"/>
      <c r="AG2418" s="11"/>
      <c r="AH2418" s="11"/>
      <c r="AI2418" s="11"/>
      <c r="AJ2418" s="14"/>
    </row>
    <row r="2419" spans="1:36" ht="12.5" x14ac:dyDescent="0.25">
      <c r="A2419" s="9">
        <v>86</v>
      </c>
      <c r="B2419" s="10" t="s">
        <v>14</v>
      </c>
      <c r="C2419" s="10" t="s">
        <v>15</v>
      </c>
      <c r="D2419" s="10" t="s">
        <v>45</v>
      </c>
      <c r="E2419" s="11" t="str">
        <f ca="1">IFERROR(__xludf.DUMMYFUNCTION("FILTER(Colegios!$B$2:$B2419,Colegios!$A$2:$A2419=L2419)"),"14145 SANTA JULIA BILLIART")</f>
        <v>14145 SANTA JULIA BILLIART</v>
      </c>
      <c r="F2419" s="11" t="s">
        <v>17</v>
      </c>
      <c r="G2419" s="11" t="s">
        <v>18</v>
      </c>
      <c r="H2419" s="11" t="s">
        <v>19</v>
      </c>
      <c r="I2419" s="11" t="s">
        <v>20</v>
      </c>
      <c r="J2419" s="12" t="str">
        <f ca="1">IFERROR(__xludf.DUMMYFUNCTION("FILTER('CLASFICACIÓN'!$F$3:$F2419,'CLASFICACIÓN'!$G$3:$G2419=M2419)"),"2023 Y 2024")</f>
        <v>2023 Y 2024</v>
      </c>
      <c r="K2419" s="12" t="s">
        <v>2012</v>
      </c>
      <c r="L2419" s="11" t="s">
        <v>36</v>
      </c>
      <c r="M2419" s="12" t="str">
        <f t="shared" ca="1" si="9"/>
        <v>14145 SANTA JULIA BILLIART2 Primaria</v>
      </c>
      <c r="N2419" s="11"/>
      <c r="O2419" s="11"/>
      <c r="P2419" s="11"/>
      <c r="Q2419" s="11"/>
      <c r="R2419" s="11"/>
      <c r="S2419" s="11"/>
      <c r="T2419" s="11"/>
      <c r="U2419" s="11"/>
      <c r="V2419" s="11"/>
      <c r="W2419" s="11"/>
      <c r="X2419" s="11"/>
      <c r="Y2419" s="11"/>
      <c r="Z2419" s="11"/>
      <c r="AA2419" s="11"/>
      <c r="AB2419" s="11"/>
      <c r="AC2419" s="11"/>
      <c r="AD2419" s="11"/>
      <c r="AE2419" s="11"/>
      <c r="AF2419" s="11"/>
      <c r="AG2419" s="11"/>
      <c r="AH2419" s="11"/>
      <c r="AI2419" s="11"/>
      <c r="AJ2419" s="14"/>
    </row>
  </sheetData>
  <autoFilter ref="A1:N2419" xr:uid="{00000000-0009-0000-0000-000000000000}"/>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claves!$B$3:$B$8</xm:f>
          </x14:formula1>
          <xm:sqref>D2:D2419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48135"/>
  </sheetPr>
  <dimension ref="A1:AI2333"/>
  <sheetViews>
    <sheetView showGridLines="0" workbookViewId="0">
      <pane ySplit="1" topLeftCell="A2" activePane="bottomLeft" state="frozen"/>
      <selection pane="bottomLeft" activeCell="B3" sqref="B3"/>
    </sheetView>
  </sheetViews>
  <sheetFormatPr baseColWidth="10" defaultColWidth="12.6328125" defaultRowHeight="15.75" customHeight="1" x14ac:dyDescent="0.25"/>
  <cols>
    <col min="1" max="1" width="9.453125" customWidth="1"/>
    <col min="2" max="2" width="13.7265625" customWidth="1"/>
    <col min="3" max="3" width="9.36328125" customWidth="1"/>
    <col min="4" max="4" width="13.36328125" customWidth="1"/>
    <col min="5" max="5" width="28.6328125" customWidth="1"/>
    <col min="6" max="6" width="6.7265625" customWidth="1"/>
    <col min="7" max="7" width="8.453125" customWidth="1"/>
    <col min="8" max="8" width="7.36328125" customWidth="1"/>
    <col min="9" max="9" width="4.7265625" customWidth="1"/>
    <col min="10" max="10" width="22.7265625" customWidth="1"/>
    <col min="11" max="11" width="28.6328125" customWidth="1"/>
    <col min="12" max="12" width="10.08984375" customWidth="1"/>
    <col min="13" max="35" width="4.36328125" customWidth="1"/>
  </cols>
  <sheetData>
    <row r="1" spans="1:35" ht="14.25" customHeight="1" x14ac:dyDescent="0.3">
      <c r="A1" s="1" t="s">
        <v>0</v>
      </c>
      <c r="B1" s="2" t="s">
        <v>1</v>
      </c>
      <c r="C1" s="2" t="s">
        <v>2</v>
      </c>
      <c r="D1" s="2" t="s">
        <v>3</v>
      </c>
      <c r="E1" s="2" t="s">
        <v>4</v>
      </c>
      <c r="F1" s="2" t="s">
        <v>5</v>
      </c>
      <c r="G1" s="2" t="s">
        <v>6</v>
      </c>
      <c r="H1" s="2" t="s">
        <v>7</v>
      </c>
      <c r="I1" s="2" t="s">
        <v>8</v>
      </c>
      <c r="J1" s="8"/>
      <c r="K1" s="2" t="s">
        <v>11</v>
      </c>
      <c r="L1" s="8"/>
      <c r="M1" s="7"/>
      <c r="N1" s="8"/>
      <c r="O1" s="8"/>
      <c r="P1" s="8"/>
      <c r="Q1" s="8"/>
      <c r="R1" s="8"/>
      <c r="S1" s="8"/>
      <c r="T1" s="8"/>
      <c r="U1" s="8"/>
      <c r="V1" s="8"/>
      <c r="W1" s="8"/>
      <c r="X1" s="8"/>
      <c r="Y1" s="8"/>
      <c r="Z1" s="8"/>
      <c r="AA1" s="8"/>
      <c r="AB1" s="8"/>
      <c r="AC1" s="8"/>
      <c r="AD1" s="8"/>
      <c r="AE1" s="8"/>
      <c r="AF1" s="8"/>
      <c r="AG1" s="8"/>
      <c r="AH1" s="8" t="s">
        <v>8</v>
      </c>
      <c r="AI1" s="8" t="s">
        <v>13</v>
      </c>
    </row>
    <row r="2" spans="1:35" ht="14.25" hidden="1" customHeight="1" x14ac:dyDescent="0.3">
      <c r="A2" s="9">
        <v>1</v>
      </c>
      <c r="B2" s="10" t="s">
        <v>14</v>
      </c>
      <c r="C2" s="10" t="s">
        <v>15</v>
      </c>
      <c r="D2" s="10" t="s">
        <v>16</v>
      </c>
      <c r="E2" s="11" t="s">
        <v>21</v>
      </c>
      <c r="F2" s="11" t="s">
        <v>17</v>
      </c>
      <c r="G2" s="10" t="s">
        <v>18</v>
      </c>
      <c r="H2" s="11" t="s">
        <v>19</v>
      </c>
      <c r="I2" s="11" t="s">
        <v>20</v>
      </c>
      <c r="J2" s="11"/>
      <c r="K2" s="11" t="s">
        <v>21</v>
      </c>
      <c r="L2" s="11"/>
      <c r="M2" s="13" t="s">
        <v>22</v>
      </c>
      <c r="N2" s="11"/>
      <c r="O2" s="11"/>
      <c r="P2" s="11"/>
      <c r="Q2" s="11"/>
      <c r="R2" s="11"/>
      <c r="S2" s="11"/>
      <c r="T2" s="11"/>
      <c r="U2" s="11"/>
      <c r="V2" s="11"/>
      <c r="W2" s="11"/>
      <c r="X2" s="11"/>
      <c r="Y2" s="11"/>
      <c r="Z2" s="11"/>
      <c r="AA2" s="11"/>
      <c r="AB2" s="11"/>
      <c r="AC2" s="11"/>
      <c r="AD2" s="11"/>
      <c r="AE2" s="11"/>
      <c r="AF2" s="11"/>
      <c r="AG2" s="11"/>
      <c r="AH2" s="11"/>
      <c r="AI2" s="14">
        <f>COUNTA(A2:A2333)</f>
        <v>2332</v>
      </c>
    </row>
    <row r="3" spans="1:35" ht="14.25" hidden="1" customHeight="1" x14ac:dyDescent="0.25">
      <c r="A3" s="9">
        <v>2</v>
      </c>
      <c r="B3" s="10" t="s">
        <v>14</v>
      </c>
      <c r="C3" s="10" t="s">
        <v>15</v>
      </c>
      <c r="D3" s="10" t="s">
        <v>16</v>
      </c>
      <c r="E3" s="11" t="s">
        <v>21</v>
      </c>
      <c r="F3" s="11" t="s">
        <v>17</v>
      </c>
      <c r="G3" s="10" t="s">
        <v>18</v>
      </c>
      <c r="H3" s="11" t="s">
        <v>19</v>
      </c>
      <c r="I3" s="11" t="s">
        <v>20</v>
      </c>
      <c r="J3" s="11"/>
      <c r="K3" s="11" t="s">
        <v>21</v>
      </c>
      <c r="L3" s="11"/>
      <c r="M3" s="11"/>
      <c r="N3" s="11"/>
      <c r="O3" s="11"/>
      <c r="P3" s="11"/>
      <c r="Q3" s="11"/>
      <c r="R3" s="11"/>
      <c r="S3" s="11"/>
      <c r="T3" s="11"/>
      <c r="U3" s="11"/>
      <c r="V3" s="11"/>
      <c r="W3" s="11"/>
      <c r="X3" s="11"/>
      <c r="Y3" s="11"/>
      <c r="Z3" s="11"/>
      <c r="AA3" s="11"/>
      <c r="AB3" s="11"/>
      <c r="AC3" s="11"/>
      <c r="AD3" s="11"/>
      <c r="AE3" s="11"/>
      <c r="AF3" s="11"/>
      <c r="AG3" s="11"/>
      <c r="AH3" s="11"/>
      <c r="AI3" s="14"/>
    </row>
    <row r="4" spans="1:35" ht="14.25" hidden="1" customHeight="1" x14ac:dyDescent="0.25">
      <c r="A4" s="9">
        <v>3</v>
      </c>
      <c r="B4" s="10" t="s">
        <v>14</v>
      </c>
      <c r="C4" s="10" t="s">
        <v>15</v>
      </c>
      <c r="D4" s="10" t="s">
        <v>16</v>
      </c>
      <c r="E4" s="11" t="s">
        <v>21</v>
      </c>
      <c r="F4" s="11" t="s">
        <v>17</v>
      </c>
      <c r="G4" s="10" t="s">
        <v>18</v>
      </c>
      <c r="H4" s="11" t="s">
        <v>23</v>
      </c>
      <c r="I4" s="11" t="s">
        <v>20</v>
      </c>
      <c r="J4" s="11"/>
      <c r="K4" s="11" t="s">
        <v>21</v>
      </c>
      <c r="L4" s="11"/>
      <c r="M4" s="11"/>
      <c r="N4" s="11"/>
      <c r="O4" s="11"/>
      <c r="P4" s="11"/>
      <c r="Q4" s="11"/>
      <c r="R4" s="11"/>
      <c r="S4" s="11"/>
      <c r="T4" s="11"/>
      <c r="U4" s="11"/>
      <c r="V4" s="11"/>
      <c r="W4" s="11"/>
      <c r="X4" s="11"/>
      <c r="Y4" s="11"/>
      <c r="Z4" s="11"/>
      <c r="AA4" s="11"/>
      <c r="AB4" s="11"/>
      <c r="AC4" s="11"/>
      <c r="AD4" s="11"/>
      <c r="AE4" s="11"/>
      <c r="AF4" s="11"/>
      <c r="AG4" s="11"/>
      <c r="AH4" s="11"/>
      <c r="AI4" s="14"/>
    </row>
    <row r="5" spans="1:35" ht="14.25" hidden="1" customHeight="1" x14ac:dyDescent="0.25">
      <c r="A5" s="9">
        <v>4</v>
      </c>
      <c r="B5" s="10" t="s">
        <v>14</v>
      </c>
      <c r="C5" s="10" t="s">
        <v>15</v>
      </c>
      <c r="D5" s="10" t="s">
        <v>16</v>
      </c>
      <c r="E5" s="11" t="s">
        <v>21</v>
      </c>
      <c r="F5" s="11" t="s">
        <v>17</v>
      </c>
      <c r="G5" s="10" t="s">
        <v>24</v>
      </c>
      <c r="H5" s="11" t="s">
        <v>23</v>
      </c>
      <c r="I5" s="11" t="s">
        <v>20</v>
      </c>
      <c r="J5" s="11"/>
      <c r="K5" s="11" t="s">
        <v>21</v>
      </c>
      <c r="L5" s="11"/>
      <c r="M5" s="11"/>
      <c r="N5" s="11"/>
      <c r="O5" s="11"/>
      <c r="P5" s="11"/>
      <c r="Q5" s="11"/>
      <c r="R5" s="11"/>
      <c r="S5" s="11"/>
      <c r="T5" s="11"/>
      <c r="U5" s="11"/>
      <c r="V5" s="11"/>
      <c r="W5" s="11"/>
      <c r="X5" s="11"/>
      <c r="Y5" s="11"/>
      <c r="Z5" s="11"/>
      <c r="AA5" s="11"/>
      <c r="AB5" s="11"/>
      <c r="AC5" s="11"/>
      <c r="AD5" s="11"/>
      <c r="AE5" s="11"/>
      <c r="AF5" s="11"/>
      <c r="AG5" s="11"/>
      <c r="AH5" s="11"/>
      <c r="AI5" s="14"/>
    </row>
    <row r="6" spans="1:35" ht="14.25" hidden="1" customHeight="1" x14ac:dyDescent="0.25">
      <c r="A6" s="9">
        <v>5</v>
      </c>
      <c r="B6" s="10" t="s">
        <v>14</v>
      </c>
      <c r="C6" s="10" t="s">
        <v>15</v>
      </c>
      <c r="D6" s="10" t="s">
        <v>16</v>
      </c>
      <c r="E6" s="11" t="s">
        <v>21</v>
      </c>
      <c r="F6" s="11" t="s">
        <v>17</v>
      </c>
      <c r="G6" s="10" t="s">
        <v>18</v>
      </c>
      <c r="H6" s="11" t="s">
        <v>23</v>
      </c>
      <c r="I6" s="11" t="s">
        <v>20</v>
      </c>
      <c r="J6" s="11"/>
      <c r="K6" s="11" t="s">
        <v>21</v>
      </c>
      <c r="L6" s="11"/>
      <c r="M6" s="11"/>
      <c r="N6" s="11"/>
      <c r="O6" s="11"/>
      <c r="P6" s="11"/>
      <c r="Q6" s="11"/>
      <c r="R6" s="11"/>
      <c r="S6" s="11"/>
      <c r="T6" s="11"/>
      <c r="U6" s="11"/>
      <c r="V6" s="11"/>
      <c r="W6" s="11"/>
      <c r="X6" s="11"/>
      <c r="Y6" s="11"/>
      <c r="Z6" s="11"/>
      <c r="AA6" s="11"/>
      <c r="AB6" s="11"/>
      <c r="AC6" s="11"/>
      <c r="AD6" s="11"/>
      <c r="AE6" s="11"/>
      <c r="AF6" s="11"/>
      <c r="AG6" s="11"/>
      <c r="AH6" s="11"/>
      <c r="AI6" s="14"/>
    </row>
    <row r="7" spans="1:35" ht="14.25" hidden="1" customHeight="1" x14ac:dyDescent="0.25">
      <c r="A7" s="9">
        <v>6</v>
      </c>
      <c r="B7" s="10" t="s">
        <v>14</v>
      </c>
      <c r="C7" s="10" t="s">
        <v>15</v>
      </c>
      <c r="D7" s="10" t="s">
        <v>16</v>
      </c>
      <c r="E7" s="11" t="s">
        <v>21</v>
      </c>
      <c r="F7" s="11" t="s">
        <v>17</v>
      </c>
      <c r="G7" s="10" t="s">
        <v>24</v>
      </c>
      <c r="H7" s="11" t="s">
        <v>19</v>
      </c>
      <c r="I7" s="11" t="s">
        <v>20</v>
      </c>
      <c r="J7" s="11"/>
      <c r="K7" s="11" t="s">
        <v>21</v>
      </c>
      <c r="L7" s="11"/>
      <c r="M7" s="11"/>
      <c r="N7" s="11"/>
      <c r="O7" s="11"/>
      <c r="P7" s="11"/>
      <c r="Q7" s="11"/>
      <c r="R7" s="11"/>
      <c r="S7" s="11"/>
      <c r="T7" s="11"/>
      <c r="U7" s="11"/>
      <c r="V7" s="11"/>
      <c r="W7" s="11"/>
      <c r="X7" s="11"/>
      <c r="Y7" s="11"/>
      <c r="Z7" s="11"/>
      <c r="AA7" s="11"/>
      <c r="AB7" s="11"/>
      <c r="AC7" s="11"/>
      <c r="AD7" s="11"/>
      <c r="AE7" s="11"/>
      <c r="AF7" s="11"/>
      <c r="AG7" s="11"/>
      <c r="AH7" s="11"/>
      <c r="AI7" s="14"/>
    </row>
    <row r="8" spans="1:35" ht="14.25" hidden="1" customHeight="1" x14ac:dyDescent="0.25">
      <c r="A8" s="9">
        <v>7</v>
      </c>
      <c r="B8" s="10" t="s">
        <v>14</v>
      </c>
      <c r="C8" s="10" t="s">
        <v>15</v>
      </c>
      <c r="D8" s="10" t="s">
        <v>16</v>
      </c>
      <c r="E8" s="11" t="s">
        <v>21</v>
      </c>
      <c r="F8" s="11" t="s">
        <v>17</v>
      </c>
      <c r="G8" s="10" t="s">
        <v>24</v>
      </c>
      <c r="H8" s="11" t="s">
        <v>19</v>
      </c>
      <c r="I8" s="11" t="s">
        <v>20</v>
      </c>
      <c r="J8" s="11"/>
      <c r="K8" s="11" t="s">
        <v>21</v>
      </c>
      <c r="L8" s="11"/>
      <c r="M8" s="11"/>
      <c r="N8" s="11"/>
      <c r="O8" s="11"/>
      <c r="P8" s="11"/>
      <c r="Q8" s="11"/>
      <c r="R8" s="11"/>
      <c r="S8" s="11"/>
      <c r="T8" s="11"/>
      <c r="U8" s="11"/>
      <c r="V8" s="11"/>
      <c r="W8" s="11"/>
      <c r="X8" s="11"/>
      <c r="Y8" s="11"/>
      <c r="Z8" s="11"/>
      <c r="AA8" s="11"/>
      <c r="AB8" s="11"/>
      <c r="AC8" s="11"/>
      <c r="AD8" s="11"/>
      <c r="AE8" s="11"/>
      <c r="AF8" s="11"/>
      <c r="AG8" s="11"/>
      <c r="AH8" s="11"/>
      <c r="AI8" s="14"/>
    </row>
    <row r="9" spans="1:35" ht="14.25" hidden="1" customHeight="1" x14ac:dyDescent="0.25">
      <c r="A9" s="9">
        <v>8</v>
      </c>
      <c r="B9" s="10" t="s">
        <v>14</v>
      </c>
      <c r="C9" s="10" t="s">
        <v>15</v>
      </c>
      <c r="D9" s="10" t="s">
        <v>16</v>
      </c>
      <c r="E9" s="11" t="s">
        <v>21</v>
      </c>
      <c r="F9" s="11" t="s">
        <v>17</v>
      </c>
      <c r="G9" s="10" t="s">
        <v>24</v>
      </c>
      <c r="H9" s="11" t="s">
        <v>19</v>
      </c>
      <c r="I9" s="11" t="s">
        <v>20</v>
      </c>
      <c r="J9" s="11"/>
      <c r="K9" s="11" t="s">
        <v>21</v>
      </c>
      <c r="L9" s="11"/>
      <c r="M9" s="11"/>
      <c r="N9" s="11"/>
      <c r="O9" s="11"/>
      <c r="P9" s="11"/>
      <c r="Q9" s="11"/>
      <c r="R9" s="11"/>
      <c r="S9" s="11"/>
      <c r="T9" s="11"/>
      <c r="U9" s="11"/>
      <c r="V9" s="11"/>
      <c r="W9" s="11"/>
      <c r="X9" s="11"/>
      <c r="Y9" s="11"/>
      <c r="Z9" s="11"/>
      <c r="AA9" s="11"/>
      <c r="AB9" s="11"/>
      <c r="AC9" s="11"/>
      <c r="AD9" s="11"/>
      <c r="AE9" s="11"/>
      <c r="AF9" s="11"/>
      <c r="AG9" s="11"/>
      <c r="AH9" s="11"/>
      <c r="AI9" s="14"/>
    </row>
    <row r="10" spans="1:35" ht="14.25" hidden="1" customHeight="1" x14ac:dyDescent="0.25">
      <c r="A10" s="9">
        <v>9</v>
      </c>
      <c r="B10" s="10" t="s">
        <v>14</v>
      </c>
      <c r="C10" s="10" t="s">
        <v>15</v>
      </c>
      <c r="D10" s="10" t="s">
        <v>16</v>
      </c>
      <c r="E10" s="11" t="s">
        <v>21</v>
      </c>
      <c r="F10" s="11" t="s">
        <v>17</v>
      </c>
      <c r="G10" s="10" t="s">
        <v>18</v>
      </c>
      <c r="H10" s="11" t="s">
        <v>23</v>
      </c>
      <c r="I10" s="11" t="s">
        <v>20</v>
      </c>
      <c r="J10" s="11"/>
      <c r="K10" s="11" t="s">
        <v>21</v>
      </c>
      <c r="L10" s="11"/>
      <c r="M10" s="11"/>
      <c r="N10" s="11"/>
      <c r="O10" s="11"/>
      <c r="P10" s="11"/>
      <c r="Q10" s="11"/>
      <c r="R10" s="11"/>
      <c r="S10" s="11"/>
      <c r="T10" s="11"/>
      <c r="U10" s="11"/>
      <c r="V10" s="11"/>
      <c r="W10" s="11"/>
      <c r="X10" s="11"/>
      <c r="Y10" s="11"/>
      <c r="Z10" s="11"/>
      <c r="AA10" s="11"/>
      <c r="AB10" s="11"/>
      <c r="AC10" s="11"/>
      <c r="AD10" s="11"/>
      <c r="AE10" s="11"/>
      <c r="AF10" s="11"/>
      <c r="AG10" s="11"/>
      <c r="AH10" s="11"/>
      <c r="AI10" s="14"/>
    </row>
    <row r="11" spans="1:35" ht="14.25" hidden="1" customHeight="1" x14ac:dyDescent="0.25">
      <c r="A11" s="9">
        <v>10</v>
      </c>
      <c r="B11" s="10" t="s">
        <v>14</v>
      </c>
      <c r="C11" s="10" t="s">
        <v>15</v>
      </c>
      <c r="D11" s="10" t="s">
        <v>16</v>
      </c>
      <c r="E11" s="11" t="s">
        <v>21</v>
      </c>
      <c r="F11" s="11" t="s">
        <v>17</v>
      </c>
      <c r="G11" s="10" t="s">
        <v>24</v>
      </c>
      <c r="H11" s="11" t="s">
        <v>25</v>
      </c>
      <c r="I11" s="11" t="s">
        <v>20</v>
      </c>
      <c r="J11" s="11"/>
      <c r="K11" s="11" t="s">
        <v>21</v>
      </c>
      <c r="L11" s="11"/>
      <c r="M11" s="11"/>
      <c r="N11" s="11"/>
      <c r="O11" s="11"/>
      <c r="P11" s="11"/>
      <c r="Q11" s="11"/>
      <c r="R11" s="11"/>
      <c r="S11" s="11"/>
      <c r="T11" s="11"/>
      <c r="U11" s="11"/>
      <c r="V11" s="11"/>
      <c r="W11" s="11"/>
      <c r="X11" s="11"/>
      <c r="Y11" s="11"/>
      <c r="Z11" s="11"/>
      <c r="AA11" s="11"/>
      <c r="AB11" s="11"/>
      <c r="AC11" s="11"/>
      <c r="AD11" s="11"/>
      <c r="AE11" s="11"/>
      <c r="AF11" s="11"/>
      <c r="AG11" s="11"/>
      <c r="AH11" s="11"/>
      <c r="AI11" s="14"/>
    </row>
    <row r="12" spans="1:35" ht="14.25" hidden="1" customHeight="1" x14ac:dyDescent="0.25">
      <c r="A12" s="9">
        <v>11</v>
      </c>
      <c r="B12" s="10" t="s">
        <v>14</v>
      </c>
      <c r="C12" s="10" t="s">
        <v>15</v>
      </c>
      <c r="D12" s="10" t="s">
        <v>16</v>
      </c>
      <c r="E12" s="11" t="s">
        <v>21</v>
      </c>
      <c r="F12" s="11" t="s">
        <v>17</v>
      </c>
      <c r="G12" s="10" t="s">
        <v>18</v>
      </c>
      <c r="H12" s="11" t="s">
        <v>23</v>
      </c>
      <c r="I12" s="11" t="s">
        <v>20</v>
      </c>
      <c r="J12" s="11"/>
      <c r="K12" s="11" t="s">
        <v>21</v>
      </c>
      <c r="L12" s="11"/>
      <c r="M12" s="11"/>
      <c r="N12" s="11"/>
      <c r="O12" s="11"/>
      <c r="P12" s="11"/>
      <c r="Q12" s="11"/>
      <c r="R12" s="11"/>
      <c r="S12" s="11"/>
      <c r="T12" s="11"/>
      <c r="U12" s="11"/>
      <c r="V12" s="11"/>
      <c r="W12" s="11"/>
      <c r="X12" s="11"/>
      <c r="Y12" s="11"/>
      <c r="Z12" s="11"/>
      <c r="AA12" s="11"/>
      <c r="AB12" s="11"/>
      <c r="AC12" s="11"/>
      <c r="AD12" s="11"/>
      <c r="AE12" s="11"/>
      <c r="AF12" s="11"/>
      <c r="AG12" s="11"/>
      <c r="AH12" s="11"/>
      <c r="AI12" s="14"/>
    </row>
    <row r="13" spans="1:35" ht="14.25" hidden="1" customHeight="1" x14ac:dyDescent="0.25">
      <c r="A13" s="9">
        <v>12</v>
      </c>
      <c r="B13" s="10" t="s">
        <v>14</v>
      </c>
      <c r="C13" s="10" t="s">
        <v>15</v>
      </c>
      <c r="D13" s="10" t="s">
        <v>16</v>
      </c>
      <c r="E13" s="11" t="s">
        <v>21</v>
      </c>
      <c r="F13" s="11" t="s">
        <v>17</v>
      </c>
      <c r="G13" s="10" t="s">
        <v>24</v>
      </c>
      <c r="H13" s="11" t="s">
        <v>19</v>
      </c>
      <c r="I13" s="11" t="s">
        <v>20</v>
      </c>
      <c r="J13" s="11"/>
      <c r="K13" s="11" t="s">
        <v>21</v>
      </c>
      <c r="L13" s="11"/>
      <c r="M13" s="11"/>
      <c r="N13" s="11"/>
      <c r="O13" s="11"/>
      <c r="P13" s="11"/>
      <c r="Q13" s="11"/>
      <c r="R13" s="11"/>
      <c r="S13" s="11"/>
      <c r="T13" s="11"/>
      <c r="U13" s="11"/>
      <c r="V13" s="11"/>
      <c r="W13" s="11"/>
      <c r="X13" s="11"/>
      <c r="Y13" s="11"/>
      <c r="Z13" s="11"/>
      <c r="AA13" s="11"/>
      <c r="AB13" s="11"/>
      <c r="AC13" s="11"/>
      <c r="AD13" s="11"/>
      <c r="AE13" s="11"/>
      <c r="AF13" s="11"/>
      <c r="AG13" s="11"/>
      <c r="AH13" s="11"/>
      <c r="AI13" s="14"/>
    </row>
    <row r="14" spans="1:35" ht="14.25" hidden="1" customHeight="1" x14ac:dyDescent="0.25">
      <c r="A14" s="9">
        <v>13</v>
      </c>
      <c r="B14" s="10" t="s">
        <v>14</v>
      </c>
      <c r="C14" s="10" t="s">
        <v>15</v>
      </c>
      <c r="D14" s="10" t="s">
        <v>16</v>
      </c>
      <c r="E14" s="11" t="s">
        <v>21</v>
      </c>
      <c r="F14" s="11" t="s">
        <v>17</v>
      </c>
      <c r="G14" s="10" t="s">
        <v>24</v>
      </c>
      <c r="H14" s="11" t="s">
        <v>19</v>
      </c>
      <c r="I14" s="11" t="s">
        <v>20</v>
      </c>
      <c r="J14" s="11"/>
      <c r="K14" s="11" t="s">
        <v>21</v>
      </c>
      <c r="L14" s="11"/>
      <c r="M14" s="11"/>
      <c r="N14" s="11"/>
      <c r="O14" s="11"/>
      <c r="P14" s="11"/>
      <c r="Q14" s="11"/>
      <c r="R14" s="11"/>
      <c r="S14" s="11"/>
      <c r="T14" s="11"/>
      <c r="U14" s="11"/>
      <c r="V14" s="11"/>
      <c r="W14" s="11"/>
      <c r="X14" s="11"/>
      <c r="Y14" s="11"/>
      <c r="Z14" s="11"/>
      <c r="AA14" s="11"/>
      <c r="AB14" s="11"/>
      <c r="AC14" s="11"/>
      <c r="AD14" s="11"/>
      <c r="AE14" s="11"/>
      <c r="AF14" s="11"/>
      <c r="AG14" s="11"/>
      <c r="AH14" s="11"/>
      <c r="AI14" s="14"/>
    </row>
    <row r="15" spans="1:35" ht="14.25" hidden="1" customHeight="1" x14ac:dyDescent="0.25">
      <c r="A15" s="9">
        <v>14</v>
      </c>
      <c r="B15" s="10" t="s">
        <v>14</v>
      </c>
      <c r="C15" s="10" t="s">
        <v>15</v>
      </c>
      <c r="D15" s="10" t="s">
        <v>16</v>
      </c>
      <c r="E15" s="11" t="s">
        <v>21</v>
      </c>
      <c r="F15" s="11" t="s">
        <v>17</v>
      </c>
      <c r="G15" s="10" t="s">
        <v>24</v>
      </c>
      <c r="H15" s="11" t="s">
        <v>23</v>
      </c>
      <c r="I15" s="11" t="s">
        <v>20</v>
      </c>
      <c r="J15" s="11"/>
      <c r="K15" s="11" t="s">
        <v>21</v>
      </c>
      <c r="L15" s="11"/>
      <c r="M15" s="11"/>
      <c r="N15" s="11"/>
      <c r="O15" s="11"/>
      <c r="P15" s="11"/>
      <c r="Q15" s="11"/>
      <c r="R15" s="11"/>
      <c r="S15" s="11"/>
      <c r="T15" s="11"/>
      <c r="U15" s="11"/>
      <c r="V15" s="11"/>
      <c r="W15" s="11"/>
      <c r="X15" s="11"/>
      <c r="Y15" s="11"/>
      <c r="Z15" s="11"/>
      <c r="AA15" s="11"/>
      <c r="AB15" s="11"/>
      <c r="AC15" s="11"/>
      <c r="AD15" s="11"/>
      <c r="AE15" s="11"/>
      <c r="AF15" s="11"/>
      <c r="AG15" s="11"/>
      <c r="AH15" s="11"/>
      <c r="AI15" s="14"/>
    </row>
    <row r="16" spans="1:35" ht="14.25" hidden="1" customHeight="1" x14ac:dyDescent="0.25">
      <c r="A16" s="9">
        <v>15</v>
      </c>
      <c r="B16" s="10" t="s">
        <v>14</v>
      </c>
      <c r="C16" s="10" t="s">
        <v>15</v>
      </c>
      <c r="D16" s="10" t="s">
        <v>16</v>
      </c>
      <c r="E16" s="11" t="s">
        <v>21</v>
      </c>
      <c r="F16" s="11" t="s">
        <v>17</v>
      </c>
      <c r="G16" s="10" t="s">
        <v>18</v>
      </c>
      <c r="H16" s="11" t="s">
        <v>19</v>
      </c>
      <c r="I16" s="11" t="s">
        <v>20</v>
      </c>
      <c r="J16" s="11"/>
      <c r="K16" s="11" t="s">
        <v>21</v>
      </c>
      <c r="L16" s="11"/>
      <c r="M16" s="11"/>
      <c r="N16" s="11"/>
      <c r="O16" s="11"/>
      <c r="P16" s="11"/>
      <c r="Q16" s="11"/>
      <c r="R16" s="11"/>
      <c r="S16" s="11"/>
      <c r="T16" s="11"/>
      <c r="U16" s="11"/>
      <c r="V16" s="11"/>
      <c r="W16" s="11"/>
      <c r="X16" s="11"/>
      <c r="Y16" s="11"/>
      <c r="Z16" s="11"/>
      <c r="AA16" s="11"/>
      <c r="AB16" s="11"/>
      <c r="AC16" s="11"/>
      <c r="AD16" s="11"/>
      <c r="AE16" s="11"/>
      <c r="AF16" s="11"/>
      <c r="AG16" s="11"/>
      <c r="AH16" s="11"/>
      <c r="AI16" s="14"/>
    </row>
    <row r="17" spans="1:35" ht="14.25" hidden="1" customHeight="1" x14ac:dyDescent="0.25">
      <c r="A17" s="9">
        <v>16</v>
      </c>
      <c r="B17" s="10" t="s">
        <v>14</v>
      </c>
      <c r="C17" s="10" t="s">
        <v>15</v>
      </c>
      <c r="D17" s="10" t="s">
        <v>16</v>
      </c>
      <c r="E17" s="11" t="s">
        <v>21</v>
      </c>
      <c r="F17" s="11" t="s">
        <v>17</v>
      </c>
      <c r="G17" s="10" t="s">
        <v>18</v>
      </c>
      <c r="H17" s="11" t="s">
        <v>19</v>
      </c>
      <c r="I17" s="11" t="s">
        <v>20</v>
      </c>
      <c r="J17" s="11"/>
      <c r="K17" s="11" t="s">
        <v>21</v>
      </c>
      <c r="L17" s="11"/>
      <c r="M17" s="11"/>
      <c r="N17" s="11"/>
      <c r="O17" s="11"/>
      <c r="P17" s="11"/>
      <c r="Q17" s="11"/>
      <c r="R17" s="11"/>
      <c r="S17" s="11"/>
      <c r="T17" s="11"/>
      <c r="U17" s="11"/>
      <c r="V17" s="11"/>
      <c r="W17" s="11"/>
      <c r="X17" s="11"/>
      <c r="Y17" s="11"/>
      <c r="Z17" s="11"/>
      <c r="AA17" s="11"/>
      <c r="AB17" s="11"/>
      <c r="AC17" s="11"/>
      <c r="AD17" s="11"/>
      <c r="AE17" s="11"/>
      <c r="AF17" s="11"/>
      <c r="AG17" s="11"/>
      <c r="AH17" s="11"/>
      <c r="AI17" s="14"/>
    </row>
    <row r="18" spans="1:35" ht="14.25" hidden="1" customHeight="1" x14ac:dyDescent="0.25">
      <c r="A18" s="9">
        <v>17</v>
      </c>
      <c r="B18" s="10" t="s">
        <v>14</v>
      </c>
      <c r="C18" s="10" t="s">
        <v>15</v>
      </c>
      <c r="D18" s="10" t="s">
        <v>16</v>
      </c>
      <c r="E18" s="11" t="s">
        <v>21</v>
      </c>
      <c r="F18" s="11" t="s">
        <v>17</v>
      </c>
      <c r="G18" s="10" t="s">
        <v>24</v>
      </c>
      <c r="H18" s="11" t="s">
        <v>19</v>
      </c>
      <c r="I18" s="11" t="s">
        <v>20</v>
      </c>
      <c r="J18" s="11"/>
      <c r="K18" s="11" t="s">
        <v>21</v>
      </c>
      <c r="L18" s="11"/>
      <c r="M18" s="11"/>
      <c r="N18" s="11"/>
      <c r="O18" s="11"/>
      <c r="P18" s="11"/>
      <c r="Q18" s="11"/>
      <c r="R18" s="11"/>
      <c r="S18" s="11"/>
      <c r="T18" s="11"/>
      <c r="U18" s="11"/>
      <c r="V18" s="11"/>
      <c r="W18" s="11"/>
      <c r="X18" s="11"/>
      <c r="Y18" s="11"/>
      <c r="Z18" s="11"/>
      <c r="AA18" s="11"/>
      <c r="AB18" s="11"/>
      <c r="AC18" s="11"/>
      <c r="AD18" s="11"/>
      <c r="AE18" s="11"/>
      <c r="AF18" s="11"/>
      <c r="AG18" s="11"/>
      <c r="AH18" s="11"/>
      <c r="AI18" s="14"/>
    </row>
    <row r="19" spans="1:35" ht="14.25" hidden="1" customHeight="1" x14ac:dyDescent="0.25">
      <c r="A19" s="9">
        <v>18</v>
      </c>
      <c r="B19" s="10" t="s">
        <v>14</v>
      </c>
      <c r="C19" s="10" t="s">
        <v>15</v>
      </c>
      <c r="D19" s="10" t="s">
        <v>16</v>
      </c>
      <c r="E19" s="11" t="s">
        <v>21</v>
      </c>
      <c r="F19" s="11" t="s">
        <v>17</v>
      </c>
      <c r="G19" s="10" t="s">
        <v>24</v>
      </c>
      <c r="H19" s="11" t="s">
        <v>25</v>
      </c>
      <c r="I19" s="11" t="s">
        <v>20</v>
      </c>
      <c r="J19" s="11"/>
      <c r="K19" s="11" t="s">
        <v>21</v>
      </c>
      <c r="L19" s="11"/>
      <c r="M19" s="11"/>
      <c r="N19" s="11"/>
      <c r="O19" s="11"/>
      <c r="P19" s="11"/>
      <c r="Q19" s="11"/>
      <c r="R19" s="11"/>
      <c r="S19" s="11"/>
      <c r="T19" s="11"/>
      <c r="U19" s="11"/>
      <c r="V19" s="11"/>
      <c r="W19" s="11"/>
      <c r="X19" s="11"/>
      <c r="Y19" s="11"/>
      <c r="Z19" s="11"/>
      <c r="AA19" s="11"/>
      <c r="AB19" s="11"/>
      <c r="AC19" s="11"/>
      <c r="AD19" s="11"/>
      <c r="AE19" s="11"/>
      <c r="AF19" s="11"/>
      <c r="AG19" s="11"/>
      <c r="AH19" s="11"/>
      <c r="AI19" s="14"/>
    </row>
    <row r="20" spans="1:35" ht="14.25" hidden="1" customHeight="1" x14ac:dyDescent="0.25">
      <c r="A20" s="9">
        <v>19</v>
      </c>
      <c r="B20" s="10" t="s">
        <v>14</v>
      </c>
      <c r="C20" s="10" t="s">
        <v>15</v>
      </c>
      <c r="D20" s="10" t="s">
        <v>16</v>
      </c>
      <c r="E20" s="11" t="s">
        <v>21</v>
      </c>
      <c r="F20" s="11" t="s">
        <v>17</v>
      </c>
      <c r="G20" s="10" t="s">
        <v>24</v>
      </c>
      <c r="H20" s="11" t="s">
        <v>19</v>
      </c>
      <c r="I20" s="11" t="s">
        <v>20</v>
      </c>
      <c r="J20" s="11"/>
      <c r="K20" s="11" t="s">
        <v>21</v>
      </c>
      <c r="L20" s="11"/>
      <c r="M20" s="11"/>
      <c r="N20" s="11"/>
      <c r="O20" s="11"/>
      <c r="P20" s="11"/>
      <c r="Q20" s="11"/>
      <c r="R20" s="11"/>
      <c r="S20" s="11"/>
      <c r="T20" s="11"/>
      <c r="U20" s="11"/>
      <c r="V20" s="11"/>
      <c r="W20" s="11"/>
      <c r="X20" s="11"/>
      <c r="Y20" s="11"/>
      <c r="Z20" s="11"/>
      <c r="AA20" s="11"/>
      <c r="AB20" s="11"/>
      <c r="AC20" s="11"/>
      <c r="AD20" s="11"/>
      <c r="AE20" s="11"/>
      <c r="AF20" s="11"/>
      <c r="AG20" s="11"/>
      <c r="AH20" s="11"/>
      <c r="AI20" s="14"/>
    </row>
    <row r="21" spans="1:35" ht="14.25" hidden="1" customHeight="1" x14ac:dyDescent="0.25">
      <c r="A21" s="9">
        <v>20</v>
      </c>
      <c r="B21" s="10" t="s">
        <v>14</v>
      </c>
      <c r="C21" s="10" t="s">
        <v>15</v>
      </c>
      <c r="D21" s="10" t="s">
        <v>16</v>
      </c>
      <c r="E21" s="11" t="s">
        <v>21</v>
      </c>
      <c r="F21" s="11" t="s">
        <v>17</v>
      </c>
      <c r="G21" s="10" t="s">
        <v>18</v>
      </c>
      <c r="H21" s="11" t="s">
        <v>19</v>
      </c>
      <c r="I21" s="11" t="s">
        <v>20</v>
      </c>
      <c r="J21" s="11"/>
      <c r="K21" s="11" t="s">
        <v>21</v>
      </c>
      <c r="L21" s="11"/>
      <c r="M21" s="11"/>
      <c r="N21" s="11"/>
      <c r="O21" s="11"/>
      <c r="P21" s="11"/>
      <c r="Q21" s="11"/>
      <c r="R21" s="11"/>
      <c r="S21" s="11"/>
      <c r="T21" s="11"/>
      <c r="U21" s="11"/>
      <c r="V21" s="11"/>
      <c r="W21" s="11"/>
      <c r="X21" s="11"/>
      <c r="Y21" s="11"/>
      <c r="Z21" s="11"/>
      <c r="AA21" s="11"/>
      <c r="AB21" s="11"/>
      <c r="AC21" s="11"/>
      <c r="AD21" s="11"/>
      <c r="AE21" s="11"/>
      <c r="AF21" s="11"/>
      <c r="AG21" s="11"/>
      <c r="AH21" s="11"/>
      <c r="AI21" s="14"/>
    </row>
    <row r="22" spans="1:35" ht="14.25" hidden="1" customHeight="1" x14ac:dyDescent="0.25">
      <c r="A22" s="9">
        <v>21</v>
      </c>
      <c r="B22" s="10" t="s">
        <v>14</v>
      </c>
      <c r="C22" s="10" t="s">
        <v>15</v>
      </c>
      <c r="D22" s="10" t="s">
        <v>16</v>
      </c>
      <c r="E22" s="11" t="s">
        <v>21</v>
      </c>
      <c r="F22" s="11" t="s">
        <v>17</v>
      </c>
      <c r="G22" s="10" t="s">
        <v>18</v>
      </c>
      <c r="H22" s="11" t="s">
        <v>19</v>
      </c>
      <c r="I22" s="11" t="s">
        <v>20</v>
      </c>
      <c r="J22" s="11"/>
      <c r="K22" s="11" t="s">
        <v>21</v>
      </c>
      <c r="L22" s="11"/>
      <c r="M22" s="11"/>
      <c r="N22" s="11"/>
      <c r="O22" s="11"/>
      <c r="P22" s="11"/>
      <c r="Q22" s="11"/>
      <c r="R22" s="11"/>
      <c r="S22" s="11"/>
      <c r="T22" s="11"/>
      <c r="U22" s="11"/>
      <c r="V22" s="11"/>
      <c r="W22" s="11"/>
      <c r="X22" s="11"/>
      <c r="Y22" s="11"/>
      <c r="Z22" s="11"/>
      <c r="AA22" s="11"/>
      <c r="AB22" s="11"/>
      <c r="AC22" s="11"/>
      <c r="AD22" s="11"/>
      <c r="AE22" s="11"/>
      <c r="AF22" s="11"/>
      <c r="AG22" s="11"/>
      <c r="AH22" s="11"/>
      <c r="AI22" s="14"/>
    </row>
    <row r="23" spans="1:35" ht="14.25" hidden="1" customHeight="1" x14ac:dyDescent="0.25">
      <c r="A23" s="9">
        <v>22</v>
      </c>
      <c r="B23" s="10" t="s">
        <v>14</v>
      </c>
      <c r="C23" s="10" t="s">
        <v>15</v>
      </c>
      <c r="D23" s="10" t="s">
        <v>16</v>
      </c>
      <c r="E23" s="11" t="s">
        <v>21</v>
      </c>
      <c r="F23" s="11" t="s">
        <v>17</v>
      </c>
      <c r="G23" s="10" t="s">
        <v>18</v>
      </c>
      <c r="H23" s="11" t="s">
        <v>19</v>
      </c>
      <c r="I23" s="11" t="s">
        <v>20</v>
      </c>
      <c r="J23" s="11"/>
      <c r="K23" s="11" t="s">
        <v>21</v>
      </c>
      <c r="L23" s="11"/>
      <c r="M23" s="11"/>
      <c r="N23" s="11"/>
      <c r="O23" s="11"/>
      <c r="P23" s="11"/>
      <c r="Q23" s="11"/>
      <c r="R23" s="11"/>
      <c r="S23" s="11"/>
      <c r="T23" s="11"/>
      <c r="U23" s="11"/>
      <c r="V23" s="11"/>
      <c r="W23" s="11"/>
      <c r="X23" s="11"/>
      <c r="Y23" s="11"/>
      <c r="Z23" s="11"/>
      <c r="AA23" s="11"/>
      <c r="AB23" s="11"/>
      <c r="AC23" s="11"/>
      <c r="AD23" s="11"/>
      <c r="AE23" s="11"/>
      <c r="AF23" s="11"/>
      <c r="AG23" s="11"/>
      <c r="AH23" s="11"/>
      <c r="AI23" s="14"/>
    </row>
    <row r="24" spans="1:35" ht="14.25" hidden="1" customHeight="1" x14ac:dyDescent="0.25">
      <c r="A24" s="9">
        <v>23</v>
      </c>
      <c r="B24" s="10" t="s">
        <v>14</v>
      </c>
      <c r="C24" s="10" t="s">
        <v>15</v>
      </c>
      <c r="D24" s="10" t="s">
        <v>16</v>
      </c>
      <c r="E24" s="11" t="s">
        <v>26</v>
      </c>
      <c r="F24" s="11" t="s">
        <v>17</v>
      </c>
      <c r="G24" s="10" t="s">
        <v>18</v>
      </c>
      <c r="H24" s="11" t="s">
        <v>19</v>
      </c>
      <c r="I24" s="11" t="s">
        <v>20</v>
      </c>
      <c r="J24" s="11"/>
      <c r="K24" s="11">
        <v>20104</v>
      </c>
      <c r="L24" s="11"/>
      <c r="M24" s="11"/>
      <c r="N24" s="11"/>
      <c r="O24" s="11"/>
      <c r="P24" s="11"/>
      <c r="Q24" s="11"/>
      <c r="R24" s="11"/>
      <c r="S24" s="11"/>
      <c r="T24" s="11"/>
      <c r="U24" s="11"/>
      <c r="V24" s="11"/>
      <c r="W24" s="11"/>
      <c r="X24" s="11"/>
      <c r="Y24" s="11"/>
      <c r="Z24" s="11"/>
      <c r="AA24" s="11"/>
      <c r="AB24" s="11"/>
      <c r="AC24" s="11"/>
      <c r="AD24" s="11"/>
      <c r="AE24" s="11"/>
      <c r="AF24" s="11"/>
      <c r="AG24" s="11"/>
      <c r="AH24" s="11"/>
      <c r="AI24" s="14"/>
    </row>
    <row r="25" spans="1:35" ht="14.25" hidden="1" customHeight="1" x14ac:dyDescent="0.25">
      <c r="A25" s="9">
        <v>24</v>
      </c>
      <c r="B25" s="10" t="s">
        <v>14</v>
      </c>
      <c r="C25" s="10" t="s">
        <v>15</v>
      </c>
      <c r="D25" s="10" t="s">
        <v>16</v>
      </c>
      <c r="E25" s="11" t="s">
        <v>26</v>
      </c>
      <c r="F25" s="11" t="s">
        <v>17</v>
      </c>
      <c r="G25" s="10" t="s">
        <v>18</v>
      </c>
      <c r="H25" s="11" t="s">
        <v>19</v>
      </c>
      <c r="I25" s="11" t="s">
        <v>20</v>
      </c>
      <c r="J25" s="11"/>
      <c r="K25" s="11">
        <v>20104</v>
      </c>
      <c r="L25" s="11"/>
      <c r="M25" s="11"/>
      <c r="N25" s="11"/>
      <c r="O25" s="11"/>
      <c r="P25" s="11"/>
      <c r="Q25" s="11"/>
      <c r="R25" s="11"/>
      <c r="S25" s="11"/>
      <c r="T25" s="11"/>
      <c r="U25" s="11"/>
      <c r="V25" s="11"/>
      <c r="W25" s="11"/>
      <c r="X25" s="11"/>
      <c r="Y25" s="11"/>
      <c r="Z25" s="11"/>
      <c r="AA25" s="11"/>
      <c r="AB25" s="11"/>
      <c r="AC25" s="11"/>
      <c r="AD25" s="11"/>
      <c r="AE25" s="11"/>
      <c r="AF25" s="11"/>
      <c r="AG25" s="11"/>
      <c r="AH25" s="11"/>
      <c r="AI25" s="14"/>
    </row>
    <row r="26" spans="1:35" ht="14.25" hidden="1" customHeight="1" x14ac:dyDescent="0.25">
      <c r="A26" s="9">
        <v>25</v>
      </c>
      <c r="B26" s="10" t="s">
        <v>14</v>
      </c>
      <c r="C26" s="10" t="s">
        <v>15</v>
      </c>
      <c r="D26" s="10" t="s">
        <v>16</v>
      </c>
      <c r="E26" s="11" t="s">
        <v>26</v>
      </c>
      <c r="F26" s="11" t="s">
        <v>17</v>
      </c>
      <c r="G26" s="10" t="s">
        <v>18</v>
      </c>
      <c r="H26" s="11" t="s">
        <v>19</v>
      </c>
      <c r="I26" s="11" t="s">
        <v>20</v>
      </c>
      <c r="J26" s="11"/>
      <c r="K26" s="11">
        <v>20104</v>
      </c>
      <c r="L26" s="11"/>
      <c r="M26" s="11"/>
      <c r="N26" s="11"/>
      <c r="O26" s="11"/>
      <c r="P26" s="11"/>
      <c r="Q26" s="11"/>
      <c r="R26" s="11"/>
      <c r="S26" s="11"/>
      <c r="T26" s="11"/>
      <c r="U26" s="11"/>
      <c r="V26" s="11"/>
      <c r="W26" s="11"/>
      <c r="X26" s="11"/>
      <c r="Y26" s="11"/>
      <c r="Z26" s="11"/>
      <c r="AA26" s="11"/>
      <c r="AB26" s="11"/>
      <c r="AC26" s="11"/>
      <c r="AD26" s="11"/>
      <c r="AE26" s="11"/>
      <c r="AF26" s="11"/>
      <c r="AG26" s="11"/>
      <c r="AH26" s="11"/>
      <c r="AI26" s="14"/>
    </row>
    <row r="27" spans="1:35" ht="14.25" hidden="1" customHeight="1" x14ac:dyDescent="0.25">
      <c r="A27" s="9">
        <v>26</v>
      </c>
      <c r="B27" s="10" t="s">
        <v>14</v>
      </c>
      <c r="C27" s="10" t="s">
        <v>15</v>
      </c>
      <c r="D27" s="10" t="s">
        <v>16</v>
      </c>
      <c r="E27" s="11" t="s">
        <v>26</v>
      </c>
      <c r="F27" s="11" t="s">
        <v>17</v>
      </c>
      <c r="G27" s="10" t="s">
        <v>18</v>
      </c>
      <c r="H27" s="11" t="s">
        <v>19</v>
      </c>
      <c r="I27" s="11" t="s">
        <v>20</v>
      </c>
      <c r="J27" s="11"/>
      <c r="K27" s="11">
        <v>20104</v>
      </c>
      <c r="L27" s="11"/>
      <c r="M27" s="11"/>
      <c r="N27" s="11"/>
      <c r="O27" s="11"/>
      <c r="P27" s="11"/>
      <c r="Q27" s="11"/>
      <c r="R27" s="11"/>
      <c r="S27" s="11"/>
      <c r="T27" s="11"/>
      <c r="U27" s="11"/>
      <c r="V27" s="11"/>
      <c r="W27" s="11"/>
      <c r="X27" s="11"/>
      <c r="Y27" s="11"/>
      <c r="Z27" s="11"/>
      <c r="AA27" s="11"/>
      <c r="AB27" s="11"/>
      <c r="AC27" s="11"/>
      <c r="AD27" s="11"/>
      <c r="AE27" s="11"/>
      <c r="AF27" s="11"/>
      <c r="AG27" s="11"/>
      <c r="AH27" s="11"/>
      <c r="AI27" s="14"/>
    </row>
    <row r="28" spans="1:35" ht="14.25" hidden="1" customHeight="1" x14ac:dyDescent="0.25">
      <c r="A28" s="9">
        <v>27</v>
      </c>
      <c r="B28" s="10" t="s">
        <v>14</v>
      </c>
      <c r="C28" s="10" t="s">
        <v>15</v>
      </c>
      <c r="D28" s="10" t="s">
        <v>16</v>
      </c>
      <c r="E28" s="11" t="s">
        <v>26</v>
      </c>
      <c r="F28" s="11" t="s">
        <v>17</v>
      </c>
      <c r="G28" s="10" t="s">
        <v>24</v>
      </c>
      <c r="H28" s="11" t="s">
        <v>19</v>
      </c>
      <c r="I28" s="11" t="s">
        <v>20</v>
      </c>
      <c r="J28" s="11"/>
      <c r="K28" s="11">
        <v>20104</v>
      </c>
      <c r="L28" s="11"/>
      <c r="M28" s="11"/>
      <c r="N28" s="11"/>
      <c r="O28" s="11"/>
      <c r="P28" s="11"/>
      <c r="Q28" s="11"/>
      <c r="R28" s="11"/>
      <c r="S28" s="11"/>
      <c r="T28" s="11"/>
      <c r="U28" s="11"/>
      <c r="V28" s="11"/>
      <c r="W28" s="11"/>
      <c r="X28" s="11"/>
      <c r="Y28" s="11"/>
      <c r="Z28" s="11"/>
      <c r="AA28" s="11"/>
      <c r="AB28" s="11"/>
      <c r="AC28" s="11"/>
      <c r="AD28" s="11"/>
      <c r="AE28" s="11"/>
      <c r="AF28" s="11"/>
      <c r="AG28" s="11"/>
      <c r="AH28" s="11"/>
      <c r="AI28" s="14"/>
    </row>
    <row r="29" spans="1:35" ht="14.25" hidden="1" customHeight="1" x14ac:dyDescent="0.25">
      <c r="A29" s="9">
        <v>28</v>
      </c>
      <c r="B29" s="10" t="s">
        <v>14</v>
      </c>
      <c r="C29" s="10" t="s">
        <v>15</v>
      </c>
      <c r="D29" s="10" t="s">
        <v>16</v>
      </c>
      <c r="E29" s="11" t="s">
        <v>26</v>
      </c>
      <c r="F29" s="11" t="s">
        <v>17</v>
      </c>
      <c r="G29" s="10" t="s">
        <v>24</v>
      </c>
      <c r="H29" s="11" t="s">
        <v>19</v>
      </c>
      <c r="I29" s="11" t="s">
        <v>20</v>
      </c>
      <c r="J29" s="11"/>
      <c r="K29" s="11">
        <v>20104</v>
      </c>
      <c r="L29" s="11"/>
      <c r="M29" s="11"/>
      <c r="N29" s="11"/>
      <c r="O29" s="11"/>
      <c r="P29" s="11"/>
      <c r="Q29" s="11"/>
      <c r="R29" s="11"/>
      <c r="S29" s="11"/>
      <c r="T29" s="11"/>
      <c r="U29" s="11"/>
      <c r="V29" s="11"/>
      <c r="W29" s="11"/>
      <c r="X29" s="11"/>
      <c r="Y29" s="11"/>
      <c r="Z29" s="11"/>
      <c r="AA29" s="11"/>
      <c r="AB29" s="11"/>
      <c r="AC29" s="11"/>
      <c r="AD29" s="11"/>
      <c r="AE29" s="11"/>
      <c r="AF29" s="11"/>
      <c r="AG29" s="11"/>
      <c r="AH29" s="11"/>
      <c r="AI29" s="14"/>
    </row>
    <row r="30" spans="1:35" ht="14.25" hidden="1" customHeight="1" x14ac:dyDescent="0.25">
      <c r="A30" s="9">
        <v>29</v>
      </c>
      <c r="B30" s="10" t="s">
        <v>14</v>
      </c>
      <c r="C30" s="10" t="s">
        <v>15</v>
      </c>
      <c r="D30" s="10" t="s">
        <v>16</v>
      </c>
      <c r="E30" s="11" t="s">
        <v>26</v>
      </c>
      <c r="F30" s="11" t="s">
        <v>17</v>
      </c>
      <c r="G30" s="10" t="s">
        <v>24</v>
      </c>
      <c r="H30" s="11" t="s">
        <v>19</v>
      </c>
      <c r="I30" s="11" t="s">
        <v>20</v>
      </c>
      <c r="J30" s="11"/>
      <c r="K30" s="11">
        <v>20104</v>
      </c>
      <c r="L30" s="11"/>
      <c r="M30" s="11"/>
      <c r="N30" s="11"/>
      <c r="O30" s="11"/>
      <c r="P30" s="11"/>
      <c r="Q30" s="11"/>
      <c r="R30" s="11"/>
      <c r="S30" s="11"/>
      <c r="T30" s="11"/>
      <c r="U30" s="11"/>
      <c r="V30" s="11"/>
      <c r="W30" s="11"/>
      <c r="X30" s="11"/>
      <c r="Y30" s="11"/>
      <c r="Z30" s="11"/>
      <c r="AA30" s="11"/>
      <c r="AB30" s="11"/>
      <c r="AC30" s="11"/>
      <c r="AD30" s="11"/>
      <c r="AE30" s="11"/>
      <c r="AF30" s="11"/>
      <c r="AG30" s="11"/>
      <c r="AH30" s="11"/>
      <c r="AI30" s="14"/>
    </row>
    <row r="31" spans="1:35" ht="14.25" hidden="1" customHeight="1" x14ac:dyDescent="0.25">
      <c r="A31" s="9">
        <v>30</v>
      </c>
      <c r="B31" s="10" t="s">
        <v>14</v>
      </c>
      <c r="C31" s="10" t="s">
        <v>15</v>
      </c>
      <c r="D31" s="10" t="s">
        <v>16</v>
      </c>
      <c r="E31" s="11" t="s">
        <v>27</v>
      </c>
      <c r="F31" s="11" t="s">
        <v>17</v>
      </c>
      <c r="G31" s="10" t="s">
        <v>18</v>
      </c>
      <c r="H31" s="11" t="s">
        <v>19</v>
      </c>
      <c r="I31" s="11" t="s">
        <v>20</v>
      </c>
      <c r="J31" s="11"/>
      <c r="K31" s="11">
        <v>14975</v>
      </c>
      <c r="L31" s="11"/>
      <c r="M31" s="11"/>
      <c r="N31" s="11"/>
      <c r="O31" s="11"/>
      <c r="P31" s="11"/>
      <c r="Q31" s="11"/>
      <c r="R31" s="11"/>
      <c r="S31" s="11"/>
      <c r="T31" s="11"/>
      <c r="U31" s="11"/>
      <c r="V31" s="11"/>
      <c r="W31" s="11"/>
      <c r="X31" s="11"/>
      <c r="Y31" s="11"/>
      <c r="Z31" s="11"/>
      <c r="AA31" s="11"/>
      <c r="AB31" s="11"/>
      <c r="AC31" s="11"/>
      <c r="AD31" s="11"/>
      <c r="AE31" s="11"/>
      <c r="AF31" s="11"/>
      <c r="AG31" s="11"/>
      <c r="AH31" s="11"/>
      <c r="AI31" s="14"/>
    </row>
    <row r="32" spans="1:35" ht="14.25" hidden="1" customHeight="1" x14ac:dyDescent="0.25">
      <c r="A32" s="9">
        <v>31</v>
      </c>
      <c r="B32" s="10" t="s">
        <v>14</v>
      </c>
      <c r="C32" s="10" t="s">
        <v>15</v>
      </c>
      <c r="D32" s="10" t="s">
        <v>16</v>
      </c>
      <c r="E32" s="11" t="s">
        <v>27</v>
      </c>
      <c r="F32" s="11" t="s">
        <v>17</v>
      </c>
      <c r="G32" s="10" t="s">
        <v>18</v>
      </c>
      <c r="H32" s="11" t="s">
        <v>19</v>
      </c>
      <c r="I32" s="11" t="s">
        <v>20</v>
      </c>
      <c r="J32" s="11"/>
      <c r="K32" s="11">
        <v>14975</v>
      </c>
      <c r="L32" s="11"/>
      <c r="M32" s="11"/>
      <c r="N32" s="11"/>
      <c r="O32" s="11"/>
      <c r="P32" s="11"/>
      <c r="Q32" s="11"/>
      <c r="R32" s="11"/>
      <c r="S32" s="11"/>
      <c r="T32" s="11"/>
      <c r="U32" s="11"/>
      <c r="V32" s="11"/>
      <c r="W32" s="11"/>
      <c r="X32" s="11"/>
      <c r="Y32" s="11"/>
      <c r="Z32" s="11"/>
      <c r="AA32" s="11"/>
      <c r="AB32" s="11"/>
      <c r="AC32" s="11"/>
      <c r="AD32" s="11"/>
      <c r="AE32" s="11"/>
      <c r="AF32" s="11"/>
      <c r="AG32" s="11"/>
      <c r="AH32" s="11"/>
      <c r="AI32" s="14"/>
    </row>
    <row r="33" spans="1:35" ht="14.25" hidden="1" customHeight="1" x14ac:dyDescent="0.25">
      <c r="A33" s="9">
        <v>32</v>
      </c>
      <c r="B33" s="10" t="s">
        <v>14</v>
      </c>
      <c r="C33" s="10" t="s">
        <v>15</v>
      </c>
      <c r="D33" s="10" t="s">
        <v>16</v>
      </c>
      <c r="E33" s="11" t="s">
        <v>27</v>
      </c>
      <c r="F33" s="11" t="s">
        <v>17</v>
      </c>
      <c r="G33" s="10" t="s">
        <v>18</v>
      </c>
      <c r="H33" s="11" t="s">
        <v>23</v>
      </c>
      <c r="I33" s="11" t="s">
        <v>20</v>
      </c>
      <c r="J33" s="11"/>
      <c r="K33" s="11">
        <v>14975</v>
      </c>
      <c r="L33" s="11"/>
      <c r="M33" s="11"/>
      <c r="N33" s="11"/>
      <c r="O33" s="11"/>
      <c r="P33" s="11"/>
      <c r="Q33" s="11"/>
      <c r="R33" s="11"/>
      <c r="S33" s="11"/>
      <c r="T33" s="11"/>
      <c r="U33" s="11"/>
      <c r="V33" s="11"/>
      <c r="W33" s="11"/>
      <c r="X33" s="11"/>
      <c r="Y33" s="11"/>
      <c r="Z33" s="11"/>
      <c r="AA33" s="11"/>
      <c r="AB33" s="11"/>
      <c r="AC33" s="11"/>
      <c r="AD33" s="11"/>
      <c r="AE33" s="11"/>
      <c r="AF33" s="11"/>
      <c r="AG33" s="11"/>
      <c r="AH33" s="11"/>
      <c r="AI33" s="14"/>
    </row>
    <row r="34" spans="1:35" ht="14.25" hidden="1" customHeight="1" x14ac:dyDescent="0.25">
      <c r="A34" s="9">
        <v>33</v>
      </c>
      <c r="B34" s="10" t="s">
        <v>14</v>
      </c>
      <c r="C34" s="10" t="s">
        <v>15</v>
      </c>
      <c r="D34" s="10" t="s">
        <v>16</v>
      </c>
      <c r="E34" s="11" t="s">
        <v>27</v>
      </c>
      <c r="F34" s="11" t="s">
        <v>17</v>
      </c>
      <c r="G34" s="10" t="s">
        <v>24</v>
      </c>
      <c r="H34" s="11" t="s">
        <v>19</v>
      </c>
      <c r="I34" s="11" t="s">
        <v>20</v>
      </c>
      <c r="J34" s="11"/>
      <c r="K34" s="11">
        <v>14975</v>
      </c>
      <c r="L34" s="11"/>
      <c r="M34" s="11"/>
      <c r="N34" s="11"/>
      <c r="O34" s="11"/>
      <c r="P34" s="11"/>
      <c r="Q34" s="11"/>
      <c r="R34" s="11"/>
      <c r="S34" s="11"/>
      <c r="T34" s="11"/>
      <c r="U34" s="11"/>
      <c r="V34" s="11"/>
      <c r="W34" s="11"/>
      <c r="X34" s="11"/>
      <c r="Y34" s="11"/>
      <c r="Z34" s="11"/>
      <c r="AA34" s="11"/>
      <c r="AB34" s="11"/>
      <c r="AC34" s="11"/>
      <c r="AD34" s="11"/>
      <c r="AE34" s="11"/>
      <c r="AF34" s="11"/>
      <c r="AG34" s="11"/>
      <c r="AH34" s="11"/>
      <c r="AI34" s="14"/>
    </row>
    <row r="35" spans="1:35" ht="14.25" hidden="1" customHeight="1" x14ac:dyDescent="0.25">
      <c r="A35" s="9">
        <v>34</v>
      </c>
      <c r="B35" s="10" t="s">
        <v>14</v>
      </c>
      <c r="C35" s="10" t="s">
        <v>15</v>
      </c>
      <c r="D35" s="10" t="s">
        <v>16</v>
      </c>
      <c r="E35" s="11" t="s">
        <v>27</v>
      </c>
      <c r="F35" s="11" t="s">
        <v>17</v>
      </c>
      <c r="G35" s="10" t="s">
        <v>24</v>
      </c>
      <c r="H35" s="11" t="s">
        <v>19</v>
      </c>
      <c r="I35" s="11" t="s">
        <v>20</v>
      </c>
      <c r="J35" s="11"/>
      <c r="K35" s="11">
        <v>14975</v>
      </c>
      <c r="L35" s="11"/>
      <c r="M35" s="11"/>
      <c r="N35" s="11"/>
      <c r="O35" s="11"/>
      <c r="P35" s="11"/>
      <c r="Q35" s="11"/>
      <c r="R35" s="11"/>
      <c r="S35" s="11"/>
      <c r="T35" s="11"/>
      <c r="U35" s="11"/>
      <c r="V35" s="11"/>
      <c r="W35" s="11"/>
      <c r="X35" s="11"/>
      <c r="Y35" s="11"/>
      <c r="Z35" s="11"/>
      <c r="AA35" s="11"/>
      <c r="AB35" s="11"/>
      <c r="AC35" s="11"/>
      <c r="AD35" s="11"/>
      <c r="AE35" s="11"/>
      <c r="AF35" s="11"/>
      <c r="AG35" s="11"/>
      <c r="AH35" s="11"/>
      <c r="AI35" s="14"/>
    </row>
    <row r="36" spans="1:35" ht="14.25" hidden="1" customHeight="1" x14ac:dyDescent="0.25">
      <c r="A36" s="9">
        <v>35</v>
      </c>
      <c r="B36" s="10" t="s">
        <v>14</v>
      </c>
      <c r="C36" s="10" t="s">
        <v>15</v>
      </c>
      <c r="D36" s="10" t="s">
        <v>16</v>
      </c>
      <c r="E36" s="11" t="s">
        <v>27</v>
      </c>
      <c r="F36" s="11" t="s">
        <v>17</v>
      </c>
      <c r="G36" s="10" t="s">
        <v>24</v>
      </c>
      <c r="H36" s="11" t="s">
        <v>23</v>
      </c>
      <c r="I36" s="11" t="s">
        <v>20</v>
      </c>
      <c r="J36" s="11"/>
      <c r="K36" s="11">
        <v>14975</v>
      </c>
      <c r="L36" s="11"/>
      <c r="M36" s="11"/>
      <c r="N36" s="11"/>
      <c r="O36" s="11"/>
      <c r="P36" s="11"/>
      <c r="Q36" s="11"/>
      <c r="R36" s="11"/>
      <c r="S36" s="11"/>
      <c r="T36" s="11"/>
      <c r="U36" s="11"/>
      <c r="V36" s="11"/>
      <c r="W36" s="11"/>
      <c r="X36" s="11"/>
      <c r="Y36" s="11"/>
      <c r="Z36" s="11"/>
      <c r="AA36" s="11"/>
      <c r="AB36" s="11"/>
      <c r="AC36" s="11"/>
      <c r="AD36" s="11"/>
      <c r="AE36" s="11"/>
      <c r="AF36" s="11"/>
      <c r="AG36" s="11"/>
      <c r="AH36" s="11"/>
      <c r="AI36" s="14"/>
    </row>
    <row r="37" spans="1:35" ht="14.25" hidden="1" customHeight="1" x14ac:dyDescent="0.25">
      <c r="A37" s="9">
        <v>36</v>
      </c>
      <c r="B37" s="10" t="s">
        <v>14</v>
      </c>
      <c r="C37" s="10" t="s">
        <v>15</v>
      </c>
      <c r="D37" s="10" t="s">
        <v>16</v>
      </c>
      <c r="E37" s="11" t="s">
        <v>28</v>
      </c>
      <c r="F37" s="11" t="s">
        <v>17</v>
      </c>
      <c r="G37" s="10" t="s">
        <v>18</v>
      </c>
      <c r="H37" s="11" t="s">
        <v>19</v>
      </c>
      <c r="I37" s="11" t="s">
        <v>20</v>
      </c>
      <c r="J37" s="11"/>
      <c r="K37" s="11">
        <v>15304</v>
      </c>
      <c r="L37" s="11"/>
      <c r="M37" s="11"/>
      <c r="N37" s="11"/>
      <c r="O37" s="11"/>
      <c r="P37" s="11"/>
      <c r="Q37" s="11"/>
      <c r="R37" s="11"/>
      <c r="S37" s="11"/>
      <c r="T37" s="11"/>
      <c r="U37" s="11"/>
      <c r="V37" s="11"/>
      <c r="W37" s="11"/>
      <c r="X37" s="11"/>
      <c r="Y37" s="11"/>
      <c r="Z37" s="11"/>
      <c r="AA37" s="11"/>
      <c r="AB37" s="11"/>
      <c r="AC37" s="11"/>
      <c r="AD37" s="11"/>
      <c r="AE37" s="11"/>
      <c r="AF37" s="11"/>
      <c r="AG37" s="11"/>
      <c r="AH37" s="11"/>
      <c r="AI37" s="14"/>
    </row>
    <row r="38" spans="1:35" ht="14.25" hidden="1" customHeight="1" x14ac:dyDescent="0.25">
      <c r="A38" s="9">
        <v>37</v>
      </c>
      <c r="B38" s="10" t="s">
        <v>14</v>
      </c>
      <c r="C38" s="10" t="s">
        <v>15</v>
      </c>
      <c r="D38" s="10" t="s">
        <v>16</v>
      </c>
      <c r="E38" s="11" t="s">
        <v>28</v>
      </c>
      <c r="F38" s="11" t="s">
        <v>17</v>
      </c>
      <c r="G38" s="10" t="s">
        <v>18</v>
      </c>
      <c r="H38" s="11" t="s">
        <v>19</v>
      </c>
      <c r="I38" s="11" t="s">
        <v>20</v>
      </c>
      <c r="J38" s="11"/>
      <c r="K38" s="11">
        <v>15304</v>
      </c>
      <c r="L38" s="11"/>
      <c r="M38" s="11"/>
      <c r="N38" s="11"/>
      <c r="O38" s="11"/>
      <c r="P38" s="11"/>
      <c r="Q38" s="11"/>
      <c r="R38" s="11"/>
      <c r="S38" s="11"/>
      <c r="T38" s="11"/>
      <c r="U38" s="11"/>
      <c r="V38" s="11"/>
      <c r="W38" s="11"/>
      <c r="X38" s="11"/>
      <c r="Y38" s="11"/>
      <c r="Z38" s="11"/>
      <c r="AA38" s="11"/>
      <c r="AB38" s="11"/>
      <c r="AC38" s="11"/>
      <c r="AD38" s="11"/>
      <c r="AE38" s="11"/>
      <c r="AF38" s="11"/>
      <c r="AG38" s="11"/>
      <c r="AH38" s="11"/>
      <c r="AI38" s="14"/>
    </row>
    <row r="39" spans="1:35" ht="14.25" hidden="1" customHeight="1" x14ac:dyDescent="0.25">
      <c r="A39" s="9">
        <v>38</v>
      </c>
      <c r="B39" s="10" t="s">
        <v>14</v>
      </c>
      <c r="C39" s="10" t="s">
        <v>15</v>
      </c>
      <c r="D39" s="10" t="s">
        <v>16</v>
      </c>
      <c r="E39" s="11" t="s">
        <v>29</v>
      </c>
      <c r="F39" s="11" t="s">
        <v>17</v>
      </c>
      <c r="G39" s="10" t="s">
        <v>18</v>
      </c>
      <c r="H39" s="11" t="s">
        <v>19</v>
      </c>
      <c r="I39" s="11" t="s">
        <v>20</v>
      </c>
      <c r="J39" s="11"/>
      <c r="K39" s="11" t="s">
        <v>29</v>
      </c>
      <c r="L39" s="11"/>
      <c r="M39" s="11"/>
      <c r="N39" s="11"/>
      <c r="O39" s="11"/>
      <c r="P39" s="11"/>
      <c r="Q39" s="11"/>
      <c r="R39" s="11"/>
      <c r="S39" s="11"/>
      <c r="T39" s="11"/>
      <c r="U39" s="11"/>
      <c r="V39" s="11"/>
      <c r="W39" s="11"/>
      <c r="X39" s="11"/>
      <c r="Y39" s="11"/>
      <c r="Z39" s="11"/>
      <c r="AA39" s="11"/>
      <c r="AB39" s="11"/>
      <c r="AC39" s="11"/>
      <c r="AD39" s="11"/>
      <c r="AE39" s="11"/>
      <c r="AF39" s="11"/>
      <c r="AG39" s="11"/>
      <c r="AH39" s="11"/>
      <c r="AI39" s="14"/>
    </row>
    <row r="40" spans="1:35" ht="14.25" hidden="1" customHeight="1" x14ac:dyDescent="0.25">
      <c r="A40" s="9">
        <v>39</v>
      </c>
      <c r="B40" s="10" t="s">
        <v>14</v>
      </c>
      <c r="C40" s="10" t="s">
        <v>15</v>
      </c>
      <c r="D40" s="10" t="s">
        <v>16</v>
      </c>
      <c r="E40" s="11" t="s">
        <v>29</v>
      </c>
      <c r="F40" s="11" t="s">
        <v>17</v>
      </c>
      <c r="G40" s="10" t="s">
        <v>18</v>
      </c>
      <c r="H40" s="11" t="s">
        <v>19</v>
      </c>
      <c r="I40" s="11" t="s">
        <v>20</v>
      </c>
      <c r="J40" s="11"/>
      <c r="K40" s="11" t="s">
        <v>29</v>
      </c>
      <c r="L40" s="11"/>
      <c r="M40" s="11"/>
      <c r="N40" s="11"/>
      <c r="O40" s="11"/>
      <c r="P40" s="11"/>
      <c r="Q40" s="11"/>
      <c r="R40" s="11"/>
      <c r="S40" s="11"/>
      <c r="T40" s="11"/>
      <c r="U40" s="11"/>
      <c r="V40" s="11"/>
      <c r="W40" s="11"/>
      <c r="X40" s="11"/>
      <c r="Y40" s="11"/>
      <c r="Z40" s="11"/>
      <c r="AA40" s="11"/>
      <c r="AB40" s="11"/>
      <c r="AC40" s="11"/>
      <c r="AD40" s="11"/>
      <c r="AE40" s="11"/>
      <c r="AF40" s="11"/>
      <c r="AG40" s="11"/>
      <c r="AH40" s="11"/>
      <c r="AI40" s="14"/>
    </row>
    <row r="41" spans="1:35" ht="14.25" hidden="1" customHeight="1" x14ac:dyDescent="0.25">
      <c r="A41" s="9">
        <v>40</v>
      </c>
      <c r="B41" s="10" t="s">
        <v>14</v>
      </c>
      <c r="C41" s="10" t="s">
        <v>15</v>
      </c>
      <c r="D41" s="10" t="s">
        <v>16</v>
      </c>
      <c r="E41" s="11" t="s">
        <v>29</v>
      </c>
      <c r="F41" s="11" t="s">
        <v>17</v>
      </c>
      <c r="G41" s="10" t="s">
        <v>18</v>
      </c>
      <c r="H41" s="11" t="s">
        <v>19</v>
      </c>
      <c r="I41" s="11" t="s">
        <v>20</v>
      </c>
      <c r="J41" s="11"/>
      <c r="K41" s="11" t="s">
        <v>29</v>
      </c>
      <c r="L41" s="11"/>
      <c r="M41" s="11"/>
      <c r="N41" s="11"/>
      <c r="O41" s="11"/>
      <c r="P41" s="11"/>
      <c r="Q41" s="11"/>
      <c r="R41" s="11"/>
      <c r="S41" s="11"/>
      <c r="T41" s="11"/>
      <c r="U41" s="11"/>
      <c r="V41" s="11"/>
      <c r="W41" s="11"/>
      <c r="X41" s="11"/>
      <c r="Y41" s="11"/>
      <c r="Z41" s="11"/>
      <c r="AA41" s="11"/>
      <c r="AB41" s="11"/>
      <c r="AC41" s="11"/>
      <c r="AD41" s="11"/>
      <c r="AE41" s="11"/>
      <c r="AF41" s="11"/>
      <c r="AG41" s="11"/>
      <c r="AH41" s="11"/>
      <c r="AI41" s="14"/>
    </row>
    <row r="42" spans="1:35" ht="14.25" hidden="1" customHeight="1" x14ac:dyDescent="0.25">
      <c r="A42" s="9">
        <v>41</v>
      </c>
      <c r="B42" s="10" t="s">
        <v>14</v>
      </c>
      <c r="C42" s="10" t="s">
        <v>15</v>
      </c>
      <c r="D42" s="10" t="s">
        <v>16</v>
      </c>
      <c r="E42" s="11" t="s">
        <v>29</v>
      </c>
      <c r="F42" s="11" t="s">
        <v>17</v>
      </c>
      <c r="G42" s="10" t="s">
        <v>18</v>
      </c>
      <c r="H42" s="11" t="s">
        <v>19</v>
      </c>
      <c r="I42" s="11" t="s">
        <v>20</v>
      </c>
      <c r="J42" s="11"/>
      <c r="K42" s="11" t="s">
        <v>29</v>
      </c>
      <c r="L42" s="11"/>
      <c r="M42" s="11"/>
      <c r="N42" s="11"/>
      <c r="O42" s="11"/>
      <c r="P42" s="11"/>
      <c r="Q42" s="11"/>
      <c r="R42" s="11"/>
      <c r="S42" s="11"/>
      <c r="T42" s="11"/>
      <c r="U42" s="11"/>
      <c r="V42" s="11"/>
      <c r="W42" s="11"/>
      <c r="X42" s="11"/>
      <c r="Y42" s="11"/>
      <c r="Z42" s="11"/>
      <c r="AA42" s="11"/>
      <c r="AB42" s="11"/>
      <c r="AC42" s="11"/>
      <c r="AD42" s="11"/>
      <c r="AE42" s="11"/>
      <c r="AF42" s="11"/>
      <c r="AG42" s="11"/>
      <c r="AH42" s="11"/>
      <c r="AI42" s="14"/>
    </row>
    <row r="43" spans="1:35" ht="14.25" hidden="1" customHeight="1" x14ac:dyDescent="0.25">
      <c r="A43" s="9">
        <v>42</v>
      </c>
      <c r="B43" s="10" t="s">
        <v>14</v>
      </c>
      <c r="C43" s="10" t="s">
        <v>15</v>
      </c>
      <c r="D43" s="10" t="s">
        <v>16</v>
      </c>
      <c r="E43" s="11" t="s">
        <v>29</v>
      </c>
      <c r="F43" s="11" t="s">
        <v>17</v>
      </c>
      <c r="G43" s="10" t="s">
        <v>24</v>
      </c>
      <c r="H43" s="11" t="s">
        <v>19</v>
      </c>
      <c r="I43" s="11" t="s">
        <v>20</v>
      </c>
      <c r="J43" s="11"/>
      <c r="K43" s="11" t="s">
        <v>29</v>
      </c>
      <c r="L43" s="11"/>
      <c r="M43" s="11"/>
      <c r="N43" s="11"/>
      <c r="O43" s="11"/>
      <c r="P43" s="11"/>
      <c r="Q43" s="11"/>
      <c r="R43" s="11"/>
      <c r="S43" s="11"/>
      <c r="T43" s="11"/>
      <c r="U43" s="11"/>
      <c r="V43" s="11"/>
      <c r="W43" s="11"/>
      <c r="X43" s="11"/>
      <c r="Y43" s="11"/>
      <c r="Z43" s="11"/>
      <c r="AA43" s="11"/>
      <c r="AB43" s="11"/>
      <c r="AC43" s="11"/>
      <c r="AD43" s="11"/>
      <c r="AE43" s="11"/>
      <c r="AF43" s="11"/>
      <c r="AG43" s="11"/>
      <c r="AH43" s="11"/>
      <c r="AI43" s="14"/>
    </row>
    <row r="44" spans="1:35" ht="14.25" hidden="1" customHeight="1" x14ac:dyDescent="0.25">
      <c r="A44" s="9">
        <v>43</v>
      </c>
      <c r="B44" s="10" t="s">
        <v>14</v>
      </c>
      <c r="C44" s="10" t="s">
        <v>15</v>
      </c>
      <c r="D44" s="10" t="s">
        <v>16</v>
      </c>
      <c r="E44" s="11" t="s">
        <v>29</v>
      </c>
      <c r="F44" s="11" t="s">
        <v>17</v>
      </c>
      <c r="G44" s="10" t="s">
        <v>24</v>
      </c>
      <c r="H44" s="11" t="s">
        <v>19</v>
      </c>
      <c r="I44" s="11" t="s">
        <v>20</v>
      </c>
      <c r="J44" s="11"/>
      <c r="K44" s="11" t="s">
        <v>29</v>
      </c>
      <c r="L44" s="11"/>
      <c r="M44" s="11"/>
      <c r="N44" s="11"/>
      <c r="O44" s="11"/>
      <c r="P44" s="11"/>
      <c r="Q44" s="11"/>
      <c r="R44" s="11"/>
      <c r="S44" s="11"/>
      <c r="T44" s="11"/>
      <c r="U44" s="11"/>
      <c r="V44" s="11"/>
      <c r="W44" s="11"/>
      <c r="X44" s="11"/>
      <c r="Y44" s="11"/>
      <c r="Z44" s="11"/>
      <c r="AA44" s="11"/>
      <c r="AB44" s="11"/>
      <c r="AC44" s="11"/>
      <c r="AD44" s="11"/>
      <c r="AE44" s="11"/>
      <c r="AF44" s="11"/>
      <c r="AG44" s="11"/>
      <c r="AH44" s="11"/>
      <c r="AI44" s="14"/>
    </row>
    <row r="45" spans="1:35" ht="14.25" hidden="1" customHeight="1" x14ac:dyDescent="0.25">
      <c r="A45" s="9">
        <v>44</v>
      </c>
      <c r="B45" s="10" t="s">
        <v>14</v>
      </c>
      <c r="C45" s="10" t="s">
        <v>15</v>
      </c>
      <c r="D45" s="10" t="s">
        <v>16</v>
      </c>
      <c r="E45" s="11" t="s">
        <v>29</v>
      </c>
      <c r="F45" s="11" t="s">
        <v>17</v>
      </c>
      <c r="G45" s="10" t="s">
        <v>24</v>
      </c>
      <c r="H45" s="11" t="s">
        <v>19</v>
      </c>
      <c r="I45" s="11" t="s">
        <v>20</v>
      </c>
      <c r="J45" s="11"/>
      <c r="K45" s="11" t="s">
        <v>29</v>
      </c>
      <c r="L45" s="11"/>
      <c r="M45" s="11"/>
      <c r="N45" s="11"/>
      <c r="O45" s="11"/>
      <c r="P45" s="11"/>
      <c r="Q45" s="11"/>
      <c r="R45" s="11"/>
      <c r="S45" s="11"/>
      <c r="T45" s="11"/>
      <c r="U45" s="11"/>
      <c r="V45" s="11"/>
      <c r="W45" s="11"/>
      <c r="X45" s="11"/>
      <c r="Y45" s="11"/>
      <c r="Z45" s="11"/>
      <c r="AA45" s="11"/>
      <c r="AB45" s="11"/>
      <c r="AC45" s="11"/>
      <c r="AD45" s="11"/>
      <c r="AE45" s="11"/>
      <c r="AF45" s="11"/>
      <c r="AG45" s="11"/>
      <c r="AH45" s="11"/>
      <c r="AI45" s="14"/>
    </row>
    <row r="46" spans="1:35" ht="14.25" hidden="1" customHeight="1" x14ac:dyDescent="0.25">
      <c r="A46" s="9">
        <v>45</v>
      </c>
      <c r="B46" s="10" t="s">
        <v>14</v>
      </c>
      <c r="C46" s="10" t="s">
        <v>15</v>
      </c>
      <c r="D46" s="10" t="s">
        <v>16</v>
      </c>
      <c r="E46" s="11" t="s">
        <v>30</v>
      </c>
      <c r="F46" s="11" t="s">
        <v>17</v>
      </c>
      <c r="G46" s="10" t="s">
        <v>24</v>
      </c>
      <c r="H46" s="11" t="s">
        <v>23</v>
      </c>
      <c r="I46" s="11" t="s">
        <v>20</v>
      </c>
      <c r="J46" s="11"/>
      <c r="K46" s="11" t="s">
        <v>30</v>
      </c>
      <c r="L46" s="11"/>
      <c r="M46" s="11"/>
      <c r="N46" s="11"/>
      <c r="O46" s="11"/>
      <c r="P46" s="11"/>
      <c r="Q46" s="11"/>
      <c r="R46" s="11"/>
      <c r="S46" s="11"/>
      <c r="T46" s="11"/>
      <c r="U46" s="11"/>
      <c r="V46" s="11"/>
      <c r="W46" s="11"/>
      <c r="X46" s="11"/>
      <c r="Y46" s="11"/>
      <c r="Z46" s="11"/>
      <c r="AA46" s="11"/>
      <c r="AB46" s="11"/>
      <c r="AC46" s="11"/>
      <c r="AD46" s="11"/>
      <c r="AE46" s="11"/>
      <c r="AF46" s="11"/>
      <c r="AG46" s="11"/>
      <c r="AH46" s="11"/>
      <c r="AI46" s="14"/>
    </row>
    <row r="47" spans="1:35" ht="14.25" hidden="1" customHeight="1" x14ac:dyDescent="0.25">
      <c r="A47" s="9">
        <v>46</v>
      </c>
      <c r="B47" s="10" t="s">
        <v>14</v>
      </c>
      <c r="C47" s="10" t="s">
        <v>15</v>
      </c>
      <c r="D47" s="10" t="s">
        <v>16</v>
      </c>
      <c r="E47" s="11" t="s">
        <v>30</v>
      </c>
      <c r="F47" s="11" t="s">
        <v>17</v>
      </c>
      <c r="G47" s="10" t="s">
        <v>24</v>
      </c>
      <c r="H47" s="11" t="s">
        <v>19</v>
      </c>
      <c r="I47" s="11" t="s">
        <v>20</v>
      </c>
      <c r="J47" s="11"/>
      <c r="K47" s="11" t="s">
        <v>30</v>
      </c>
      <c r="L47" s="11"/>
      <c r="M47" s="11"/>
      <c r="N47" s="11"/>
      <c r="O47" s="11"/>
      <c r="P47" s="11"/>
      <c r="Q47" s="11"/>
      <c r="R47" s="11"/>
      <c r="S47" s="11"/>
      <c r="T47" s="11"/>
      <c r="U47" s="11"/>
      <c r="V47" s="11"/>
      <c r="W47" s="11"/>
      <c r="X47" s="11"/>
      <c r="Y47" s="11"/>
      <c r="Z47" s="11"/>
      <c r="AA47" s="11"/>
      <c r="AB47" s="11"/>
      <c r="AC47" s="11"/>
      <c r="AD47" s="11"/>
      <c r="AE47" s="11"/>
      <c r="AF47" s="11"/>
      <c r="AG47" s="11"/>
      <c r="AH47" s="11"/>
      <c r="AI47" s="14"/>
    </row>
    <row r="48" spans="1:35" ht="14.25" hidden="1" customHeight="1" x14ac:dyDescent="0.25">
      <c r="A48" s="9">
        <v>47</v>
      </c>
      <c r="B48" s="10" t="s">
        <v>14</v>
      </c>
      <c r="C48" s="10" t="s">
        <v>15</v>
      </c>
      <c r="D48" s="10" t="s">
        <v>16</v>
      </c>
      <c r="E48" s="11" t="s">
        <v>30</v>
      </c>
      <c r="F48" s="11" t="s">
        <v>17</v>
      </c>
      <c r="G48" s="10" t="s">
        <v>24</v>
      </c>
      <c r="H48" s="11" t="s">
        <v>19</v>
      </c>
      <c r="I48" s="11" t="s">
        <v>20</v>
      </c>
      <c r="J48" s="11"/>
      <c r="K48" s="11" t="s">
        <v>30</v>
      </c>
      <c r="L48" s="11"/>
      <c r="M48" s="11"/>
      <c r="N48" s="11"/>
      <c r="O48" s="11"/>
      <c r="P48" s="11"/>
      <c r="Q48" s="11"/>
      <c r="R48" s="11"/>
      <c r="S48" s="11"/>
      <c r="T48" s="11"/>
      <c r="U48" s="11"/>
      <c r="V48" s="11"/>
      <c r="W48" s="11"/>
      <c r="X48" s="11"/>
      <c r="Y48" s="11"/>
      <c r="Z48" s="11"/>
      <c r="AA48" s="11"/>
      <c r="AB48" s="11"/>
      <c r="AC48" s="11"/>
      <c r="AD48" s="11"/>
      <c r="AE48" s="11"/>
      <c r="AF48" s="11"/>
      <c r="AG48" s="11"/>
      <c r="AH48" s="11"/>
      <c r="AI48" s="14"/>
    </row>
    <row r="49" spans="1:35" ht="14.25" hidden="1" customHeight="1" x14ac:dyDescent="0.25">
      <c r="A49" s="9">
        <v>48</v>
      </c>
      <c r="B49" s="10" t="s">
        <v>14</v>
      </c>
      <c r="C49" s="10" t="s">
        <v>15</v>
      </c>
      <c r="D49" s="10" t="s">
        <v>16</v>
      </c>
      <c r="E49" s="11" t="s">
        <v>30</v>
      </c>
      <c r="F49" s="11" t="s">
        <v>17</v>
      </c>
      <c r="G49" s="10" t="s">
        <v>24</v>
      </c>
      <c r="H49" s="11" t="s">
        <v>23</v>
      </c>
      <c r="I49" s="11" t="s">
        <v>20</v>
      </c>
      <c r="J49" s="11"/>
      <c r="K49" s="11" t="s">
        <v>30</v>
      </c>
      <c r="L49" s="11"/>
      <c r="M49" s="11"/>
      <c r="N49" s="11"/>
      <c r="O49" s="11"/>
      <c r="P49" s="11"/>
      <c r="Q49" s="11"/>
      <c r="R49" s="11"/>
      <c r="S49" s="11"/>
      <c r="T49" s="11"/>
      <c r="U49" s="11"/>
      <c r="V49" s="11"/>
      <c r="W49" s="11"/>
      <c r="X49" s="11"/>
      <c r="Y49" s="11"/>
      <c r="Z49" s="11"/>
      <c r="AA49" s="11"/>
      <c r="AB49" s="11"/>
      <c r="AC49" s="11"/>
      <c r="AD49" s="11"/>
      <c r="AE49" s="11"/>
      <c r="AF49" s="11"/>
      <c r="AG49" s="11"/>
      <c r="AH49" s="11"/>
      <c r="AI49" s="14"/>
    </row>
    <row r="50" spans="1:35" ht="14.25" hidden="1" customHeight="1" x14ac:dyDescent="0.25">
      <c r="A50" s="9">
        <v>49</v>
      </c>
      <c r="B50" s="10" t="s">
        <v>14</v>
      </c>
      <c r="C50" s="10" t="s">
        <v>15</v>
      </c>
      <c r="D50" s="10" t="s">
        <v>16</v>
      </c>
      <c r="E50" s="11" t="s">
        <v>30</v>
      </c>
      <c r="F50" s="11" t="s">
        <v>17</v>
      </c>
      <c r="G50" s="10" t="s">
        <v>18</v>
      </c>
      <c r="H50" s="11" t="s">
        <v>19</v>
      </c>
      <c r="I50" s="11" t="s">
        <v>20</v>
      </c>
      <c r="J50" s="11"/>
      <c r="K50" s="11" t="s">
        <v>30</v>
      </c>
      <c r="L50" s="11"/>
      <c r="M50" s="11"/>
      <c r="N50" s="11"/>
      <c r="O50" s="11"/>
      <c r="P50" s="11"/>
      <c r="Q50" s="11"/>
      <c r="R50" s="11"/>
      <c r="S50" s="11"/>
      <c r="T50" s="11"/>
      <c r="U50" s="11"/>
      <c r="V50" s="11"/>
      <c r="W50" s="11"/>
      <c r="X50" s="11"/>
      <c r="Y50" s="11"/>
      <c r="Z50" s="11"/>
      <c r="AA50" s="11"/>
      <c r="AB50" s="11"/>
      <c r="AC50" s="11"/>
      <c r="AD50" s="11"/>
      <c r="AE50" s="11"/>
      <c r="AF50" s="11"/>
      <c r="AG50" s="11"/>
      <c r="AH50" s="11"/>
      <c r="AI50" s="14"/>
    </row>
    <row r="51" spans="1:35" ht="14.25" hidden="1" customHeight="1" x14ac:dyDescent="0.25">
      <c r="A51" s="9">
        <v>50</v>
      </c>
      <c r="B51" s="10" t="s">
        <v>14</v>
      </c>
      <c r="C51" s="10" t="s">
        <v>15</v>
      </c>
      <c r="D51" s="10" t="s">
        <v>16</v>
      </c>
      <c r="E51" s="11" t="s">
        <v>30</v>
      </c>
      <c r="F51" s="11" t="s">
        <v>17</v>
      </c>
      <c r="G51" s="10" t="s">
        <v>18</v>
      </c>
      <c r="H51" s="11" t="s">
        <v>19</v>
      </c>
      <c r="I51" s="11" t="s">
        <v>20</v>
      </c>
      <c r="J51" s="11"/>
      <c r="K51" s="11" t="s">
        <v>30</v>
      </c>
      <c r="L51" s="11"/>
      <c r="M51" s="11"/>
      <c r="N51" s="11"/>
      <c r="O51" s="11"/>
      <c r="P51" s="11"/>
      <c r="Q51" s="11"/>
      <c r="R51" s="11"/>
      <c r="S51" s="11"/>
      <c r="T51" s="11"/>
      <c r="U51" s="11"/>
      <c r="V51" s="11"/>
      <c r="W51" s="11"/>
      <c r="X51" s="11"/>
      <c r="Y51" s="11"/>
      <c r="Z51" s="11"/>
      <c r="AA51" s="11"/>
      <c r="AB51" s="11"/>
      <c r="AC51" s="11"/>
      <c r="AD51" s="11"/>
      <c r="AE51" s="11"/>
      <c r="AF51" s="11"/>
      <c r="AG51" s="11"/>
      <c r="AH51" s="11"/>
      <c r="AI51" s="14"/>
    </row>
    <row r="52" spans="1:35" ht="14.25" hidden="1" customHeight="1" x14ac:dyDescent="0.25">
      <c r="A52" s="9">
        <v>51</v>
      </c>
      <c r="B52" s="10" t="s">
        <v>14</v>
      </c>
      <c r="C52" s="10" t="s">
        <v>15</v>
      </c>
      <c r="D52" s="10" t="s">
        <v>16</v>
      </c>
      <c r="E52" s="11" t="s">
        <v>30</v>
      </c>
      <c r="F52" s="11" t="s">
        <v>17</v>
      </c>
      <c r="G52" s="10" t="s">
        <v>18</v>
      </c>
      <c r="H52" s="11" t="s">
        <v>19</v>
      </c>
      <c r="I52" s="11" t="s">
        <v>20</v>
      </c>
      <c r="J52" s="11"/>
      <c r="K52" s="11" t="s">
        <v>30</v>
      </c>
      <c r="L52" s="11"/>
      <c r="M52" s="11"/>
      <c r="N52" s="11"/>
      <c r="O52" s="11"/>
      <c r="P52" s="11"/>
      <c r="Q52" s="11"/>
      <c r="R52" s="11"/>
      <c r="S52" s="11"/>
      <c r="T52" s="11"/>
      <c r="U52" s="11"/>
      <c r="V52" s="11"/>
      <c r="W52" s="11"/>
      <c r="X52" s="11"/>
      <c r="Y52" s="11"/>
      <c r="Z52" s="11"/>
      <c r="AA52" s="11"/>
      <c r="AB52" s="11"/>
      <c r="AC52" s="11"/>
      <c r="AD52" s="11"/>
      <c r="AE52" s="11"/>
      <c r="AF52" s="11"/>
      <c r="AG52" s="11"/>
      <c r="AH52" s="11"/>
      <c r="AI52" s="14"/>
    </row>
    <row r="53" spans="1:35" ht="14.25" hidden="1" customHeight="1" x14ac:dyDescent="0.25">
      <c r="A53" s="9">
        <v>52</v>
      </c>
      <c r="B53" s="10" t="s">
        <v>14</v>
      </c>
      <c r="C53" s="10" t="s">
        <v>15</v>
      </c>
      <c r="D53" s="10" t="s">
        <v>16</v>
      </c>
      <c r="E53" s="11" t="s">
        <v>30</v>
      </c>
      <c r="F53" s="11" t="s">
        <v>17</v>
      </c>
      <c r="G53" s="10" t="s">
        <v>18</v>
      </c>
      <c r="H53" s="11" t="s">
        <v>19</v>
      </c>
      <c r="I53" s="11" t="s">
        <v>20</v>
      </c>
      <c r="J53" s="11"/>
      <c r="K53" s="11" t="s">
        <v>30</v>
      </c>
      <c r="L53" s="11"/>
      <c r="M53" s="11"/>
      <c r="N53" s="11"/>
      <c r="O53" s="11"/>
      <c r="P53" s="11"/>
      <c r="Q53" s="11"/>
      <c r="R53" s="11"/>
      <c r="S53" s="11"/>
      <c r="T53" s="11"/>
      <c r="U53" s="11"/>
      <c r="V53" s="11"/>
      <c r="W53" s="11"/>
      <c r="X53" s="11"/>
      <c r="Y53" s="11"/>
      <c r="Z53" s="11"/>
      <c r="AA53" s="11"/>
      <c r="AB53" s="11"/>
      <c r="AC53" s="11"/>
      <c r="AD53" s="11"/>
      <c r="AE53" s="11"/>
      <c r="AF53" s="11"/>
      <c r="AG53" s="11"/>
      <c r="AH53" s="11"/>
      <c r="AI53" s="14"/>
    </row>
    <row r="54" spans="1:35" ht="14.25" hidden="1" customHeight="1" x14ac:dyDescent="0.25">
      <c r="A54" s="9">
        <v>53</v>
      </c>
      <c r="B54" s="10" t="s">
        <v>14</v>
      </c>
      <c r="C54" s="10" t="s">
        <v>15</v>
      </c>
      <c r="D54" s="10" t="s">
        <v>16</v>
      </c>
      <c r="E54" s="11" t="s">
        <v>30</v>
      </c>
      <c r="F54" s="11" t="s">
        <v>17</v>
      </c>
      <c r="G54" s="10" t="s">
        <v>18</v>
      </c>
      <c r="H54" s="11" t="s">
        <v>19</v>
      </c>
      <c r="I54" s="11" t="s">
        <v>20</v>
      </c>
      <c r="J54" s="11"/>
      <c r="K54" s="11" t="s">
        <v>30</v>
      </c>
      <c r="L54" s="11"/>
      <c r="M54" s="11"/>
      <c r="N54" s="11"/>
      <c r="O54" s="11"/>
      <c r="P54" s="11"/>
      <c r="Q54" s="11"/>
      <c r="R54" s="11"/>
      <c r="S54" s="11"/>
      <c r="T54" s="11"/>
      <c r="U54" s="11"/>
      <c r="V54" s="11"/>
      <c r="W54" s="11"/>
      <c r="X54" s="11"/>
      <c r="Y54" s="11"/>
      <c r="Z54" s="11"/>
      <c r="AA54" s="11"/>
      <c r="AB54" s="11"/>
      <c r="AC54" s="11"/>
      <c r="AD54" s="11"/>
      <c r="AE54" s="11"/>
      <c r="AF54" s="11"/>
      <c r="AG54" s="11"/>
      <c r="AH54" s="11"/>
      <c r="AI54" s="14"/>
    </row>
    <row r="55" spans="1:35" ht="14.25" hidden="1" customHeight="1" x14ac:dyDescent="0.25">
      <c r="A55" s="9">
        <v>54</v>
      </c>
      <c r="B55" s="10" t="s">
        <v>14</v>
      </c>
      <c r="C55" s="10" t="s">
        <v>15</v>
      </c>
      <c r="D55" s="10" t="s">
        <v>16</v>
      </c>
      <c r="E55" s="11" t="s">
        <v>30</v>
      </c>
      <c r="F55" s="11" t="s">
        <v>17</v>
      </c>
      <c r="G55" s="10" t="s">
        <v>18</v>
      </c>
      <c r="H55" s="11" t="s">
        <v>19</v>
      </c>
      <c r="I55" s="11" t="s">
        <v>20</v>
      </c>
      <c r="J55" s="11"/>
      <c r="K55" s="11" t="s">
        <v>30</v>
      </c>
      <c r="L55" s="11"/>
      <c r="M55" s="11"/>
      <c r="N55" s="11"/>
      <c r="O55" s="11"/>
      <c r="P55" s="11"/>
      <c r="Q55" s="11"/>
      <c r="R55" s="11"/>
      <c r="S55" s="11"/>
      <c r="T55" s="11"/>
      <c r="U55" s="11"/>
      <c r="V55" s="11"/>
      <c r="W55" s="11"/>
      <c r="X55" s="11"/>
      <c r="Y55" s="11"/>
      <c r="Z55" s="11"/>
      <c r="AA55" s="11"/>
      <c r="AB55" s="11"/>
      <c r="AC55" s="11"/>
      <c r="AD55" s="11"/>
      <c r="AE55" s="11"/>
      <c r="AF55" s="11"/>
      <c r="AG55" s="11"/>
      <c r="AH55" s="11"/>
      <c r="AI55" s="14"/>
    </row>
    <row r="56" spans="1:35" ht="14.25" hidden="1" customHeight="1" x14ac:dyDescent="0.25">
      <c r="A56" s="9">
        <v>55</v>
      </c>
      <c r="B56" s="10" t="s">
        <v>14</v>
      </c>
      <c r="C56" s="10" t="s">
        <v>15</v>
      </c>
      <c r="D56" s="10" t="s">
        <v>16</v>
      </c>
      <c r="E56" s="11" t="s">
        <v>30</v>
      </c>
      <c r="F56" s="11" t="s">
        <v>17</v>
      </c>
      <c r="G56" s="10" t="s">
        <v>18</v>
      </c>
      <c r="H56" s="11" t="s">
        <v>19</v>
      </c>
      <c r="I56" s="11" t="s">
        <v>20</v>
      </c>
      <c r="J56" s="11"/>
      <c r="K56" s="11" t="s">
        <v>30</v>
      </c>
      <c r="L56" s="11"/>
      <c r="M56" s="11"/>
      <c r="N56" s="11"/>
      <c r="O56" s="11"/>
      <c r="P56" s="11"/>
      <c r="Q56" s="11"/>
      <c r="R56" s="11"/>
      <c r="S56" s="11"/>
      <c r="T56" s="11"/>
      <c r="U56" s="11"/>
      <c r="V56" s="11"/>
      <c r="W56" s="11"/>
      <c r="X56" s="11"/>
      <c r="Y56" s="11"/>
      <c r="Z56" s="11"/>
      <c r="AA56" s="11"/>
      <c r="AB56" s="11"/>
      <c r="AC56" s="11"/>
      <c r="AD56" s="11"/>
      <c r="AE56" s="11"/>
      <c r="AF56" s="11"/>
      <c r="AG56" s="11"/>
      <c r="AH56" s="11"/>
      <c r="AI56" s="14"/>
    </row>
    <row r="57" spans="1:35" ht="14.25" hidden="1" customHeight="1" x14ac:dyDescent="0.25">
      <c r="A57" s="9">
        <v>56</v>
      </c>
      <c r="B57" s="10" t="s">
        <v>14</v>
      </c>
      <c r="C57" s="10" t="s">
        <v>15</v>
      </c>
      <c r="D57" s="10" t="s">
        <v>16</v>
      </c>
      <c r="E57" s="11" t="s">
        <v>30</v>
      </c>
      <c r="F57" s="11" t="s">
        <v>17</v>
      </c>
      <c r="G57" s="10" t="s">
        <v>18</v>
      </c>
      <c r="H57" s="11" t="s">
        <v>23</v>
      </c>
      <c r="I57" s="11" t="s">
        <v>20</v>
      </c>
      <c r="J57" s="11"/>
      <c r="K57" s="11" t="s">
        <v>30</v>
      </c>
      <c r="L57" s="11"/>
      <c r="M57" s="11"/>
      <c r="N57" s="11"/>
      <c r="O57" s="11"/>
      <c r="P57" s="11"/>
      <c r="Q57" s="11"/>
      <c r="R57" s="11"/>
      <c r="S57" s="11"/>
      <c r="T57" s="11"/>
      <c r="U57" s="11"/>
      <c r="V57" s="11"/>
      <c r="W57" s="11"/>
      <c r="X57" s="11"/>
      <c r="Y57" s="11"/>
      <c r="Z57" s="11"/>
      <c r="AA57" s="11"/>
      <c r="AB57" s="11"/>
      <c r="AC57" s="11"/>
      <c r="AD57" s="11"/>
      <c r="AE57" s="11"/>
      <c r="AF57" s="11"/>
      <c r="AG57" s="11"/>
      <c r="AH57" s="11"/>
      <c r="AI57" s="14"/>
    </row>
    <row r="58" spans="1:35" ht="14.25" hidden="1" customHeight="1" x14ac:dyDescent="0.25">
      <c r="A58" s="9">
        <v>57</v>
      </c>
      <c r="B58" s="10" t="s">
        <v>14</v>
      </c>
      <c r="C58" s="10" t="s">
        <v>15</v>
      </c>
      <c r="D58" s="10" t="s">
        <v>16</v>
      </c>
      <c r="E58" s="11" t="s">
        <v>30</v>
      </c>
      <c r="F58" s="11" t="s">
        <v>17</v>
      </c>
      <c r="G58" s="10" t="s">
        <v>18</v>
      </c>
      <c r="H58" s="11" t="s">
        <v>23</v>
      </c>
      <c r="I58" s="11" t="s">
        <v>20</v>
      </c>
      <c r="J58" s="11"/>
      <c r="K58" s="11" t="s">
        <v>30</v>
      </c>
      <c r="L58" s="11"/>
      <c r="M58" s="11"/>
      <c r="N58" s="11"/>
      <c r="O58" s="11"/>
      <c r="P58" s="11"/>
      <c r="Q58" s="11"/>
      <c r="R58" s="11"/>
      <c r="S58" s="11"/>
      <c r="T58" s="11"/>
      <c r="U58" s="11"/>
      <c r="V58" s="11"/>
      <c r="W58" s="11"/>
      <c r="X58" s="11"/>
      <c r="Y58" s="11"/>
      <c r="Z58" s="11"/>
      <c r="AA58" s="11"/>
      <c r="AB58" s="11"/>
      <c r="AC58" s="11"/>
      <c r="AD58" s="11"/>
      <c r="AE58" s="11"/>
      <c r="AF58" s="11"/>
      <c r="AG58" s="11"/>
      <c r="AH58" s="11"/>
      <c r="AI58" s="14"/>
    </row>
    <row r="59" spans="1:35" ht="14.25" hidden="1" customHeight="1" x14ac:dyDescent="0.25">
      <c r="A59" s="9">
        <v>58</v>
      </c>
      <c r="B59" s="10" t="s">
        <v>14</v>
      </c>
      <c r="C59" s="10" t="s">
        <v>15</v>
      </c>
      <c r="D59" s="10" t="s">
        <v>16</v>
      </c>
      <c r="E59" s="11" t="s">
        <v>30</v>
      </c>
      <c r="F59" s="11" t="s">
        <v>17</v>
      </c>
      <c r="G59" s="10" t="s">
        <v>18</v>
      </c>
      <c r="H59" s="11" t="s">
        <v>23</v>
      </c>
      <c r="I59" s="11" t="s">
        <v>20</v>
      </c>
      <c r="J59" s="11"/>
      <c r="K59" s="11" t="s">
        <v>30</v>
      </c>
      <c r="L59" s="11"/>
      <c r="M59" s="11"/>
      <c r="N59" s="11"/>
      <c r="O59" s="11"/>
      <c r="P59" s="11"/>
      <c r="Q59" s="11"/>
      <c r="R59" s="11"/>
      <c r="S59" s="11"/>
      <c r="T59" s="11"/>
      <c r="U59" s="11"/>
      <c r="V59" s="11"/>
      <c r="W59" s="11"/>
      <c r="X59" s="11"/>
      <c r="Y59" s="11"/>
      <c r="Z59" s="11"/>
      <c r="AA59" s="11"/>
      <c r="AB59" s="11"/>
      <c r="AC59" s="11"/>
      <c r="AD59" s="11"/>
      <c r="AE59" s="11"/>
      <c r="AF59" s="11"/>
      <c r="AG59" s="11"/>
      <c r="AH59" s="11"/>
      <c r="AI59" s="14"/>
    </row>
    <row r="60" spans="1:35" ht="14.25" hidden="1" customHeight="1" x14ac:dyDescent="0.25">
      <c r="A60" s="9">
        <v>59</v>
      </c>
      <c r="B60" s="10" t="s">
        <v>14</v>
      </c>
      <c r="C60" s="10" t="s">
        <v>15</v>
      </c>
      <c r="D60" s="10" t="s">
        <v>16</v>
      </c>
      <c r="E60" s="11" t="s">
        <v>30</v>
      </c>
      <c r="F60" s="11" t="s">
        <v>17</v>
      </c>
      <c r="G60" s="10" t="s">
        <v>18</v>
      </c>
      <c r="H60" s="11" t="s">
        <v>25</v>
      </c>
      <c r="I60" s="11" t="s">
        <v>20</v>
      </c>
      <c r="J60" s="11"/>
      <c r="K60" s="11" t="s">
        <v>30</v>
      </c>
      <c r="L60" s="11"/>
      <c r="M60" s="11"/>
      <c r="N60" s="11"/>
      <c r="O60" s="11"/>
      <c r="P60" s="11"/>
      <c r="Q60" s="11"/>
      <c r="R60" s="11"/>
      <c r="S60" s="11"/>
      <c r="T60" s="11"/>
      <c r="U60" s="11"/>
      <c r="V60" s="11"/>
      <c r="W60" s="11"/>
      <c r="X60" s="11"/>
      <c r="Y60" s="11"/>
      <c r="Z60" s="11"/>
      <c r="AA60" s="11"/>
      <c r="AB60" s="11"/>
      <c r="AC60" s="11"/>
      <c r="AD60" s="11"/>
      <c r="AE60" s="11"/>
      <c r="AF60" s="11"/>
      <c r="AG60" s="11"/>
      <c r="AH60" s="11"/>
      <c r="AI60" s="14"/>
    </row>
    <row r="61" spans="1:35" ht="14.25" hidden="1" customHeight="1" x14ac:dyDescent="0.25">
      <c r="A61" s="9">
        <v>60</v>
      </c>
      <c r="B61" s="10" t="s">
        <v>14</v>
      </c>
      <c r="C61" s="10" t="s">
        <v>15</v>
      </c>
      <c r="D61" s="10" t="s">
        <v>16</v>
      </c>
      <c r="E61" s="11" t="s">
        <v>30</v>
      </c>
      <c r="F61" s="11" t="s">
        <v>17</v>
      </c>
      <c r="G61" s="10" t="s">
        <v>24</v>
      </c>
      <c r="H61" s="11" t="s">
        <v>25</v>
      </c>
      <c r="I61" s="11" t="s">
        <v>20</v>
      </c>
      <c r="J61" s="11"/>
      <c r="K61" s="11" t="s">
        <v>30</v>
      </c>
      <c r="L61" s="11"/>
      <c r="M61" s="11"/>
      <c r="N61" s="11"/>
      <c r="O61" s="11"/>
      <c r="P61" s="11"/>
      <c r="Q61" s="11"/>
      <c r="R61" s="11"/>
      <c r="S61" s="11"/>
      <c r="T61" s="11"/>
      <c r="U61" s="11"/>
      <c r="V61" s="11"/>
      <c r="W61" s="11"/>
      <c r="X61" s="11"/>
      <c r="Y61" s="11"/>
      <c r="Z61" s="11"/>
      <c r="AA61" s="11"/>
      <c r="AB61" s="11"/>
      <c r="AC61" s="11"/>
      <c r="AD61" s="11"/>
      <c r="AE61" s="11"/>
      <c r="AF61" s="11"/>
      <c r="AG61" s="11"/>
      <c r="AH61" s="11"/>
      <c r="AI61" s="14"/>
    </row>
    <row r="62" spans="1:35" ht="14.25" hidden="1" customHeight="1" x14ac:dyDescent="0.25">
      <c r="A62" s="9">
        <v>61</v>
      </c>
      <c r="B62" s="10" t="s">
        <v>14</v>
      </c>
      <c r="C62" s="10" t="s">
        <v>15</v>
      </c>
      <c r="D62" s="10" t="s">
        <v>16</v>
      </c>
      <c r="E62" s="11" t="s">
        <v>30</v>
      </c>
      <c r="F62" s="11" t="s">
        <v>17</v>
      </c>
      <c r="G62" s="10" t="s">
        <v>24</v>
      </c>
      <c r="H62" s="11" t="s">
        <v>23</v>
      </c>
      <c r="I62" s="11" t="s">
        <v>20</v>
      </c>
      <c r="J62" s="11"/>
      <c r="K62" s="11" t="s">
        <v>30</v>
      </c>
      <c r="L62" s="11"/>
      <c r="M62" s="11"/>
      <c r="N62" s="11"/>
      <c r="O62" s="11"/>
      <c r="P62" s="11"/>
      <c r="Q62" s="11"/>
      <c r="R62" s="11"/>
      <c r="S62" s="11"/>
      <c r="T62" s="11"/>
      <c r="U62" s="11"/>
      <c r="V62" s="11"/>
      <c r="W62" s="11"/>
      <c r="X62" s="11"/>
      <c r="Y62" s="11"/>
      <c r="Z62" s="11"/>
      <c r="AA62" s="11"/>
      <c r="AB62" s="11"/>
      <c r="AC62" s="11"/>
      <c r="AD62" s="11"/>
      <c r="AE62" s="11"/>
      <c r="AF62" s="11"/>
      <c r="AG62" s="11"/>
      <c r="AH62" s="11"/>
      <c r="AI62" s="14"/>
    </row>
    <row r="63" spans="1:35" ht="14.25" hidden="1" customHeight="1" x14ac:dyDescent="0.25">
      <c r="A63" s="9">
        <v>62</v>
      </c>
      <c r="B63" s="10" t="s">
        <v>14</v>
      </c>
      <c r="C63" s="10" t="s">
        <v>15</v>
      </c>
      <c r="D63" s="10" t="s">
        <v>16</v>
      </c>
      <c r="E63" s="11" t="s">
        <v>30</v>
      </c>
      <c r="F63" s="11" t="s">
        <v>17</v>
      </c>
      <c r="G63" s="10" t="s">
        <v>24</v>
      </c>
      <c r="H63" s="11" t="s">
        <v>23</v>
      </c>
      <c r="I63" s="11" t="s">
        <v>20</v>
      </c>
      <c r="J63" s="11"/>
      <c r="K63" s="11" t="s">
        <v>30</v>
      </c>
      <c r="L63" s="11"/>
      <c r="M63" s="11"/>
      <c r="N63" s="11"/>
      <c r="O63" s="11"/>
      <c r="P63" s="11"/>
      <c r="Q63" s="11"/>
      <c r="R63" s="11"/>
      <c r="S63" s="11"/>
      <c r="T63" s="11"/>
      <c r="U63" s="11"/>
      <c r="V63" s="11"/>
      <c r="W63" s="11"/>
      <c r="X63" s="11"/>
      <c r="Y63" s="11"/>
      <c r="Z63" s="11"/>
      <c r="AA63" s="11"/>
      <c r="AB63" s="11"/>
      <c r="AC63" s="11"/>
      <c r="AD63" s="11"/>
      <c r="AE63" s="11"/>
      <c r="AF63" s="11"/>
      <c r="AG63" s="11"/>
      <c r="AH63" s="11"/>
      <c r="AI63" s="14"/>
    </row>
    <row r="64" spans="1:35" ht="14.25" hidden="1" customHeight="1" x14ac:dyDescent="0.25">
      <c r="A64" s="9">
        <v>63</v>
      </c>
      <c r="B64" s="10" t="s">
        <v>14</v>
      </c>
      <c r="C64" s="10" t="s">
        <v>15</v>
      </c>
      <c r="D64" s="10" t="s">
        <v>16</v>
      </c>
      <c r="E64" s="11" t="s">
        <v>30</v>
      </c>
      <c r="F64" s="11" t="s">
        <v>17</v>
      </c>
      <c r="G64" s="10" t="s">
        <v>24</v>
      </c>
      <c r="H64" s="11" t="s">
        <v>23</v>
      </c>
      <c r="I64" s="11" t="s">
        <v>20</v>
      </c>
      <c r="J64" s="11"/>
      <c r="K64" s="11" t="s">
        <v>30</v>
      </c>
      <c r="L64" s="11"/>
      <c r="M64" s="11"/>
      <c r="N64" s="11"/>
      <c r="O64" s="11"/>
      <c r="P64" s="11"/>
      <c r="Q64" s="11"/>
      <c r="R64" s="11"/>
      <c r="S64" s="11"/>
      <c r="T64" s="11"/>
      <c r="U64" s="11"/>
      <c r="V64" s="11"/>
      <c r="W64" s="11"/>
      <c r="X64" s="11"/>
      <c r="Y64" s="11"/>
      <c r="Z64" s="11"/>
      <c r="AA64" s="11"/>
      <c r="AB64" s="11"/>
      <c r="AC64" s="11"/>
      <c r="AD64" s="11"/>
      <c r="AE64" s="11"/>
      <c r="AF64" s="11"/>
      <c r="AG64" s="11"/>
      <c r="AH64" s="11"/>
      <c r="AI64" s="14"/>
    </row>
    <row r="65" spans="1:35" ht="14.25" hidden="1" customHeight="1" x14ac:dyDescent="0.25">
      <c r="A65" s="9">
        <v>64</v>
      </c>
      <c r="B65" s="10" t="s">
        <v>14</v>
      </c>
      <c r="C65" s="10" t="s">
        <v>15</v>
      </c>
      <c r="D65" s="10" t="s">
        <v>16</v>
      </c>
      <c r="E65" s="11" t="s">
        <v>30</v>
      </c>
      <c r="F65" s="11" t="s">
        <v>17</v>
      </c>
      <c r="G65" s="10" t="s">
        <v>24</v>
      </c>
      <c r="H65" s="11" t="s">
        <v>23</v>
      </c>
      <c r="I65" s="11" t="s">
        <v>20</v>
      </c>
      <c r="J65" s="11"/>
      <c r="K65" s="11" t="s">
        <v>30</v>
      </c>
      <c r="L65" s="11"/>
      <c r="M65" s="11"/>
      <c r="N65" s="11"/>
      <c r="O65" s="11"/>
      <c r="P65" s="11"/>
      <c r="Q65" s="11"/>
      <c r="R65" s="11"/>
      <c r="S65" s="11"/>
      <c r="T65" s="11"/>
      <c r="U65" s="11"/>
      <c r="V65" s="11"/>
      <c r="W65" s="11"/>
      <c r="X65" s="11"/>
      <c r="Y65" s="11"/>
      <c r="Z65" s="11"/>
      <c r="AA65" s="11"/>
      <c r="AB65" s="11"/>
      <c r="AC65" s="11"/>
      <c r="AD65" s="11"/>
      <c r="AE65" s="11"/>
      <c r="AF65" s="11"/>
      <c r="AG65" s="11"/>
      <c r="AH65" s="11"/>
      <c r="AI65" s="14"/>
    </row>
    <row r="66" spans="1:35" ht="14.25" hidden="1" customHeight="1" x14ac:dyDescent="0.25">
      <c r="A66" s="9">
        <v>65</v>
      </c>
      <c r="B66" s="10" t="s">
        <v>14</v>
      </c>
      <c r="C66" s="10" t="s">
        <v>15</v>
      </c>
      <c r="D66" s="10" t="s">
        <v>16</v>
      </c>
      <c r="E66" s="11" t="s">
        <v>31</v>
      </c>
      <c r="F66" s="11" t="s">
        <v>17</v>
      </c>
      <c r="G66" s="10" t="s">
        <v>24</v>
      </c>
      <c r="H66" s="11" t="s">
        <v>19</v>
      </c>
      <c r="I66" s="11" t="s">
        <v>20</v>
      </c>
      <c r="J66" s="11"/>
      <c r="K66" s="11">
        <v>14894</v>
      </c>
      <c r="L66" s="11"/>
      <c r="M66" s="11"/>
      <c r="N66" s="11"/>
      <c r="O66" s="11"/>
      <c r="P66" s="11"/>
      <c r="Q66" s="11"/>
      <c r="R66" s="11"/>
      <c r="S66" s="11"/>
      <c r="T66" s="11"/>
      <c r="U66" s="11"/>
      <c r="V66" s="11"/>
      <c r="W66" s="11"/>
      <c r="X66" s="11"/>
      <c r="Y66" s="11"/>
      <c r="Z66" s="11"/>
      <c r="AA66" s="11"/>
      <c r="AB66" s="11"/>
      <c r="AC66" s="11"/>
      <c r="AD66" s="11"/>
      <c r="AE66" s="11"/>
      <c r="AF66" s="11"/>
      <c r="AG66" s="11"/>
      <c r="AH66" s="11"/>
      <c r="AI66" s="14"/>
    </row>
    <row r="67" spans="1:35" ht="14.25" hidden="1" customHeight="1" x14ac:dyDescent="0.25">
      <c r="A67" s="9">
        <v>66</v>
      </c>
      <c r="B67" s="10" t="s">
        <v>14</v>
      </c>
      <c r="C67" s="10" t="s">
        <v>15</v>
      </c>
      <c r="D67" s="10" t="s">
        <v>16</v>
      </c>
      <c r="E67" s="11" t="s">
        <v>32</v>
      </c>
      <c r="F67" s="11" t="s">
        <v>17</v>
      </c>
      <c r="G67" s="10" t="s">
        <v>18</v>
      </c>
      <c r="H67" s="11" t="s">
        <v>19</v>
      </c>
      <c r="I67" s="11" t="s">
        <v>20</v>
      </c>
      <c r="J67" s="11"/>
      <c r="K67" s="11">
        <v>15383</v>
      </c>
      <c r="L67" s="11"/>
      <c r="M67" s="11"/>
      <c r="N67" s="11"/>
      <c r="O67" s="11"/>
      <c r="P67" s="11"/>
      <c r="Q67" s="11"/>
      <c r="R67" s="11"/>
      <c r="S67" s="11"/>
      <c r="T67" s="11"/>
      <c r="U67" s="11"/>
      <c r="V67" s="11"/>
      <c r="W67" s="11"/>
      <c r="X67" s="11"/>
      <c r="Y67" s="11"/>
      <c r="Z67" s="11"/>
      <c r="AA67" s="11"/>
      <c r="AB67" s="11"/>
      <c r="AC67" s="11"/>
      <c r="AD67" s="11"/>
      <c r="AE67" s="11"/>
      <c r="AF67" s="11"/>
      <c r="AG67" s="11"/>
      <c r="AH67" s="11"/>
      <c r="AI67" s="14"/>
    </row>
    <row r="68" spans="1:35" ht="14.25" hidden="1" customHeight="1" x14ac:dyDescent="0.25">
      <c r="A68" s="9">
        <v>67</v>
      </c>
      <c r="B68" s="10" t="s">
        <v>14</v>
      </c>
      <c r="C68" s="10" t="s">
        <v>15</v>
      </c>
      <c r="D68" s="10" t="s">
        <v>16</v>
      </c>
      <c r="E68" s="11" t="s">
        <v>33</v>
      </c>
      <c r="F68" s="11" t="s">
        <v>17</v>
      </c>
      <c r="G68" s="10" t="s">
        <v>18</v>
      </c>
      <c r="H68" s="11" t="s">
        <v>19</v>
      </c>
      <c r="I68" s="11" t="s">
        <v>20</v>
      </c>
      <c r="J68" s="11"/>
      <c r="K68" s="11">
        <v>14141</v>
      </c>
      <c r="L68" s="11"/>
      <c r="M68" s="11"/>
      <c r="N68" s="11"/>
      <c r="O68" s="11"/>
      <c r="P68" s="11"/>
      <c r="Q68" s="11"/>
      <c r="R68" s="11"/>
      <c r="S68" s="11"/>
      <c r="T68" s="11"/>
      <c r="U68" s="11"/>
      <c r="V68" s="11"/>
      <c r="W68" s="11"/>
      <c r="X68" s="11"/>
      <c r="Y68" s="11"/>
      <c r="Z68" s="11"/>
      <c r="AA68" s="11"/>
      <c r="AB68" s="11"/>
      <c r="AC68" s="11"/>
      <c r="AD68" s="11"/>
      <c r="AE68" s="11"/>
      <c r="AF68" s="11"/>
      <c r="AG68" s="11"/>
      <c r="AH68" s="11"/>
      <c r="AI68" s="14"/>
    </row>
    <row r="69" spans="1:35" ht="14.25" hidden="1" customHeight="1" x14ac:dyDescent="0.25">
      <c r="A69" s="9">
        <v>68</v>
      </c>
      <c r="B69" s="10" t="s">
        <v>14</v>
      </c>
      <c r="C69" s="10" t="s">
        <v>15</v>
      </c>
      <c r="D69" s="10" t="s">
        <v>16</v>
      </c>
      <c r="E69" s="11" t="s">
        <v>34</v>
      </c>
      <c r="F69" s="11" t="s">
        <v>17</v>
      </c>
      <c r="G69" s="10" t="s">
        <v>18</v>
      </c>
      <c r="H69" s="11" t="s">
        <v>19</v>
      </c>
      <c r="I69" s="11" t="s">
        <v>20</v>
      </c>
      <c r="J69" s="11"/>
      <c r="K69" s="11">
        <v>15478</v>
      </c>
      <c r="L69" s="11"/>
      <c r="M69" s="11"/>
      <c r="N69" s="11"/>
      <c r="O69" s="11"/>
      <c r="P69" s="11"/>
      <c r="Q69" s="11"/>
      <c r="R69" s="11"/>
      <c r="S69" s="11"/>
      <c r="T69" s="11"/>
      <c r="U69" s="11"/>
      <c r="V69" s="11"/>
      <c r="W69" s="11"/>
      <c r="X69" s="11"/>
      <c r="Y69" s="11"/>
      <c r="Z69" s="11"/>
      <c r="AA69" s="11"/>
      <c r="AB69" s="11"/>
      <c r="AC69" s="11"/>
      <c r="AD69" s="11"/>
      <c r="AE69" s="11"/>
      <c r="AF69" s="11"/>
      <c r="AG69" s="11"/>
      <c r="AH69" s="11"/>
      <c r="AI69" s="14"/>
    </row>
    <row r="70" spans="1:35" ht="14.25" hidden="1" customHeight="1" x14ac:dyDescent="0.25">
      <c r="A70" s="9">
        <v>69</v>
      </c>
      <c r="B70" s="10" t="s">
        <v>14</v>
      </c>
      <c r="C70" s="10" t="s">
        <v>15</v>
      </c>
      <c r="D70" s="10" t="s">
        <v>16</v>
      </c>
      <c r="E70" s="11" t="s">
        <v>35</v>
      </c>
      <c r="F70" s="11" t="s">
        <v>17</v>
      </c>
      <c r="G70" s="10" t="s">
        <v>18</v>
      </c>
      <c r="H70" s="11" t="s">
        <v>19</v>
      </c>
      <c r="I70" s="11" t="s">
        <v>20</v>
      </c>
      <c r="J70" s="11"/>
      <c r="K70" s="11">
        <v>14045</v>
      </c>
      <c r="L70" s="11"/>
      <c r="M70" s="11"/>
      <c r="N70" s="11"/>
      <c r="O70" s="11"/>
      <c r="P70" s="11"/>
      <c r="Q70" s="11"/>
      <c r="R70" s="11"/>
      <c r="S70" s="11"/>
      <c r="T70" s="11"/>
      <c r="U70" s="11"/>
      <c r="V70" s="11"/>
      <c r="W70" s="11"/>
      <c r="X70" s="11"/>
      <c r="Y70" s="11"/>
      <c r="Z70" s="11"/>
      <c r="AA70" s="11"/>
      <c r="AB70" s="11"/>
      <c r="AC70" s="11"/>
      <c r="AD70" s="11"/>
      <c r="AE70" s="11"/>
      <c r="AF70" s="11"/>
      <c r="AG70" s="11"/>
      <c r="AH70" s="11"/>
      <c r="AI70" s="14"/>
    </row>
    <row r="71" spans="1:35" ht="14.25" hidden="1" customHeight="1" x14ac:dyDescent="0.25">
      <c r="A71" s="9">
        <v>70</v>
      </c>
      <c r="B71" s="10" t="s">
        <v>14</v>
      </c>
      <c r="C71" s="10" t="s">
        <v>15</v>
      </c>
      <c r="D71" s="10" t="s">
        <v>16</v>
      </c>
      <c r="E71" s="11" t="s">
        <v>35</v>
      </c>
      <c r="F71" s="11" t="s">
        <v>17</v>
      </c>
      <c r="G71" s="10" t="s">
        <v>24</v>
      </c>
      <c r="H71" s="11" t="s">
        <v>19</v>
      </c>
      <c r="I71" s="11" t="s">
        <v>20</v>
      </c>
      <c r="J71" s="11"/>
      <c r="K71" s="11">
        <v>14045</v>
      </c>
      <c r="L71" s="11"/>
      <c r="M71" s="11"/>
      <c r="N71" s="11"/>
      <c r="O71" s="11"/>
      <c r="P71" s="11"/>
      <c r="Q71" s="11"/>
      <c r="R71" s="11"/>
      <c r="S71" s="11"/>
      <c r="T71" s="11"/>
      <c r="U71" s="11"/>
      <c r="V71" s="11"/>
      <c r="W71" s="11"/>
      <c r="X71" s="11"/>
      <c r="Y71" s="11"/>
      <c r="Z71" s="11"/>
      <c r="AA71" s="11"/>
      <c r="AB71" s="11"/>
      <c r="AC71" s="11"/>
      <c r="AD71" s="11"/>
      <c r="AE71" s="11"/>
      <c r="AF71" s="11"/>
      <c r="AG71" s="11"/>
      <c r="AH71" s="11"/>
      <c r="AI71" s="14"/>
    </row>
    <row r="72" spans="1:35" ht="14.25" hidden="1" customHeight="1" x14ac:dyDescent="0.25">
      <c r="A72" s="9">
        <v>71</v>
      </c>
      <c r="B72" s="10" t="s">
        <v>14</v>
      </c>
      <c r="C72" s="10" t="s">
        <v>15</v>
      </c>
      <c r="D72" s="10" t="s">
        <v>16</v>
      </c>
      <c r="E72" s="11" t="s">
        <v>36</v>
      </c>
      <c r="F72" s="11" t="s">
        <v>17</v>
      </c>
      <c r="G72" s="10" t="s">
        <v>18</v>
      </c>
      <c r="H72" s="11" t="s">
        <v>23</v>
      </c>
      <c r="I72" s="11" t="s">
        <v>20</v>
      </c>
      <c r="J72" s="11"/>
      <c r="K72" s="11" t="s">
        <v>36</v>
      </c>
      <c r="L72" s="11"/>
      <c r="M72" s="11"/>
      <c r="N72" s="11"/>
      <c r="O72" s="11"/>
      <c r="P72" s="11"/>
      <c r="Q72" s="11"/>
      <c r="R72" s="11"/>
      <c r="S72" s="11"/>
      <c r="T72" s="11"/>
      <c r="U72" s="11"/>
      <c r="V72" s="11"/>
      <c r="W72" s="11"/>
      <c r="X72" s="11"/>
      <c r="Y72" s="11"/>
      <c r="Z72" s="11"/>
      <c r="AA72" s="11"/>
      <c r="AB72" s="11"/>
      <c r="AC72" s="11"/>
      <c r="AD72" s="11"/>
      <c r="AE72" s="11"/>
      <c r="AF72" s="11"/>
      <c r="AG72" s="11"/>
      <c r="AH72" s="11"/>
      <c r="AI72" s="14"/>
    </row>
    <row r="73" spans="1:35" ht="14.25" hidden="1" customHeight="1" x14ac:dyDescent="0.25">
      <c r="A73" s="9">
        <v>72</v>
      </c>
      <c r="B73" s="10" t="s">
        <v>14</v>
      </c>
      <c r="C73" s="10" t="s">
        <v>15</v>
      </c>
      <c r="D73" s="10" t="s">
        <v>16</v>
      </c>
      <c r="E73" s="11" t="s">
        <v>36</v>
      </c>
      <c r="F73" s="11" t="s">
        <v>17</v>
      </c>
      <c r="G73" s="10" t="s">
        <v>18</v>
      </c>
      <c r="H73" s="11" t="s">
        <v>19</v>
      </c>
      <c r="I73" s="11" t="s">
        <v>20</v>
      </c>
      <c r="J73" s="11"/>
      <c r="K73" s="11" t="s">
        <v>36</v>
      </c>
      <c r="L73" s="11"/>
      <c r="M73" s="11"/>
      <c r="N73" s="11"/>
      <c r="O73" s="11"/>
      <c r="P73" s="11"/>
      <c r="Q73" s="11"/>
      <c r="R73" s="11"/>
      <c r="S73" s="11"/>
      <c r="T73" s="11"/>
      <c r="U73" s="11"/>
      <c r="V73" s="11"/>
      <c r="W73" s="11"/>
      <c r="X73" s="11"/>
      <c r="Y73" s="11"/>
      <c r="Z73" s="11"/>
      <c r="AA73" s="11"/>
      <c r="AB73" s="11"/>
      <c r="AC73" s="11"/>
      <c r="AD73" s="11"/>
      <c r="AE73" s="11"/>
      <c r="AF73" s="11"/>
      <c r="AG73" s="11"/>
      <c r="AH73" s="11"/>
      <c r="AI73" s="14"/>
    </row>
    <row r="74" spans="1:35" ht="14.25" hidden="1" customHeight="1" x14ac:dyDescent="0.25">
      <c r="A74" s="9">
        <v>73</v>
      </c>
      <c r="B74" s="10" t="s">
        <v>14</v>
      </c>
      <c r="C74" s="10" t="s">
        <v>15</v>
      </c>
      <c r="D74" s="10" t="s">
        <v>16</v>
      </c>
      <c r="E74" s="11" t="s">
        <v>36</v>
      </c>
      <c r="F74" s="11" t="s">
        <v>17</v>
      </c>
      <c r="G74" s="10" t="s">
        <v>18</v>
      </c>
      <c r="H74" s="11" t="s">
        <v>19</v>
      </c>
      <c r="I74" s="11" t="s">
        <v>20</v>
      </c>
      <c r="J74" s="11"/>
      <c r="K74" s="11" t="s">
        <v>36</v>
      </c>
      <c r="L74" s="11"/>
      <c r="M74" s="11"/>
      <c r="N74" s="11"/>
      <c r="O74" s="11"/>
      <c r="P74" s="11"/>
      <c r="Q74" s="11"/>
      <c r="R74" s="11"/>
      <c r="S74" s="11"/>
      <c r="T74" s="11"/>
      <c r="U74" s="11"/>
      <c r="V74" s="11"/>
      <c r="W74" s="11"/>
      <c r="X74" s="11"/>
      <c r="Y74" s="11"/>
      <c r="Z74" s="11"/>
      <c r="AA74" s="11"/>
      <c r="AB74" s="11"/>
      <c r="AC74" s="11"/>
      <c r="AD74" s="11"/>
      <c r="AE74" s="11"/>
      <c r="AF74" s="11"/>
      <c r="AG74" s="11"/>
      <c r="AH74" s="11"/>
      <c r="AI74" s="14"/>
    </row>
    <row r="75" spans="1:35" ht="14.25" hidden="1" customHeight="1" x14ac:dyDescent="0.25">
      <c r="A75" s="9">
        <v>74</v>
      </c>
      <c r="B75" s="10" t="s">
        <v>14</v>
      </c>
      <c r="C75" s="10" t="s">
        <v>15</v>
      </c>
      <c r="D75" s="10" t="s">
        <v>16</v>
      </c>
      <c r="E75" s="11" t="s">
        <v>36</v>
      </c>
      <c r="F75" s="11" t="s">
        <v>17</v>
      </c>
      <c r="G75" s="10" t="s">
        <v>18</v>
      </c>
      <c r="H75" s="11" t="s">
        <v>19</v>
      </c>
      <c r="I75" s="11" t="s">
        <v>20</v>
      </c>
      <c r="J75" s="11"/>
      <c r="K75" s="11" t="s">
        <v>36</v>
      </c>
      <c r="L75" s="11"/>
      <c r="M75" s="11"/>
      <c r="N75" s="11"/>
      <c r="O75" s="11"/>
      <c r="P75" s="11"/>
      <c r="Q75" s="11"/>
      <c r="R75" s="11"/>
      <c r="S75" s="11"/>
      <c r="T75" s="11"/>
      <c r="U75" s="11"/>
      <c r="V75" s="11"/>
      <c r="W75" s="11"/>
      <c r="X75" s="11"/>
      <c r="Y75" s="11"/>
      <c r="Z75" s="11"/>
      <c r="AA75" s="11"/>
      <c r="AB75" s="11"/>
      <c r="AC75" s="11"/>
      <c r="AD75" s="11"/>
      <c r="AE75" s="11"/>
      <c r="AF75" s="11"/>
      <c r="AG75" s="11"/>
      <c r="AH75" s="11"/>
      <c r="AI75" s="14"/>
    </row>
    <row r="76" spans="1:35" ht="14.25" hidden="1" customHeight="1" x14ac:dyDescent="0.25">
      <c r="A76" s="9">
        <v>75</v>
      </c>
      <c r="B76" s="10" t="s">
        <v>14</v>
      </c>
      <c r="C76" s="10" t="s">
        <v>15</v>
      </c>
      <c r="D76" s="10" t="s">
        <v>16</v>
      </c>
      <c r="E76" s="11" t="s">
        <v>36</v>
      </c>
      <c r="F76" s="11" t="s">
        <v>17</v>
      </c>
      <c r="G76" s="10" t="s">
        <v>18</v>
      </c>
      <c r="H76" s="11" t="s">
        <v>19</v>
      </c>
      <c r="I76" s="11" t="s">
        <v>20</v>
      </c>
      <c r="J76" s="11"/>
      <c r="K76" s="11" t="s">
        <v>36</v>
      </c>
      <c r="L76" s="11"/>
      <c r="M76" s="11"/>
      <c r="N76" s="11"/>
      <c r="O76" s="11"/>
      <c r="P76" s="11"/>
      <c r="Q76" s="11"/>
      <c r="R76" s="11"/>
      <c r="S76" s="11"/>
      <c r="T76" s="11"/>
      <c r="U76" s="11"/>
      <c r="V76" s="11"/>
      <c r="W76" s="11"/>
      <c r="X76" s="11"/>
      <c r="Y76" s="11"/>
      <c r="Z76" s="11"/>
      <c r="AA76" s="11"/>
      <c r="AB76" s="11"/>
      <c r="AC76" s="11"/>
      <c r="AD76" s="11"/>
      <c r="AE76" s="11"/>
      <c r="AF76" s="11"/>
      <c r="AG76" s="11"/>
      <c r="AH76" s="11"/>
      <c r="AI76" s="14"/>
    </row>
    <row r="77" spans="1:35" ht="14.25" hidden="1" customHeight="1" x14ac:dyDescent="0.25">
      <c r="A77" s="9">
        <v>76</v>
      </c>
      <c r="B77" s="10" t="s">
        <v>14</v>
      </c>
      <c r="C77" s="10" t="s">
        <v>15</v>
      </c>
      <c r="D77" s="10" t="s">
        <v>16</v>
      </c>
      <c r="E77" s="11" t="s">
        <v>36</v>
      </c>
      <c r="F77" s="11" t="s">
        <v>17</v>
      </c>
      <c r="G77" s="10" t="s">
        <v>18</v>
      </c>
      <c r="H77" s="11" t="s">
        <v>19</v>
      </c>
      <c r="I77" s="11" t="s">
        <v>20</v>
      </c>
      <c r="J77" s="11"/>
      <c r="K77" s="11" t="s">
        <v>36</v>
      </c>
      <c r="L77" s="11"/>
      <c r="M77" s="11"/>
      <c r="N77" s="11"/>
      <c r="O77" s="11"/>
      <c r="P77" s="11"/>
      <c r="Q77" s="11"/>
      <c r="R77" s="11"/>
      <c r="S77" s="11"/>
      <c r="T77" s="11"/>
      <c r="U77" s="11"/>
      <c r="V77" s="11"/>
      <c r="W77" s="11"/>
      <c r="X77" s="11"/>
      <c r="Y77" s="11"/>
      <c r="Z77" s="11"/>
      <c r="AA77" s="11"/>
      <c r="AB77" s="11"/>
      <c r="AC77" s="11"/>
      <c r="AD77" s="11"/>
      <c r="AE77" s="11"/>
      <c r="AF77" s="11"/>
      <c r="AG77" s="11"/>
      <c r="AH77" s="11"/>
      <c r="AI77" s="14"/>
    </row>
    <row r="78" spans="1:35" ht="14.25" hidden="1" customHeight="1" x14ac:dyDescent="0.25">
      <c r="A78" s="9">
        <v>77</v>
      </c>
      <c r="B78" s="10" t="s">
        <v>14</v>
      </c>
      <c r="C78" s="10" t="s">
        <v>15</v>
      </c>
      <c r="D78" s="10" t="s">
        <v>16</v>
      </c>
      <c r="E78" s="11" t="s">
        <v>36</v>
      </c>
      <c r="F78" s="11" t="s">
        <v>17</v>
      </c>
      <c r="G78" s="10" t="s">
        <v>24</v>
      </c>
      <c r="H78" s="11" t="s">
        <v>19</v>
      </c>
      <c r="I78" s="11" t="s">
        <v>20</v>
      </c>
      <c r="J78" s="11"/>
      <c r="K78" s="11" t="s">
        <v>36</v>
      </c>
      <c r="L78" s="11"/>
      <c r="M78" s="11"/>
      <c r="N78" s="11"/>
      <c r="O78" s="11"/>
      <c r="P78" s="11"/>
      <c r="Q78" s="11"/>
      <c r="R78" s="11"/>
      <c r="S78" s="11"/>
      <c r="T78" s="11"/>
      <c r="U78" s="11"/>
      <c r="V78" s="11"/>
      <c r="W78" s="11"/>
      <c r="X78" s="11"/>
      <c r="Y78" s="11"/>
      <c r="Z78" s="11"/>
      <c r="AA78" s="11"/>
      <c r="AB78" s="11"/>
      <c r="AC78" s="11"/>
      <c r="AD78" s="11"/>
      <c r="AE78" s="11"/>
      <c r="AF78" s="11"/>
      <c r="AG78" s="11"/>
      <c r="AH78" s="11"/>
      <c r="AI78" s="14"/>
    </row>
    <row r="79" spans="1:35" ht="14.25" hidden="1" customHeight="1" x14ac:dyDescent="0.25">
      <c r="A79" s="9">
        <v>78</v>
      </c>
      <c r="B79" s="10" t="s">
        <v>14</v>
      </c>
      <c r="C79" s="10" t="s">
        <v>15</v>
      </c>
      <c r="D79" s="10" t="s">
        <v>16</v>
      </c>
      <c r="E79" s="11" t="s">
        <v>36</v>
      </c>
      <c r="F79" s="11" t="s">
        <v>17</v>
      </c>
      <c r="G79" s="10" t="s">
        <v>24</v>
      </c>
      <c r="H79" s="11" t="s">
        <v>19</v>
      </c>
      <c r="I79" s="11" t="s">
        <v>20</v>
      </c>
      <c r="J79" s="11"/>
      <c r="K79" s="11" t="s">
        <v>36</v>
      </c>
      <c r="L79" s="11"/>
      <c r="M79" s="11"/>
      <c r="N79" s="11"/>
      <c r="O79" s="11"/>
      <c r="P79" s="11"/>
      <c r="Q79" s="11"/>
      <c r="R79" s="11"/>
      <c r="S79" s="11"/>
      <c r="T79" s="11"/>
      <c r="U79" s="11"/>
      <c r="V79" s="11"/>
      <c r="W79" s="11"/>
      <c r="X79" s="11"/>
      <c r="Y79" s="11"/>
      <c r="Z79" s="11"/>
      <c r="AA79" s="11"/>
      <c r="AB79" s="11"/>
      <c r="AC79" s="11"/>
      <c r="AD79" s="11"/>
      <c r="AE79" s="11"/>
      <c r="AF79" s="11"/>
      <c r="AG79" s="11"/>
      <c r="AH79" s="11"/>
      <c r="AI79" s="14"/>
    </row>
    <row r="80" spans="1:35" ht="14.25" hidden="1" customHeight="1" x14ac:dyDescent="0.25">
      <c r="A80" s="9">
        <v>79</v>
      </c>
      <c r="B80" s="10" t="s">
        <v>14</v>
      </c>
      <c r="C80" s="10" t="s">
        <v>15</v>
      </c>
      <c r="D80" s="10" t="s">
        <v>16</v>
      </c>
      <c r="E80" s="11" t="s">
        <v>36</v>
      </c>
      <c r="F80" s="11" t="s">
        <v>17</v>
      </c>
      <c r="G80" s="10" t="s">
        <v>24</v>
      </c>
      <c r="H80" s="11" t="s">
        <v>23</v>
      </c>
      <c r="I80" s="11" t="s">
        <v>20</v>
      </c>
      <c r="J80" s="11"/>
      <c r="K80" s="11" t="s">
        <v>36</v>
      </c>
      <c r="L80" s="11"/>
      <c r="M80" s="11"/>
      <c r="N80" s="11"/>
      <c r="O80" s="11"/>
      <c r="P80" s="11"/>
      <c r="Q80" s="11"/>
      <c r="R80" s="11"/>
      <c r="S80" s="11"/>
      <c r="T80" s="11"/>
      <c r="U80" s="11"/>
      <c r="V80" s="11"/>
      <c r="W80" s="11"/>
      <c r="X80" s="11"/>
      <c r="Y80" s="11"/>
      <c r="Z80" s="11"/>
      <c r="AA80" s="11"/>
      <c r="AB80" s="11"/>
      <c r="AC80" s="11"/>
      <c r="AD80" s="11"/>
      <c r="AE80" s="11"/>
      <c r="AF80" s="11"/>
      <c r="AG80" s="11"/>
      <c r="AH80" s="11"/>
      <c r="AI80" s="14"/>
    </row>
    <row r="81" spans="1:35" ht="14.25" hidden="1" customHeight="1" x14ac:dyDescent="0.25">
      <c r="A81" s="9">
        <v>80</v>
      </c>
      <c r="B81" s="10" t="s">
        <v>14</v>
      </c>
      <c r="C81" s="10" t="s">
        <v>15</v>
      </c>
      <c r="D81" s="10" t="s">
        <v>16</v>
      </c>
      <c r="E81" s="11" t="s">
        <v>36</v>
      </c>
      <c r="F81" s="11" t="s">
        <v>17</v>
      </c>
      <c r="G81" s="10" t="s">
        <v>24</v>
      </c>
      <c r="H81" s="11" t="s">
        <v>19</v>
      </c>
      <c r="I81" s="11" t="s">
        <v>20</v>
      </c>
      <c r="J81" s="11"/>
      <c r="K81" s="11" t="s">
        <v>36</v>
      </c>
      <c r="L81" s="11"/>
      <c r="M81" s="11"/>
      <c r="N81" s="11"/>
      <c r="O81" s="11"/>
      <c r="P81" s="11"/>
      <c r="Q81" s="11"/>
      <c r="R81" s="11"/>
      <c r="S81" s="11"/>
      <c r="T81" s="11"/>
      <c r="U81" s="11"/>
      <c r="V81" s="11"/>
      <c r="W81" s="11"/>
      <c r="X81" s="11"/>
      <c r="Y81" s="11"/>
      <c r="Z81" s="11"/>
      <c r="AA81" s="11"/>
      <c r="AB81" s="11"/>
      <c r="AC81" s="11"/>
      <c r="AD81" s="11"/>
      <c r="AE81" s="11"/>
      <c r="AF81" s="11"/>
      <c r="AG81" s="11"/>
      <c r="AH81" s="11"/>
      <c r="AI81" s="14"/>
    </row>
    <row r="82" spans="1:35" ht="14.25" hidden="1" customHeight="1" x14ac:dyDescent="0.25">
      <c r="A82" s="9">
        <v>1</v>
      </c>
      <c r="B82" s="10" t="s">
        <v>14</v>
      </c>
      <c r="C82" s="10" t="s">
        <v>15</v>
      </c>
      <c r="D82" s="10" t="s">
        <v>37</v>
      </c>
      <c r="E82" s="11" t="s">
        <v>21</v>
      </c>
      <c r="F82" s="11" t="s">
        <v>17</v>
      </c>
      <c r="G82" s="10" t="s">
        <v>24</v>
      </c>
      <c r="H82" s="11" t="s">
        <v>19</v>
      </c>
      <c r="I82" s="11" t="s">
        <v>20</v>
      </c>
      <c r="J82" s="11"/>
      <c r="K82" s="11" t="s">
        <v>21</v>
      </c>
      <c r="L82" s="11"/>
      <c r="M82" s="11"/>
      <c r="N82" s="11"/>
      <c r="O82" s="11"/>
      <c r="P82" s="11"/>
      <c r="Q82" s="11"/>
      <c r="R82" s="11"/>
      <c r="S82" s="11"/>
      <c r="T82" s="11"/>
      <c r="U82" s="11"/>
      <c r="V82" s="11"/>
      <c r="W82" s="11"/>
      <c r="X82" s="11"/>
      <c r="Y82" s="11"/>
      <c r="Z82" s="11"/>
      <c r="AA82" s="11"/>
      <c r="AB82" s="11"/>
      <c r="AC82" s="11"/>
      <c r="AD82" s="11"/>
      <c r="AE82" s="11"/>
      <c r="AF82" s="11"/>
      <c r="AG82" s="11"/>
      <c r="AH82" s="11"/>
      <c r="AI82" s="14"/>
    </row>
    <row r="83" spans="1:35" ht="14.25" hidden="1" customHeight="1" x14ac:dyDescent="0.25">
      <c r="A83" s="9">
        <v>2</v>
      </c>
      <c r="B83" s="10" t="s">
        <v>14</v>
      </c>
      <c r="C83" s="10" t="s">
        <v>15</v>
      </c>
      <c r="D83" s="10" t="s">
        <v>37</v>
      </c>
      <c r="E83" s="11" t="s">
        <v>21</v>
      </c>
      <c r="F83" s="11" t="s">
        <v>17</v>
      </c>
      <c r="G83" s="10" t="s">
        <v>24</v>
      </c>
      <c r="H83" s="11" t="s">
        <v>19</v>
      </c>
      <c r="I83" s="11" t="s">
        <v>20</v>
      </c>
      <c r="J83" s="11"/>
      <c r="K83" s="11" t="s">
        <v>21</v>
      </c>
      <c r="L83" s="11"/>
      <c r="M83" s="11"/>
      <c r="N83" s="11"/>
      <c r="O83" s="11"/>
      <c r="P83" s="11"/>
      <c r="Q83" s="11"/>
      <c r="R83" s="11"/>
      <c r="S83" s="11"/>
      <c r="T83" s="11"/>
      <c r="U83" s="11"/>
      <c r="V83" s="11"/>
      <c r="W83" s="11"/>
      <c r="X83" s="11"/>
      <c r="Y83" s="11"/>
      <c r="Z83" s="11"/>
      <c r="AA83" s="11"/>
      <c r="AB83" s="11"/>
      <c r="AC83" s="11"/>
      <c r="AD83" s="11"/>
      <c r="AE83" s="11"/>
      <c r="AF83" s="11"/>
      <c r="AG83" s="11"/>
      <c r="AH83" s="11"/>
      <c r="AI83" s="14"/>
    </row>
    <row r="84" spans="1:35" ht="14.25" hidden="1" customHeight="1" x14ac:dyDescent="0.25">
      <c r="A84" s="9">
        <v>3</v>
      </c>
      <c r="B84" s="10" t="s">
        <v>14</v>
      </c>
      <c r="C84" s="10" t="s">
        <v>15</v>
      </c>
      <c r="D84" s="10" t="s">
        <v>37</v>
      </c>
      <c r="E84" s="11" t="s">
        <v>21</v>
      </c>
      <c r="F84" s="11" t="s">
        <v>17</v>
      </c>
      <c r="G84" s="10" t="s">
        <v>24</v>
      </c>
      <c r="H84" s="11" t="s">
        <v>23</v>
      </c>
      <c r="I84" s="11" t="s">
        <v>20</v>
      </c>
      <c r="J84" s="11"/>
      <c r="K84" s="11" t="s">
        <v>21</v>
      </c>
      <c r="L84" s="11"/>
      <c r="M84" s="11"/>
      <c r="N84" s="11"/>
      <c r="O84" s="11"/>
      <c r="P84" s="11"/>
      <c r="Q84" s="11"/>
      <c r="R84" s="11"/>
      <c r="S84" s="11"/>
      <c r="T84" s="11"/>
      <c r="U84" s="11"/>
      <c r="V84" s="11"/>
      <c r="W84" s="11"/>
      <c r="X84" s="11"/>
      <c r="Y84" s="11"/>
      <c r="Z84" s="11"/>
      <c r="AA84" s="11"/>
      <c r="AB84" s="11"/>
      <c r="AC84" s="11"/>
      <c r="AD84" s="11"/>
      <c r="AE84" s="11"/>
      <c r="AF84" s="11"/>
      <c r="AG84" s="11"/>
      <c r="AH84" s="11"/>
      <c r="AI84" s="14"/>
    </row>
    <row r="85" spans="1:35" ht="14.25" hidden="1" customHeight="1" x14ac:dyDescent="0.25">
      <c r="A85" s="9">
        <v>4</v>
      </c>
      <c r="B85" s="10" t="s">
        <v>14</v>
      </c>
      <c r="C85" s="10" t="s">
        <v>15</v>
      </c>
      <c r="D85" s="10" t="s">
        <v>37</v>
      </c>
      <c r="E85" s="11" t="s">
        <v>21</v>
      </c>
      <c r="F85" s="11" t="s">
        <v>17</v>
      </c>
      <c r="G85" s="10" t="s">
        <v>24</v>
      </c>
      <c r="H85" s="11" t="s">
        <v>25</v>
      </c>
      <c r="I85" s="11" t="s">
        <v>20</v>
      </c>
      <c r="J85" s="11"/>
      <c r="K85" s="11" t="s">
        <v>21</v>
      </c>
      <c r="L85" s="11"/>
      <c r="M85" s="11"/>
      <c r="N85" s="11"/>
      <c r="O85" s="11"/>
      <c r="P85" s="11"/>
      <c r="Q85" s="11"/>
      <c r="R85" s="11"/>
      <c r="S85" s="11"/>
      <c r="T85" s="11"/>
      <c r="U85" s="11"/>
      <c r="V85" s="11"/>
      <c r="W85" s="11"/>
      <c r="X85" s="11"/>
      <c r="Y85" s="11"/>
      <c r="Z85" s="11"/>
      <c r="AA85" s="11"/>
      <c r="AB85" s="11"/>
      <c r="AC85" s="11"/>
      <c r="AD85" s="11"/>
      <c r="AE85" s="11"/>
      <c r="AF85" s="11"/>
      <c r="AG85" s="11"/>
      <c r="AH85" s="11"/>
      <c r="AI85" s="14"/>
    </row>
    <row r="86" spans="1:35" ht="14.25" hidden="1" customHeight="1" x14ac:dyDescent="0.25">
      <c r="A86" s="9">
        <v>5</v>
      </c>
      <c r="B86" s="10" t="s">
        <v>14</v>
      </c>
      <c r="C86" s="10" t="s">
        <v>15</v>
      </c>
      <c r="D86" s="10" t="s">
        <v>37</v>
      </c>
      <c r="E86" s="11" t="s">
        <v>21</v>
      </c>
      <c r="F86" s="11" t="s">
        <v>17</v>
      </c>
      <c r="G86" s="10" t="s">
        <v>24</v>
      </c>
      <c r="H86" s="11" t="s">
        <v>25</v>
      </c>
      <c r="I86" s="11" t="s">
        <v>20</v>
      </c>
      <c r="J86" s="11"/>
      <c r="K86" s="11" t="s">
        <v>21</v>
      </c>
      <c r="L86" s="11"/>
      <c r="M86" s="11"/>
      <c r="N86" s="11"/>
      <c r="O86" s="11"/>
      <c r="P86" s="11"/>
      <c r="Q86" s="11"/>
      <c r="R86" s="11"/>
      <c r="S86" s="11"/>
      <c r="T86" s="11"/>
      <c r="U86" s="11"/>
      <c r="V86" s="11"/>
      <c r="W86" s="11"/>
      <c r="X86" s="11"/>
      <c r="Y86" s="11"/>
      <c r="Z86" s="11"/>
      <c r="AA86" s="11"/>
      <c r="AB86" s="11"/>
      <c r="AC86" s="11"/>
      <c r="AD86" s="11"/>
      <c r="AE86" s="11"/>
      <c r="AF86" s="11"/>
      <c r="AG86" s="11"/>
      <c r="AH86" s="11"/>
      <c r="AI86" s="14"/>
    </row>
    <row r="87" spans="1:35" ht="14.25" hidden="1" customHeight="1" x14ac:dyDescent="0.25">
      <c r="A87" s="9">
        <v>6</v>
      </c>
      <c r="B87" s="10" t="s">
        <v>14</v>
      </c>
      <c r="C87" s="10" t="s">
        <v>15</v>
      </c>
      <c r="D87" s="10" t="s">
        <v>37</v>
      </c>
      <c r="E87" s="11" t="s">
        <v>21</v>
      </c>
      <c r="F87" s="11" t="s">
        <v>17</v>
      </c>
      <c r="G87" s="10" t="s">
        <v>24</v>
      </c>
      <c r="H87" s="11" t="s">
        <v>19</v>
      </c>
      <c r="I87" s="11" t="s">
        <v>20</v>
      </c>
      <c r="J87" s="11"/>
      <c r="K87" s="11" t="s">
        <v>21</v>
      </c>
      <c r="L87" s="11"/>
      <c r="M87" s="11"/>
      <c r="N87" s="11"/>
      <c r="O87" s="11"/>
      <c r="P87" s="11"/>
      <c r="Q87" s="11"/>
      <c r="R87" s="11"/>
      <c r="S87" s="11"/>
      <c r="T87" s="11"/>
      <c r="U87" s="11"/>
      <c r="V87" s="11"/>
      <c r="W87" s="11"/>
      <c r="X87" s="11"/>
      <c r="Y87" s="11"/>
      <c r="Z87" s="11"/>
      <c r="AA87" s="11"/>
      <c r="AB87" s="11"/>
      <c r="AC87" s="11"/>
      <c r="AD87" s="11"/>
      <c r="AE87" s="11"/>
      <c r="AF87" s="11"/>
      <c r="AG87" s="11"/>
      <c r="AH87" s="11"/>
      <c r="AI87" s="14"/>
    </row>
    <row r="88" spans="1:35" ht="14.25" hidden="1" customHeight="1" x14ac:dyDescent="0.25">
      <c r="A88" s="9">
        <v>7</v>
      </c>
      <c r="B88" s="10" t="s">
        <v>14</v>
      </c>
      <c r="C88" s="10" t="s">
        <v>15</v>
      </c>
      <c r="D88" s="10" t="s">
        <v>37</v>
      </c>
      <c r="E88" s="11" t="s">
        <v>21</v>
      </c>
      <c r="F88" s="11" t="s">
        <v>17</v>
      </c>
      <c r="G88" s="10" t="s">
        <v>24</v>
      </c>
      <c r="H88" s="11" t="s">
        <v>23</v>
      </c>
      <c r="I88" s="11" t="s">
        <v>20</v>
      </c>
      <c r="J88" s="11"/>
      <c r="K88" s="11" t="s">
        <v>21</v>
      </c>
      <c r="L88" s="11"/>
      <c r="M88" s="11"/>
      <c r="N88" s="11"/>
      <c r="O88" s="11"/>
      <c r="P88" s="11"/>
      <c r="Q88" s="11"/>
      <c r="R88" s="11"/>
      <c r="S88" s="11"/>
      <c r="T88" s="11"/>
      <c r="U88" s="11"/>
      <c r="V88" s="11"/>
      <c r="W88" s="11"/>
      <c r="X88" s="11"/>
      <c r="Y88" s="11"/>
      <c r="Z88" s="11"/>
      <c r="AA88" s="11"/>
      <c r="AB88" s="11"/>
      <c r="AC88" s="11"/>
      <c r="AD88" s="11"/>
      <c r="AE88" s="11"/>
      <c r="AF88" s="11"/>
      <c r="AG88" s="11"/>
      <c r="AH88" s="11"/>
      <c r="AI88" s="14"/>
    </row>
    <row r="89" spans="1:35" ht="14.25" hidden="1" customHeight="1" x14ac:dyDescent="0.25">
      <c r="A89" s="9">
        <v>8</v>
      </c>
      <c r="B89" s="10" t="s">
        <v>14</v>
      </c>
      <c r="C89" s="10" t="s">
        <v>15</v>
      </c>
      <c r="D89" s="10" t="s">
        <v>37</v>
      </c>
      <c r="E89" s="11" t="s">
        <v>21</v>
      </c>
      <c r="F89" s="11" t="s">
        <v>17</v>
      </c>
      <c r="G89" s="10" t="s">
        <v>24</v>
      </c>
      <c r="H89" s="11" t="s">
        <v>19</v>
      </c>
      <c r="I89" s="11" t="s">
        <v>20</v>
      </c>
      <c r="J89" s="11"/>
      <c r="K89" s="11" t="s">
        <v>21</v>
      </c>
      <c r="L89" s="11"/>
      <c r="M89" s="11"/>
      <c r="N89" s="11"/>
      <c r="O89" s="11"/>
      <c r="P89" s="11"/>
      <c r="Q89" s="11"/>
      <c r="R89" s="11"/>
      <c r="S89" s="11"/>
      <c r="T89" s="11"/>
      <c r="U89" s="11"/>
      <c r="V89" s="11"/>
      <c r="W89" s="11"/>
      <c r="X89" s="11"/>
      <c r="Y89" s="11"/>
      <c r="Z89" s="11"/>
      <c r="AA89" s="11"/>
      <c r="AB89" s="11"/>
      <c r="AC89" s="11"/>
      <c r="AD89" s="11"/>
      <c r="AE89" s="11"/>
      <c r="AF89" s="11"/>
      <c r="AG89" s="11"/>
      <c r="AH89" s="11"/>
      <c r="AI89" s="14"/>
    </row>
    <row r="90" spans="1:35" ht="14.25" hidden="1" customHeight="1" x14ac:dyDescent="0.25">
      <c r="A90" s="9">
        <v>9</v>
      </c>
      <c r="B90" s="10" t="s">
        <v>14</v>
      </c>
      <c r="C90" s="10" t="s">
        <v>15</v>
      </c>
      <c r="D90" s="10" t="s">
        <v>37</v>
      </c>
      <c r="E90" s="11" t="s">
        <v>21</v>
      </c>
      <c r="F90" s="11" t="s">
        <v>17</v>
      </c>
      <c r="G90" s="10" t="s">
        <v>18</v>
      </c>
      <c r="H90" s="11" t="s">
        <v>19</v>
      </c>
      <c r="I90" s="11" t="s">
        <v>20</v>
      </c>
      <c r="J90" s="11"/>
      <c r="K90" s="11" t="s">
        <v>21</v>
      </c>
      <c r="L90" s="11"/>
      <c r="M90" s="11"/>
      <c r="N90" s="11"/>
      <c r="O90" s="11"/>
      <c r="P90" s="11"/>
      <c r="Q90" s="11"/>
      <c r="R90" s="11"/>
      <c r="S90" s="11"/>
      <c r="T90" s="11"/>
      <c r="U90" s="11"/>
      <c r="V90" s="11"/>
      <c r="W90" s="11"/>
      <c r="X90" s="11"/>
      <c r="Y90" s="11"/>
      <c r="Z90" s="11"/>
      <c r="AA90" s="11"/>
      <c r="AB90" s="11"/>
      <c r="AC90" s="11"/>
      <c r="AD90" s="11"/>
      <c r="AE90" s="11"/>
      <c r="AF90" s="11"/>
      <c r="AG90" s="11"/>
      <c r="AH90" s="11"/>
      <c r="AI90" s="14"/>
    </row>
    <row r="91" spans="1:35" ht="14.25" hidden="1" customHeight="1" x14ac:dyDescent="0.25">
      <c r="A91" s="9">
        <v>10</v>
      </c>
      <c r="B91" s="10" t="s">
        <v>14</v>
      </c>
      <c r="C91" s="10" t="s">
        <v>15</v>
      </c>
      <c r="D91" s="10" t="s">
        <v>37</v>
      </c>
      <c r="E91" s="11" t="s">
        <v>21</v>
      </c>
      <c r="F91" s="11" t="s">
        <v>17</v>
      </c>
      <c r="G91" s="10" t="s">
        <v>18</v>
      </c>
      <c r="H91" s="11" t="s">
        <v>19</v>
      </c>
      <c r="I91" s="11" t="s">
        <v>20</v>
      </c>
      <c r="J91" s="11"/>
      <c r="K91" s="11" t="s">
        <v>21</v>
      </c>
      <c r="L91" s="11"/>
      <c r="M91" s="11"/>
      <c r="N91" s="11"/>
      <c r="O91" s="11"/>
      <c r="P91" s="11"/>
      <c r="Q91" s="11"/>
      <c r="R91" s="11"/>
      <c r="S91" s="11"/>
      <c r="T91" s="11"/>
      <c r="U91" s="11"/>
      <c r="V91" s="11"/>
      <c r="W91" s="11"/>
      <c r="X91" s="11"/>
      <c r="Y91" s="11"/>
      <c r="Z91" s="11"/>
      <c r="AA91" s="11"/>
      <c r="AB91" s="11"/>
      <c r="AC91" s="11"/>
      <c r="AD91" s="11"/>
      <c r="AE91" s="11"/>
      <c r="AF91" s="11"/>
      <c r="AG91" s="11"/>
      <c r="AH91" s="11"/>
      <c r="AI91" s="14"/>
    </row>
    <row r="92" spans="1:35" ht="14.25" hidden="1" customHeight="1" x14ac:dyDescent="0.25">
      <c r="A92" s="9">
        <v>11</v>
      </c>
      <c r="B92" s="10" t="s">
        <v>14</v>
      </c>
      <c r="C92" s="10" t="s">
        <v>15</v>
      </c>
      <c r="D92" s="10" t="s">
        <v>37</v>
      </c>
      <c r="E92" s="11" t="s">
        <v>21</v>
      </c>
      <c r="F92" s="11" t="s">
        <v>17</v>
      </c>
      <c r="G92" s="10" t="s">
        <v>18</v>
      </c>
      <c r="H92" s="11" t="s">
        <v>19</v>
      </c>
      <c r="I92" s="11" t="s">
        <v>20</v>
      </c>
      <c r="J92" s="11"/>
      <c r="K92" s="11" t="s">
        <v>21</v>
      </c>
      <c r="L92" s="11"/>
      <c r="M92" s="11"/>
      <c r="N92" s="11"/>
      <c r="O92" s="11"/>
      <c r="P92" s="11"/>
      <c r="Q92" s="11"/>
      <c r="R92" s="11"/>
      <c r="S92" s="11"/>
      <c r="T92" s="11"/>
      <c r="U92" s="11"/>
      <c r="V92" s="11"/>
      <c r="W92" s="11"/>
      <c r="X92" s="11"/>
      <c r="Y92" s="11"/>
      <c r="Z92" s="11"/>
      <c r="AA92" s="11"/>
      <c r="AB92" s="11"/>
      <c r="AC92" s="11"/>
      <c r="AD92" s="11"/>
      <c r="AE92" s="11"/>
      <c r="AF92" s="11"/>
      <c r="AG92" s="11"/>
      <c r="AH92" s="11"/>
      <c r="AI92" s="14"/>
    </row>
    <row r="93" spans="1:35" ht="15.75" hidden="1" customHeight="1" x14ac:dyDescent="0.25">
      <c r="A93" s="9">
        <v>12</v>
      </c>
      <c r="B93" s="10" t="s">
        <v>14</v>
      </c>
      <c r="C93" s="10" t="s">
        <v>15</v>
      </c>
      <c r="D93" s="10" t="s">
        <v>37</v>
      </c>
      <c r="E93" s="11" t="s">
        <v>21</v>
      </c>
      <c r="F93" s="11" t="s">
        <v>17</v>
      </c>
      <c r="G93" s="10" t="s">
        <v>18</v>
      </c>
      <c r="H93" s="11" t="s">
        <v>19</v>
      </c>
      <c r="I93" s="11" t="s">
        <v>20</v>
      </c>
      <c r="J93" s="11"/>
      <c r="K93" s="11" t="s">
        <v>21</v>
      </c>
      <c r="L93" s="11"/>
      <c r="M93" s="11"/>
      <c r="N93" s="11"/>
      <c r="O93" s="11"/>
      <c r="P93" s="11"/>
      <c r="Q93" s="11"/>
      <c r="R93" s="11"/>
      <c r="S93" s="11"/>
      <c r="T93" s="11"/>
      <c r="U93" s="11"/>
      <c r="V93" s="11"/>
      <c r="W93" s="11"/>
      <c r="X93" s="11"/>
      <c r="Y93" s="11"/>
      <c r="Z93" s="11"/>
      <c r="AA93" s="11"/>
      <c r="AB93" s="11"/>
      <c r="AC93" s="11"/>
      <c r="AD93" s="11"/>
      <c r="AE93" s="11"/>
      <c r="AF93" s="11"/>
      <c r="AG93" s="11"/>
      <c r="AH93" s="11"/>
      <c r="AI93" s="14"/>
    </row>
    <row r="94" spans="1:35" ht="15.75" hidden="1" customHeight="1" x14ac:dyDescent="0.25">
      <c r="A94" s="9">
        <v>13</v>
      </c>
      <c r="B94" s="10" t="s">
        <v>14</v>
      </c>
      <c r="C94" s="10" t="s">
        <v>15</v>
      </c>
      <c r="D94" s="10" t="s">
        <v>37</v>
      </c>
      <c r="E94" s="11" t="s">
        <v>21</v>
      </c>
      <c r="F94" s="11" t="s">
        <v>17</v>
      </c>
      <c r="G94" s="10" t="s">
        <v>18</v>
      </c>
      <c r="H94" s="11" t="s">
        <v>19</v>
      </c>
      <c r="I94" s="11" t="s">
        <v>20</v>
      </c>
      <c r="J94" s="11"/>
      <c r="K94" s="11" t="s">
        <v>21</v>
      </c>
      <c r="L94" s="11"/>
      <c r="M94" s="11"/>
      <c r="N94" s="11"/>
      <c r="O94" s="11"/>
      <c r="P94" s="11"/>
      <c r="Q94" s="11"/>
      <c r="R94" s="11"/>
      <c r="S94" s="11"/>
      <c r="T94" s="11"/>
      <c r="U94" s="11"/>
      <c r="V94" s="11"/>
      <c r="W94" s="11"/>
      <c r="X94" s="11"/>
      <c r="Y94" s="11"/>
      <c r="Z94" s="11"/>
      <c r="AA94" s="11"/>
      <c r="AB94" s="11"/>
      <c r="AC94" s="11"/>
      <c r="AD94" s="11"/>
      <c r="AE94" s="11"/>
      <c r="AF94" s="11"/>
      <c r="AG94" s="11"/>
      <c r="AH94" s="11"/>
      <c r="AI94" s="14"/>
    </row>
    <row r="95" spans="1:35" ht="15.75" hidden="1" customHeight="1" x14ac:dyDescent="0.25">
      <c r="A95" s="9">
        <v>14</v>
      </c>
      <c r="B95" s="10" t="s">
        <v>14</v>
      </c>
      <c r="C95" s="10" t="s">
        <v>15</v>
      </c>
      <c r="D95" s="10" t="s">
        <v>37</v>
      </c>
      <c r="E95" s="11" t="s">
        <v>21</v>
      </c>
      <c r="F95" s="11" t="s">
        <v>17</v>
      </c>
      <c r="G95" s="10" t="s">
        <v>18</v>
      </c>
      <c r="H95" s="11" t="s">
        <v>23</v>
      </c>
      <c r="I95" s="11" t="s">
        <v>20</v>
      </c>
      <c r="J95" s="11"/>
      <c r="K95" s="11" t="s">
        <v>21</v>
      </c>
      <c r="L95" s="11"/>
      <c r="M95" s="11"/>
      <c r="N95" s="11"/>
      <c r="O95" s="11"/>
      <c r="P95" s="11"/>
      <c r="Q95" s="11"/>
      <c r="R95" s="11"/>
      <c r="S95" s="11"/>
      <c r="T95" s="11"/>
      <c r="U95" s="11"/>
      <c r="V95" s="11"/>
      <c r="W95" s="11"/>
      <c r="X95" s="11"/>
      <c r="Y95" s="11"/>
      <c r="Z95" s="11"/>
      <c r="AA95" s="11"/>
      <c r="AB95" s="11"/>
      <c r="AC95" s="11"/>
      <c r="AD95" s="11"/>
      <c r="AE95" s="11"/>
      <c r="AF95" s="11"/>
      <c r="AG95" s="11"/>
      <c r="AH95" s="11"/>
      <c r="AI95" s="14"/>
    </row>
    <row r="96" spans="1:35" ht="15.75" hidden="1" customHeight="1" x14ac:dyDescent="0.25">
      <c r="A96" s="9">
        <v>15</v>
      </c>
      <c r="B96" s="10" t="s">
        <v>14</v>
      </c>
      <c r="C96" s="10" t="s">
        <v>15</v>
      </c>
      <c r="D96" s="10" t="s">
        <v>37</v>
      </c>
      <c r="E96" s="11" t="s">
        <v>21</v>
      </c>
      <c r="F96" s="11" t="s">
        <v>17</v>
      </c>
      <c r="G96" s="10" t="s">
        <v>24</v>
      </c>
      <c r="H96" s="11" t="s">
        <v>19</v>
      </c>
      <c r="I96" s="11" t="s">
        <v>20</v>
      </c>
      <c r="J96" s="11"/>
      <c r="K96" s="11" t="s">
        <v>21</v>
      </c>
      <c r="L96" s="11"/>
      <c r="M96" s="11"/>
      <c r="N96" s="11"/>
      <c r="O96" s="11"/>
      <c r="P96" s="11"/>
      <c r="Q96" s="11"/>
      <c r="R96" s="11"/>
      <c r="S96" s="11"/>
      <c r="T96" s="11"/>
      <c r="U96" s="11"/>
      <c r="V96" s="11"/>
      <c r="W96" s="11"/>
      <c r="X96" s="11"/>
      <c r="Y96" s="11"/>
      <c r="Z96" s="11"/>
      <c r="AA96" s="11"/>
      <c r="AB96" s="11"/>
      <c r="AC96" s="11"/>
      <c r="AD96" s="11"/>
      <c r="AE96" s="11"/>
      <c r="AF96" s="11"/>
      <c r="AG96" s="11"/>
      <c r="AH96" s="11"/>
      <c r="AI96" s="14"/>
    </row>
    <row r="97" spans="1:35" ht="15.75" hidden="1" customHeight="1" x14ac:dyDescent="0.25">
      <c r="A97" s="9">
        <v>16</v>
      </c>
      <c r="B97" s="10" t="s">
        <v>14</v>
      </c>
      <c r="C97" s="10" t="s">
        <v>15</v>
      </c>
      <c r="D97" s="10" t="s">
        <v>37</v>
      </c>
      <c r="E97" s="11" t="s">
        <v>21</v>
      </c>
      <c r="F97" s="11" t="s">
        <v>17</v>
      </c>
      <c r="G97" s="10" t="s">
        <v>24</v>
      </c>
      <c r="H97" s="11" t="s">
        <v>19</v>
      </c>
      <c r="I97" s="11" t="s">
        <v>20</v>
      </c>
      <c r="J97" s="11"/>
      <c r="K97" s="11" t="s">
        <v>21</v>
      </c>
      <c r="L97" s="11"/>
      <c r="M97" s="11"/>
      <c r="N97" s="11"/>
      <c r="O97" s="11"/>
      <c r="P97" s="11"/>
      <c r="Q97" s="11"/>
      <c r="R97" s="11"/>
      <c r="S97" s="11"/>
      <c r="T97" s="11"/>
      <c r="U97" s="11"/>
      <c r="V97" s="11"/>
      <c r="W97" s="11"/>
      <c r="X97" s="11"/>
      <c r="Y97" s="11"/>
      <c r="Z97" s="11"/>
      <c r="AA97" s="11"/>
      <c r="AB97" s="11"/>
      <c r="AC97" s="11"/>
      <c r="AD97" s="11"/>
      <c r="AE97" s="11"/>
      <c r="AF97" s="11"/>
      <c r="AG97" s="11"/>
      <c r="AH97" s="11"/>
      <c r="AI97" s="14"/>
    </row>
    <row r="98" spans="1:35" ht="15.75" hidden="1" customHeight="1" x14ac:dyDescent="0.25">
      <c r="A98" s="9">
        <v>17</v>
      </c>
      <c r="B98" s="10" t="s">
        <v>14</v>
      </c>
      <c r="C98" s="10" t="s">
        <v>15</v>
      </c>
      <c r="D98" s="10" t="s">
        <v>37</v>
      </c>
      <c r="E98" s="11" t="s">
        <v>21</v>
      </c>
      <c r="F98" s="11" t="s">
        <v>17</v>
      </c>
      <c r="G98" s="10" t="s">
        <v>24</v>
      </c>
      <c r="H98" s="11" t="s">
        <v>19</v>
      </c>
      <c r="I98" s="11" t="s">
        <v>20</v>
      </c>
      <c r="J98" s="11"/>
      <c r="K98" s="11" t="s">
        <v>21</v>
      </c>
      <c r="L98" s="11"/>
      <c r="M98" s="11"/>
      <c r="N98" s="11"/>
      <c r="O98" s="11"/>
      <c r="P98" s="11"/>
      <c r="Q98" s="11"/>
      <c r="R98" s="11"/>
      <c r="S98" s="11"/>
      <c r="T98" s="11"/>
      <c r="U98" s="11"/>
      <c r="V98" s="11"/>
      <c r="W98" s="11"/>
      <c r="X98" s="11"/>
      <c r="Y98" s="11"/>
      <c r="Z98" s="11"/>
      <c r="AA98" s="11"/>
      <c r="AB98" s="11"/>
      <c r="AC98" s="11"/>
      <c r="AD98" s="11"/>
      <c r="AE98" s="11"/>
      <c r="AF98" s="11"/>
      <c r="AG98" s="11"/>
      <c r="AH98" s="11"/>
      <c r="AI98" s="14"/>
    </row>
    <row r="99" spans="1:35" ht="15.75" hidden="1" customHeight="1" x14ac:dyDescent="0.25">
      <c r="A99" s="9">
        <v>18</v>
      </c>
      <c r="B99" s="10" t="s">
        <v>14</v>
      </c>
      <c r="C99" s="10" t="s">
        <v>15</v>
      </c>
      <c r="D99" s="10" t="s">
        <v>37</v>
      </c>
      <c r="E99" s="11" t="s">
        <v>21</v>
      </c>
      <c r="F99" s="11" t="s">
        <v>17</v>
      </c>
      <c r="G99" s="10" t="s">
        <v>24</v>
      </c>
      <c r="H99" s="11" t="s">
        <v>19</v>
      </c>
      <c r="I99" s="11" t="s">
        <v>20</v>
      </c>
      <c r="J99" s="11"/>
      <c r="K99" s="11" t="s">
        <v>21</v>
      </c>
      <c r="L99" s="11"/>
      <c r="M99" s="11"/>
      <c r="N99" s="11"/>
      <c r="O99" s="11"/>
      <c r="P99" s="11"/>
      <c r="Q99" s="11"/>
      <c r="R99" s="11"/>
      <c r="S99" s="11"/>
      <c r="T99" s="11"/>
      <c r="U99" s="11"/>
      <c r="V99" s="11"/>
      <c r="W99" s="11"/>
      <c r="X99" s="11"/>
      <c r="Y99" s="11"/>
      <c r="Z99" s="11"/>
      <c r="AA99" s="11"/>
      <c r="AB99" s="11"/>
      <c r="AC99" s="11"/>
      <c r="AD99" s="11"/>
      <c r="AE99" s="11"/>
      <c r="AF99" s="11"/>
      <c r="AG99" s="11"/>
      <c r="AH99" s="11"/>
      <c r="AI99" s="14"/>
    </row>
    <row r="100" spans="1:35" ht="15.75" hidden="1" customHeight="1" x14ac:dyDescent="0.25">
      <c r="A100" s="9">
        <v>19</v>
      </c>
      <c r="B100" s="10" t="s">
        <v>14</v>
      </c>
      <c r="C100" s="10" t="s">
        <v>15</v>
      </c>
      <c r="D100" s="10" t="s">
        <v>37</v>
      </c>
      <c r="E100" s="11" t="s">
        <v>21</v>
      </c>
      <c r="F100" s="11" t="s">
        <v>17</v>
      </c>
      <c r="G100" s="10" t="s">
        <v>24</v>
      </c>
      <c r="H100" s="11" t="s">
        <v>19</v>
      </c>
      <c r="I100" s="11" t="s">
        <v>20</v>
      </c>
      <c r="J100" s="11"/>
      <c r="K100" s="11" t="s">
        <v>21</v>
      </c>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4"/>
    </row>
    <row r="101" spans="1:35" ht="15.75" hidden="1" customHeight="1" x14ac:dyDescent="0.25">
      <c r="A101" s="9">
        <v>20</v>
      </c>
      <c r="B101" s="10" t="s">
        <v>14</v>
      </c>
      <c r="C101" s="10" t="s">
        <v>15</v>
      </c>
      <c r="D101" s="10" t="s">
        <v>37</v>
      </c>
      <c r="E101" s="11" t="s">
        <v>21</v>
      </c>
      <c r="F101" s="11" t="s">
        <v>17</v>
      </c>
      <c r="G101" s="10" t="s">
        <v>18</v>
      </c>
      <c r="H101" s="11" t="s">
        <v>19</v>
      </c>
      <c r="I101" s="11" t="s">
        <v>20</v>
      </c>
      <c r="J101" s="11"/>
      <c r="K101" s="11" t="s">
        <v>21</v>
      </c>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4"/>
    </row>
    <row r="102" spans="1:35" ht="15.75" hidden="1" customHeight="1" x14ac:dyDescent="0.25">
      <c r="A102" s="9">
        <v>21</v>
      </c>
      <c r="B102" s="10" t="s">
        <v>14</v>
      </c>
      <c r="C102" s="10" t="s">
        <v>15</v>
      </c>
      <c r="D102" s="10" t="s">
        <v>37</v>
      </c>
      <c r="E102" s="11" t="s">
        <v>21</v>
      </c>
      <c r="F102" s="11" t="s">
        <v>17</v>
      </c>
      <c r="G102" s="10" t="s">
        <v>18</v>
      </c>
      <c r="H102" s="11" t="s">
        <v>19</v>
      </c>
      <c r="I102" s="11" t="s">
        <v>20</v>
      </c>
      <c r="J102" s="11"/>
      <c r="K102" s="11" t="s">
        <v>21</v>
      </c>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4"/>
    </row>
    <row r="103" spans="1:35" ht="15.75" hidden="1" customHeight="1" x14ac:dyDescent="0.25">
      <c r="A103" s="9">
        <v>22</v>
      </c>
      <c r="B103" s="10" t="s">
        <v>14</v>
      </c>
      <c r="C103" s="10" t="s">
        <v>15</v>
      </c>
      <c r="D103" s="10" t="s">
        <v>37</v>
      </c>
      <c r="E103" s="11" t="s">
        <v>21</v>
      </c>
      <c r="F103" s="11" t="s">
        <v>17</v>
      </c>
      <c r="G103" s="10" t="s">
        <v>18</v>
      </c>
      <c r="H103" s="11" t="s">
        <v>19</v>
      </c>
      <c r="I103" s="11" t="s">
        <v>20</v>
      </c>
      <c r="J103" s="11"/>
      <c r="K103" s="11" t="s">
        <v>21</v>
      </c>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4"/>
    </row>
    <row r="104" spans="1:35" ht="15.75" hidden="1" customHeight="1" x14ac:dyDescent="0.25">
      <c r="A104" s="9">
        <v>23</v>
      </c>
      <c r="B104" s="10" t="s">
        <v>14</v>
      </c>
      <c r="C104" s="10" t="s">
        <v>15</v>
      </c>
      <c r="D104" s="10" t="s">
        <v>37</v>
      </c>
      <c r="E104" s="11" t="s">
        <v>21</v>
      </c>
      <c r="F104" s="11" t="s">
        <v>17</v>
      </c>
      <c r="G104" s="10" t="s">
        <v>18</v>
      </c>
      <c r="H104" s="11" t="s">
        <v>19</v>
      </c>
      <c r="I104" s="11" t="s">
        <v>20</v>
      </c>
      <c r="J104" s="11"/>
      <c r="K104" s="11" t="s">
        <v>21</v>
      </c>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4"/>
    </row>
    <row r="105" spans="1:35" ht="15.75" hidden="1" customHeight="1" x14ac:dyDescent="0.25">
      <c r="A105" s="9">
        <v>24</v>
      </c>
      <c r="B105" s="10" t="s">
        <v>14</v>
      </c>
      <c r="C105" s="10" t="s">
        <v>15</v>
      </c>
      <c r="D105" s="10" t="s">
        <v>37</v>
      </c>
      <c r="E105" s="11" t="s">
        <v>21</v>
      </c>
      <c r="F105" s="11" t="s">
        <v>17</v>
      </c>
      <c r="G105" s="10" t="s">
        <v>18</v>
      </c>
      <c r="H105" s="11" t="s">
        <v>19</v>
      </c>
      <c r="I105" s="11" t="s">
        <v>20</v>
      </c>
      <c r="J105" s="11"/>
      <c r="K105" s="11" t="s">
        <v>21</v>
      </c>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4"/>
    </row>
    <row r="106" spans="1:35" ht="15.75" hidden="1" customHeight="1" x14ac:dyDescent="0.25">
      <c r="A106" s="9">
        <v>25</v>
      </c>
      <c r="B106" s="10" t="s">
        <v>14</v>
      </c>
      <c r="C106" s="10" t="s">
        <v>15</v>
      </c>
      <c r="D106" s="10" t="s">
        <v>37</v>
      </c>
      <c r="E106" s="11" t="s">
        <v>26</v>
      </c>
      <c r="F106" s="11" t="s">
        <v>17</v>
      </c>
      <c r="G106" s="10" t="s">
        <v>18</v>
      </c>
      <c r="H106" s="11" t="s">
        <v>19</v>
      </c>
      <c r="I106" s="11" t="s">
        <v>20</v>
      </c>
      <c r="J106" s="11"/>
      <c r="K106" s="11">
        <v>20104</v>
      </c>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4"/>
    </row>
    <row r="107" spans="1:35" ht="15.75" hidden="1" customHeight="1" x14ac:dyDescent="0.25">
      <c r="A107" s="9">
        <v>26</v>
      </c>
      <c r="B107" s="10" t="s">
        <v>14</v>
      </c>
      <c r="C107" s="10" t="s">
        <v>15</v>
      </c>
      <c r="D107" s="10" t="s">
        <v>37</v>
      </c>
      <c r="E107" s="11" t="s">
        <v>26</v>
      </c>
      <c r="F107" s="11" t="s">
        <v>17</v>
      </c>
      <c r="G107" s="10" t="s">
        <v>18</v>
      </c>
      <c r="H107" s="11" t="s">
        <v>19</v>
      </c>
      <c r="I107" s="11" t="s">
        <v>20</v>
      </c>
      <c r="J107" s="11"/>
      <c r="K107" s="11">
        <v>20104</v>
      </c>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4"/>
    </row>
    <row r="108" spans="1:35" ht="15.75" hidden="1" customHeight="1" x14ac:dyDescent="0.25">
      <c r="A108" s="9">
        <v>27</v>
      </c>
      <c r="B108" s="10" t="s">
        <v>14</v>
      </c>
      <c r="C108" s="10" t="s">
        <v>15</v>
      </c>
      <c r="D108" s="10" t="s">
        <v>37</v>
      </c>
      <c r="E108" s="11" t="s">
        <v>26</v>
      </c>
      <c r="F108" s="11" t="s">
        <v>17</v>
      </c>
      <c r="G108" s="10" t="s">
        <v>18</v>
      </c>
      <c r="H108" s="11" t="s">
        <v>19</v>
      </c>
      <c r="I108" s="11" t="s">
        <v>20</v>
      </c>
      <c r="J108" s="11"/>
      <c r="K108" s="11">
        <v>20104</v>
      </c>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4"/>
    </row>
    <row r="109" spans="1:35" ht="15.75" hidden="1" customHeight="1" x14ac:dyDescent="0.25">
      <c r="A109" s="9">
        <v>28</v>
      </c>
      <c r="B109" s="10" t="s">
        <v>14</v>
      </c>
      <c r="C109" s="10" t="s">
        <v>15</v>
      </c>
      <c r="D109" s="10" t="s">
        <v>37</v>
      </c>
      <c r="E109" s="11" t="s">
        <v>26</v>
      </c>
      <c r="F109" s="11" t="s">
        <v>17</v>
      </c>
      <c r="G109" s="10" t="s">
        <v>24</v>
      </c>
      <c r="H109" s="11" t="s">
        <v>19</v>
      </c>
      <c r="I109" s="11" t="s">
        <v>20</v>
      </c>
      <c r="J109" s="11"/>
      <c r="K109" s="11">
        <v>20104</v>
      </c>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4"/>
    </row>
    <row r="110" spans="1:35" ht="15.75" hidden="1" customHeight="1" x14ac:dyDescent="0.25">
      <c r="A110" s="9">
        <v>29</v>
      </c>
      <c r="B110" s="10" t="s">
        <v>14</v>
      </c>
      <c r="C110" s="10" t="s">
        <v>15</v>
      </c>
      <c r="D110" s="10" t="s">
        <v>37</v>
      </c>
      <c r="E110" s="11" t="s">
        <v>27</v>
      </c>
      <c r="F110" s="11" t="s">
        <v>17</v>
      </c>
      <c r="G110" s="10" t="s">
        <v>18</v>
      </c>
      <c r="H110" s="11" t="s">
        <v>19</v>
      </c>
      <c r="I110" s="11" t="s">
        <v>20</v>
      </c>
      <c r="J110" s="11"/>
      <c r="K110" s="11">
        <v>14975</v>
      </c>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4"/>
    </row>
    <row r="111" spans="1:35" ht="15.75" hidden="1" customHeight="1" x14ac:dyDescent="0.25">
      <c r="A111" s="9">
        <v>30</v>
      </c>
      <c r="B111" s="10" t="s">
        <v>14</v>
      </c>
      <c r="C111" s="10" t="s">
        <v>15</v>
      </c>
      <c r="D111" s="10" t="s">
        <v>37</v>
      </c>
      <c r="E111" s="11" t="s">
        <v>27</v>
      </c>
      <c r="F111" s="11" t="s">
        <v>17</v>
      </c>
      <c r="G111" s="10" t="s">
        <v>18</v>
      </c>
      <c r="H111" s="11" t="s">
        <v>19</v>
      </c>
      <c r="I111" s="11" t="s">
        <v>20</v>
      </c>
      <c r="J111" s="11"/>
      <c r="K111" s="11">
        <v>14975</v>
      </c>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4"/>
    </row>
    <row r="112" spans="1:35" ht="15.75" hidden="1" customHeight="1" x14ac:dyDescent="0.25">
      <c r="A112" s="9">
        <v>31</v>
      </c>
      <c r="B112" s="10" t="s">
        <v>14</v>
      </c>
      <c r="C112" s="10" t="s">
        <v>15</v>
      </c>
      <c r="D112" s="10" t="s">
        <v>37</v>
      </c>
      <c r="E112" s="11" t="s">
        <v>27</v>
      </c>
      <c r="F112" s="11" t="s">
        <v>17</v>
      </c>
      <c r="G112" s="10" t="s">
        <v>24</v>
      </c>
      <c r="H112" s="11" t="s">
        <v>19</v>
      </c>
      <c r="I112" s="11" t="s">
        <v>20</v>
      </c>
      <c r="J112" s="11"/>
      <c r="K112" s="11">
        <v>14975</v>
      </c>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4"/>
    </row>
    <row r="113" spans="1:35" ht="15.75" hidden="1" customHeight="1" x14ac:dyDescent="0.25">
      <c r="A113" s="9">
        <v>32</v>
      </c>
      <c r="B113" s="10" t="s">
        <v>14</v>
      </c>
      <c r="C113" s="10" t="s">
        <v>15</v>
      </c>
      <c r="D113" s="10" t="s">
        <v>37</v>
      </c>
      <c r="E113" s="11" t="s">
        <v>27</v>
      </c>
      <c r="F113" s="11" t="s">
        <v>17</v>
      </c>
      <c r="G113" s="10" t="s">
        <v>24</v>
      </c>
      <c r="H113" s="11" t="s">
        <v>19</v>
      </c>
      <c r="I113" s="11" t="s">
        <v>20</v>
      </c>
      <c r="J113" s="11"/>
      <c r="K113" s="11">
        <v>14975</v>
      </c>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4"/>
    </row>
    <row r="114" spans="1:35" ht="15.75" hidden="1" customHeight="1" x14ac:dyDescent="0.25">
      <c r="A114" s="9">
        <v>33</v>
      </c>
      <c r="B114" s="10" t="s">
        <v>14</v>
      </c>
      <c r="C114" s="10" t="s">
        <v>15</v>
      </c>
      <c r="D114" s="10" t="s">
        <v>37</v>
      </c>
      <c r="E114" s="11" t="s">
        <v>27</v>
      </c>
      <c r="F114" s="11" t="s">
        <v>17</v>
      </c>
      <c r="G114" s="10" t="s">
        <v>24</v>
      </c>
      <c r="H114" s="11" t="s">
        <v>19</v>
      </c>
      <c r="I114" s="11" t="s">
        <v>20</v>
      </c>
      <c r="J114" s="11"/>
      <c r="K114" s="11">
        <v>14975</v>
      </c>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4"/>
    </row>
    <row r="115" spans="1:35" ht="15.75" hidden="1" customHeight="1" x14ac:dyDescent="0.25">
      <c r="A115" s="9">
        <v>34</v>
      </c>
      <c r="B115" s="10" t="s">
        <v>14</v>
      </c>
      <c r="C115" s="10" t="s">
        <v>15</v>
      </c>
      <c r="D115" s="10" t="s">
        <v>37</v>
      </c>
      <c r="E115" s="11" t="s">
        <v>28</v>
      </c>
      <c r="F115" s="11" t="s">
        <v>17</v>
      </c>
      <c r="G115" s="10" t="s">
        <v>18</v>
      </c>
      <c r="H115" s="11" t="s">
        <v>23</v>
      </c>
      <c r="I115" s="11" t="s">
        <v>20</v>
      </c>
      <c r="J115" s="11"/>
      <c r="K115" s="11">
        <v>15304</v>
      </c>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4"/>
    </row>
    <row r="116" spans="1:35" ht="15.75" hidden="1" customHeight="1" x14ac:dyDescent="0.25">
      <c r="A116" s="9">
        <v>35</v>
      </c>
      <c r="B116" s="10" t="s">
        <v>14</v>
      </c>
      <c r="C116" s="10" t="s">
        <v>15</v>
      </c>
      <c r="D116" s="10" t="s">
        <v>37</v>
      </c>
      <c r="E116" s="11" t="s">
        <v>28</v>
      </c>
      <c r="F116" s="11" t="s">
        <v>17</v>
      </c>
      <c r="G116" s="10" t="s">
        <v>24</v>
      </c>
      <c r="H116" s="11" t="s">
        <v>19</v>
      </c>
      <c r="I116" s="11" t="s">
        <v>20</v>
      </c>
      <c r="J116" s="11"/>
      <c r="K116" s="11">
        <v>15304</v>
      </c>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4"/>
    </row>
    <row r="117" spans="1:35" ht="15.75" hidden="1" customHeight="1" x14ac:dyDescent="0.25">
      <c r="A117" s="9">
        <v>36</v>
      </c>
      <c r="B117" s="10" t="s">
        <v>14</v>
      </c>
      <c r="C117" s="10" t="s">
        <v>15</v>
      </c>
      <c r="D117" s="10" t="s">
        <v>37</v>
      </c>
      <c r="E117" s="11" t="s">
        <v>28</v>
      </c>
      <c r="F117" s="11" t="s">
        <v>17</v>
      </c>
      <c r="G117" s="10" t="s">
        <v>24</v>
      </c>
      <c r="H117" s="11" t="s">
        <v>19</v>
      </c>
      <c r="I117" s="11" t="s">
        <v>20</v>
      </c>
      <c r="J117" s="11"/>
      <c r="K117" s="11">
        <v>15304</v>
      </c>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4"/>
    </row>
    <row r="118" spans="1:35" ht="15.75" hidden="1" customHeight="1" x14ac:dyDescent="0.25">
      <c r="A118" s="9">
        <v>37</v>
      </c>
      <c r="B118" s="10" t="s">
        <v>14</v>
      </c>
      <c r="C118" s="10" t="s">
        <v>15</v>
      </c>
      <c r="D118" s="10" t="s">
        <v>37</v>
      </c>
      <c r="E118" s="11" t="s">
        <v>29</v>
      </c>
      <c r="F118" s="11" t="s">
        <v>17</v>
      </c>
      <c r="G118" s="10" t="s">
        <v>18</v>
      </c>
      <c r="H118" s="11" t="s">
        <v>19</v>
      </c>
      <c r="I118" s="11" t="s">
        <v>20</v>
      </c>
      <c r="J118" s="11"/>
      <c r="K118" s="11" t="s">
        <v>29</v>
      </c>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4"/>
    </row>
    <row r="119" spans="1:35" ht="15.75" hidden="1" customHeight="1" x14ac:dyDescent="0.25">
      <c r="A119" s="9">
        <v>38</v>
      </c>
      <c r="B119" s="10" t="s">
        <v>14</v>
      </c>
      <c r="C119" s="10" t="s">
        <v>15</v>
      </c>
      <c r="D119" s="10" t="s">
        <v>37</v>
      </c>
      <c r="E119" s="11" t="s">
        <v>29</v>
      </c>
      <c r="F119" s="11" t="s">
        <v>17</v>
      </c>
      <c r="G119" s="10" t="s">
        <v>18</v>
      </c>
      <c r="H119" s="11" t="s">
        <v>19</v>
      </c>
      <c r="I119" s="11" t="s">
        <v>20</v>
      </c>
      <c r="J119" s="11"/>
      <c r="K119" s="11" t="s">
        <v>29</v>
      </c>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4"/>
    </row>
    <row r="120" spans="1:35" ht="15.75" hidden="1" customHeight="1" x14ac:dyDescent="0.25">
      <c r="A120" s="9">
        <v>39</v>
      </c>
      <c r="B120" s="10" t="s">
        <v>14</v>
      </c>
      <c r="C120" s="10" t="s">
        <v>15</v>
      </c>
      <c r="D120" s="10" t="s">
        <v>37</v>
      </c>
      <c r="E120" s="11" t="s">
        <v>29</v>
      </c>
      <c r="F120" s="11" t="s">
        <v>17</v>
      </c>
      <c r="G120" s="10" t="s">
        <v>18</v>
      </c>
      <c r="H120" s="11" t="s">
        <v>19</v>
      </c>
      <c r="I120" s="11" t="s">
        <v>20</v>
      </c>
      <c r="J120" s="11"/>
      <c r="K120" s="11" t="s">
        <v>29</v>
      </c>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4"/>
    </row>
    <row r="121" spans="1:35" ht="15.75" hidden="1" customHeight="1" x14ac:dyDescent="0.25">
      <c r="A121" s="9">
        <v>40</v>
      </c>
      <c r="B121" s="10" t="s">
        <v>14</v>
      </c>
      <c r="C121" s="10" t="s">
        <v>15</v>
      </c>
      <c r="D121" s="10" t="s">
        <v>37</v>
      </c>
      <c r="E121" s="11" t="s">
        <v>29</v>
      </c>
      <c r="F121" s="11" t="s">
        <v>17</v>
      </c>
      <c r="G121" s="10" t="s">
        <v>18</v>
      </c>
      <c r="H121" s="11" t="s">
        <v>19</v>
      </c>
      <c r="I121" s="11" t="s">
        <v>20</v>
      </c>
      <c r="J121" s="11"/>
      <c r="K121" s="11" t="s">
        <v>29</v>
      </c>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4"/>
    </row>
    <row r="122" spans="1:35" ht="15.75" hidden="1" customHeight="1" x14ac:dyDescent="0.25">
      <c r="A122" s="9">
        <v>41</v>
      </c>
      <c r="B122" s="10" t="s">
        <v>14</v>
      </c>
      <c r="C122" s="10" t="s">
        <v>15</v>
      </c>
      <c r="D122" s="10" t="s">
        <v>37</v>
      </c>
      <c r="E122" s="11" t="s">
        <v>29</v>
      </c>
      <c r="F122" s="11" t="s">
        <v>17</v>
      </c>
      <c r="G122" s="10" t="s">
        <v>24</v>
      </c>
      <c r="H122" s="11" t="s">
        <v>19</v>
      </c>
      <c r="I122" s="11" t="s">
        <v>20</v>
      </c>
      <c r="J122" s="11"/>
      <c r="K122" s="11" t="s">
        <v>29</v>
      </c>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4"/>
    </row>
    <row r="123" spans="1:35" ht="15.75" hidden="1" customHeight="1" x14ac:dyDescent="0.25">
      <c r="A123" s="9">
        <v>42</v>
      </c>
      <c r="B123" s="10" t="s">
        <v>14</v>
      </c>
      <c r="C123" s="10" t="s">
        <v>15</v>
      </c>
      <c r="D123" s="10" t="s">
        <v>37</v>
      </c>
      <c r="E123" s="11" t="s">
        <v>29</v>
      </c>
      <c r="F123" s="11" t="s">
        <v>17</v>
      </c>
      <c r="G123" s="10" t="s">
        <v>24</v>
      </c>
      <c r="H123" s="11" t="s">
        <v>19</v>
      </c>
      <c r="I123" s="11" t="s">
        <v>20</v>
      </c>
      <c r="J123" s="11"/>
      <c r="K123" s="11" t="s">
        <v>29</v>
      </c>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4"/>
    </row>
    <row r="124" spans="1:35" ht="15.75" hidden="1" customHeight="1" x14ac:dyDescent="0.25">
      <c r="A124" s="9">
        <v>43</v>
      </c>
      <c r="B124" s="10" t="s">
        <v>14</v>
      </c>
      <c r="C124" s="10" t="s">
        <v>15</v>
      </c>
      <c r="D124" s="10" t="s">
        <v>37</v>
      </c>
      <c r="E124" s="11" t="s">
        <v>29</v>
      </c>
      <c r="F124" s="11" t="s">
        <v>17</v>
      </c>
      <c r="G124" s="10" t="s">
        <v>24</v>
      </c>
      <c r="H124" s="11" t="s">
        <v>19</v>
      </c>
      <c r="I124" s="11" t="s">
        <v>20</v>
      </c>
      <c r="J124" s="11"/>
      <c r="K124" s="11" t="s">
        <v>29</v>
      </c>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4"/>
    </row>
    <row r="125" spans="1:35" ht="15.75" hidden="1" customHeight="1" x14ac:dyDescent="0.25">
      <c r="A125" s="9">
        <v>44</v>
      </c>
      <c r="B125" s="10" t="s">
        <v>14</v>
      </c>
      <c r="C125" s="10" t="s">
        <v>15</v>
      </c>
      <c r="D125" s="10" t="s">
        <v>37</v>
      </c>
      <c r="E125" s="11" t="s">
        <v>29</v>
      </c>
      <c r="F125" s="11" t="s">
        <v>17</v>
      </c>
      <c r="G125" s="10" t="s">
        <v>24</v>
      </c>
      <c r="H125" s="11" t="s">
        <v>19</v>
      </c>
      <c r="I125" s="11" t="s">
        <v>20</v>
      </c>
      <c r="J125" s="11"/>
      <c r="K125" s="11" t="s">
        <v>29</v>
      </c>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4"/>
    </row>
    <row r="126" spans="1:35" ht="15.75" hidden="1" customHeight="1" x14ac:dyDescent="0.25">
      <c r="A126" s="9">
        <v>45</v>
      </c>
      <c r="B126" s="10" t="s">
        <v>14</v>
      </c>
      <c r="C126" s="10" t="s">
        <v>15</v>
      </c>
      <c r="D126" s="10" t="s">
        <v>37</v>
      </c>
      <c r="E126" s="11" t="s">
        <v>29</v>
      </c>
      <c r="F126" s="11" t="s">
        <v>17</v>
      </c>
      <c r="G126" s="10" t="s">
        <v>24</v>
      </c>
      <c r="H126" s="11" t="s">
        <v>19</v>
      </c>
      <c r="I126" s="11" t="s">
        <v>20</v>
      </c>
      <c r="J126" s="11"/>
      <c r="K126" s="11" t="s">
        <v>29</v>
      </c>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4"/>
    </row>
    <row r="127" spans="1:35" ht="15.75" hidden="1" customHeight="1" x14ac:dyDescent="0.25">
      <c r="A127" s="9">
        <v>46</v>
      </c>
      <c r="B127" s="10" t="s">
        <v>14</v>
      </c>
      <c r="C127" s="10" t="s">
        <v>15</v>
      </c>
      <c r="D127" s="10" t="s">
        <v>37</v>
      </c>
      <c r="E127" s="11" t="s">
        <v>38</v>
      </c>
      <c r="F127" s="11" t="s">
        <v>17</v>
      </c>
      <c r="G127" s="10" t="s">
        <v>24</v>
      </c>
      <c r="H127" s="11" t="s">
        <v>23</v>
      </c>
      <c r="I127" s="11" t="s">
        <v>20</v>
      </c>
      <c r="J127" s="11"/>
      <c r="K127" s="11">
        <v>20123</v>
      </c>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4"/>
    </row>
    <row r="128" spans="1:35" ht="15.75" hidden="1" customHeight="1" x14ac:dyDescent="0.25">
      <c r="A128" s="9">
        <v>47</v>
      </c>
      <c r="B128" s="10" t="s">
        <v>14</v>
      </c>
      <c r="C128" s="10" t="s">
        <v>15</v>
      </c>
      <c r="D128" s="10" t="s">
        <v>37</v>
      </c>
      <c r="E128" s="11" t="s">
        <v>38</v>
      </c>
      <c r="F128" s="11" t="s">
        <v>17</v>
      </c>
      <c r="G128" s="10" t="s">
        <v>18</v>
      </c>
      <c r="H128" s="11" t="s">
        <v>23</v>
      </c>
      <c r="I128" s="11" t="s">
        <v>20</v>
      </c>
      <c r="J128" s="11"/>
      <c r="K128" s="11">
        <v>20123</v>
      </c>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4"/>
    </row>
    <row r="129" spans="1:35" ht="15.75" hidden="1" customHeight="1" x14ac:dyDescent="0.25">
      <c r="A129" s="9">
        <v>48</v>
      </c>
      <c r="B129" s="10" t="s">
        <v>14</v>
      </c>
      <c r="C129" s="10" t="s">
        <v>15</v>
      </c>
      <c r="D129" s="10" t="s">
        <v>37</v>
      </c>
      <c r="E129" s="11" t="s">
        <v>30</v>
      </c>
      <c r="F129" s="11" t="s">
        <v>17</v>
      </c>
      <c r="G129" s="10" t="s">
        <v>24</v>
      </c>
      <c r="H129" s="11" t="s">
        <v>19</v>
      </c>
      <c r="I129" s="11" t="s">
        <v>20</v>
      </c>
      <c r="J129" s="11"/>
      <c r="K129" s="11" t="s">
        <v>30</v>
      </c>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4"/>
    </row>
    <row r="130" spans="1:35" ht="15.75" hidden="1" customHeight="1" x14ac:dyDescent="0.25">
      <c r="A130" s="9">
        <v>49</v>
      </c>
      <c r="B130" s="10" t="s">
        <v>14</v>
      </c>
      <c r="C130" s="10" t="s">
        <v>15</v>
      </c>
      <c r="D130" s="10" t="s">
        <v>37</v>
      </c>
      <c r="E130" s="11" t="s">
        <v>30</v>
      </c>
      <c r="F130" s="11" t="s">
        <v>17</v>
      </c>
      <c r="G130" s="10" t="s">
        <v>24</v>
      </c>
      <c r="H130" s="11" t="s">
        <v>19</v>
      </c>
      <c r="I130" s="11" t="s">
        <v>20</v>
      </c>
      <c r="J130" s="11"/>
      <c r="K130" s="11" t="s">
        <v>30</v>
      </c>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4"/>
    </row>
    <row r="131" spans="1:35" ht="15.75" hidden="1" customHeight="1" x14ac:dyDescent="0.25">
      <c r="A131" s="9">
        <v>50</v>
      </c>
      <c r="B131" s="10" t="s">
        <v>14</v>
      </c>
      <c r="C131" s="10" t="s">
        <v>15</v>
      </c>
      <c r="D131" s="10" t="s">
        <v>37</v>
      </c>
      <c r="E131" s="11" t="s">
        <v>30</v>
      </c>
      <c r="F131" s="11" t="s">
        <v>17</v>
      </c>
      <c r="G131" s="10" t="s">
        <v>24</v>
      </c>
      <c r="H131" s="11" t="s">
        <v>19</v>
      </c>
      <c r="I131" s="11" t="s">
        <v>20</v>
      </c>
      <c r="J131" s="11"/>
      <c r="K131" s="11" t="s">
        <v>30</v>
      </c>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4"/>
    </row>
    <row r="132" spans="1:35" ht="15.75" hidden="1" customHeight="1" x14ac:dyDescent="0.25">
      <c r="A132" s="9">
        <v>51</v>
      </c>
      <c r="B132" s="10" t="s">
        <v>14</v>
      </c>
      <c r="C132" s="10" t="s">
        <v>15</v>
      </c>
      <c r="D132" s="10" t="s">
        <v>37</v>
      </c>
      <c r="E132" s="11" t="s">
        <v>30</v>
      </c>
      <c r="F132" s="11" t="s">
        <v>17</v>
      </c>
      <c r="G132" s="10" t="s">
        <v>24</v>
      </c>
      <c r="H132" s="11" t="s">
        <v>23</v>
      </c>
      <c r="I132" s="11" t="s">
        <v>20</v>
      </c>
      <c r="J132" s="11"/>
      <c r="K132" s="11" t="s">
        <v>30</v>
      </c>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4"/>
    </row>
    <row r="133" spans="1:35" ht="15.75" hidden="1" customHeight="1" x14ac:dyDescent="0.25">
      <c r="A133" s="9">
        <v>52</v>
      </c>
      <c r="B133" s="10" t="s">
        <v>14</v>
      </c>
      <c r="C133" s="10" t="s">
        <v>15</v>
      </c>
      <c r="D133" s="10" t="s">
        <v>37</v>
      </c>
      <c r="E133" s="11" t="s">
        <v>30</v>
      </c>
      <c r="F133" s="11" t="s">
        <v>17</v>
      </c>
      <c r="G133" s="10" t="s">
        <v>18</v>
      </c>
      <c r="H133" s="11" t="s">
        <v>19</v>
      </c>
      <c r="I133" s="11" t="s">
        <v>20</v>
      </c>
      <c r="J133" s="11"/>
      <c r="K133" s="11" t="s">
        <v>30</v>
      </c>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4"/>
    </row>
    <row r="134" spans="1:35" ht="15.75" hidden="1" customHeight="1" x14ac:dyDescent="0.25">
      <c r="A134" s="9">
        <v>53</v>
      </c>
      <c r="B134" s="10" t="s">
        <v>14</v>
      </c>
      <c r="C134" s="10" t="s">
        <v>15</v>
      </c>
      <c r="D134" s="10" t="s">
        <v>37</v>
      </c>
      <c r="E134" s="11" t="s">
        <v>30</v>
      </c>
      <c r="F134" s="11" t="s">
        <v>17</v>
      </c>
      <c r="G134" s="10" t="s">
        <v>18</v>
      </c>
      <c r="H134" s="11" t="s">
        <v>19</v>
      </c>
      <c r="I134" s="11" t="s">
        <v>20</v>
      </c>
      <c r="J134" s="11"/>
      <c r="K134" s="11" t="s">
        <v>30</v>
      </c>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4"/>
    </row>
    <row r="135" spans="1:35" ht="15.75" hidden="1" customHeight="1" x14ac:dyDescent="0.25">
      <c r="A135" s="9">
        <v>54</v>
      </c>
      <c r="B135" s="10" t="s">
        <v>14</v>
      </c>
      <c r="C135" s="10" t="s">
        <v>15</v>
      </c>
      <c r="D135" s="10" t="s">
        <v>37</v>
      </c>
      <c r="E135" s="11" t="s">
        <v>30</v>
      </c>
      <c r="F135" s="11" t="s">
        <v>17</v>
      </c>
      <c r="G135" s="10" t="s">
        <v>18</v>
      </c>
      <c r="H135" s="11" t="s">
        <v>19</v>
      </c>
      <c r="I135" s="11" t="s">
        <v>20</v>
      </c>
      <c r="J135" s="11"/>
      <c r="K135" s="11" t="s">
        <v>30</v>
      </c>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4"/>
    </row>
    <row r="136" spans="1:35" ht="15.75" hidden="1" customHeight="1" x14ac:dyDescent="0.25">
      <c r="A136" s="9">
        <v>55</v>
      </c>
      <c r="B136" s="10" t="s">
        <v>14</v>
      </c>
      <c r="C136" s="10" t="s">
        <v>15</v>
      </c>
      <c r="D136" s="10" t="s">
        <v>37</v>
      </c>
      <c r="E136" s="11" t="s">
        <v>30</v>
      </c>
      <c r="F136" s="11" t="s">
        <v>17</v>
      </c>
      <c r="G136" s="10" t="s">
        <v>18</v>
      </c>
      <c r="H136" s="11" t="s">
        <v>23</v>
      </c>
      <c r="I136" s="11" t="s">
        <v>20</v>
      </c>
      <c r="J136" s="11"/>
      <c r="K136" s="11" t="s">
        <v>30</v>
      </c>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4"/>
    </row>
    <row r="137" spans="1:35" ht="15.75" hidden="1" customHeight="1" x14ac:dyDescent="0.25">
      <c r="A137" s="9">
        <v>56</v>
      </c>
      <c r="B137" s="10" t="s">
        <v>14</v>
      </c>
      <c r="C137" s="10" t="s">
        <v>15</v>
      </c>
      <c r="D137" s="10" t="s">
        <v>37</v>
      </c>
      <c r="E137" s="11" t="s">
        <v>30</v>
      </c>
      <c r="F137" s="11" t="s">
        <v>17</v>
      </c>
      <c r="G137" s="10" t="s">
        <v>18</v>
      </c>
      <c r="H137" s="11" t="s">
        <v>19</v>
      </c>
      <c r="I137" s="11" t="s">
        <v>20</v>
      </c>
      <c r="J137" s="11"/>
      <c r="K137" s="11" t="s">
        <v>30</v>
      </c>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4"/>
    </row>
    <row r="138" spans="1:35" ht="15.75" hidden="1" customHeight="1" x14ac:dyDescent="0.25">
      <c r="A138" s="9">
        <v>57</v>
      </c>
      <c r="B138" s="10" t="s">
        <v>14</v>
      </c>
      <c r="C138" s="10" t="s">
        <v>15</v>
      </c>
      <c r="D138" s="10" t="s">
        <v>37</v>
      </c>
      <c r="E138" s="11" t="s">
        <v>30</v>
      </c>
      <c r="F138" s="11" t="s">
        <v>17</v>
      </c>
      <c r="G138" s="10" t="s">
        <v>18</v>
      </c>
      <c r="H138" s="11" t="s">
        <v>19</v>
      </c>
      <c r="I138" s="11" t="s">
        <v>20</v>
      </c>
      <c r="J138" s="11"/>
      <c r="K138" s="11" t="s">
        <v>30</v>
      </c>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4"/>
    </row>
    <row r="139" spans="1:35" ht="15.75" hidden="1" customHeight="1" x14ac:dyDescent="0.25">
      <c r="A139" s="9">
        <v>58</v>
      </c>
      <c r="B139" s="10" t="s">
        <v>14</v>
      </c>
      <c r="C139" s="10" t="s">
        <v>15</v>
      </c>
      <c r="D139" s="10" t="s">
        <v>37</v>
      </c>
      <c r="E139" s="11" t="s">
        <v>30</v>
      </c>
      <c r="F139" s="11" t="s">
        <v>17</v>
      </c>
      <c r="G139" s="10" t="s">
        <v>18</v>
      </c>
      <c r="H139" s="11" t="s">
        <v>25</v>
      </c>
      <c r="I139" s="11" t="s">
        <v>20</v>
      </c>
      <c r="J139" s="11"/>
      <c r="K139" s="11" t="s">
        <v>30</v>
      </c>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4"/>
    </row>
    <row r="140" spans="1:35" ht="15.75" hidden="1" customHeight="1" x14ac:dyDescent="0.25">
      <c r="A140" s="9">
        <v>59</v>
      </c>
      <c r="B140" s="10" t="s">
        <v>14</v>
      </c>
      <c r="C140" s="10" t="s">
        <v>15</v>
      </c>
      <c r="D140" s="10" t="s">
        <v>37</v>
      </c>
      <c r="E140" s="11" t="s">
        <v>30</v>
      </c>
      <c r="F140" s="11" t="s">
        <v>17</v>
      </c>
      <c r="G140" s="10" t="s">
        <v>18</v>
      </c>
      <c r="H140" s="11" t="s">
        <v>19</v>
      </c>
      <c r="I140" s="11" t="s">
        <v>20</v>
      </c>
      <c r="J140" s="11"/>
      <c r="K140" s="11" t="s">
        <v>30</v>
      </c>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4"/>
    </row>
    <row r="141" spans="1:35" ht="15.75" hidden="1" customHeight="1" x14ac:dyDescent="0.25">
      <c r="A141" s="9">
        <v>60</v>
      </c>
      <c r="B141" s="10" t="s">
        <v>14</v>
      </c>
      <c r="C141" s="10" t="s">
        <v>15</v>
      </c>
      <c r="D141" s="10" t="s">
        <v>37</v>
      </c>
      <c r="E141" s="11" t="s">
        <v>30</v>
      </c>
      <c r="F141" s="11" t="s">
        <v>17</v>
      </c>
      <c r="G141" s="10" t="s">
        <v>24</v>
      </c>
      <c r="H141" s="11" t="s">
        <v>19</v>
      </c>
      <c r="I141" s="11" t="s">
        <v>20</v>
      </c>
      <c r="J141" s="11"/>
      <c r="K141" s="11" t="s">
        <v>30</v>
      </c>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4"/>
    </row>
    <row r="142" spans="1:35" ht="15.75" hidden="1" customHeight="1" x14ac:dyDescent="0.25">
      <c r="A142" s="9">
        <v>61</v>
      </c>
      <c r="B142" s="10" t="s">
        <v>14</v>
      </c>
      <c r="C142" s="10" t="s">
        <v>15</v>
      </c>
      <c r="D142" s="10" t="s">
        <v>37</v>
      </c>
      <c r="E142" s="11" t="s">
        <v>30</v>
      </c>
      <c r="F142" s="11" t="s">
        <v>17</v>
      </c>
      <c r="G142" s="10" t="s">
        <v>24</v>
      </c>
      <c r="H142" s="11" t="s">
        <v>19</v>
      </c>
      <c r="I142" s="11" t="s">
        <v>20</v>
      </c>
      <c r="J142" s="11"/>
      <c r="K142" s="11" t="s">
        <v>30</v>
      </c>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4"/>
    </row>
    <row r="143" spans="1:35" ht="15.75" hidden="1" customHeight="1" x14ac:dyDescent="0.25">
      <c r="A143" s="9">
        <v>62</v>
      </c>
      <c r="B143" s="10" t="s">
        <v>14</v>
      </c>
      <c r="C143" s="10" t="s">
        <v>15</v>
      </c>
      <c r="D143" s="10" t="s">
        <v>37</v>
      </c>
      <c r="E143" s="11" t="s">
        <v>30</v>
      </c>
      <c r="F143" s="11" t="s">
        <v>17</v>
      </c>
      <c r="G143" s="10" t="s">
        <v>24</v>
      </c>
      <c r="H143" s="11" t="s">
        <v>19</v>
      </c>
      <c r="I143" s="11" t="s">
        <v>20</v>
      </c>
      <c r="J143" s="11"/>
      <c r="K143" s="11" t="s">
        <v>30</v>
      </c>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4"/>
    </row>
    <row r="144" spans="1:35" ht="15.75" hidden="1" customHeight="1" x14ac:dyDescent="0.25">
      <c r="A144" s="9">
        <v>63</v>
      </c>
      <c r="B144" s="10" t="s">
        <v>14</v>
      </c>
      <c r="C144" s="10" t="s">
        <v>15</v>
      </c>
      <c r="D144" s="10" t="s">
        <v>37</v>
      </c>
      <c r="E144" s="11" t="s">
        <v>30</v>
      </c>
      <c r="F144" s="11" t="s">
        <v>17</v>
      </c>
      <c r="G144" s="10" t="s">
        <v>24</v>
      </c>
      <c r="H144" s="11" t="s">
        <v>19</v>
      </c>
      <c r="I144" s="11" t="s">
        <v>20</v>
      </c>
      <c r="J144" s="11"/>
      <c r="K144" s="11" t="s">
        <v>30</v>
      </c>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4"/>
    </row>
    <row r="145" spans="1:35" ht="15.75" hidden="1" customHeight="1" x14ac:dyDescent="0.25">
      <c r="A145" s="9">
        <v>64</v>
      </c>
      <c r="B145" s="10" t="s">
        <v>14</v>
      </c>
      <c r="C145" s="10" t="s">
        <v>15</v>
      </c>
      <c r="D145" s="10" t="s">
        <v>37</v>
      </c>
      <c r="E145" s="11" t="s">
        <v>30</v>
      </c>
      <c r="F145" s="11" t="s">
        <v>17</v>
      </c>
      <c r="G145" s="10" t="s">
        <v>24</v>
      </c>
      <c r="H145" s="11" t="s">
        <v>25</v>
      </c>
      <c r="I145" s="11" t="s">
        <v>20</v>
      </c>
      <c r="J145" s="11"/>
      <c r="K145" s="11" t="s">
        <v>30</v>
      </c>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4"/>
    </row>
    <row r="146" spans="1:35" ht="15.75" hidden="1" customHeight="1" x14ac:dyDescent="0.25">
      <c r="A146" s="9">
        <v>65</v>
      </c>
      <c r="B146" s="10" t="s">
        <v>14</v>
      </c>
      <c r="C146" s="10" t="s">
        <v>15</v>
      </c>
      <c r="D146" s="10" t="s">
        <v>37</v>
      </c>
      <c r="E146" s="11" t="s">
        <v>30</v>
      </c>
      <c r="F146" s="11" t="s">
        <v>17</v>
      </c>
      <c r="G146" s="10" t="s">
        <v>24</v>
      </c>
      <c r="H146" s="11" t="s">
        <v>19</v>
      </c>
      <c r="I146" s="11" t="s">
        <v>20</v>
      </c>
      <c r="J146" s="11"/>
      <c r="K146" s="11" t="s">
        <v>30</v>
      </c>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4"/>
    </row>
    <row r="147" spans="1:35" ht="15.75" hidden="1" customHeight="1" x14ac:dyDescent="0.25">
      <c r="A147" s="9">
        <v>66</v>
      </c>
      <c r="B147" s="10" t="s">
        <v>14</v>
      </c>
      <c r="C147" s="10" t="s">
        <v>15</v>
      </c>
      <c r="D147" s="10" t="s">
        <v>37</v>
      </c>
      <c r="E147" s="11" t="s">
        <v>30</v>
      </c>
      <c r="F147" s="11" t="s">
        <v>17</v>
      </c>
      <c r="G147" s="10" t="s">
        <v>24</v>
      </c>
      <c r="H147" s="11" t="s">
        <v>19</v>
      </c>
      <c r="I147" s="11" t="s">
        <v>20</v>
      </c>
      <c r="J147" s="11"/>
      <c r="K147" s="11" t="s">
        <v>30</v>
      </c>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4"/>
    </row>
    <row r="148" spans="1:35" ht="15.75" hidden="1" customHeight="1" x14ac:dyDescent="0.25">
      <c r="A148" s="9">
        <v>67</v>
      </c>
      <c r="B148" s="10" t="s">
        <v>14</v>
      </c>
      <c r="C148" s="10" t="s">
        <v>15</v>
      </c>
      <c r="D148" s="10" t="s">
        <v>37</v>
      </c>
      <c r="E148" s="11" t="s">
        <v>30</v>
      </c>
      <c r="F148" s="11" t="s">
        <v>17</v>
      </c>
      <c r="G148" s="10" t="s">
        <v>18</v>
      </c>
      <c r="H148" s="11" t="s">
        <v>23</v>
      </c>
      <c r="I148" s="11" t="s">
        <v>20</v>
      </c>
      <c r="J148" s="11"/>
      <c r="K148" s="11" t="s">
        <v>30</v>
      </c>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4"/>
    </row>
    <row r="149" spans="1:35" ht="15.75" hidden="1" customHeight="1" x14ac:dyDescent="0.25">
      <c r="A149" s="9">
        <v>68</v>
      </c>
      <c r="B149" s="10" t="s">
        <v>14</v>
      </c>
      <c r="C149" s="10" t="s">
        <v>15</v>
      </c>
      <c r="D149" s="10" t="s">
        <v>37</v>
      </c>
      <c r="E149" s="11" t="s">
        <v>30</v>
      </c>
      <c r="F149" s="11" t="s">
        <v>17</v>
      </c>
      <c r="G149" s="10" t="s">
        <v>18</v>
      </c>
      <c r="H149" s="11" t="s">
        <v>19</v>
      </c>
      <c r="I149" s="11" t="s">
        <v>20</v>
      </c>
      <c r="J149" s="11"/>
      <c r="K149" s="11" t="s">
        <v>30</v>
      </c>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4"/>
    </row>
    <row r="150" spans="1:35" ht="15.75" hidden="1" customHeight="1" x14ac:dyDescent="0.25">
      <c r="A150" s="9">
        <v>69</v>
      </c>
      <c r="B150" s="10" t="s">
        <v>14</v>
      </c>
      <c r="C150" s="10" t="s">
        <v>15</v>
      </c>
      <c r="D150" s="10" t="s">
        <v>37</v>
      </c>
      <c r="E150" s="11" t="s">
        <v>30</v>
      </c>
      <c r="F150" s="11" t="s">
        <v>17</v>
      </c>
      <c r="G150" s="10" t="s">
        <v>18</v>
      </c>
      <c r="H150" s="11" t="s">
        <v>19</v>
      </c>
      <c r="I150" s="11" t="s">
        <v>20</v>
      </c>
      <c r="J150" s="11"/>
      <c r="K150" s="11" t="s">
        <v>30</v>
      </c>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4"/>
    </row>
    <row r="151" spans="1:35" ht="15.75" hidden="1" customHeight="1" x14ac:dyDescent="0.25">
      <c r="A151" s="9">
        <v>70</v>
      </c>
      <c r="B151" s="10" t="s">
        <v>14</v>
      </c>
      <c r="C151" s="10" t="s">
        <v>15</v>
      </c>
      <c r="D151" s="10" t="s">
        <v>37</v>
      </c>
      <c r="E151" s="11" t="s">
        <v>30</v>
      </c>
      <c r="F151" s="11" t="s">
        <v>17</v>
      </c>
      <c r="G151" s="10" t="s">
        <v>18</v>
      </c>
      <c r="H151" s="11" t="s">
        <v>19</v>
      </c>
      <c r="I151" s="11" t="s">
        <v>20</v>
      </c>
      <c r="J151" s="11"/>
      <c r="K151" s="11" t="s">
        <v>30</v>
      </c>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4"/>
    </row>
    <row r="152" spans="1:35" ht="15.75" hidden="1" customHeight="1" x14ac:dyDescent="0.25">
      <c r="A152" s="9">
        <v>71</v>
      </c>
      <c r="B152" s="10" t="s">
        <v>14</v>
      </c>
      <c r="C152" s="10" t="s">
        <v>15</v>
      </c>
      <c r="D152" s="10" t="s">
        <v>37</v>
      </c>
      <c r="E152" s="11" t="s">
        <v>30</v>
      </c>
      <c r="F152" s="11" t="s">
        <v>17</v>
      </c>
      <c r="G152" s="10" t="s">
        <v>18</v>
      </c>
      <c r="H152" s="11" t="s">
        <v>19</v>
      </c>
      <c r="I152" s="11" t="s">
        <v>20</v>
      </c>
      <c r="J152" s="11"/>
      <c r="K152" s="11" t="s">
        <v>30</v>
      </c>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4"/>
    </row>
    <row r="153" spans="1:35" ht="15.75" hidden="1" customHeight="1" x14ac:dyDescent="0.25">
      <c r="A153" s="9">
        <v>72</v>
      </c>
      <c r="B153" s="10" t="s">
        <v>14</v>
      </c>
      <c r="C153" s="10" t="s">
        <v>15</v>
      </c>
      <c r="D153" s="10" t="s">
        <v>37</v>
      </c>
      <c r="E153" s="11" t="s">
        <v>39</v>
      </c>
      <c r="F153" s="11" t="s">
        <v>17</v>
      </c>
      <c r="G153" s="10" t="s">
        <v>24</v>
      </c>
      <c r="H153" s="11" t="s">
        <v>23</v>
      </c>
      <c r="I153" s="11" t="s">
        <v>20</v>
      </c>
      <c r="J153" s="11"/>
      <c r="K153" s="11">
        <v>15219</v>
      </c>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4"/>
    </row>
    <row r="154" spans="1:35" ht="15.75" hidden="1" customHeight="1" x14ac:dyDescent="0.25">
      <c r="A154" s="9">
        <v>73</v>
      </c>
      <c r="B154" s="10" t="s">
        <v>14</v>
      </c>
      <c r="C154" s="10" t="s">
        <v>15</v>
      </c>
      <c r="D154" s="10" t="s">
        <v>37</v>
      </c>
      <c r="E154" s="11" t="s">
        <v>33</v>
      </c>
      <c r="F154" s="11" t="s">
        <v>17</v>
      </c>
      <c r="G154" s="10" t="s">
        <v>18</v>
      </c>
      <c r="H154" s="11" t="s">
        <v>19</v>
      </c>
      <c r="I154" s="11" t="s">
        <v>20</v>
      </c>
      <c r="J154" s="11"/>
      <c r="K154" s="11">
        <v>14141</v>
      </c>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4"/>
    </row>
    <row r="155" spans="1:35" ht="15.75" hidden="1" customHeight="1" x14ac:dyDescent="0.25">
      <c r="A155" s="9">
        <v>74</v>
      </c>
      <c r="B155" s="10" t="s">
        <v>14</v>
      </c>
      <c r="C155" s="10" t="s">
        <v>15</v>
      </c>
      <c r="D155" s="10" t="s">
        <v>37</v>
      </c>
      <c r="E155" s="11" t="s">
        <v>34</v>
      </c>
      <c r="F155" s="11" t="s">
        <v>17</v>
      </c>
      <c r="G155" s="10" t="s">
        <v>24</v>
      </c>
      <c r="H155" s="11" t="s">
        <v>23</v>
      </c>
      <c r="I155" s="11" t="s">
        <v>20</v>
      </c>
      <c r="J155" s="11"/>
      <c r="K155" s="11">
        <v>15478</v>
      </c>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4"/>
    </row>
    <row r="156" spans="1:35" ht="15.75" hidden="1" customHeight="1" x14ac:dyDescent="0.25">
      <c r="A156" s="9">
        <v>75</v>
      </c>
      <c r="B156" s="10" t="s">
        <v>14</v>
      </c>
      <c r="C156" s="10" t="s">
        <v>15</v>
      </c>
      <c r="D156" s="10" t="s">
        <v>37</v>
      </c>
      <c r="E156" s="11" t="s">
        <v>34</v>
      </c>
      <c r="F156" s="11" t="s">
        <v>17</v>
      </c>
      <c r="G156" s="10" t="s">
        <v>24</v>
      </c>
      <c r="H156" s="11" t="s">
        <v>23</v>
      </c>
      <c r="I156" s="11" t="s">
        <v>20</v>
      </c>
      <c r="J156" s="11"/>
      <c r="K156" s="11">
        <v>15478</v>
      </c>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4"/>
    </row>
    <row r="157" spans="1:35" ht="15.75" hidden="1" customHeight="1" x14ac:dyDescent="0.25">
      <c r="A157" s="9">
        <v>76</v>
      </c>
      <c r="B157" s="10" t="s">
        <v>14</v>
      </c>
      <c r="C157" s="10" t="s">
        <v>15</v>
      </c>
      <c r="D157" s="10" t="s">
        <v>37</v>
      </c>
      <c r="E157" s="11" t="s">
        <v>40</v>
      </c>
      <c r="F157" s="11" t="s">
        <v>17</v>
      </c>
      <c r="G157" s="10" t="s">
        <v>18</v>
      </c>
      <c r="H157" s="11" t="s">
        <v>25</v>
      </c>
      <c r="I157" s="11" t="s">
        <v>20</v>
      </c>
      <c r="J157" s="11"/>
      <c r="K157" s="11">
        <v>15220</v>
      </c>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4"/>
    </row>
    <row r="158" spans="1:35" ht="15.75" hidden="1" customHeight="1" x14ac:dyDescent="0.25">
      <c r="A158" s="9">
        <v>77</v>
      </c>
      <c r="B158" s="10" t="s">
        <v>14</v>
      </c>
      <c r="C158" s="10" t="s">
        <v>15</v>
      </c>
      <c r="D158" s="10" t="s">
        <v>37</v>
      </c>
      <c r="E158" s="11" t="s">
        <v>35</v>
      </c>
      <c r="F158" s="11" t="s">
        <v>17</v>
      </c>
      <c r="G158" s="10" t="s">
        <v>18</v>
      </c>
      <c r="H158" s="11" t="s">
        <v>23</v>
      </c>
      <c r="I158" s="11" t="s">
        <v>20</v>
      </c>
      <c r="J158" s="11"/>
      <c r="K158" s="11">
        <v>14045</v>
      </c>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4"/>
    </row>
    <row r="159" spans="1:35" ht="15.75" hidden="1" customHeight="1" x14ac:dyDescent="0.25">
      <c r="A159" s="9">
        <v>78</v>
      </c>
      <c r="B159" s="10" t="s">
        <v>14</v>
      </c>
      <c r="C159" s="10" t="s">
        <v>15</v>
      </c>
      <c r="D159" s="10" t="s">
        <v>37</v>
      </c>
      <c r="E159" s="11" t="s">
        <v>36</v>
      </c>
      <c r="F159" s="11" t="s">
        <v>17</v>
      </c>
      <c r="G159" s="10" t="s">
        <v>18</v>
      </c>
      <c r="H159" s="11" t="s">
        <v>23</v>
      </c>
      <c r="I159" s="11" t="s">
        <v>20</v>
      </c>
      <c r="J159" s="11"/>
      <c r="K159" s="11" t="s">
        <v>36</v>
      </c>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4"/>
    </row>
    <row r="160" spans="1:35" ht="15.75" hidden="1" customHeight="1" x14ac:dyDescent="0.25">
      <c r="A160" s="9">
        <v>79</v>
      </c>
      <c r="B160" s="10" t="s">
        <v>14</v>
      </c>
      <c r="C160" s="10" t="s">
        <v>15</v>
      </c>
      <c r="D160" s="10" t="s">
        <v>37</v>
      </c>
      <c r="E160" s="11" t="s">
        <v>36</v>
      </c>
      <c r="F160" s="11" t="s">
        <v>17</v>
      </c>
      <c r="G160" s="10" t="s">
        <v>18</v>
      </c>
      <c r="H160" s="11" t="s">
        <v>19</v>
      </c>
      <c r="I160" s="11" t="s">
        <v>20</v>
      </c>
      <c r="J160" s="11"/>
      <c r="K160" s="11" t="s">
        <v>36</v>
      </c>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4"/>
    </row>
    <row r="161" spans="1:35" ht="15.75" hidden="1" customHeight="1" x14ac:dyDescent="0.25">
      <c r="A161" s="9">
        <v>80</v>
      </c>
      <c r="B161" s="10" t="s">
        <v>14</v>
      </c>
      <c r="C161" s="10" t="s">
        <v>15</v>
      </c>
      <c r="D161" s="10" t="s">
        <v>37</v>
      </c>
      <c r="E161" s="11" t="s">
        <v>36</v>
      </c>
      <c r="F161" s="11" t="s">
        <v>17</v>
      </c>
      <c r="G161" s="10" t="s">
        <v>18</v>
      </c>
      <c r="H161" s="11" t="s">
        <v>19</v>
      </c>
      <c r="I161" s="11" t="s">
        <v>20</v>
      </c>
      <c r="J161" s="11"/>
      <c r="K161" s="11" t="s">
        <v>36</v>
      </c>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4"/>
    </row>
    <row r="162" spans="1:35" ht="15.75" hidden="1" customHeight="1" x14ac:dyDescent="0.25">
      <c r="A162" s="9">
        <v>81</v>
      </c>
      <c r="B162" s="10" t="s">
        <v>14</v>
      </c>
      <c r="C162" s="10" t="s">
        <v>15</v>
      </c>
      <c r="D162" s="10" t="s">
        <v>37</v>
      </c>
      <c r="E162" s="11" t="s">
        <v>36</v>
      </c>
      <c r="F162" s="11" t="s">
        <v>17</v>
      </c>
      <c r="G162" s="10" t="s">
        <v>18</v>
      </c>
      <c r="H162" s="11" t="s">
        <v>23</v>
      </c>
      <c r="I162" s="11" t="s">
        <v>20</v>
      </c>
      <c r="J162" s="11"/>
      <c r="K162" s="11" t="s">
        <v>36</v>
      </c>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4"/>
    </row>
    <row r="163" spans="1:35" ht="15.75" hidden="1" customHeight="1" x14ac:dyDescent="0.25">
      <c r="A163" s="9">
        <v>82</v>
      </c>
      <c r="B163" s="10" t="s">
        <v>14</v>
      </c>
      <c r="C163" s="10" t="s">
        <v>15</v>
      </c>
      <c r="D163" s="10" t="s">
        <v>37</v>
      </c>
      <c r="E163" s="11" t="s">
        <v>36</v>
      </c>
      <c r="F163" s="11" t="s">
        <v>17</v>
      </c>
      <c r="G163" s="10" t="s">
        <v>18</v>
      </c>
      <c r="H163" s="11" t="s">
        <v>19</v>
      </c>
      <c r="I163" s="11" t="s">
        <v>20</v>
      </c>
      <c r="J163" s="11"/>
      <c r="K163" s="11" t="s">
        <v>36</v>
      </c>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4"/>
    </row>
    <row r="164" spans="1:35" ht="15.75" hidden="1" customHeight="1" x14ac:dyDescent="0.25">
      <c r="A164" s="9">
        <v>83</v>
      </c>
      <c r="B164" s="10" t="s">
        <v>14</v>
      </c>
      <c r="C164" s="10" t="s">
        <v>15</v>
      </c>
      <c r="D164" s="10" t="s">
        <v>37</v>
      </c>
      <c r="E164" s="11" t="s">
        <v>36</v>
      </c>
      <c r="F164" s="11" t="s">
        <v>17</v>
      </c>
      <c r="G164" s="10" t="s">
        <v>24</v>
      </c>
      <c r="H164" s="11" t="s">
        <v>19</v>
      </c>
      <c r="I164" s="11" t="s">
        <v>20</v>
      </c>
      <c r="J164" s="11"/>
      <c r="K164" s="11" t="s">
        <v>36</v>
      </c>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4"/>
    </row>
    <row r="165" spans="1:35" ht="15.75" hidden="1" customHeight="1" x14ac:dyDescent="0.25">
      <c r="A165" s="9">
        <v>84</v>
      </c>
      <c r="B165" s="10" t="s">
        <v>14</v>
      </c>
      <c r="C165" s="10" t="s">
        <v>15</v>
      </c>
      <c r="D165" s="10" t="s">
        <v>37</v>
      </c>
      <c r="E165" s="11" t="s">
        <v>36</v>
      </c>
      <c r="F165" s="11" t="s">
        <v>17</v>
      </c>
      <c r="G165" s="10" t="s">
        <v>24</v>
      </c>
      <c r="H165" s="11" t="s">
        <v>19</v>
      </c>
      <c r="I165" s="11" t="s">
        <v>20</v>
      </c>
      <c r="J165" s="11"/>
      <c r="K165" s="11" t="s">
        <v>36</v>
      </c>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4"/>
    </row>
    <row r="166" spans="1:35" ht="15.75" hidden="1" customHeight="1" x14ac:dyDescent="0.25">
      <c r="A166" s="9">
        <v>85</v>
      </c>
      <c r="B166" s="10" t="s">
        <v>14</v>
      </c>
      <c r="C166" s="10" t="s">
        <v>15</v>
      </c>
      <c r="D166" s="10" t="s">
        <v>37</v>
      </c>
      <c r="E166" s="11" t="s">
        <v>36</v>
      </c>
      <c r="F166" s="11" t="s">
        <v>17</v>
      </c>
      <c r="G166" s="10" t="s">
        <v>24</v>
      </c>
      <c r="H166" s="11" t="s">
        <v>19</v>
      </c>
      <c r="I166" s="11" t="s">
        <v>20</v>
      </c>
      <c r="J166" s="11"/>
      <c r="K166" s="11" t="s">
        <v>36</v>
      </c>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4"/>
    </row>
    <row r="167" spans="1:35" ht="15.75" hidden="1" customHeight="1" x14ac:dyDescent="0.25">
      <c r="A167" s="9">
        <v>86</v>
      </c>
      <c r="B167" s="10" t="s">
        <v>14</v>
      </c>
      <c r="C167" s="10" t="s">
        <v>15</v>
      </c>
      <c r="D167" s="10" t="s">
        <v>37</v>
      </c>
      <c r="E167" s="11" t="s">
        <v>36</v>
      </c>
      <c r="F167" s="11" t="s">
        <v>17</v>
      </c>
      <c r="G167" s="10" t="s">
        <v>24</v>
      </c>
      <c r="H167" s="11" t="s">
        <v>19</v>
      </c>
      <c r="I167" s="11" t="s">
        <v>20</v>
      </c>
      <c r="J167" s="11"/>
      <c r="K167" s="11" t="s">
        <v>36</v>
      </c>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4"/>
    </row>
    <row r="168" spans="1:35" ht="15.75" hidden="1" customHeight="1" x14ac:dyDescent="0.25">
      <c r="A168" s="9">
        <v>87</v>
      </c>
      <c r="B168" s="10" t="s">
        <v>14</v>
      </c>
      <c r="C168" s="10" t="s">
        <v>15</v>
      </c>
      <c r="D168" s="10" t="s">
        <v>37</v>
      </c>
      <c r="E168" s="11" t="s">
        <v>36</v>
      </c>
      <c r="F168" s="11" t="s">
        <v>17</v>
      </c>
      <c r="G168" s="10" t="s">
        <v>24</v>
      </c>
      <c r="H168" s="11" t="s">
        <v>23</v>
      </c>
      <c r="I168" s="11" t="s">
        <v>20</v>
      </c>
      <c r="J168" s="11"/>
      <c r="K168" s="11" t="s">
        <v>36</v>
      </c>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4"/>
    </row>
    <row r="169" spans="1:35" ht="15.75" hidden="1" customHeight="1" x14ac:dyDescent="0.25">
      <c r="A169" s="9">
        <v>1</v>
      </c>
      <c r="B169" s="10" t="s">
        <v>14</v>
      </c>
      <c r="C169" s="10" t="s">
        <v>41</v>
      </c>
      <c r="D169" s="10" t="s">
        <v>42</v>
      </c>
      <c r="E169" s="11" t="s">
        <v>30</v>
      </c>
      <c r="F169" s="11" t="s">
        <v>17</v>
      </c>
      <c r="G169" s="10" t="s">
        <v>18</v>
      </c>
      <c r="H169" s="11" t="s">
        <v>19</v>
      </c>
      <c r="I169" s="11" t="s">
        <v>20</v>
      </c>
      <c r="J169" s="11"/>
      <c r="K169" s="11" t="s">
        <v>30</v>
      </c>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4"/>
    </row>
    <row r="170" spans="1:35" ht="15.75" hidden="1" customHeight="1" x14ac:dyDescent="0.25">
      <c r="A170" s="9">
        <v>2</v>
      </c>
      <c r="B170" s="10" t="s">
        <v>14</v>
      </c>
      <c r="C170" s="10" t="s">
        <v>41</v>
      </c>
      <c r="D170" s="10" t="s">
        <v>42</v>
      </c>
      <c r="E170" s="11" t="s">
        <v>30</v>
      </c>
      <c r="F170" s="11" t="s">
        <v>17</v>
      </c>
      <c r="G170" s="10" t="s">
        <v>18</v>
      </c>
      <c r="H170" s="11" t="s">
        <v>23</v>
      </c>
      <c r="I170" s="11" t="s">
        <v>20</v>
      </c>
      <c r="J170" s="11"/>
      <c r="K170" s="11" t="s">
        <v>30</v>
      </c>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4"/>
    </row>
    <row r="171" spans="1:35" ht="15.75" hidden="1" customHeight="1" x14ac:dyDescent="0.25">
      <c r="A171" s="9">
        <v>3</v>
      </c>
      <c r="B171" s="10" t="s">
        <v>14</v>
      </c>
      <c r="C171" s="10" t="s">
        <v>41</v>
      </c>
      <c r="D171" s="10" t="s">
        <v>42</v>
      </c>
      <c r="E171" s="11" t="s">
        <v>30</v>
      </c>
      <c r="F171" s="11" t="s">
        <v>17</v>
      </c>
      <c r="G171" s="10" t="s">
        <v>18</v>
      </c>
      <c r="H171" s="11" t="s">
        <v>19</v>
      </c>
      <c r="I171" s="11" t="s">
        <v>20</v>
      </c>
      <c r="J171" s="11"/>
      <c r="K171" s="11" t="s">
        <v>30</v>
      </c>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4"/>
    </row>
    <row r="172" spans="1:35" ht="15.75" hidden="1" customHeight="1" x14ac:dyDescent="0.25">
      <c r="A172" s="9">
        <v>4</v>
      </c>
      <c r="B172" s="10" t="s">
        <v>14</v>
      </c>
      <c r="C172" s="10" t="s">
        <v>41</v>
      </c>
      <c r="D172" s="10" t="s">
        <v>42</v>
      </c>
      <c r="E172" s="11" t="s">
        <v>30</v>
      </c>
      <c r="F172" s="11" t="s">
        <v>17</v>
      </c>
      <c r="G172" s="10" t="s">
        <v>18</v>
      </c>
      <c r="H172" s="11" t="s">
        <v>19</v>
      </c>
      <c r="I172" s="11" t="s">
        <v>20</v>
      </c>
      <c r="J172" s="11"/>
      <c r="K172" s="11" t="s">
        <v>30</v>
      </c>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4"/>
    </row>
    <row r="173" spans="1:35" ht="15.75" hidden="1" customHeight="1" x14ac:dyDescent="0.25">
      <c r="A173" s="9">
        <v>5</v>
      </c>
      <c r="B173" s="10" t="s">
        <v>14</v>
      </c>
      <c r="C173" s="10" t="s">
        <v>41</v>
      </c>
      <c r="D173" s="10" t="s">
        <v>42</v>
      </c>
      <c r="E173" s="11" t="s">
        <v>30</v>
      </c>
      <c r="F173" s="11" t="s">
        <v>17</v>
      </c>
      <c r="G173" s="10" t="s">
        <v>18</v>
      </c>
      <c r="H173" s="11" t="s">
        <v>19</v>
      </c>
      <c r="I173" s="11" t="s">
        <v>20</v>
      </c>
      <c r="J173" s="11"/>
      <c r="K173" s="11" t="s">
        <v>30</v>
      </c>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4"/>
    </row>
    <row r="174" spans="1:35" ht="15.75" hidden="1" customHeight="1" x14ac:dyDescent="0.25">
      <c r="A174" s="9">
        <v>6</v>
      </c>
      <c r="B174" s="10" t="s">
        <v>14</v>
      </c>
      <c r="C174" s="10" t="s">
        <v>41</v>
      </c>
      <c r="D174" s="10" t="s">
        <v>42</v>
      </c>
      <c r="E174" s="11" t="s">
        <v>30</v>
      </c>
      <c r="F174" s="11" t="s">
        <v>17</v>
      </c>
      <c r="G174" s="10" t="s">
        <v>18</v>
      </c>
      <c r="H174" s="11" t="s">
        <v>19</v>
      </c>
      <c r="I174" s="11" t="s">
        <v>20</v>
      </c>
      <c r="J174" s="11"/>
      <c r="K174" s="11" t="s">
        <v>30</v>
      </c>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4"/>
    </row>
    <row r="175" spans="1:35" ht="15.75" hidden="1" customHeight="1" x14ac:dyDescent="0.25">
      <c r="A175" s="9">
        <v>7</v>
      </c>
      <c r="B175" s="10" t="s">
        <v>14</v>
      </c>
      <c r="C175" s="10" t="s">
        <v>41</v>
      </c>
      <c r="D175" s="10" t="s">
        <v>42</v>
      </c>
      <c r="E175" s="11" t="s">
        <v>30</v>
      </c>
      <c r="F175" s="11" t="s">
        <v>17</v>
      </c>
      <c r="G175" s="10" t="s">
        <v>18</v>
      </c>
      <c r="H175" s="11" t="s">
        <v>19</v>
      </c>
      <c r="I175" s="11" t="s">
        <v>20</v>
      </c>
      <c r="J175" s="11"/>
      <c r="K175" s="11" t="s">
        <v>30</v>
      </c>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4"/>
    </row>
    <row r="176" spans="1:35" ht="15.75" hidden="1" customHeight="1" x14ac:dyDescent="0.25">
      <c r="A176" s="9">
        <v>8</v>
      </c>
      <c r="B176" s="10" t="s">
        <v>14</v>
      </c>
      <c r="C176" s="10" t="s">
        <v>41</v>
      </c>
      <c r="D176" s="10" t="s">
        <v>42</v>
      </c>
      <c r="E176" s="11" t="s">
        <v>30</v>
      </c>
      <c r="F176" s="11" t="s">
        <v>17</v>
      </c>
      <c r="G176" s="10" t="s">
        <v>18</v>
      </c>
      <c r="H176" s="11" t="s">
        <v>19</v>
      </c>
      <c r="I176" s="11" t="s">
        <v>20</v>
      </c>
      <c r="J176" s="11"/>
      <c r="K176" s="11" t="s">
        <v>30</v>
      </c>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4"/>
    </row>
    <row r="177" spans="1:35" ht="15.75" hidden="1" customHeight="1" x14ac:dyDescent="0.25">
      <c r="A177" s="9">
        <v>9</v>
      </c>
      <c r="B177" s="10" t="s">
        <v>14</v>
      </c>
      <c r="C177" s="10" t="s">
        <v>41</v>
      </c>
      <c r="D177" s="10" t="s">
        <v>42</v>
      </c>
      <c r="E177" s="11" t="s">
        <v>30</v>
      </c>
      <c r="F177" s="11" t="s">
        <v>17</v>
      </c>
      <c r="G177" s="10" t="s">
        <v>18</v>
      </c>
      <c r="H177" s="11" t="s">
        <v>19</v>
      </c>
      <c r="I177" s="11" t="s">
        <v>20</v>
      </c>
      <c r="J177" s="11"/>
      <c r="K177" s="11" t="s">
        <v>30</v>
      </c>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4"/>
    </row>
    <row r="178" spans="1:35" ht="15.75" hidden="1" customHeight="1" x14ac:dyDescent="0.25">
      <c r="A178" s="9">
        <v>10</v>
      </c>
      <c r="B178" s="10" t="s">
        <v>14</v>
      </c>
      <c r="C178" s="10" t="s">
        <v>41</v>
      </c>
      <c r="D178" s="10" t="s">
        <v>42</v>
      </c>
      <c r="E178" s="11" t="s">
        <v>30</v>
      </c>
      <c r="F178" s="11" t="s">
        <v>17</v>
      </c>
      <c r="G178" s="10" t="s">
        <v>18</v>
      </c>
      <c r="H178" s="11" t="s">
        <v>19</v>
      </c>
      <c r="I178" s="11" t="s">
        <v>20</v>
      </c>
      <c r="J178" s="11"/>
      <c r="K178" s="11" t="s">
        <v>30</v>
      </c>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4"/>
    </row>
    <row r="179" spans="1:35" ht="15.75" hidden="1" customHeight="1" x14ac:dyDescent="0.25">
      <c r="A179" s="9">
        <v>11</v>
      </c>
      <c r="B179" s="10" t="s">
        <v>14</v>
      </c>
      <c r="C179" s="10" t="s">
        <v>41</v>
      </c>
      <c r="D179" s="10" t="s">
        <v>42</v>
      </c>
      <c r="E179" s="11" t="s">
        <v>30</v>
      </c>
      <c r="F179" s="11" t="s">
        <v>17</v>
      </c>
      <c r="G179" s="10" t="s">
        <v>18</v>
      </c>
      <c r="H179" s="11" t="s">
        <v>19</v>
      </c>
      <c r="I179" s="11" t="s">
        <v>20</v>
      </c>
      <c r="J179" s="11"/>
      <c r="K179" s="11" t="s">
        <v>30</v>
      </c>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4"/>
    </row>
    <row r="180" spans="1:35" ht="15.75" hidden="1" customHeight="1" x14ac:dyDescent="0.25">
      <c r="A180" s="9">
        <v>12</v>
      </c>
      <c r="B180" s="10" t="s">
        <v>14</v>
      </c>
      <c r="C180" s="10" t="s">
        <v>41</v>
      </c>
      <c r="D180" s="10" t="s">
        <v>42</v>
      </c>
      <c r="E180" s="11" t="s">
        <v>30</v>
      </c>
      <c r="F180" s="11" t="s">
        <v>17</v>
      </c>
      <c r="G180" s="10" t="s">
        <v>18</v>
      </c>
      <c r="H180" s="11" t="s">
        <v>19</v>
      </c>
      <c r="I180" s="11" t="s">
        <v>20</v>
      </c>
      <c r="J180" s="11"/>
      <c r="K180" s="11" t="s">
        <v>30</v>
      </c>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4"/>
    </row>
    <row r="181" spans="1:35" ht="15.75" hidden="1" customHeight="1" x14ac:dyDescent="0.25">
      <c r="A181" s="9">
        <v>13</v>
      </c>
      <c r="B181" s="10" t="s">
        <v>14</v>
      </c>
      <c r="C181" s="10" t="s">
        <v>41</v>
      </c>
      <c r="D181" s="10" t="s">
        <v>42</v>
      </c>
      <c r="E181" s="11" t="s">
        <v>30</v>
      </c>
      <c r="F181" s="11" t="s">
        <v>17</v>
      </c>
      <c r="G181" s="10" t="s">
        <v>18</v>
      </c>
      <c r="H181" s="11" t="s">
        <v>19</v>
      </c>
      <c r="I181" s="11" t="s">
        <v>20</v>
      </c>
      <c r="J181" s="11"/>
      <c r="K181" s="11" t="s">
        <v>30</v>
      </c>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4"/>
    </row>
    <row r="182" spans="1:35" ht="15.75" hidden="1" customHeight="1" x14ac:dyDescent="0.25">
      <c r="A182" s="9">
        <v>14</v>
      </c>
      <c r="B182" s="10" t="s">
        <v>14</v>
      </c>
      <c r="C182" s="10" t="s">
        <v>41</v>
      </c>
      <c r="D182" s="10" t="s">
        <v>42</v>
      </c>
      <c r="E182" s="11" t="s">
        <v>30</v>
      </c>
      <c r="F182" s="11" t="s">
        <v>17</v>
      </c>
      <c r="G182" s="10" t="s">
        <v>18</v>
      </c>
      <c r="H182" s="11" t="s">
        <v>19</v>
      </c>
      <c r="I182" s="11" t="s">
        <v>20</v>
      </c>
      <c r="J182" s="11"/>
      <c r="K182" s="11" t="s">
        <v>30</v>
      </c>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4"/>
    </row>
    <row r="183" spans="1:35" ht="15.75" hidden="1" customHeight="1" x14ac:dyDescent="0.25">
      <c r="A183" s="9">
        <v>15</v>
      </c>
      <c r="B183" s="10" t="s">
        <v>14</v>
      </c>
      <c r="C183" s="10" t="s">
        <v>41</v>
      </c>
      <c r="D183" s="10" t="s">
        <v>42</v>
      </c>
      <c r="E183" s="11" t="s">
        <v>30</v>
      </c>
      <c r="F183" s="11" t="s">
        <v>17</v>
      </c>
      <c r="G183" s="10" t="s">
        <v>18</v>
      </c>
      <c r="H183" s="11" t="s">
        <v>23</v>
      </c>
      <c r="I183" s="11" t="s">
        <v>20</v>
      </c>
      <c r="J183" s="11"/>
      <c r="K183" s="11" t="s">
        <v>30</v>
      </c>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4"/>
    </row>
    <row r="184" spans="1:35" ht="15.75" hidden="1" customHeight="1" x14ac:dyDescent="0.25">
      <c r="A184" s="9">
        <v>16</v>
      </c>
      <c r="B184" s="10" t="s">
        <v>14</v>
      </c>
      <c r="C184" s="10" t="s">
        <v>41</v>
      </c>
      <c r="D184" s="10" t="s">
        <v>42</v>
      </c>
      <c r="E184" s="11" t="s">
        <v>30</v>
      </c>
      <c r="F184" s="11" t="s">
        <v>17</v>
      </c>
      <c r="G184" s="10" t="s">
        <v>18</v>
      </c>
      <c r="H184" s="11" t="s">
        <v>19</v>
      </c>
      <c r="I184" s="11" t="s">
        <v>20</v>
      </c>
      <c r="J184" s="11"/>
      <c r="K184" s="11" t="s">
        <v>30</v>
      </c>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4"/>
    </row>
    <row r="185" spans="1:35" ht="15.75" hidden="1" customHeight="1" x14ac:dyDescent="0.25">
      <c r="A185" s="9">
        <v>17</v>
      </c>
      <c r="B185" s="10" t="s">
        <v>14</v>
      </c>
      <c r="C185" s="10" t="s">
        <v>41</v>
      </c>
      <c r="D185" s="10" t="s">
        <v>42</v>
      </c>
      <c r="E185" s="11" t="s">
        <v>30</v>
      </c>
      <c r="F185" s="11" t="s">
        <v>17</v>
      </c>
      <c r="G185" s="10" t="s">
        <v>18</v>
      </c>
      <c r="H185" s="11" t="s">
        <v>19</v>
      </c>
      <c r="I185" s="11" t="s">
        <v>20</v>
      </c>
      <c r="J185" s="11"/>
      <c r="K185" s="11" t="s">
        <v>30</v>
      </c>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4"/>
    </row>
    <row r="186" spans="1:35" ht="15.75" hidden="1" customHeight="1" x14ac:dyDescent="0.25">
      <c r="A186" s="9">
        <v>18</v>
      </c>
      <c r="B186" s="10" t="s">
        <v>14</v>
      </c>
      <c r="C186" s="10" t="s">
        <v>41</v>
      </c>
      <c r="D186" s="10" t="s">
        <v>42</v>
      </c>
      <c r="E186" s="11" t="s">
        <v>30</v>
      </c>
      <c r="F186" s="11" t="s">
        <v>17</v>
      </c>
      <c r="G186" s="10" t="s">
        <v>18</v>
      </c>
      <c r="H186" s="11" t="s">
        <v>19</v>
      </c>
      <c r="I186" s="11" t="s">
        <v>20</v>
      </c>
      <c r="J186" s="11"/>
      <c r="K186" s="11" t="s">
        <v>30</v>
      </c>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4"/>
    </row>
    <row r="187" spans="1:35" ht="15.75" hidden="1" customHeight="1" x14ac:dyDescent="0.25">
      <c r="A187" s="9">
        <v>19</v>
      </c>
      <c r="B187" s="10" t="s">
        <v>14</v>
      </c>
      <c r="C187" s="10" t="s">
        <v>41</v>
      </c>
      <c r="D187" s="10" t="s">
        <v>42</v>
      </c>
      <c r="E187" s="11" t="s">
        <v>30</v>
      </c>
      <c r="F187" s="11" t="s">
        <v>17</v>
      </c>
      <c r="G187" s="10" t="s">
        <v>18</v>
      </c>
      <c r="H187" s="11" t="s">
        <v>19</v>
      </c>
      <c r="I187" s="11" t="s">
        <v>20</v>
      </c>
      <c r="J187" s="11"/>
      <c r="K187" s="11" t="s">
        <v>30</v>
      </c>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4"/>
    </row>
    <row r="188" spans="1:35" ht="15.75" hidden="1" customHeight="1" x14ac:dyDescent="0.25">
      <c r="A188" s="9">
        <v>20</v>
      </c>
      <c r="B188" s="10" t="s">
        <v>14</v>
      </c>
      <c r="C188" s="10" t="s">
        <v>41</v>
      </c>
      <c r="D188" s="10" t="s">
        <v>42</v>
      </c>
      <c r="E188" s="11" t="s">
        <v>30</v>
      </c>
      <c r="F188" s="11" t="s">
        <v>17</v>
      </c>
      <c r="G188" s="10" t="s">
        <v>18</v>
      </c>
      <c r="H188" s="11" t="s">
        <v>19</v>
      </c>
      <c r="I188" s="11" t="s">
        <v>20</v>
      </c>
      <c r="J188" s="11"/>
      <c r="K188" s="11" t="s">
        <v>30</v>
      </c>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4"/>
    </row>
    <row r="189" spans="1:35" ht="15.75" hidden="1" customHeight="1" x14ac:dyDescent="0.25">
      <c r="A189" s="9">
        <v>21</v>
      </c>
      <c r="B189" s="10" t="s">
        <v>14</v>
      </c>
      <c r="C189" s="10" t="s">
        <v>41</v>
      </c>
      <c r="D189" s="10" t="s">
        <v>42</v>
      </c>
      <c r="E189" s="11" t="s">
        <v>30</v>
      </c>
      <c r="F189" s="11" t="s">
        <v>17</v>
      </c>
      <c r="G189" s="10" t="s">
        <v>24</v>
      </c>
      <c r="H189" s="11" t="s">
        <v>19</v>
      </c>
      <c r="I189" s="11" t="s">
        <v>20</v>
      </c>
      <c r="J189" s="11"/>
      <c r="K189" s="11" t="s">
        <v>30</v>
      </c>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4"/>
    </row>
    <row r="190" spans="1:35" ht="15.75" hidden="1" customHeight="1" x14ac:dyDescent="0.25">
      <c r="A190" s="9">
        <v>22</v>
      </c>
      <c r="B190" s="10" t="s">
        <v>14</v>
      </c>
      <c r="C190" s="10" t="s">
        <v>41</v>
      </c>
      <c r="D190" s="10" t="s">
        <v>42</v>
      </c>
      <c r="E190" s="11" t="s">
        <v>30</v>
      </c>
      <c r="F190" s="11" t="s">
        <v>17</v>
      </c>
      <c r="G190" s="10" t="s">
        <v>24</v>
      </c>
      <c r="H190" s="11" t="s">
        <v>19</v>
      </c>
      <c r="I190" s="11" t="s">
        <v>20</v>
      </c>
      <c r="J190" s="11"/>
      <c r="K190" s="11" t="s">
        <v>30</v>
      </c>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4"/>
    </row>
    <row r="191" spans="1:35" ht="15.75" hidden="1" customHeight="1" x14ac:dyDescent="0.25">
      <c r="A191" s="9">
        <v>23</v>
      </c>
      <c r="B191" s="10" t="s">
        <v>14</v>
      </c>
      <c r="C191" s="10" t="s">
        <v>41</v>
      </c>
      <c r="D191" s="10" t="s">
        <v>42</v>
      </c>
      <c r="E191" s="11" t="s">
        <v>30</v>
      </c>
      <c r="F191" s="11" t="s">
        <v>17</v>
      </c>
      <c r="G191" s="10" t="s">
        <v>24</v>
      </c>
      <c r="H191" s="11" t="s">
        <v>19</v>
      </c>
      <c r="I191" s="11" t="s">
        <v>20</v>
      </c>
      <c r="J191" s="11"/>
      <c r="K191" s="11" t="s">
        <v>30</v>
      </c>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4"/>
    </row>
    <row r="192" spans="1:35" ht="15.75" hidden="1" customHeight="1" x14ac:dyDescent="0.25">
      <c r="A192" s="9">
        <v>24</v>
      </c>
      <c r="B192" s="10" t="s">
        <v>14</v>
      </c>
      <c r="C192" s="10" t="s">
        <v>41</v>
      </c>
      <c r="D192" s="10" t="s">
        <v>42</v>
      </c>
      <c r="E192" s="11" t="s">
        <v>30</v>
      </c>
      <c r="F192" s="11" t="s">
        <v>17</v>
      </c>
      <c r="G192" s="10" t="s">
        <v>24</v>
      </c>
      <c r="H192" s="11" t="s">
        <v>23</v>
      </c>
      <c r="I192" s="11" t="s">
        <v>20</v>
      </c>
      <c r="J192" s="11"/>
      <c r="K192" s="11" t="s">
        <v>30</v>
      </c>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4"/>
    </row>
    <row r="193" spans="1:35" ht="15.75" hidden="1" customHeight="1" x14ac:dyDescent="0.25">
      <c r="A193" s="9">
        <v>25</v>
      </c>
      <c r="B193" s="10" t="s">
        <v>14</v>
      </c>
      <c r="C193" s="10" t="s">
        <v>41</v>
      </c>
      <c r="D193" s="10" t="s">
        <v>42</v>
      </c>
      <c r="E193" s="11" t="s">
        <v>30</v>
      </c>
      <c r="F193" s="11" t="s">
        <v>17</v>
      </c>
      <c r="G193" s="10" t="s">
        <v>24</v>
      </c>
      <c r="H193" s="11" t="s">
        <v>19</v>
      </c>
      <c r="I193" s="11" t="s">
        <v>20</v>
      </c>
      <c r="J193" s="11"/>
      <c r="K193" s="11" t="s">
        <v>30</v>
      </c>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4"/>
    </row>
    <row r="194" spans="1:35" ht="15.75" hidden="1" customHeight="1" x14ac:dyDescent="0.25">
      <c r="A194" s="9">
        <v>26</v>
      </c>
      <c r="B194" s="10" t="s">
        <v>14</v>
      </c>
      <c r="C194" s="10" t="s">
        <v>41</v>
      </c>
      <c r="D194" s="10" t="s">
        <v>42</v>
      </c>
      <c r="E194" s="11" t="s">
        <v>30</v>
      </c>
      <c r="F194" s="11" t="s">
        <v>17</v>
      </c>
      <c r="G194" s="10" t="s">
        <v>24</v>
      </c>
      <c r="H194" s="11" t="s">
        <v>19</v>
      </c>
      <c r="I194" s="11" t="s">
        <v>20</v>
      </c>
      <c r="J194" s="11"/>
      <c r="K194" s="11" t="s">
        <v>30</v>
      </c>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4"/>
    </row>
    <row r="195" spans="1:35" ht="15.75" hidden="1" customHeight="1" x14ac:dyDescent="0.25">
      <c r="A195" s="9">
        <v>27</v>
      </c>
      <c r="B195" s="10" t="s">
        <v>14</v>
      </c>
      <c r="C195" s="10" t="s">
        <v>41</v>
      </c>
      <c r="D195" s="10" t="s">
        <v>42</v>
      </c>
      <c r="E195" s="11" t="s">
        <v>30</v>
      </c>
      <c r="F195" s="11" t="s">
        <v>17</v>
      </c>
      <c r="G195" s="10" t="s">
        <v>24</v>
      </c>
      <c r="H195" s="11" t="s">
        <v>23</v>
      </c>
      <c r="I195" s="11" t="s">
        <v>20</v>
      </c>
      <c r="J195" s="11"/>
      <c r="K195" s="11" t="s">
        <v>30</v>
      </c>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4"/>
    </row>
    <row r="196" spans="1:35" ht="15.75" hidden="1" customHeight="1" x14ac:dyDescent="0.25">
      <c r="A196" s="9">
        <v>28</v>
      </c>
      <c r="B196" s="10" t="s">
        <v>14</v>
      </c>
      <c r="C196" s="10" t="s">
        <v>41</v>
      </c>
      <c r="D196" s="10" t="s">
        <v>42</v>
      </c>
      <c r="E196" s="11" t="s">
        <v>30</v>
      </c>
      <c r="F196" s="11" t="s">
        <v>17</v>
      </c>
      <c r="G196" s="10" t="s">
        <v>24</v>
      </c>
      <c r="H196" s="11" t="s">
        <v>23</v>
      </c>
      <c r="I196" s="11" t="s">
        <v>20</v>
      </c>
      <c r="J196" s="11"/>
      <c r="K196" s="11" t="s">
        <v>30</v>
      </c>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4"/>
    </row>
    <row r="197" spans="1:35" ht="15.75" hidden="1" customHeight="1" x14ac:dyDescent="0.25">
      <c r="A197" s="9">
        <v>29</v>
      </c>
      <c r="B197" s="10" t="s">
        <v>14</v>
      </c>
      <c r="C197" s="10" t="s">
        <v>41</v>
      </c>
      <c r="D197" s="10" t="s">
        <v>42</v>
      </c>
      <c r="E197" s="11" t="s">
        <v>30</v>
      </c>
      <c r="F197" s="11" t="s">
        <v>17</v>
      </c>
      <c r="G197" s="10" t="s">
        <v>24</v>
      </c>
      <c r="H197" s="11" t="s">
        <v>19</v>
      </c>
      <c r="I197" s="11" t="s">
        <v>20</v>
      </c>
      <c r="J197" s="11"/>
      <c r="K197" s="11" t="s">
        <v>30</v>
      </c>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4"/>
    </row>
    <row r="198" spans="1:35" ht="15.75" hidden="1" customHeight="1" x14ac:dyDescent="0.25">
      <c r="A198" s="9">
        <v>30</v>
      </c>
      <c r="B198" s="10" t="s">
        <v>14</v>
      </c>
      <c r="C198" s="10" t="s">
        <v>41</v>
      </c>
      <c r="D198" s="10" t="s">
        <v>42</v>
      </c>
      <c r="E198" s="11" t="s">
        <v>30</v>
      </c>
      <c r="F198" s="11" t="s">
        <v>17</v>
      </c>
      <c r="G198" s="10" t="s">
        <v>24</v>
      </c>
      <c r="H198" s="11" t="s">
        <v>23</v>
      </c>
      <c r="I198" s="11" t="s">
        <v>20</v>
      </c>
      <c r="J198" s="11"/>
      <c r="K198" s="11" t="s">
        <v>30</v>
      </c>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4"/>
    </row>
    <row r="199" spans="1:35" ht="15.75" hidden="1" customHeight="1" x14ac:dyDescent="0.25">
      <c r="A199" s="9">
        <v>31</v>
      </c>
      <c r="B199" s="10" t="s">
        <v>14</v>
      </c>
      <c r="C199" s="10" t="s">
        <v>41</v>
      </c>
      <c r="D199" s="10" t="s">
        <v>42</v>
      </c>
      <c r="E199" s="11" t="s">
        <v>30</v>
      </c>
      <c r="F199" s="11" t="s">
        <v>17</v>
      </c>
      <c r="G199" s="10" t="s">
        <v>24</v>
      </c>
      <c r="H199" s="11" t="s">
        <v>23</v>
      </c>
      <c r="I199" s="11" t="s">
        <v>20</v>
      </c>
      <c r="J199" s="11"/>
      <c r="K199" s="11" t="s">
        <v>30</v>
      </c>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4"/>
    </row>
    <row r="200" spans="1:35" ht="15.75" hidden="1" customHeight="1" x14ac:dyDescent="0.25">
      <c r="A200" s="9">
        <v>32</v>
      </c>
      <c r="B200" s="10" t="s">
        <v>14</v>
      </c>
      <c r="C200" s="10" t="s">
        <v>41</v>
      </c>
      <c r="D200" s="10" t="s">
        <v>42</v>
      </c>
      <c r="E200" s="11" t="s">
        <v>30</v>
      </c>
      <c r="F200" s="11" t="s">
        <v>17</v>
      </c>
      <c r="G200" s="10" t="s">
        <v>24</v>
      </c>
      <c r="H200" s="11" t="s">
        <v>19</v>
      </c>
      <c r="I200" s="11" t="s">
        <v>20</v>
      </c>
      <c r="J200" s="11"/>
      <c r="K200" s="11" t="s">
        <v>30</v>
      </c>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4"/>
    </row>
    <row r="201" spans="1:35" ht="15.75" hidden="1" customHeight="1" x14ac:dyDescent="0.25">
      <c r="A201" s="9">
        <v>33</v>
      </c>
      <c r="B201" s="10" t="s">
        <v>14</v>
      </c>
      <c r="C201" s="10" t="s">
        <v>41</v>
      </c>
      <c r="D201" s="10" t="s">
        <v>42</v>
      </c>
      <c r="E201" s="11" t="s">
        <v>30</v>
      </c>
      <c r="F201" s="11" t="s">
        <v>17</v>
      </c>
      <c r="G201" s="10" t="s">
        <v>24</v>
      </c>
      <c r="H201" s="11" t="s">
        <v>19</v>
      </c>
      <c r="I201" s="11" t="s">
        <v>20</v>
      </c>
      <c r="J201" s="11"/>
      <c r="K201" s="11" t="s">
        <v>30</v>
      </c>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4"/>
    </row>
    <row r="202" spans="1:35" ht="15.75" hidden="1" customHeight="1" x14ac:dyDescent="0.25">
      <c r="A202" s="9">
        <v>34</v>
      </c>
      <c r="B202" s="10" t="s">
        <v>14</v>
      </c>
      <c r="C202" s="10" t="s">
        <v>41</v>
      </c>
      <c r="D202" s="10" t="s">
        <v>42</v>
      </c>
      <c r="E202" s="11" t="s">
        <v>30</v>
      </c>
      <c r="F202" s="11" t="s">
        <v>17</v>
      </c>
      <c r="G202" s="10" t="s">
        <v>24</v>
      </c>
      <c r="H202" s="11" t="s">
        <v>19</v>
      </c>
      <c r="I202" s="11" t="s">
        <v>20</v>
      </c>
      <c r="J202" s="11"/>
      <c r="K202" s="11" t="s">
        <v>30</v>
      </c>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4"/>
    </row>
    <row r="203" spans="1:35" ht="15.75" hidden="1" customHeight="1" x14ac:dyDescent="0.25">
      <c r="A203" s="9">
        <v>35</v>
      </c>
      <c r="B203" s="10" t="s">
        <v>14</v>
      </c>
      <c r="C203" s="10" t="s">
        <v>41</v>
      </c>
      <c r="D203" s="10" t="s">
        <v>42</v>
      </c>
      <c r="E203" s="11" t="s">
        <v>30</v>
      </c>
      <c r="F203" s="11" t="s">
        <v>17</v>
      </c>
      <c r="G203" s="10" t="s">
        <v>24</v>
      </c>
      <c r="H203" s="11" t="s">
        <v>19</v>
      </c>
      <c r="I203" s="11" t="s">
        <v>20</v>
      </c>
      <c r="J203" s="11"/>
      <c r="K203" s="11" t="s">
        <v>30</v>
      </c>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4"/>
    </row>
    <row r="204" spans="1:35" ht="15.75" hidden="1" customHeight="1" x14ac:dyDescent="0.25">
      <c r="A204" s="9">
        <v>36</v>
      </c>
      <c r="B204" s="10" t="s">
        <v>14</v>
      </c>
      <c r="C204" s="10" t="s">
        <v>41</v>
      </c>
      <c r="D204" s="10" t="s">
        <v>42</v>
      </c>
      <c r="E204" s="11" t="s">
        <v>30</v>
      </c>
      <c r="F204" s="11" t="s">
        <v>17</v>
      </c>
      <c r="G204" s="10" t="s">
        <v>24</v>
      </c>
      <c r="H204" s="11" t="s">
        <v>19</v>
      </c>
      <c r="I204" s="11" t="s">
        <v>20</v>
      </c>
      <c r="J204" s="11"/>
      <c r="K204" s="11" t="s">
        <v>30</v>
      </c>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4"/>
    </row>
    <row r="205" spans="1:35" ht="15.75" hidden="1" customHeight="1" x14ac:dyDescent="0.25">
      <c r="A205" s="9">
        <v>37</v>
      </c>
      <c r="B205" s="10" t="s">
        <v>14</v>
      </c>
      <c r="C205" s="10" t="s">
        <v>41</v>
      </c>
      <c r="D205" s="10" t="s">
        <v>42</v>
      </c>
      <c r="E205" s="11" t="s">
        <v>30</v>
      </c>
      <c r="F205" s="11" t="s">
        <v>17</v>
      </c>
      <c r="G205" s="10" t="s">
        <v>24</v>
      </c>
      <c r="H205" s="11" t="s">
        <v>19</v>
      </c>
      <c r="I205" s="11" t="s">
        <v>20</v>
      </c>
      <c r="J205" s="11"/>
      <c r="K205" s="11" t="s">
        <v>30</v>
      </c>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4"/>
    </row>
    <row r="206" spans="1:35" ht="15.75" hidden="1" customHeight="1" x14ac:dyDescent="0.25">
      <c r="A206" s="9">
        <v>1</v>
      </c>
      <c r="B206" s="10" t="s">
        <v>14</v>
      </c>
      <c r="C206" s="10" t="s">
        <v>41</v>
      </c>
      <c r="D206" s="10" t="s">
        <v>43</v>
      </c>
      <c r="E206" s="11" t="s">
        <v>30</v>
      </c>
      <c r="F206" s="11" t="s">
        <v>17</v>
      </c>
      <c r="G206" s="10" t="s">
        <v>18</v>
      </c>
      <c r="H206" s="11" t="s">
        <v>19</v>
      </c>
      <c r="I206" s="11" t="s">
        <v>20</v>
      </c>
      <c r="J206" s="11"/>
      <c r="K206" s="11" t="s">
        <v>30</v>
      </c>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4"/>
    </row>
    <row r="207" spans="1:35" ht="15.75" hidden="1" customHeight="1" x14ac:dyDescent="0.25">
      <c r="A207" s="9">
        <v>2</v>
      </c>
      <c r="B207" s="10" t="s">
        <v>14</v>
      </c>
      <c r="C207" s="10" t="s">
        <v>41</v>
      </c>
      <c r="D207" s="10" t="s">
        <v>43</v>
      </c>
      <c r="E207" s="11" t="s">
        <v>30</v>
      </c>
      <c r="F207" s="11" t="s">
        <v>17</v>
      </c>
      <c r="G207" s="10" t="s">
        <v>18</v>
      </c>
      <c r="H207" s="11" t="s">
        <v>19</v>
      </c>
      <c r="I207" s="11" t="s">
        <v>20</v>
      </c>
      <c r="J207" s="11"/>
      <c r="K207" s="11" t="s">
        <v>30</v>
      </c>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4"/>
    </row>
    <row r="208" spans="1:35" ht="15.75" hidden="1" customHeight="1" x14ac:dyDescent="0.25">
      <c r="A208" s="9">
        <v>3</v>
      </c>
      <c r="B208" s="10" t="s">
        <v>14</v>
      </c>
      <c r="C208" s="10" t="s">
        <v>41</v>
      </c>
      <c r="D208" s="10" t="s">
        <v>43</v>
      </c>
      <c r="E208" s="11" t="s">
        <v>30</v>
      </c>
      <c r="F208" s="11" t="s">
        <v>17</v>
      </c>
      <c r="G208" s="10" t="s">
        <v>18</v>
      </c>
      <c r="H208" s="11" t="s">
        <v>19</v>
      </c>
      <c r="I208" s="11" t="s">
        <v>20</v>
      </c>
      <c r="J208" s="11"/>
      <c r="K208" s="11" t="s">
        <v>30</v>
      </c>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4"/>
    </row>
    <row r="209" spans="1:35" ht="15.75" hidden="1" customHeight="1" x14ac:dyDescent="0.25">
      <c r="A209" s="9">
        <v>4</v>
      </c>
      <c r="B209" s="10" t="s">
        <v>14</v>
      </c>
      <c r="C209" s="10" t="s">
        <v>41</v>
      </c>
      <c r="D209" s="10" t="s">
        <v>43</v>
      </c>
      <c r="E209" s="11" t="s">
        <v>30</v>
      </c>
      <c r="F209" s="11" t="s">
        <v>17</v>
      </c>
      <c r="G209" s="10" t="s">
        <v>18</v>
      </c>
      <c r="H209" s="11" t="s">
        <v>19</v>
      </c>
      <c r="I209" s="11" t="s">
        <v>20</v>
      </c>
      <c r="J209" s="11"/>
      <c r="K209" s="11" t="s">
        <v>30</v>
      </c>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4"/>
    </row>
    <row r="210" spans="1:35" ht="15.75" hidden="1" customHeight="1" x14ac:dyDescent="0.25">
      <c r="A210" s="9">
        <v>5</v>
      </c>
      <c r="B210" s="10" t="s">
        <v>14</v>
      </c>
      <c r="C210" s="10" t="s">
        <v>41</v>
      </c>
      <c r="D210" s="10" t="s">
        <v>43</v>
      </c>
      <c r="E210" s="11" t="s">
        <v>30</v>
      </c>
      <c r="F210" s="11" t="s">
        <v>17</v>
      </c>
      <c r="G210" s="10" t="s">
        <v>18</v>
      </c>
      <c r="H210" s="11" t="s">
        <v>19</v>
      </c>
      <c r="I210" s="11" t="s">
        <v>20</v>
      </c>
      <c r="J210" s="11"/>
      <c r="K210" s="11" t="s">
        <v>30</v>
      </c>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4"/>
    </row>
    <row r="211" spans="1:35" ht="15.75" hidden="1" customHeight="1" x14ac:dyDescent="0.25">
      <c r="A211" s="9">
        <v>6</v>
      </c>
      <c r="B211" s="10" t="s">
        <v>14</v>
      </c>
      <c r="C211" s="10" t="s">
        <v>41</v>
      </c>
      <c r="D211" s="10" t="s">
        <v>43</v>
      </c>
      <c r="E211" s="11" t="s">
        <v>30</v>
      </c>
      <c r="F211" s="11" t="s">
        <v>17</v>
      </c>
      <c r="G211" s="10" t="s">
        <v>18</v>
      </c>
      <c r="H211" s="11" t="s">
        <v>19</v>
      </c>
      <c r="I211" s="11" t="s">
        <v>20</v>
      </c>
      <c r="J211" s="11"/>
      <c r="K211" s="11" t="s">
        <v>30</v>
      </c>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4"/>
    </row>
    <row r="212" spans="1:35" ht="15.75" hidden="1" customHeight="1" x14ac:dyDescent="0.25">
      <c r="A212" s="9">
        <v>7</v>
      </c>
      <c r="B212" s="10" t="s">
        <v>14</v>
      </c>
      <c r="C212" s="10" t="s">
        <v>41</v>
      </c>
      <c r="D212" s="10" t="s">
        <v>43</v>
      </c>
      <c r="E212" s="11" t="s">
        <v>30</v>
      </c>
      <c r="F212" s="11" t="s">
        <v>17</v>
      </c>
      <c r="G212" s="10" t="s">
        <v>18</v>
      </c>
      <c r="H212" s="11" t="s">
        <v>19</v>
      </c>
      <c r="I212" s="11" t="s">
        <v>20</v>
      </c>
      <c r="J212" s="11"/>
      <c r="K212" s="11" t="s">
        <v>30</v>
      </c>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4"/>
    </row>
    <row r="213" spans="1:35" ht="15.75" hidden="1" customHeight="1" x14ac:dyDescent="0.25">
      <c r="A213" s="9">
        <v>8</v>
      </c>
      <c r="B213" s="10" t="s">
        <v>14</v>
      </c>
      <c r="C213" s="10" t="s">
        <v>41</v>
      </c>
      <c r="D213" s="10" t="s">
        <v>43</v>
      </c>
      <c r="E213" s="11" t="s">
        <v>30</v>
      </c>
      <c r="F213" s="11" t="s">
        <v>17</v>
      </c>
      <c r="G213" s="10" t="s">
        <v>18</v>
      </c>
      <c r="H213" s="11" t="s">
        <v>19</v>
      </c>
      <c r="I213" s="11" t="s">
        <v>20</v>
      </c>
      <c r="J213" s="11"/>
      <c r="K213" s="11" t="s">
        <v>30</v>
      </c>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4"/>
    </row>
    <row r="214" spans="1:35" ht="15.75" hidden="1" customHeight="1" x14ac:dyDescent="0.25">
      <c r="A214" s="9">
        <v>9</v>
      </c>
      <c r="B214" s="10" t="s">
        <v>14</v>
      </c>
      <c r="C214" s="10" t="s">
        <v>41</v>
      </c>
      <c r="D214" s="10" t="s">
        <v>43</v>
      </c>
      <c r="E214" s="11" t="s">
        <v>30</v>
      </c>
      <c r="F214" s="11" t="s">
        <v>17</v>
      </c>
      <c r="G214" s="10" t="s">
        <v>18</v>
      </c>
      <c r="H214" s="11" t="s">
        <v>23</v>
      </c>
      <c r="I214" s="11" t="s">
        <v>20</v>
      </c>
      <c r="J214" s="11"/>
      <c r="K214" s="11" t="s">
        <v>30</v>
      </c>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4"/>
    </row>
    <row r="215" spans="1:35" ht="15.75" hidden="1" customHeight="1" x14ac:dyDescent="0.25">
      <c r="A215" s="9">
        <v>10</v>
      </c>
      <c r="B215" s="10" t="s">
        <v>14</v>
      </c>
      <c r="C215" s="10" t="s">
        <v>41</v>
      </c>
      <c r="D215" s="10" t="s">
        <v>43</v>
      </c>
      <c r="E215" s="11" t="s">
        <v>30</v>
      </c>
      <c r="F215" s="11" t="s">
        <v>17</v>
      </c>
      <c r="G215" s="10" t="s">
        <v>18</v>
      </c>
      <c r="H215" s="11" t="s">
        <v>23</v>
      </c>
      <c r="I215" s="11" t="s">
        <v>20</v>
      </c>
      <c r="J215" s="11"/>
      <c r="K215" s="11" t="s">
        <v>30</v>
      </c>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4"/>
    </row>
    <row r="216" spans="1:35" ht="15.75" hidden="1" customHeight="1" x14ac:dyDescent="0.25">
      <c r="A216" s="9">
        <v>11</v>
      </c>
      <c r="B216" s="10" t="s">
        <v>14</v>
      </c>
      <c r="C216" s="10" t="s">
        <v>41</v>
      </c>
      <c r="D216" s="10" t="s">
        <v>43</v>
      </c>
      <c r="E216" s="11" t="s">
        <v>30</v>
      </c>
      <c r="F216" s="11" t="s">
        <v>17</v>
      </c>
      <c r="G216" s="10" t="s">
        <v>18</v>
      </c>
      <c r="H216" s="11" t="s">
        <v>23</v>
      </c>
      <c r="I216" s="11" t="s">
        <v>20</v>
      </c>
      <c r="J216" s="11"/>
      <c r="K216" s="11" t="s">
        <v>30</v>
      </c>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4"/>
    </row>
    <row r="217" spans="1:35" ht="15.75" hidden="1" customHeight="1" x14ac:dyDescent="0.25">
      <c r="A217" s="9">
        <v>12</v>
      </c>
      <c r="B217" s="10" t="s">
        <v>14</v>
      </c>
      <c r="C217" s="10" t="s">
        <v>41</v>
      </c>
      <c r="D217" s="10" t="s">
        <v>43</v>
      </c>
      <c r="E217" s="11" t="s">
        <v>30</v>
      </c>
      <c r="F217" s="11" t="s">
        <v>17</v>
      </c>
      <c r="G217" s="10" t="s">
        <v>18</v>
      </c>
      <c r="H217" s="11" t="s">
        <v>19</v>
      </c>
      <c r="I217" s="11" t="s">
        <v>20</v>
      </c>
      <c r="J217" s="11"/>
      <c r="K217" s="11" t="s">
        <v>30</v>
      </c>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4"/>
    </row>
    <row r="218" spans="1:35" ht="15.75" hidden="1" customHeight="1" x14ac:dyDescent="0.25">
      <c r="A218" s="9">
        <v>13</v>
      </c>
      <c r="B218" s="10" t="s">
        <v>14</v>
      </c>
      <c r="C218" s="10" t="s">
        <v>41</v>
      </c>
      <c r="D218" s="10" t="s">
        <v>43</v>
      </c>
      <c r="E218" s="11" t="s">
        <v>30</v>
      </c>
      <c r="F218" s="11" t="s">
        <v>17</v>
      </c>
      <c r="G218" s="10" t="s">
        <v>18</v>
      </c>
      <c r="H218" s="11" t="s">
        <v>19</v>
      </c>
      <c r="I218" s="11" t="s">
        <v>20</v>
      </c>
      <c r="J218" s="11"/>
      <c r="K218" s="11" t="s">
        <v>30</v>
      </c>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4"/>
    </row>
    <row r="219" spans="1:35" ht="15.75" hidden="1" customHeight="1" x14ac:dyDescent="0.25">
      <c r="A219" s="9">
        <v>14</v>
      </c>
      <c r="B219" s="10" t="s">
        <v>14</v>
      </c>
      <c r="C219" s="10" t="s">
        <v>41</v>
      </c>
      <c r="D219" s="10" t="s">
        <v>43</v>
      </c>
      <c r="E219" s="11" t="s">
        <v>30</v>
      </c>
      <c r="F219" s="11" t="s">
        <v>17</v>
      </c>
      <c r="G219" s="10" t="s">
        <v>18</v>
      </c>
      <c r="H219" s="11" t="s">
        <v>19</v>
      </c>
      <c r="I219" s="11" t="s">
        <v>20</v>
      </c>
      <c r="J219" s="11"/>
      <c r="K219" s="11" t="s">
        <v>30</v>
      </c>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4"/>
    </row>
    <row r="220" spans="1:35" ht="15.75" hidden="1" customHeight="1" x14ac:dyDescent="0.25">
      <c r="A220" s="9">
        <v>15</v>
      </c>
      <c r="B220" s="10" t="s">
        <v>14</v>
      </c>
      <c r="C220" s="10" t="s">
        <v>41</v>
      </c>
      <c r="D220" s="10" t="s">
        <v>43</v>
      </c>
      <c r="E220" s="11" t="s">
        <v>30</v>
      </c>
      <c r="F220" s="11" t="s">
        <v>17</v>
      </c>
      <c r="G220" s="10" t="s">
        <v>18</v>
      </c>
      <c r="H220" s="11" t="s">
        <v>19</v>
      </c>
      <c r="I220" s="11" t="s">
        <v>20</v>
      </c>
      <c r="J220" s="11"/>
      <c r="K220" s="11" t="s">
        <v>30</v>
      </c>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4"/>
    </row>
    <row r="221" spans="1:35" ht="15.75" hidden="1" customHeight="1" x14ac:dyDescent="0.25">
      <c r="A221" s="9">
        <v>16</v>
      </c>
      <c r="B221" s="10" t="s">
        <v>14</v>
      </c>
      <c r="C221" s="10" t="s">
        <v>41</v>
      </c>
      <c r="D221" s="10" t="s">
        <v>43</v>
      </c>
      <c r="E221" s="11" t="s">
        <v>30</v>
      </c>
      <c r="F221" s="11" t="s">
        <v>17</v>
      </c>
      <c r="G221" s="10" t="s">
        <v>24</v>
      </c>
      <c r="H221" s="11" t="s">
        <v>19</v>
      </c>
      <c r="I221" s="11" t="s">
        <v>20</v>
      </c>
      <c r="J221" s="11"/>
      <c r="K221" s="11" t="s">
        <v>30</v>
      </c>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4"/>
    </row>
    <row r="222" spans="1:35" ht="15.75" hidden="1" customHeight="1" x14ac:dyDescent="0.25">
      <c r="A222" s="9">
        <v>17</v>
      </c>
      <c r="B222" s="10" t="s">
        <v>14</v>
      </c>
      <c r="C222" s="10" t="s">
        <v>41</v>
      </c>
      <c r="D222" s="10" t="s">
        <v>43</v>
      </c>
      <c r="E222" s="11" t="s">
        <v>30</v>
      </c>
      <c r="F222" s="11" t="s">
        <v>17</v>
      </c>
      <c r="G222" s="10" t="s">
        <v>24</v>
      </c>
      <c r="H222" s="11" t="s">
        <v>19</v>
      </c>
      <c r="I222" s="11" t="s">
        <v>20</v>
      </c>
      <c r="J222" s="11"/>
      <c r="K222" s="11" t="s">
        <v>30</v>
      </c>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4"/>
    </row>
    <row r="223" spans="1:35" ht="15.75" hidden="1" customHeight="1" x14ac:dyDescent="0.25">
      <c r="A223" s="9">
        <v>18</v>
      </c>
      <c r="B223" s="10" t="s">
        <v>14</v>
      </c>
      <c r="C223" s="10" t="s">
        <v>41</v>
      </c>
      <c r="D223" s="10" t="s">
        <v>43</v>
      </c>
      <c r="E223" s="11" t="s">
        <v>30</v>
      </c>
      <c r="F223" s="11" t="s">
        <v>17</v>
      </c>
      <c r="G223" s="10" t="s">
        <v>24</v>
      </c>
      <c r="H223" s="11" t="s">
        <v>23</v>
      </c>
      <c r="I223" s="11" t="s">
        <v>20</v>
      </c>
      <c r="J223" s="11"/>
      <c r="K223" s="11" t="s">
        <v>30</v>
      </c>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4"/>
    </row>
    <row r="224" spans="1:35" ht="15.75" hidden="1" customHeight="1" x14ac:dyDescent="0.25">
      <c r="A224" s="9">
        <v>19</v>
      </c>
      <c r="B224" s="10" t="s">
        <v>14</v>
      </c>
      <c r="C224" s="10" t="s">
        <v>41</v>
      </c>
      <c r="D224" s="10" t="s">
        <v>43</v>
      </c>
      <c r="E224" s="11" t="s">
        <v>30</v>
      </c>
      <c r="F224" s="11" t="s">
        <v>17</v>
      </c>
      <c r="G224" s="10" t="s">
        <v>24</v>
      </c>
      <c r="H224" s="11" t="s">
        <v>19</v>
      </c>
      <c r="I224" s="11" t="s">
        <v>20</v>
      </c>
      <c r="J224" s="11"/>
      <c r="K224" s="11" t="s">
        <v>30</v>
      </c>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4"/>
    </row>
    <row r="225" spans="1:35" ht="15.75" hidden="1" customHeight="1" x14ac:dyDescent="0.25">
      <c r="A225" s="9">
        <v>20</v>
      </c>
      <c r="B225" s="10" t="s">
        <v>14</v>
      </c>
      <c r="C225" s="10" t="s">
        <v>41</v>
      </c>
      <c r="D225" s="10" t="s">
        <v>43</v>
      </c>
      <c r="E225" s="11" t="s">
        <v>30</v>
      </c>
      <c r="F225" s="11" t="s">
        <v>17</v>
      </c>
      <c r="G225" s="10" t="s">
        <v>24</v>
      </c>
      <c r="H225" s="11" t="s">
        <v>19</v>
      </c>
      <c r="I225" s="11" t="s">
        <v>20</v>
      </c>
      <c r="J225" s="11"/>
      <c r="K225" s="11" t="s">
        <v>30</v>
      </c>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4"/>
    </row>
    <row r="226" spans="1:35" ht="15.75" hidden="1" customHeight="1" x14ac:dyDescent="0.25">
      <c r="A226" s="9">
        <v>21</v>
      </c>
      <c r="B226" s="10" t="s">
        <v>14</v>
      </c>
      <c r="C226" s="10" t="s">
        <v>41</v>
      </c>
      <c r="D226" s="10" t="s">
        <v>43</v>
      </c>
      <c r="E226" s="11" t="s">
        <v>30</v>
      </c>
      <c r="F226" s="11" t="s">
        <v>17</v>
      </c>
      <c r="G226" s="10" t="s">
        <v>24</v>
      </c>
      <c r="H226" s="11" t="s">
        <v>19</v>
      </c>
      <c r="I226" s="11" t="s">
        <v>20</v>
      </c>
      <c r="J226" s="11"/>
      <c r="K226" s="11" t="s">
        <v>30</v>
      </c>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4"/>
    </row>
    <row r="227" spans="1:35" ht="15.75" hidden="1" customHeight="1" x14ac:dyDescent="0.25">
      <c r="A227" s="9">
        <v>22</v>
      </c>
      <c r="B227" s="10" t="s">
        <v>14</v>
      </c>
      <c r="C227" s="10" t="s">
        <v>41</v>
      </c>
      <c r="D227" s="10" t="s">
        <v>43</v>
      </c>
      <c r="E227" s="11" t="s">
        <v>30</v>
      </c>
      <c r="F227" s="11" t="s">
        <v>17</v>
      </c>
      <c r="G227" s="10" t="s">
        <v>24</v>
      </c>
      <c r="H227" s="11" t="s">
        <v>19</v>
      </c>
      <c r="I227" s="11" t="s">
        <v>20</v>
      </c>
      <c r="J227" s="11"/>
      <c r="K227" s="11" t="s">
        <v>30</v>
      </c>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4"/>
    </row>
    <row r="228" spans="1:35" ht="15.75" hidden="1" customHeight="1" x14ac:dyDescent="0.25">
      <c r="A228" s="9">
        <v>23</v>
      </c>
      <c r="B228" s="10" t="s">
        <v>14</v>
      </c>
      <c r="C228" s="10" t="s">
        <v>41</v>
      </c>
      <c r="D228" s="10" t="s">
        <v>43</v>
      </c>
      <c r="E228" s="11" t="s">
        <v>30</v>
      </c>
      <c r="F228" s="11" t="s">
        <v>17</v>
      </c>
      <c r="G228" s="10" t="s">
        <v>24</v>
      </c>
      <c r="H228" s="11" t="s">
        <v>23</v>
      </c>
      <c r="I228" s="11" t="s">
        <v>20</v>
      </c>
      <c r="J228" s="11"/>
      <c r="K228" s="11" t="s">
        <v>30</v>
      </c>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4"/>
    </row>
    <row r="229" spans="1:35" ht="15.75" hidden="1" customHeight="1" x14ac:dyDescent="0.25">
      <c r="A229" s="9">
        <v>24</v>
      </c>
      <c r="B229" s="10" t="s">
        <v>14</v>
      </c>
      <c r="C229" s="10" t="s">
        <v>41</v>
      </c>
      <c r="D229" s="10" t="s">
        <v>43</v>
      </c>
      <c r="E229" s="11" t="s">
        <v>30</v>
      </c>
      <c r="F229" s="11" t="s">
        <v>17</v>
      </c>
      <c r="G229" s="10" t="s">
        <v>24</v>
      </c>
      <c r="H229" s="11" t="s">
        <v>19</v>
      </c>
      <c r="I229" s="11" t="s">
        <v>20</v>
      </c>
      <c r="J229" s="11"/>
      <c r="K229" s="11" t="s">
        <v>30</v>
      </c>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4"/>
    </row>
    <row r="230" spans="1:35" ht="15.75" hidden="1" customHeight="1" x14ac:dyDescent="0.25">
      <c r="A230" s="9">
        <v>25</v>
      </c>
      <c r="B230" s="10" t="s">
        <v>14</v>
      </c>
      <c r="C230" s="10" t="s">
        <v>41</v>
      </c>
      <c r="D230" s="10" t="s">
        <v>43</v>
      </c>
      <c r="E230" s="11" t="s">
        <v>30</v>
      </c>
      <c r="F230" s="11" t="s">
        <v>17</v>
      </c>
      <c r="G230" s="10" t="s">
        <v>24</v>
      </c>
      <c r="H230" s="11" t="s">
        <v>23</v>
      </c>
      <c r="I230" s="11" t="s">
        <v>20</v>
      </c>
      <c r="J230" s="11"/>
      <c r="K230" s="11" t="s">
        <v>30</v>
      </c>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4"/>
    </row>
    <row r="231" spans="1:35" ht="15.75" hidden="1" customHeight="1" x14ac:dyDescent="0.25">
      <c r="A231" s="9">
        <v>26</v>
      </c>
      <c r="B231" s="10" t="s">
        <v>14</v>
      </c>
      <c r="C231" s="10" t="s">
        <v>41</v>
      </c>
      <c r="D231" s="10" t="s">
        <v>43</v>
      </c>
      <c r="E231" s="11" t="s">
        <v>30</v>
      </c>
      <c r="F231" s="11" t="s">
        <v>17</v>
      </c>
      <c r="G231" s="10" t="s">
        <v>24</v>
      </c>
      <c r="H231" s="11" t="s">
        <v>19</v>
      </c>
      <c r="I231" s="11" t="s">
        <v>20</v>
      </c>
      <c r="J231" s="11"/>
      <c r="K231" s="11" t="s">
        <v>30</v>
      </c>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4"/>
    </row>
    <row r="232" spans="1:35" ht="15.75" hidden="1" customHeight="1" x14ac:dyDescent="0.25">
      <c r="A232" s="9">
        <v>27</v>
      </c>
      <c r="B232" s="10" t="s">
        <v>14</v>
      </c>
      <c r="C232" s="10" t="s">
        <v>41</v>
      </c>
      <c r="D232" s="10" t="s">
        <v>43</v>
      </c>
      <c r="E232" s="11" t="s">
        <v>30</v>
      </c>
      <c r="F232" s="11" t="s">
        <v>17</v>
      </c>
      <c r="G232" s="10" t="s">
        <v>24</v>
      </c>
      <c r="H232" s="11" t="s">
        <v>19</v>
      </c>
      <c r="I232" s="11" t="s">
        <v>20</v>
      </c>
      <c r="J232" s="11"/>
      <c r="K232" s="11" t="s">
        <v>30</v>
      </c>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4"/>
    </row>
    <row r="233" spans="1:35" ht="15.75" hidden="1" customHeight="1" x14ac:dyDescent="0.25">
      <c r="A233" s="9">
        <v>28</v>
      </c>
      <c r="B233" s="10" t="s">
        <v>14</v>
      </c>
      <c r="C233" s="10" t="s">
        <v>41</v>
      </c>
      <c r="D233" s="10" t="s">
        <v>43</v>
      </c>
      <c r="E233" s="11" t="s">
        <v>30</v>
      </c>
      <c r="F233" s="11" t="s">
        <v>17</v>
      </c>
      <c r="G233" s="10" t="s">
        <v>24</v>
      </c>
      <c r="H233" s="11" t="s">
        <v>19</v>
      </c>
      <c r="I233" s="11" t="s">
        <v>20</v>
      </c>
      <c r="J233" s="11"/>
      <c r="K233" s="11" t="s">
        <v>30</v>
      </c>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4"/>
    </row>
    <row r="234" spans="1:35" ht="15.75" hidden="1" customHeight="1" x14ac:dyDescent="0.25">
      <c r="A234" s="9">
        <v>29</v>
      </c>
      <c r="B234" s="10" t="s">
        <v>14</v>
      </c>
      <c r="C234" s="10" t="s">
        <v>41</v>
      </c>
      <c r="D234" s="10" t="s">
        <v>43</v>
      </c>
      <c r="E234" s="11" t="s">
        <v>30</v>
      </c>
      <c r="F234" s="11" t="s">
        <v>17</v>
      </c>
      <c r="G234" s="10" t="s">
        <v>24</v>
      </c>
      <c r="H234" s="11" t="s">
        <v>19</v>
      </c>
      <c r="I234" s="11" t="s">
        <v>20</v>
      </c>
      <c r="J234" s="11"/>
      <c r="K234" s="11" t="s">
        <v>30</v>
      </c>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4"/>
    </row>
    <row r="235" spans="1:35" ht="15.75" hidden="1" customHeight="1" x14ac:dyDescent="0.25">
      <c r="A235" s="9">
        <v>1</v>
      </c>
      <c r="B235" s="10" t="s">
        <v>44</v>
      </c>
      <c r="C235" s="10" t="s">
        <v>15</v>
      </c>
      <c r="D235" s="10" t="s">
        <v>45</v>
      </c>
      <c r="E235" s="11" t="s">
        <v>143</v>
      </c>
      <c r="F235" s="11" t="s">
        <v>17</v>
      </c>
      <c r="G235" s="10" t="s">
        <v>18</v>
      </c>
      <c r="H235" s="11" t="s">
        <v>23</v>
      </c>
      <c r="I235" s="11" t="s">
        <v>20</v>
      </c>
      <c r="J235" s="11"/>
      <c r="K235" s="11" t="s">
        <v>46</v>
      </c>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4"/>
    </row>
    <row r="236" spans="1:35" ht="15.75" hidden="1" customHeight="1" x14ac:dyDescent="0.25">
      <c r="A236" s="9">
        <v>2</v>
      </c>
      <c r="B236" s="10" t="s">
        <v>44</v>
      </c>
      <c r="C236" s="10" t="s">
        <v>15</v>
      </c>
      <c r="D236" s="10" t="s">
        <v>45</v>
      </c>
      <c r="E236" s="11" t="s">
        <v>143</v>
      </c>
      <c r="F236" s="11" t="s">
        <v>17</v>
      </c>
      <c r="G236" s="10" t="s">
        <v>24</v>
      </c>
      <c r="H236" s="11" t="s">
        <v>19</v>
      </c>
      <c r="I236" s="11" t="s">
        <v>20</v>
      </c>
      <c r="J236" s="11"/>
      <c r="K236" s="11" t="s">
        <v>46</v>
      </c>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4"/>
    </row>
    <row r="237" spans="1:35" ht="15.75" hidden="1" customHeight="1" x14ac:dyDescent="0.25">
      <c r="A237" s="9">
        <v>3</v>
      </c>
      <c r="B237" s="10" t="s">
        <v>44</v>
      </c>
      <c r="C237" s="10" t="s">
        <v>15</v>
      </c>
      <c r="D237" s="10" t="s">
        <v>16</v>
      </c>
      <c r="E237" s="11" t="s">
        <v>143</v>
      </c>
      <c r="F237" s="11" t="s">
        <v>17</v>
      </c>
      <c r="G237" s="10" t="s">
        <v>18</v>
      </c>
      <c r="H237" s="11" t="s">
        <v>19</v>
      </c>
      <c r="I237" s="11" t="s">
        <v>20</v>
      </c>
      <c r="J237" s="11"/>
      <c r="K237" s="11" t="s">
        <v>46</v>
      </c>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4"/>
    </row>
    <row r="238" spans="1:35" ht="15.75" hidden="1" customHeight="1" x14ac:dyDescent="0.25">
      <c r="A238" s="9">
        <v>4</v>
      </c>
      <c r="B238" s="10" t="s">
        <v>44</v>
      </c>
      <c r="C238" s="10" t="s">
        <v>15</v>
      </c>
      <c r="D238" s="10" t="s">
        <v>16</v>
      </c>
      <c r="E238" s="11" t="s">
        <v>143</v>
      </c>
      <c r="F238" s="11" t="s">
        <v>17</v>
      </c>
      <c r="G238" s="10" t="s">
        <v>24</v>
      </c>
      <c r="H238" s="11" t="s">
        <v>19</v>
      </c>
      <c r="I238" s="11" t="s">
        <v>20</v>
      </c>
      <c r="J238" s="11"/>
      <c r="K238" s="11" t="s">
        <v>46</v>
      </c>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4"/>
    </row>
    <row r="239" spans="1:35" ht="15.75" hidden="1" customHeight="1" x14ac:dyDescent="0.25">
      <c r="A239" s="9">
        <v>5</v>
      </c>
      <c r="B239" s="10" t="s">
        <v>44</v>
      </c>
      <c r="C239" s="10" t="s">
        <v>15</v>
      </c>
      <c r="D239" s="10" t="s">
        <v>37</v>
      </c>
      <c r="E239" s="11" t="s">
        <v>143</v>
      </c>
      <c r="F239" s="11" t="s">
        <v>17</v>
      </c>
      <c r="G239" s="10" t="s">
        <v>18</v>
      </c>
      <c r="H239" s="11" t="s">
        <v>19</v>
      </c>
      <c r="I239" s="11" t="s">
        <v>20</v>
      </c>
      <c r="J239" s="11"/>
      <c r="K239" s="11" t="s">
        <v>46</v>
      </c>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4"/>
    </row>
    <row r="240" spans="1:35" ht="15.75" hidden="1" customHeight="1" x14ac:dyDescent="0.25">
      <c r="A240" s="9">
        <v>6</v>
      </c>
      <c r="B240" s="10" t="s">
        <v>44</v>
      </c>
      <c r="C240" s="10" t="s">
        <v>15</v>
      </c>
      <c r="D240" s="10" t="s">
        <v>37</v>
      </c>
      <c r="E240" s="11" t="s">
        <v>143</v>
      </c>
      <c r="F240" s="11" t="s">
        <v>17</v>
      </c>
      <c r="G240" s="10" t="s">
        <v>24</v>
      </c>
      <c r="H240" s="11" t="s">
        <v>19</v>
      </c>
      <c r="I240" s="11" t="s">
        <v>20</v>
      </c>
      <c r="J240" s="11"/>
      <c r="K240" s="11" t="s">
        <v>46</v>
      </c>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4"/>
    </row>
    <row r="241" spans="1:35" ht="15.75" hidden="1" customHeight="1" x14ac:dyDescent="0.25">
      <c r="A241" s="9">
        <v>7</v>
      </c>
      <c r="B241" s="10" t="s">
        <v>44</v>
      </c>
      <c r="C241" s="10" t="s">
        <v>15</v>
      </c>
      <c r="D241" s="10" t="s">
        <v>37</v>
      </c>
      <c r="E241" s="11" t="s">
        <v>143</v>
      </c>
      <c r="F241" s="11" t="s">
        <v>17</v>
      </c>
      <c r="G241" s="10" t="s">
        <v>24</v>
      </c>
      <c r="H241" s="11" t="s">
        <v>19</v>
      </c>
      <c r="I241" s="11" t="s">
        <v>20</v>
      </c>
      <c r="J241" s="11"/>
      <c r="K241" s="11" t="s">
        <v>46</v>
      </c>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4"/>
    </row>
    <row r="242" spans="1:35" ht="15.75" hidden="1" customHeight="1" x14ac:dyDescent="0.25">
      <c r="A242" s="9">
        <v>1</v>
      </c>
      <c r="B242" s="10" t="s">
        <v>44</v>
      </c>
      <c r="C242" s="10" t="s">
        <v>15</v>
      </c>
      <c r="D242" s="10" t="s">
        <v>45</v>
      </c>
      <c r="E242" s="11" t="s">
        <v>144</v>
      </c>
      <c r="F242" s="11" t="s">
        <v>17</v>
      </c>
      <c r="G242" s="10" t="s">
        <v>18</v>
      </c>
      <c r="H242" s="11" t="s">
        <v>19</v>
      </c>
      <c r="I242" s="11" t="s">
        <v>20</v>
      </c>
      <c r="J242" s="11"/>
      <c r="K242" s="11" t="s">
        <v>47</v>
      </c>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4"/>
    </row>
    <row r="243" spans="1:35" ht="15.75" hidden="1" customHeight="1" x14ac:dyDescent="0.25">
      <c r="A243" s="9">
        <v>2</v>
      </c>
      <c r="B243" s="10" t="s">
        <v>44</v>
      </c>
      <c r="C243" s="10" t="s">
        <v>15</v>
      </c>
      <c r="D243" s="10" t="s">
        <v>45</v>
      </c>
      <c r="E243" s="11" t="s">
        <v>144</v>
      </c>
      <c r="F243" s="11" t="s">
        <v>17</v>
      </c>
      <c r="G243" s="10" t="s">
        <v>18</v>
      </c>
      <c r="H243" s="11" t="s">
        <v>19</v>
      </c>
      <c r="I243" s="11" t="s">
        <v>20</v>
      </c>
      <c r="J243" s="11"/>
      <c r="K243" s="11" t="s">
        <v>47</v>
      </c>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4"/>
    </row>
    <row r="244" spans="1:35" ht="15.75" hidden="1" customHeight="1" x14ac:dyDescent="0.25">
      <c r="A244" s="9">
        <v>3</v>
      </c>
      <c r="B244" s="10" t="s">
        <v>44</v>
      </c>
      <c r="C244" s="10" t="s">
        <v>15</v>
      </c>
      <c r="D244" s="10" t="s">
        <v>45</v>
      </c>
      <c r="E244" s="11" t="s">
        <v>144</v>
      </c>
      <c r="F244" s="11" t="s">
        <v>17</v>
      </c>
      <c r="G244" s="10" t="s">
        <v>24</v>
      </c>
      <c r="H244" s="11" t="s">
        <v>23</v>
      </c>
      <c r="I244" s="11" t="s">
        <v>20</v>
      </c>
      <c r="J244" s="11"/>
      <c r="K244" s="11" t="s">
        <v>47</v>
      </c>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4"/>
    </row>
    <row r="245" spans="1:35" ht="15.75" hidden="1" customHeight="1" x14ac:dyDescent="0.25">
      <c r="A245" s="9">
        <v>4</v>
      </c>
      <c r="B245" s="10" t="s">
        <v>44</v>
      </c>
      <c r="C245" s="10" t="s">
        <v>15</v>
      </c>
      <c r="D245" s="10" t="s">
        <v>16</v>
      </c>
      <c r="E245" s="11" t="s">
        <v>144</v>
      </c>
      <c r="F245" s="11" t="s">
        <v>17</v>
      </c>
      <c r="G245" s="10" t="s">
        <v>18</v>
      </c>
      <c r="H245" s="11" t="s">
        <v>19</v>
      </c>
      <c r="I245" s="11" t="s">
        <v>20</v>
      </c>
      <c r="J245" s="11"/>
      <c r="K245" s="11" t="s">
        <v>47</v>
      </c>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4"/>
    </row>
    <row r="246" spans="1:35" ht="15.75" hidden="1" customHeight="1" x14ac:dyDescent="0.25">
      <c r="A246" s="9">
        <v>5</v>
      </c>
      <c r="B246" s="10" t="s">
        <v>44</v>
      </c>
      <c r="C246" s="10" t="s">
        <v>15</v>
      </c>
      <c r="D246" s="10" t="s">
        <v>16</v>
      </c>
      <c r="E246" s="11" t="s">
        <v>144</v>
      </c>
      <c r="F246" s="11" t="s">
        <v>17</v>
      </c>
      <c r="G246" s="10" t="s">
        <v>18</v>
      </c>
      <c r="H246" s="11" t="s">
        <v>23</v>
      </c>
      <c r="I246" s="11" t="s">
        <v>20</v>
      </c>
      <c r="J246" s="11"/>
      <c r="K246" s="11" t="s">
        <v>47</v>
      </c>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4"/>
    </row>
    <row r="247" spans="1:35" ht="15.75" hidden="1" customHeight="1" x14ac:dyDescent="0.25">
      <c r="A247" s="9">
        <v>6</v>
      </c>
      <c r="B247" s="10" t="s">
        <v>44</v>
      </c>
      <c r="C247" s="10" t="s">
        <v>15</v>
      </c>
      <c r="D247" s="10" t="s">
        <v>37</v>
      </c>
      <c r="E247" s="11" t="s">
        <v>144</v>
      </c>
      <c r="F247" s="11" t="s">
        <v>17</v>
      </c>
      <c r="G247" s="10" t="s">
        <v>18</v>
      </c>
      <c r="H247" s="11" t="s">
        <v>19</v>
      </c>
      <c r="I247" s="11" t="s">
        <v>20</v>
      </c>
      <c r="J247" s="11"/>
      <c r="K247" s="11" t="s">
        <v>47</v>
      </c>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4"/>
    </row>
    <row r="248" spans="1:35" ht="15.75" hidden="1" customHeight="1" x14ac:dyDescent="0.25">
      <c r="A248" s="9">
        <v>7</v>
      </c>
      <c r="B248" s="10" t="s">
        <v>44</v>
      </c>
      <c r="C248" s="10" t="s">
        <v>15</v>
      </c>
      <c r="D248" s="10" t="s">
        <v>37</v>
      </c>
      <c r="E248" s="11" t="s">
        <v>144</v>
      </c>
      <c r="F248" s="11" t="s">
        <v>17</v>
      </c>
      <c r="G248" s="10" t="s">
        <v>24</v>
      </c>
      <c r="H248" s="11" t="s">
        <v>19</v>
      </c>
      <c r="I248" s="11" t="s">
        <v>20</v>
      </c>
      <c r="J248" s="11"/>
      <c r="K248" s="11" t="s">
        <v>47</v>
      </c>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4"/>
    </row>
    <row r="249" spans="1:35" ht="15.75" hidden="1" customHeight="1" x14ac:dyDescent="0.25">
      <c r="A249" s="9">
        <v>1</v>
      </c>
      <c r="B249" s="10" t="s">
        <v>44</v>
      </c>
      <c r="C249" s="10" t="s">
        <v>15</v>
      </c>
      <c r="D249" s="10" t="s">
        <v>45</v>
      </c>
      <c r="E249" s="11" t="s">
        <v>145</v>
      </c>
      <c r="F249" s="11" t="s">
        <v>17</v>
      </c>
      <c r="G249" s="10" t="s">
        <v>18</v>
      </c>
      <c r="H249" s="11" t="s">
        <v>19</v>
      </c>
      <c r="I249" s="11" t="s">
        <v>20</v>
      </c>
      <c r="J249" s="11"/>
      <c r="K249" s="11" t="s">
        <v>48</v>
      </c>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4"/>
    </row>
    <row r="250" spans="1:35" ht="15.75" hidden="1" customHeight="1" x14ac:dyDescent="0.25">
      <c r="A250" s="9">
        <v>2</v>
      </c>
      <c r="B250" s="10" t="s">
        <v>44</v>
      </c>
      <c r="C250" s="10" t="s">
        <v>15</v>
      </c>
      <c r="D250" s="10" t="s">
        <v>45</v>
      </c>
      <c r="E250" s="11" t="s">
        <v>145</v>
      </c>
      <c r="F250" s="11" t="s">
        <v>17</v>
      </c>
      <c r="G250" s="10" t="s">
        <v>18</v>
      </c>
      <c r="H250" s="11" t="s">
        <v>19</v>
      </c>
      <c r="I250" s="11" t="s">
        <v>20</v>
      </c>
      <c r="J250" s="11"/>
      <c r="K250" s="11" t="s">
        <v>48</v>
      </c>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4"/>
    </row>
    <row r="251" spans="1:35" ht="15.75" hidden="1" customHeight="1" x14ac:dyDescent="0.25">
      <c r="A251" s="9">
        <v>3</v>
      </c>
      <c r="B251" s="10" t="s">
        <v>44</v>
      </c>
      <c r="C251" s="10" t="s">
        <v>15</v>
      </c>
      <c r="D251" s="10" t="s">
        <v>45</v>
      </c>
      <c r="E251" s="11" t="s">
        <v>145</v>
      </c>
      <c r="F251" s="11" t="s">
        <v>17</v>
      </c>
      <c r="G251" s="10" t="s">
        <v>18</v>
      </c>
      <c r="H251" s="11" t="s">
        <v>19</v>
      </c>
      <c r="I251" s="11" t="s">
        <v>20</v>
      </c>
      <c r="J251" s="11"/>
      <c r="K251" s="11" t="s">
        <v>48</v>
      </c>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4"/>
    </row>
    <row r="252" spans="1:35" ht="15.75" hidden="1" customHeight="1" x14ac:dyDescent="0.25">
      <c r="A252" s="9">
        <v>4</v>
      </c>
      <c r="B252" s="10" t="s">
        <v>44</v>
      </c>
      <c r="C252" s="10" t="s">
        <v>15</v>
      </c>
      <c r="D252" s="10" t="s">
        <v>45</v>
      </c>
      <c r="E252" s="11" t="s">
        <v>145</v>
      </c>
      <c r="F252" s="11" t="s">
        <v>17</v>
      </c>
      <c r="G252" s="10" t="s">
        <v>18</v>
      </c>
      <c r="H252" s="11" t="s">
        <v>19</v>
      </c>
      <c r="I252" s="11" t="s">
        <v>20</v>
      </c>
      <c r="J252" s="11"/>
      <c r="K252" s="11" t="s">
        <v>48</v>
      </c>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4"/>
    </row>
    <row r="253" spans="1:35" ht="15.75" hidden="1" customHeight="1" x14ac:dyDescent="0.25">
      <c r="A253" s="9">
        <v>5</v>
      </c>
      <c r="B253" s="10" t="s">
        <v>44</v>
      </c>
      <c r="C253" s="10" t="s">
        <v>15</v>
      </c>
      <c r="D253" s="10" t="s">
        <v>45</v>
      </c>
      <c r="E253" s="11" t="s">
        <v>145</v>
      </c>
      <c r="F253" s="11" t="s">
        <v>17</v>
      </c>
      <c r="G253" s="10" t="s">
        <v>18</v>
      </c>
      <c r="H253" s="11" t="s">
        <v>19</v>
      </c>
      <c r="I253" s="11" t="s">
        <v>20</v>
      </c>
      <c r="J253" s="11"/>
      <c r="K253" s="11" t="s">
        <v>48</v>
      </c>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4"/>
    </row>
    <row r="254" spans="1:35" ht="15.75" hidden="1" customHeight="1" x14ac:dyDescent="0.25">
      <c r="A254" s="9">
        <v>6</v>
      </c>
      <c r="B254" s="10" t="s">
        <v>44</v>
      </c>
      <c r="C254" s="10" t="s">
        <v>15</v>
      </c>
      <c r="D254" s="10" t="s">
        <v>45</v>
      </c>
      <c r="E254" s="11" t="s">
        <v>145</v>
      </c>
      <c r="F254" s="11" t="s">
        <v>17</v>
      </c>
      <c r="G254" s="10" t="s">
        <v>24</v>
      </c>
      <c r="H254" s="11" t="s">
        <v>19</v>
      </c>
      <c r="I254" s="11" t="s">
        <v>20</v>
      </c>
      <c r="J254" s="11"/>
      <c r="K254" s="11" t="s">
        <v>48</v>
      </c>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4"/>
    </row>
    <row r="255" spans="1:35" ht="15.75" hidden="1" customHeight="1" x14ac:dyDescent="0.25">
      <c r="A255" s="9">
        <v>7</v>
      </c>
      <c r="B255" s="10" t="s">
        <v>44</v>
      </c>
      <c r="C255" s="10" t="s">
        <v>15</v>
      </c>
      <c r="D255" s="10" t="s">
        <v>45</v>
      </c>
      <c r="E255" s="11" t="s">
        <v>145</v>
      </c>
      <c r="F255" s="11" t="s">
        <v>17</v>
      </c>
      <c r="G255" s="10" t="s">
        <v>24</v>
      </c>
      <c r="H255" s="11" t="s">
        <v>19</v>
      </c>
      <c r="I255" s="11" t="s">
        <v>20</v>
      </c>
      <c r="J255" s="11"/>
      <c r="K255" s="11" t="s">
        <v>48</v>
      </c>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4"/>
    </row>
    <row r="256" spans="1:35" ht="15.75" hidden="1" customHeight="1" x14ac:dyDescent="0.25">
      <c r="A256" s="9">
        <v>8</v>
      </c>
      <c r="B256" s="10" t="s">
        <v>44</v>
      </c>
      <c r="C256" s="10" t="s">
        <v>15</v>
      </c>
      <c r="D256" s="10" t="s">
        <v>45</v>
      </c>
      <c r="E256" s="11" t="s">
        <v>145</v>
      </c>
      <c r="F256" s="11" t="s">
        <v>17</v>
      </c>
      <c r="G256" s="10" t="s">
        <v>24</v>
      </c>
      <c r="H256" s="11" t="s">
        <v>19</v>
      </c>
      <c r="I256" s="11" t="s">
        <v>20</v>
      </c>
      <c r="J256" s="11"/>
      <c r="K256" s="11" t="s">
        <v>48</v>
      </c>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4"/>
    </row>
    <row r="257" spans="1:35" ht="15.75" hidden="1" customHeight="1" x14ac:dyDescent="0.25">
      <c r="A257" s="9">
        <v>9</v>
      </c>
      <c r="B257" s="10" t="s">
        <v>44</v>
      </c>
      <c r="C257" s="10" t="s">
        <v>15</v>
      </c>
      <c r="D257" s="10" t="s">
        <v>16</v>
      </c>
      <c r="E257" s="11" t="s">
        <v>145</v>
      </c>
      <c r="F257" s="11" t="s">
        <v>17</v>
      </c>
      <c r="G257" s="10" t="s">
        <v>18</v>
      </c>
      <c r="H257" s="11" t="s">
        <v>19</v>
      </c>
      <c r="I257" s="11" t="s">
        <v>20</v>
      </c>
      <c r="J257" s="11"/>
      <c r="K257" s="11" t="s">
        <v>48</v>
      </c>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4"/>
    </row>
    <row r="258" spans="1:35" ht="15.75" hidden="1" customHeight="1" x14ac:dyDescent="0.25">
      <c r="A258" s="9">
        <v>10</v>
      </c>
      <c r="B258" s="10" t="s">
        <v>44</v>
      </c>
      <c r="C258" s="10" t="s">
        <v>15</v>
      </c>
      <c r="D258" s="10" t="s">
        <v>16</v>
      </c>
      <c r="E258" s="11" t="s">
        <v>145</v>
      </c>
      <c r="F258" s="11" t="s">
        <v>17</v>
      </c>
      <c r="G258" s="10" t="s">
        <v>18</v>
      </c>
      <c r="H258" s="11" t="s">
        <v>19</v>
      </c>
      <c r="I258" s="11" t="s">
        <v>20</v>
      </c>
      <c r="J258" s="11"/>
      <c r="K258" s="11" t="s">
        <v>48</v>
      </c>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4"/>
    </row>
    <row r="259" spans="1:35" ht="15.75" hidden="1" customHeight="1" x14ac:dyDescent="0.25">
      <c r="A259" s="9">
        <v>11</v>
      </c>
      <c r="B259" s="10" t="s">
        <v>44</v>
      </c>
      <c r="C259" s="10" t="s">
        <v>15</v>
      </c>
      <c r="D259" s="10" t="s">
        <v>16</v>
      </c>
      <c r="E259" s="11" t="s">
        <v>145</v>
      </c>
      <c r="F259" s="11" t="s">
        <v>17</v>
      </c>
      <c r="G259" s="10" t="s">
        <v>18</v>
      </c>
      <c r="H259" s="11" t="s">
        <v>19</v>
      </c>
      <c r="I259" s="11" t="s">
        <v>20</v>
      </c>
      <c r="J259" s="11"/>
      <c r="K259" s="11" t="s">
        <v>48</v>
      </c>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4"/>
    </row>
    <row r="260" spans="1:35" ht="15.75" hidden="1" customHeight="1" x14ac:dyDescent="0.25">
      <c r="A260" s="9">
        <v>12</v>
      </c>
      <c r="B260" s="10" t="s">
        <v>44</v>
      </c>
      <c r="C260" s="10" t="s">
        <v>15</v>
      </c>
      <c r="D260" s="10" t="s">
        <v>16</v>
      </c>
      <c r="E260" s="11" t="s">
        <v>145</v>
      </c>
      <c r="F260" s="11" t="s">
        <v>17</v>
      </c>
      <c r="G260" s="10" t="s">
        <v>18</v>
      </c>
      <c r="H260" s="11" t="s">
        <v>19</v>
      </c>
      <c r="I260" s="11" t="s">
        <v>20</v>
      </c>
      <c r="J260" s="11"/>
      <c r="K260" s="11" t="s">
        <v>48</v>
      </c>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4"/>
    </row>
    <row r="261" spans="1:35" ht="15.75" hidden="1" customHeight="1" x14ac:dyDescent="0.25">
      <c r="A261" s="9">
        <v>13</v>
      </c>
      <c r="B261" s="10" t="s">
        <v>44</v>
      </c>
      <c r="C261" s="10" t="s">
        <v>15</v>
      </c>
      <c r="D261" s="10" t="s">
        <v>16</v>
      </c>
      <c r="E261" s="11" t="s">
        <v>145</v>
      </c>
      <c r="F261" s="11" t="s">
        <v>17</v>
      </c>
      <c r="G261" s="10" t="s">
        <v>24</v>
      </c>
      <c r="H261" s="11" t="s">
        <v>19</v>
      </c>
      <c r="I261" s="11" t="s">
        <v>20</v>
      </c>
      <c r="J261" s="11"/>
      <c r="K261" s="11" t="s">
        <v>48</v>
      </c>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4"/>
    </row>
    <row r="262" spans="1:35" ht="15.75" hidden="1" customHeight="1" x14ac:dyDescent="0.25">
      <c r="A262" s="9">
        <v>14</v>
      </c>
      <c r="B262" s="10" t="s">
        <v>44</v>
      </c>
      <c r="C262" s="10" t="s">
        <v>15</v>
      </c>
      <c r="D262" s="10" t="s">
        <v>16</v>
      </c>
      <c r="E262" s="11" t="s">
        <v>145</v>
      </c>
      <c r="F262" s="11" t="s">
        <v>17</v>
      </c>
      <c r="G262" s="10" t="s">
        <v>24</v>
      </c>
      <c r="H262" s="11" t="s">
        <v>19</v>
      </c>
      <c r="I262" s="11" t="s">
        <v>20</v>
      </c>
      <c r="J262" s="11"/>
      <c r="K262" s="11" t="s">
        <v>48</v>
      </c>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4"/>
    </row>
    <row r="263" spans="1:35" ht="15.75" hidden="1" customHeight="1" x14ac:dyDescent="0.25">
      <c r="A263" s="9">
        <v>15</v>
      </c>
      <c r="B263" s="10" t="s">
        <v>44</v>
      </c>
      <c r="C263" s="10" t="s">
        <v>15</v>
      </c>
      <c r="D263" s="10" t="s">
        <v>16</v>
      </c>
      <c r="E263" s="11" t="s">
        <v>145</v>
      </c>
      <c r="F263" s="11" t="s">
        <v>17</v>
      </c>
      <c r="G263" s="10" t="s">
        <v>24</v>
      </c>
      <c r="H263" s="11" t="s">
        <v>19</v>
      </c>
      <c r="I263" s="11" t="s">
        <v>20</v>
      </c>
      <c r="J263" s="11"/>
      <c r="K263" s="11" t="s">
        <v>48</v>
      </c>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4"/>
    </row>
    <row r="264" spans="1:35" ht="15.75" hidden="1" customHeight="1" x14ac:dyDescent="0.25">
      <c r="A264" s="9">
        <v>16</v>
      </c>
      <c r="B264" s="10" t="s">
        <v>44</v>
      </c>
      <c r="C264" s="10" t="s">
        <v>15</v>
      </c>
      <c r="D264" s="10" t="s">
        <v>16</v>
      </c>
      <c r="E264" s="11" t="s">
        <v>145</v>
      </c>
      <c r="F264" s="11" t="s">
        <v>17</v>
      </c>
      <c r="G264" s="10" t="s">
        <v>24</v>
      </c>
      <c r="H264" s="11" t="s">
        <v>19</v>
      </c>
      <c r="I264" s="11" t="s">
        <v>20</v>
      </c>
      <c r="J264" s="11"/>
      <c r="K264" s="11" t="s">
        <v>48</v>
      </c>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4"/>
    </row>
    <row r="265" spans="1:35" ht="15.75" hidden="1" customHeight="1" x14ac:dyDescent="0.25">
      <c r="A265" s="9">
        <v>17</v>
      </c>
      <c r="B265" s="10" t="s">
        <v>44</v>
      </c>
      <c r="C265" s="10" t="s">
        <v>15</v>
      </c>
      <c r="D265" s="10" t="s">
        <v>16</v>
      </c>
      <c r="E265" s="11" t="s">
        <v>145</v>
      </c>
      <c r="F265" s="11" t="s">
        <v>17</v>
      </c>
      <c r="G265" s="10" t="s">
        <v>24</v>
      </c>
      <c r="H265" s="11" t="s">
        <v>19</v>
      </c>
      <c r="I265" s="11" t="s">
        <v>20</v>
      </c>
      <c r="J265" s="11"/>
      <c r="K265" s="11" t="s">
        <v>48</v>
      </c>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4"/>
    </row>
    <row r="266" spans="1:35" ht="15.75" hidden="1" customHeight="1" x14ac:dyDescent="0.25">
      <c r="A266" s="9">
        <v>18</v>
      </c>
      <c r="B266" s="10" t="s">
        <v>44</v>
      </c>
      <c r="C266" s="10" t="s">
        <v>15</v>
      </c>
      <c r="D266" s="10" t="s">
        <v>37</v>
      </c>
      <c r="E266" s="11" t="s">
        <v>145</v>
      </c>
      <c r="F266" s="11" t="s">
        <v>17</v>
      </c>
      <c r="G266" s="10" t="s">
        <v>18</v>
      </c>
      <c r="H266" s="11" t="s">
        <v>19</v>
      </c>
      <c r="I266" s="11" t="s">
        <v>20</v>
      </c>
      <c r="J266" s="11"/>
      <c r="K266" s="11" t="s">
        <v>48</v>
      </c>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4"/>
    </row>
    <row r="267" spans="1:35" ht="15.75" hidden="1" customHeight="1" x14ac:dyDescent="0.25">
      <c r="A267" s="9">
        <v>19</v>
      </c>
      <c r="B267" s="10" t="s">
        <v>44</v>
      </c>
      <c r="C267" s="10" t="s">
        <v>15</v>
      </c>
      <c r="D267" s="10" t="s">
        <v>37</v>
      </c>
      <c r="E267" s="11" t="s">
        <v>145</v>
      </c>
      <c r="F267" s="11" t="s">
        <v>17</v>
      </c>
      <c r="G267" s="10" t="s">
        <v>18</v>
      </c>
      <c r="H267" s="11" t="s">
        <v>19</v>
      </c>
      <c r="I267" s="11" t="s">
        <v>20</v>
      </c>
      <c r="J267" s="11"/>
      <c r="K267" s="11" t="s">
        <v>48</v>
      </c>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4"/>
    </row>
    <row r="268" spans="1:35" ht="15.75" hidden="1" customHeight="1" x14ac:dyDescent="0.25">
      <c r="A268" s="9">
        <v>20</v>
      </c>
      <c r="B268" s="10" t="s">
        <v>44</v>
      </c>
      <c r="C268" s="10" t="s">
        <v>15</v>
      </c>
      <c r="D268" s="10" t="s">
        <v>37</v>
      </c>
      <c r="E268" s="11" t="s">
        <v>145</v>
      </c>
      <c r="F268" s="11" t="s">
        <v>17</v>
      </c>
      <c r="G268" s="10" t="s">
        <v>18</v>
      </c>
      <c r="H268" s="11" t="s">
        <v>19</v>
      </c>
      <c r="I268" s="11" t="s">
        <v>20</v>
      </c>
      <c r="J268" s="11"/>
      <c r="K268" s="11" t="s">
        <v>48</v>
      </c>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4"/>
    </row>
    <row r="269" spans="1:35" ht="15.75" hidden="1" customHeight="1" x14ac:dyDescent="0.25">
      <c r="A269" s="9">
        <v>21</v>
      </c>
      <c r="B269" s="10" t="s">
        <v>44</v>
      </c>
      <c r="C269" s="10" t="s">
        <v>15</v>
      </c>
      <c r="D269" s="10" t="s">
        <v>37</v>
      </c>
      <c r="E269" s="11" t="s">
        <v>145</v>
      </c>
      <c r="F269" s="11" t="s">
        <v>17</v>
      </c>
      <c r="G269" s="10" t="s">
        <v>18</v>
      </c>
      <c r="H269" s="11" t="s">
        <v>19</v>
      </c>
      <c r="I269" s="11" t="s">
        <v>20</v>
      </c>
      <c r="J269" s="11"/>
      <c r="K269" s="11" t="s">
        <v>48</v>
      </c>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4"/>
    </row>
    <row r="270" spans="1:35" ht="15.75" hidden="1" customHeight="1" x14ac:dyDescent="0.25">
      <c r="A270" s="9">
        <v>22</v>
      </c>
      <c r="B270" s="10" t="s">
        <v>44</v>
      </c>
      <c r="C270" s="10" t="s">
        <v>15</v>
      </c>
      <c r="D270" s="10" t="s">
        <v>37</v>
      </c>
      <c r="E270" s="11" t="s">
        <v>145</v>
      </c>
      <c r="F270" s="11" t="s">
        <v>17</v>
      </c>
      <c r="G270" s="10" t="s">
        <v>24</v>
      </c>
      <c r="H270" s="11" t="s">
        <v>19</v>
      </c>
      <c r="I270" s="11" t="s">
        <v>20</v>
      </c>
      <c r="J270" s="11"/>
      <c r="K270" s="11" t="s">
        <v>48</v>
      </c>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4"/>
    </row>
    <row r="271" spans="1:35" ht="15.75" hidden="1" customHeight="1" x14ac:dyDescent="0.25">
      <c r="A271" s="9">
        <v>23</v>
      </c>
      <c r="B271" s="10" t="s">
        <v>44</v>
      </c>
      <c r="C271" s="10" t="s">
        <v>15</v>
      </c>
      <c r="D271" s="10" t="s">
        <v>37</v>
      </c>
      <c r="E271" s="11" t="s">
        <v>145</v>
      </c>
      <c r="F271" s="11" t="s">
        <v>17</v>
      </c>
      <c r="G271" s="10" t="s">
        <v>24</v>
      </c>
      <c r="H271" s="11" t="s">
        <v>19</v>
      </c>
      <c r="I271" s="11" t="s">
        <v>20</v>
      </c>
      <c r="J271" s="11"/>
      <c r="K271" s="11" t="s">
        <v>48</v>
      </c>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4"/>
    </row>
    <row r="272" spans="1:35" ht="15.75" hidden="1" customHeight="1" x14ac:dyDescent="0.25">
      <c r="A272" s="9">
        <v>24</v>
      </c>
      <c r="B272" s="10" t="s">
        <v>44</v>
      </c>
      <c r="C272" s="10" t="s">
        <v>15</v>
      </c>
      <c r="D272" s="10" t="s">
        <v>37</v>
      </c>
      <c r="E272" s="11" t="s">
        <v>145</v>
      </c>
      <c r="F272" s="11" t="s">
        <v>17</v>
      </c>
      <c r="G272" s="10" t="s">
        <v>24</v>
      </c>
      <c r="H272" s="11" t="s">
        <v>19</v>
      </c>
      <c r="I272" s="11" t="s">
        <v>20</v>
      </c>
      <c r="J272" s="11"/>
      <c r="K272" s="11" t="s">
        <v>48</v>
      </c>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4"/>
    </row>
    <row r="273" spans="1:35" ht="15.75" hidden="1" customHeight="1" x14ac:dyDescent="0.25">
      <c r="A273" s="9">
        <v>25</v>
      </c>
      <c r="B273" s="10" t="s">
        <v>44</v>
      </c>
      <c r="C273" s="10" t="s">
        <v>15</v>
      </c>
      <c r="D273" s="10" t="s">
        <v>37</v>
      </c>
      <c r="E273" s="11" t="s">
        <v>145</v>
      </c>
      <c r="F273" s="11" t="s">
        <v>17</v>
      </c>
      <c r="G273" s="10" t="s">
        <v>24</v>
      </c>
      <c r="H273" s="11" t="s">
        <v>19</v>
      </c>
      <c r="I273" s="11" t="s">
        <v>20</v>
      </c>
      <c r="J273" s="11"/>
      <c r="K273" s="11" t="s">
        <v>48</v>
      </c>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4"/>
    </row>
    <row r="274" spans="1:35" ht="15.75" hidden="1" customHeight="1" x14ac:dyDescent="0.25">
      <c r="A274" s="9">
        <v>1</v>
      </c>
      <c r="B274" s="10" t="s">
        <v>44</v>
      </c>
      <c r="C274" s="10" t="s">
        <v>15</v>
      </c>
      <c r="D274" s="10" t="s">
        <v>45</v>
      </c>
      <c r="E274" s="11" t="s">
        <v>146</v>
      </c>
      <c r="F274" s="11" t="s">
        <v>17</v>
      </c>
      <c r="G274" s="10" t="s">
        <v>18</v>
      </c>
      <c r="H274" s="11" t="s">
        <v>19</v>
      </c>
      <c r="I274" s="11" t="s">
        <v>20</v>
      </c>
      <c r="J274" s="11"/>
      <c r="K274" s="11" t="s">
        <v>49</v>
      </c>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4"/>
    </row>
    <row r="275" spans="1:35" ht="15.75" hidden="1" customHeight="1" x14ac:dyDescent="0.25">
      <c r="A275" s="9">
        <v>2</v>
      </c>
      <c r="B275" s="10" t="s">
        <v>44</v>
      </c>
      <c r="C275" s="10" t="s">
        <v>15</v>
      </c>
      <c r="D275" s="10" t="s">
        <v>45</v>
      </c>
      <c r="E275" s="11" t="s">
        <v>146</v>
      </c>
      <c r="F275" s="11" t="s">
        <v>17</v>
      </c>
      <c r="G275" s="10" t="s">
        <v>18</v>
      </c>
      <c r="H275" s="11" t="s">
        <v>19</v>
      </c>
      <c r="I275" s="11" t="s">
        <v>20</v>
      </c>
      <c r="J275" s="11"/>
      <c r="K275" s="11" t="s">
        <v>49</v>
      </c>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4"/>
    </row>
    <row r="276" spans="1:35" ht="15.75" hidden="1" customHeight="1" x14ac:dyDescent="0.25">
      <c r="A276" s="9">
        <v>3</v>
      </c>
      <c r="B276" s="10" t="s">
        <v>44</v>
      </c>
      <c r="C276" s="10" t="s">
        <v>15</v>
      </c>
      <c r="D276" s="10" t="s">
        <v>45</v>
      </c>
      <c r="E276" s="11" t="s">
        <v>146</v>
      </c>
      <c r="F276" s="11" t="s">
        <v>17</v>
      </c>
      <c r="G276" s="10" t="s">
        <v>18</v>
      </c>
      <c r="H276" s="11" t="s">
        <v>19</v>
      </c>
      <c r="I276" s="11" t="s">
        <v>20</v>
      </c>
      <c r="J276" s="11"/>
      <c r="K276" s="11" t="s">
        <v>49</v>
      </c>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4"/>
    </row>
    <row r="277" spans="1:35" ht="15.75" hidden="1" customHeight="1" x14ac:dyDescent="0.25">
      <c r="A277" s="9">
        <v>4</v>
      </c>
      <c r="B277" s="10" t="s">
        <v>44</v>
      </c>
      <c r="C277" s="10" t="s">
        <v>15</v>
      </c>
      <c r="D277" s="10" t="s">
        <v>45</v>
      </c>
      <c r="E277" s="11" t="s">
        <v>146</v>
      </c>
      <c r="F277" s="11" t="s">
        <v>17</v>
      </c>
      <c r="G277" s="10" t="s">
        <v>18</v>
      </c>
      <c r="H277" s="11" t="s">
        <v>19</v>
      </c>
      <c r="I277" s="11" t="s">
        <v>20</v>
      </c>
      <c r="J277" s="11"/>
      <c r="K277" s="11" t="s">
        <v>49</v>
      </c>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4"/>
    </row>
    <row r="278" spans="1:35" ht="15.75" hidden="1" customHeight="1" x14ac:dyDescent="0.25">
      <c r="A278" s="9">
        <v>5</v>
      </c>
      <c r="B278" s="10" t="s">
        <v>44</v>
      </c>
      <c r="C278" s="10" t="s">
        <v>15</v>
      </c>
      <c r="D278" s="10" t="s">
        <v>45</v>
      </c>
      <c r="E278" s="11" t="s">
        <v>146</v>
      </c>
      <c r="F278" s="11" t="s">
        <v>17</v>
      </c>
      <c r="G278" s="10" t="s">
        <v>24</v>
      </c>
      <c r="H278" s="11" t="s">
        <v>19</v>
      </c>
      <c r="I278" s="11" t="s">
        <v>20</v>
      </c>
      <c r="J278" s="11"/>
      <c r="K278" s="11" t="s">
        <v>49</v>
      </c>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4"/>
    </row>
    <row r="279" spans="1:35" ht="15.75" hidden="1" customHeight="1" x14ac:dyDescent="0.25">
      <c r="A279" s="9">
        <v>6</v>
      </c>
      <c r="B279" s="10" t="s">
        <v>44</v>
      </c>
      <c r="C279" s="10" t="s">
        <v>15</v>
      </c>
      <c r="D279" s="10" t="s">
        <v>45</v>
      </c>
      <c r="E279" s="11" t="s">
        <v>146</v>
      </c>
      <c r="F279" s="11" t="s">
        <v>17</v>
      </c>
      <c r="G279" s="10" t="s">
        <v>24</v>
      </c>
      <c r="H279" s="11" t="s">
        <v>19</v>
      </c>
      <c r="I279" s="11" t="s">
        <v>20</v>
      </c>
      <c r="J279" s="11"/>
      <c r="K279" s="11" t="s">
        <v>49</v>
      </c>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4"/>
    </row>
    <row r="280" spans="1:35" ht="15.75" hidden="1" customHeight="1" x14ac:dyDescent="0.25">
      <c r="A280" s="9">
        <v>7</v>
      </c>
      <c r="B280" s="10" t="s">
        <v>44</v>
      </c>
      <c r="C280" s="10" t="s">
        <v>15</v>
      </c>
      <c r="D280" s="10" t="s">
        <v>45</v>
      </c>
      <c r="E280" s="11" t="s">
        <v>146</v>
      </c>
      <c r="F280" s="11" t="s">
        <v>17</v>
      </c>
      <c r="G280" s="10" t="s">
        <v>24</v>
      </c>
      <c r="H280" s="11" t="s">
        <v>19</v>
      </c>
      <c r="I280" s="11" t="s">
        <v>20</v>
      </c>
      <c r="J280" s="11"/>
      <c r="K280" s="11" t="s">
        <v>49</v>
      </c>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4"/>
    </row>
    <row r="281" spans="1:35" ht="15.75" hidden="1" customHeight="1" x14ac:dyDescent="0.25">
      <c r="A281" s="9">
        <v>8</v>
      </c>
      <c r="B281" s="10" t="s">
        <v>44</v>
      </c>
      <c r="C281" s="10" t="s">
        <v>15</v>
      </c>
      <c r="D281" s="10" t="s">
        <v>16</v>
      </c>
      <c r="E281" s="11" t="s">
        <v>146</v>
      </c>
      <c r="F281" s="11" t="s">
        <v>17</v>
      </c>
      <c r="G281" s="10" t="s">
        <v>18</v>
      </c>
      <c r="H281" s="11" t="s">
        <v>19</v>
      </c>
      <c r="I281" s="11" t="s">
        <v>20</v>
      </c>
      <c r="J281" s="11"/>
      <c r="K281" s="11" t="s">
        <v>49</v>
      </c>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4"/>
    </row>
    <row r="282" spans="1:35" ht="15.75" hidden="1" customHeight="1" x14ac:dyDescent="0.25">
      <c r="A282" s="9">
        <v>9</v>
      </c>
      <c r="B282" s="10" t="s">
        <v>44</v>
      </c>
      <c r="C282" s="10" t="s">
        <v>15</v>
      </c>
      <c r="D282" s="10" t="s">
        <v>16</v>
      </c>
      <c r="E282" s="11" t="s">
        <v>146</v>
      </c>
      <c r="F282" s="11" t="s">
        <v>17</v>
      </c>
      <c r="G282" s="10" t="s">
        <v>18</v>
      </c>
      <c r="H282" s="11" t="s">
        <v>19</v>
      </c>
      <c r="I282" s="11" t="s">
        <v>20</v>
      </c>
      <c r="J282" s="11"/>
      <c r="K282" s="11" t="s">
        <v>49</v>
      </c>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4"/>
    </row>
    <row r="283" spans="1:35" ht="15.75" hidden="1" customHeight="1" x14ac:dyDescent="0.25">
      <c r="A283" s="9">
        <v>10</v>
      </c>
      <c r="B283" s="10" t="s">
        <v>44</v>
      </c>
      <c r="C283" s="10" t="s">
        <v>15</v>
      </c>
      <c r="D283" s="10" t="s">
        <v>16</v>
      </c>
      <c r="E283" s="11" t="s">
        <v>146</v>
      </c>
      <c r="F283" s="11" t="s">
        <v>17</v>
      </c>
      <c r="G283" s="10" t="s">
        <v>24</v>
      </c>
      <c r="H283" s="11" t="s">
        <v>19</v>
      </c>
      <c r="I283" s="11" t="s">
        <v>20</v>
      </c>
      <c r="J283" s="11"/>
      <c r="K283" s="11" t="s">
        <v>49</v>
      </c>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4"/>
    </row>
    <row r="284" spans="1:35" ht="15.75" hidden="1" customHeight="1" x14ac:dyDescent="0.25">
      <c r="A284" s="9">
        <v>11</v>
      </c>
      <c r="B284" s="10" t="s">
        <v>44</v>
      </c>
      <c r="C284" s="10" t="s">
        <v>15</v>
      </c>
      <c r="D284" s="10" t="s">
        <v>16</v>
      </c>
      <c r="E284" s="11" t="s">
        <v>146</v>
      </c>
      <c r="F284" s="11" t="s">
        <v>17</v>
      </c>
      <c r="G284" s="10" t="s">
        <v>24</v>
      </c>
      <c r="H284" s="11" t="s">
        <v>19</v>
      </c>
      <c r="I284" s="11" t="s">
        <v>20</v>
      </c>
      <c r="J284" s="11"/>
      <c r="K284" s="11" t="s">
        <v>49</v>
      </c>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4"/>
    </row>
    <row r="285" spans="1:35" ht="15.75" hidden="1" customHeight="1" x14ac:dyDescent="0.25">
      <c r="A285" s="9">
        <v>12</v>
      </c>
      <c r="B285" s="10" t="s">
        <v>44</v>
      </c>
      <c r="C285" s="10" t="s">
        <v>15</v>
      </c>
      <c r="D285" s="10" t="s">
        <v>37</v>
      </c>
      <c r="E285" s="11" t="s">
        <v>146</v>
      </c>
      <c r="F285" s="11" t="s">
        <v>17</v>
      </c>
      <c r="G285" s="10" t="s">
        <v>18</v>
      </c>
      <c r="H285" s="11" t="s">
        <v>19</v>
      </c>
      <c r="I285" s="11" t="s">
        <v>20</v>
      </c>
      <c r="J285" s="11"/>
      <c r="K285" s="11" t="s">
        <v>49</v>
      </c>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4"/>
    </row>
    <row r="286" spans="1:35" ht="15.75" hidden="1" customHeight="1" x14ac:dyDescent="0.25">
      <c r="A286" s="9">
        <v>13</v>
      </c>
      <c r="B286" s="10" t="s">
        <v>44</v>
      </c>
      <c r="C286" s="10" t="s">
        <v>15</v>
      </c>
      <c r="D286" s="10" t="s">
        <v>37</v>
      </c>
      <c r="E286" s="11" t="s">
        <v>146</v>
      </c>
      <c r="F286" s="11" t="s">
        <v>17</v>
      </c>
      <c r="G286" s="10" t="s">
        <v>18</v>
      </c>
      <c r="H286" s="11" t="s">
        <v>19</v>
      </c>
      <c r="I286" s="11" t="s">
        <v>20</v>
      </c>
      <c r="J286" s="11"/>
      <c r="K286" s="11" t="s">
        <v>49</v>
      </c>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4"/>
    </row>
    <row r="287" spans="1:35" ht="15.75" hidden="1" customHeight="1" x14ac:dyDescent="0.25">
      <c r="A287" s="9">
        <v>14</v>
      </c>
      <c r="B287" s="10" t="s">
        <v>44</v>
      </c>
      <c r="C287" s="10" t="s">
        <v>15</v>
      </c>
      <c r="D287" s="10" t="s">
        <v>37</v>
      </c>
      <c r="E287" s="11" t="s">
        <v>146</v>
      </c>
      <c r="F287" s="11" t="s">
        <v>17</v>
      </c>
      <c r="G287" s="10" t="s">
        <v>24</v>
      </c>
      <c r="H287" s="11" t="s">
        <v>19</v>
      </c>
      <c r="I287" s="11" t="s">
        <v>20</v>
      </c>
      <c r="J287" s="11"/>
      <c r="K287" s="11" t="s">
        <v>49</v>
      </c>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4"/>
    </row>
    <row r="288" spans="1:35" ht="15.75" hidden="1" customHeight="1" x14ac:dyDescent="0.25">
      <c r="A288" s="9">
        <v>15</v>
      </c>
      <c r="B288" s="10" t="s">
        <v>44</v>
      </c>
      <c r="C288" s="10" t="s">
        <v>15</v>
      </c>
      <c r="D288" s="10" t="s">
        <v>37</v>
      </c>
      <c r="E288" s="11" t="s">
        <v>146</v>
      </c>
      <c r="F288" s="11" t="s">
        <v>17</v>
      </c>
      <c r="G288" s="10" t="s">
        <v>24</v>
      </c>
      <c r="H288" s="11" t="s">
        <v>19</v>
      </c>
      <c r="I288" s="11" t="s">
        <v>20</v>
      </c>
      <c r="J288" s="11"/>
      <c r="K288" s="11" t="s">
        <v>49</v>
      </c>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4"/>
    </row>
    <row r="289" spans="1:35" ht="15.75" hidden="1" customHeight="1" x14ac:dyDescent="0.25">
      <c r="A289" s="9">
        <v>1</v>
      </c>
      <c r="B289" s="10" t="s">
        <v>44</v>
      </c>
      <c r="C289" s="10" t="s">
        <v>15</v>
      </c>
      <c r="D289" s="10" t="s">
        <v>45</v>
      </c>
      <c r="E289" s="11" t="s">
        <v>147</v>
      </c>
      <c r="F289" s="11" t="s">
        <v>17</v>
      </c>
      <c r="G289" s="10" t="s">
        <v>18</v>
      </c>
      <c r="H289" s="11" t="s">
        <v>19</v>
      </c>
      <c r="I289" s="11" t="s">
        <v>20</v>
      </c>
      <c r="J289" s="11"/>
      <c r="K289" s="11" t="s">
        <v>50</v>
      </c>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4"/>
    </row>
    <row r="290" spans="1:35" ht="15.75" hidden="1" customHeight="1" x14ac:dyDescent="0.25">
      <c r="A290" s="9">
        <v>2</v>
      </c>
      <c r="B290" s="10" t="s">
        <v>44</v>
      </c>
      <c r="C290" s="10" t="s">
        <v>15</v>
      </c>
      <c r="D290" s="10" t="s">
        <v>45</v>
      </c>
      <c r="E290" s="11" t="s">
        <v>147</v>
      </c>
      <c r="F290" s="11" t="s">
        <v>17</v>
      </c>
      <c r="G290" s="10" t="s">
        <v>18</v>
      </c>
      <c r="H290" s="11" t="s">
        <v>19</v>
      </c>
      <c r="I290" s="11" t="s">
        <v>20</v>
      </c>
      <c r="J290" s="11"/>
      <c r="K290" s="11" t="s">
        <v>50</v>
      </c>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4"/>
    </row>
    <row r="291" spans="1:35" ht="15.75" hidden="1" customHeight="1" x14ac:dyDescent="0.25">
      <c r="A291" s="9">
        <v>3</v>
      </c>
      <c r="B291" s="10" t="s">
        <v>44</v>
      </c>
      <c r="C291" s="10" t="s">
        <v>15</v>
      </c>
      <c r="D291" s="10" t="s">
        <v>16</v>
      </c>
      <c r="E291" s="11" t="s">
        <v>147</v>
      </c>
      <c r="F291" s="11" t="s">
        <v>17</v>
      </c>
      <c r="G291" s="10" t="s">
        <v>24</v>
      </c>
      <c r="H291" s="11" t="s">
        <v>19</v>
      </c>
      <c r="I291" s="11" t="s">
        <v>20</v>
      </c>
      <c r="J291" s="11"/>
      <c r="K291" s="11" t="s">
        <v>50</v>
      </c>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4"/>
    </row>
    <row r="292" spans="1:35" ht="15.75" hidden="1" customHeight="1" x14ac:dyDescent="0.25">
      <c r="A292" s="9">
        <v>4</v>
      </c>
      <c r="B292" s="10" t="s">
        <v>44</v>
      </c>
      <c r="C292" s="10" t="s">
        <v>15</v>
      </c>
      <c r="D292" s="10" t="s">
        <v>37</v>
      </c>
      <c r="E292" s="11" t="s">
        <v>147</v>
      </c>
      <c r="F292" s="11" t="s">
        <v>17</v>
      </c>
      <c r="G292" s="10" t="s">
        <v>24</v>
      </c>
      <c r="H292" s="11" t="s">
        <v>19</v>
      </c>
      <c r="I292" s="11" t="s">
        <v>20</v>
      </c>
      <c r="J292" s="11"/>
      <c r="K292" s="11" t="s">
        <v>50</v>
      </c>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4"/>
    </row>
    <row r="293" spans="1:35" ht="15.75" hidden="1" customHeight="1" x14ac:dyDescent="0.25">
      <c r="A293" s="9">
        <v>1</v>
      </c>
      <c r="B293" s="10" t="s">
        <v>44</v>
      </c>
      <c r="C293" s="10" t="s">
        <v>15</v>
      </c>
      <c r="D293" s="10" t="s">
        <v>45</v>
      </c>
      <c r="E293" s="11" t="s">
        <v>148</v>
      </c>
      <c r="F293" s="11" t="s">
        <v>17</v>
      </c>
      <c r="G293" s="10" t="s">
        <v>24</v>
      </c>
      <c r="H293" s="11" t="s">
        <v>19</v>
      </c>
      <c r="I293" s="11" t="s">
        <v>20</v>
      </c>
      <c r="J293" s="11"/>
      <c r="K293" s="11" t="s">
        <v>51</v>
      </c>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4"/>
    </row>
    <row r="294" spans="1:35" ht="15.75" hidden="1" customHeight="1" x14ac:dyDescent="0.25">
      <c r="A294" s="9">
        <v>3</v>
      </c>
      <c r="B294" s="10" t="s">
        <v>44</v>
      </c>
      <c r="C294" s="10" t="s">
        <v>15</v>
      </c>
      <c r="D294" s="10" t="s">
        <v>37</v>
      </c>
      <c r="E294" s="11" t="s">
        <v>148</v>
      </c>
      <c r="F294" s="11" t="s">
        <v>17</v>
      </c>
      <c r="G294" s="10" t="s">
        <v>18</v>
      </c>
      <c r="H294" s="11" t="s">
        <v>23</v>
      </c>
      <c r="I294" s="11" t="s">
        <v>20</v>
      </c>
      <c r="J294" s="11"/>
      <c r="K294" s="11" t="s">
        <v>51</v>
      </c>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4"/>
    </row>
    <row r="295" spans="1:35" ht="15.75" hidden="1" customHeight="1" x14ac:dyDescent="0.25">
      <c r="A295" s="9">
        <v>1</v>
      </c>
      <c r="B295" s="10" t="s">
        <v>44</v>
      </c>
      <c r="C295" s="10" t="s">
        <v>15</v>
      </c>
      <c r="D295" s="10" t="s">
        <v>45</v>
      </c>
      <c r="E295" s="11" t="s">
        <v>149</v>
      </c>
      <c r="F295" s="11" t="s">
        <v>17</v>
      </c>
      <c r="G295" s="10" t="s">
        <v>18</v>
      </c>
      <c r="H295" s="11" t="s">
        <v>19</v>
      </c>
      <c r="I295" s="11" t="s">
        <v>20</v>
      </c>
      <c r="J295" s="11"/>
      <c r="K295" s="11" t="s">
        <v>52</v>
      </c>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4"/>
    </row>
    <row r="296" spans="1:35" ht="15.75" hidden="1" customHeight="1" x14ac:dyDescent="0.25">
      <c r="A296" s="9">
        <v>2</v>
      </c>
      <c r="B296" s="10" t="s">
        <v>44</v>
      </c>
      <c r="C296" s="10" t="s">
        <v>15</v>
      </c>
      <c r="D296" s="10" t="s">
        <v>45</v>
      </c>
      <c r="E296" s="11" t="s">
        <v>149</v>
      </c>
      <c r="F296" s="11" t="s">
        <v>17</v>
      </c>
      <c r="G296" s="10" t="s">
        <v>18</v>
      </c>
      <c r="H296" s="11" t="s">
        <v>19</v>
      </c>
      <c r="I296" s="11" t="s">
        <v>20</v>
      </c>
      <c r="J296" s="11"/>
      <c r="K296" s="11" t="s">
        <v>52</v>
      </c>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4"/>
    </row>
    <row r="297" spans="1:35" ht="15.75" hidden="1" customHeight="1" x14ac:dyDescent="0.25">
      <c r="A297" s="9">
        <v>3</v>
      </c>
      <c r="B297" s="10" t="s">
        <v>44</v>
      </c>
      <c r="C297" s="10" t="s">
        <v>15</v>
      </c>
      <c r="D297" s="10" t="s">
        <v>45</v>
      </c>
      <c r="E297" s="11" t="s">
        <v>149</v>
      </c>
      <c r="F297" s="11" t="s">
        <v>17</v>
      </c>
      <c r="G297" s="10" t="s">
        <v>18</v>
      </c>
      <c r="H297" s="11" t="s">
        <v>19</v>
      </c>
      <c r="I297" s="11" t="s">
        <v>20</v>
      </c>
      <c r="J297" s="11"/>
      <c r="K297" s="11" t="s">
        <v>52</v>
      </c>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4"/>
    </row>
    <row r="298" spans="1:35" ht="15.75" hidden="1" customHeight="1" x14ac:dyDescent="0.25">
      <c r="A298" s="9">
        <v>4</v>
      </c>
      <c r="B298" s="10" t="s">
        <v>44</v>
      </c>
      <c r="C298" s="10" t="s">
        <v>15</v>
      </c>
      <c r="D298" s="10" t="s">
        <v>45</v>
      </c>
      <c r="E298" s="11" t="s">
        <v>149</v>
      </c>
      <c r="F298" s="11" t="s">
        <v>17</v>
      </c>
      <c r="G298" s="10" t="s">
        <v>18</v>
      </c>
      <c r="H298" s="11" t="s">
        <v>19</v>
      </c>
      <c r="I298" s="11" t="s">
        <v>20</v>
      </c>
      <c r="J298" s="11"/>
      <c r="K298" s="11" t="s">
        <v>52</v>
      </c>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4"/>
    </row>
    <row r="299" spans="1:35" ht="15.75" hidden="1" customHeight="1" x14ac:dyDescent="0.25">
      <c r="A299" s="9">
        <v>5</v>
      </c>
      <c r="B299" s="10" t="s">
        <v>44</v>
      </c>
      <c r="C299" s="10" t="s">
        <v>15</v>
      </c>
      <c r="D299" s="10" t="s">
        <v>45</v>
      </c>
      <c r="E299" s="11" t="s">
        <v>149</v>
      </c>
      <c r="F299" s="11" t="s">
        <v>17</v>
      </c>
      <c r="G299" s="10" t="s">
        <v>18</v>
      </c>
      <c r="H299" s="11" t="s">
        <v>19</v>
      </c>
      <c r="I299" s="11" t="s">
        <v>20</v>
      </c>
      <c r="J299" s="11"/>
      <c r="K299" s="11" t="s">
        <v>52</v>
      </c>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4"/>
    </row>
    <row r="300" spans="1:35" ht="15.75" hidden="1" customHeight="1" x14ac:dyDescent="0.25">
      <c r="A300" s="9">
        <v>6</v>
      </c>
      <c r="B300" s="10" t="s">
        <v>44</v>
      </c>
      <c r="C300" s="10" t="s">
        <v>15</v>
      </c>
      <c r="D300" s="10" t="s">
        <v>45</v>
      </c>
      <c r="E300" s="11" t="s">
        <v>149</v>
      </c>
      <c r="F300" s="11" t="s">
        <v>17</v>
      </c>
      <c r="G300" s="10" t="s">
        <v>24</v>
      </c>
      <c r="H300" s="11" t="s">
        <v>19</v>
      </c>
      <c r="I300" s="11" t="s">
        <v>20</v>
      </c>
      <c r="J300" s="11"/>
      <c r="K300" s="11" t="s">
        <v>52</v>
      </c>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4"/>
    </row>
    <row r="301" spans="1:35" ht="15.75" hidden="1" customHeight="1" x14ac:dyDescent="0.25">
      <c r="A301" s="9">
        <v>7</v>
      </c>
      <c r="B301" s="10" t="s">
        <v>44</v>
      </c>
      <c r="C301" s="10" t="s">
        <v>15</v>
      </c>
      <c r="D301" s="10" t="s">
        <v>45</v>
      </c>
      <c r="E301" s="11" t="s">
        <v>149</v>
      </c>
      <c r="F301" s="11" t="s">
        <v>17</v>
      </c>
      <c r="G301" s="10" t="s">
        <v>24</v>
      </c>
      <c r="H301" s="11" t="s">
        <v>19</v>
      </c>
      <c r="I301" s="11" t="s">
        <v>20</v>
      </c>
      <c r="J301" s="11"/>
      <c r="K301" s="11" t="s">
        <v>52</v>
      </c>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4"/>
    </row>
    <row r="302" spans="1:35" ht="15.75" hidden="1" customHeight="1" x14ac:dyDescent="0.25">
      <c r="A302" s="9">
        <v>8</v>
      </c>
      <c r="B302" s="10" t="s">
        <v>44</v>
      </c>
      <c r="C302" s="10" t="s">
        <v>15</v>
      </c>
      <c r="D302" s="10" t="s">
        <v>45</v>
      </c>
      <c r="E302" s="11" t="s">
        <v>149</v>
      </c>
      <c r="F302" s="11" t="s">
        <v>17</v>
      </c>
      <c r="G302" s="10" t="s">
        <v>24</v>
      </c>
      <c r="H302" s="11" t="s">
        <v>19</v>
      </c>
      <c r="I302" s="11" t="s">
        <v>20</v>
      </c>
      <c r="J302" s="11"/>
      <c r="K302" s="11" t="s">
        <v>52</v>
      </c>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4"/>
    </row>
    <row r="303" spans="1:35" ht="15.75" hidden="1" customHeight="1" x14ac:dyDescent="0.25">
      <c r="A303" s="9">
        <v>9</v>
      </c>
      <c r="B303" s="10" t="s">
        <v>44</v>
      </c>
      <c r="C303" s="10" t="s">
        <v>15</v>
      </c>
      <c r="D303" s="10" t="s">
        <v>45</v>
      </c>
      <c r="E303" s="11" t="s">
        <v>149</v>
      </c>
      <c r="F303" s="11" t="s">
        <v>17</v>
      </c>
      <c r="G303" s="10" t="s">
        <v>24</v>
      </c>
      <c r="H303" s="11" t="s">
        <v>19</v>
      </c>
      <c r="I303" s="11" t="s">
        <v>20</v>
      </c>
      <c r="J303" s="11"/>
      <c r="K303" s="11" t="s">
        <v>52</v>
      </c>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4"/>
    </row>
    <row r="304" spans="1:35" ht="15.75" hidden="1" customHeight="1" x14ac:dyDescent="0.25">
      <c r="A304" s="9">
        <v>10</v>
      </c>
      <c r="B304" s="10" t="s">
        <v>44</v>
      </c>
      <c r="C304" s="10" t="s">
        <v>15</v>
      </c>
      <c r="D304" s="10" t="s">
        <v>16</v>
      </c>
      <c r="E304" s="11" t="s">
        <v>149</v>
      </c>
      <c r="F304" s="11" t="s">
        <v>17</v>
      </c>
      <c r="G304" s="10" t="s">
        <v>18</v>
      </c>
      <c r="H304" s="11" t="s">
        <v>19</v>
      </c>
      <c r="I304" s="11" t="s">
        <v>20</v>
      </c>
      <c r="J304" s="11"/>
      <c r="K304" s="11" t="s">
        <v>52</v>
      </c>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4"/>
    </row>
    <row r="305" spans="1:35" ht="15.75" hidden="1" customHeight="1" x14ac:dyDescent="0.25">
      <c r="A305" s="9">
        <v>11</v>
      </c>
      <c r="B305" s="10" t="s">
        <v>44</v>
      </c>
      <c r="C305" s="10" t="s">
        <v>15</v>
      </c>
      <c r="D305" s="10" t="s">
        <v>16</v>
      </c>
      <c r="E305" s="11" t="s">
        <v>149</v>
      </c>
      <c r="F305" s="11" t="s">
        <v>17</v>
      </c>
      <c r="G305" s="10" t="s">
        <v>18</v>
      </c>
      <c r="H305" s="11" t="s">
        <v>19</v>
      </c>
      <c r="I305" s="11" t="s">
        <v>20</v>
      </c>
      <c r="J305" s="11"/>
      <c r="K305" s="11" t="s">
        <v>52</v>
      </c>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4"/>
    </row>
    <row r="306" spans="1:35" ht="15.75" hidden="1" customHeight="1" x14ac:dyDescent="0.25">
      <c r="A306" s="9">
        <v>12</v>
      </c>
      <c r="B306" s="10" t="s">
        <v>44</v>
      </c>
      <c r="C306" s="10" t="s">
        <v>15</v>
      </c>
      <c r="D306" s="10" t="s">
        <v>16</v>
      </c>
      <c r="E306" s="11" t="s">
        <v>149</v>
      </c>
      <c r="F306" s="11" t="s">
        <v>17</v>
      </c>
      <c r="G306" s="10" t="s">
        <v>18</v>
      </c>
      <c r="H306" s="11" t="s">
        <v>19</v>
      </c>
      <c r="I306" s="11" t="s">
        <v>20</v>
      </c>
      <c r="J306" s="11"/>
      <c r="K306" s="11" t="s">
        <v>52</v>
      </c>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4"/>
    </row>
    <row r="307" spans="1:35" ht="15.75" hidden="1" customHeight="1" x14ac:dyDescent="0.25">
      <c r="A307" s="9">
        <v>13</v>
      </c>
      <c r="B307" s="10" t="s">
        <v>44</v>
      </c>
      <c r="C307" s="10" t="s">
        <v>15</v>
      </c>
      <c r="D307" s="10" t="s">
        <v>16</v>
      </c>
      <c r="E307" s="11" t="s">
        <v>149</v>
      </c>
      <c r="F307" s="11" t="s">
        <v>17</v>
      </c>
      <c r="G307" s="10" t="s">
        <v>18</v>
      </c>
      <c r="H307" s="11" t="s">
        <v>19</v>
      </c>
      <c r="I307" s="11" t="s">
        <v>20</v>
      </c>
      <c r="J307" s="11"/>
      <c r="K307" s="11" t="s">
        <v>52</v>
      </c>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4"/>
    </row>
    <row r="308" spans="1:35" ht="15.75" hidden="1" customHeight="1" x14ac:dyDescent="0.25">
      <c r="A308" s="9">
        <v>14</v>
      </c>
      <c r="B308" s="10" t="s">
        <v>44</v>
      </c>
      <c r="C308" s="10" t="s">
        <v>15</v>
      </c>
      <c r="D308" s="10" t="s">
        <v>16</v>
      </c>
      <c r="E308" s="11" t="s">
        <v>149</v>
      </c>
      <c r="F308" s="11" t="s">
        <v>17</v>
      </c>
      <c r="G308" s="10" t="s">
        <v>18</v>
      </c>
      <c r="H308" s="11" t="s">
        <v>19</v>
      </c>
      <c r="I308" s="11" t="s">
        <v>20</v>
      </c>
      <c r="J308" s="11"/>
      <c r="K308" s="11" t="s">
        <v>52</v>
      </c>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4"/>
    </row>
    <row r="309" spans="1:35" ht="15.75" hidden="1" customHeight="1" x14ac:dyDescent="0.25">
      <c r="A309" s="9">
        <v>15</v>
      </c>
      <c r="B309" s="10" t="s">
        <v>44</v>
      </c>
      <c r="C309" s="10" t="s">
        <v>15</v>
      </c>
      <c r="D309" s="10" t="s">
        <v>16</v>
      </c>
      <c r="E309" s="11" t="s">
        <v>149</v>
      </c>
      <c r="F309" s="11" t="s">
        <v>17</v>
      </c>
      <c r="G309" s="10" t="s">
        <v>18</v>
      </c>
      <c r="H309" s="11" t="s">
        <v>19</v>
      </c>
      <c r="I309" s="11" t="s">
        <v>20</v>
      </c>
      <c r="J309" s="11"/>
      <c r="K309" s="11" t="s">
        <v>52</v>
      </c>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4"/>
    </row>
    <row r="310" spans="1:35" ht="15.75" hidden="1" customHeight="1" x14ac:dyDescent="0.25">
      <c r="A310" s="9">
        <v>16</v>
      </c>
      <c r="B310" s="10" t="s">
        <v>44</v>
      </c>
      <c r="C310" s="10" t="s">
        <v>15</v>
      </c>
      <c r="D310" s="10" t="s">
        <v>16</v>
      </c>
      <c r="E310" s="11" t="s">
        <v>149</v>
      </c>
      <c r="F310" s="11" t="s">
        <v>17</v>
      </c>
      <c r="G310" s="10" t="s">
        <v>24</v>
      </c>
      <c r="H310" s="11" t="s">
        <v>19</v>
      </c>
      <c r="I310" s="11" t="s">
        <v>20</v>
      </c>
      <c r="J310" s="11"/>
      <c r="K310" s="11" t="s">
        <v>52</v>
      </c>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4"/>
    </row>
    <row r="311" spans="1:35" ht="15.75" hidden="1" customHeight="1" x14ac:dyDescent="0.25">
      <c r="A311" s="9">
        <v>17</v>
      </c>
      <c r="B311" s="10" t="s">
        <v>44</v>
      </c>
      <c r="C311" s="10" t="s">
        <v>15</v>
      </c>
      <c r="D311" s="10" t="s">
        <v>16</v>
      </c>
      <c r="E311" s="11" t="s">
        <v>149</v>
      </c>
      <c r="F311" s="11" t="s">
        <v>17</v>
      </c>
      <c r="G311" s="10" t="s">
        <v>24</v>
      </c>
      <c r="H311" s="11" t="s">
        <v>19</v>
      </c>
      <c r="I311" s="11" t="s">
        <v>20</v>
      </c>
      <c r="J311" s="11"/>
      <c r="K311" s="11" t="s">
        <v>52</v>
      </c>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4"/>
    </row>
    <row r="312" spans="1:35" ht="15.75" hidden="1" customHeight="1" x14ac:dyDescent="0.25">
      <c r="A312" s="9">
        <v>18</v>
      </c>
      <c r="B312" s="10" t="s">
        <v>44</v>
      </c>
      <c r="C312" s="10" t="s">
        <v>15</v>
      </c>
      <c r="D312" s="10" t="s">
        <v>16</v>
      </c>
      <c r="E312" s="11" t="s">
        <v>149</v>
      </c>
      <c r="F312" s="11" t="s">
        <v>17</v>
      </c>
      <c r="G312" s="10" t="s">
        <v>24</v>
      </c>
      <c r="H312" s="11" t="s">
        <v>19</v>
      </c>
      <c r="I312" s="11" t="s">
        <v>20</v>
      </c>
      <c r="J312" s="11"/>
      <c r="K312" s="11" t="s">
        <v>52</v>
      </c>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4"/>
    </row>
    <row r="313" spans="1:35" ht="15.75" hidden="1" customHeight="1" x14ac:dyDescent="0.25">
      <c r="A313" s="9">
        <v>19</v>
      </c>
      <c r="B313" s="10" t="s">
        <v>44</v>
      </c>
      <c r="C313" s="10" t="s">
        <v>15</v>
      </c>
      <c r="D313" s="10" t="s">
        <v>16</v>
      </c>
      <c r="E313" s="11" t="s">
        <v>149</v>
      </c>
      <c r="F313" s="11" t="s">
        <v>17</v>
      </c>
      <c r="G313" s="10" t="s">
        <v>24</v>
      </c>
      <c r="H313" s="11" t="s">
        <v>19</v>
      </c>
      <c r="I313" s="11" t="s">
        <v>20</v>
      </c>
      <c r="J313" s="11"/>
      <c r="K313" s="11" t="s">
        <v>52</v>
      </c>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4"/>
    </row>
    <row r="314" spans="1:35" ht="15.75" hidden="1" customHeight="1" x14ac:dyDescent="0.25">
      <c r="A314" s="9">
        <v>20</v>
      </c>
      <c r="B314" s="10" t="s">
        <v>44</v>
      </c>
      <c r="C314" s="10" t="s">
        <v>15</v>
      </c>
      <c r="D314" s="10" t="s">
        <v>37</v>
      </c>
      <c r="E314" s="11" t="s">
        <v>149</v>
      </c>
      <c r="F314" s="11" t="s">
        <v>17</v>
      </c>
      <c r="G314" s="10" t="s">
        <v>18</v>
      </c>
      <c r="H314" s="11" t="s">
        <v>19</v>
      </c>
      <c r="I314" s="11" t="s">
        <v>20</v>
      </c>
      <c r="J314" s="11"/>
      <c r="K314" s="11" t="s">
        <v>52</v>
      </c>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4"/>
    </row>
    <row r="315" spans="1:35" ht="15.75" hidden="1" customHeight="1" x14ac:dyDescent="0.25">
      <c r="A315" s="9">
        <v>21</v>
      </c>
      <c r="B315" s="10" t="s">
        <v>44</v>
      </c>
      <c r="C315" s="10" t="s">
        <v>15</v>
      </c>
      <c r="D315" s="10" t="s">
        <v>37</v>
      </c>
      <c r="E315" s="11" t="s">
        <v>149</v>
      </c>
      <c r="F315" s="11" t="s">
        <v>17</v>
      </c>
      <c r="G315" s="10" t="s">
        <v>18</v>
      </c>
      <c r="H315" s="11" t="s">
        <v>19</v>
      </c>
      <c r="I315" s="11" t="s">
        <v>20</v>
      </c>
      <c r="J315" s="11"/>
      <c r="K315" s="11" t="s">
        <v>52</v>
      </c>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4"/>
    </row>
    <row r="316" spans="1:35" ht="15.75" hidden="1" customHeight="1" x14ac:dyDescent="0.25">
      <c r="A316" s="9">
        <v>22</v>
      </c>
      <c r="B316" s="10" t="s">
        <v>44</v>
      </c>
      <c r="C316" s="10" t="s">
        <v>15</v>
      </c>
      <c r="D316" s="10" t="s">
        <v>37</v>
      </c>
      <c r="E316" s="11" t="s">
        <v>149</v>
      </c>
      <c r="F316" s="11" t="s">
        <v>17</v>
      </c>
      <c r="G316" s="10" t="s">
        <v>18</v>
      </c>
      <c r="H316" s="11" t="s">
        <v>19</v>
      </c>
      <c r="I316" s="11" t="s">
        <v>20</v>
      </c>
      <c r="J316" s="11"/>
      <c r="K316" s="11" t="s">
        <v>52</v>
      </c>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4"/>
    </row>
    <row r="317" spans="1:35" ht="15.75" hidden="1" customHeight="1" x14ac:dyDescent="0.25">
      <c r="A317" s="9">
        <v>23</v>
      </c>
      <c r="B317" s="10" t="s">
        <v>44</v>
      </c>
      <c r="C317" s="10" t="s">
        <v>15</v>
      </c>
      <c r="D317" s="10" t="s">
        <v>37</v>
      </c>
      <c r="E317" s="11" t="s">
        <v>149</v>
      </c>
      <c r="F317" s="11" t="s">
        <v>17</v>
      </c>
      <c r="G317" s="10" t="s">
        <v>18</v>
      </c>
      <c r="H317" s="11" t="s">
        <v>19</v>
      </c>
      <c r="I317" s="11" t="s">
        <v>20</v>
      </c>
      <c r="J317" s="11"/>
      <c r="K317" s="11" t="s">
        <v>52</v>
      </c>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4"/>
    </row>
    <row r="318" spans="1:35" ht="15.75" hidden="1" customHeight="1" x14ac:dyDescent="0.25">
      <c r="A318" s="9">
        <v>24</v>
      </c>
      <c r="B318" s="10" t="s">
        <v>44</v>
      </c>
      <c r="C318" s="10" t="s">
        <v>15</v>
      </c>
      <c r="D318" s="10" t="s">
        <v>37</v>
      </c>
      <c r="E318" s="11" t="s">
        <v>149</v>
      </c>
      <c r="F318" s="11" t="s">
        <v>17</v>
      </c>
      <c r="G318" s="10" t="s">
        <v>24</v>
      </c>
      <c r="H318" s="11" t="s">
        <v>19</v>
      </c>
      <c r="I318" s="11" t="s">
        <v>20</v>
      </c>
      <c r="J318" s="11"/>
      <c r="K318" s="11" t="s">
        <v>52</v>
      </c>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4"/>
    </row>
    <row r="319" spans="1:35" ht="15.75" hidden="1" customHeight="1" x14ac:dyDescent="0.25">
      <c r="A319" s="9">
        <v>25</v>
      </c>
      <c r="B319" s="10" t="s">
        <v>44</v>
      </c>
      <c r="C319" s="10" t="s">
        <v>15</v>
      </c>
      <c r="D319" s="10" t="s">
        <v>37</v>
      </c>
      <c r="E319" s="11" t="s">
        <v>149</v>
      </c>
      <c r="F319" s="11" t="s">
        <v>17</v>
      </c>
      <c r="G319" s="10" t="s">
        <v>24</v>
      </c>
      <c r="H319" s="11" t="s">
        <v>19</v>
      </c>
      <c r="I319" s="11" t="s">
        <v>20</v>
      </c>
      <c r="J319" s="11"/>
      <c r="K319" s="11" t="s">
        <v>52</v>
      </c>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4"/>
    </row>
    <row r="320" spans="1:35" ht="15.75" hidden="1" customHeight="1" x14ac:dyDescent="0.25">
      <c r="A320" s="9">
        <v>26</v>
      </c>
      <c r="B320" s="10" t="s">
        <v>44</v>
      </c>
      <c r="C320" s="10" t="s">
        <v>15</v>
      </c>
      <c r="D320" s="10" t="s">
        <v>37</v>
      </c>
      <c r="E320" s="11" t="s">
        <v>149</v>
      </c>
      <c r="F320" s="11" t="s">
        <v>17</v>
      </c>
      <c r="G320" s="10" t="s">
        <v>24</v>
      </c>
      <c r="H320" s="11" t="s">
        <v>19</v>
      </c>
      <c r="I320" s="11" t="s">
        <v>20</v>
      </c>
      <c r="J320" s="11"/>
      <c r="K320" s="11" t="s">
        <v>52</v>
      </c>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4"/>
    </row>
    <row r="321" spans="1:35" ht="15.75" hidden="1" customHeight="1" x14ac:dyDescent="0.25">
      <c r="A321" s="9">
        <v>27</v>
      </c>
      <c r="B321" s="10" t="s">
        <v>44</v>
      </c>
      <c r="C321" s="10" t="s">
        <v>15</v>
      </c>
      <c r="D321" s="10" t="s">
        <v>37</v>
      </c>
      <c r="E321" s="11" t="s">
        <v>149</v>
      </c>
      <c r="F321" s="11" t="s">
        <v>17</v>
      </c>
      <c r="G321" s="10" t="s">
        <v>24</v>
      </c>
      <c r="H321" s="11" t="s">
        <v>19</v>
      </c>
      <c r="I321" s="11" t="s">
        <v>20</v>
      </c>
      <c r="J321" s="11"/>
      <c r="K321" s="11" t="s">
        <v>52</v>
      </c>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4"/>
    </row>
    <row r="322" spans="1:35" ht="15.75" hidden="1" customHeight="1" x14ac:dyDescent="0.25">
      <c r="A322" s="9">
        <v>28</v>
      </c>
      <c r="B322" s="10" t="s">
        <v>44</v>
      </c>
      <c r="C322" s="10" t="s">
        <v>15</v>
      </c>
      <c r="D322" s="10" t="s">
        <v>37</v>
      </c>
      <c r="E322" s="11" t="s">
        <v>149</v>
      </c>
      <c r="F322" s="11" t="s">
        <v>17</v>
      </c>
      <c r="G322" s="10" t="s">
        <v>24</v>
      </c>
      <c r="H322" s="11" t="s">
        <v>19</v>
      </c>
      <c r="I322" s="11" t="s">
        <v>20</v>
      </c>
      <c r="J322" s="11"/>
      <c r="K322" s="11" t="s">
        <v>52</v>
      </c>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4"/>
    </row>
    <row r="323" spans="1:35" ht="15.75" hidden="1" customHeight="1" x14ac:dyDescent="0.25">
      <c r="A323" s="9">
        <v>29</v>
      </c>
      <c r="B323" s="10" t="s">
        <v>44</v>
      </c>
      <c r="C323" s="10" t="s">
        <v>15</v>
      </c>
      <c r="D323" s="10" t="s">
        <v>37</v>
      </c>
      <c r="E323" s="11" t="s">
        <v>149</v>
      </c>
      <c r="F323" s="11" t="s">
        <v>17</v>
      </c>
      <c r="G323" s="10" t="s">
        <v>24</v>
      </c>
      <c r="H323" s="11" t="s">
        <v>19</v>
      </c>
      <c r="I323" s="11" t="s">
        <v>20</v>
      </c>
      <c r="J323" s="11"/>
      <c r="K323" s="11" t="s">
        <v>52</v>
      </c>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4"/>
    </row>
    <row r="324" spans="1:35" ht="15.75" hidden="1" customHeight="1" x14ac:dyDescent="0.25">
      <c r="A324" s="9">
        <v>1</v>
      </c>
      <c r="B324" s="10" t="s">
        <v>44</v>
      </c>
      <c r="C324" s="10" t="s">
        <v>15</v>
      </c>
      <c r="D324" s="10" t="s">
        <v>45</v>
      </c>
      <c r="E324" s="11" t="s">
        <v>150</v>
      </c>
      <c r="F324" s="11" t="s">
        <v>17</v>
      </c>
      <c r="G324" s="10" t="s">
        <v>18</v>
      </c>
      <c r="H324" s="11" t="s">
        <v>19</v>
      </c>
      <c r="I324" s="11" t="s">
        <v>20</v>
      </c>
      <c r="J324" s="11"/>
      <c r="K324" s="11" t="s">
        <v>53</v>
      </c>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4"/>
    </row>
    <row r="325" spans="1:35" ht="15.75" hidden="1" customHeight="1" x14ac:dyDescent="0.25">
      <c r="A325" s="9">
        <v>2</v>
      </c>
      <c r="B325" s="10" t="s">
        <v>44</v>
      </c>
      <c r="C325" s="10" t="s">
        <v>15</v>
      </c>
      <c r="D325" s="10" t="s">
        <v>45</v>
      </c>
      <c r="E325" s="11" t="s">
        <v>150</v>
      </c>
      <c r="F325" s="11" t="s">
        <v>17</v>
      </c>
      <c r="G325" s="10" t="s">
        <v>24</v>
      </c>
      <c r="H325" s="11" t="s">
        <v>19</v>
      </c>
      <c r="I325" s="11" t="s">
        <v>20</v>
      </c>
      <c r="J325" s="11"/>
      <c r="K325" s="11" t="s">
        <v>53</v>
      </c>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4"/>
    </row>
    <row r="326" spans="1:35" ht="15.75" hidden="1" customHeight="1" x14ac:dyDescent="0.25">
      <c r="A326" s="9">
        <v>3</v>
      </c>
      <c r="B326" s="10" t="s">
        <v>44</v>
      </c>
      <c r="C326" s="10" t="s">
        <v>15</v>
      </c>
      <c r="D326" s="10" t="s">
        <v>45</v>
      </c>
      <c r="E326" s="11" t="s">
        <v>150</v>
      </c>
      <c r="F326" s="11" t="s">
        <v>17</v>
      </c>
      <c r="G326" s="10" t="s">
        <v>24</v>
      </c>
      <c r="H326" s="11" t="s">
        <v>19</v>
      </c>
      <c r="I326" s="11" t="s">
        <v>20</v>
      </c>
      <c r="J326" s="11"/>
      <c r="K326" s="11" t="s">
        <v>53</v>
      </c>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4"/>
    </row>
    <row r="327" spans="1:35" ht="15.75" hidden="1" customHeight="1" x14ac:dyDescent="0.25">
      <c r="A327" s="9">
        <v>4</v>
      </c>
      <c r="B327" s="10" t="s">
        <v>44</v>
      </c>
      <c r="C327" s="10" t="s">
        <v>15</v>
      </c>
      <c r="D327" s="10" t="s">
        <v>16</v>
      </c>
      <c r="E327" s="11" t="s">
        <v>150</v>
      </c>
      <c r="F327" s="11" t="s">
        <v>17</v>
      </c>
      <c r="G327" s="10" t="s">
        <v>18</v>
      </c>
      <c r="H327" s="11" t="s">
        <v>19</v>
      </c>
      <c r="I327" s="11" t="s">
        <v>20</v>
      </c>
      <c r="J327" s="11"/>
      <c r="K327" s="11" t="s">
        <v>53</v>
      </c>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4"/>
    </row>
    <row r="328" spans="1:35" ht="15.75" hidden="1" customHeight="1" x14ac:dyDescent="0.25">
      <c r="A328" s="9">
        <v>5</v>
      </c>
      <c r="B328" s="10" t="s">
        <v>44</v>
      </c>
      <c r="C328" s="10" t="s">
        <v>15</v>
      </c>
      <c r="D328" s="10" t="s">
        <v>16</v>
      </c>
      <c r="E328" s="11" t="s">
        <v>150</v>
      </c>
      <c r="F328" s="11" t="s">
        <v>17</v>
      </c>
      <c r="G328" s="10" t="s">
        <v>18</v>
      </c>
      <c r="H328" s="11" t="s">
        <v>19</v>
      </c>
      <c r="I328" s="11" t="s">
        <v>20</v>
      </c>
      <c r="J328" s="11"/>
      <c r="K328" s="11" t="s">
        <v>53</v>
      </c>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4"/>
    </row>
    <row r="329" spans="1:35" ht="15.75" hidden="1" customHeight="1" x14ac:dyDescent="0.25">
      <c r="A329" s="9">
        <v>6</v>
      </c>
      <c r="B329" s="10" t="s">
        <v>44</v>
      </c>
      <c r="C329" s="10" t="s">
        <v>15</v>
      </c>
      <c r="D329" s="10" t="s">
        <v>16</v>
      </c>
      <c r="E329" s="11" t="s">
        <v>150</v>
      </c>
      <c r="F329" s="11" t="s">
        <v>17</v>
      </c>
      <c r="G329" s="10" t="s">
        <v>24</v>
      </c>
      <c r="H329" s="11" t="s">
        <v>23</v>
      </c>
      <c r="I329" s="11" t="s">
        <v>20</v>
      </c>
      <c r="J329" s="11"/>
      <c r="K329" s="11" t="s">
        <v>53</v>
      </c>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4"/>
    </row>
    <row r="330" spans="1:35" ht="15.75" hidden="1" customHeight="1" x14ac:dyDescent="0.25">
      <c r="A330" s="9">
        <v>7</v>
      </c>
      <c r="B330" s="10" t="s">
        <v>44</v>
      </c>
      <c r="C330" s="10" t="s">
        <v>15</v>
      </c>
      <c r="D330" s="10" t="s">
        <v>16</v>
      </c>
      <c r="E330" s="11" t="s">
        <v>150</v>
      </c>
      <c r="F330" s="11" t="s">
        <v>17</v>
      </c>
      <c r="G330" s="10" t="s">
        <v>24</v>
      </c>
      <c r="H330" s="11" t="s">
        <v>23</v>
      </c>
      <c r="I330" s="11" t="s">
        <v>20</v>
      </c>
      <c r="J330" s="11"/>
      <c r="K330" s="11" t="s">
        <v>53</v>
      </c>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4"/>
    </row>
    <row r="331" spans="1:35" ht="15.75" hidden="1" customHeight="1" x14ac:dyDescent="0.25">
      <c r="A331" s="9">
        <v>8</v>
      </c>
      <c r="B331" s="10" t="s">
        <v>44</v>
      </c>
      <c r="C331" s="10" t="s">
        <v>15</v>
      </c>
      <c r="D331" s="10" t="s">
        <v>37</v>
      </c>
      <c r="E331" s="11" t="s">
        <v>150</v>
      </c>
      <c r="F331" s="11" t="s">
        <v>17</v>
      </c>
      <c r="G331" s="10" t="s">
        <v>18</v>
      </c>
      <c r="H331" s="11" t="s">
        <v>23</v>
      </c>
      <c r="I331" s="11" t="s">
        <v>20</v>
      </c>
      <c r="J331" s="11"/>
      <c r="K331" s="11" t="s">
        <v>53</v>
      </c>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4"/>
    </row>
    <row r="332" spans="1:35" ht="15.75" hidden="1" customHeight="1" x14ac:dyDescent="0.25">
      <c r="A332" s="9">
        <v>9</v>
      </c>
      <c r="B332" s="10" t="s">
        <v>44</v>
      </c>
      <c r="C332" s="10" t="s">
        <v>15</v>
      </c>
      <c r="D332" s="10" t="s">
        <v>37</v>
      </c>
      <c r="E332" s="11" t="s">
        <v>150</v>
      </c>
      <c r="F332" s="11" t="s">
        <v>17</v>
      </c>
      <c r="G332" s="10" t="s">
        <v>18</v>
      </c>
      <c r="H332" s="11" t="s">
        <v>23</v>
      </c>
      <c r="I332" s="11" t="s">
        <v>20</v>
      </c>
      <c r="J332" s="11"/>
      <c r="K332" s="11" t="s">
        <v>53</v>
      </c>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4"/>
    </row>
    <row r="333" spans="1:35" ht="15.75" hidden="1" customHeight="1" x14ac:dyDescent="0.25">
      <c r="A333" s="9">
        <v>10</v>
      </c>
      <c r="B333" s="10" t="s">
        <v>44</v>
      </c>
      <c r="C333" s="10" t="s">
        <v>15</v>
      </c>
      <c r="D333" s="10" t="s">
        <v>37</v>
      </c>
      <c r="E333" s="11" t="s">
        <v>150</v>
      </c>
      <c r="F333" s="11" t="s">
        <v>17</v>
      </c>
      <c r="G333" s="10" t="s">
        <v>24</v>
      </c>
      <c r="H333" s="11" t="s">
        <v>23</v>
      </c>
      <c r="I333" s="11" t="s">
        <v>20</v>
      </c>
      <c r="J333" s="11"/>
      <c r="K333" s="11" t="s">
        <v>53</v>
      </c>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4"/>
    </row>
    <row r="334" spans="1:35" ht="15.75" hidden="1" customHeight="1" x14ac:dyDescent="0.25">
      <c r="A334" s="9">
        <v>11</v>
      </c>
      <c r="B334" s="10" t="s">
        <v>44</v>
      </c>
      <c r="C334" s="10" t="s">
        <v>15</v>
      </c>
      <c r="D334" s="10" t="s">
        <v>37</v>
      </c>
      <c r="E334" s="11" t="s">
        <v>150</v>
      </c>
      <c r="F334" s="11" t="s">
        <v>17</v>
      </c>
      <c r="G334" s="10" t="s">
        <v>24</v>
      </c>
      <c r="H334" s="11" t="s">
        <v>19</v>
      </c>
      <c r="I334" s="11" t="s">
        <v>20</v>
      </c>
      <c r="J334" s="11"/>
      <c r="K334" s="11" t="s">
        <v>53</v>
      </c>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4"/>
    </row>
    <row r="335" spans="1:35" ht="15.75" hidden="1" customHeight="1" x14ac:dyDescent="0.25">
      <c r="A335" s="9">
        <v>1</v>
      </c>
      <c r="B335" s="10" t="s">
        <v>54</v>
      </c>
      <c r="C335" s="10" t="s">
        <v>41</v>
      </c>
      <c r="D335" s="10" t="s">
        <v>42</v>
      </c>
      <c r="E335" s="11" t="s">
        <v>151</v>
      </c>
      <c r="F335" s="11" t="s">
        <v>17</v>
      </c>
      <c r="G335" s="10" t="s">
        <v>24</v>
      </c>
      <c r="H335" s="11" t="s">
        <v>19</v>
      </c>
      <c r="I335" s="11" t="s">
        <v>20</v>
      </c>
      <c r="J335" s="11"/>
      <c r="K335" s="11" t="s">
        <v>55</v>
      </c>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4"/>
    </row>
    <row r="336" spans="1:35" ht="15.75" hidden="1" customHeight="1" x14ac:dyDescent="0.25">
      <c r="A336" s="9">
        <v>5</v>
      </c>
      <c r="B336" s="10" t="s">
        <v>54</v>
      </c>
      <c r="C336" s="10" t="s">
        <v>41</v>
      </c>
      <c r="D336" s="10" t="s">
        <v>42</v>
      </c>
      <c r="E336" s="11" t="s">
        <v>151</v>
      </c>
      <c r="F336" s="11" t="s">
        <v>17</v>
      </c>
      <c r="G336" s="10" t="s">
        <v>24</v>
      </c>
      <c r="H336" s="11" t="s">
        <v>19</v>
      </c>
      <c r="I336" s="11" t="s">
        <v>20</v>
      </c>
      <c r="J336" s="11"/>
      <c r="K336" s="11" t="s">
        <v>55</v>
      </c>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4"/>
    </row>
    <row r="337" spans="1:35" ht="15.75" hidden="1" customHeight="1" x14ac:dyDescent="0.25">
      <c r="A337" s="9">
        <v>6</v>
      </c>
      <c r="B337" s="10" t="s">
        <v>54</v>
      </c>
      <c r="C337" s="10" t="s">
        <v>41</v>
      </c>
      <c r="D337" s="10" t="s">
        <v>42</v>
      </c>
      <c r="E337" s="11" t="s">
        <v>151</v>
      </c>
      <c r="F337" s="11" t="s">
        <v>17</v>
      </c>
      <c r="G337" s="10" t="s">
        <v>18</v>
      </c>
      <c r="H337" s="11" t="s">
        <v>19</v>
      </c>
      <c r="I337" s="11" t="s">
        <v>20</v>
      </c>
      <c r="J337" s="11"/>
      <c r="K337" s="11" t="s">
        <v>55</v>
      </c>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4"/>
    </row>
    <row r="338" spans="1:35" ht="15.75" hidden="1" customHeight="1" x14ac:dyDescent="0.25">
      <c r="A338" s="9">
        <v>7</v>
      </c>
      <c r="B338" s="10" t="s">
        <v>54</v>
      </c>
      <c r="C338" s="10" t="s">
        <v>41</v>
      </c>
      <c r="D338" s="10" t="s">
        <v>42</v>
      </c>
      <c r="E338" s="11" t="s">
        <v>151</v>
      </c>
      <c r="F338" s="11" t="s">
        <v>17</v>
      </c>
      <c r="G338" s="10" t="s">
        <v>24</v>
      </c>
      <c r="H338" s="11" t="s">
        <v>19</v>
      </c>
      <c r="I338" s="11" t="s">
        <v>20</v>
      </c>
      <c r="J338" s="11"/>
      <c r="K338" s="11" t="s">
        <v>55</v>
      </c>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4"/>
    </row>
    <row r="339" spans="1:35" ht="15.75" hidden="1" customHeight="1" x14ac:dyDescent="0.25">
      <c r="A339" s="9">
        <v>8</v>
      </c>
      <c r="B339" s="10" t="s">
        <v>54</v>
      </c>
      <c r="C339" s="10" t="s">
        <v>41</v>
      </c>
      <c r="D339" s="10" t="s">
        <v>42</v>
      </c>
      <c r="E339" s="11" t="s">
        <v>151</v>
      </c>
      <c r="F339" s="11" t="s">
        <v>17</v>
      </c>
      <c r="G339" s="10" t="s">
        <v>24</v>
      </c>
      <c r="H339" s="11" t="s">
        <v>19</v>
      </c>
      <c r="I339" s="11" t="s">
        <v>20</v>
      </c>
      <c r="J339" s="11"/>
      <c r="K339" s="11" t="s">
        <v>55</v>
      </c>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4"/>
    </row>
    <row r="340" spans="1:35" ht="15.75" hidden="1" customHeight="1" x14ac:dyDescent="0.25">
      <c r="A340" s="9">
        <v>9</v>
      </c>
      <c r="B340" s="10" t="s">
        <v>54</v>
      </c>
      <c r="C340" s="10" t="s">
        <v>41</v>
      </c>
      <c r="D340" s="10" t="s">
        <v>42</v>
      </c>
      <c r="E340" s="11" t="s">
        <v>151</v>
      </c>
      <c r="F340" s="11" t="s">
        <v>17</v>
      </c>
      <c r="G340" s="10" t="s">
        <v>18</v>
      </c>
      <c r="H340" s="11" t="s">
        <v>19</v>
      </c>
      <c r="I340" s="11" t="s">
        <v>20</v>
      </c>
      <c r="J340" s="11"/>
      <c r="K340" s="11" t="s">
        <v>55</v>
      </c>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4"/>
    </row>
    <row r="341" spans="1:35" ht="15.75" hidden="1" customHeight="1" x14ac:dyDescent="0.25">
      <c r="A341" s="9">
        <v>10</v>
      </c>
      <c r="B341" s="10" t="s">
        <v>54</v>
      </c>
      <c r="C341" s="10" t="s">
        <v>41</v>
      </c>
      <c r="D341" s="10" t="s">
        <v>42</v>
      </c>
      <c r="E341" s="11" t="s">
        <v>151</v>
      </c>
      <c r="F341" s="11" t="s">
        <v>17</v>
      </c>
      <c r="G341" s="10" t="s">
        <v>24</v>
      </c>
      <c r="H341" s="11" t="s">
        <v>19</v>
      </c>
      <c r="I341" s="11" t="s">
        <v>20</v>
      </c>
      <c r="J341" s="11"/>
      <c r="K341" s="11" t="s">
        <v>55</v>
      </c>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4"/>
    </row>
    <row r="342" spans="1:35" ht="15.75" hidden="1" customHeight="1" x14ac:dyDescent="0.25">
      <c r="A342" s="9">
        <v>11</v>
      </c>
      <c r="B342" s="10" t="s">
        <v>54</v>
      </c>
      <c r="C342" s="10" t="s">
        <v>41</v>
      </c>
      <c r="D342" s="10" t="s">
        <v>42</v>
      </c>
      <c r="E342" s="11" t="s">
        <v>151</v>
      </c>
      <c r="F342" s="11" t="s">
        <v>17</v>
      </c>
      <c r="G342" s="10" t="s">
        <v>18</v>
      </c>
      <c r="H342" s="11" t="s">
        <v>19</v>
      </c>
      <c r="I342" s="11" t="s">
        <v>20</v>
      </c>
      <c r="J342" s="11"/>
      <c r="K342" s="11" t="s">
        <v>55</v>
      </c>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4"/>
    </row>
    <row r="343" spans="1:35" ht="15.75" hidden="1" customHeight="1" x14ac:dyDescent="0.25">
      <c r="A343" s="9">
        <v>12</v>
      </c>
      <c r="B343" s="10" t="s">
        <v>54</v>
      </c>
      <c r="C343" s="10" t="s">
        <v>41</v>
      </c>
      <c r="D343" s="10" t="s">
        <v>42</v>
      </c>
      <c r="E343" s="11" t="s">
        <v>151</v>
      </c>
      <c r="F343" s="11" t="s">
        <v>17</v>
      </c>
      <c r="G343" s="10" t="s">
        <v>18</v>
      </c>
      <c r="H343" s="11" t="s">
        <v>19</v>
      </c>
      <c r="I343" s="11" t="s">
        <v>20</v>
      </c>
      <c r="J343" s="11"/>
      <c r="K343" s="11" t="s">
        <v>55</v>
      </c>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4"/>
    </row>
    <row r="344" spans="1:35" ht="15.75" hidden="1" customHeight="1" x14ac:dyDescent="0.25">
      <c r="A344" s="9">
        <v>13</v>
      </c>
      <c r="B344" s="10" t="s">
        <v>54</v>
      </c>
      <c r="C344" s="10" t="s">
        <v>41</v>
      </c>
      <c r="D344" s="10" t="s">
        <v>42</v>
      </c>
      <c r="E344" s="11" t="s">
        <v>151</v>
      </c>
      <c r="F344" s="11" t="s">
        <v>17</v>
      </c>
      <c r="G344" s="10" t="s">
        <v>24</v>
      </c>
      <c r="H344" s="11" t="s">
        <v>19</v>
      </c>
      <c r="I344" s="11" t="s">
        <v>20</v>
      </c>
      <c r="J344" s="11"/>
      <c r="K344" s="11" t="s">
        <v>55</v>
      </c>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4"/>
    </row>
    <row r="345" spans="1:35" ht="15.75" hidden="1" customHeight="1" x14ac:dyDescent="0.25">
      <c r="A345" s="9">
        <v>14</v>
      </c>
      <c r="B345" s="10" t="s">
        <v>54</v>
      </c>
      <c r="C345" s="10" t="s">
        <v>41</v>
      </c>
      <c r="D345" s="10" t="s">
        <v>42</v>
      </c>
      <c r="E345" s="11" t="s">
        <v>151</v>
      </c>
      <c r="F345" s="11" t="s">
        <v>17</v>
      </c>
      <c r="G345" s="10" t="s">
        <v>18</v>
      </c>
      <c r="H345" s="11" t="s">
        <v>23</v>
      </c>
      <c r="I345" s="11" t="s">
        <v>20</v>
      </c>
      <c r="J345" s="11"/>
      <c r="K345" s="11" t="s">
        <v>55</v>
      </c>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4"/>
    </row>
    <row r="346" spans="1:35" ht="15.75" hidden="1" customHeight="1" x14ac:dyDescent="0.25">
      <c r="A346" s="9">
        <v>15</v>
      </c>
      <c r="B346" s="10" t="s">
        <v>54</v>
      </c>
      <c r="C346" s="10" t="s">
        <v>41</v>
      </c>
      <c r="D346" s="10" t="s">
        <v>42</v>
      </c>
      <c r="E346" s="11" t="s">
        <v>151</v>
      </c>
      <c r="F346" s="11" t="s">
        <v>17</v>
      </c>
      <c r="G346" s="10" t="s">
        <v>18</v>
      </c>
      <c r="H346" s="11" t="s">
        <v>19</v>
      </c>
      <c r="I346" s="11" t="s">
        <v>20</v>
      </c>
      <c r="J346" s="11"/>
      <c r="K346" s="11" t="s">
        <v>55</v>
      </c>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4"/>
    </row>
    <row r="347" spans="1:35" ht="15.75" hidden="1" customHeight="1" x14ac:dyDescent="0.25">
      <c r="A347" s="9">
        <v>16</v>
      </c>
      <c r="B347" s="10" t="s">
        <v>54</v>
      </c>
      <c r="C347" s="10" t="s">
        <v>41</v>
      </c>
      <c r="D347" s="10" t="s">
        <v>42</v>
      </c>
      <c r="E347" s="11" t="s">
        <v>151</v>
      </c>
      <c r="F347" s="11" t="s">
        <v>17</v>
      </c>
      <c r="G347" s="10" t="s">
        <v>18</v>
      </c>
      <c r="H347" s="11" t="s">
        <v>19</v>
      </c>
      <c r="I347" s="11" t="s">
        <v>20</v>
      </c>
      <c r="J347" s="11"/>
      <c r="K347" s="11" t="s">
        <v>55</v>
      </c>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4"/>
    </row>
    <row r="348" spans="1:35" ht="15.75" hidden="1" customHeight="1" x14ac:dyDescent="0.25">
      <c r="A348" s="9">
        <v>17</v>
      </c>
      <c r="B348" s="10" t="s">
        <v>54</v>
      </c>
      <c r="C348" s="10" t="s">
        <v>41</v>
      </c>
      <c r="D348" s="10" t="s">
        <v>42</v>
      </c>
      <c r="E348" s="11" t="s">
        <v>151</v>
      </c>
      <c r="F348" s="11" t="s">
        <v>17</v>
      </c>
      <c r="G348" s="10" t="s">
        <v>24</v>
      </c>
      <c r="H348" s="11" t="s">
        <v>19</v>
      </c>
      <c r="I348" s="11" t="s">
        <v>20</v>
      </c>
      <c r="J348" s="11"/>
      <c r="K348" s="11" t="s">
        <v>55</v>
      </c>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4"/>
    </row>
    <row r="349" spans="1:35" ht="15.75" hidden="1" customHeight="1" x14ac:dyDescent="0.25">
      <c r="A349" s="9">
        <v>18</v>
      </c>
      <c r="B349" s="10" t="s">
        <v>54</v>
      </c>
      <c r="C349" s="10" t="s">
        <v>41</v>
      </c>
      <c r="D349" s="10" t="s">
        <v>42</v>
      </c>
      <c r="E349" s="11" t="s">
        <v>151</v>
      </c>
      <c r="F349" s="11" t="s">
        <v>17</v>
      </c>
      <c r="G349" s="10" t="s">
        <v>18</v>
      </c>
      <c r="H349" s="11" t="s">
        <v>19</v>
      </c>
      <c r="I349" s="11" t="s">
        <v>20</v>
      </c>
      <c r="J349" s="11"/>
      <c r="K349" s="11" t="s">
        <v>55</v>
      </c>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4"/>
    </row>
    <row r="350" spans="1:35" ht="15.75" hidden="1" customHeight="1" x14ac:dyDescent="0.25">
      <c r="A350" s="9">
        <v>19</v>
      </c>
      <c r="B350" s="10" t="s">
        <v>54</v>
      </c>
      <c r="C350" s="10" t="s">
        <v>41</v>
      </c>
      <c r="D350" s="10" t="s">
        <v>42</v>
      </c>
      <c r="E350" s="11" t="s">
        <v>151</v>
      </c>
      <c r="F350" s="11" t="s">
        <v>17</v>
      </c>
      <c r="G350" s="10" t="s">
        <v>18</v>
      </c>
      <c r="H350" s="11" t="s">
        <v>19</v>
      </c>
      <c r="I350" s="11" t="s">
        <v>20</v>
      </c>
      <c r="J350" s="11"/>
      <c r="K350" s="11" t="s">
        <v>55</v>
      </c>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4"/>
    </row>
    <row r="351" spans="1:35" ht="15.75" hidden="1" customHeight="1" x14ac:dyDescent="0.25">
      <c r="A351" s="9">
        <v>20</v>
      </c>
      <c r="B351" s="10" t="s">
        <v>54</v>
      </c>
      <c r="C351" s="10" t="s">
        <v>41</v>
      </c>
      <c r="D351" s="10" t="s">
        <v>42</v>
      </c>
      <c r="E351" s="11" t="s">
        <v>151</v>
      </c>
      <c r="F351" s="11" t="s">
        <v>17</v>
      </c>
      <c r="G351" s="10" t="s">
        <v>24</v>
      </c>
      <c r="H351" s="11" t="s">
        <v>19</v>
      </c>
      <c r="I351" s="11" t="s">
        <v>20</v>
      </c>
      <c r="J351" s="11"/>
      <c r="K351" s="11" t="s">
        <v>55</v>
      </c>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4"/>
    </row>
    <row r="352" spans="1:35" ht="15.75" hidden="1" customHeight="1" x14ac:dyDescent="0.25">
      <c r="A352" s="9">
        <v>21</v>
      </c>
      <c r="B352" s="10" t="s">
        <v>54</v>
      </c>
      <c r="C352" s="10" t="s">
        <v>41</v>
      </c>
      <c r="D352" s="10" t="s">
        <v>42</v>
      </c>
      <c r="E352" s="11" t="s">
        <v>151</v>
      </c>
      <c r="F352" s="11" t="s">
        <v>17</v>
      </c>
      <c r="G352" s="10" t="s">
        <v>18</v>
      </c>
      <c r="H352" s="11" t="s">
        <v>19</v>
      </c>
      <c r="I352" s="11" t="s">
        <v>20</v>
      </c>
      <c r="J352" s="11"/>
      <c r="K352" s="11" t="s">
        <v>55</v>
      </c>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4"/>
    </row>
    <row r="353" spans="1:35" ht="15.75" hidden="1" customHeight="1" x14ac:dyDescent="0.25">
      <c r="A353" s="9">
        <v>22</v>
      </c>
      <c r="B353" s="10" t="s">
        <v>54</v>
      </c>
      <c r="C353" s="10" t="s">
        <v>41</v>
      </c>
      <c r="D353" s="10" t="s">
        <v>42</v>
      </c>
      <c r="E353" s="11" t="s">
        <v>151</v>
      </c>
      <c r="F353" s="11" t="s">
        <v>17</v>
      </c>
      <c r="G353" s="10" t="s">
        <v>24</v>
      </c>
      <c r="H353" s="11" t="s">
        <v>19</v>
      </c>
      <c r="I353" s="11" t="s">
        <v>20</v>
      </c>
      <c r="J353" s="11"/>
      <c r="K353" s="11" t="s">
        <v>55</v>
      </c>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4"/>
    </row>
    <row r="354" spans="1:35" ht="15.75" hidden="1" customHeight="1" x14ac:dyDescent="0.25">
      <c r="A354" s="9">
        <v>23</v>
      </c>
      <c r="B354" s="10" t="s">
        <v>54</v>
      </c>
      <c r="C354" s="10" t="s">
        <v>41</v>
      </c>
      <c r="D354" s="10" t="s">
        <v>42</v>
      </c>
      <c r="E354" s="11" t="s">
        <v>151</v>
      </c>
      <c r="F354" s="11" t="s">
        <v>17</v>
      </c>
      <c r="G354" s="10" t="s">
        <v>24</v>
      </c>
      <c r="H354" s="11" t="s">
        <v>23</v>
      </c>
      <c r="I354" s="11" t="s">
        <v>20</v>
      </c>
      <c r="J354" s="11"/>
      <c r="K354" s="11" t="s">
        <v>55</v>
      </c>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4"/>
    </row>
    <row r="355" spans="1:35" ht="15.75" hidden="1" customHeight="1" x14ac:dyDescent="0.25">
      <c r="A355" s="9">
        <v>24</v>
      </c>
      <c r="B355" s="10" t="s">
        <v>54</v>
      </c>
      <c r="C355" s="10" t="s">
        <v>41</v>
      </c>
      <c r="D355" s="10" t="s">
        <v>42</v>
      </c>
      <c r="E355" s="11" t="s">
        <v>151</v>
      </c>
      <c r="F355" s="11" t="s">
        <v>17</v>
      </c>
      <c r="G355" s="10" t="s">
        <v>24</v>
      </c>
      <c r="H355" s="11" t="s">
        <v>19</v>
      </c>
      <c r="I355" s="11" t="s">
        <v>20</v>
      </c>
      <c r="J355" s="11"/>
      <c r="K355" s="11" t="s">
        <v>55</v>
      </c>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4"/>
    </row>
    <row r="356" spans="1:35" ht="15.75" hidden="1" customHeight="1" x14ac:dyDescent="0.25">
      <c r="A356" s="9">
        <v>25</v>
      </c>
      <c r="B356" s="10" t="s">
        <v>54</v>
      </c>
      <c r="C356" s="10" t="s">
        <v>41</v>
      </c>
      <c r="D356" s="10" t="s">
        <v>42</v>
      </c>
      <c r="E356" s="11" t="s">
        <v>151</v>
      </c>
      <c r="F356" s="11" t="s">
        <v>17</v>
      </c>
      <c r="G356" s="10" t="s">
        <v>24</v>
      </c>
      <c r="H356" s="11" t="s">
        <v>19</v>
      </c>
      <c r="I356" s="11" t="s">
        <v>20</v>
      </c>
      <c r="J356" s="11"/>
      <c r="K356" s="11" t="s">
        <v>55</v>
      </c>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4"/>
    </row>
    <row r="357" spans="1:35" ht="15.75" hidden="1" customHeight="1" x14ac:dyDescent="0.25">
      <c r="A357" s="9">
        <v>26</v>
      </c>
      <c r="B357" s="10" t="s">
        <v>54</v>
      </c>
      <c r="C357" s="10" t="s">
        <v>41</v>
      </c>
      <c r="D357" s="10" t="s">
        <v>42</v>
      </c>
      <c r="E357" s="11" t="s">
        <v>151</v>
      </c>
      <c r="F357" s="11" t="s">
        <v>17</v>
      </c>
      <c r="G357" s="10" t="s">
        <v>24</v>
      </c>
      <c r="H357" s="11" t="s">
        <v>19</v>
      </c>
      <c r="I357" s="11" t="s">
        <v>20</v>
      </c>
      <c r="J357" s="11"/>
      <c r="K357" s="11" t="s">
        <v>55</v>
      </c>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4"/>
    </row>
    <row r="358" spans="1:35" ht="15.75" hidden="1" customHeight="1" x14ac:dyDescent="0.25">
      <c r="A358" s="9">
        <v>27</v>
      </c>
      <c r="B358" s="10" t="s">
        <v>54</v>
      </c>
      <c r="C358" s="10" t="s">
        <v>41</v>
      </c>
      <c r="D358" s="10" t="s">
        <v>42</v>
      </c>
      <c r="E358" s="11" t="s">
        <v>151</v>
      </c>
      <c r="F358" s="11" t="s">
        <v>17</v>
      </c>
      <c r="G358" s="10" t="s">
        <v>24</v>
      </c>
      <c r="H358" s="11" t="s">
        <v>19</v>
      </c>
      <c r="I358" s="11" t="s">
        <v>20</v>
      </c>
      <c r="J358" s="11"/>
      <c r="K358" s="11" t="s">
        <v>55</v>
      </c>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4"/>
    </row>
    <row r="359" spans="1:35" ht="15.75" hidden="1" customHeight="1" x14ac:dyDescent="0.25">
      <c r="A359" s="9">
        <v>28</v>
      </c>
      <c r="B359" s="10" t="s">
        <v>54</v>
      </c>
      <c r="C359" s="10" t="s">
        <v>41</v>
      </c>
      <c r="D359" s="10" t="s">
        <v>42</v>
      </c>
      <c r="E359" s="11" t="s">
        <v>151</v>
      </c>
      <c r="F359" s="11" t="s">
        <v>17</v>
      </c>
      <c r="G359" s="10" t="s">
        <v>24</v>
      </c>
      <c r="H359" s="11" t="s">
        <v>23</v>
      </c>
      <c r="I359" s="11" t="s">
        <v>20</v>
      </c>
      <c r="J359" s="11"/>
      <c r="K359" s="11" t="s">
        <v>55</v>
      </c>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4"/>
    </row>
    <row r="360" spans="1:35" ht="15.75" hidden="1" customHeight="1" x14ac:dyDescent="0.25">
      <c r="A360" s="9">
        <v>29</v>
      </c>
      <c r="B360" s="10" t="s">
        <v>54</v>
      </c>
      <c r="C360" s="10" t="s">
        <v>41</v>
      </c>
      <c r="D360" s="10" t="s">
        <v>42</v>
      </c>
      <c r="E360" s="11" t="s">
        <v>151</v>
      </c>
      <c r="F360" s="11" t="s">
        <v>17</v>
      </c>
      <c r="G360" s="10" t="s">
        <v>24</v>
      </c>
      <c r="H360" s="11" t="s">
        <v>23</v>
      </c>
      <c r="I360" s="11" t="s">
        <v>20</v>
      </c>
      <c r="J360" s="11"/>
      <c r="K360" s="11" t="s">
        <v>55</v>
      </c>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4"/>
    </row>
    <row r="361" spans="1:35" ht="15.75" hidden="1" customHeight="1" x14ac:dyDescent="0.25">
      <c r="A361" s="9">
        <v>30</v>
      </c>
      <c r="B361" s="10" t="s">
        <v>54</v>
      </c>
      <c r="C361" s="10" t="s">
        <v>41</v>
      </c>
      <c r="D361" s="10" t="s">
        <v>42</v>
      </c>
      <c r="E361" s="11" t="s">
        <v>151</v>
      </c>
      <c r="F361" s="11" t="s">
        <v>17</v>
      </c>
      <c r="G361" s="10" t="s">
        <v>18</v>
      </c>
      <c r="H361" s="11" t="s">
        <v>19</v>
      </c>
      <c r="I361" s="11" t="s">
        <v>20</v>
      </c>
      <c r="J361" s="11"/>
      <c r="K361" s="11" t="s">
        <v>55</v>
      </c>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4"/>
    </row>
    <row r="362" spans="1:35" ht="15.75" hidden="1" customHeight="1" x14ac:dyDescent="0.25">
      <c r="A362" s="9">
        <v>31</v>
      </c>
      <c r="B362" s="10" t="s">
        <v>54</v>
      </c>
      <c r="C362" s="10" t="s">
        <v>41</v>
      </c>
      <c r="D362" s="10" t="s">
        <v>42</v>
      </c>
      <c r="E362" s="11" t="s">
        <v>151</v>
      </c>
      <c r="F362" s="11" t="s">
        <v>17</v>
      </c>
      <c r="G362" s="10" t="s">
        <v>24</v>
      </c>
      <c r="H362" s="11" t="s">
        <v>19</v>
      </c>
      <c r="I362" s="11" t="s">
        <v>20</v>
      </c>
      <c r="J362" s="11"/>
      <c r="K362" s="11" t="s">
        <v>55</v>
      </c>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4"/>
    </row>
    <row r="363" spans="1:35" ht="15.75" hidden="1" customHeight="1" x14ac:dyDescent="0.25">
      <c r="A363" s="9">
        <v>32</v>
      </c>
      <c r="B363" s="10" t="s">
        <v>54</v>
      </c>
      <c r="C363" s="10" t="s">
        <v>41</v>
      </c>
      <c r="D363" s="10" t="s">
        <v>42</v>
      </c>
      <c r="E363" s="11" t="s">
        <v>151</v>
      </c>
      <c r="F363" s="11" t="s">
        <v>17</v>
      </c>
      <c r="G363" s="10" t="s">
        <v>24</v>
      </c>
      <c r="H363" s="11" t="s">
        <v>19</v>
      </c>
      <c r="I363" s="11" t="s">
        <v>20</v>
      </c>
      <c r="J363" s="11"/>
      <c r="K363" s="11" t="s">
        <v>55</v>
      </c>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4"/>
    </row>
    <row r="364" spans="1:35" ht="15.75" hidden="1" customHeight="1" x14ac:dyDescent="0.25">
      <c r="A364" s="9">
        <v>33</v>
      </c>
      <c r="B364" s="10" t="s">
        <v>54</v>
      </c>
      <c r="C364" s="10" t="s">
        <v>41</v>
      </c>
      <c r="D364" s="10" t="s">
        <v>42</v>
      </c>
      <c r="E364" s="11" t="s">
        <v>151</v>
      </c>
      <c r="F364" s="11" t="s">
        <v>17</v>
      </c>
      <c r="G364" s="10" t="s">
        <v>24</v>
      </c>
      <c r="H364" s="11" t="s">
        <v>19</v>
      </c>
      <c r="I364" s="11" t="s">
        <v>20</v>
      </c>
      <c r="J364" s="11"/>
      <c r="K364" s="11" t="s">
        <v>55</v>
      </c>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4"/>
    </row>
    <row r="365" spans="1:35" ht="15.75" hidden="1" customHeight="1" x14ac:dyDescent="0.25">
      <c r="A365" s="9">
        <v>34</v>
      </c>
      <c r="B365" s="10" t="s">
        <v>54</v>
      </c>
      <c r="C365" s="10" t="s">
        <v>41</v>
      </c>
      <c r="D365" s="10" t="s">
        <v>42</v>
      </c>
      <c r="E365" s="11" t="s">
        <v>151</v>
      </c>
      <c r="F365" s="11" t="s">
        <v>17</v>
      </c>
      <c r="G365" s="10" t="s">
        <v>24</v>
      </c>
      <c r="H365" s="11" t="s">
        <v>19</v>
      </c>
      <c r="I365" s="11" t="s">
        <v>20</v>
      </c>
      <c r="J365" s="11"/>
      <c r="K365" s="11" t="s">
        <v>55</v>
      </c>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4"/>
    </row>
    <row r="366" spans="1:35" ht="15.75" hidden="1" customHeight="1" x14ac:dyDescent="0.25">
      <c r="A366" s="9">
        <v>36</v>
      </c>
      <c r="B366" s="10" t="s">
        <v>54</v>
      </c>
      <c r="C366" s="10" t="s">
        <v>41</v>
      </c>
      <c r="D366" s="10" t="s">
        <v>42</v>
      </c>
      <c r="E366" s="11" t="s">
        <v>151</v>
      </c>
      <c r="F366" s="11" t="s">
        <v>17</v>
      </c>
      <c r="G366" s="10" t="s">
        <v>24</v>
      </c>
      <c r="H366" s="11" t="s">
        <v>23</v>
      </c>
      <c r="I366" s="11" t="s">
        <v>20</v>
      </c>
      <c r="J366" s="11"/>
      <c r="K366" s="11" t="s">
        <v>55</v>
      </c>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4"/>
    </row>
    <row r="367" spans="1:35" ht="15.75" hidden="1" customHeight="1" x14ac:dyDescent="0.25">
      <c r="A367" s="9">
        <v>37</v>
      </c>
      <c r="B367" s="10" t="s">
        <v>54</v>
      </c>
      <c r="C367" s="10" t="s">
        <v>41</v>
      </c>
      <c r="D367" s="10" t="s">
        <v>42</v>
      </c>
      <c r="E367" s="11" t="s">
        <v>151</v>
      </c>
      <c r="F367" s="11" t="s">
        <v>17</v>
      </c>
      <c r="G367" s="10" t="s">
        <v>24</v>
      </c>
      <c r="H367" s="11" t="s">
        <v>23</v>
      </c>
      <c r="I367" s="11" t="s">
        <v>20</v>
      </c>
      <c r="J367" s="11"/>
      <c r="K367" s="11" t="s">
        <v>55</v>
      </c>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4"/>
    </row>
    <row r="368" spans="1:35" ht="15.75" hidden="1" customHeight="1" x14ac:dyDescent="0.25">
      <c r="A368" s="9">
        <v>38</v>
      </c>
      <c r="B368" s="10" t="s">
        <v>54</v>
      </c>
      <c r="C368" s="10" t="s">
        <v>41</v>
      </c>
      <c r="D368" s="10" t="s">
        <v>42</v>
      </c>
      <c r="E368" s="11" t="s">
        <v>151</v>
      </c>
      <c r="F368" s="11" t="s">
        <v>17</v>
      </c>
      <c r="G368" s="10" t="s">
        <v>24</v>
      </c>
      <c r="H368" s="11" t="s">
        <v>19</v>
      </c>
      <c r="I368" s="11" t="s">
        <v>20</v>
      </c>
      <c r="J368" s="11"/>
      <c r="K368" s="11" t="s">
        <v>55</v>
      </c>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4"/>
    </row>
    <row r="369" spans="1:35" ht="15.75" hidden="1" customHeight="1" x14ac:dyDescent="0.25">
      <c r="A369" s="9">
        <v>39</v>
      </c>
      <c r="B369" s="10" t="s">
        <v>54</v>
      </c>
      <c r="C369" s="10" t="s">
        <v>41</v>
      </c>
      <c r="D369" s="10" t="s">
        <v>42</v>
      </c>
      <c r="E369" s="11" t="s">
        <v>151</v>
      </c>
      <c r="F369" s="11" t="s">
        <v>17</v>
      </c>
      <c r="G369" s="10" t="s">
        <v>24</v>
      </c>
      <c r="H369" s="11" t="s">
        <v>23</v>
      </c>
      <c r="I369" s="11" t="s">
        <v>20</v>
      </c>
      <c r="J369" s="11"/>
      <c r="K369" s="11" t="s">
        <v>55</v>
      </c>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4"/>
    </row>
    <row r="370" spans="1:35" ht="15.75" hidden="1" customHeight="1" x14ac:dyDescent="0.25">
      <c r="A370" s="9">
        <v>40</v>
      </c>
      <c r="B370" s="10" t="s">
        <v>54</v>
      </c>
      <c r="C370" s="10" t="s">
        <v>41</v>
      </c>
      <c r="D370" s="10" t="s">
        <v>42</v>
      </c>
      <c r="E370" s="11" t="s">
        <v>151</v>
      </c>
      <c r="F370" s="11" t="s">
        <v>17</v>
      </c>
      <c r="G370" s="10" t="s">
        <v>24</v>
      </c>
      <c r="H370" s="11" t="s">
        <v>19</v>
      </c>
      <c r="I370" s="11" t="s">
        <v>20</v>
      </c>
      <c r="J370" s="11"/>
      <c r="K370" s="11" t="s">
        <v>55</v>
      </c>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4"/>
    </row>
    <row r="371" spans="1:35" ht="15.75" hidden="1" customHeight="1" x14ac:dyDescent="0.25">
      <c r="A371" s="9">
        <v>41</v>
      </c>
      <c r="B371" s="10" t="s">
        <v>54</v>
      </c>
      <c r="C371" s="10" t="s">
        <v>41</v>
      </c>
      <c r="D371" s="10" t="s">
        <v>42</v>
      </c>
      <c r="E371" s="11" t="s">
        <v>151</v>
      </c>
      <c r="F371" s="11" t="s">
        <v>17</v>
      </c>
      <c r="G371" s="10" t="s">
        <v>24</v>
      </c>
      <c r="H371" s="11" t="s">
        <v>23</v>
      </c>
      <c r="I371" s="11" t="s">
        <v>20</v>
      </c>
      <c r="J371" s="11"/>
      <c r="K371" s="11" t="s">
        <v>55</v>
      </c>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4"/>
    </row>
    <row r="372" spans="1:35" ht="15.75" hidden="1" customHeight="1" x14ac:dyDescent="0.25">
      <c r="A372" s="9">
        <v>42</v>
      </c>
      <c r="B372" s="10" t="s">
        <v>54</v>
      </c>
      <c r="C372" s="10" t="s">
        <v>41</v>
      </c>
      <c r="D372" s="10" t="s">
        <v>42</v>
      </c>
      <c r="E372" s="11" t="s">
        <v>151</v>
      </c>
      <c r="F372" s="11" t="s">
        <v>17</v>
      </c>
      <c r="G372" s="10" t="s">
        <v>24</v>
      </c>
      <c r="H372" s="11" t="s">
        <v>19</v>
      </c>
      <c r="I372" s="11" t="s">
        <v>20</v>
      </c>
      <c r="J372" s="11"/>
      <c r="K372" s="11" t="s">
        <v>55</v>
      </c>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4"/>
    </row>
    <row r="373" spans="1:35" ht="15.75" hidden="1" customHeight="1" x14ac:dyDescent="0.25">
      <c r="A373" s="9">
        <v>43</v>
      </c>
      <c r="B373" s="10" t="s">
        <v>54</v>
      </c>
      <c r="C373" s="10" t="s">
        <v>41</v>
      </c>
      <c r="D373" s="10" t="s">
        <v>42</v>
      </c>
      <c r="E373" s="11" t="s">
        <v>151</v>
      </c>
      <c r="F373" s="11" t="s">
        <v>17</v>
      </c>
      <c r="G373" s="10" t="s">
        <v>24</v>
      </c>
      <c r="H373" s="11" t="s">
        <v>19</v>
      </c>
      <c r="I373" s="11" t="s">
        <v>20</v>
      </c>
      <c r="J373" s="11"/>
      <c r="K373" s="11" t="s">
        <v>55</v>
      </c>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4"/>
    </row>
    <row r="374" spans="1:35" ht="15.75" hidden="1" customHeight="1" x14ac:dyDescent="0.25">
      <c r="A374" s="9">
        <v>1</v>
      </c>
      <c r="B374" s="10" t="s">
        <v>54</v>
      </c>
      <c r="C374" s="10" t="s">
        <v>41</v>
      </c>
      <c r="D374" s="10" t="s">
        <v>43</v>
      </c>
      <c r="E374" s="11" t="s">
        <v>151</v>
      </c>
      <c r="F374" s="11" t="s">
        <v>17</v>
      </c>
      <c r="G374" s="10" t="s">
        <v>24</v>
      </c>
      <c r="H374" s="11" t="s">
        <v>19</v>
      </c>
      <c r="I374" s="11" t="s">
        <v>20</v>
      </c>
      <c r="J374" s="11"/>
      <c r="K374" s="11" t="s">
        <v>55</v>
      </c>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4"/>
    </row>
    <row r="375" spans="1:35" ht="15.75" hidden="1" customHeight="1" x14ac:dyDescent="0.25">
      <c r="A375" s="9">
        <v>2</v>
      </c>
      <c r="B375" s="10" t="s">
        <v>54</v>
      </c>
      <c r="C375" s="10" t="s">
        <v>41</v>
      </c>
      <c r="D375" s="10" t="s">
        <v>43</v>
      </c>
      <c r="E375" s="11" t="s">
        <v>151</v>
      </c>
      <c r="F375" s="11" t="s">
        <v>17</v>
      </c>
      <c r="G375" s="10" t="s">
        <v>24</v>
      </c>
      <c r="H375" s="11" t="s">
        <v>23</v>
      </c>
      <c r="I375" s="11" t="s">
        <v>20</v>
      </c>
      <c r="J375" s="11"/>
      <c r="K375" s="11" t="s">
        <v>55</v>
      </c>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4"/>
    </row>
    <row r="376" spans="1:35" ht="15.75" hidden="1" customHeight="1" x14ac:dyDescent="0.25">
      <c r="A376" s="9">
        <v>3</v>
      </c>
      <c r="B376" s="10" t="s">
        <v>54</v>
      </c>
      <c r="C376" s="10" t="s">
        <v>41</v>
      </c>
      <c r="D376" s="10" t="s">
        <v>43</v>
      </c>
      <c r="E376" s="11" t="s">
        <v>151</v>
      </c>
      <c r="F376" s="11" t="s">
        <v>17</v>
      </c>
      <c r="G376" s="10" t="s">
        <v>18</v>
      </c>
      <c r="H376" s="11" t="s">
        <v>19</v>
      </c>
      <c r="I376" s="11" t="s">
        <v>20</v>
      </c>
      <c r="J376" s="11"/>
      <c r="K376" s="11" t="s">
        <v>55</v>
      </c>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4"/>
    </row>
    <row r="377" spans="1:35" ht="15.75" hidden="1" customHeight="1" x14ac:dyDescent="0.25">
      <c r="A377" s="9">
        <v>4</v>
      </c>
      <c r="B377" s="10" t="s">
        <v>54</v>
      </c>
      <c r="C377" s="10" t="s">
        <v>41</v>
      </c>
      <c r="D377" s="10" t="s">
        <v>43</v>
      </c>
      <c r="E377" s="11" t="s">
        <v>151</v>
      </c>
      <c r="F377" s="11" t="s">
        <v>17</v>
      </c>
      <c r="G377" s="10" t="s">
        <v>18</v>
      </c>
      <c r="H377" s="11" t="s">
        <v>19</v>
      </c>
      <c r="I377" s="11" t="s">
        <v>20</v>
      </c>
      <c r="J377" s="11"/>
      <c r="K377" s="11" t="s">
        <v>55</v>
      </c>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4"/>
    </row>
    <row r="378" spans="1:35" ht="15.75" hidden="1" customHeight="1" x14ac:dyDescent="0.25">
      <c r="A378" s="9">
        <v>5</v>
      </c>
      <c r="B378" s="10" t="s">
        <v>54</v>
      </c>
      <c r="C378" s="10" t="s">
        <v>41</v>
      </c>
      <c r="D378" s="10" t="s">
        <v>43</v>
      </c>
      <c r="E378" s="11" t="s">
        <v>151</v>
      </c>
      <c r="F378" s="11" t="s">
        <v>17</v>
      </c>
      <c r="G378" s="10" t="s">
        <v>18</v>
      </c>
      <c r="H378" s="11" t="s">
        <v>19</v>
      </c>
      <c r="I378" s="11" t="s">
        <v>20</v>
      </c>
      <c r="J378" s="11"/>
      <c r="K378" s="11" t="s">
        <v>55</v>
      </c>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4"/>
    </row>
    <row r="379" spans="1:35" ht="15.75" hidden="1" customHeight="1" x14ac:dyDescent="0.25">
      <c r="A379" s="9">
        <v>6</v>
      </c>
      <c r="B379" s="10" t="s">
        <v>54</v>
      </c>
      <c r="C379" s="10" t="s">
        <v>41</v>
      </c>
      <c r="D379" s="10" t="s">
        <v>43</v>
      </c>
      <c r="E379" s="11" t="s">
        <v>151</v>
      </c>
      <c r="F379" s="11" t="s">
        <v>17</v>
      </c>
      <c r="G379" s="10" t="s">
        <v>18</v>
      </c>
      <c r="H379" s="11" t="s">
        <v>19</v>
      </c>
      <c r="I379" s="11" t="s">
        <v>20</v>
      </c>
      <c r="J379" s="11"/>
      <c r="K379" s="11" t="s">
        <v>55</v>
      </c>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4"/>
    </row>
    <row r="380" spans="1:35" ht="15.75" hidden="1" customHeight="1" x14ac:dyDescent="0.25">
      <c r="A380" s="9">
        <v>7</v>
      </c>
      <c r="B380" s="10" t="s">
        <v>54</v>
      </c>
      <c r="C380" s="10" t="s">
        <v>41</v>
      </c>
      <c r="D380" s="10" t="s">
        <v>43</v>
      </c>
      <c r="E380" s="11" t="s">
        <v>151</v>
      </c>
      <c r="F380" s="11" t="s">
        <v>17</v>
      </c>
      <c r="G380" s="10" t="s">
        <v>18</v>
      </c>
      <c r="H380" s="11" t="s">
        <v>19</v>
      </c>
      <c r="I380" s="11" t="s">
        <v>20</v>
      </c>
      <c r="J380" s="11"/>
      <c r="K380" s="11" t="s">
        <v>55</v>
      </c>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4"/>
    </row>
    <row r="381" spans="1:35" ht="15.75" hidden="1" customHeight="1" x14ac:dyDescent="0.25">
      <c r="A381" s="9">
        <v>8</v>
      </c>
      <c r="B381" s="10" t="s">
        <v>54</v>
      </c>
      <c r="C381" s="10" t="s">
        <v>41</v>
      </c>
      <c r="D381" s="10" t="s">
        <v>43</v>
      </c>
      <c r="E381" s="11" t="s">
        <v>151</v>
      </c>
      <c r="F381" s="11" t="s">
        <v>17</v>
      </c>
      <c r="G381" s="10" t="s">
        <v>24</v>
      </c>
      <c r="H381" s="11" t="s">
        <v>19</v>
      </c>
      <c r="I381" s="11" t="s">
        <v>20</v>
      </c>
      <c r="J381" s="11"/>
      <c r="K381" s="11" t="s">
        <v>55</v>
      </c>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4"/>
    </row>
    <row r="382" spans="1:35" ht="15.75" hidden="1" customHeight="1" x14ac:dyDescent="0.25">
      <c r="A382" s="9">
        <v>9</v>
      </c>
      <c r="B382" s="10" t="s">
        <v>54</v>
      </c>
      <c r="C382" s="10" t="s">
        <v>41</v>
      </c>
      <c r="D382" s="10" t="s">
        <v>43</v>
      </c>
      <c r="E382" s="11" t="s">
        <v>151</v>
      </c>
      <c r="F382" s="11" t="s">
        <v>17</v>
      </c>
      <c r="G382" s="10" t="s">
        <v>24</v>
      </c>
      <c r="H382" s="11" t="s">
        <v>19</v>
      </c>
      <c r="I382" s="11" t="s">
        <v>20</v>
      </c>
      <c r="J382" s="11"/>
      <c r="K382" s="11" t="s">
        <v>55</v>
      </c>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4"/>
    </row>
    <row r="383" spans="1:35" ht="15.75" hidden="1" customHeight="1" x14ac:dyDescent="0.25">
      <c r="A383" s="9">
        <v>10</v>
      </c>
      <c r="B383" s="10" t="s">
        <v>54</v>
      </c>
      <c r="C383" s="10" t="s">
        <v>41</v>
      </c>
      <c r="D383" s="10" t="s">
        <v>43</v>
      </c>
      <c r="E383" s="11" t="s">
        <v>151</v>
      </c>
      <c r="F383" s="11" t="s">
        <v>17</v>
      </c>
      <c r="G383" s="10" t="s">
        <v>18</v>
      </c>
      <c r="H383" s="11" t="s">
        <v>19</v>
      </c>
      <c r="I383" s="11" t="s">
        <v>20</v>
      </c>
      <c r="J383" s="11"/>
      <c r="K383" s="11" t="s">
        <v>55</v>
      </c>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4"/>
    </row>
    <row r="384" spans="1:35" ht="15.75" hidden="1" customHeight="1" x14ac:dyDescent="0.25">
      <c r="A384" s="9">
        <v>13</v>
      </c>
      <c r="B384" s="10" t="s">
        <v>54</v>
      </c>
      <c r="C384" s="10" t="s">
        <v>41</v>
      </c>
      <c r="D384" s="10" t="s">
        <v>43</v>
      </c>
      <c r="E384" s="11" t="s">
        <v>151</v>
      </c>
      <c r="F384" s="11" t="s">
        <v>17</v>
      </c>
      <c r="G384" s="10" t="s">
        <v>24</v>
      </c>
      <c r="H384" s="11" t="s">
        <v>19</v>
      </c>
      <c r="I384" s="11" t="s">
        <v>20</v>
      </c>
      <c r="J384" s="11"/>
      <c r="K384" s="11" t="s">
        <v>55</v>
      </c>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4"/>
    </row>
    <row r="385" spans="1:35" ht="15.75" hidden="1" customHeight="1" x14ac:dyDescent="0.25">
      <c r="A385" s="9">
        <v>14</v>
      </c>
      <c r="B385" s="10" t="s">
        <v>54</v>
      </c>
      <c r="C385" s="10" t="s">
        <v>41</v>
      </c>
      <c r="D385" s="10" t="s">
        <v>43</v>
      </c>
      <c r="E385" s="11" t="s">
        <v>151</v>
      </c>
      <c r="F385" s="11" t="s">
        <v>17</v>
      </c>
      <c r="G385" s="10" t="s">
        <v>24</v>
      </c>
      <c r="H385" s="11" t="s">
        <v>19</v>
      </c>
      <c r="I385" s="11" t="s">
        <v>20</v>
      </c>
      <c r="J385" s="11"/>
      <c r="K385" s="11" t="s">
        <v>55</v>
      </c>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4"/>
    </row>
    <row r="386" spans="1:35" ht="15.75" hidden="1" customHeight="1" x14ac:dyDescent="0.25">
      <c r="A386" s="9">
        <v>17</v>
      </c>
      <c r="B386" s="10" t="s">
        <v>54</v>
      </c>
      <c r="C386" s="10" t="s">
        <v>41</v>
      </c>
      <c r="D386" s="10" t="s">
        <v>43</v>
      </c>
      <c r="E386" s="11" t="s">
        <v>151</v>
      </c>
      <c r="F386" s="11" t="s">
        <v>17</v>
      </c>
      <c r="G386" s="10" t="s">
        <v>24</v>
      </c>
      <c r="H386" s="11" t="s">
        <v>19</v>
      </c>
      <c r="I386" s="11" t="s">
        <v>20</v>
      </c>
      <c r="J386" s="11"/>
      <c r="K386" s="11" t="s">
        <v>55</v>
      </c>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4"/>
    </row>
    <row r="387" spans="1:35" ht="15.75" hidden="1" customHeight="1" x14ac:dyDescent="0.25">
      <c r="A387" s="9">
        <v>18</v>
      </c>
      <c r="B387" s="10" t="s">
        <v>54</v>
      </c>
      <c r="C387" s="10" t="s">
        <v>41</v>
      </c>
      <c r="D387" s="10" t="s">
        <v>43</v>
      </c>
      <c r="E387" s="11" t="s">
        <v>151</v>
      </c>
      <c r="F387" s="11" t="s">
        <v>17</v>
      </c>
      <c r="G387" s="10" t="s">
        <v>18</v>
      </c>
      <c r="H387" s="11" t="s">
        <v>19</v>
      </c>
      <c r="I387" s="11" t="s">
        <v>20</v>
      </c>
      <c r="J387" s="11"/>
      <c r="K387" s="11" t="s">
        <v>55</v>
      </c>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4"/>
    </row>
    <row r="388" spans="1:35" ht="15.75" hidden="1" customHeight="1" x14ac:dyDescent="0.25">
      <c r="A388" s="9">
        <v>20</v>
      </c>
      <c r="B388" s="10" t="s">
        <v>54</v>
      </c>
      <c r="C388" s="10" t="s">
        <v>41</v>
      </c>
      <c r="D388" s="10" t="s">
        <v>43</v>
      </c>
      <c r="E388" s="11" t="s">
        <v>151</v>
      </c>
      <c r="F388" s="11" t="s">
        <v>17</v>
      </c>
      <c r="G388" s="10" t="s">
        <v>24</v>
      </c>
      <c r="H388" s="11" t="s">
        <v>19</v>
      </c>
      <c r="I388" s="11" t="s">
        <v>20</v>
      </c>
      <c r="J388" s="11"/>
      <c r="K388" s="11" t="s">
        <v>55</v>
      </c>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4"/>
    </row>
    <row r="389" spans="1:35" ht="15.75" hidden="1" customHeight="1" x14ac:dyDescent="0.25">
      <c r="A389" s="9">
        <v>21</v>
      </c>
      <c r="B389" s="10" t="s">
        <v>54</v>
      </c>
      <c r="C389" s="10" t="s">
        <v>41</v>
      </c>
      <c r="D389" s="10" t="s">
        <v>43</v>
      </c>
      <c r="E389" s="11" t="s">
        <v>151</v>
      </c>
      <c r="F389" s="11" t="s">
        <v>17</v>
      </c>
      <c r="G389" s="10" t="s">
        <v>18</v>
      </c>
      <c r="H389" s="11" t="s">
        <v>19</v>
      </c>
      <c r="I389" s="11" t="s">
        <v>20</v>
      </c>
      <c r="J389" s="11"/>
      <c r="K389" s="11" t="s">
        <v>55</v>
      </c>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4"/>
    </row>
    <row r="390" spans="1:35" ht="15.75" hidden="1" customHeight="1" x14ac:dyDescent="0.25">
      <c r="A390" s="9">
        <v>23</v>
      </c>
      <c r="B390" s="10" t="s">
        <v>54</v>
      </c>
      <c r="C390" s="10" t="s">
        <v>41</v>
      </c>
      <c r="D390" s="10" t="s">
        <v>43</v>
      </c>
      <c r="E390" s="11" t="s">
        <v>151</v>
      </c>
      <c r="F390" s="11" t="s">
        <v>17</v>
      </c>
      <c r="G390" s="10" t="s">
        <v>18</v>
      </c>
      <c r="H390" s="11" t="s">
        <v>19</v>
      </c>
      <c r="I390" s="11" t="s">
        <v>20</v>
      </c>
      <c r="J390" s="11"/>
      <c r="K390" s="11" t="s">
        <v>55</v>
      </c>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4"/>
    </row>
    <row r="391" spans="1:35" ht="15.75" hidden="1" customHeight="1" x14ac:dyDescent="0.25">
      <c r="A391" s="9">
        <v>24</v>
      </c>
      <c r="B391" s="10" t="s">
        <v>54</v>
      </c>
      <c r="C391" s="10" t="s">
        <v>41</v>
      </c>
      <c r="D391" s="10" t="s">
        <v>43</v>
      </c>
      <c r="E391" s="11" t="s">
        <v>151</v>
      </c>
      <c r="F391" s="11" t="s">
        <v>17</v>
      </c>
      <c r="G391" s="10" t="s">
        <v>24</v>
      </c>
      <c r="H391" s="11" t="s">
        <v>23</v>
      </c>
      <c r="I391" s="11" t="s">
        <v>20</v>
      </c>
      <c r="J391" s="11"/>
      <c r="K391" s="11" t="s">
        <v>55</v>
      </c>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4"/>
    </row>
    <row r="392" spans="1:35" ht="15.75" hidden="1" customHeight="1" x14ac:dyDescent="0.25">
      <c r="A392" s="9">
        <v>26</v>
      </c>
      <c r="B392" s="10" t="s">
        <v>54</v>
      </c>
      <c r="C392" s="10" t="s">
        <v>41</v>
      </c>
      <c r="D392" s="10" t="s">
        <v>43</v>
      </c>
      <c r="E392" s="11" t="s">
        <v>151</v>
      </c>
      <c r="F392" s="11" t="s">
        <v>17</v>
      </c>
      <c r="G392" s="10" t="s">
        <v>18</v>
      </c>
      <c r="H392" s="11" t="s">
        <v>23</v>
      </c>
      <c r="I392" s="11" t="s">
        <v>20</v>
      </c>
      <c r="J392" s="11"/>
      <c r="K392" s="11" t="s">
        <v>55</v>
      </c>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4"/>
    </row>
    <row r="393" spans="1:35" ht="15.75" hidden="1" customHeight="1" x14ac:dyDescent="0.25">
      <c r="A393" s="9">
        <v>27</v>
      </c>
      <c r="B393" s="10" t="s">
        <v>54</v>
      </c>
      <c r="C393" s="10" t="s">
        <v>41</v>
      </c>
      <c r="D393" s="10" t="s">
        <v>43</v>
      </c>
      <c r="E393" s="11" t="s">
        <v>151</v>
      </c>
      <c r="F393" s="11" t="s">
        <v>17</v>
      </c>
      <c r="G393" s="10" t="s">
        <v>24</v>
      </c>
      <c r="H393" s="11" t="s">
        <v>19</v>
      </c>
      <c r="I393" s="11" t="s">
        <v>20</v>
      </c>
      <c r="J393" s="11"/>
      <c r="K393" s="11" t="s">
        <v>55</v>
      </c>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4"/>
    </row>
    <row r="394" spans="1:35" ht="15.75" hidden="1" customHeight="1" x14ac:dyDescent="0.25">
      <c r="A394" s="9">
        <v>28</v>
      </c>
      <c r="B394" s="10" t="s">
        <v>54</v>
      </c>
      <c r="C394" s="10" t="s">
        <v>41</v>
      </c>
      <c r="D394" s="10" t="s">
        <v>43</v>
      </c>
      <c r="E394" s="11" t="s">
        <v>151</v>
      </c>
      <c r="F394" s="11" t="s">
        <v>17</v>
      </c>
      <c r="G394" s="10" t="s">
        <v>18</v>
      </c>
      <c r="H394" s="11" t="s">
        <v>19</v>
      </c>
      <c r="I394" s="11" t="s">
        <v>20</v>
      </c>
      <c r="J394" s="11"/>
      <c r="K394" s="11" t="s">
        <v>55</v>
      </c>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4"/>
    </row>
    <row r="395" spans="1:35" ht="15.75" hidden="1" customHeight="1" x14ac:dyDescent="0.25">
      <c r="A395" s="9">
        <v>32</v>
      </c>
      <c r="B395" s="10" t="s">
        <v>54</v>
      </c>
      <c r="C395" s="10" t="s">
        <v>41</v>
      </c>
      <c r="D395" s="10" t="s">
        <v>43</v>
      </c>
      <c r="E395" s="11" t="s">
        <v>151</v>
      </c>
      <c r="F395" s="11" t="s">
        <v>17</v>
      </c>
      <c r="G395" s="10" t="s">
        <v>18</v>
      </c>
      <c r="H395" s="11" t="s">
        <v>19</v>
      </c>
      <c r="I395" s="11" t="s">
        <v>20</v>
      </c>
      <c r="J395" s="11"/>
      <c r="K395" s="11" t="s">
        <v>55</v>
      </c>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4"/>
    </row>
    <row r="396" spans="1:35" ht="15.75" hidden="1" customHeight="1" x14ac:dyDescent="0.25">
      <c r="A396" s="9">
        <v>33</v>
      </c>
      <c r="B396" s="10" t="s">
        <v>54</v>
      </c>
      <c r="C396" s="10" t="s">
        <v>41</v>
      </c>
      <c r="D396" s="10" t="s">
        <v>43</v>
      </c>
      <c r="E396" s="11" t="s">
        <v>151</v>
      </c>
      <c r="F396" s="11" t="s">
        <v>17</v>
      </c>
      <c r="G396" s="10" t="s">
        <v>24</v>
      </c>
      <c r="H396" s="11" t="s">
        <v>23</v>
      </c>
      <c r="I396" s="11" t="s">
        <v>20</v>
      </c>
      <c r="J396" s="11"/>
      <c r="K396" s="11" t="s">
        <v>55</v>
      </c>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4"/>
    </row>
    <row r="397" spans="1:35" ht="15.75" hidden="1" customHeight="1" x14ac:dyDescent="0.25">
      <c r="A397" s="9">
        <v>34</v>
      </c>
      <c r="B397" s="10" t="s">
        <v>54</v>
      </c>
      <c r="C397" s="10" t="s">
        <v>41</v>
      </c>
      <c r="D397" s="10" t="s">
        <v>43</v>
      </c>
      <c r="E397" s="11" t="s">
        <v>151</v>
      </c>
      <c r="F397" s="11" t="s">
        <v>17</v>
      </c>
      <c r="G397" s="10" t="s">
        <v>18</v>
      </c>
      <c r="H397" s="11" t="s">
        <v>19</v>
      </c>
      <c r="I397" s="11" t="s">
        <v>20</v>
      </c>
      <c r="J397" s="11"/>
      <c r="K397" s="11" t="s">
        <v>55</v>
      </c>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4"/>
    </row>
    <row r="398" spans="1:35" ht="15.75" hidden="1" customHeight="1" x14ac:dyDescent="0.25">
      <c r="A398" s="9">
        <v>37</v>
      </c>
      <c r="B398" s="10" t="s">
        <v>54</v>
      </c>
      <c r="C398" s="10" t="s">
        <v>41</v>
      </c>
      <c r="D398" s="10" t="s">
        <v>43</v>
      </c>
      <c r="E398" s="11" t="s">
        <v>151</v>
      </c>
      <c r="F398" s="11" t="s">
        <v>17</v>
      </c>
      <c r="G398" s="10" t="s">
        <v>18</v>
      </c>
      <c r="H398" s="11" t="s">
        <v>19</v>
      </c>
      <c r="I398" s="11" t="s">
        <v>20</v>
      </c>
      <c r="J398" s="11"/>
      <c r="K398" s="11" t="s">
        <v>55</v>
      </c>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4"/>
    </row>
    <row r="399" spans="1:35" ht="15.75" hidden="1" customHeight="1" x14ac:dyDescent="0.25">
      <c r="A399" s="9">
        <v>38</v>
      </c>
      <c r="B399" s="10" t="s">
        <v>54</v>
      </c>
      <c r="C399" s="10" t="s">
        <v>41</v>
      </c>
      <c r="D399" s="10" t="s">
        <v>43</v>
      </c>
      <c r="E399" s="11" t="s">
        <v>151</v>
      </c>
      <c r="F399" s="11" t="s">
        <v>17</v>
      </c>
      <c r="G399" s="10" t="s">
        <v>18</v>
      </c>
      <c r="H399" s="11" t="s">
        <v>19</v>
      </c>
      <c r="I399" s="11" t="s">
        <v>20</v>
      </c>
      <c r="J399" s="11"/>
      <c r="K399" s="11" t="s">
        <v>55</v>
      </c>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4"/>
    </row>
    <row r="400" spans="1:35" ht="15.75" hidden="1" customHeight="1" x14ac:dyDescent="0.25">
      <c r="A400" s="9">
        <v>39</v>
      </c>
      <c r="B400" s="10" t="s">
        <v>54</v>
      </c>
      <c r="C400" s="10" t="s">
        <v>41</v>
      </c>
      <c r="D400" s="10" t="s">
        <v>43</v>
      </c>
      <c r="E400" s="11" t="s">
        <v>151</v>
      </c>
      <c r="F400" s="11" t="s">
        <v>17</v>
      </c>
      <c r="G400" s="10" t="s">
        <v>24</v>
      </c>
      <c r="H400" s="11" t="s">
        <v>23</v>
      </c>
      <c r="I400" s="11" t="s">
        <v>20</v>
      </c>
      <c r="J400" s="11"/>
      <c r="K400" s="11" t="s">
        <v>55</v>
      </c>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4"/>
    </row>
    <row r="401" spans="1:35" ht="15.75" hidden="1" customHeight="1" x14ac:dyDescent="0.25">
      <c r="A401" s="9">
        <v>40</v>
      </c>
      <c r="B401" s="10" t="s">
        <v>54</v>
      </c>
      <c r="C401" s="10" t="s">
        <v>41</v>
      </c>
      <c r="D401" s="10" t="s">
        <v>43</v>
      </c>
      <c r="E401" s="11" t="s">
        <v>151</v>
      </c>
      <c r="F401" s="11" t="s">
        <v>17</v>
      </c>
      <c r="G401" s="10" t="s">
        <v>18</v>
      </c>
      <c r="H401" s="11" t="s">
        <v>19</v>
      </c>
      <c r="I401" s="11" t="s">
        <v>20</v>
      </c>
      <c r="J401" s="11"/>
      <c r="K401" s="11" t="s">
        <v>55</v>
      </c>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4"/>
    </row>
    <row r="402" spans="1:35" ht="15.75" hidden="1" customHeight="1" x14ac:dyDescent="0.25">
      <c r="A402" s="9">
        <v>41</v>
      </c>
      <c r="B402" s="10" t="s">
        <v>54</v>
      </c>
      <c r="C402" s="10" t="s">
        <v>41</v>
      </c>
      <c r="D402" s="10" t="s">
        <v>43</v>
      </c>
      <c r="E402" s="11" t="s">
        <v>151</v>
      </c>
      <c r="F402" s="11" t="s">
        <v>17</v>
      </c>
      <c r="G402" s="10" t="s">
        <v>18</v>
      </c>
      <c r="H402" s="11" t="s">
        <v>19</v>
      </c>
      <c r="I402" s="11" t="s">
        <v>20</v>
      </c>
      <c r="J402" s="11"/>
      <c r="K402" s="11" t="s">
        <v>55</v>
      </c>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4"/>
    </row>
    <row r="403" spans="1:35" ht="15.75" hidden="1" customHeight="1" x14ac:dyDescent="0.25">
      <c r="A403" s="9">
        <v>42</v>
      </c>
      <c r="B403" s="10" t="s">
        <v>54</v>
      </c>
      <c r="C403" s="10" t="s">
        <v>41</v>
      </c>
      <c r="D403" s="10" t="s">
        <v>43</v>
      </c>
      <c r="E403" s="11" t="s">
        <v>151</v>
      </c>
      <c r="F403" s="11" t="s">
        <v>17</v>
      </c>
      <c r="G403" s="10" t="s">
        <v>18</v>
      </c>
      <c r="H403" s="11" t="s">
        <v>19</v>
      </c>
      <c r="I403" s="11" t="s">
        <v>20</v>
      </c>
      <c r="J403" s="11"/>
      <c r="K403" s="11" t="s">
        <v>55</v>
      </c>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4"/>
    </row>
    <row r="404" spans="1:35" ht="15.75" hidden="1" customHeight="1" x14ac:dyDescent="0.25">
      <c r="A404" s="9">
        <v>43</v>
      </c>
      <c r="B404" s="10" t="s">
        <v>54</v>
      </c>
      <c r="C404" s="10" t="s">
        <v>41</v>
      </c>
      <c r="D404" s="10" t="s">
        <v>43</v>
      </c>
      <c r="E404" s="11" t="s">
        <v>151</v>
      </c>
      <c r="F404" s="11" t="s">
        <v>17</v>
      </c>
      <c r="G404" s="10" t="s">
        <v>18</v>
      </c>
      <c r="H404" s="11" t="s">
        <v>19</v>
      </c>
      <c r="I404" s="11" t="s">
        <v>20</v>
      </c>
      <c r="J404" s="11"/>
      <c r="K404" s="11" t="s">
        <v>55</v>
      </c>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4"/>
    </row>
    <row r="405" spans="1:35" ht="15.75" hidden="1" customHeight="1" x14ac:dyDescent="0.25">
      <c r="A405" s="9">
        <v>45</v>
      </c>
      <c r="B405" s="10" t="s">
        <v>54</v>
      </c>
      <c r="C405" s="10" t="s">
        <v>41</v>
      </c>
      <c r="D405" s="10" t="s">
        <v>43</v>
      </c>
      <c r="E405" s="11" t="s">
        <v>151</v>
      </c>
      <c r="F405" s="11" t="s">
        <v>17</v>
      </c>
      <c r="G405" s="10" t="s">
        <v>24</v>
      </c>
      <c r="H405" s="11" t="s">
        <v>23</v>
      </c>
      <c r="I405" s="11" t="s">
        <v>20</v>
      </c>
      <c r="J405" s="11"/>
      <c r="K405" s="11" t="s">
        <v>55</v>
      </c>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4"/>
    </row>
    <row r="406" spans="1:35" ht="15.75" hidden="1" customHeight="1" x14ac:dyDescent="0.25">
      <c r="A406" s="9">
        <v>46</v>
      </c>
      <c r="B406" s="10" t="s">
        <v>54</v>
      </c>
      <c r="C406" s="10" t="s">
        <v>41</v>
      </c>
      <c r="D406" s="10" t="s">
        <v>43</v>
      </c>
      <c r="E406" s="11" t="s">
        <v>151</v>
      </c>
      <c r="F406" s="11" t="s">
        <v>17</v>
      </c>
      <c r="G406" s="10" t="s">
        <v>18</v>
      </c>
      <c r="H406" s="11" t="s">
        <v>19</v>
      </c>
      <c r="I406" s="11" t="s">
        <v>20</v>
      </c>
      <c r="J406" s="11"/>
      <c r="K406" s="11" t="s">
        <v>55</v>
      </c>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4"/>
    </row>
    <row r="407" spans="1:35" ht="15.75" hidden="1" customHeight="1" x14ac:dyDescent="0.25">
      <c r="A407" s="9">
        <v>47</v>
      </c>
      <c r="B407" s="10" t="s">
        <v>54</v>
      </c>
      <c r="C407" s="10" t="s">
        <v>41</v>
      </c>
      <c r="D407" s="10" t="s">
        <v>43</v>
      </c>
      <c r="E407" s="11" t="s">
        <v>151</v>
      </c>
      <c r="F407" s="11" t="s">
        <v>17</v>
      </c>
      <c r="G407" s="10" t="s">
        <v>24</v>
      </c>
      <c r="H407" s="11" t="s">
        <v>19</v>
      </c>
      <c r="I407" s="11" t="s">
        <v>20</v>
      </c>
      <c r="J407" s="11"/>
      <c r="K407" s="11" t="s">
        <v>55</v>
      </c>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4"/>
    </row>
    <row r="408" spans="1:35" ht="15.75" hidden="1" customHeight="1" x14ac:dyDescent="0.25">
      <c r="A408" s="9">
        <v>49</v>
      </c>
      <c r="B408" s="10" t="s">
        <v>54</v>
      </c>
      <c r="C408" s="10" t="s">
        <v>41</v>
      </c>
      <c r="D408" s="10" t="s">
        <v>43</v>
      </c>
      <c r="E408" s="11" t="s">
        <v>151</v>
      </c>
      <c r="F408" s="11" t="s">
        <v>17</v>
      </c>
      <c r="G408" s="10" t="s">
        <v>24</v>
      </c>
      <c r="H408" s="11" t="s">
        <v>19</v>
      </c>
      <c r="I408" s="11" t="s">
        <v>20</v>
      </c>
      <c r="J408" s="11"/>
      <c r="K408" s="11" t="s">
        <v>55</v>
      </c>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4"/>
    </row>
    <row r="409" spans="1:35" ht="15.75" hidden="1" customHeight="1" x14ac:dyDescent="0.25">
      <c r="A409" s="9">
        <v>50</v>
      </c>
      <c r="B409" s="10" t="s">
        <v>54</v>
      </c>
      <c r="C409" s="10" t="s">
        <v>41</v>
      </c>
      <c r="D409" s="10" t="s">
        <v>43</v>
      </c>
      <c r="E409" s="11" t="s">
        <v>151</v>
      </c>
      <c r="F409" s="11" t="s">
        <v>17</v>
      </c>
      <c r="G409" s="10" t="s">
        <v>18</v>
      </c>
      <c r="H409" s="11" t="s">
        <v>19</v>
      </c>
      <c r="I409" s="11" t="s">
        <v>20</v>
      </c>
      <c r="J409" s="11"/>
      <c r="K409" s="11" t="s">
        <v>55</v>
      </c>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4"/>
    </row>
    <row r="410" spans="1:35" ht="15.75" hidden="1" customHeight="1" x14ac:dyDescent="0.25">
      <c r="A410" s="9">
        <v>51</v>
      </c>
      <c r="B410" s="10" t="s">
        <v>54</v>
      </c>
      <c r="C410" s="10" t="s">
        <v>41</v>
      </c>
      <c r="D410" s="10" t="s">
        <v>43</v>
      </c>
      <c r="E410" s="11" t="s">
        <v>151</v>
      </c>
      <c r="F410" s="11" t="s">
        <v>17</v>
      </c>
      <c r="G410" s="10" t="s">
        <v>24</v>
      </c>
      <c r="H410" s="11" t="s">
        <v>19</v>
      </c>
      <c r="I410" s="11" t="s">
        <v>20</v>
      </c>
      <c r="J410" s="11"/>
      <c r="K410" s="11" t="s">
        <v>55</v>
      </c>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4"/>
    </row>
    <row r="411" spans="1:35" ht="15.75" hidden="1" customHeight="1" x14ac:dyDescent="0.25">
      <c r="A411" s="9">
        <v>52</v>
      </c>
      <c r="B411" s="10" t="s">
        <v>54</v>
      </c>
      <c r="C411" s="10" t="s">
        <v>41</v>
      </c>
      <c r="D411" s="10" t="s">
        <v>43</v>
      </c>
      <c r="E411" s="11" t="s">
        <v>151</v>
      </c>
      <c r="F411" s="11" t="s">
        <v>17</v>
      </c>
      <c r="G411" s="10" t="s">
        <v>18</v>
      </c>
      <c r="H411" s="11" t="s">
        <v>23</v>
      </c>
      <c r="I411" s="11" t="s">
        <v>20</v>
      </c>
      <c r="J411" s="11"/>
      <c r="K411" s="11" t="s">
        <v>55</v>
      </c>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4"/>
    </row>
    <row r="412" spans="1:35" ht="15.75" hidden="1" customHeight="1" x14ac:dyDescent="0.25">
      <c r="A412" s="9">
        <v>54</v>
      </c>
      <c r="B412" s="10" t="s">
        <v>54</v>
      </c>
      <c r="C412" s="10" t="s">
        <v>41</v>
      </c>
      <c r="D412" s="10" t="s">
        <v>43</v>
      </c>
      <c r="E412" s="11" t="s">
        <v>151</v>
      </c>
      <c r="F412" s="11" t="s">
        <v>17</v>
      </c>
      <c r="G412" s="10" t="s">
        <v>24</v>
      </c>
      <c r="H412" s="11" t="s">
        <v>19</v>
      </c>
      <c r="I412" s="11" t="s">
        <v>20</v>
      </c>
      <c r="J412" s="11"/>
      <c r="K412" s="11" t="s">
        <v>55</v>
      </c>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4"/>
    </row>
    <row r="413" spans="1:35" ht="15.75" hidden="1" customHeight="1" x14ac:dyDescent="0.25">
      <c r="A413" s="9">
        <v>57</v>
      </c>
      <c r="B413" s="10" t="s">
        <v>54</v>
      </c>
      <c r="C413" s="10" t="s">
        <v>41</v>
      </c>
      <c r="D413" s="10" t="s">
        <v>43</v>
      </c>
      <c r="E413" s="11" t="s">
        <v>151</v>
      </c>
      <c r="F413" s="11" t="s">
        <v>17</v>
      </c>
      <c r="G413" s="10" t="s">
        <v>24</v>
      </c>
      <c r="H413" s="11" t="s">
        <v>19</v>
      </c>
      <c r="I413" s="11" t="s">
        <v>20</v>
      </c>
      <c r="J413" s="11"/>
      <c r="K413" s="11" t="s">
        <v>55</v>
      </c>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4"/>
    </row>
    <row r="414" spans="1:35" ht="15.75" hidden="1" customHeight="1" x14ac:dyDescent="0.25">
      <c r="A414" s="9">
        <v>58</v>
      </c>
      <c r="B414" s="10" t="s">
        <v>54</v>
      </c>
      <c r="C414" s="10" t="s">
        <v>41</v>
      </c>
      <c r="D414" s="10" t="s">
        <v>43</v>
      </c>
      <c r="E414" s="11" t="s">
        <v>151</v>
      </c>
      <c r="F414" s="11" t="s">
        <v>17</v>
      </c>
      <c r="G414" s="10" t="s">
        <v>24</v>
      </c>
      <c r="H414" s="11" t="s">
        <v>23</v>
      </c>
      <c r="I414" s="11" t="s">
        <v>20</v>
      </c>
      <c r="J414" s="11"/>
      <c r="K414" s="11" t="s">
        <v>55</v>
      </c>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4"/>
    </row>
    <row r="415" spans="1:35" ht="15.75" hidden="1" customHeight="1" x14ac:dyDescent="0.25">
      <c r="A415" s="9">
        <v>61</v>
      </c>
      <c r="B415" s="10" t="s">
        <v>54</v>
      </c>
      <c r="C415" s="10" t="s">
        <v>41</v>
      </c>
      <c r="D415" s="10" t="s">
        <v>43</v>
      </c>
      <c r="E415" s="11" t="s">
        <v>151</v>
      </c>
      <c r="F415" s="11" t="s">
        <v>17</v>
      </c>
      <c r="G415" s="10" t="s">
        <v>24</v>
      </c>
      <c r="H415" s="11" t="s">
        <v>19</v>
      </c>
      <c r="I415" s="11" t="s">
        <v>20</v>
      </c>
      <c r="J415" s="11"/>
      <c r="K415" s="11" t="s">
        <v>55</v>
      </c>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4"/>
    </row>
    <row r="416" spans="1:35" ht="15.75" hidden="1" customHeight="1" x14ac:dyDescent="0.25">
      <c r="A416" s="9">
        <v>62</v>
      </c>
      <c r="B416" s="10" t="s">
        <v>54</v>
      </c>
      <c r="C416" s="10" t="s">
        <v>41</v>
      </c>
      <c r="D416" s="10" t="s">
        <v>43</v>
      </c>
      <c r="E416" s="11" t="s">
        <v>151</v>
      </c>
      <c r="F416" s="11" t="s">
        <v>17</v>
      </c>
      <c r="G416" s="10" t="s">
        <v>24</v>
      </c>
      <c r="H416" s="11" t="s">
        <v>19</v>
      </c>
      <c r="I416" s="11" t="s">
        <v>20</v>
      </c>
      <c r="J416" s="11"/>
      <c r="K416" s="11" t="s">
        <v>55</v>
      </c>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4"/>
    </row>
    <row r="417" spans="1:35" ht="15.75" hidden="1" customHeight="1" x14ac:dyDescent="0.25">
      <c r="A417" s="9">
        <v>63</v>
      </c>
      <c r="B417" s="10" t="s">
        <v>54</v>
      </c>
      <c r="C417" s="10" t="s">
        <v>41</v>
      </c>
      <c r="D417" s="10" t="s">
        <v>43</v>
      </c>
      <c r="E417" s="11" t="s">
        <v>151</v>
      </c>
      <c r="F417" s="11" t="s">
        <v>17</v>
      </c>
      <c r="G417" s="10" t="s">
        <v>24</v>
      </c>
      <c r="H417" s="11" t="s">
        <v>19</v>
      </c>
      <c r="I417" s="11" t="s">
        <v>20</v>
      </c>
      <c r="J417" s="11"/>
      <c r="K417" s="11" t="s">
        <v>55</v>
      </c>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4"/>
    </row>
    <row r="418" spans="1:35" ht="15.75" hidden="1" customHeight="1" x14ac:dyDescent="0.25">
      <c r="A418" s="9">
        <v>64</v>
      </c>
      <c r="B418" s="10" t="s">
        <v>54</v>
      </c>
      <c r="C418" s="10" t="s">
        <v>41</v>
      </c>
      <c r="D418" s="10" t="s">
        <v>43</v>
      </c>
      <c r="E418" s="11" t="s">
        <v>151</v>
      </c>
      <c r="F418" s="11" t="s">
        <v>17</v>
      </c>
      <c r="G418" s="10" t="s">
        <v>24</v>
      </c>
      <c r="H418" s="11" t="s">
        <v>19</v>
      </c>
      <c r="I418" s="11" t="s">
        <v>20</v>
      </c>
      <c r="J418" s="11"/>
      <c r="K418" s="11" t="s">
        <v>55</v>
      </c>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4"/>
    </row>
    <row r="419" spans="1:35" ht="15.75" hidden="1" customHeight="1" x14ac:dyDescent="0.25">
      <c r="A419" s="9">
        <v>65</v>
      </c>
      <c r="B419" s="10" t="s">
        <v>54</v>
      </c>
      <c r="C419" s="10" t="s">
        <v>41</v>
      </c>
      <c r="D419" s="10" t="s">
        <v>43</v>
      </c>
      <c r="E419" s="11" t="s">
        <v>151</v>
      </c>
      <c r="F419" s="11" t="s">
        <v>17</v>
      </c>
      <c r="G419" s="10" t="s">
        <v>24</v>
      </c>
      <c r="H419" s="11" t="s">
        <v>19</v>
      </c>
      <c r="I419" s="11" t="s">
        <v>20</v>
      </c>
      <c r="J419" s="11"/>
      <c r="K419" s="11" t="s">
        <v>55</v>
      </c>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4"/>
    </row>
    <row r="420" spans="1:35" ht="15.75" hidden="1" customHeight="1" x14ac:dyDescent="0.25">
      <c r="A420" s="9">
        <v>1</v>
      </c>
      <c r="B420" s="10" t="s">
        <v>54</v>
      </c>
      <c r="C420" s="10" t="s">
        <v>15</v>
      </c>
      <c r="D420" s="10" t="s">
        <v>45</v>
      </c>
      <c r="E420" s="11" t="s">
        <v>152</v>
      </c>
      <c r="F420" s="11" t="s">
        <v>17</v>
      </c>
      <c r="G420" s="10" t="s">
        <v>18</v>
      </c>
      <c r="H420" s="11" t="s">
        <v>19</v>
      </c>
      <c r="I420" s="11" t="s">
        <v>20</v>
      </c>
      <c r="J420" s="11"/>
      <c r="K420" s="11">
        <v>36789</v>
      </c>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4"/>
    </row>
    <row r="421" spans="1:35" ht="15.75" hidden="1" customHeight="1" x14ac:dyDescent="0.25">
      <c r="A421" s="9">
        <v>2</v>
      </c>
      <c r="B421" s="10" t="s">
        <v>54</v>
      </c>
      <c r="C421" s="10" t="s">
        <v>15</v>
      </c>
      <c r="D421" s="10" t="s">
        <v>45</v>
      </c>
      <c r="E421" s="11" t="s">
        <v>152</v>
      </c>
      <c r="F421" s="11" t="s">
        <v>17</v>
      </c>
      <c r="G421" s="10" t="s">
        <v>24</v>
      </c>
      <c r="H421" s="11" t="s">
        <v>19</v>
      </c>
      <c r="I421" s="11" t="s">
        <v>20</v>
      </c>
      <c r="J421" s="11"/>
      <c r="K421" s="11">
        <v>36789</v>
      </c>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4"/>
    </row>
    <row r="422" spans="1:35" ht="15.75" hidden="1" customHeight="1" x14ac:dyDescent="0.25">
      <c r="A422" s="9">
        <v>3</v>
      </c>
      <c r="B422" s="10" t="s">
        <v>54</v>
      </c>
      <c r="C422" s="10" t="s">
        <v>15</v>
      </c>
      <c r="D422" s="10" t="s">
        <v>16</v>
      </c>
      <c r="E422" s="11" t="s">
        <v>152</v>
      </c>
      <c r="F422" s="11" t="s">
        <v>17</v>
      </c>
      <c r="G422" s="10" t="s">
        <v>24</v>
      </c>
      <c r="H422" s="11" t="s">
        <v>19</v>
      </c>
      <c r="I422" s="11" t="s">
        <v>20</v>
      </c>
      <c r="J422" s="11"/>
      <c r="K422" s="11">
        <v>36789</v>
      </c>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4"/>
    </row>
    <row r="423" spans="1:35" ht="15.75" hidden="1" customHeight="1" x14ac:dyDescent="0.25">
      <c r="A423" s="9">
        <v>4</v>
      </c>
      <c r="B423" s="10" t="s">
        <v>54</v>
      </c>
      <c r="C423" s="10" t="s">
        <v>15</v>
      </c>
      <c r="D423" s="10" t="s">
        <v>37</v>
      </c>
      <c r="E423" s="11" t="s">
        <v>152</v>
      </c>
      <c r="F423" s="11" t="s">
        <v>17</v>
      </c>
      <c r="G423" s="10" t="s">
        <v>18</v>
      </c>
      <c r="H423" s="11" t="s">
        <v>19</v>
      </c>
      <c r="I423" s="11" t="s">
        <v>20</v>
      </c>
      <c r="J423" s="11"/>
      <c r="K423" s="11">
        <v>36789</v>
      </c>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4"/>
    </row>
    <row r="424" spans="1:35" ht="15.75" hidden="1" customHeight="1" x14ac:dyDescent="0.25">
      <c r="A424" s="9">
        <v>5</v>
      </c>
      <c r="B424" s="10" t="s">
        <v>54</v>
      </c>
      <c r="C424" s="10" t="s">
        <v>15</v>
      </c>
      <c r="D424" s="10" t="s">
        <v>37</v>
      </c>
      <c r="E424" s="11" t="s">
        <v>152</v>
      </c>
      <c r="F424" s="11" t="s">
        <v>17</v>
      </c>
      <c r="G424" s="10" t="s">
        <v>18</v>
      </c>
      <c r="H424" s="11" t="s">
        <v>19</v>
      </c>
      <c r="I424" s="11" t="s">
        <v>20</v>
      </c>
      <c r="J424" s="11"/>
      <c r="K424" s="11">
        <v>36789</v>
      </c>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4"/>
    </row>
    <row r="425" spans="1:35" ht="15.75" hidden="1" customHeight="1" x14ac:dyDescent="0.25">
      <c r="A425" s="9">
        <v>6</v>
      </c>
      <c r="B425" s="10" t="s">
        <v>54</v>
      </c>
      <c r="C425" s="10" t="s">
        <v>15</v>
      </c>
      <c r="D425" s="10" t="s">
        <v>37</v>
      </c>
      <c r="E425" s="11" t="s">
        <v>152</v>
      </c>
      <c r="F425" s="11" t="s">
        <v>17</v>
      </c>
      <c r="G425" s="10" t="s">
        <v>18</v>
      </c>
      <c r="H425" s="11" t="s">
        <v>19</v>
      </c>
      <c r="I425" s="11" t="s">
        <v>20</v>
      </c>
      <c r="J425" s="11"/>
      <c r="K425" s="11">
        <v>36789</v>
      </c>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4"/>
    </row>
    <row r="426" spans="1:35" ht="15.75" hidden="1" customHeight="1" x14ac:dyDescent="0.25">
      <c r="A426" s="9">
        <v>7</v>
      </c>
      <c r="B426" s="10" t="s">
        <v>54</v>
      </c>
      <c r="C426" s="10" t="s">
        <v>15</v>
      </c>
      <c r="D426" s="10" t="s">
        <v>37</v>
      </c>
      <c r="E426" s="11" t="s">
        <v>152</v>
      </c>
      <c r="F426" s="11" t="s">
        <v>17</v>
      </c>
      <c r="G426" s="10" t="s">
        <v>18</v>
      </c>
      <c r="H426" s="11" t="s">
        <v>19</v>
      </c>
      <c r="I426" s="11" t="s">
        <v>20</v>
      </c>
      <c r="J426" s="11"/>
      <c r="K426" s="11">
        <v>36789</v>
      </c>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4"/>
    </row>
    <row r="427" spans="1:35" ht="15.75" customHeight="1" x14ac:dyDescent="0.25">
      <c r="A427" s="9">
        <v>1</v>
      </c>
      <c r="B427" s="10" t="s">
        <v>54</v>
      </c>
      <c r="C427" s="10" t="s">
        <v>15</v>
      </c>
      <c r="D427" s="10" t="s">
        <v>141</v>
      </c>
      <c r="E427" s="11" t="s">
        <v>57</v>
      </c>
      <c r="F427" s="11" t="s">
        <v>17</v>
      </c>
      <c r="G427" s="10" t="s">
        <v>24</v>
      </c>
      <c r="H427" s="11" t="s">
        <v>19</v>
      </c>
      <c r="I427" s="11" t="s">
        <v>20</v>
      </c>
      <c r="J427" s="11"/>
      <c r="K427" s="11">
        <v>36207</v>
      </c>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4"/>
    </row>
    <row r="428" spans="1:35" ht="15.75" customHeight="1" x14ac:dyDescent="0.25">
      <c r="A428" s="9">
        <v>2</v>
      </c>
      <c r="B428" s="10" t="s">
        <v>54</v>
      </c>
      <c r="C428" s="10" t="s">
        <v>15</v>
      </c>
      <c r="D428" s="10" t="s">
        <v>141</v>
      </c>
      <c r="E428" s="11" t="s">
        <v>57</v>
      </c>
      <c r="F428" s="11" t="s">
        <v>17</v>
      </c>
      <c r="G428" s="10" t="s">
        <v>18</v>
      </c>
      <c r="H428" s="11" t="s">
        <v>19</v>
      </c>
      <c r="I428" s="11" t="s">
        <v>20</v>
      </c>
      <c r="J428" s="11"/>
      <c r="K428" s="11">
        <v>36207</v>
      </c>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4"/>
    </row>
    <row r="429" spans="1:35" ht="15.75" customHeight="1" x14ac:dyDescent="0.25">
      <c r="A429" s="9">
        <v>3</v>
      </c>
      <c r="B429" s="10" t="s">
        <v>54</v>
      </c>
      <c r="C429" s="10" t="s">
        <v>15</v>
      </c>
      <c r="D429" s="10" t="s">
        <v>141</v>
      </c>
      <c r="E429" s="11" t="s">
        <v>57</v>
      </c>
      <c r="F429" s="11" t="s">
        <v>17</v>
      </c>
      <c r="G429" s="10" t="s">
        <v>24</v>
      </c>
      <c r="H429" s="11" t="s">
        <v>23</v>
      </c>
      <c r="I429" s="11" t="s">
        <v>20</v>
      </c>
      <c r="J429" s="11"/>
      <c r="K429" s="11">
        <v>36207</v>
      </c>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4"/>
    </row>
    <row r="430" spans="1:35" ht="15.75" customHeight="1" x14ac:dyDescent="0.25">
      <c r="A430" s="9">
        <v>4</v>
      </c>
      <c r="B430" s="10" t="s">
        <v>54</v>
      </c>
      <c r="C430" s="10" t="s">
        <v>15</v>
      </c>
      <c r="D430" s="10" t="s">
        <v>141</v>
      </c>
      <c r="E430" s="11" t="s">
        <v>57</v>
      </c>
      <c r="F430" s="11" t="s">
        <v>17</v>
      </c>
      <c r="G430" s="10" t="s">
        <v>18</v>
      </c>
      <c r="H430" s="11" t="s">
        <v>19</v>
      </c>
      <c r="I430" s="11" t="s">
        <v>20</v>
      </c>
      <c r="J430" s="11"/>
      <c r="K430" s="11">
        <v>36207</v>
      </c>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4"/>
    </row>
    <row r="431" spans="1:35" ht="15.75" customHeight="1" x14ac:dyDescent="0.25">
      <c r="A431" s="9">
        <v>5</v>
      </c>
      <c r="B431" s="10" t="s">
        <v>54</v>
      </c>
      <c r="C431" s="10" t="s">
        <v>15</v>
      </c>
      <c r="D431" s="10" t="s">
        <v>141</v>
      </c>
      <c r="E431" s="11" t="s">
        <v>57</v>
      </c>
      <c r="F431" s="11" t="s">
        <v>17</v>
      </c>
      <c r="G431" s="10" t="s">
        <v>18</v>
      </c>
      <c r="H431" s="11" t="s">
        <v>19</v>
      </c>
      <c r="I431" s="11" t="s">
        <v>20</v>
      </c>
      <c r="J431" s="11"/>
      <c r="K431" s="11">
        <v>36207</v>
      </c>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4"/>
    </row>
    <row r="432" spans="1:35" ht="15.75" customHeight="1" x14ac:dyDescent="0.25">
      <c r="A432" s="9">
        <v>6</v>
      </c>
      <c r="B432" s="10" t="s">
        <v>54</v>
      </c>
      <c r="C432" s="10" t="s">
        <v>15</v>
      </c>
      <c r="D432" s="10" t="s">
        <v>141</v>
      </c>
      <c r="E432" s="11" t="s">
        <v>57</v>
      </c>
      <c r="F432" s="11" t="s">
        <v>17</v>
      </c>
      <c r="G432" s="10" t="s">
        <v>24</v>
      </c>
      <c r="H432" s="11" t="s">
        <v>19</v>
      </c>
      <c r="I432" s="11" t="s">
        <v>20</v>
      </c>
      <c r="J432" s="11"/>
      <c r="K432" s="11">
        <v>36207</v>
      </c>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4"/>
    </row>
    <row r="433" spans="1:35" ht="15.75" customHeight="1" x14ac:dyDescent="0.25">
      <c r="A433" s="9">
        <v>7</v>
      </c>
      <c r="B433" s="10" t="s">
        <v>54</v>
      </c>
      <c r="C433" s="10" t="s">
        <v>15</v>
      </c>
      <c r="D433" s="10" t="s">
        <v>141</v>
      </c>
      <c r="E433" s="11" t="s">
        <v>57</v>
      </c>
      <c r="F433" s="11" t="s">
        <v>17</v>
      </c>
      <c r="G433" s="10" t="s">
        <v>18</v>
      </c>
      <c r="H433" s="11" t="s">
        <v>19</v>
      </c>
      <c r="I433" s="11" t="s">
        <v>20</v>
      </c>
      <c r="J433" s="11"/>
      <c r="K433" s="11">
        <v>36207</v>
      </c>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4"/>
    </row>
    <row r="434" spans="1:35" ht="15.75" customHeight="1" x14ac:dyDescent="0.25">
      <c r="A434" s="9">
        <v>8</v>
      </c>
      <c r="B434" s="10" t="s">
        <v>54</v>
      </c>
      <c r="C434" s="10" t="s">
        <v>15</v>
      </c>
      <c r="D434" s="10" t="s">
        <v>141</v>
      </c>
      <c r="E434" s="11" t="s">
        <v>57</v>
      </c>
      <c r="F434" s="11" t="s">
        <v>17</v>
      </c>
      <c r="G434" s="10" t="s">
        <v>24</v>
      </c>
      <c r="H434" s="11" t="s">
        <v>19</v>
      </c>
      <c r="I434" s="11" t="s">
        <v>20</v>
      </c>
      <c r="J434" s="11"/>
      <c r="K434" s="11">
        <v>36207</v>
      </c>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4"/>
    </row>
    <row r="435" spans="1:35" ht="15.75" hidden="1" customHeight="1" x14ac:dyDescent="0.25">
      <c r="A435" s="9">
        <v>9</v>
      </c>
      <c r="B435" s="10" t="s">
        <v>54</v>
      </c>
      <c r="C435" s="10" t="s">
        <v>15</v>
      </c>
      <c r="D435" s="10" t="s">
        <v>45</v>
      </c>
      <c r="E435" s="11" t="s">
        <v>57</v>
      </c>
      <c r="F435" s="11" t="s">
        <v>17</v>
      </c>
      <c r="G435" s="10" t="s">
        <v>24</v>
      </c>
      <c r="H435" s="11" t="s">
        <v>23</v>
      </c>
      <c r="I435" s="11" t="s">
        <v>20</v>
      </c>
      <c r="J435" s="11"/>
      <c r="K435" s="11">
        <v>36207</v>
      </c>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4"/>
    </row>
    <row r="436" spans="1:35" ht="15.75" hidden="1" customHeight="1" x14ac:dyDescent="0.25">
      <c r="A436" s="9">
        <v>10</v>
      </c>
      <c r="B436" s="10" t="s">
        <v>54</v>
      </c>
      <c r="C436" s="10" t="s">
        <v>15</v>
      </c>
      <c r="D436" s="10" t="s">
        <v>45</v>
      </c>
      <c r="E436" s="11" t="s">
        <v>57</v>
      </c>
      <c r="F436" s="11" t="s">
        <v>17</v>
      </c>
      <c r="G436" s="10" t="s">
        <v>18</v>
      </c>
      <c r="H436" s="11" t="s">
        <v>19</v>
      </c>
      <c r="I436" s="11" t="s">
        <v>20</v>
      </c>
      <c r="J436" s="11"/>
      <c r="K436" s="11">
        <v>36207</v>
      </c>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4"/>
    </row>
    <row r="437" spans="1:35" ht="15.75" hidden="1" customHeight="1" x14ac:dyDescent="0.25">
      <c r="A437" s="9">
        <v>11</v>
      </c>
      <c r="B437" s="10" t="s">
        <v>54</v>
      </c>
      <c r="C437" s="10" t="s">
        <v>15</v>
      </c>
      <c r="D437" s="10" t="s">
        <v>45</v>
      </c>
      <c r="E437" s="11" t="s">
        <v>57</v>
      </c>
      <c r="F437" s="11" t="s">
        <v>17</v>
      </c>
      <c r="G437" s="10" t="s">
        <v>24</v>
      </c>
      <c r="H437" s="11" t="s">
        <v>23</v>
      </c>
      <c r="I437" s="11" t="s">
        <v>20</v>
      </c>
      <c r="J437" s="11"/>
      <c r="K437" s="11">
        <v>36207</v>
      </c>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4"/>
    </row>
    <row r="438" spans="1:35" ht="15.75" hidden="1" customHeight="1" x14ac:dyDescent="0.25">
      <c r="A438" s="9">
        <v>12</v>
      </c>
      <c r="B438" s="10" t="s">
        <v>54</v>
      </c>
      <c r="C438" s="10" t="s">
        <v>15</v>
      </c>
      <c r="D438" s="10" t="s">
        <v>45</v>
      </c>
      <c r="E438" s="11" t="s">
        <v>57</v>
      </c>
      <c r="F438" s="11" t="s">
        <v>17</v>
      </c>
      <c r="G438" s="10" t="s">
        <v>18</v>
      </c>
      <c r="H438" s="11" t="s">
        <v>23</v>
      </c>
      <c r="I438" s="11" t="s">
        <v>20</v>
      </c>
      <c r="J438" s="11"/>
      <c r="K438" s="11">
        <v>36207</v>
      </c>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4"/>
    </row>
    <row r="439" spans="1:35" ht="15.75" hidden="1" customHeight="1" x14ac:dyDescent="0.25">
      <c r="A439" s="9">
        <v>13</v>
      </c>
      <c r="B439" s="10" t="s">
        <v>54</v>
      </c>
      <c r="C439" s="10" t="s">
        <v>15</v>
      </c>
      <c r="D439" s="10" t="s">
        <v>45</v>
      </c>
      <c r="E439" s="11" t="s">
        <v>57</v>
      </c>
      <c r="F439" s="11" t="s">
        <v>17</v>
      </c>
      <c r="G439" s="10" t="s">
        <v>24</v>
      </c>
      <c r="H439" s="11" t="s">
        <v>23</v>
      </c>
      <c r="I439" s="11" t="s">
        <v>20</v>
      </c>
      <c r="J439" s="11"/>
      <c r="K439" s="11">
        <v>36207</v>
      </c>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4"/>
    </row>
    <row r="440" spans="1:35" ht="15.75" hidden="1" customHeight="1" x14ac:dyDescent="0.25">
      <c r="A440" s="9">
        <v>14</v>
      </c>
      <c r="B440" s="10" t="s">
        <v>54</v>
      </c>
      <c r="C440" s="10" t="s">
        <v>15</v>
      </c>
      <c r="D440" s="10" t="s">
        <v>45</v>
      </c>
      <c r="E440" s="11" t="s">
        <v>57</v>
      </c>
      <c r="F440" s="11" t="s">
        <v>17</v>
      </c>
      <c r="G440" s="10" t="s">
        <v>18</v>
      </c>
      <c r="H440" s="11" t="s">
        <v>19</v>
      </c>
      <c r="I440" s="11" t="s">
        <v>20</v>
      </c>
      <c r="J440" s="11"/>
      <c r="K440" s="11">
        <v>36207</v>
      </c>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4"/>
    </row>
    <row r="441" spans="1:35" ht="15.75" hidden="1" customHeight="1" x14ac:dyDescent="0.25">
      <c r="A441" s="9">
        <v>15</v>
      </c>
      <c r="B441" s="10" t="s">
        <v>54</v>
      </c>
      <c r="C441" s="10" t="s">
        <v>15</v>
      </c>
      <c r="D441" s="10" t="s">
        <v>45</v>
      </c>
      <c r="E441" s="11" t="s">
        <v>57</v>
      </c>
      <c r="F441" s="11" t="s">
        <v>17</v>
      </c>
      <c r="G441" s="10" t="s">
        <v>18</v>
      </c>
      <c r="H441" s="11" t="s">
        <v>19</v>
      </c>
      <c r="I441" s="11" t="s">
        <v>20</v>
      </c>
      <c r="J441" s="11"/>
      <c r="K441" s="11">
        <v>36207</v>
      </c>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4"/>
    </row>
    <row r="442" spans="1:35" ht="15.75" hidden="1" customHeight="1" x14ac:dyDescent="0.25">
      <c r="A442" s="9">
        <v>16</v>
      </c>
      <c r="B442" s="10" t="s">
        <v>54</v>
      </c>
      <c r="C442" s="10" t="s">
        <v>15</v>
      </c>
      <c r="D442" s="10" t="s">
        <v>45</v>
      </c>
      <c r="E442" s="11" t="s">
        <v>57</v>
      </c>
      <c r="F442" s="11" t="s">
        <v>17</v>
      </c>
      <c r="G442" s="10" t="s">
        <v>18</v>
      </c>
      <c r="H442" s="11" t="s">
        <v>19</v>
      </c>
      <c r="I442" s="11" t="s">
        <v>20</v>
      </c>
      <c r="J442" s="11"/>
      <c r="K442" s="11">
        <v>36207</v>
      </c>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4"/>
    </row>
    <row r="443" spans="1:35" ht="15.75" hidden="1" customHeight="1" x14ac:dyDescent="0.25">
      <c r="A443" s="9">
        <v>17</v>
      </c>
      <c r="B443" s="10" t="s">
        <v>54</v>
      </c>
      <c r="C443" s="10" t="s">
        <v>15</v>
      </c>
      <c r="D443" s="10" t="s">
        <v>16</v>
      </c>
      <c r="E443" s="11" t="s">
        <v>57</v>
      </c>
      <c r="F443" s="11" t="s">
        <v>17</v>
      </c>
      <c r="G443" s="10" t="s">
        <v>24</v>
      </c>
      <c r="H443" s="11" t="s">
        <v>23</v>
      </c>
      <c r="I443" s="11" t="s">
        <v>20</v>
      </c>
      <c r="J443" s="11"/>
      <c r="K443" s="11">
        <v>36207</v>
      </c>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4"/>
    </row>
    <row r="444" spans="1:35" ht="15.75" hidden="1" customHeight="1" x14ac:dyDescent="0.25">
      <c r="A444" s="9">
        <v>18</v>
      </c>
      <c r="B444" s="10" t="s">
        <v>54</v>
      </c>
      <c r="C444" s="10" t="s">
        <v>15</v>
      </c>
      <c r="D444" s="10" t="s">
        <v>16</v>
      </c>
      <c r="E444" s="11" t="s">
        <v>57</v>
      </c>
      <c r="F444" s="11" t="s">
        <v>17</v>
      </c>
      <c r="G444" s="10" t="s">
        <v>18</v>
      </c>
      <c r="H444" s="11" t="s">
        <v>25</v>
      </c>
      <c r="I444" s="11" t="s">
        <v>20</v>
      </c>
      <c r="J444" s="11"/>
      <c r="K444" s="11">
        <v>36207</v>
      </c>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4"/>
    </row>
    <row r="445" spans="1:35" ht="15.75" hidden="1" customHeight="1" x14ac:dyDescent="0.25">
      <c r="A445" s="9">
        <v>19</v>
      </c>
      <c r="B445" s="10" t="s">
        <v>54</v>
      </c>
      <c r="C445" s="10" t="s">
        <v>15</v>
      </c>
      <c r="D445" s="10" t="s">
        <v>16</v>
      </c>
      <c r="E445" s="11" t="s">
        <v>57</v>
      </c>
      <c r="F445" s="11" t="s">
        <v>17</v>
      </c>
      <c r="G445" s="10" t="s">
        <v>24</v>
      </c>
      <c r="H445" s="11" t="s">
        <v>23</v>
      </c>
      <c r="I445" s="11" t="s">
        <v>20</v>
      </c>
      <c r="J445" s="11"/>
      <c r="K445" s="11">
        <v>36207</v>
      </c>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4"/>
    </row>
    <row r="446" spans="1:35" ht="15.75" hidden="1" customHeight="1" x14ac:dyDescent="0.25">
      <c r="A446" s="9">
        <v>20</v>
      </c>
      <c r="B446" s="10" t="s">
        <v>54</v>
      </c>
      <c r="C446" s="10" t="s">
        <v>15</v>
      </c>
      <c r="D446" s="10" t="s">
        <v>16</v>
      </c>
      <c r="E446" s="11" t="s">
        <v>57</v>
      </c>
      <c r="F446" s="11" t="s">
        <v>17</v>
      </c>
      <c r="G446" s="10" t="s">
        <v>24</v>
      </c>
      <c r="H446" s="11" t="s">
        <v>23</v>
      </c>
      <c r="I446" s="11" t="s">
        <v>20</v>
      </c>
      <c r="J446" s="11"/>
      <c r="K446" s="11">
        <v>36207</v>
      </c>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4"/>
    </row>
    <row r="447" spans="1:35" ht="15.75" hidden="1" customHeight="1" x14ac:dyDescent="0.25">
      <c r="A447" s="9">
        <v>21</v>
      </c>
      <c r="B447" s="10" t="s">
        <v>54</v>
      </c>
      <c r="C447" s="10" t="s">
        <v>15</v>
      </c>
      <c r="D447" s="10" t="s">
        <v>37</v>
      </c>
      <c r="E447" s="11" t="s">
        <v>57</v>
      </c>
      <c r="F447" s="11" t="s">
        <v>17</v>
      </c>
      <c r="G447" s="10" t="s">
        <v>24</v>
      </c>
      <c r="H447" s="11" t="s">
        <v>23</v>
      </c>
      <c r="I447" s="11" t="s">
        <v>20</v>
      </c>
      <c r="J447" s="11"/>
      <c r="K447" s="11">
        <v>36207</v>
      </c>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4"/>
    </row>
    <row r="448" spans="1:35" ht="15.75" hidden="1" customHeight="1" x14ac:dyDescent="0.25">
      <c r="A448" s="9">
        <v>22</v>
      </c>
      <c r="B448" s="10" t="s">
        <v>54</v>
      </c>
      <c r="C448" s="10" t="s">
        <v>15</v>
      </c>
      <c r="D448" s="10" t="s">
        <v>37</v>
      </c>
      <c r="E448" s="11" t="s">
        <v>57</v>
      </c>
      <c r="F448" s="11" t="s">
        <v>17</v>
      </c>
      <c r="G448" s="10" t="s">
        <v>24</v>
      </c>
      <c r="H448" s="11" t="s">
        <v>25</v>
      </c>
      <c r="I448" s="11" t="s">
        <v>20</v>
      </c>
      <c r="J448" s="11"/>
      <c r="K448" s="11">
        <v>36207</v>
      </c>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4"/>
    </row>
    <row r="449" spans="1:35" ht="15.75" hidden="1" customHeight="1" x14ac:dyDescent="0.25">
      <c r="A449" s="9">
        <v>23</v>
      </c>
      <c r="B449" s="10" t="s">
        <v>54</v>
      </c>
      <c r="C449" s="10" t="s">
        <v>15</v>
      </c>
      <c r="D449" s="10" t="s">
        <v>37</v>
      </c>
      <c r="E449" s="11" t="s">
        <v>57</v>
      </c>
      <c r="F449" s="11" t="s">
        <v>17</v>
      </c>
      <c r="G449" s="10" t="s">
        <v>18</v>
      </c>
      <c r="H449" s="11" t="s">
        <v>25</v>
      </c>
      <c r="I449" s="11" t="s">
        <v>20</v>
      </c>
      <c r="J449" s="11"/>
      <c r="K449" s="11">
        <v>36207</v>
      </c>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4"/>
    </row>
    <row r="450" spans="1:35" ht="15.75" hidden="1" customHeight="1" x14ac:dyDescent="0.25">
      <c r="A450" s="9">
        <v>24</v>
      </c>
      <c r="B450" s="10" t="s">
        <v>54</v>
      </c>
      <c r="C450" s="10" t="s">
        <v>15</v>
      </c>
      <c r="D450" s="10" t="s">
        <v>37</v>
      </c>
      <c r="E450" s="11" t="s">
        <v>57</v>
      </c>
      <c r="F450" s="11" t="s">
        <v>17</v>
      </c>
      <c r="G450" s="10" t="s">
        <v>24</v>
      </c>
      <c r="H450" s="11" t="s">
        <v>25</v>
      </c>
      <c r="I450" s="11" t="s">
        <v>20</v>
      </c>
      <c r="J450" s="11"/>
      <c r="K450" s="11">
        <v>36207</v>
      </c>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4"/>
    </row>
    <row r="451" spans="1:35" ht="15.75" hidden="1" customHeight="1" x14ac:dyDescent="0.25">
      <c r="A451" s="9">
        <v>1</v>
      </c>
      <c r="B451" s="10" t="s">
        <v>54</v>
      </c>
      <c r="C451" s="10" t="s">
        <v>41</v>
      </c>
      <c r="D451" s="10" t="s">
        <v>42</v>
      </c>
      <c r="E451" s="11" t="s">
        <v>58</v>
      </c>
      <c r="F451" s="11" t="s">
        <v>17</v>
      </c>
      <c r="G451" s="10" t="s">
        <v>18</v>
      </c>
      <c r="H451" s="11" t="s">
        <v>23</v>
      </c>
      <c r="I451" s="11" t="s">
        <v>20</v>
      </c>
      <c r="J451" s="11"/>
      <c r="K451" s="11" t="s">
        <v>58</v>
      </c>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4"/>
    </row>
    <row r="452" spans="1:35" ht="15.75" hidden="1" customHeight="1" x14ac:dyDescent="0.25">
      <c r="A452" s="9">
        <v>2</v>
      </c>
      <c r="B452" s="10" t="s">
        <v>54</v>
      </c>
      <c r="C452" s="10" t="s">
        <v>41</v>
      </c>
      <c r="D452" s="10" t="s">
        <v>42</v>
      </c>
      <c r="E452" s="11" t="s">
        <v>58</v>
      </c>
      <c r="F452" s="11" t="s">
        <v>17</v>
      </c>
      <c r="G452" s="10" t="s">
        <v>24</v>
      </c>
      <c r="H452" s="11" t="s">
        <v>19</v>
      </c>
      <c r="I452" s="11" t="s">
        <v>20</v>
      </c>
      <c r="J452" s="11"/>
      <c r="K452" s="11" t="s">
        <v>58</v>
      </c>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4"/>
    </row>
    <row r="453" spans="1:35" ht="15.75" hidden="1" customHeight="1" x14ac:dyDescent="0.25">
      <c r="A453" s="9">
        <v>3</v>
      </c>
      <c r="B453" s="10" t="s">
        <v>54</v>
      </c>
      <c r="C453" s="10" t="s">
        <v>41</v>
      </c>
      <c r="D453" s="10" t="s">
        <v>42</v>
      </c>
      <c r="E453" s="11" t="s">
        <v>58</v>
      </c>
      <c r="F453" s="11" t="s">
        <v>17</v>
      </c>
      <c r="G453" s="10" t="s">
        <v>24</v>
      </c>
      <c r="H453" s="11" t="s">
        <v>19</v>
      </c>
      <c r="I453" s="11" t="s">
        <v>20</v>
      </c>
      <c r="J453" s="11"/>
      <c r="K453" s="11" t="s">
        <v>58</v>
      </c>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4"/>
    </row>
    <row r="454" spans="1:35" ht="15.75" hidden="1" customHeight="1" x14ac:dyDescent="0.25">
      <c r="A454" s="9">
        <v>4</v>
      </c>
      <c r="B454" s="10" t="s">
        <v>54</v>
      </c>
      <c r="C454" s="10" t="s">
        <v>41</v>
      </c>
      <c r="D454" s="10" t="s">
        <v>42</v>
      </c>
      <c r="E454" s="11" t="s">
        <v>58</v>
      </c>
      <c r="F454" s="11" t="s">
        <v>17</v>
      </c>
      <c r="G454" s="10" t="s">
        <v>18</v>
      </c>
      <c r="H454" s="11" t="s">
        <v>19</v>
      </c>
      <c r="I454" s="11" t="s">
        <v>20</v>
      </c>
      <c r="J454" s="11"/>
      <c r="K454" s="11" t="s">
        <v>58</v>
      </c>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4"/>
    </row>
    <row r="455" spans="1:35" ht="15.75" hidden="1" customHeight="1" x14ac:dyDescent="0.25">
      <c r="A455" s="9">
        <v>5</v>
      </c>
      <c r="B455" s="10" t="s">
        <v>54</v>
      </c>
      <c r="C455" s="10" t="s">
        <v>41</v>
      </c>
      <c r="D455" s="10" t="s">
        <v>42</v>
      </c>
      <c r="E455" s="11" t="s">
        <v>58</v>
      </c>
      <c r="F455" s="11" t="s">
        <v>17</v>
      </c>
      <c r="G455" s="10" t="s">
        <v>24</v>
      </c>
      <c r="H455" s="11" t="s">
        <v>19</v>
      </c>
      <c r="I455" s="11" t="s">
        <v>20</v>
      </c>
      <c r="J455" s="11"/>
      <c r="K455" s="11" t="s">
        <v>58</v>
      </c>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4"/>
    </row>
    <row r="456" spans="1:35" ht="15.75" hidden="1" customHeight="1" x14ac:dyDescent="0.25">
      <c r="A456" s="9">
        <v>6</v>
      </c>
      <c r="B456" s="10" t="s">
        <v>54</v>
      </c>
      <c r="C456" s="10" t="s">
        <v>41</v>
      </c>
      <c r="D456" s="10" t="s">
        <v>42</v>
      </c>
      <c r="E456" s="11" t="s">
        <v>58</v>
      </c>
      <c r="F456" s="11" t="s">
        <v>17</v>
      </c>
      <c r="G456" s="10" t="s">
        <v>18</v>
      </c>
      <c r="H456" s="11" t="s">
        <v>19</v>
      </c>
      <c r="I456" s="11" t="s">
        <v>20</v>
      </c>
      <c r="J456" s="11"/>
      <c r="K456" s="11" t="s">
        <v>58</v>
      </c>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4"/>
    </row>
    <row r="457" spans="1:35" ht="15.75" hidden="1" customHeight="1" x14ac:dyDescent="0.25">
      <c r="A457" s="9">
        <v>7</v>
      </c>
      <c r="B457" s="10" t="s">
        <v>54</v>
      </c>
      <c r="C457" s="10" t="s">
        <v>41</v>
      </c>
      <c r="D457" s="10" t="s">
        <v>42</v>
      </c>
      <c r="E457" s="11" t="s">
        <v>58</v>
      </c>
      <c r="F457" s="11" t="s">
        <v>17</v>
      </c>
      <c r="G457" s="10" t="s">
        <v>24</v>
      </c>
      <c r="H457" s="11" t="s">
        <v>19</v>
      </c>
      <c r="I457" s="11" t="s">
        <v>20</v>
      </c>
      <c r="J457" s="11"/>
      <c r="K457" s="11" t="s">
        <v>58</v>
      </c>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4"/>
    </row>
    <row r="458" spans="1:35" ht="15.75" hidden="1" customHeight="1" x14ac:dyDescent="0.25">
      <c r="A458" s="9">
        <v>8</v>
      </c>
      <c r="B458" s="10" t="s">
        <v>54</v>
      </c>
      <c r="C458" s="10" t="s">
        <v>41</v>
      </c>
      <c r="D458" s="10" t="s">
        <v>42</v>
      </c>
      <c r="E458" s="11" t="s">
        <v>58</v>
      </c>
      <c r="F458" s="11" t="s">
        <v>17</v>
      </c>
      <c r="G458" s="10" t="s">
        <v>18</v>
      </c>
      <c r="H458" s="11" t="s">
        <v>19</v>
      </c>
      <c r="I458" s="11" t="s">
        <v>20</v>
      </c>
      <c r="J458" s="11"/>
      <c r="K458" s="11" t="s">
        <v>58</v>
      </c>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4"/>
    </row>
    <row r="459" spans="1:35" ht="15.75" hidden="1" customHeight="1" x14ac:dyDescent="0.25">
      <c r="A459" s="9">
        <v>9</v>
      </c>
      <c r="B459" s="10" t="s">
        <v>54</v>
      </c>
      <c r="C459" s="10" t="s">
        <v>41</v>
      </c>
      <c r="D459" s="10" t="s">
        <v>42</v>
      </c>
      <c r="E459" s="11" t="s">
        <v>58</v>
      </c>
      <c r="F459" s="11" t="s">
        <v>17</v>
      </c>
      <c r="G459" s="10" t="s">
        <v>18</v>
      </c>
      <c r="H459" s="11" t="s">
        <v>19</v>
      </c>
      <c r="I459" s="11" t="s">
        <v>20</v>
      </c>
      <c r="J459" s="11"/>
      <c r="K459" s="11" t="s">
        <v>58</v>
      </c>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4"/>
    </row>
    <row r="460" spans="1:35" ht="15.75" hidden="1" customHeight="1" x14ac:dyDescent="0.25">
      <c r="A460" s="9">
        <v>10</v>
      </c>
      <c r="B460" s="10" t="s">
        <v>54</v>
      </c>
      <c r="C460" s="10" t="s">
        <v>41</v>
      </c>
      <c r="D460" s="10" t="s">
        <v>42</v>
      </c>
      <c r="E460" s="11" t="s">
        <v>58</v>
      </c>
      <c r="F460" s="11" t="s">
        <v>17</v>
      </c>
      <c r="G460" s="10" t="s">
        <v>24</v>
      </c>
      <c r="H460" s="11" t="s">
        <v>19</v>
      </c>
      <c r="I460" s="11" t="s">
        <v>20</v>
      </c>
      <c r="J460" s="11"/>
      <c r="K460" s="11" t="s">
        <v>58</v>
      </c>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4"/>
    </row>
    <row r="461" spans="1:35" ht="15.75" hidden="1" customHeight="1" x14ac:dyDescent="0.25">
      <c r="A461" s="9">
        <v>11</v>
      </c>
      <c r="B461" s="10" t="s">
        <v>54</v>
      </c>
      <c r="C461" s="10" t="s">
        <v>41</v>
      </c>
      <c r="D461" s="10" t="s">
        <v>42</v>
      </c>
      <c r="E461" s="11" t="s">
        <v>58</v>
      </c>
      <c r="F461" s="11" t="s">
        <v>17</v>
      </c>
      <c r="G461" s="10" t="s">
        <v>18</v>
      </c>
      <c r="H461" s="11" t="s">
        <v>19</v>
      </c>
      <c r="I461" s="11" t="s">
        <v>20</v>
      </c>
      <c r="J461" s="11"/>
      <c r="K461" s="11" t="s">
        <v>58</v>
      </c>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4"/>
    </row>
    <row r="462" spans="1:35" ht="15.75" hidden="1" customHeight="1" x14ac:dyDescent="0.25">
      <c r="A462" s="9">
        <v>12</v>
      </c>
      <c r="B462" s="10" t="s">
        <v>54</v>
      </c>
      <c r="C462" s="10" t="s">
        <v>41</v>
      </c>
      <c r="D462" s="10" t="s">
        <v>42</v>
      </c>
      <c r="E462" s="11" t="s">
        <v>58</v>
      </c>
      <c r="F462" s="11" t="s">
        <v>17</v>
      </c>
      <c r="G462" s="10" t="s">
        <v>24</v>
      </c>
      <c r="H462" s="11" t="s">
        <v>19</v>
      </c>
      <c r="I462" s="11" t="s">
        <v>20</v>
      </c>
      <c r="J462" s="11"/>
      <c r="K462" s="11" t="s">
        <v>58</v>
      </c>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4"/>
    </row>
    <row r="463" spans="1:35" ht="15.75" hidden="1" customHeight="1" x14ac:dyDescent="0.25">
      <c r="A463" s="9">
        <v>13</v>
      </c>
      <c r="B463" s="10" t="s">
        <v>54</v>
      </c>
      <c r="C463" s="10" t="s">
        <v>41</v>
      </c>
      <c r="D463" s="10" t="s">
        <v>42</v>
      </c>
      <c r="E463" s="11" t="s">
        <v>58</v>
      </c>
      <c r="F463" s="11" t="s">
        <v>17</v>
      </c>
      <c r="G463" s="10" t="s">
        <v>24</v>
      </c>
      <c r="H463" s="11" t="s">
        <v>19</v>
      </c>
      <c r="I463" s="11" t="s">
        <v>20</v>
      </c>
      <c r="J463" s="11"/>
      <c r="K463" s="11" t="s">
        <v>58</v>
      </c>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4"/>
    </row>
    <row r="464" spans="1:35" ht="15.75" hidden="1" customHeight="1" x14ac:dyDescent="0.25">
      <c r="A464" s="9">
        <v>14</v>
      </c>
      <c r="B464" s="10" t="s">
        <v>54</v>
      </c>
      <c r="C464" s="10" t="s">
        <v>41</v>
      </c>
      <c r="D464" s="10" t="s">
        <v>42</v>
      </c>
      <c r="E464" s="11" t="s">
        <v>58</v>
      </c>
      <c r="F464" s="11" t="s">
        <v>17</v>
      </c>
      <c r="G464" s="10" t="s">
        <v>24</v>
      </c>
      <c r="H464" s="11" t="s">
        <v>19</v>
      </c>
      <c r="I464" s="11" t="s">
        <v>20</v>
      </c>
      <c r="J464" s="11"/>
      <c r="K464" s="11" t="s">
        <v>58</v>
      </c>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4"/>
    </row>
    <row r="465" spans="1:35" ht="15.75" hidden="1" customHeight="1" x14ac:dyDescent="0.25">
      <c r="A465" s="9">
        <v>15</v>
      </c>
      <c r="B465" s="10" t="s">
        <v>54</v>
      </c>
      <c r="C465" s="10" t="s">
        <v>41</v>
      </c>
      <c r="D465" s="10" t="s">
        <v>42</v>
      </c>
      <c r="E465" s="11" t="s">
        <v>58</v>
      </c>
      <c r="F465" s="11" t="s">
        <v>17</v>
      </c>
      <c r="G465" s="10" t="s">
        <v>18</v>
      </c>
      <c r="H465" s="11" t="s">
        <v>19</v>
      </c>
      <c r="I465" s="11" t="s">
        <v>20</v>
      </c>
      <c r="J465" s="11"/>
      <c r="K465" s="11" t="s">
        <v>58</v>
      </c>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4"/>
    </row>
    <row r="466" spans="1:35" ht="15.75" hidden="1" customHeight="1" x14ac:dyDescent="0.25">
      <c r="A466" s="9">
        <v>16</v>
      </c>
      <c r="B466" s="10" t="s">
        <v>54</v>
      </c>
      <c r="C466" s="10" t="s">
        <v>41</v>
      </c>
      <c r="D466" s="10" t="s">
        <v>42</v>
      </c>
      <c r="E466" s="11" t="s">
        <v>58</v>
      </c>
      <c r="F466" s="11" t="s">
        <v>17</v>
      </c>
      <c r="G466" s="10" t="s">
        <v>18</v>
      </c>
      <c r="H466" s="11" t="s">
        <v>19</v>
      </c>
      <c r="I466" s="11" t="s">
        <v>20</v>
      </c>
      <c r="J466" s="11"/>
      <c r="K466" s="11" t="s">
        <v>58</v>
      </c>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4"/>
    </row>
    <row r="467" spans="1:35" ht="15.75" hidden="1" customHeight="1" x14ac:dyDescent="0.25">
      <c r="A467" s="9">
        <v>17</v>
      </c>
      <c r="B467" s="10" t="s">
        <v>54</v>
      </c>
      <c r="C467" s="10" t="s">
        <v>41</v>
      </c>
      <c r="D467" s="10" t="s">
        <v>42</v>
      </c>
      <c r="E467" s="11" t="s">
        <v>58</v>
      </c>
      <c r="F467" s="11" t="s">
        <v>17</v>
      </c>
      <c r="G467" s="10" t="s">
        <v>24</v>
      </c>
      <c r="H467" s="11" t="s">
        <v>19</v>
      </c>
      <c r="I467" s="11" t="s">
        <v>20</v>
      </c>
      <c r="J467" s="11"/>
      <c r="K467" s="11" t="s">
        <v>58</v>
      </c>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4"/>
    </row>
    <row r="468" spans="1:35" ht="15.75" hidden="1" customHeight="1" x14ac:dyDescent="0.25">
      <c r="A468" s="9">
        <v>18</v>
      </c>
      <c r="B468" s="10" t="s">
        <v>54</v>
      </c>
      <c r="C468" s="10" t="s">
        <v>41</v>
      </c>
      <c r="D468" s="10" t="s">
        <v>42</v>
      </c>
      <c r="E468" s="11" t="s">
        <v>58</v>
      </c>
      <c r="F468" s="11" t="s">
        <v>17</v>
      </c>
      <c r="G468" s="10" t="s">
        <v>24</v>
      </c>
      <c r="H468" s="11" t="s">
        <v>19</v>
      </c>
      <c r="I468" s="11" t="s">
        <v>20</v>
      </c>
      <c r="J468" s="11"/>
      <c r="K468" s="11" t="s">
        <v>58</v>
      </c>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4"/>
    </row>
    <row r="469" spans="1:35" ht="15.75" hidden="1" customHeight="1" x14ac:dyDescent="0.25">
      <c r="A469" s="9">
        <v>19</v>
      </c>
      <c r="B469" s="10" t="s">
        <v>54</v>
      </c>
      <c r="C469" s="10" t="s">
        <v>41</v>
      </c>
      <c r="D469" s="10" t="s">
        <v>42</v>
      </c>
      <c r="E469" s="11" t="s">
        <v>58</v>
      </c>
      <c r="F469" s="11" t="s">
        <v>17</v>
      </c>
      <c r="G469" s="10" t="s">
        <v>24</v>
      </c>
      <c r="H469" s="11" t="s">
        <v>19</v>
      </c>
      <c r="I469" s="11" t="s">
        <v>20</v>
      </c>
      <c r="J469" s="11"/>
      <c r="K469" s="11" t="s">
        <v>58</v>
      </c>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4"/>
    </row>
    <row r="470" spans="1:35" ht="15.75" hidden="1" customHeight="1" x14ac:dyDescent="0.25">
      <c r="A470" s="9">
        <v>20</v>
      </c>
      <c r="B470" s="10" t="s">
        <v>54</v>
      </c>
      <c r="C470" s="10" t="s">
        <v>41</v>
      </c>
      <c r="D470" s="10" t="s">
        <v>42</v>
      </c>
      <c r="E470" s="11" t="s">
        <v>58</v>
      </c>
      <c r="F470" s="11" t="s">
        <v>17</v>
      </c>
      <c r="G470" s="10" t="s">
        <v>18</v>
      </c>
      <c r="H470" s="11" t="s">
        <v>19</v>
      </c>
      <c r="I470" s="11" t="s">
        <v>20</v>
      </c>
      <c r="J470" s="11"/>
      <c r="K470" s="11" t="s">
        <v>58</v>
      </c>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4"/>
    </row>
    <row r="471" spans="1:35" ht="15.75" hidden="1" customHeight="1" x14ac:dyDescent="0.25">
      <c r="A471" s="9">
        <v>21</v>
      </c>
      <c r="B471" s="10" t="s">
        <v>54</v>
      </c>
      <c r="C471" s="10" t="s">
        <v>41</v>
      </c>
      <c r="D471" s="10" t="s">
        <v>42</v>
      </c>
      <c r="E471" s="11" t="s">
        <v>58</v>
      </c>
      <c r="F471" s="11" t="s">
        <v>17</v>
      </c>
      <c r="G471" s="10" t="s">
        <v>24</v>
      </c>
      <c r="H471" s="11" t="s">
        <v>19</v>
      </c>
      <c r="I471" s="11" t="s">
        <v>20</v>
      </c>
      <c r="J471" s="11"/>
      <c r="K471" s="11" t="s">
        <v>58</v>
      </c>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4"/>
    </row>
    <row r="472" spans="1:35" ht="15.75" hidden="1" customHeight="1" x14ac:dyDescent="0.25">
      <c r="A472" s="9">
        <v>22</v>
      </c>
      <c r="B472" s="10" t="s">
        <v>54</v>
      </c>
      <c r="C472" s="10" t="s">
        <v>41</v>
      </c>
      <c r="D472" s="10" t="s">
        <v>42</v>
      </c>
      <c r="E472" s="11" t="s">
        <v>58</v>
      </c>
      <c r="F472" s="11" t="s">
        <v>17</v>
      </c>
      <c r="G472" s="10" t="s">
        <v>24</v>
      </c>
      <c r="H472" s="11" t="s">
        <v>19</v>
      </c>
      <c r="I472" s="11" t="s">
        <v>20</v>
      </c>
      <c r="J472" s="11"/>
      <c r="K472" s="11" t="s">
        <v>58</v>
      </c>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4"/>
    </row>
    <row r="473" spans="1:35" ht="15.75" hidden="1" customHeight="1" x14ac:dyDescent="0.25">
      <c r="A473" s="9">
        <v>23</v>
      </c>
      <c r="B473" s="10" t="s">
        <v>54</v>
      </c>
      <c r="C473" s="10" t="s">
        <v>41</v>
      </c>
      <c r="D473" s="10" t="s">
        <v>42</v>
      </c>
      <c r="E473" s="11" t="s">
        <v>58</v>
      </c>
      <c r="F473" s="11" t="s">
        <v>17</v>
      </c>
      <c r="G473" s="10" t="s">
        <v>24</v>
      </c>
      <c r="H473" s="11" t="s">
        <v>19</v>
      </c>
      <c r="I473" s="11" t="s">
        <v>20</v>
      </c>
      <c r="J473" s="11"/>
      <c r="K473" s="11" t="s">
        <v>58</v>
      </c>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4"/>
    </row>
    <row r="474" spans="1:35" ht="15.75" hidden="1" customHeight="1" x14ac:dyDescent="0.25">
      <c r="A474" s="9">
        <v>24</v>
      </c>
      <c r="B474" s="10" t="s">
        <v>54</v>
      </c>
      <c r="C474" s="10" t="s">
        <v>41</v>
      </c>
      <c r="D474" s="10" t="s">
        <v>42</v>
      </c>
      <c r="E474" s="11" t="s">
        <v>58</v>
      </c>
      <c r="F474" s="11" t="s">
        <v>17</v>
      </c>
      <c r="G474" s="10" t="s">
        <v>18</v>
      </c>
      <c r="H474" s="11" t="s">
        <v>19</v>
      </c>
      <c r="I474" s="11" t="s">
        <v>20</v>
      </c>
      <c r="J474" s="11"/>
      <c r="K474" s="11" t="s">
        <v>58</v>
      </c>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4"/>
    </row>
    <row r="475" spans="1:35" ht="15.75" hidden="1" customHeight="1" x14ac:dyDescent="0.25">
      <c r="A475" s="9">
        <v>25</v>
      </c>
      <c r="B475" s="10" t="s">
        <v>54</v>
      </c>
      <c r="C475" s="10" t="s">
        <v>41</v>
      </c>
      <c r="D475" s="10" t="s">
        <v>42</v>
      </c>
      <c r="E475" s="11" t="s">
        <v>58</v>
      </c>
      <c r="F475" s="11" t="s">
        <v>17</v>
      </c>
      <c r="G475" s="10" t="s">
        <v>18</v>
      </c>
      <c r="H475" s="11" t="s">
        <v>19</v>
      </c>
      <c r="I475" s="11" t="s">
        <v>20</v>
      </c>
      <c r="J475" s="11"/>
      <c r="K475" s="11" t="s">
        <v>58</v>
      </c>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4"/>
    </row>
    <row r="476" spans="1:35" ht="15.75" hidden="1" customHeight="1" x14ac:dyDescent="0.25">
      <c r="A476" s="9">
        <v>26</v>
      </c>
      <c r="B476" s="10" t="s">
        <v>54</v>
      </c>
      <c r="C476" s="10" t="s">
        <v>41</v>
      </c>
      <c r="D476" s="10" t="s">
        <v>43</v>
      </c>
      <c r="E476" s="11" t="s">
        <v>58</v>
      </c>
      <c r="F476" s="11" t="s">
        <v>17</v>
      </c>
      <c r="G476" s="10" t="s">
        <v>24</v>
      </c>
      <c r="H476" s="11" t="s">
        <v>23</v>
      </c>
      <c r="I476" s="11" t="s">
        <v>20</v>
      </c>
      <c r="J476" s="11"/>
      <c r="K476" s="11" t="s">
        <v>58</v>
      </c>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4"/>
    </row>
    <row r="477" spans="1:35" ht="15.75" hidden="1" customHeight="1" x14ac:dyDescent="0.25">
      <c r="A477" s="9">
        <v>27</v>
      </c>
      <c r="B477" s="10" t="s">
        <v>54</v>
      </c>
      <c r="C477" s="10" t="s">
        <v>41</v>
      </c>
      <c r="D477" s="10" t="s">
        <v>43</v>
      </c>
      <c r="E477" s="11" t="s">
        <v>58</v>
      </c>
      <c r="F477" s="11" t="s">
        <v>17</v>
      </c>
      <c r="G477" s="10" t="s">
        <v>18</v>
      </c>
      <c r="H477" s="11" t="s">
        <v>19</v>
      </c>
      <c r="I477" s="11" t="s">
        <v>20</v>
      </c>
      <c r="J477" s="11"/>
      <c r="K477" s="11" t="s">
        <v>58</v>
      </c>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4"/>
    </row>
    <row r="478" spans="1:35" ht="15.75" hidden="1" customHeight="1" x14ac:dyDescent="0.25">
      <c r="A478" s="9">
        <v>28</v>
      </c>
      <c r="B478" s="10" t="s">
        <v>54</v>
      </c>
      <c r="C478" s="10" t="s">
        <v>41</v>
      </c>
      <c r="D478" s="10" t="s">
        <v>43</v>
      </c>
      <c r="E478" s="11" t="s">
        <v>58</v>
      </c>
      <c r="F478" s="11" t="s">
        <v>17</v>
      </c>
      <c r="G478" s="10" t="s">
        <v>24</v>
      </c>
      <c r="H478" s="11" t="s">
        <v>23</v>
      </c>
      <c r="I478" s="11" t="s">
        <v>20</v>
      </c>
      <c r="J478" s="11"/>
      <c r="K478" s="11" t="s">
        <v>58</v>
      </c>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4"/>
    </row>
    <row r="479" spans="1:35" ht="15.75" hidden="1" customHeight="1" x14ac:dyDescent="0.25">
      <c r="A479" s="9">
        <v>29</v>
      </c>
      <c r="B479" s="10" t="s">
        <v>54</v>
      </c>
      <c r="C479" s="10" t="s">
        <v>41</v>
      </c>
      <c r="D479" s="10" t="s">
        <v>43</v>
      </c>
      <c r="E479" s="11" t="s">
        <v>58</v>
      </c>
      <c r="F479" s="11" t="s">
        <v>17</v>
      </c>
      <c r="G479" s="10" t="s">
        <v>24</v>
      </c>
      <c r="H479" s="11" t="s">
        <v>25</v>
      </c>
      <c r="I479" s="11" t="s">
        <v>20</v>
      </c>
      <c r="J479" s="11"/>
      <c r="K479" s="11" t="s">
        <v>58</v>
      </c>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4"/>
    </row>
    <row r="480" spans="1:35" ht="15.75" hidden="1" customHeight="1" x14ac:dyDescent="0.25">
      <c r="A480" s="9">
        <v>30</v>
      </c>
      <c r="B480" s="10" t="s">
        <v>54</v>
      </c>
      <c r="C480" s="10" t="s">
        <v>41</v>
      </c>
      <c r="D480" s="10" t="s">
        <v>43</v>
      </c>
      <c r="E480" s="11" t="s">
        <v>58</v>
      </c>
      <c r="F480" s="11" t="s">
        <v>17</v>
      </c>
      <c r="G480" s="10" t="s">
        <v>24</v>
      </c>
      <c r="H480" s="11" t="s">
        <v>19</v>
      </c>
      <c r="I480" s="11" t="s">
        <v>20</v>
      </c>
      <c r="J480" s="11"/>
      <c r="K480" s="11" t="s">
        <v>58</v>
      </c>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4"/>
    </row>
    <row r="481" spans="1:35" ht="15.75" hidden="1" customHeight="1" x14ac:dyDescent="0.25">
      <c r="A481" s="9">
        <v>31</v>
      </c>
      <c r="B481" s="10" t="s">
        <v>54</v>
      </c>
      <c r="C481" s="10" t="s">
        <v>41</v>
      </c>
      <c r="D481" s="10" t="s">
        <v>43</v>
      </c>
      <c r="E481" s="11" t="s">
        <v>58</v>
      </c>
      <c r="F481" s="11" t="s">
        <v>17</v>
      </c>
      <c r="G481" s="10" t="s">
        <v>18</v>
      </c>
      <c r="H481" s="11" t="s">
        <v>19</v>
      </c>
      <c r="I481" s="11" t="s">
        <v>20</v>
      </c>
      <c r="J481" s="11"/>
      <c r="K481" s="11" t="s">
        <v>58</v>
      </c>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4"/>
    </row>
    <row r="482" spans="1:35" ht="15.75" hidden="1" customHeight="1" x14ac:dyDescent="0.25">
      <c r="A482" s="9">
        <v>32</v>
      </c>
      <c r="B482" s="10" t="s">
        <v>54</v>
      </c>
      <c r="C482" s="10" t="s">
        <v>41</v>
      </c>
      <c r="D482" s="10" t="s">
        <v>43</v>
      </c>
      <c r="E482" s="11" t="s">
        <v>58</v>
      </c>
      <c r="F482" s="11" t="s">
        <v>17</v>
      </c>
      <c r="G482" s="10" t="s">
        <v>18</v>
      </c>
      <c r="H482" s="11" t="s">
        <v>19</v>
      </c>
      <c r="I482" s="11" t="s">
        <v>20</v>
      </c>
      <c r="J482" s="11"/>
      <c r="K482" s="11" t="s">
        <v>58</v>
      </c>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4"/>
    </row>
    <row r="483" spans="1:35" ht="15.75" hidden="1" customHeight="1" x14ac:dyDescent="0.25">
      <c r="A483" s="9">
        <v>33</v>
      </c>
      <c r="B483" s="10" t="s">
        <v>54</v>
      </c>
      <c r="C483" s="10" t="s">
        <v>41</v>
      </c>
      <c r="D483" s="10" t="s">
        <v>43</v>
      </c>
      <c r="E483" s="11" t="s">
        <v>58</v>
      </c>
      <c r="F483" s="11" t="s">
        <v>17</v>
      </c>
      <c r="G483" s="10" t="s">
        <v>18</v>
      </c>
      <c r="H483" s="11" t="s">
        <v>19</v>
      </c>
      <c r="I483" s="11" t="s">
        <v>20</v>
      </c>
      <c r="J483" s="11"/>
      <c r="K483" s="11" t="s">
        <v>58</v>
      </c>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4"/>
    </row>
    <row r="484" spans="1:35" ht="15.75" hidden="1" customHeight="1" x14ac:dyDescent="0.25">
      <c r="A484" s="9">
        <v>34</v>
      </c>
      <c r="B484" s="10" t="s">
        <v>54</v>
      </c>
      <c r="C484" s="10" t="s">
        <v>41</v>
      </c>
      <c r="D484" s="10" t="s">
        <v>43</v>
      </c>
      <c r="E484" s="11" t="s">
        <v>58</v>
      </c>
      <c r="F484" s="11" t="s">
        <v>17</v>
      </c>
      <c r="G484" s="10" t="s">
        <v>18</v>
      </c>
      <c r="H484" s="11" t="s">
        <v>19</v>
      </c>
      <c r="I484" s="11" t="s">
        <v>20</v>
      </c>
      <c r="J484" s="11"/>
      <c r="K484" s="11" t="s">
        <v>58</v>
      </c>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4"/>
    </row>
    <row r="485" spans="1:35" ht="15.75" hidden="1" customHeight="1" x14ac:dyDescent="0.25">
      <c r="A485" s="9">
        <v>35</v>
      </c>
      <c r="B485" s="10" t="s">
        <v>54</v>
      </c>
      <c r="C485" s="10" t="s">
        <v>41</v>
      </c>
      <c r="D485" s="10" t="s">
        <v>43</v>
      </c>
      <c r="E485" s="11" t="s">
        <v>58</v>
      </c>
      <c r="F485" s="11" t="s">
        <v>17</v>
      </c>
      <c r="G485" s="10" t="s">
        <v>18</v>
      </c>
      <c r="H485" s="11" t="s">
        <v>19</v>
      </c>
      <c r="I485" s="11" t="s">
        <v>20</v>
      </c>
      <c r="J485" s="11"/>
      <c r="K485" s="11" t="s">
        <v>58</v>
      </c>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4"/>
    </row>
    <row r="486" spans="1:35" ht="15.75" hidden="1" customHeight="1" x14ac:dyDescent="0.25">
      <c r="A486" s="9">
        <v>36</v>
      </c>
      <c r="B486" s="10" t="s">
        <v>54</v>
      </c>
      <c r="C486" s="10" t="s">
        <v>41</v>
      </c>
      <c r="D486" s="10" t="s">
        <v>43</v>
      </c>
      <c r="E486" s="11" t="s">
        <v>58</v>
      </c>
      <c r="F486" s="11" t="s">
        <v>17</v>
      </c>
      <c r="G486" s="10" t="s">
        <v>18</v>
      </c>
      <c r="H486" s="11" t="s">
        <v>19</v>
      </c>
      <c r="I486" s="11" t="s">
        <v>20</v>
      </c>
      <c r="J486" s="11"/>
      <c r="K486" s="11" t="s">
        <v>58</v>
      </c>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4"/>
    </row>
    <row r="487" spans="1:35" ht="15.75" hidden="1" customHeight="1" x14ac:dyDescent="0.25">
      <c r="A487" s="9">
        <v>37</v>
      </c>
      <c r="B487" s="10" t="s">
        <v>54</v>
      </c>
      <c r="C487" s="10" t="s">
        <v>41</v>
      </c>
      <c r="D487" s="10" t="s">
        <v>43</v>
      </c>
      <c r="E487" s="11" t="s">
        <v>58</v>
      </c>
      <c r="F487" s="11" t="s">
        <v>17</v>
      </c>
      <c r="G487" s="10" t="s">
        <v>24</v>
      </c>
      <c r="H487" s="11" t="s">
        <v>19</v>
      </c>
      <c r="I487" s="11" t="s">
        <v>20</v>
      </c>
      <c r="J487" s="11"/>
      <c r="K487" s="11" t="s">
        <v>58</v>
      </c>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4"/>
    </row>
    <row r="488" spans="1:35" ht="15.75" hidden="1" customHeight="1" x14ac:dyDescent="0.25">
      <c r="A488" s="9">
        <v>38</v>
      </c>
      <c r="B488" s="10" t="s">
        <v>54</v>
      </c>
      <c r="C488" s="10" t="s">
        <v>41</v>
      </c>
      <c r="D488" s="10" t="s">
        <v>43</v>
      </c>
      <c r="E488" s="11" t="s">
        <v>58</v>
      </c>
      <c r="F488" s="11" t="s">
        <v>17</v>
      </c>
      <c r="G488" s="10" t="s">
        <v>24</v>
      </c>
      <c r="H488" s="11" t="s">
        <v>19</v>
      </c>
      <c r="I488" s="11" t="s">
        <v>20</v>
      </c>
      <c r="J488" s="11"/>
      <c r="K488" s="11" t="s">
        <v>58</v>
      </c>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4"/>
    </row>
    <row r="489" spans="1:35" ht="15.75" hidden="1" customHeight="1" x14ac:dyDescent="0.25">
      <c r="A489" s="9">
        <v>39</v>
      </c>
      <c r="B489" s="10" t="s">
        <v>54</v>
      </c>
      <c r="C489" s="10" t="s">
        <v>41</v>
      </c>
      <c r="D489" s="10" t="s">
        <v>43</v>
      </c>
      <c r="E489" s="11" t="s">
        <v>58</v>
      </c>
      <c r="F489" s="11" t="s">
        <v>17</v>
      </c>
      <c r="G489" s="10" t="s">
        <v>18</v>
      </c>
      <c r="H489" s="11" t="s">
        <v>19</v>
      </c>
      <c r="I489" s="11" t="s">
        <v>20</v>
      </c>
      <c r="J489" s="11"/>
      <c r="K489" s="11" t="s">
        <v>58</v>
      </c>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4"/>
    </row>
    <row r="490" spans="1:35" ht="15.75" hidden="1" customHeight="1" x14ac:dyDescent="0.25">
      <c r="A490" s="9">
        <v>40</v>
      </c>
      <c r="B490" s="10" t="s">
        <v>54</v>
      </c>
      <c r="C490" s="10" t="s">
        <v>41</v>
      </c>
      <c r="D490" s="10" t="s">
        <v>43</v>
      </c>
      <c r="E490" s="11" t="s">
        <v>58</v>
      </c>
      <c r="F490" s="11" t="s">
        <v>17</v>
      </c>
      <c r="G490" s="10" t="s">
        <v>24</v>
      </c>
      <c r="H490" s="11" t="s">
        <v>19</v>
      </c>
      <c r="I490" s="11" t="s">
        <v>20</v>
      </c>
      <c r="J490" s="11"/>
      <c r="K490" s="11" t="s">
        <v>58</v>
      </c>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4"/>
    </row>
    <row r="491" spans="1:35" ht="15.75" hidden="1" customHeight="1" x14ac:dyDescent="0.25">
      <c r="A491" s="9">
        <v>41</v>
      </c>
      <c r="B491" s="10" t="s">
        <v>54</v>
      </c>
      <c r="C491" s="10" t="s">
        <v>41</v>
      </c>
      <c r="D491" s="10" t="s">
        <v>43</v>
      </c>
      <c r="E491" s="11" t="s">
        <v>58</v>
      </c>
      <c r="F491" s="11" t="s">
        <v>17</v>
      </c>
      <c r="G491" s="10" t="s">
        <v>24</v>
      </c>
      <c r="H491" s="11" t="s">
        <v>19</v>
      </c>
      <c r="I491" s="11" t="s">
        <v>20</v>
      </c>
      <c r="J491" s="11"/>
      <c r="K491" s="11" t="s">
        <v>58</v>
      </c>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4"/>
    </row>
    <row r="492" spans="1:35" ht="15.75" hidden="1" customHeight="1" x14ac:dyDescent="0.25">
      <c r="A492" s="9">
        <v>42</v>
      </c>
      <c r="B492" s="10" t="s">
        <v>54</v>
      </c>
      <c r="C492" s="10" t="s">
        <v>41</v>
      </c>
      <c r="D492" s="10" t="s">
        <v>43</v>
      </c>
      <c r="E492" s="11" t="s">
        <v>58</v>
      </c>
      <c r="F492" s="11" t="s">
        <v>17</v>
      </c>
      <c r="G492" s="10" t="s">
        <v>18</v>
      </c>
      <c r="H492" s="11" t="s">
        <v>19</v>
      </c>
      <c r="I492" s="11" t="s">
        <v>20</v>
      </c>
      <c r="J492" s="11"/>
      <c r="K492" s="11" t="s">
        <v>58</v>
      </c>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4"/>
    </row>
    <row r="493" spans="1:35" ht="15.75" hidden="1" customHeight="1" x14ac:dyDescent="0.25">
      <c r="A493" s="9">
        <v>43</v>
      </c>
      <c r="B493" s="10" t="s">
        <v>54</v>
      </c>
      <c r="C493" s="10" t="s">
        <v>41</v>
      </c>
      <c r="D493" s="10" t="s">
        <v>43</v>
      </c>
      <c r="E493" s="11" t="s">
        <v>58</v>
      </c>
      <c r="F493" s="11" t="s">
        <v>17</v>
      </c>
      <c r="G493" s="10" t="s">
        <v>24</v>
      </c>
      <c r="H493" s="11" t="s">
        <v>19</v>
      </c>
      <c r="I493" s="11" t="s">
        <v>20</v>
      </c>
      <c r="J493" s="11"/>
      <c r="K493" s="11" t="s">
        <v>58</v>
      </c>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4"/>
    </row>
    <row r="494" spans="1:35" ht="15.75" hidden="1" customHeight="1" x14ac:dyDescent="0.25">
      <c r="A494" s="9">
        <v>44</v>
      </c>
      <c r="B494" s="10" t="s">
        <v>54</v>
      </c>
      <c r="C494" s="10" t="s">
        <v>41</v>
      </c>
      <c r="D494" s="10" t="s">
        <v>43</v>
      </c>
      <c r="E494" s="11" t="s">
        <v>58</v>
      </c>
      <c r="F494" s="11" t="s">
        <v>17</v>
      </c>
      <c r="G494" s="10" t="s">
        <v>18</v>
      </c>
      <c r="H494" s="11" t="s">
        <v>19</v>
      </c>
      <c r="I494" s="11" t="s">
        <v>20</v>
      </c>
      <c r="J494" s="11"/>
      <c r="K494" s="11" t="s">
        <v>58</v>
      </c>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4"/>
    </row>
    <row r="495" spans="1:35" ht="15.75" hidden="1" customHeight="1" x14ac:dyDescent="0.25">
      <c r="A495" s="9">
        <v>45</v>
      </c>
      <c r="B495" s="10" t="s">
        <v>54</v>
      </c>
      <c r="C495" s="10" t="s">
        <v>41</v>
      </c>
      <c r="D495" s="10" t="s">
        <v>43</v>
      </c>
      <c r="E495" s="11" t="s">
        <v>58</v>
      </c>
      <c r="F495" s="11" t="s">
        <v>17</v>
      </c>
      <c r="G495" s="10" t="s">
        <v>24</v>
      </c>
      <c r="H495" s="11" t="s">
        <v>19</v>
      </c>
      <c r="I495" s="11" t="s">
        <v>20</v>
      </c>
      <c r="J495" s="11"/>
      <c r="K495" s="11" t="s">
        <v>58</v>
      </c>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4"/>
    </row>
    <row r="496" spans="1:35" ht="15.75" hidden="1" customHeight="1" x14ac:dyDescent="0.25">
      <c r="A496" s="9">
        <v>46</v>
      </c>
      <c r="B496" s="10" t="s">
        <v>54</v>
      </c>
      <c r="C496" s="10" t="s">
        <v>41</v>
      </c>
      <c r="D496" s="10" t="s">
        <v>43</v>
      </c>
      <c r="E496" s="11" t="s">
        <v>58</v>
      </c>
      <c r="F496" s="11" t="s">
        <v>17</v>
      </c>
      <c r="G496" s="10" t="s">
        <v>18</v>
      </c>
      <c r="H496" s="11" t="s">
        <v>19</v>
      </c>
      <c r="I496" s="11" t="s">
        <v>20</v>
      </c>
      <c r="J496" s="11"/>
      <c r="K496" s="11" t="s">
        <v>58</v>
      </c>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4"/>
    </row>
    <row r="497" spans="1:35" ht="15.75" hidden="1" customHeight="1" x14ac:dyDescent="0.25">
      <c r="A497" s="9">
        <v>47</v>
      </c>
      <c r="B497" s="10" t="s">
        <v>54</v>
      </c>
      <c r="C497" s="10" t="s">
        <v>41</v>
      </c>
      <c r="D497" s="10" t="s">
        <v>43</v>
      </c>
      <c r="E497" s="11" t="s">
        <v>58</v>
      </c>
      <c r="F497" s="11" t="s">
        <v>17</v>
      </c>
      <c r="G497" s="10" t="s">
        <v>24</v>
      </c>
      <c r="H497" s="11" t="s">
        <v>19</v>
      </c>
      <c r="I497" s="11" t="s">
        <v>20</v>
      </c>
      <c r="J497" s="11"/>
      <c r="K497" s="11" t="s">
        <v>58</v>
      </c>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4"/>
    </row>
    <row r="498" spans="1:35" ht="15.75" hidden="1" customHeight="1" x14ac:dyDescent="0.25">
      <c r="A498" s="9">
        <v>48</v>
      </c>
      <c r="B498" s="10" t="s">
        <v>54</v>
      </c>
      <c r="C498" s="10" t="s">
        <v>41</v>
      </c>
      <c r="D498" s="10" t="s">
        <v>43</v>
      </c>
      <c r="E498" s="11" t="s">
        <v>58</v>
      </c>
      <c r="F498" s="11" t="s">
        <v>17</v>
      </c>
      <c r="G498" s="10" t="s">
        <v>24</v>
      </c>
      <c r="H498" s="11" t="s">
        <v>19</v>
      </c>
      <c r="I498" s="11" t="s">
        <v>20</v>
      </c>
      <c r="J498" s="11"/>
      <c r="K498" s="11" t="s">
        <v>58</v>
      </c>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4"/>
    </row>
    <row r="499" spans="1:35" ht="15.75" hidden="1" customHeight="1" x14ac:dyDescent="0.25">
      <c r="A499" s="9">
        <v>49</v>
      </c>
      <c r="B499" s="10" t="s">
        <v>54</v>
      </c>
      <c r="C499" s="10" t="s">
        <v>41</v>
      </c>
      <c r="D499" s="10" t="s">
        <v>43</v>
      </c>
      <c r="E499" s="11" t="s">
        <v>58</v>
      </c>
      <c r="F499" s="11" t="s">
        <v>17</v>
      </c>
      <c r="G499" s="10" t="s">
        <v>24</v>
      </c>
      <c r="H499" s="11" t="s">
        <v>19</v>
      </c>
      <c r="I499" s="11" t="s">
        <v>20</v>
      </c>
      <c r="J499" s="11"/>
      <c r="K499" s="11" t="s">
        <v>58</v>
      </c>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4"/>
    </row>
    <row r="500" spans="1:35" ht="15.75" hidden="1" customHeight="1" x14ac:dyDescent="0.25">
      <c r="A500" s="9">
        <v>50</v>
      </c>
      <c r="B500" s="10" t="s">
        <v>54</v>
      </c>
      <c r="C500" s="10" t="s">
        <v>41</v>
      </c>
      <c r="D500" s="10" t="s">
        <v>43</v>
      </c>
      <c r="E500" s="11" t="s">
        <v>58</v>
      </c>
      <c r="F500" s="11" t="s">
        <v>17</v>
      </c>
      <c r="G500" s="10" t="s">
        <v>18</v>
      </c>
      <c r="H500" s="11" t="s">
        <v>19</v>
      </c>
      <c r="I500" s="11" t="s">
        <v>20</v>
      </c>
      <c r="J500" s="11"/>
      <c r="K500" s="11" t="s">
        <v>58</v>
      </c>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4"/>
    </row>
    <row r="501" spans="1:35" ht="15.75" hidden="1" customHeight="1" x14ac:dyDescent="0.25">
      <c r="A501" s="9">
        <v>51</v>
      </c>
      <c r="B501" s="10" t="s">
        <v>54</v>
      </c>
      <c r="C501" s="10" t="s">
        <v>41</v>
      </c>
      <c r="D501" s="10" t="s">
        <v>43</v>
      </c>
      <c r="E501" s="11" t="s">
        <v>58</v>
      </c>
      <c r="F501" s="11" t="s">
        <v>17</v>
      </c>
      <c r="G501" s="10" t="s">
        <v>18</v>
      </c>
      <c r="H501" s="11" t="s">
        <v>19</v>
      </c>
      <c r="I501" s="11" t="s">
        <v>20</v>
      </c>
      <c r="J501" s="11"/>
      <c r="K501" s="11" t="s">
        <v>58</v>
      </c>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4"/>
    </row>
    <row r="502" spans="1:35" ht="15.75" customHeight="1" x14ac:dyDescent="0.25">
      <c r="A502" s="9">
        <v>1</v>
      </c>
      <c r="B502" s="10" t="s">
        <v>54</v>
      </c>
      <c r="C502" s="10" t="s">
        <v>15</v>
      </c>
      <c r="D502" s="10" t="s">
        <v>141</v>
      </c>
      <c r="E502" s="11" t="s">
        <v>153</v>
      </c>
      <c r="F502" s="11" t="s">
        <v>17</v>
      </c>
      <c r="G502" s="10" t="s">
        <v>18</v>
      </c>
      <c r="H502" s="11" t="s">
        <v>23</v>
      </c>
      <c r="I502" s="11" t="s">
        <v>20</v>
      </c>
      <c r="J502" s="11"/>
      <c r="K502" s="11">
        <v>36173</v>
      </c>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4"/>
    </row>
    <row r="503" spans="1:35" ht="15.75" customHeight="1" x14ac:dyDescent="0.25">
      <c r="A503" s="9">
        <v>2</v>
      </c>
      <c r="B503" s="10" t="s">
        <v>54</v>
      </c>
      <c r="C503" s="10" t="s">
        <v>15</v>
      </c>
      <c r="D503" s="10" t="s">
        <v>141</v>
      </c>
      <c r="E503" s="11" t="s">
        <v>153</v>
      </c>
      <c r="F503" s="11" t="s">
        <v>17</v>
      </c>
      <c r="G503" s="10" t="s">
        <v>18</v>
      </c>
      <c r="H503" s="11" t="s">
        <v>19</v>
      </c>
      <c r="I503" s="11" t="s">
        <v>20</v>
      </c>
      <c r="J503" s="11"/>
      <c r="K503" s="11">
        <v>36173</v>
      </c>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4"/>
    </row>
    <row r="504" spans="1:35" ht="15.75" customHeight="1" x14ac:dyDescent="0.25">
      <c r="A504" s="9">
        <v>3</v>
      </c>
      <c r="B504" s="10" t="s">
        <v>54</v>
      </c>
      <c r="C504" s="10" t="s">
        <v>15</v>
      </c>
      <c r="D504" s="10" t="s">
        <v>141</v>
      </c>
      <c r="E504" s="11" t="s">
        <v>153</v>
      </c>
      <c r="F504" s="11" t="s">
        <v>17</v>
      </c>
      <c r="G504" s="10" t="s">
        <v>24</v>
      </c>
      <c r="H504" s="11" t="s">
        <v>19</v>
      </c>
      <c r="I504" s="11" t="s">
        <v>20</v>
      </c>
      <c r="J504" s="11"/>
      <c r="K504" s="11">
        <v>36173</v>
      </c>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4"/>
    </row>
    <row r="505" spans="1:35" ht="15.75" customHeight="1" x14ac:dyDescent="0.25">
      <c r="A505" s="9">
        <v>4</v>
      </c>
      <c r="B505" s="10" t="s">
        <v>54</v>
      </c>
      <c r="C505" s="10" t="s">
        <v>15</v>
      </c>
      <c r="D505" s="10" t="s">
        <v>141</v>
      </c>
      <c r="E505" s="11" t="s">
        <v>153</v>
      </c>
      <c r="F505" s="11" t="s">
        <v>17</v>
      </c>
      <c r="G505" s="10" t="s">
        <v>24</v>
      </c>
      <c r="H505" s="11" t="s">
        <v>19</v>
      </c>
      <c r="I505" s="11" t="s">
        <v>20</v>
      </c>
      <c r="J505" s="11"/>
      <c r="K505" s="11">
        <v>36173</v>
      </c>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4"/>
    </row>
    <row r="506" spans="1:35" ht="15.75" customHeight="1" x14ac:dyDescent="0.25">
      <c r="A506" s="9">
        <v>5</v>
      </c>
      <c r="B506" s="10" t="s">
        <v>54</v>
      </c>
      <c r="C506" s="10" t="s">
        <v>15</v>
      </c>
      <c r="D506" s="10" t="s">
        <v>141</v>
      </c>
      <c r="E506" s="11" t="s">
        <v>153</v>
      </c>
      <c r="F506" s="11" t="s">
        <v>17</v>
      </c>
      <c r="G506" s="10" t="s">
        <v>24</v>
      </c>
      <c r="H506" s="11" t="s">
        <v>19</v>
      </c>
      <c r="I506" s="11" t="s">
        <v>20</v>
      </c>
      <c r="J506" s="11"/>
      <c r="K506" s="11">
        <v>36173</v>
      </c>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4"/>
    </row>
    <row r="507" spans="1:35" ht="15.75" customHeight="1" x14ac:dyDescent="0.25">
      <c r="A507" s="9">
        <v>6</v>
      </c>
      <c r="B507" s="10" t="s">
        <v>54</v>
      </c>
      <c r="C507" s="10" t="s">
        <v>15</v>
      </c>
      <c r="D507" s="10" t="s">
        <v>141</v>
      </c>
      <c r="E507" s="11" t="s">
        <v>153</v>
      </c>
      <c r="F507" s="11" t="s">
        <v>17</v>
      </c>
      <c r="G507" s="10" t="s">
        <v>24</v>
      </c>
      <c r="H507" s="11" t="s">
        <v>19</v>
      </c>
      <c r="I507" s="11" t="s">
        <v>20</v>
      </c>
      <c r="J507" s="11"/>
      <c r="K507" s="11">
        <v>36173</v>
      </c>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4"/>
    </row>
    <row r="508" spans="1:35" ht="15.75" customHeight="1" x14ac:dyDescent="0.25">
      <c r="A508" s="9">
        <v>7</v>
      </c>
      <c r="B508" s="10" t="s">
        <v>54</v>
      </c>
      <c r="C508" s="10" t="s">
        <v>15</v>
      </c>
      <c r="D508" s="10" t="s">
        <v>141</v>
      </c>
      <c r="E508" s="11" t="s">
        <v>153</v>
      </c>
      <c r="F508" s="11" t="s">
        <v>17</v>
      </c>
      <c r="G508" s="10" t="s">
        <v>18</v>
      </c>
      <c r="H508" s="11" t="s">
        <v>19</v>
      </c>
      <c r="I508" s="11" t="s">
        <v>20</v>
      </c>
      <c r="J508" s="11"/>
      <c r="K508" s="11">
        <v>36173</v>
      </c>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4"/>
    </row>
    <row r="509" spans="1:35" ht="15.75" customHeight="1" x14ac:dyDescent="0.25">
      <c r="A509" s="9">
        <v>8</v>
      </c>
      <c r="B509" s="10" t="s">
        <v>54</v>
      </c>
      <c r="C509" s="10" t="s">
        <v>15</v>
      </c>
      <c r="D509" s="10" t="s">
        <v>141</v>
      </c>
      <c r="E509" s="11" t="s">
        <v>153</v>
      </c>
      <c r="F509" s="11" t="s">
        <v>17</v>
      </c>
      <c r="G509" s="10" t="s">
        <v>24</v>
      </c>
      <c r="H509" s="11" t="s">
        <v>19</v>
      </c>
      <c r="I509" s="11" t="s">
        <v>20</v>
      </c>
      <c r="J509" s="11"/>
      <c r="K509" s="11">
        <v>36173</v>
      </c>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4"/>
    </row>
    <row r="510" spans="1:35" ht="15.75" customHeight="1" x14ac:dyDescent="0.25">
      <c r="A510" s="9">
        <v>9</v>
      </c>
      <c r="B510" s="10" t="s">
        <v>54</v>
      </c>
      <c r="C510" s="10" t="s">
        <v>15</v>
      </c>
      <c r="D510" s="10" t="s">
        <v>141</v>
      </c>
      <c r="E510" s="11" t="s">
        <v>153</v>
      </c>
      <c r="F510" s="11" t="s">
        <v>17</v>
      </c>
      <c r="G510" s="10" t="s">
        <v>18</v>
      </c>
      <c r="H510" s="11" t="s">
        <v>19</v>
      </c>
      <c r="I510" s="11" t="s">
        <v>20</v>
      </c>
      <c r="J510" s="11"/>
      <c r="K510" s="11">
        <v>36173</v>
      </c>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4"/>
    </row>
    <row r="511" spans="1:35" ht="15.75" customHeight="1" x14ac:dyDescent="0.25">
      <c r="A511" s="9">
        <v>10</v>
      </c>
      <c r="B511" s="10" t="s">
        <v>54</v>
      </c>
      <c r="C511" s="10" t="s">
        <v>15</v>
      </c>
      <c r="D511" s="10" t="s">
        <v>141</v>
      </c>
      <c r="E511" s="11" t="s">
        <v>153</v>
      </c>
      <c r="F511" s="11" t="s">
        <v>17</v>
      </c>
      <c r="G511" s="10" t="s">
        <v>18</v>
      </c>
      <c r="H511" s="11" t="s">
        <v>19</v>
      </c>
      <c r="I511" s="11" t="s">
        <v>20</v>
      </c>
      <c r="J511" s="11"/>
      <c r="K511" s="11">
        <v>36173</v>
      </c>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4"/>
    </row>
    <row r="512" spans="1:35" ht="15.75" hidden="1" customHeight="1" x14ac:dyDescent="0.25">
      <c r="A512" s="9">
        <v>11</v>
      </c>
      <c r="B512" s="10" t="s">
        <v>54</v>
      </c>
      <c r="C512" s="10" t="s">
        <v>15</v>
      </c>
      <c r="D512" s="10" t="s">
        <v>45</v>
      </c>
      <c r="E512" s="11" t="s">
        <v>153</v>
      </c>
      <c r="F512" s="11" t="s">
        <v>17</v>
      </c>
      <c r="G512" s="10" t="s">
        <v>24</v>
      </c>
      <c r="H512" s="11" t="s">
        <v>19</v>
      </c>
      <c r="I512" s="11" t="s">
        <v>20</v>
      </c>
      <c r="J512" s="11"/>
      <c r="K512" s="11">
        <v>36173</v>
      </c>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4"/>
    </row>
    <row r="513" spans="1:35" ht="15.75" hidden="1" customHeight="1" x14ac:dyDescent="0.25">
      <c r="A513" s="9">
        <v>12</v>
      </c>
      <c r="B513" s="10" t="s">
        <v>54</v>
      </c>
      <c r="C513" s="10" t="s">
        <v>15</v>
      </c>
      <c r="D513" s="10" t="s">
        <v>45</v>
      </c>
      <c r="E513" s="11" t="s">
        <v>153</v>
      </c>
      <c r="F513" s="11" t="s">
        <v>17</v>
      </c>
      <c r="G513" s="10" t="s">
        <v>18</v>
      </c>
      <c r="H513" s="11" t="s">
        <v>19</v>
      </c>
      <c r="I513" s="11" t="s">
        <v>20</v>
      </c>
      <c r="J513" s="11"/>
      <c r="K513" s="11">
        <v>36173</v>
      </c>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4"/>
    </row>
    <row r="514" spans="1:35" ht="15.75" hidden="1" customHeight="1" x14ac:dyDescent="0.25">
      <c r="A514" s="9">
        <v>13</v>
      </c>
      <c r="B514" s="10" t="s">
        <v>54</v>
      </c>
      <c r="C514" s="10" t="s">
        <v>15</v>
      </c>
      <c r="D514" s="10" t="s">
        <v>45</v>
      </c>
      <c r="E514" s="11" t="s">
        <v>153</v>
      </c>
      <c r="F514" s="11" t="s">
        <v>17</v>
      </c>
      <c r="G514" s="10" t="s">
        <v>24</v>
      </c>
      <c r="H514" s="11" t="s">
        <v>19</v>
      </c>
      <c r="I514" s="11" t="s">
        <v>20</v>
      </c>
      <c r="J514" s="11"/>
      <c r="K514" s="11">
        <v>36173</v>
      </c>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4"/>
    </row>
    <row r="515" spans="1:35" ht="15.75" hidden="1" customHeight="1" x14ac:dyDescent="0.25">
      <c r="A515" s="9">
        <v>14</v>
      </c>
      <c r="B515" s="10" t="s">
        <v>54</v>
      </c>
      <c r="C515" s="10" t="s">
        <v>15</v>
      </c>
      <c r="D515" s="10" t="s">
        <v>45</v>
      </c>
      <c r="E515" s="11" t="s">
        <v>153</v>
      </c>
      <c r="F515" s="11" t="s">
        <v>17</v>
      </c>
      <c r="G515" s="10" t="s">
        <v>18</v>
      </c>
      <c r="H515" s="11" t="s">
        <v>23</v>
      </c>
      <c r="I515" s="11" t="s">
        <v>20</v>
      </c>
      <c r="J515" s="11"/>
      <c r="K515" s="11">
        <v>36173</v>
      </c>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4"/>
    </row>
    <row r="516" spans="1:35" ht="15.75" hidden="1" customHeight="1" x14ac:dyDescent="0.25">
      <c r="A516" s="9">
        <v>15</v>
      </c>
      <c r="B516" s="10" t="s">
        <v>54</v>
      </c>
      <c r="C516" s="10" t="s">
        <v>15</v>
      </c>
      <c r="D516" s="10" t="s">
        <v>45</v>
      </c>
      <c r="E516" s="11" t="s">
        <v>153</v>
      </c>
      <c r="F516" s="11" t="s">
        <v>17</v>
      </c>
      <c r="G516" s="10" t="s">
        <v>18</v>
      </c>
      <c r="H516" s="11" t="s">
        <v>23</v>
      </c>
      <c r="I516" s="11" t="s">
        <v>20</v>
      </c>
      <c r="J516" s="11"/>
      <c r="K516" s="11">
        <v>36173</v>
      </c>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4"/>
    </row>
    <row r="517" spans="1:35" ht="15.75" hidden="1" customHeight="1" x14ac:dyDescent="0.25">
      <c r="A517" s="9">
        <v>16</v>
      </c>
      <c r="B517" s="10" t="s">
        <v>54</v>
      </c>
      <c r="C517" s="10" t="s">
        <v>15</v>
      </c>
      <c r="D517" s="10" t="s">
        <v>45</v>
      </c>
      <c r="E517" s="11" t="s">
        <v>153</v>
      </c>
      <c r="F517" s="11" t="s">
        <v>17</v>
      </c>
      <c r="G517" s="10" t="s">
        <v>18</v>
      </c>
      <c r="H517" s="11" t="s">
        <v>23</v>
      </c>
      <c r="I517" s="11" t="s">
        <v>20</v>
      </c>
      <c r="J517" s="11"/>
      <c r="K517" s="11">
        <v>36173</v>
      </c>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4"/>
    </row>
    <row r="518" spans="1:35" ht="15.75" hidden="1" customHeight="1" x14ac:dyDescent="0.25">
      <c r="A518" s="9">
        <v>17</v>
      </c>
      <c r="B518" s="10" t="s">
        <v>54</v>
      </c>
      <c r="C518" s="10" t="s">
        <v>15</v>
      </c>
      <c r="D518" s="10" t="s">
        <v>45</v>
      </c>
      <c r="E518" s="11" t="s">
        <v>153</v>
      </c>
      <c r="F518" s="11" t="s">
        <v>17</v>
      </c>
      <c r="G518" s="10" t="s">
        <v>18</v>
      </c>
      <c r="H518" s="11" t="s">
        <v>23</v>
      </c>
      <c r="I518" s="11" t="s">
        <v>20</v>
      </c>
      <c r="J518" s="11"/>
      <c r="K518" s="11">
        <v>36173</v>
      </c>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4"/>
    </row>
    <row r="519" spans="1:35" ht="15.75" hidden="1" customHeight="1" x14ac:dyDescent="0.25">
      <c r="A519" s="9">
        <v>18</v>
      </c>
      <c r="B519" s="10" t="s">
        <v>54</v>
      </c>
      <c r="C519" s="10" t="s">
        <v>15</v>
      </c>
      <c r="D519" s="10" t="s">
        <v>45</v>
      </c>
      <c r="E519" s="11" t="s">
        <v>153</v>
      </c>
      <c r="F519" s="11" t="s">
        <v>17</v>
      </c>
      <c r="G519" s="10" t="s">
        <v>18</v>
      </c>
      <c r="H519" s="11" t="s">
        <v>23</v>
      </c>
      <c r="I519" s="11" t="s">
        <v>20</v>
      </c>
      <c r="J519" s="11"/>
      <c r="K519" s="11">
        <v>36173</v>
      </c>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4"/>
    </row>
    <row r="520" spans="1:35" ht="15.75" hidden="1" customHeight="1" x14ac:dyDescent="0.25">
      <c r="A520" s="9">
        <v>19</v>
      </c>
      <c r="B520" s="10" t="s">
        <v>54</v>
      </c>
      <c r="C520" s="10" t="s">
        <v>15</v>
      </c>
      <c r="D520" s="10" t="s">
        <v>45</v>
      </c>
      <c r="E520" s="11" t="s">
        <v>153</v>
      </c>
      <c r="F520" s="11" t="s">
        <v>17</v>
      </c>
      <c r="G520" s="10" t="s">
        <v>24</v>
      </c>
      <c r="H520" s="11" t="s">
        <v>23</v>
      </c>
      <c r="I520" s="11" t="s">
        <v>20</v>
      </c>
      <c r="J520" s="11"/>
      <c r="K520" s="11">
        <v>36173</v>
      </c>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4"/>
    </row>
    <row r="521" spans="1:35" ht="15.75" hidden="1" customHeight="1" x14ac:dyDescent="0.25">
      <c r="A521" s="9">
        <v>20</v>
      </c>
      <c r="B521" s="10" t="s">
        <v>54</v>
      </c>
      <c r="C521" s="10" t="s">
        <v>15</v>
      </c>
      <c r="D521" s="10" t="s">
        <v>45</v>
      </c>
      <c r="E521" s="11" t="s">
        <v>153</v>
      </c>
      <c r="F521" s="11" t="s">
        <v>17</v>
      </c>
      <c r="G521" s="10" t="s">
        <v>24</v>
      </c>
      <c r="H521" s="11" t="s">
        <v>23</v>
      </c>
      <c r="I521" s="11" t="s">
        <v>20</v>
      </c>
      <c r="J521" s="11"/>
      <c r="K521" s="11">
        <v>36173</v>
      </c>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4"/>
    </row>
    <row r="522" spans="1:35" ht="15.75" hidden="1" customHeight="1" x14ac:dyDescent="0.25">
      <c r="A522" s="9">
        <v>21</v>
      </c>
      <c r="B522" s="10" t="s">
        <v>54</v>
      </c>
      <c r="C522" s="10" t="s">
        <v>15</v>
      </c>
      <c r="D522" s="10" t="s">
        <v>45</v>
      </c>
      <c r="E522" s="11" t="s">
        <v>153</v>
      </c>
      <c r="F522" s="11" t="s">
        <v>17</v>
      </c>
      <c r="G522" s="10" t="s">
        <v>24</v>
      </c>
      <c r="H522" s="11" t="s">
        <v>19</v>
      </c>
      <c r="I522" s="11" t="s">
        <v>20</v>
      </c>
      <c r="J522" s="11"/>
      <c r="K522" s="11">
        <v>36173</v>
      </c>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4"/>
    </row>
    <row r="523" spans="1:35" ht="15.75" hidden="1" customHeight="1" x14ac:dyDescent="0.25">
      <c r="A523" s="9">
        <v>22</v>
      </c>
      <c r="B523" s="10" t="s">
        <v>54</v>
      </c>
      <c r="C523" s="10" t="s">
        <v>15</v>
      </c>
      <c r="D523" s="10" t="s">
        <v>45</v>
      </c>
      <c r="E523" s="11" t="s">
        <v>153</v>
      </c>
      <c r="F523" s="11" t="s">
        <v>17</v>
      </c>
      <c r="G523" s="10" t="s">
        <v>24</v>
      </c>
      <c r="H523" s="11" t="s">
        <v>23</v>
      </c>
      <c r="I523" s="11" t="s">
        <v>20</v>
      </c>
      <c r="J523" s="11"/>
      <c r="K523" s="11">
        <v>36173</v>
      </c>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4"/>
    </row>
    <row r="524" spans="1:35" ht="15.75" hidden="1" customHeight="1" x14ac:dyDescent="0.25">
      <c r="A524" s="9">
        <v>23</v>
      </c>
      <c r="B524" s="10" t="s">
        <v>54</v>
      </c>
      <c r="C524" s="10" t="s">
        <v>15</v>
      </c>
      <c r="D524" s="10" t="s">
        <v>16</v>
      </c>
      <c r="E524" s="11" t="s">
        <v>153</v>
      </c>
      <c r="F524" s="11" t="s">
        <v>17</v>
      </c>
      <c r="G524" s="10" t="s">
        <v>18</v>
      </c>
      <c r="H524" s="11" t="s">
        <v>23</v>
      </c>
      <c r="I524" s="11" t="s">
        <v>20</v>
      </c>
      <c r="J524" s="11"/>
      <c r="K524" s="11">
        <v>36173</v>
      </c>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4"/>
    </row>
    <row r="525" spans="1:35" ht="15.75" hidden="1" customHeight="1" x14ac:dyDescent="0.25">
      <c r="A525" s="9">
        <v>24</v>
      </c>
      <c r="B525" s="10" t="s">
        <v>54</v>
      </c>
      <c r="C525" s="10" t="s">
        <v>15</v>
      </c>
      <c r="D525" s="10" t="s">
        <v>16</v>
      </c>
      <c r="E525" s="11" t="s">
        <v>153</v>
      </c>
      <c r="F525" s="11" t="s">
        <v>17</v>
      </c>
      <c r="G525" s="10" t="s">
        <v>24</v>
      </c>
      <c r="H525" s="11" t="s">
        <v>23</v>
      </c>
      <c r="I525" s="11" t="s">
        <v>20</v>
      </c>
      <c r="J525" s="11"/>
      <c r="K525" s="11">
        <v>36173</v>
      </c>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4"/>
    </row>
    <row r="526" spans="1:35" ht="15.75" hidden="1" customHeight="1" x14ac:dyDescent="0.25">
      <c r="A526" s="9">
        <v>25</v>
      </c>
      <c r="B526" s="10" t="s">
        <v>54</v>
      </c>
      <c r="C526" s="10" t="s">
        <v>15</v>
      </c>
      <c r="D526" s="10" t="s">
        <v>16</v>
      </c>
      <c r="E526" s="11" t="s">
        <v>153</v>
      </c>
      <c r="F526" s="11" t="s">
        <v>17</v>
      </c>
      <c r="G526" s="10" t="s">
        <v>18</v>
      </c>
      <c r="H526" s="11" t="s">
        <v>19</v>
      </c>
      <c r="I526" s="11" t="s">
        <v>20</v>
      </c>
      <c r="J526" s="11"/>
      <c r="K526" s="11">
        <v>36173</v>
      </c>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4"/>
    </row>
    <row r="527" spans="1:35" ht="15.75" hidden="1" customHeight="1" x14ac:dyDescent="0.25">
      <c r="A527" s="9">
        <v>26</v>
      </c>
      <c r="B527" s="10" t="s">
        <v>54</v>
      </c>
      <c r="C527" s="10" t="s">
        <v>15</v>
      </c>
      <c r="D527" s="10" t="s">
        <v>16</v>
      </c>
      <c r="E527" s="11" t="s">
        <v>153</v>
      </c>
      <c r="F527" s="11" t="s">
        <v>17</v>
      </c>
      <c r="G527" s="10" t="s">
        <v>18</v>
      </c>
      <c r="H527" s="11" t="s">
        <v>19</v>
      </c>
      <c r="I527" s="11" t="s">
        <v>20</v>
      </c>
      <c r="J527" s="11"/>
      <c r="K527" s="11">
        <v>36173</v>
      </c>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4"/>
    </row>
    <row r="528" spans="1:35" ht="15.75" hidden="1" customHeight="1" x14ac:dyDescent="0.25">
      <c r="A528" s="9">
        <v>27</v>
      </c>
      <c r="B528" s="10" t="s">
        <v>54</v>
      </c>
      <c r="C528" s="10" t="s">
        <v>15</v>
      </c>
      <c r="D528" s="10" t="s">
        <v>16</v>
      </c>
      <c r="E528" s="11" t="s">
        <v>153</v>
      </c>
      <c r="F528" s="11" t="s">
        <v>17</v>
      </c>
      <c r="G528" s="10" t="s">
        <v>18</v>
      </c>
      <c r="H528" s="11" t="s">
        <v>23</v>
      </c>
      <c r="I528" s="11" t="s">
        <v>20</v>
      </c>
      <c r="J528" s="11"/>
      <c r="K528" s="11">
        <v>36173</v>
      </c>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4"/>
    </row>
    <row r="529" spans="1:35" ht="15.75" hidden="1" customHeight="1" x14ac:dyDescent="0.25">
      <c r="A529" s="9">
        <v>28</v>
      </c>
      <c r="B529" s="10" t="s">
        <v>54</v>
      </c>
      <c r="C529" s="10" t="s">
        <v>15</v>
      </c>
      <c r="D529" s="10" t="s">
        <v>16</v>
      </c>
      <c r="E529" s="11" t="s">
        <v>153</v>
      </c>
      <c r="F529" s="11" t="s">
        <v>17</v>
      </c>
      <c r="G529" s="10" t="s">
        <v>24</v>
      </c>
      <c r="H529" s="11" t="s">
        <v>19</v>
      </c>
      <c r="I529" s="11" t="s">
        <v>20</v>
      </c>
      <c r="J529" s="11"/>
      <c r="K529" s="11">
        <v>36173</v>
      </c>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4"/>
    </row>
    <row r="530" spans="1:35" ht="15.75" hidden="1" customHeight="1" x14ac:dyDescent="0.25">
      <c r="A530" s="9">
        <v>29</v>
      </c>
      <c r="B530" s="10" t="s">
        <v>54</v>
      </c>
      <c r="C530" s="10" t="s">
        <v>15</v>
      </c>
      <c r="D530" s="10" t="s">
        <v>16</v>
      </c>
      <c r="E530" s="11" t="s">
        <v>153</v>
      </c>
      <c r="F530" s="11" t="s">
        <v>17</v>
      </c>
      <c r="G530" s="10" t="s">
        <v>24</v>
      </c>
      <c r="H530" s="11" t="s">
        <v>23</v>
      </c>
      <c r="I530" s="11" t="s">
        <v>20</v>
      </c>
      <c r="J530" s="11"/>
      <c r="K530" s="11">
        <v>36173</v>
      </c>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4"/>
    </row>
    <row r="531" spans="1:35" ht="15.75" hidden="1" customHeight="1" x14ac:dyDescent="0.25">
      <c r="A531" s="9">
        <v>30</v>
      </c>
      <c r="B531" s="10" t="s">
        <v>54</v>
      </c>
      <c r="C531" s="10" t="s">
        <v>15</v>
      </c>
      <c r="D531" s="10" t="s">
        <v>37</v>
      </c>
      <c r="E531" s="11" t="s">
        <v>153</v>
      </c>
      <c r="F531" s="11" t="s">
        <v>17</v>
      </c>
      <c r="G531" s="10" t="s">
        <v>18</v>
      </c>
      <c r="H531" s="11" t="s">
        <v>23</v>
      </c>
      <c r="I531" s="11" t="s">
        <v>20</v>
      </c>
      <c r="J531" s="11"/>
      <c r="K531" s="11">
        <v>36173</v>
      </c>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4"/>
    </row>
    <row r="532" spans="1:35" ht="15.75" hidden="1" customHeight="1" x14ac:dyDescent="0.25">
      <c r="A532" s="9">
        <v>31</v>
      </c>
      <c r="B532" s="10" t="s">
        <v>54</v>
      </c>
      <c r="C532" s="10" t="s">
        <v>15</v>
      </c>
      <c r="D532" s="10" t="s">
        <v>37</v>
      </c>
      <c r="E532" s="11" t="s">
        <v>153</v>
      </c>
      <c r="F532" s="11" t="s">
        <v>17</v>
      </c>
      <c r="G532" s="10" t="s">
        <v>24</v>
      </c>
      <c r="H532" s="11" t="s">
        <v>23</v>
      </c>
      <c r="I532" s="11" t="s">
        <v>20</v>
      </c>
      <c r="J532" s="11"/>
      <c r="K532" s="11">
        <v>36173</v>
      </c>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4"/>
    </row>
    <row r="533" spans="1:35" ht="15.75" hidden="1" customHeight="1" x14ac:dyDescent="0.25">
      <c r="A533" s="9">
        <v>32</v>
      </c>
      <c r="B533" s="10" t="s">
        <v>54</v>
      </c>
      <c r="C533" s="10" t="s">
        <v>15</v>
      </c>
      <c r="D533" s="10" t="s">
        <v>37</v>
      </c>
      <c r="E533" s="11" t="s">
        <v>153</v>
      </c>
      <c r="F533" s="11" t="s">
        <v>17</v>
      </c>
      <c r="G533" s="10" t="s">
        <v>18</v>
      </c>
      <c r="H533" s="11" t="s">
        <v>23</v>
      </c>
      <c r="I533" s="11" t="s">
        <v>20</v>
      </c>
      <c r="J533" s="11"/>
      <c r="K533" s="11">
        <v>36173</v>
      </c>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4"/>
    </row>
    <row r="534" spans="1:35" ht="15.75" hidden="1" customHeight="1" x14ac:dyDescent="0.25">
      <c r="A534" s="9">
        <v>33</v>
      </c>
      <c r="B534" s="10" t="s">
        <v>54</v>
      </c>
      <c r="C534" s="10" t="s">
        <v>15</v>
      </c>
      <c r="D534" s="10" t="s">
        <v>37</v>
      </c>
      <c r="E534" s="11" t="s">
        <v>153</v>
      </c>
      <c r="F534" s="11" t="s">
        <v>17</v>
      </c>
      <c r="G534" s="10" t="s">
        <v>24</v>
      </c>
      <c r="H534" s="11" t="s">
        <v>23</v>
      </c>
      <c r="I534" s="11" t="s">
        <v>20</v>
      </c>
      <c r="J534" s="11"/>
      <c r="K534" s="11">
        <v>36173</v>
      </c>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4"/>
    </row>
    <row r="535" spans="1:35" ht="15.75" hidden="1" customHeight="1" x14ac:dyDescent="0.25">
      <c r="A535" s="9">
        <v>34</v>
      </c>
      <c r="B535" s="10" t="s">
        <v>54</v>
      </c>
      <c r="C535" s="10" t="s">
        <v>15</v>
      </c>
      <c r="D535" s="10" t="s">
        <v>37</v>
      </c>
      <c r="E535" s="11" t="s">
        <v>153</v>
      </c>
      <c r="F535" s="11" t="s">
        <v>17</v>
      </c>
      <c r="G535" s="10" t="s">
        <v>24</v>
      </c>
      <c r="H535" s="11" t="s">
        <v>23</v>
      </c>
      <c r="I535" s="11" t="s">
        <v>20</v>
      </c>
      <c r="J535" s="11"/>
      <c r="K535" s="11">
        <v>36173</v>
      </c>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4"/>
    </row>
    <row r="536" spans="1:35" ht="15.75" hidden="1" customHeight="1" x14ac:dyDescent="0.25">
      <c r="A536" s="9">
        <v>35</v>
      </c>
      <c r="B536" s="10" t="s">
        <v>54</v>
      </c>
      <c r="C536" s="10" t="s">
        <v>15</v>
      </c>
      <c r="D536" s="10" t="s">
        <v>37</v>
      </c>
      <c r="E536" s="11" t="s">
        <v>153</v>
      </c>
      <c r="F536" s="11" t="s">
        <v>17</v>
      </c>
      <c r="G536" s="10" t="s">
        <v>24</v>
      </c>
      <c r="H536" s="11" t="s">
        <v>23</v>
      </c>
      <c r="I536" s="11" t="s">
        <v>20</v>
      </c>
      <c r="J536" s="11"/>
      <c r="K536" s="11">
        <v>36173</v>
      </c>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4"/>
    </row>
    <row r="537" spans="1:35" ht="15.75" hidden="1" customHeight="1" x14ac:dyDescent="0.25">
      <c r="A537" s="9">
        <v>36</v>
      </c>
      <c r="B537" s="10" t="s">
        <v>54</v>
      </c>
      <c r="C537" s="10" t="s">
        <v>15</v>
      </c>
      <c r="D537" s="10" t="s">
        <v>37</v>
      </c>
      <c r="E537" s="11" t="s">
        <v>153</v>
      </c>
      <c r="F537" s="11" t="s">
        <v>17</v>
      </c>
      <c r="G537" s="10" t="s">
        <v>18</v>
      </c>
      <c r="H537" s="11" t="s">
        <v>23</v>
      </c>
      <c r="I537" s="11" t="s">
        <v>20</v>
      </c>
      <c r="J537" s="11"/>
      <c r="K537" s="11">
        <v>36173</v>
      </c>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4"/>
    </row>
    <row r="538" spans="1:35" ht="15.75" hidden="1" customHeight="1" x14ac:dyDescent="0.25">
      <c r="A538" s="9">
        <v>37</v>
      </c>
      <c r="B538" s="10" t="s">
        <v>54</v>
      </c>
      <c r="C538" s="10" t="s">
        <v>15</v>
      </c>
      <c r="D538" s="10" t="s">
        <v>37</v>
      </c>
      <c r="E538" s="11" t="s">
        <v>153</v>
      </c>
      <c r="F538" s="11" t="s">
        <v>17</v>
      </c>
      <c r="G538" s="10" t="s">
        <v>18</v>
      </c>
      <c r="H538" s="11" t="s">
        <v>23</v>
      </c>
      <c r="I538" s="11" t="s">
        <v>20</v>
      </c>
      <c r="J538" s="11"/>
      <c r="K538" s="11">
        <v>36173</v>
      </c>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4"/>
    </row>
    <row r="539" spans="1:35" ht="15.75" hidden="1" customHeight="1" x14ac:dyDescent="0.25">
      <c r="A539" s="9">
        <v>1</v>
      </c>
      <c r="B539" s="10" t="s">
        <v>60</v>
      </c>
      <c r="C539" s="10" t="s">
        <v>15</v>
      </c>
      <c r="D539" s="10" t="s">
        <v>45</v>
      </c>
      <c r="E539" s="11" t="s">
        <v>154</v>
      </c>
      <c r="F539" s="11" t="s">
        <v>17</v>
      </c>
      <c r="G539" s="10" t="s">
        <v>24</v>
      </c>
      <c r="H539" s="11" t="s">
        <v>19</v>
      </c>
      <c r="I539" s="11" t="s">
        <v>20</v>
      </c>
      <c r="J539" s="11"/>
      <c r="K539" s="11" t="s">
        <v>61</v>
      </c>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4"/>
    </row>
    <row r="540" spans="1:35" ht="15.75" hidden="1" customHeight="1" x14ac:dyDescent="0.25">
      <c r="A540" s="9">
        <v>2</v>
      </c>
      <c r="B540" s="10" t="s">
        <v>60</v>
      </c>
      <c r="C540" s="10" t="s">
        <v>15</v>
      </c>
      <c r="D540" s="10" t="s">
        <v>16</v>
      </c>
      <c r="E540" s="11" t="s">
        <v>154</v>
      </c>
      <c r="F540" s="11" t="s">
        <v>17</v>
      </c>
      <c r="G540" s="10" t="s">
        <v>18</v>
      </c>
      <c r="H540" s="11" t="s">
        <v>19</v>
      </c>
      <c r="I540" s="11" t="s">
        <v>20</v>
      </c>
      <c r="J540" s="11"/>
      <c r="K540" s="11" t="s">
        <v>61</v>
      </c>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4"/>
    </row>
    <row r="541" spans="1:35" ht="15.75" hidden="1" customHeight="1" x14ac:dyDescent="0.25">
      <c r="A541" s="9">
        <v>3</v>
      </c>
      <c r="B541" s="10" t="s">
        <v>60</v>
      </c>
      <c r="C541" s="10" t="s">
        <v>15</v>
      </c>
      <c r="D541" s="10" t="s">
        <v>16</v>
      </c>
      <c r="E541" s="11" t="s">
        <v>154</v>
      </c>
      <c r="F541" s="11" t="s">
        <v>17</v>
      </c>
      <c r="G541" s="10" t="s">
        <v>24</v>
      </c>
      <c r="H541" s="11" t="s">
        <v>19</v>
      </c>
      <c r="I541" s="11" t="s">
        <v>20</v>
      </c>
      <c r="J541" s="11"/>
      <c r="K541" s="11" t="s">
        <v>61</v>
      </c>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4"/>
    </row>
    <row r="542" spans="1:35" ht="15.75" hidden="1" customHeight="1" x14ac:dyDescent="0.25">
      <c r="A542" s="9">
        <v>4</v>
      </c>
      <c r="B542" s="10" t="s">
        <v>60</v>
      </c>
      <c r="C542" s="10" t="s">
        <v>15</v>
      </c>
      <c r="D542" s="10" t="s">
        <v>37</v>
      </c>
      <c r="E542" s="11" t="s">
        <v>154</v>
      </c>
      <c r="F542" s="11" t="s">
        <v>17</v>
      </c>
      <c r="G542" s="10" t="s">
        <v>18</v>
      </c>
      <c r="H542" s="11" t="s">
        <v>19</v>
      </c>
      <c r="I542" s="11" t="s">
        <v>20</v>
      </c>
      <c r="J542" s="11"/>
      <c r="K542" s="11" t="s">
        <v>62</v>
      </c>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4"/>
    </row>
    <row r="543" spans="1:35" ht="15.75" hidden="1" customHeight="1" x14ac:dyDescent="0.25">
      <c r="A543" s="9">
        <v>5</v>
      </c>
      <c r="B543" s="10" t="s">
        <v>60</v>
      </c>
      <c r="C543" s="10" t="s">
        <v>15</v>
      </c>
      <c r="D543" s="10" t="s">
        <v>37</v>
      </c>
      <c r="E543" s="11" t="s">
        <v>154</v>
      </c>
      <c r="F543" s="11" t="s">
        <v>17</v>
      </c>
      <c r="G543" s="10" t="s">
        <v>24</v>
      </c>
      <c r="H543" s="11" t="s">
        <v>23</v>
      </c>
      <c r="I543" s="11" t="s">
        <v>20</v>
      </c>
      <c r="J543" s="11"/>
      <c r="K543" s="11" t="s">
        <v>61</v>
      </c>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4"/>
    </row>
    <row r="544" spans="1:35" ht="15.75" hidden="1" customHeight="1" x14ac:dyDescent="0.25">
      <c r="A544" s="9">
        <v>6</v>
      </c>
      <c r="B544" s="10" t="s">
        <v>60</v>
      </c>
      <c r="C544" s="10" t="s">
        <v>15</v>
      </c>
      <c r="D544" s="10" t="s">
        <v>45</v>
      </c>
      <c r="E544" s="11" t="s">
        <v>155</v>
      </c>
      <c r="F544" s="11" t="s">
        <v>17</v>
      </c>
      <c r="G544" s="10" t="s">
        <v>18</v>
      </c>
      <c r="H544" s="11" t="s">
        <v>23</v>
      </c>
      <c r="I544" s="11" t="s">
        <v>20</v>
      </c>
      <c r="J544" s="11"/>
      <c r="K544" s="11" t="s">
        <v>63</v>
      </c>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4"/>
    </row>
    <row r="545" spans="1:35" ht="15.75" hidden="1" customHeight="1" x14ac:dyDescent="0.25">
      <c r="A545" s="9">
        <v>7</v>
      </c>
      <c r="B545" s="10" t="s">
        <v>60</v>
      </c>
      <c r="C545" s="10" t="s">
        <v>15</v>
      </c>
      <c r="D545" s="10" t="s">
        <v>45</v>
      </c>
      <c r="E545" s="11" t="s">
        <v>155</v>
      </c>
      <c r="F545" s="11" t="s">
        <v>17</v>
      </c>
      <c r="G545" s="10" t="s">
        <v>24</v>
      </c>
      <c r="H545" s="11" t="s">
        <v>23</v>
      </c>
      <c r="I545" s="11" t="s">
        <v>20</v>
      </c>
      <c r="J545" s="11"/>
      <c r="K545" s="11" t="s">
        <v>63</v>
      </c>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4"/>
    </row>
    <row r="546" spans="1:35" ht="15.75" hidden="1" customHeight="1" x14ac:dyDescent="0.25">
      <c r="A546" s="9">
        <v>8</v>
      </c>
      <c r="B546" s="10" t="s">
        <v>60</v>
      </c>
      <c r="C546" s="10" t="s">
        <v>15</v>
      </c>
      <c r="D546" s="10" t="s">
        <v>45</v>
      </c>
      <c r="E546" s="11" t="s">
        <v>155</v>
      </c>
      <c r="F546" s="11" t="s">
        <v>17</v>
      </c>
      <c r="G546" s="10" t="s">
        <v>18</v>
      </c>
      <c r="H546" s="11" t="s">
        <v>19</v>
      </c>
      <c r="I546" s="11" t="s">
        <v>20</v>
      </c>
      <c r="J546" s="11"/>
      <c r="K546" s="11" t="s">
        <v>63</v>
      </c>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4"/>
    </row>
    <row r="547" spans="1:35" ht="15.75" hidden="1" customHeight="1" x14ac:dyDescent="0.25">
      <c r="A547" s="9">
        <v>9</v>
      </c>
      <c r="B547" s="10" t="s">
        <v>60</v>
      </c>
      <c r="C547" s="10" t="s">
        <v>15</v>
      </c>
      <c r="D547" s="10" t="s">
        <v>16</v>
      </c>
      <c r="E547" s="11" t="s">
        <v>155</v>
      </c>
      <c r="F547" s="11" t="s">
        <v>17</v>
      </c>
      <c r="G547" s="10" t="s">
        <v>18</v>
      </c>
      <c r="H547" s="11" t="s">
        <v>19</v>
      </c>
      <c r="I547" s="11" t="s">
        <v>20</v>
      </c>
      <c r="J547" s="11"/>
      <c r="K547" s="11" t="s">
        <v>63</v>
      </c>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4"/>
    </row>
    <row r="548" spans="1:35" ht="15.75" hidden="1" customHeight="1" x14ac:dyDescent="0.25">
      <c r="A548" s="9">
        <v>10</v>
      </c>
      <c r="B548" s="10" t="s">
        <v>60</v>
      </c>
      <c r="C548" s="10" t="s">
        <v>15</v>
      </c>
      <c r="D548" s="10" t="s">
        <v>16</v>
      </c>
      <c r="E548" s="11" t="s">
        <v>155</v>
      </c>
      <c r="F548" s="11" t="s">
        <v>17</v>
      </c>
      <c r="G548" s="10" t="s">
        <v>24</v>
      </c>
      <c r="H548" s="11" t="s">
        <v>19</v>
      </c>
      <c r="I548" s="11" t="s">
        <v>20</v>
      </c>
      <c r="J548" s="11"/>
      <c r="K548" s="11" t="s">
        <v>63</v>
      </c>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4"/>
    </row>
    <row r="549" spans="1:35" ht="15.75" hidden="1" customHeight="1" x14ac:dyDescent="0.25">
      <c r="A549" s="9">
        <v>11</v>
      </c>
      <c r="B549" s="10" t="s">
        <v>60</v>
      </c>
      <c r="C549" s="10" t="s">
        <v>15</v>
      </c>
      <c r="D549" s="10" t="s">
        <v>16</v>
      </c>
      <c r="E549" s="11" t="s">
        <v>155</v>
      </c>
      <c r="F549" s="11" t="s">
        <v>17</v>
      </c>
      <c r="G549" s="10" t="s">
        <v>24</v>
      </c>
      <c r="H549" s="11" t="s">
        <v>19</v>
      </c>
      <c r="I549" s="11" t="s">
        <v>20</v>
      </c>
      <c r="J549" s="11"/>
      <c r="K549" s="11" t="s">
        <v>63</v>
      </c>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4"/>
    </row>
    <row r="550" spans="1:35" ht="15.75" hidden="1" customHeight="1" x14ac:dyDescent="0.25">
      <c r="A550" s="9">
        <v>12</v>
      </c>
      <c r="B550" s="10" t="s">
        <v>60</v>
      </c>
      <c r="C550" s="10" t="s">
        <v>15</v>
      </c>
      <c r="D550" s="10" t="s">
        <v>16</v>
      </c>
      <c r="E550" s="11" t="s">
        <v>155</v>
      </c>
      <c r="F550" s="11" t="s">
        <v>17</v>
      </c>
      <c r="G550" s="10" t="s">
        <v>18</v>
      </c>
      <c r="H550" s="11" t="s">
        <v>23</v>
      </c>
      <c r="I550" s="11" t="s">
        <v>20</v>
      </c>
      <c r="J550" s="11"/>
      <c r="K550" s="11" t="s">
        <v>63</v>
      </c>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4"/>
    </row>
    <row r="551" spans="1:35" ht="15.75" hidden="1" customHeight="1" x14ac:dyDescent="0.25">
      <c r="A551" s="9">
        <v>13</v>
      </c>
      <c r="B551" s="10" t="s">
        <v>60</v>
      </c>
      <c r="C551" s="10" t="s">
        <v>15</v>
      </c>
      <c r="D551" s="10" t="s">
        <v>16</v>
      </c>
      <c r="E551" s="11" t="s">
        <v>155</v>
      </c>
      <c r="F551" s="11" t="s">
        <v>17</v>
      </c>
      <c r="G551" s="10" t="s">
        <v>18</v>
      </c>
      <c r="H551" s="11" t="s">
        <v>19</v>
      </c>
      <c r="I551" s="11" t="s">
        <v>20</v>
      </c>
      <c r="J551" s="11"/>
      <c r="K551" s="11" t="s">
        <v>63</v>
      </c>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4"/>
    </row>
    <row r="552" spans="1:35" ht="15.75" hidden="1" customHeight="1" x14ac:dyDescent="0.25">
      <c r="A552" s="9">
        <v>14</v>
      </c>
      <c r="B552" s="10" t="s">
        <v>60</v>
      </c>
      <c r="C552" s="10" t="s">
        <v>15</v>
      </c>
      <c r="D552" s="10" t="s">
        <v>37</v>
      </c>
      <c r="E552" s="11" t="s">
        <v>155</v>
      </c>
      <c r="F552" s="11" t="s">
        <v>17</v>
      </c>
      <c r="G552" s="10" t="s">
        <v>24</v>
      </c>
      <c r="H552" s="11" t="s">
        <v>19</v>
      </c>
      <c r="I552" s="11" t="s">
        <v>20</v>
      </c>
      <c r="J552" s="11"/>
      <c r="K552" s="11" t="s">
        <v>63</v>
      </c>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4"/>
    </row>
    <row r="553" spans="1:35" ht="15.75" hidden="1" customHeight="1" x14ac:dyDescent="0.25">
      <c r="A553" s="9">
        <v>15</v>
      </c>
      <c r="B553" s="10" t="s">
        <v>60</v>
      </c>
      <c r="C553" s="10" t="s">
        <v>15</v>
      </c>
      <c r="D553" s="10" t="s">
        <v>37</v>
      </c>
      <c r="E553" s="11" t="s">
        <v>155</v>
      </c>
      <c r="F553" s="11" t="s">
        <v>17</v>
      </c>
      <c r="G553" s="10" t="s">
        <v>24</v>
      </c>
      <c r="H553" s="11" t="s">
        <v>23</v>
      </c>
      <c r="I553" s="11" t="s">
        <v>20</v>
      </c>
      <c r="J553" s="11"/>
      <c r="K553" s="11" t="s">
        <v>63</v>
      </c>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4"/>
    </row>
    <row r="554" spans="1:35" ht="15.75" hidden="1" customHeight="1" x14ac:dyDescent="0.25">
      <c r="A554" s="9">
        <v>16</v>
      </c>
      <c r="B554" s="10" t="s">
        <v>60</v>
      </c>
      <c r="C554" s="10" t="s">
        <v>15</v>
      </c>
      <c r="D554" s="10" t="s">
        <v>45</v>
      </c>
      <c r="E554" s="11" t="s">
        <v>94</v>
      </c>
      <c r="F554" s="11" t="s">
        <v>17</v>
      </c>
      <c r="G554" s="10" t="s">
        <v>24</v>
      </c>
      <c r="H554" s="11" t="s">
        <v>23</v>
      </c>
      <c r="I554" s="11" t="s">
        <v>20</v>
      </c>
      <c r="J554" s="11"/>
      <c r="K554" s="11" t="s">
        <v>64</v>
      </c>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4"/>
    </row>
    <row r="555" spans="1:35" ht="15.75" hidden="1" customHeight="1" x14ac:dyDescent="0.25">
      <c r="A555" s="9">
        <v>17</v>
      </c>
      <c r="B555" s="10" t="s">
        <v>60</v>
      </c>
      <c r="C555" s="10" t="s">
        <v>15</v>
      </c>
      <c r="D555" s="10" t="s">
        <v>45</v>
      </c>
      <c r="E555" s="11" t="s">
        <v>94</v>
      </c>
      <c r="F555" s="11" t="s">
        <v>17</v>
      </c>
      <c r="G555" s="10" t="s">
        <v>18</v>
      </c>
      <c r="H555" s="11" t="s">
        <v>19</v>
      </c>
      <c r="I555" s="11" t="s">
        <v>20</v>
      </c>
      <c r="J555" s="11"/>
      <c r="K555" s="11" t="s">
        <v>64</v>
      </c>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4"/>
    </row>
    <row r="556" spans="1:35" ht="15.75" hidden="1" customHeight="1" x14ac:dyDescent="0.25">
      <c r="A556" s="9">
        <v>18</v>
      </c>
      <c r="B556" s="10" t="s">
        <v>60</v>
      </c>
      <c r="C556" s="10" t="s">
        <v>15</v>
      </c>
      <c r="D556" s="10" t="s">
        <v>45</v>
      </c>
      <c r="E556" s="11" t="s">
        <v>94</v>
      </c>
      <c r="F556" s="11" t="s">
        <v>17</v>
      </c>
      <c r="G556" s="10" t="s">
        <v>18</v>
      </c>
      <c r="H556" s="11" t="s">
        <v>19</v>
      </c>
      <c r="I556" s="11" t="s">
        <v>20</v>
      </c>
      <c r="J556" s="11"/>
      <c r="K556" s="11" t="s">
        <v>64</v>
      </c>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4"/>
    </row>
    <row r="557" spans="1:35" ht="15.75" hidden="1" customHeight="1" x14ac:dyDescent="0.25">
      <c r="A557" s="9">
        <v>19</v>
      </c>
      <c r="B557" s="10" t="s">
        <v>60</v>
      </c>
      <c r="C557" s="10" t="s">
        <v>15</v>
      </c>
      <c r="D557" s="10" t="s">
        <v>16</v>
      </c>
      <c r="E557" s="11" t="s">
        <v>94</v>
      </c>
      <c r="F557" s="11" t="s">
        <v>17</v>
      </c>
      <c r="G557" s="10" t="s">
        <v>18</v>
      </c>
      <c r="H557" s="11" t="s">
        <v>19</v>
      </c>
      <c r="I557" s="11" t="s">
        <v>20</v>
      </c>
      <c r="J557" s="11"/>
      <c r="K557" s="11" t="s">
        <v>64</v>
      </c>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4"/>
    </row>
    <row r="558" spans="1:35" ht="15.75" hidden="1" customHeight="1" x14ac:dyDescent="0.25">
      <c r="A558" s="9">
        <v>20</v>
      </c>
      <c r="B558" s="10" t="s">
        <v>60</v>
      </c>
      <c r="C558" s="10" t="s">
        <v>15</v>
      </c>
      <c r="D558" s="10" t="s">
        <v>16</v>
      </c>
      <c r="E558" s="11" t="s">
        <v>94</v>
      </c>
      <c r="F558" s="11" t="s">
        <v>17</v>
      </c>
      <c r="G558" s="10" t="s">
        <v>24</v>
      </c>
      <c r="H558" s="11" t="s">
        <v>19</v>
      </c>
      <c r="I558" s="11" t="s">
        <v>20</v>
      </c>
      <c r="J558" s="11"/>
      <c r="K558" s="11" t="s">
        <v>64</v>
      </c>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4"/>
    </row>
    <row r="559" spans="1:35" ht="15.75" hidden="1" customHeight="1" x14ac:dyDescent="0.25">
      <c r="A559" s="9">
        <v>21</v>
      </c>
      <c r="B559" s="10" t="s">
        <v>60</v>
      </c>
      <c r="C559" s="10" t="s">
        <v>15</v>
      </c>
      <c r="D559" s="10" t="s">
        <v>37</v>
      </c>
      <c r="E559" s="11" t="s">
        <v>94</v>
      </c>
      <c r="F559" s="11" t="s">
        <v>17</v>
      </c>
      <c r="G559" s="10" t="s">
        <v>18</v>
      </c>
      <c r="H559" s="11" t="s">
        <v>19</v>
      </c>
      <c r="I559" s="11" t="s">
        <v>20</v>
      </c>
      <c r="J559" s="11"/>
      <c r="K559" s="11" t="s">
        <v>64</v>
      </c>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4"/>
    </row>
    <row r="560" spans="1:35" ht="15.75" hidden="1" customHeight="1" x14ac:dyDescent="0.25">
      <c r="A560" s="9">
        <v>22</v>
      </c>
      <c r="B560" s="10" t="s">
        <v>60</v>
      </c>
      <c r="C560" s="10" t="s">
        <v>15</v>
      </c>
      <c r="D560" s="10" t="s">
        <v>37</v>
      </c>
      <c r="E560" s="11" t="s">
        <v>94</v>
      </c>
      <c r="F560" s="11" t="s">
        <v>17</v>
      </c>
      <c r="G560" s="10" t="s">
        <v>24</v>
      </c>
      <c r="H560" s="11" t="s">
        <v>19</v>
      </c>
      <c r="I560" s="11" t="s">
        <v>20</v>
      </c>
      <c r="J560" s="11"/>
      <c r="K560" s="11" t="s">
        <v>64</v>
      </c>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4"/>
    </row>
    <row r="561" spans="1:35" ht="15.75" hidden="1" customHeight="1" x14ac:dyDescent="0.25">
      <c r="A561" s="9">
        <v>23</v>
      </c>
      <c r="B561" s="10" t="s">
        <v>60</v>
      </c>
      <c r="C561" s="10" t="s">
        <v>41</v>
      </c>
      <c r="D561" s="10" t="s">
        <v>42</v>
      </c>
      <c r="E561" s="11" t="s">
        <v>65</v>
      </c>
      <c r="F561" s="11" t="s">
        <v>17</v>
      </c>
      <c r="G561" s="10" t="s">
        <v>18</v>
      </c>
      <c r="H561" s="11" t="s">
        <v>23</v>
      </c>
      <c r="I561" s="11" t="s">
        <v>20</v>
      </c>
      <c r="J561" s="11"/>
      <c r="K561" s="11" t="s">
        <v>65</v>
      </c>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4"/>
    </row>
    <row r="562" spans="1:35" ht="15.75" hidden="1" customHeight="1" x14ac:dyDescent="0.25">
      <c r="A562" s="9">
        <v>24</v>
      </c>
      <c r="B562" s="10" t="s">
        <v>60</v>
      </c>
      <c r="C562" s="10" t="s">
        <v>41</v>
      </c>
      <c r="D562" s="10" t="s">
        <v>42</v>
      </c>
      <c r="E562" s="11" t="s">
        <v>65</v>
      </c>
      <c r="F562" s="11" t="s">
        <v>17</v>
      </c>
      <c r="G562" s="10" t="s">
        <v>24</v>
      </c>
      <c r="H562" s="11" t="s">
        <v>19</v>
      </c>
      <c r="I562" s="11" t="s">
        <v>20</v>
      </c>
      <c r="J562" s="11"/>
      <c r="K562" s="11" t="s">
        <v>65</v>
      </c>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4"/>
    </row>
    <row r="563" spans="1:35" ht="15.75" hidden="1" customHeight="1" x14ac:dyDescent="0.25">
      <c r="A563" s="9">
        <v>25</v>
      </c>
      <c r="B563" s="10" t="s">
        <v>60</v>
      </c>
      <c r="C563" s="10" t="s">
        <v>41</v>
      </c>
      <c r="D563" s="10" t="s">
        <v>42</v>
      </c>
      <c r="E563" s="11" t="s">
        <v>65</v>
      </c>
      <c r="F563" s="11" t="s">
        <v>17</v>
      </c>
      <c r="G563" s="10" t="s">
        <v>24</v>
      </c>
      <c r="H563" s="11" t="s">
        <v>19</v>
      </c>
      <c r="I563" s="11" t="s">
        <v>20</v>
      </c>
      <c r="J563" s="11"/>
      <c r="K563" s="11" t="s">
        <v>65</v>
      </c>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4"/>
    </row>
    <row r="564" spans="1:35" ht="15.75" hidden="1" customHeight="1" x14ac:dyDescent="0.25">
      <c r="A564" s="9">
        <v>26</v>
      </c>
      <c r="B564" s="10" t="s">
        <v>60</v>
      </c>
      <c r="C564" s="10" t="s">
        <v>41</v>
      </c>
      <c r="D564" s="10" t="s">
        <v>42</v>
      </c>
      <c r="E564" s="11" t="s">
        <v>65</v>
      </c>
      <c r="F564" s="11" t="s">
        <v>17</v>
      </c>
      <c r="G564" s="10" t="s">
        <v>24</v>
      </c>
      <c r="H564" s="11" t="s">
        <v>19</v>
      </c>
      <c r="I564" s="11" t="s">
        <v>20</v>
      </c>
      <c r="J564" s="11"/>
      <c r="K564" s="11" t="s">
        <v>65</v>
      </c>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4"/>
    </row>
    <row r="565" spans="1:35" ht="15.75" hidden="1" customHeight="1" x14ac:dyDescent="0.25">
      <c r="A565" s="9">
        <v>27</v>
      </c>
      <c r="B565" s="10" t="s">
        <v>60</v>
      </c>
      <c r="C565" s="10" t="s">
        <v>41</v>
      </c>
      <c r="D565" s="10" t="s">
        <v>42</v>
      </c>
      <c r="E565" s="11" t="s">
        <v>65</v>
      </c>
      <c r="F565" s="11" t="s">
        <v>17</v>
      </c>
      <c r="G565" s="10" t="s">
        <v>18</v>
      </c>
      <c r="H565" s="11" t="s">
        <v>19</v>
      </c>
      <c r="I565" s="11" t="s">
        <v>20</v>
      </c>
      <c r="J565" s="11"/>
      <c r="K565" s="11" t="s">
        <v>65</v>
      </c>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4"/>
    </row>
    <row r="566" spans="1:35" ht="15.75" hidden="1" customHeight="1" x14ac:dyDescent="0.25">
      <c r="A566" s="9">
        <v>28</v>
      </c>
      <c r="B566" s="10" t="s">
        <v>60</v>
      </c>
      <c r="C566" s="10" t="s">
        <v>41</v>
      </c>
      <c r="D566" s="10" t="s">
        <v>42</v>
      </c>
      <c r="E566" s="11" t="s">
        <v>65</v>
      </c>
      <c r="F566" s="11" t="s">
        <v>17</v>
      </c>
      <c r="G566" s="10" t="s">
        <v>24</v>
      </c>
      <c r="H566" s="11" t="s">
        <v>19</v>
      </c>
      <c r="I566" s="11" t="s">
        <v>20</v>
      </c>
      <c r="J566" s="11"/>
      <c r="K566" s="11" t="s">
        <v>65</v>
      </c>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4"/>
    </row>
    <row r="567" spans="1:35" ht="15.75" hidden="1" customHeight="1" x14ac:dyDescent="0.25">
      <c r="A567" s="9">
        <v>29</v>
      </c>
      <c r="B567" s="10" t="s">
        <v>60</v>
      </c>
      <c r="C567" s="10" t="s">
        <v>41</v>
      </c>
      <c r="D567" s="10" t="s">
        <v>42</v>
      </c>
      <c r="E567" s="11" t="s">
        <v>65</v>
      </c>
      <c r="F567" s="11" t="s">
        <v>17</v>
      </c>
      <c r="G567" s="10" t="s">
        <v>18</v>
      </c>
      <c r="H567" s="11" t="s">
        <v>23</v>
      </c>
      <c r="I567" s="11" t="s">
        <v>20</v>
      </c>
      <c r="J567" s="11"/>
      <c r="K567" s="11" t="s">
        <v>65</v>
      </c>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4"/>
    </row>
    <row r="568" spans="1:35" ht="15.75" hidden="1" customHeight="1" x14ac:dyDescent="0.25">
      <c r="A568" s="9">
        <v>30</v>
      </c>
      <c r="B568" s="10" t="s">
        <v>60</v>
      </c>
      <c r="C568" s="10" t="s">
        <v>41</v>
      </c>
      <c r="D568" s="10" t="s">
        <v>42</v>
      </c>
      <c r="E568" s="11" t="s">
        <v>65</v>
      </c>
      <c r="F568" s="11" t="s">
        <v>17</v>
      </c>
      <c r="G568" s="10" t="s">
        <v>24</v>
      </c>
      <c r="H568" s="11" t="s">
        <v>19</v>
      </c>
      <c r="I568" s="11" t="s">
        <v>20</v>
      </c>
      <c r="J568" s="11"/>
      <c r="K568" s="11" t="s">
        <v>65</v>
      </c>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4"/>
    </row>
    <row r="569" spans="1:35" ht="15.75" hidden="1" customHeight="1" x14ac:dyDescent="0.25">
      <c r="A569" s="9">
        <v>31</v>
      </c>
      <c r="B569" s="10" t="s">
        <v>60</v>
      </c>
      <c r="C569" s="10" t="s">
        <v>41</v>
      </c>
      <c r="D569" s="10" t="s">
        <v>42</v>
      </c>
      <c r="E569" s="11" t="s">
        <v>65</v>
      </c>
      <c r="F569" s="11" t="s">
        <v>17</v>
      </c>
      <c r="G569" s="10" t="s">
        <v>24</v>
      </c>
      <c r="H569" s="11" t="s">
        <v>19</v>
      </c>
      <c r="I569" s="11" t="s">
        <v>20</v>
      </c>
      <c r="J569" s="11"/>
      <c r="K569" s="11" t="s">
        <v>65</v>
      </c>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4"/>
    </row>
    <row r="570" spans="1:35" ht="15.75" hidden="1" customHeight="1" x14ac:dyDescent="0.25">
      <c r="A570" s="9">
        <v>32</v>
      </c>
      <c r="B570" s="10" t="s">
        <v>60</v>
      </c>
      <c r="C570" s="10" t="s">
        <v>41</v>
      </c>
      <c r="D570" s="10" t="s">
        <v>42</v>
      </c>
      <c r="E570" s="11" t="s">
        <v>65</v>
      </c>
      <c r="F570" s="11" t="s">
        <v>17</v>
      </c>
      <c r="G570" s="10" t="s">
        <v>24</v>
      </c>
      <c r="H570" s="11" t="s">
        <v>19</v>
      </c>
      <c r="I570" s="11" t="s">
        <v>20</v>
      </c>
      <c r="J570" s="11"/>
      <c r="K570" s="11" t="s">
        <v>65</v>
      </c>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4"/>
    </row>
    <row r="571" spans="1:35" ht="15.75" hidden="1" customHeight="1" x14ac:dyDescent="0.25">
      <c r="A571" s="9">
        <v>33</v>
      </c>
      <c r="B571" s="10" t="s">
        <v>60</v>
      </c>
      <c r="C571" s="10" t="s">
        <v>41</v>
      </c>
      <c r="D571" s="10" t="s">
        <v>42</v>
      </c>
      <c r="E571" s="11" t="s">
        <v>65</v>
      </c>
      <c r="F571" s="11" t="s">
        <v>17</v>
      </c>
      <c r="G571" s="10" t="s">
        <v>24</v>
      </c>
      <c r="H571" s="11" t="s">
        <v>19</v>
      </c>
      <c r="I571" s="11" t="s">
        <v>20</v>
      </c>
      <c r="J571" s="11"/>
      <c r="K571" s="11" t="s">
        <v>65</v>
      </c>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4"/>
    </row>
    <row r="572" spans="1:35" ht="15.75" hidden="1" customHeight="1" x14ac:dyDescent="0.25">
      <c r="A572" s="9">
        <v>34</v>
      </c>
      <c r="B572" s="10" t="s">
        <v>60</v>
      </c>
      <c r="C572" s="10" t="s">
        <v>41</v>
      </c>
      <c r="D572" s="10" t="s">
        <v>42</v>
      </c>
      <c r="E572" s="11" t="s">
        <v>65</v>
      </c>
      <c r="F572" s="11" t="s">
        <v>17</v>
      </c>
      <c r="G572" s="10" t="s">
        <v>24</v>
      </c>
      <c r="H572" s="11" t="s">
        <v>19</v>
      </c>
      <c r="I572" s="11" t="s">
        <v>20</v>
      </c>
      <c r="J572" s="11"/>
      <c r="K572" s="11" t="s">
        <v>65</v>
      </c>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4"/>
    </row>
    <row r="573" spans="1:35" ht="15.75" hidden="1" customHeight="1" x14ac:dyDescent="0.25">
      <c r="A573" s="9">
        <v>35</v>
      </c>
      <c r="B573" s="10" t="s">
        <v>60</v>
      </c>
      <c r="C573" s="10" t="s">
        <v>41</v>
      </c>
      <c r="D573" s="10" t="s">
        <v>42</v>
      </c>
      <c r="E573" s="11" t="s">
        <v>65</v>
      </c>
      <c r="F573" s="11" t="s">
        <v>17</v>
      </c>
      <c r="G573" s="10" t="s">
        <v>24</v>
      </c>
      <c r="H573" s="11" t="s">
        <v>19</v>
      </c>
      <c r="I573" s="11" t="s">
        <v>20</v>
      </c>
      <c r="J573" s="11"/>
      <c r="K573" s="11" t="s">
        <v>65</v>
      </c>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4"/>
    </row>
    <row r="574" spans="1:35" ht="15.75" hidden="1" customHeight="1" x14ac:dyDescent="0.25">
      <c r="A574" s="9">
        <v>36</v>
      </c>
      <c r="B574" s="10" t="s">
        <v>60</v>
      </c>
      <c r="C574" s="10" t="s">
        <v>41</v>
      </c>
      <c r="D574" s="10" t="s">
        <v>42</v>
      </c>
      <c r="E574" s="11" t="s">
        <v>65</v>
      </c>
      <c r="F574" s="11" t="s">
        <v>17</v>
      </c>
      <c r="G574" s="10" t="s">
        <v>18</v>
      </c>
      <c r="H574" s="11" t="s">
        <v>19</v>
      </c>
      <c r="I574" s="11" t="s">
        <v>20</v>
      </c>
      <c r="J574" s="11"/>
      <c r="K574" s="11" t="s">
        <v>65</v>
      </c>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4"/>
    </row>
    <row r="575" spans="1:35" ht="15.75" hidden="1" customHeight="1" x14ac:dyDescent="0.25">
      <c r="A575" s="9">
        <v>37</v>
      </c>
      <c r="B575" s="10" t="s">
        <v>60</v>
      </c>
      <c r="C575" s="10" t="s">
        <v>41</v>
      </c>
      <c r="D575" s="10" t="s">
        <v>42</v>
      </c>
      <c r="E575" s="11" t="s">
        <v>65</v>
      </c>
      <c r="F575" s="11" t="s">
        <v>17</v>
      </c>
      <c r="G575" s="10" t="s">
        <v>24</v>
      </c>
      <c r="H575" s="11" t="s">
        <v>23</v>
      </c>
      <c r="I575" s="11" t="s">
        <v>20</v>
      </c>
      <c r="J575" s="11"/>
      <c r="K575" s="11" t="s">
        <v>65</v>
      </c>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4"/>
    </row>
    <row r="576" spans="1:35" ht="15.75" hidden="1" customHeight="1" x14ac:dyDescent="0.25">
      <c r="A576" s="9">
        <v>38</v>
      </c>
      <c r="B576" s="10" t="s">
        <v>60</v>
      </c>
      <c r="C576" s="10" t="s">
        <v>41</v>
      </c>
      <c r="D576" s="10" t="s">
        <v>42</v>
      </c>
      <c r="E576" s="11" t="s">
        <v>65</v>
      </c>
      <c r="F576" s="11" t="s">
        <v>17</v>
      </c>
      <c r="G576" s="10" t="s">
        <v>24</v>
      </c>
      <c r="H576" s="11" t="s">
        <v>19</v>
      </c>
      <c r="I576" s="11" t="s">
        <v>20</v>
      </c>
      <c r="J576" s="11"/>
      <c r="K576" s="11" t="s">
        <v>65</v>
      </c>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4"/>
    </row>
    <row r="577" spans="1:35" ht="15.75" hidden="1" customHeight="1" x14ac:dyDescent="0.25">
      <c r="A577" s="9">
        <v>39</v>
      </c>
      <c r="B577" s="10" t="s">
        <v>60</v>
      </c>
      <c r="C577" s="10" t="s">
        <v>41</v>
      </c>
      <c r="D577" s="10" t="s">
        <v>42</v>
      </c>
      <c r="E577" s="11" t="s">
        <v>65</v>
      </c>
      <c r="F577" s="11" t="s">
        <v>17</v>
      </c>
      <c r="G577" s="10" t="s">
        <v>18</v>
      </c>
      <c r="H577" s="11" t="s">
        <v>19</v>
      </c>
      <c r="I577" s="11" t="s">
        <v>20</v>
      </c>
      <c r="J577" s="11"/>
      <c r="K577" s="11" t="s">
        <v>65</v>
      </c>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4"/>
    </row>
    <row r="578" spans="1:35" ht="15.75" hidden="1" customHeight="1" x14ac:dyDescent="0.25">
      <c r="A578" s="9">
        <v>40</v>
      </c>
      <c r="B578" s="10" t="s">
        <v>60</v>
      </c>
      <c r="C578" s="10" t="s">
        <v>41</v>
      </c>
      <c r="D578" s="10" t="s">
        <v>42</v>
      </c>
      <c r="E578" s="11" t="s">
        <v>65</v>
      </c>
      <c r="F578" s="11" t="s">
        <v>17</v>
      </c>
      <c r="G578" s="10" t="s">
        <v>18</v>
      </c>
      <c r="H578" s="11" t="s">
        <v>19</v>
      </c>
      <c r="I578" s="11" t="s">
        <v>20</v>
      </c>
      <c r="J578" s="11"/>
      <c r="K578" s="11" t="s">
        <v>65</v>
      </c>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4"/>
    </row>
    <row r="579" spans="1:35" ht="15.75" hidden="1" customHeight="1" x14ac:dyDescent="0.25">
      <c r="A579" s="9">
        <v>41</v>
      </c>
      <c r="B579" s="10" t="s">
        <v>60</v>
      </c>
      <c r="C579" s="10" t="s">
        <v>41</v>
      </c>
      <c r="D579" s="10" t="s">
        <v>42</v>
      </c>
      <c r="E579" s="11" t="s">
        <v>65</v>
      </c>
      <c r="F579" s="11" t="s">
        <v>17</v>
      </c>
      <c r="G579" s="10" t="s">
        <v>24</v>
      </c>
      <c r="H579" s="11" t="s">
        <v>19</v>
      </c>
      <c r="I579" s="11" t="s">
        <v>20</v>
      </c>
      <c r="J579" s="11"/>
      <c r="K579" s="11" t="s">
        <v>65</v>
      </c>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4"/>
    </row>
    <row r="580" spans="1:35" ht="15.75" hidden="1" customHeight="1" x14ac:dyDescent="0.25">
      <c r="A580" s="9">
        <v>42</v>
      </c>
      <c r="B580" s="10" t="s">
        <v>60</v>
      </c>
      <c r="C580" s="10" t="s">
        <v>41</v>
      </c>
      <c r="D580" s="10" t="s">
        <v>42</v>
      </c>
      <c r="E580" s="11" t="s">
        <v>65</v>
      </c>
      <c r="F580" s="11" t="s">
        <v>17</v>
      </c>
      <c r="G580" s="10" t="s">
        <v>18</v>
      </c>
      <c r="H580" s="11" t="s">
        <v>19</v>
      </c>
      <c r="I580" s="11" t="s">
        <v>20</v>
      </c>
      <c r="J580" s="11"/>
      <c r="K580" s="11" t="s">
        <v>65</v>
      </c>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4"/>
    </row>
    <row r="581" spans="1:35" ht="15.75" hidden="1" customHeight="1" x14ac:dyDescent="0.25">
      <c r="A581" s="9">
        <v>43</v>
      </c>
      <c r="B581" s="10" t="s">
        <v>60</v>
      </c>
      <c r="C581" s="10" t="s">
        <v>41</v>
      </c>
      <c r="D581" s="10" t="s">
        <v>42</v>
      </c>
      <c r="E581" s="11" t="s">
        <v>65</v>
      </c>
      <c r="F581" s="11" t="s">
        <v>17</v>
      </c>
      <c r="G581" s="10" t="s">
        <v>24</v>
      </c>
      <c r="H581" s="11" t="s">
        <v>19</v>
      </c>
      <c r="I581" s="11" t="s">
        <v>20</v>
      </c>
      <c r="J581" s="11"/>
      <c r="K581" s="11" t="s">
        <v>65</v>
      </c>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4"/>
    </row>
    <row r="582" spans="1:35" ht="15.75" hidden="1" customHeight="1" x14ac:dyDescent="0.25">
      <c r="A582" s="9">
        <v>44</v>
      </c>
      <c r="B582" s="10" t="s">
        <v>60</v>
      </c>
      <c r="C582" s="10" t="s">
        <v>41</v>
      </c>
      <c r="D582" s="10" t="s">
        <v>42</v>
      </c>
      <c r="E582" s="11" t="s">
        <v>65</v>
      </c>
      <c r="F582" s="11" t="s">
        <v>17</v>
      </c>
      <c r="G582" s="10" t="s">
        <v>24</v>
      </c>
      <c r="H582" s="11" t="s">
        <v>19</v>
      </c>
      <c r="I582" s="11" t="s">
        <v>20</v>
      </c>
      <c r="J582" s="11"/>
      <c r="K582" s="11" t="s">
        <v>65</v>
      </c>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4"/>
    </row>
    <row r="583" spans="1:35" ht="15.75" hidden="1" customHeight="1" x14ac:dyDescent="0.25">
      <c r="A583" s="9">
        <v>45</v>
      </c>
      <c r="B583" s="10" t="s">
        <v>60</v>
      </c>
      <c r="C583" s="10" t="s">
        <v>41</v>
      </c>
      <c r="D583" s="10" t="s">
        <v>42</v>
      </c>
      <c r="E583" s="11" t="s">
        <v>65</v>
      </c>
      <c r="F583" s="11" t="s">
        <v>17</v>
      </c>
      <c r="G583" s="10" t="s">
        <v>24</v>
      </c>
      <c r="H583" s="11" t="s">
        <v>19</v>
      </c>
      <c r="I583" s="11" t="s">
        <v>20</v>
      </c>
      <c r="J583" s="11"/>
      <c r="K583" s="11" t="s">
        <v>65</v>
      </c>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4"/>
    </row>
    <row r="584" spans="1:35" ht="15.75" hidden="1" customHeight="1" x14ac:dyDescent="0.25">
      <c r="A584" s="9">
        <v>46</v>
      </c>
      <c r="B584" s="10" t="s">
        <v>60</v>
      </c>
      <c r="C584" s="10" t="s">
        <v>41</v>
      </c>
      <c r="D584" s="10" t="s">
        <v>42</v>
      </c>
      <c r="E584" s="11" t="s">
        <v>65</v>
      </c>
      <c r="F584" s="11" t="s">
        <v>17</v>
      </c>
      <c r="G584" s="10" t="s">
        <v>18</v>
      </c>
      <c r="H584" s="11" t="s">
        <v>19</v>
      </c>
      <c r="I584" s="11" t="s">
        <v>20</v>
      </c>
      <c r="J584" s="11"/>
      <c r="K584" s="11" t="s">
        <v>65</v>
      </c>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4"/>
    </row>
    <row r="585" spans="1:35" ht="15.75" hidden="1" customHeight="1" x14ac:dyDescent="0.25">
      <c r="A585" s="9">
        <v>47</v>
      </c>
      <c r="B585" s="10" t="s">
        <v>60</v>
      </c>
      <c r="C585" s="10" t="s">
        <v>41</v>
      </c>
      <c r="D585" s="10" t="s">
        <v>42</v>
      </c>
      <c r="E585" s="11" t="s">
        <v>65</v>
      </c>
      <c r="F585" s="11" t="s">
        <v>17</v>
      </c>
      <c r="G585" s="10" t="s">
        <v>18</v>
      </c>
      <c r="H585" s="11" t="s">
        <v>19</v>
      </c>
      <c r="I585" s="11" t="s">
        <v>20</v>
      </c>
      <c r="J585" s="11"/>
      <c r="K585" s="11" t="s">
        <v>65</v>
      </c>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4"/>
    </row>
    <row r="586" spans="1:35" ht="15.75" hidden="1" customHeight="1" x14ac:dyDescent="0.25">
      <c r="A586" s="9">
        <v>48</v>
      </c>
      <c r="B586" s="10" t="s">
        <v>60</v>
      </c>
      <c r="C586" s="10" t="s">
        <v>41</v>
      </c>
      <c r="D586" s="10" t="s">
        <v>42</v>
      </c>
      <c r="E586" s="11" t="s">
        <v>65</v>
      </c>
      <c r="F586" s="11" t="s">
        <v>17</v>
      </c>
      <c r="G586" s="10" t="s">
        <v>24</v>
      </c>
      <c r="H586" s="11" t="s">
        <v>23</v>
      </c>
      <c r="I586" s="11" t="s">
        <v>20</v>
      </c>
      <c r="J586" s="11"/>
      <c r="K586" s="11" t="s">
        <v>65</v>
      </c>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4"/>
    </row>
    <row r="587" spans="1:35" ht="15.75" hidden="1" customHeight="1" x14ac:dyDescent="0.25">
      <c r="A587" s="9">
        <v>49</v>
      </c>
      <c r="B587" s="10" t="s">
        <v>60</v>
      </c>
      <c r="C587" s="10" t="s">
        <v>41</v>
      </c>
      <c r="D587" s="10" t="s">
        <v>43</v>
      </c>
      <c r="E587" s="11" t="s">
        <v>65</v>
      </c>
      <c r="F587" s="11" t="s">
        <v>17</v>
      </c>
      <c r="G587" s="10" t="s">
        <v>18</v>
      </c>
      <c r="H587" s="11" t="s">
        <v>19</v>
      </c>
      <c r="I587" s="11" t="s">
        <v>20</v>
      </c>
      <c r="J587" s="11"/>
      <c r="K587" s="11" t="s">
        <v>65</v>
      </c>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4"/>
    </row>
    <row r="588" spans="1:35" ht="15.75" hidden="1" customHeight="1" x14ac:dyDescent="0.25">
      <c r="A588" s="9">
        <v>50</v>
      </c>
      <c r="B588" s="10" t="s">
        <v>60</v>
      </c>
      <c r="C588" s="10" t="s">
        <v>41</v>
      </c>
      <c r="D588" s="10" t="s">
        <v>43</v>
      </c>
      <c r="E588" s="11" t="s">
        <v>65</v>
      </c>
      <c r="F588" s="11" t="s">
        <v>17</v>
      </c>
      <c r="G588" s="10" t="s">
        <v>18</v>
      </c>
      <c r="H588" s="11" t="s">
        <v>19</v>
      </c>
      <c r="I588" s="11" t="s">
        <v>20</v>
      </c>
      <c r="J588" s="11"/>
      <c r="K588" s="11" t="s">
        <v>65</v>
      </c>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4"/>
    </row>
    <row r="589" spans="1:35" ht="15.75" hidden="1" customHeight="1" x14ac:dyDescent="0.25">
      <c r="A589" s="9">
        <v>51</v>
      </c>
      <c r="B589" s="10" t="s">
        <v>60</v>
      </c>
      <c r="C589" s="10" t="s">
        <v>41</v>
      </c>
      <c r="D589" s="10" t="s">
        <v>43</v>
      </c>
      <c r="E589" s="11" t="s">
        <v>65</v>
      </c>
      <c r="F589" s="11" t="s">
        <v>17</v>
      </c>
      <c r="G589" s="10" t="s">
        <v>24</v>
      </c>
      <c r="H589" s="11" t="s">
        <v>19</v>
      </c>
      <c r="I589" s="11" t="s">
        <v>20</v>
      </c>
      <c r="J589" s="11"/>
      <c r="K589" s="11" t="s">
        <v>65</v>
      </c>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4"/>
    </row>
    <row r="590" spans="1:35" ht="15.75" hidden="1" customHeight="1" x14ac:dyDescent="0.25">
      <c r="A590" s="9">
        <v>52</v>
      </c>
      <c r="B590" s="10" t="s">
        <v>60</v>
      </c>
      <c r="C590" s="10" t="s">
        <v>41</v>
      </c>
      <c r="D590" s="10" t="s">
        <v>43</v>
      </c>
      <c r="E590" s="11" t="s">
        <v>65</v>
      </c>
      <c r="F590" s="11" t="s">
        <v>17</v>
      </c>
      <c r="G590" s="10" t="s">
        <v>18</v>
      </c>
      <c r="H590" s="11" t="s">
        <v>19</v>
      </c>
      <c r="I590" s="11" t="s">
        <v>20</v>
      </c>
      <c r="J590" s="11"/>
      <c r="K590" s="11" t="s">
        <v>65</v>
      </c>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4"/>
    </row>
    <row r="591" spans="1:35" ht="15.75" hidden="1" customHeight="1" x14ac:dyDescent="0.25">
      <c r="A591" s="9">
        <v>53</v>
      </c>
      <c r="B591" s="10" t="s">
        <v>60</v>
      </c>
      <c r="C591" s="10" t="s">
        <v>41</v>
      </c>
      <c r="D591" s="10" t="s">
        <v>43</v>
      </c>
      <c r="E591" s="11" t="s">
        <v>65</v>
      </c>
      <c r="F591" s="11" t="s">
        <v>17</v>
      </c>
      <c r="G591" s="10" t="s">
        <v>18</v>
      </c>
      <c r="H591" s="11" t="s">
        <v>19</v>
      </c>
      <c r="I591" s="11" t="s">
        <v>20</v>
      </c>
      <c r="J591" s="11"/>
      <c r="K591" s="11" t="s">
        <v>65</v>
      </c>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4"/>
    </row>
    <row r="592" spans="1:35" ht="15.75" hidden="1" customHeight="1" x14ac:dyDescent="0.25">
      <c r="A592" s="9">
        <v>54</v>
      </c>
      <c r="B592" s="10" t="s">
        <v>60</v>
      </c>
      <c r="C592" s="10" t="s">
        <v>41</v>
      </c>
      <c r="D592" s="10" t="s">
        <v>43</v>
      </c>
      <c r="E592" s="11" t="s">
        <v>65</v>
      </c>
      <c r="F592" s="11" t="s">
        <v>17</v>
      </c>
      <c r="G592" s="10" t="s">
        <v>18</v>
      </c>
      <c r="H592" s="11" t="s">
        <v>19</v>
      </c>
      <c r="I592" s="11" t="s">
        <v>20</v>
      </c>
      <c r="J592" s="11"/>
      <c r="K592" s="11" t="s">
        <v>65</v>
      </c>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4"/>
    </row>
    <row r="593" spans="1:35" ht="15.75" hidden="1" customHeight="1" x14ac:dyDescent="0.25">
      <c r="A593" s="9">
        <v>55</v>
      </c>
      <c r="B593" s="10" t="s">
        <v>60</v>
      </c>
      <c r="C593" s="10" t="s">
        <v>41</v>
      </c>
      <c r="D593" s="10" t="s">
        <v>43</v>
      </c>
      <c r="E593" s="11" t="s">
        <v>65</v>
      </c>
      <c r="F593" s="11" t="s">
        <v>17</v>
      </c>
      <c r="G593" s="10" t="s">
        <v>18</v>
      </c>
      <c r="H593" s="11" t="s">
        <v>23</v>
      </c>
      <c r="I593" s="11" t="s">
        <v>20</v>
      </c>
      <c r="J593" s="11"/>
      <c r="K593" s="11" t="s">
        <v>65</v>
      </c>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4"/>
    </row>
    <row r="594" spans="1:35" ht="15.75" hidden="1" customHeight="1" x14ac:dyDescent="0.25">
      <c r="A594" s="9">
        <v>56</v>
      </c>
      <c r="B594" s="10" t="s">
        <v>60</v>
      </c>
      <c r="C594" s="10" t="s">
        <v>41</v>
      </c>
      <c r="D594" s="10" t="s">
        <v>43</v>
      </c>
      <c r="E594" s="11" t="s">
        <v>65</v>
      </c>
      <c r="F594" s="11" t="s">
        <v>17</v>
      </c>
      <c r="G594" s="10" t="s">
        <v>18</v>
      </c>
      <c r="H594" s="11" t="s">
        <v>19</v>
      </c>
      <c r="I594" s="11" t="s">
        <v>20</v>
      </c>
      <c r="J594" s="11"/>
      <c r="K594" s="11" t="s">
        <v>65</v>
      </c>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4"/>
    </row>
    <row r="595" spans="1:35" ht="15.75" hidden="1" customHeight="1" x14ac:dyDescent="0.25">
      <c r="A595" s="9">
        <v>57</v>
      </c>
      <c r="B595" s="10" t="s">
        <v>60</v>
      </c>
      <c r="C595" s="10" t="s">
        <v>41</v>
      </c>
      <c r="D595" s="10" t="s">
        <v>43</v>
      </c>
      <c r="E595" s="11" t="s">
        <v>65</v>
      </c>
      <c r="F595" s="11" t="s">
        <v>17</v>
      </c>
      <c r="G595" s="10" t="s">
        <v>18</v>
      </c>
      <c r="H595" s="11" t="s">
        <v>19</v>
      </c>
      <c r="I595" s="11" t="s">
        <v>20</v>
      </c>
      <c r="J595" s="11"/>
      <c r="K595" s="11" t="s">
        <v>65</v>
      </c>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4"/>
    </row>
    <row r="596" spans="1:35" ht="15.75" hidden="1" customHeight="1" x14ac:dyDescent="0.25">
      <c r="A596" s="9">
        <v>58</v>
      </c>
      <c r="B596" s="10" t="s">
        <v>60</v>
      </c>
      <c r="C596" s="10" t="s">
        <v>41</v>
      </c>
      <c r="D596" s="10" t="s">
        <v>43</v>
      </c>
      <c r="E596" s="11" t="s">
        <v>65</v>
      </c>
      <c r="F596" s="11" t="s">
        <v>17</v>
      </c>
      <c r="G596" s="10" t="s">
        <v>24</v>
      </c>
      <c r="H596" s="11" t="s">
        <v>19</v>
      </c>
      <c r="I596" s="11" t="s">
        <v>20</v>
      </c>
      <c r="J596" s="11"/>
      <c r="K596" s="11" t="s">
        <v>65</v>
      </c>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4"/>
    </row>
    <row r="597" spans="1:35" ht="15.75" hidden="1" customHeight="1" x14ac:dyDescent="0.25">
      <c r="A597" s="9">
        <v>59</v>
      </c>
      <c r="B597" s="10" t="s">
        <v>60</v>
      </c>
      <c r="C597" s="10" t="s">
        <v>41</v>
      </c>
      <c r="D597" s="10" t="s">
        <v>43</v>
      </c>
      <c r="E597" s="11" t="s">
        <v>65</v>
      </c>
      <c r="F597" s="11" t="s">
        <v>17</v>
      </c>
      <c r="G597" s="10" t="s">
        <v>18</v>
      </c>
      <c r="H597" s="11" t="s">
        <v>19</v>
      </c>
      <c r="I597" s="11" t="s">
        <v>20</v>
      </c>
      <c r="J597" s="11"/>
      <c r="K597" s="11" t="s">
        <v>65</v>
      </c>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4"/>
    </row>
    <row r="598" spans="1:35" ht="15.75" hidden="1" customHeight="1" x14ac:dyDescent="0.25">
      <c r="A598" s="9">
        <v>60</v>
      </c>
      <c r="B598" s="10" t="s">
        <v>60</v>
      </c>
      <c r="C598" s="10" t="s">
        <v>41</v>
      </c>
      <c r="D598" s="10" t="s">
        <v>43</v>
      </c>
      <c r="E598" s="11" t="s">
        <v>65</v>
      </c>
      <c r="F598" s="11" t="s">
        <v>17</v>
      </c>
      <c r="G598" s="10" t="s">
        <v>18</v>
      </c>
      <c r="H598" s="11" t="s">
        <v>19</v>
      </c>
      <c r="I598" s="11" t="s">
        <v>20</v>
      </c>
      <c r="J598" s="11"/>
      <c r="K598" s="11" t="s">
        <v>65</v>
      </c>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4"/>
    </row>
    <row r="599" spans="1:35" ht="15.75" hidden="1" customHeight="1" x14ac:dyDescent="0.25">
      <c r="A599" s="9">
        <v>61</v>
      </c>
      <c r="B599" s="10" t="s">
        <v>60</v>
      </c>
      <c r="C599" s="10" t="s">
        <v>41</v>
      </c>
      <c r="D599" s="10" t="s">
        <v>43</v>
      </c>
      <c r="E599" s="11" t="s">
        <v>65</v>
      </c>
      <c r="F599" s="11" t="s">
        <v>17</v>
      </c>
      <c r="G599" s="10" t="s">
        <v>18</v>
      </c>
      <c r="H599" s="11" t="s">
        <v>19</v>
      </c>
      <c r="I599" s="11" t="s">
        <v>20</v>
      </c>
      <c r="J599" s="11"/>
      <c r="K599" s="11" t="s">
        <v>65</v>
      </c>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4"/>
    </row>
    <row r="600" spans="1:35" ht="15.75" hidden="1" customHeight="1" x14ac:dyDescent="0.25">
      <c r="A600" s="9">
        <v>62</v>
      </c>
      <c r="B600" s="10" t="s">
        <v>60</v>
      </c>
      <c r="C600" s="10" t="s">
        <v>41</v>
      </c>
      <c r="D600" s="10" t="s">
        <v>43</v>
      </c>
      <c r="E600" s="11" t="s">
        <v>65</v>
      </c>
      <c r="F600" s="11" t="s">
        <v>17</v>
      </c>
      <c r="G600" s="10" t="s">
        <v>18</v>
      </c>
      <c r="H600" s="11" t="s">
        <v>19</v>
      </c>
      <c r="I600" s="11" t="s">
        <v>20</v>
      </c>
      <c r="J600" s="11"/>
      <c r="K600" s="11" t="s">
        <v>65</v>
      </c>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4"/>
    </row>
    <row r="601" spans="1:35" ht="15.75" hidden="1" customHeight="1" x14ac:dyDescent="0.25">
      <c r="A601" s="9">
        <v>63</v>
      </c>
      <c r="B601" s="10" t="s">
        <v>60</v>
      </c>
      <c r="C601" s="10" t="s">
        <v>41</v>
      </c>
      <c r="D601" s="10" t="s">
        <v>43</v>
      </c>
      <c r="E601" s="11" t="s">
        <v>65</v>
      </c>
      <c r="F601" s="11" t="s">
        <v>17</v>
      </c>
      <c r="G601" s="10" t="s">
        <v>18</v>
      </c>
      <c r="H601" s="11" t="s">
        <v>19</v>
      </c>
      <c r="I601" s="11" t="s">
        <v>20</v>
      </c>
      <c r="J601" s="11"/>
      <c r="K601" s="11" t="s">
        <v>65</v>
      </c>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4"/>
    </row>
    <row r="602" spans="1:35" ht="15.75" hidden="1" customHeight="1" x14ac:dyDescent="0.25">
      <c r="A602" s="9">
        <v>64</v>
      </c>
      <c r="B602" s="10" t="s">
        <v>60</v>
      </c>
      <c r="C602" s="10" t="s">
        <v>41</v>
      </c>
      <c r="D602" s="10" t="s">
        <v>43</v>
      </c>
      <c r="E602" s="11" t="s">
        <v>65</v>
      </c>
      <c r="F602" s="11" t="s">
        <v>17</v>
      </c>
      <c r="G602" s="10" t="s">
        <v>24</v>
      </c>
      <c r="H602" s="11" t="s">
        <v>19</v>
      </c>
      <c r="I602" s="11" t="s">
        <v>20</v>
      </c>
      <c r="J602" s="11"/>
      <c r="K602" s="11" t="s">
        <v>65</v>
      </c>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4"/>
    </row>
    <row r="603" spans="1:35" ht="15.75" hidden="1" customHeight="1" x14ac:dyDescent="0.25">
      <c r="A603" s="9">
        <v>65</v>
      </c>
      <c r="B603" s="10" t="s">
        <v>60</v>
      </c>
      <c r="C603" s="10" t="s">
        <v>41</v>
      </c>
      <c r="D603" s="10" t="s">
        <v>43</v>
      </c>
      <c r="E603" s="11" t="s">
        <v>65</v>
      </c>
      <c r="F603" s="11" t="s">
        <v>17</v>
      </c>
      <c r="G603" s="10" t="s">
        <v>24</v>
      </c>
      <c r="H603" s="11" t="s">
        <v>19</v>
      </c>
      <c r="I603" s="11" t="s">
        <v>20</v>
      </c>
      <c r="J603" s="11"/>
      <c r="K603" s="11" t="s">
        <v>65</v>
      </c>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4"/>
    </row>
    <row r="604" spans="1:35" ht="15.75" hidden="1" customHeight="1" x14ac:dyDescent="0.25">
      <c r="A604" s="9">
        <v>66</v>
      </c>
      <c r="B604" s="10" t="s">
        <v>60</v>
      </c>
      <c r="C604" s="10" t="s">
        <v>41</v>
      </c>
      <c r="D604" s="10" t="s">
        <v>43</v>
      </c>
      <c r="E604" s="11" t="s">
        <v>65</v>
      </c>
      <c r="F604" s="11" t="s">
        <v>17</v>
      </c>
      <c r="G604" s="10" t="s">
        <v>24</v>
      </c>
      <c r="H604" s="11" t="s">
        <v>19</v>
      </c>
      <c r="I604" s="11" t="s">
        <v>20</v>
      </c>
      <c r="J604" s="11"/>
      <c r="K604" s="11" t="s">
        <v>65</v>
      </c>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4"/>
    </row>
    <row r="605" spans="1:35" ht="15.75" hidden="1" customHeight="1" x14ac:dyDescent="0.25">
      <c r="A605" s="9">
        <v>67</v>
      </c>
      <c r="B605" s="10" t="s">
        <v>60</v>
      </c>
      <c r="C605" s="10" t="s">
        <v>41</v>
      </c>
      <c r="D605" s="10" t="s">
        <v>43</v>
      </c>
      <c r="E605" s="11" t="s">
        <v>65</v>
      </c>
      <c r="F605" s="11" t="s">
        <v>17</v>
      </c>
      <c r="G605" s="10" t="s">
        <v>18</v>
      </c>
      <c r="H605" s="11" t="s">
        <v>19</v>
      </c>
      <c r="I605" s="11" t="s">
        <v>20</v>
      </c>
      <c r="J605" s="11"/>
      <c r="K605" s="11" t="s">
        <v>65</v>
      </c>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4"/>
    </row>
    <row r="606" spans="1:35" ht="15.75" hidden="1" customHeight="1" x14ac:dyDescent="0.25">
      <c r="A606" s="9">
        <v>68</v>
      </c>
      <c r="B606" s="10" t="s">
        <v>60</v>
      </c>
      <c r="C606" s="10" t="s">
        <v>41</v>
      </c>
      <c r="D606" s="10" t="s">
        <v>43</v>
      </c>
      <c r="E606" s="11" t="s">
        <v>65</v>
      </c>
      <c r="F606" s="11" t="s">
        <v>17</v>
      </c>
      <c r="G606" s="10" t="s">
        <v>24</v>
      </c>
      <c r="H606" s="11" t="s">
        <v>19</v>
      </c>
      <c r="I606" s="11" t="s">
        <v>20</v>
      </c>
      <c r="J606" s="11"/>
      <c r="K606" s="11" t="s">
        <v>65</v>
      </c>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4"/>
    </row>
    <row r="607" spans="1:35" ht="15.75" hidden="1" customHeight="1" x14ac:dyDescent="0.25">
      <c r="A607" s="9">
        <v>69</v>
      </c>
      <c r="B607" s="10" t="s">
        <v>60</v>
      </c>
      <c r="C607" s="10" t="s">
        <v>41</v>
      </c>
      <c r="D607" s="10" t="s">
        <v>43</v>
      </c>
      <c r="E607" s="11" t="s">
        <v>65</v>
      </c>
      <c r="F607" s="11" t="s">
        <v>17</v>
      </c>
      <c r="G607" s="10" t="s">
        <v>24</v>
      </c>
      <c r="H607" s="11" t="s">
        <v>19</v>
      </c>
      <c r="I607" s="11" t="s">
        <v>20</v>
      </c>
      <c r="J607" s="11"/>
      <c r="K607" s="11" t="s">
        <v>65</v>
      </c>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4"/>
    </row>
    <row r="608" spans="1:35" ht="15.75" hidden="1" customHeight="1" x14ac:dyDescent="0.25">
      <c r="A608" s="9">
        <v>70</v>
      </c>
      <c r="B608" s="10" t="s">
        <v>60</v>
      </c>
      <c r="C608" s="10" t="s">
        <v>41</v>
      </c>
      <c r="D608" s="10" t="s">
        <v>43</v>
      </c>
      <c r="E608" s="11" t="s">
        <v>65</v>
      </c>
      <c r="F608" s="11" t="s">
        <v>17</v>
      </c>
      <c r="G608" s="10" t="s">
        <v>24</v>
      </c>
      <c r="H608" s="11" t="s">
        <v>19</v>
      </c>
      <c r="I608" s="11" t="s">
        <v>20</v>
      </c>
      <c r="J608" s="11"/>
      <c r="K608" s="11" t="s">
        <v>65</v>
      </c>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4"/>
    </row>
    <row r="609" spans="1:35" ht="15.75" hidden="1" customHeight="1" x14ac:dyDescent="0.25">
      <c r="A609" s="9">
        <v>71</v>
      </c>
      <c r="B609" s="10" t="s">
        <v>60</v>
      </c>
      <c r="C609" s="10" t="s">
        <v>41</v>
      </c>
      <c r="D609" s="10" t="s">
        <v>43</v>
      </c>
      <c r="E609" s="11" t="s">
        <v>65</v>
      </c>
      <c r="F609" s="11" t="s">
        <v>17</v>
      </c>
      <c r="G609" s="10" t="s">
        <v>18</v>
      </c>
      <c r="H609" s="11" t="s">
        <v>19</v>
      </c>
      <c r="I609" s="11" t="s">
        <v>20</v>
      </c>
      <c r="J609" s="11"/>
      <c r="K609" s="11" t="s">
        <v>65</v>
      </c>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4"/>
    </row>
    <row r="610" spans="1:35" ht="15.75" hidden="1" customHeight="1" x14ac:dyDescent="0.25">
      <c r="A610" s="9">
        <v>72</v>
      </c>
      <c r="B610" s="10" t="s">
        <v>60</v>
      </c>
      <c r="C610" s="10" t="s">
        <v>41</v>
      </c>
      <c r="D610" s="10" t="s">
        <v>43</v>
      </c>
      <c r="E610" s="11" t="s">
        <v>65</v>
      </c>
      <c r="F610" s="11" t="s">
        <v>17</v>
      </c>
      <c r="G610" s="10" t="s">
        <v>18</v>
      </c>
      <c r="H610" s="11" t="s">
        <v>19</v>
      </c>
      <c r="I610" s="11" t="s">
        <v>20</v>
      </c>
      <c r="J610" s="11"/>
      <c r="K610" s="11" t="s">
        <v>65</v>
      </c>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4"/>
    </row>
    <row r="611" spans="1:35" ht="15.75" hidden="1" customHeight="1" x14ac:dyDescent="0.25">
      <c r="A611" s="9">
        <v>73</v>
      </c>
      <c r="B611" s="10" t="s">
        <v>60</v>
      </c>
      <c r="C611" s="10" t="s">
        <v>15</v>
      </c>
      <c r="D611" s="10" t="s">
        <v>45</v>
      </c>
      <c r="E611" s="11" t="s">
        <v>138</v>
      </c>
      <c r="F611" s="11" t="s">
        <v>17</v>
      </c>
      <c r="G611" s="10" t="s">
        <v>18</v>
      </c>
      <c r="H611" s="11" t="s">
        <v>19</v>
      </c>
      <c r="I611" s="11" t="s">
        <v>20</v>
      </c>
      <c r="J611" s="11"/>
      <c r="K611" s="11" t="s">
        <v>66</v>
      </c>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4"/>
    </row>
    <row r="612" spans="1:35" ht="15.75" hidden="1" customHeight="1" x14ac:dyDescent="0.25">
      <c r="A612" s="9">
        <v>74</v>
      </c>
      <c r="B612" s="10" t="s">
        <v>60</v>
      </c>
      <c r="C612" s="10" t="s">
        <v>15</v>
      </c>
      <c r="D612" s="10" t="s">
        <v>16</v>
      </c>
      <c r="E612" s="11" t="s">
        <v>138</v>
      </c>
      <c r="F612" s="11" t="s">
        <v>17</v>
      </c>
      <c r="G612" s="10" t="s">
        <v>24</v>
      </c>
      <c r="H612" s="11" t="s">
        <v>23</v>
      </c>
      <c r="I612" s="11" t="s">
        <v>20</v>
      </c>
      <c r="J612" s="11"/>
      <c r="K612" s="11" t="s">
        <v>66</v>
      </c>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4"/>
    </row>
    <row r="613" spans="1:35" ht="15.75" hidden="1" customHeight="1" x14ac:dyDescent="0.25">
      <c r="A613" s="9">
        <v>75</v>
      </c>
      <c r="B613" s="10" t="s">
        <v>60</v>
      </c>
      <c r="C613" s="10" t="s">
        <v>15</v>
      </c>
      <c r="D613" s="10" t="s">
        <v>67</v>
      </c>
      <c r="E613" s="11" t="s">
        <v>156</v>
      </c>
      <c r="F613" s="11" t="s">
        <v>17</v>
      </c>
      <c r="G613" s="10" t="s">
        <v>18</v>
      </c>
      <c r="H613" s="11" t="s">
        <v>19</v>
      </c>
      <c r="I613" s="11" t="s">
        <v>20</v>
      </c>
      <c r="J613" s="11"/>
      <c r="K613" s="11" t="s">
        <v>68</v>
      </c>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4"/>
    </row>
    <row r="614" spans="1:35" ht="15.75" hidden="1" customHeight="1" x14ac:dyDescent="0.25">
      <c r="A614" s="9">
        <v>76</v>
      </c>
      <c r="B614" s="10" t="s">
        <v>60</v>
      </c>
      <c r="C614" s="10" t="s">
        <v>15</v>
      </c>
      <c r="D614" s="10" t="s">
        <v>37</v>
      </c>
      <c r="E614" s="11" t="s">
        <v>156</v>
      </c>
      <c r="F614" s="11" t="s">
        <v>17</v>
      </c>
      <c r="G614" s="10" t="s">
        <v>24</v>
      </c>
      <c r="H614" s="11" t="s">
        <v>25</v>
      </c>
      <c r="I614" s="11" t="s">
        <v>20</v>
      </c>
      <c r="J614" s="11"/>
      <c r="K614" s="11" t="s">
        <v>68</v>
      </c>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4"/>
    </row>
    <row r="615" spans="1:35" ht="15.75" hidden="1" customHeight="1" x14ac:dyDescent="0.25">
      <c r="A615" s="9">
        <v>77</v>
      </c>
      <c r="B615" s="10" t="s">
        <v>60</v>
      </c>
      <c r="C615" s="10" t="s">
        <v>15</v>
      </c>
      <c r="D615" s="10" t="s">
        <v>45</v>
      </c>
      <c r="E615" s="11" t="s">
        <v>140</v>
      </c>
      <c r="F615" s="11" t="s">
        <v>17</v>
      </c>
      <c r="G615" s="10" t="s">
        <v>24</v>
      </c>
      <c r="H615" s="11" t="s">
        <v>19</v>
      </c>
      <c r="I615" s="11" t="s">
        <v>20</v>
      </c>
      <c r="J615" s="11"/>
      <c r="K615" s="11" t="s">
        <v>69</v>
      </c>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4"/>
    </row>
    <row r="616" spans="1:35" ht="15.75" hidden="1" customHeight="1" x14ac:dyDescent="0.25">
      <c r="A616" s="9">
        <v>78</v>
      </c>
      <c r="B616" s="10" t="s">
        <v>60</v>
      </c>
      <c r="C616" s="10" t="s">
        <v>15</v>
      </c>
      <c r="D616" s="10" t="s">
        <v>16</v>
      </c>
      <c r="E616" s="11" t="s">
        <v>140</v>
      </c>
      <c r="F616" s="11" t="s">
        <v>17</v>
      </c>
      <c r="G616" s="10" t="s">
        <v>24</v>
      </c>
      <c r="H616" s="11" t="s">
        <v>19</v>
      </c>
      <c r="I616" s="11" t="s">
        <v>20</v>
      </c>
      <c r="J616" s="11"/>
      <c r="K616" s="11" t="s">
        <v>69</v>
      </c>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4"/>
    </row>
    <row r="617" spans="1:35" ht="15.75" hidden="1" customHeight="1" x14ac:dyDescent="0.25">
      <c r="A617" s="9">
        <v>79</v>
      </c>
      <c r="B617" s="10" t="s">
        <v>60</v>
      </c>
      <c r="C617" s="10" t="s">
        <v>15</v>
      </c>
      <c r="D617" s="10" t="s">
        <v>37</v>
      </c>
      <c r="E617" s="11" t="s">
        <v>140</v>
      </c>
      <c r="F617" s="11" t="s">
        <v>17</v>
      </c>
      <c r="G617" s="10" t="s">
        <v>18</v>
      </c>
      <c r="H617" s="11" t="s">
        <v>19</v>
      </c>
      <c r="I617" s="11" t="s">
        <v>20</v>
      </c>
      <c r="J617" s="11"/>
      <c r="K617" s="11" t="s">
        <v>69</v>
      </c>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4"/>
    </row>
    <row r="618" spans="1:35" ht="15.75" hidden="1" customHeight="1" x14ac:dyDescent="0.25">
      <c r="A618" s="9">
        <v>80</v>
      </c>
      <c r="B618" s="10" t="s">
        <v>60</v>
      </c>
      <c r="C618" s="10" t="s">
        <v>15</v>
      </c>
      <c r="D618" s="10" t="s">
        <v>37</v>
      </c>
      <c r="E618" s="11" t="s">
        <v>140</v>
      </c>
      <c r="F618" s="11" t="s">
        <v>17</v>
      </c>
      <c r="G618" s="10" t="s">
        <v>24</v>
      </c>
      <c r="H618" s="11" t="s">
        <v>19</v>
      </c>
      <c r="I618" s="11" t="s">
        <v>20</v>
      </c>
      <c r="J618" s="11"/>
      <c r="K618" s="11" t="s">
        <v>69</v>
      </c>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4"/>
    </row>
    <row r="619" spans="1:35" ht="15.75" hidden="1" customHeight="1" x14ac:dyDescent="0.25">
      <c r="A619" s="9">
        <v>81</v>
      </c>
      <c r="B619" s="10" t="s">
        <v>60</v>
      </c>
      <c r="C619" s="10" t="s">
        <v>15</v>
      </c>
      <c r="D619" s="10" t="s">
        <v>45</v>
      </c>
      <c r="E619" s="11" t="s">
        <v>91</v>
      </c>
      <c r="F619" s="11" t="s">
        <v>17</v>
      </c>
      <c r="G619" s="10" t="s">
        <v>18</v>
      </c>
      <c r="H619" s="11" t="s">
        <v>19</v>
      </c>
      <c r="I619" s="11" t="s">
        <v>20</v>
      </c>
      <c r="J619" s="11"/>
      <c r="K619" s="11" t="s">
        <v>70</v>
      </c>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4"/>
    </row>
    <row r="620" spans="1:35" ht="15.75" hidden="1" customHeight="1" x14ac:dyDescent="0.25">
      <c r="A620" s="9">
        <v>82</v>
      </c>
      <c r="B620" s="10" t="s">
        <v>60</v>
      </c>
      <c r="C620" s="10" t="s">
        <v>15</v>
      </c>
      <c r="D620" s="10" t="s">
        <v>45</v>
      </c>
      <c r="E620" s="11" t="s">
        <v>91</v>
      </c>
      <c r="F620" s="11" t="s">
        <v>17</v>
      </c>
      <c r="G620" s="10" t="s">
        <v>18</v>
      </c>
      <c r="H620" s="11" t="s">
        <v>19</v>
      </c>
      <c r="I620" s="11" t="s">
        <v>20</v>
      </c>
      <c r="J620" s="11"/>
      <c r="K620" s="11" t="s">
        <v>70</v>
      </c>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4"/>
    </row>
    <row r="621" spans="1:35" ht="15.75" hidden="1" customHeight="1" x14ac:dyDescent="0.25">
      <c r="A621" s="9">
        <v>83</v>
      </c>
      <c r="B621" s="10" t="s">
        <v>60</v>
      </c>
      <c r="C621" s="10" t="s">
        <v>15</v>
      </c>
      <c r="D621" s="10" t="s">
        <v>45</v>
      </c>
      <c r="E621" s="11" t="s">
        <v>91</v>
      </c>
      <c r="F621" s="11" t="s">
        <v>17</v>
      </c>
      <c r="G621" s="10" t="s">
        <v>18</v>
      </c>
      <c r="H621" s="11" t="s">
        <v>19</v>
      </c>
      <c r="I621" s="11" t="s">
        <v>20</v>
      </c>
      <c r="J621" s="11"/>
      <c r="K621" s="11" t="s">
        <v>70</v>
      </c>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4"/>
    </row>
    <row r="622" spans="1:35" ht="15.75" hidden="1" customHeight="1" x14ac:dyDescent="0.25">
      <c r="A622" s="9">
        <v>84</v>
      </c>
      <c r="B622" s="10" t="s">
        <v>60</v>
      </c>
      <c r="C622" s="10" t="s">
        <v>15</v>
      </c>
      <c r="D622" s="10" t="s">
        <v>45</v>
      </c>
      <c r="E622" s="11" t="s">
        <v>91</v>
      </c>
      <c r="F622" s="11" t="s">
        <v>17</v>
      </c>
      <c r="G622" s="10" t="s">
        <v>24</v>
      </c>
      <c r="H622" s="11" t="s">
        <v>19</v>
      </c>
      <c r="I622" s="11" t="s">
        <v>20</v>
      </c>
      <c r="J622" s="11"/>
      <c r="K622" s="11" t="s">
        <v>70</v>
      </c>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4"/>
    </row>
    <row r="623" spans="1:35" ht="15.75" hidden="1" customHeight="1" x14ac:dyDescent="0.25">
      <c r="A623" s="9">
        <v>85</v>
      </c>
      <c r="B623" s="10" t="s">
        <v>60</v>
      </c>
      <c r="C623" s="10" t="s">
        <v>15</v>
      </c>
      <c r="D623" s="10" t="s">
        <v>45</v>
      </c>
      <c r="E623" s="11" t="s">
        <v>91</v>
      </c>
      <c r="F623" s="11" t="s">
        <v>17</v>
      </c>
      <c r="G623" s="10" t="s">
        <v>18</v>
      </c>
      <c r="H623" s="11" t="s">
        <v>19</v>
      </c>
      <c r="I623" s="11" t="s">
        <v>20</v>
      </c>
      <c r="J623" s="11"/>
      <c r="K623" s="11" t="s">
        <v>70</v>
      </c>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4"/>
    </row>
    <row r="624" spans="1:35" ht="15.75" hidden="1" customHeight="1" x14ac:dyDescent="0.25">
      <c r="A624" s="9">
        <v>86</v>
      </c>
      <c r="B624" s="10" t="s">
        <v>60</v>
      </c>
      <c r="C624" s="10" t="s">
        <v>15</v>
      </c>
      <c r="D624" s="10" t="s">
        <v>45</v>
      </c>
      <c r="E624" s="11" t="s">
        <v>91</v>
      </c>
      <c r="F624" s="11" t="s">
        <v>17</v>
      </c>
      <c r="G624" s="10" t="s">
        <v>24</v>
      </c>
      <c r="H624" s="11" t="s">
        <v>19</v>
      </c>
      <c r="I624" s="11" t="s">
        <v>20</v>
      </c>
      <c r="J624" s="11"/>
      <c r="K624" s="11" t="s">
        <v>70</v>
      </c>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4"/>
    </row>
    <row r="625" spans="1:35" ht="15.75" hidden="1" customHeight="1" x14ac:dyDescent="0.25">
      <c r="A625" s="9">
        <v>87</v>
      </c>
      <c r="B625" s="10" t="s">
        <v>60</v>
      </c>
      <c r="C625" s="10" t="s">
        <v>15</v>
      </c>
      <c r="D625" s="10" t="s">
        <v>45</v>
      </c>
      <c r="E625" s="11" t="s">
        <v>91</v>
      </c>
      <c r="F625" s="11" t="s">
        <v>17</v>
      </c>
      <c r="G625" s="10" t="s">
        <v>24</v>
      </c>
      <c r="H625" s="11" t="s">
        <v>19</v>
      </c>
      <c r="I625" s="11" t="s">
        <v>20</v>
      </c>
      <c r="J625" s="11"/>
      <c r="K625" s="11" t="s">
        <v>70</v>
      </c>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4"/>
    </row>
    <row r="626" spans="1:35" ht="15.75" hidden="1" customHeight="1" x14ac:dyDescent="0.25">
      <c r="A626" s="9">
        <v>88</v>
      </c>
      <c r="B626" s="10" t="s">
        <v>60</v>
      </c>
      <c r="C626" s="10" t="s">
        <v>15</v>
      </c>
      <c r="D626" s="10" t="s">
        <v>45</v>
      </c>
      <c r="E626" s="11" t="s">
        <v>91</v>
      </c>
      <c r="F626" s="11" t="s">
        <v>17</v>
      </c>
      <c r="G626" s="10" t="s">
        <v>18</v>
      </c>
      <c r="H626" s="11" t="s">
        <v>19</v>
      </c>
      <c r="I626" s="11" t="s">
        <v>20</v>
      </c>
      <c r="J626" s="11"/>
      <c r="K626" s="11" t="s">
        <v>70</v>
      </c>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4"/>
    </row>
    <row r="627" spans="1:35" ht="15.75" hidden="1" customHeight="1" x14ac:dyDescent="0.25">
      <c r="A627" s="9">
        <v>89</v>
      </c>
      <c r="B627" s="10" t="s">
        <v>60</v>
      </c>
      <c r="C627" s="10" t="s">
        <v>15</v>
      </c>
      <c r="D627" s="10" t="s">
        <v>45</v>
      </c>
      <c r="E627" s="11" t="s">
        <v>91</v>
      </c>
      <c r="F627" s="11" t="s">
        <v>17</v>
      </c>
      <c r="G627" s="10" t="s">
        <v>24</v>
      </c>
      <c r="H627" s="11" t="s">
        <v>19</v>
      </c>
      <c r="I627" s="11" t="s">
        <v>20</v>
      </c>
      <c r="J627" s="11"/>
      <c r="K627" s="11" t="s">
        <v>70</v>
      </c>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4"/>
    </row>
    <row r="628" spans="1:35" ht="15.75" hidden="1" customHeight="1" x14ac:dyDescent="0.25">
      <c r="A628" s="9">
        <v>90</v>
      </c>
      <c r="B628" s="10" t="s">
        <v>60</v>
      </c>
      <c r="C628" s="10" t="s">
        <v>15</v>
      </c>
      <c r="D628" s="10" t="s">
        <v>16</v>
      </c>
      <c r="E628" s="11" t="s">
        <v>91</v>
      </c>
      <c r="F628" s="11" t="s">
        <v>17</v>
      </c>
      <c r="G628" s="10" t="s">
        <v>18</v>
      </c>
      <c r="H628" s="11" t="s">
        <v>19</v>
      </c>
      <c r="I628" s="11" t="s">
        <v>20</v>
      </c>
      <c r="J628" s="11"/>
      <c r="K628" s="11" t="s">
        <v>70</v>
      </c>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4"/>
    </row>
    <row r="629" spans="1:35" ht="15.75" hidden="1" customHeight="1" x14ac:dyDescent="0.25">
      <c r="A629" s="9">
        <v>91</v>
      </c>
      <c r="B629" s="10" t="s">
        <v>60</v>
      </c>
      <c r="C629" s="10" t="s">
        <v>15</v>
      </c>
      <c r="D629" s="10" t="s">
        <v>16</v>
      </c>
      <c r="E629" s="11" t="s">
        <v>91</v>
      </c>
      <c r="F629" s="11" t="s">
        <v>17</v>
      </c>
      <c r="G629" s="10" t="s">
        <v>24</v>
      </c>
      <c r="H629" s="11" t="s">
        <v>19</v>
      </c>
      <c r="I629" s="11" t="s">
        <v>20</v>
      </c>
      <c r="J629" s="11"/>
      <c r="K629" s="11" t="s">
        <v>70</v>
      </c>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4"/>
    </row>
    <row r="630" spans="1:35" ht="15.75" hidden="1" customHeight="1" x14ac:dyDescent="0.25">
      <c r="A630" s="9">
        <v>92</v>
      </c>
      <c r="B630" s="10" t="s">
        <v>60</v>
      </c>
      <c r="C630" s="10" t="s">
        <v>15</v>
      </c>
      <c r="D630" s="10" t="s">
        <v>16</v>
      </c>
      <c r="E630" s="11" t="s">
        <v>91</v>
      </c>
      <c r="F630" s="11" t="s">
        <v>17</v>
      </c>
      <c r="G630" s="10" t="s">
        <v>24</v>
      </c>
      <c r="H630" s="11" t="s">
        <v>23</v>
      </c>
      <c r="I630" s="11" t="s">
        <v>20</v>
      </c>
      <c r="J630" s="11"/>
      <c r="K630" s="11" t="s">
        <v>70</v>
      </c>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4"/>
    </row>
    <row r="631" spans="1:35" ht="15.75" hidden="1" customHeight="1" x14ac:dyDescent="0.25">
      <c r="A631" s="9">
        <v>93</v>
      </c>
      <c r="B631" s="10" t="s">
        <v>60</v>
      </c>
      <c r="C631" s="10" t="s">
        <v>15</v>
      </c>
      <c r="D631" s="10" t="s">
        <v>16</v>
      </c>
      <c r="E631" s="11" t="s">
        <v>91</v>
      </c>
      <c r="F631" s="11" t="s">
        <v>17</v>
      </c>
      <c r="G631" s="10" t="s">
        <v>18</v>
      </c>
      <c r="H631" s="11" t="s">
        <v>19</v>
      </c>
      <c r="I631" s="11" t="s">
        <v>20</v>
      </c>
      <c r="J631" s="11"/>
      <c r="K631" s="11" t="s">
        <v>70</v>
      </c>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4"/>
    </row>
    <row r="632" spans="1:35" ht="15.75" hidden="1" customHeight="1" x14ac:dyDescent="0.25">
      <c r="A632" s="9">
        <v>94</v>
      </c>
      <c r="B632" s="10" t="s">
        <v>60</v>
      </c>
      <c r="C632" s="10" t="s">
        <v>15</v>
      </c>
      <c r="D632" s="10" t="s">
        <v>16</v>
      </c>
      <c r="E632" s="11" t="s">
        <v>91</v>
      </c>
      <c r="F632" s="11" t="s">
        <v>17</v>
      </c>
      <c r="G632" s="10" t="s">
        <v>18</v>
      </c>
      <c r="H632" s="11" t="s">
        <v>19</v>
      </c>
      <c r="I632" s="11" t="s">
        <v>20</v>
      </c>
      <c r="J632" s="11"/>
      <c r="K632" s="11" t="s">
        <v>70</v>
      </c>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4"/>
    </row>
    <row r="633" spans="1:35" ht="15.75" hidden="1" customHeight="1" x14ac:dyDescent="0.25">
      <c r="A633" s="9">
        <v>95</v>
      </c>
      <c r="B633" s="10" t="s">
        <v>60</v>
      </c>
      <c r="C633" s="10" t="s">
        <v>15</v>
      </c>
      <c r="D633" s="10" t="s">
        <v>16</v>
      </c>
      <c r="E633" s="11" t="s">
        <v>91</v>
      </c>
      <c r="F633" s="11" t="s">
        <v>17</v>
      </c>
      <c r="G633" s="10" t="s">
        <v>18</v>
      </c>
      <c r="H633" s="11" t="s">
        <v>19</v>
      </c>
      <c r="I633" s="11" t="s">
        <v>20</v>
      </c>
      <c r="J633" s="11"/>
      <c r="K633" s="11" t="s">
        <v>70</v>
      </c>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4"/>
    </row>
    <row r="634" spans="1:35" ht="15.75" hidden="1" customHeight="1" x14ac:dyDescent="0.25">
      <c r="A634" s="9">
        <v>96</v>
      </c>
      <c r="B634" s="10" t="s">
        <v>60</v>
      </c>
      <c r="C634" s="10" t="s">
        <v>15</v>
      </c>
      <c r="D634" s="10" t="s">
        <v>16</v>
      </c>
      <c r="E634" s="11" t="s">
        <v>91</v>
      </c>
      <c r="F634" s="11" t="s">
        <v>17</v>
      </c>
      <c r="G634" s="10" t="s">
        <v>24</v>
      </c>
      <c r="H634" s="11" t="s">
        <v>23</v>
      </c>
      <c r="I634" s="11" t="s">
        <v>20</v>
      </c>
      <c r="J634" s="11"/>
      <c r="K634" s="11" t="s">
        <v>70</v>
      </c>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4"/>
    </row>
    <row r="635" spans="1:35" ht="15.75" hidden="1" customHeight="1" x14ac:dyDescent="0.25">
      <c r="A635" s="9">
        <v>97</v>
      </c>
      <c r="B635" s="10" t="s">
        <v>60</v>
      </c>
      <c r="C635" s="10" t="s">
        <v>15</v>
      </c>
      <c r="D635" s="10" t="s">
        <v>37</v>
      </c>
      <c r="E635" s="11" t="s">
        <v>91</v>
      </c>
      <c r="F635" s="11" t="s">
        <v>17</v>
      </c>
      <c r="G635" s="10" t="s">
        <v>18</v>
      </c>
      <c r="H635" s="11" t="s">
        <v>23</v>
      </c>
      <c r="I635" s="11" t="s">
        <v>20</v>
      </c>
      <c r="J635" s="11"/>
      <c r="K635" s="11" t="s">
        <v>70</v>
      </c>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4"/>
    </row>
    <row r="636" spans="1:35" ht="15.75" hidden="1" customHeight="1" x14ac:dyDescent="0.25">
      <c r="A636" s="9">
        <v>98</v>
      </c>
      <c r="B636" s="10" t="s">
        <v>60</v>
      </c>
      <c r="C636" s="10" t="s">
        <v>15</v>
      </c>
      <c r="D636" s="10" t="s">
        <v>37</v>
      </c>
      <c r="E636" s="11" t="s">
        <v>91</v>
      </c>
      <c r="F636" s="11" t="s">
        <v>17</v>
      </c>
      <c r="G636" s="10" t="s">
        <v>24</v>
      </c>
      <c r="H636" s="11" t="s">
        <v>23</v>
      </c>
      <c r="I636" s="11" t="s">
        <v>20</v>
      </c>
      <c r="J636" s="11"/>
      <c r="K636" s="11" t="s">
        <v>70</v>
      </c>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4"/>
    </row>
    <row r="637" spans="1:35" ht="15.75" hidden="1" customHeight="1" x14ac:dyDescent="0.25">
      <c r="A637" s="9">
        <v>99</v>
      </c>
      <c r="B637" s="10" t="s">
        <v>60</v>
      </c>
      <c r="C637" s="10" t="s">
        <v>15</v>
      </c>
      <c r="D637" s="10" t="s">
        <v>37</v>
      </c>
      <c r="E637" s="11" t="s">
        <v>91</v>
      </c>
      <c r="F637" s="11" t="s">
        <v>17</v>
      </c>
      <c r="G637" s="10" t="s">
        <v>24</v>
      </c>
      <c r="H637" s="11" t="s">
        <v>23</v>
      </c>
      <c r="I637" s="11" t="s">
        <v>20</v>
      </c>
      <c r="J637" s="11"/>
      <c r="K637" s="11" t="s">
        <v>70</v>
      </c>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4"/>
    </row>
    <row r="638" spans="1:35" ht="15.75" hidden="1" customHeight="1" x14ac:dyDescent="0.25">
      <c r="A638" s="9">
        <v>100</v>
      </c>
      <c r="B638" s="10" t="s">
        <v>60</v>
      </c>
      <c r="C638" s="10" t="s">
        <v>15</v>
      </c>
      <c r="D638" s="10" t="s">
        <v>37</v>
      </c>
      <c r="E638" s="11" t="s">
        <v>91</v>
      </c>
      <c r="F638" s="11" t="s">
        <v>17</v>
      </c>
      <c r="G638" s="10" t="s">
        <v>18</v>
      </c>
      <c r="H638" s="11" t="s">
        <v>23</v>
      </c>
      <c r="I638" s="11" t="s">
        <v>20</v>
      </c>
      <c r="J638" s="11"/>
      <c r="K638" s="11" t="s">
        <v>70</v>
      </c>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4"/>
    </row>
    <row r="639" spans="1:35" ht="15.75" hidden="1" customHeight="1" x14ac:dyDescent="0.25">
      <c r="A639" s="9">
        <v>101</v>
      </c>
      <c r="B639" s="10" t="s">
        <v>60</v>
      </c>
      <c r="C639" s="10" t="s">
        <v>15</v>
      </c>
      <c r="D639" s="10" t="s">
        <v>37</v>
      </c>
      <c r="E639" s="11" t="s">
        <v>91</v>
      </c>
      <c r="F639" s="11" t="s">
        <v>17</v>
      </c>
      <c r="G639" s="10" t="s">
        <v>18</v>
      </c>
      <c r="H639" s="11" t="s">
        <v>23</v>
      </c>
      <c r="I639" s="11" t="s">
        <v>20</v>
      </c>
      <c r="J639" s="11"/>
      <c r="K639" s="11" t="s">
        <v>70</v>
      </c>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4"/>
    </row>
    <row r="640" spans="1:35" ht="15.75" hidden="1" customHeight="1" x14ac:dyDescent="0.25">
      <c r="A640" s="9">
        <v>102</v>
      </c>
      <c r="B640" s="10" t="s">
        <v>60</v>
      </c>
      <c r="C640" s="10" t="s">
        <v>15</v>
      </c>
      <c r="D640" s="10" t="s">
        <v>37</v>
      </c>
      <c r="E640" s="11" t="s">
        <v>91</v>
      </c>
      <c r="F640" s="11" t="s">
        <v>17</v>
      </c>
      <c r="G640" s="10" t="s">
        <v>24</v>
      </c>
      <c r="H640" s="11" t="s">
        <v>23</v>
      </c>
      <c r="I640" s="11" t="s">
        <v>20</v>
      </c>
      <c r="J640" s="11"/>
      <c r="K640" s="11" t="s">
        <v>70</v>
      </c>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4"/>
    </row>
    <row r="641" spans="1:35" ht="15.75" hidden="1" customHeight="1" x14ac:dyDescent="0.25">
      <c r="A641" s="9">
        <v>103</v>
      </c>
      <c r="B641" s="10" t="s">
        <v>60</v>
      </c>
      <c r="C641" s="10" t="s">
        <v>15</v>
      </c>
      <c r="D641" s="10" t="s">
        <v>37</v>
      </c>
      <c r="E641" s="11" t="s">
        <v>91</v>
      </c>
      <c r="F641" s="11" t="s">
        <v>17</v>
      </c>
      <c r="G641" s="10" t="s">
        <v>24</v>
      </c>
      <c r="H641" s="11" t="s">
        <v>23</v>
      </c>
      <c r="I641" s="11" t="s">
        <v>20</v>
      </c>
      <c r="J641" s="11"/>
      <c r="K641" s="11" t="s">
        <v>70</v>
      </c>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4"/>
    </row>
    <row r="642" spans="1:35" ht="15.75" hidden="1" customHeight="1" x14ac:dyDescent="0.25">
      <c r="A642" s="9">
        <v>104</v>
      </c>
      <c r="B642" s="10" t="s">
        <v>60</v>
      </c>
      <c r="C642" s="10" t="s">
        <v>15</v>
      </c>
      <c r="D642" s="10" t="s">
        <v>37</v>
      </c>
      <c r="E642" s="11" t="s">
        <v>91</v>
      </c>
      <c r="F642" s="11" t="s">
        <v>17</v>
      </c>
      <c r="G642" s="10" t="s">
        <v>24</v>
      </c>
      <c r="H642" s="11" t="s">
        <v>25</v>
      </c>
      <c r="I642" s="11" t="s">
        <v>20</v>
      </c>
      <c r="J642" s="11"/>
      <c r="K642" s="11" t="s">
        <v>70</v>
      </c>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4"/>
    </row>
    <row r="643" spans="1:35" ht="15.75" hidden="1" customHeight="1" x14ac:dyDescent="0.25">
      <c r="A643" s="9">
        <v>105</v>
      </c>
      <c r="B643" s="10" t="s">
        <v>60</v>
      </c>
      <c r="C643" s="10" t="s">
        <v>15</v>
      </c>
      <c r="D643" s="10" t="s">
        <v>37</v>
      </c>
      <c r="E643" s="11" t="s">
        <v>91</v>
      </c>
      <c r="F643" s="11" t="s">
        <v>17</v>
      </c>
      <c r="G643" s="10" t="s">
        <v>18</v>
      </c>
      <c r="H643" s="11" t="s">
        <v>23</v>
      </c>
      <c r="I643" s="11" t="s">
        <v>20</v>
      </c>
      <c r="J643" s="11"/>
      <c r="K643" s="11" t="s">
        <v>70</v>
      </c>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4"/>
    </row>
    <row r="644" spans="1:35" ht="15.75" hidden="1" customHeight="1" x14ac:dyDescent="0.25">
      <c r="A644" s="9">
        <v>106</v>
      </c>
      <c r="B644" s="10" t="s">
        <v>60</v>
      </c>
      <c r="C644" s="10" t="s">
        <v>41</v>
      </c>
      <c r="D644" s="10" t="s">
        <v>42</v>
      </c>
      <c r="E644" s="11" t="s">
        <v>91</v>
      </c>
      <c r="F644" s="11" t="s">
        <v>17</v>
      </c>
      <c r="G644" s="10" t="s">
        <v>24</v>
      </c>
      <c r="H644" s="11" t="s">
        <v>23</v>
      </c>
      <c r="I644" s="11" t="s">
        <v>20</v>
      </c>
      <c r="J644" s="11"/>
      <c r="K644" s="11" t="s">
        <v>70</v>
      </c>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4"/>
    </row>
    <row r="645" spans="1:35" ht="15.75" hidden="1" customHeight="1" x14ac:dyDescent="0.25">
      <c r="A645" s="9">
        <v>107</v>
      </c>
      <c r="B645" s="10" t="s">
        <v>60</v>
      </c>
      <c r="C645" s="10" t="s">
        <v>41</v>
      </c>
      <c r="D645" s="10" t="s">
        <v>42</v>
      </c>
      <c r="E645" s="11" t="s">
        <v>91</v>
      </c>
      <c r="F645" s="11" t="s">
        <v>17</v>
      </c>
      <c r="G645" s="10" t="s">
        <v>24</v>
      </c>
      <c r="H645" s="11" t="s">
        <v>23</v>
      </c>
      <c r="I645" s="11" t="s">
        <v>20</v>
      </c>
      <c r="J645" s="11"/>
      <c r="K645" s="11" t="s">
        <v>70</v>
      </c>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4"/>
    </row>
    <row r="646" spans="1:35" ht="15.75" hidden="1" customHeight="1" x14ac:dyDescent="0.25">
      <c r="A646" s="9">
        <v>108</v>
      </c>
      <c r="B646" s="10" t="s">
        <v>60</v>
      </c>
      <c r="C646" s="10" t="s">
        <v>41</v>
      </c>
      <c r="D646" s="10" t="s">
        <v>42</v>
      </c>
      <c r="E646" s="11" t="s">
        <v>91</v>
      </c>
      <c r="F646" s="11" t="s">
        <v>17</v>
      </c>
      <c r="G646" s="10" t="s">
        <v>18</v>
      </c>
      <c r="H646" s="11" t="s">
        <v>19</v>
      </c>
      <c r="I646" s="11" t="s">
        <v>20</v>
      </c>
      <c r="J646" s="11"/>
      <c r="K646" s="11" t="s">
        <v>70</v>
      </c>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4"/>
    </row>
    <row r="647" spans="1:35" ht="15.75" hidden="1" customHeight="1" x14ac:dyDescent="0.25">
      <c r="A647" s="9">
        <v>109</v>
      </c>
      <c r="B647" s="10" t="s">
        <v>60</v>
      </c>
      <c r="C647" s="10" t="s">
        <v>41</v>
      </c>
      <c r="D647" s="10" t="s">
        <v>42</v>
      </c>
      <c r="E647" s="11" t="s">
        <v>91</v>
      </c>
      <c r="F647" s="11" t="s">
        <v>17</v>
      </c>
      <c r="G647" s="10" t="s">
        <v>24</v>
      </c>
      <c r="H647" s="11" t="s">
        <v>23</v>
      </c>
      <c r="I647" s="11" t="s">
        <v>20</v>
      </c>
      <c r="J647" s="11"/>
      <c r="K647" s="11" t="s">
        <v>70</v>
      </c>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4"/>
    </row>
    <row r="648" spans="1:35" ht="15.75" hidden="1" customHeight="1" x14ac:dyDescent="0.25">
      <c r="A648" s="9">
        <v>110</v>
      </c>
      <c r="B648" s="10" t="s">
        <v>60</v>
      </c>
      <c r="C648" s="10" t="s">
        <v>41</v>
      </c>
      <c r="D648" s="10" t="s">
        <v>42</v>
      </c>
      <c r="E648" s="11" t="s">
        <v>91</v>
      </c>
      <c r="F648" s="11" t="s">
        <v>17</v>
      </c>
      <c r="G648" s="10" t="s">
        <v>18</v>
      </c>
      <c r="H648" s="11" t="s">
        <v>23</v>
      </c>
      <c r="I648" s="11" t="s">
        <v>20</v>
      </c>
      <c r="J648" s="11"/>
      <c r="K648" s="11" t="s">
        <v>70</v>
      </c>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4"/>
    </row>
    <row r="649" spans="1:35" ht="15.75" hidden="1" customHeight="1" x14ac:dyDescent="0.25">
      <c r="A649" s="9">
        <v>111</v>
      </c>
      <c r="B649" s="10" t="s">
        <v>60</v>
      </c>
      <c r="C649" s="10" t="s">
        <v>41</v>
      </c>
      <c r="D649" s="10" t="s">
        <v>42</v>
      </c>
      <c r="E649" s="11" t="s">
        <v>91</v>
      </c>
      <c r="F649" s="11" t="s">
        <v>17</v>
      </c>
      <c r="G649" s="10" t="s">
        <v>18</v>
      </c>
      <c r="H649" s="11" t="s">
        <v>19</v>
      </c>
      <c r="I649" s="11" t="s">
        <v>20</v>
      </c>
      <c r="J649" s="11"/>
      <c r="K649" s="11" t="s">
        <v>70</v>
      </c>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4"/>
    </row>
    <row r="650" spans="1:35" ht="15.75" hidden="1" customHeight="1" x14ac:dyDescent="0.25">
      <c r="A650" s="9">
        <v>112</v>
      </c>
      <c r="B650" s="10" t="s">
        <v>60</v>
      </c>
      <c r="C650" s="10" t="s">
        <v>41</v>
      </c>
      <c r="D650" s="10" t="s">
        <v>42</v>
      </c>
      <c r="E650" s="11" t="s">
        <v>91</v>
      </c>
      <c r="F650" s="11" t="s">
        <v>17</v>
      </c>
      <c r="G650" s="10" t="s">
        <v>18</v>
      </c>
      <c r="H650" s="11" t="s">
        <v>19</v>
      </c>
      <c r="I650" s="11" t="s">
        <v>20</v>
      </c>
      <c r="J650" s="11"/>
      <c r="K650" s="11" t="s">
        <v>70</v>
      </c>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4"/>
    </row>
    <row r="651" spans="1:35" ht="15.75" hidden="1" customHeight="1" x14ac:dyDescent="0.25">
      <c r="A651" s="9">
        <v>113</v>
      </c>
      <c r="B651" s="10" t="s">
        <v>60</v>
      </c>
      <c r="C651" s="10" t="s">
        <v>41</v>
      </c>
      <c r="D651" s="10" t="s">
        <v>42</v>
      </c>
      <c r="E651" s="11" t="s">
        <v>91</v>
      </c>
      <c r="F651" s="11" t="s">
        <v>17</v>
      </c>
      <c r="G651" s="10" t="s">
        <v>24</v>
      </c>
      <c r="H651" s="11" t="s">
        <v>23</v>
      </c>
      <c r="I651" s="11" t="s">
        <v>20</v>
      </c>
      <c r="J651" s="11"/>
      <c r="K651" s="11" t="s">
        <v>70</v>
      </c>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4"/>
    </row>
    <row r="652" spans="1:35" ht="15.75" hidden="1" customHeight="1" x14ac:dyDescent="0.25">
      <c r="A652" s="9">
        <v>114</v>
      </c>
      <c r="B652" s="10" t="s">
        <v>60</v>
      </c>
      <c r="C652" s="10" t="s">
        <v>41</v>
      </c>
      <c r="D652" s="10" t="s">
        <v>42</v>
      </c>
      <c r="E652" s="11" t="s">
        <v>91</v>
      </c>
      <c r="F652" s="11" t="s">
        <v>17</v>
      </c>
      <c r="G652" s="10" t="s">
        <v>18</v>
      </c>
      <c r="H652" s="11" t="s">
        <v>23</v>
      </c>
      <c r="I652" s="11" t="s">
        <v>20</v>
      </c>
      <c r="J652" s="11"/>
      <c r="K652" s="11" t="s">
        <v>70</v>
      </c>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4"/>
    </row>
    <row r="653" spans="1:35" ht="15.75" hidden="1" customHeight="1" x14ac:dyDescent="0.25">
      <c r="A653" s="9">
        <v>115</v>
      </c>
      <c r="B653" s="10" t="s">
        <v>60</v>
      </c>
      <c r="C653" s="10" t="s">
        <v>41</v>
      </c>
      <c r="D653" s="10" t="s">
        <v>42</v>
      </c>
      <c r="E653" s="11" t="s">
        <v>91</v>
      </c>
      <c r="F653" s="11" t="s">
        <v>17</v>
      </c>
      <c r="G653" s="10" t="s">
        <v>18</v>
      </c>
      <c r="H653" s="11" t="s">
        <v>23</v>
      </c>
      <c r="I653" s="11" t="s">
        <v>20</v>
      </c>
      <c r="J653" s="11"/>
      <c r="K653" s="11" t="s">
        <v>70</v>
      </c>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4"/>
    </row>
    <row r="654" spans="1:35" ht="15.75" hidden="1" customHeight="1" x14ac:dyDescent="0.25">
      <c r="A654" s="9">
        <v>116</v>
      </c>
      <c r="B654" s="10" t="s">
        <v>60</v>
      </c>
      <c r="C654" s="10" t="s">
        <v>41</v>
      </c>
      <c r="D654" s="10" t="s">
        <v>42</v>
      </c>
      <c r="E654" s="11" t="s">
        <v>91</v>
      </c>
      <c r="F654" s="11" t="s">
        <v>17</v>
      </c>
      <c r="G654" s="10" t="s">
        <v>18</v>
      </c>
      <c r="H654" s="11" t="s">
        <v>19</v>
      </c>
      <c r="I654" s="11" t="s">
        <v>20</v>
      </c>
      <c r="J654" s="11"/>
      <c r="K654" s="11" t="s">
        <v>70</v>
      </c>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4"/>
    </row>
    <row r="655" spans="1:35" ht="15.75" hidden="1" customHeight="1" x14ac:dyDescent="0.25">
      <c r="A655" s="9">
        <v>117</v>
      </c>
      <c r="B655" s="10" t="s">
        <v>60</v>
      </c>
      <c r="C655" s="10" t="s">
        <v>41</v>
      </c>
      <c r="D655" s="10" t="s">
        <v>42</v>
      </c>
      <c r="E655" s="11" t="s">
        <v>91</v>
      </c>
      <c r="F655" s="11" t="s">
        <v>17</v>
      </c>
      <c r="G655" s="10" t="s">
        <v>24</v>
      </c>
      <c r="H655" s="11" t="s">
        <v>23</v>
      </c>
      <c r="I655" s="11" t="s">
        <v>20</v>
      </c>
      <c r="J655" s="11"/>
      <c r="K655" s="11" t="s">
        <v>70</v>
      </c>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4"/>
    </row>
    <row r="656" spans="1:35" ht="15.75" hidden="1" customHeight="1" x14ac:dyDescent="0.25">
      <c r="A656" s="9">
        <v>118</v>
      </c>
      <c r="B656" s="10" t="s">
        <v>60</v>
      </c>
      <c r="C656" s="10" t="s">
        <v>41</v>
      </c>
      <c r="D656" s="10" t="s">
        <v>43</v>
      </c>
      <c r="E656" s="11" t="s">
        <v>91</v>
      </c>
      <c r="F656" s="11" t="s">
        <v>17</v>
      </c>
      <c r="G656" s="10" t="s">
        <v>24</v>
      </c>
      <c r="H656" s="11" t="s">
        <v>19</v>
      </c>
      <c r="I656" s="11" t="s">
        <v>20</v>
      </c>
      <c r="J656" s="11"/>
      <c r="K656" s="11" t="s">
        <v>70</v>
      </c>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4"/>
    </row>
    <row r="657" spans="1:35" ht="15.75" hidden="1" customHeight="1" x14ac:dyDescent="0.25">
      <c r="A657" s="9">
        <v>119</v>
      </c>
      <c r="B657" s="10" t="s">
        <v>60</v>
      </c>
      <c r="C657" s="10" t="s">
        <v>41</v>
      </c>
      <c r="D657" s="10" t="s">
        <v>43</v>
      </c>
      <c r="E657" s="11" t="s">
        <v>91</v>
      </c>
      <c r="F657" s="11" t="s">
        <v>17</v>
      </c>
      <c r="G657" s="10" t="s">
        <v>18</v>
      </c>
      <c r="H657" s="11" t="s">
        <v>23</v>
      </c>
      <c r="I657" s="11" t="s">
        <v>20</v>
      </c>
      <c r="J657" s="11"/>
      <c r="K657" s="11" t="s">
        <v>70</v>
      </c>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4"/>
    </row>
    <row r="658" spans="1:35" ht="15.75" hidden="1" customHeight="1" x14ac:dyDescent="0.25">
      <c r="A658" s="9">
        <v>120</v>
      </c>
      <c r="B658" s="10" t="s">
        <v>60</v>
      </c>
      <c r="C658" s="10" t="s">
        <v>41</v>
      </c>
      <c r="D658" s="10" t="s">
        <v>43</v>
      </c>
      <c r="E658" s="11" t="s">
        <v>91</v>
      </c>
      <c r="F658" s="11" t="s">
        <v>17</v>
      </c>
      <c r="G658" s="10" t="s">
        <v>18</v>
      </c>
      <c r="H658" s="11" t="s">
        <v>23</v>
      </c>
      <c r="I658" s="11" t="s">
        <v>20</v>
      </c>
      <c r="J658" s="11"/>
      <c r="K658" s="11" t="s">
        <v>70</v>
      </c>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4"/>
    </row>
    <row r="659" spans="1:35" ht="15.75" hidden="1" customHeight="1" x14ac:dyDescent="0.25">
      <c r="A659" s="9">
        <v>121</v>
      </c>
      <c r="B659" s="10" t="s">
        <v>60</v>
      </c>
      <c r="C659" s="10" t="s">
        <v>41</v>
      </c>
      <c r="D659" s="10" t="s">
        <v>43</v>
      </c>
      <c r="E659" s="11" t="s">
        <v>91</v>
      </c>
      <c r="F659" s="11" t="s">
        <v>17</v>
      </c>
      <c r="G659" s="10" t="s">
        <v>18</v>
      </c>
      <c r="H659" s="11" t="s">
        <v>19</v>
      </c>
      <c r="I659" s="11" t="s">
        <v>20</v>
      </c>
      <c r="J659" s="11"/>
      <c r="K659" s="11" t="s">
        <v>70</v>
      </c>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4"/>
    </row>
    <row r="660" spans="1:35" ht="15.75" hidden="1" customHeight="1" x14ac:dyDescent="0.25">
      <c r="A660" s="9">
        <v>122</v>
      </c>
      <c r="B660" s="10" t="s">
        <v>60</v>
      </c>
      <c r="C660" s="10" t="s">
        <v>41</v>
      </c>
      <c r="D660" s="10" t="s">
        <v>43</v>
      </c>
      <c r="E660" s="11" t="s">
        <v>91</v>
      </c>
      <c r="F660" s="11" t="s">
        <v>17</v>
      </c>
      <c r="G660" s="10" t="s">
        <v>18</v>
      </c>
      <c r="H660" s="11" t="s">
        <v>23</v>
      </c>
      <c r="I660" s="11" t="s">
        <v>20</v>
      </c>
      <c r="J660" s="11"/>
      <c r="K660" s="11" t="s">
        <v>70</v>
      </c>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4"/>
    </row>
    <row r="661" spans="1:35" ht="15.75" hidden="1" customHeight="1" x14ac:dyDescent="0.25">
      <c r="A661" s="9">
        <v>123</v>
      </c>
      <c r="B661" s="10" t="s">
        <v>60</v>
      </c>
      <c r="C661" s="10" t="s">
        <v>41</v>
      </c>
      <c r="D661" s="10" t="s">
        <v>43</v>
      </c>
      <c r="E661" s="11" t="s">
        <v>91</v>
      </c>
      <c r="F661" s="11" t="s">
        <v>17</v>
      </c>
      <c r="G661" s="10" t="s">
        <v>18</v>
      </c>
      <c r="H661" s="11" t="s">
        <v>23</v>
      </c>
      <c r="I661" s="11" t="s">
        <v>20</v>
      </c>
      <c r="J661" s="11"/>
      <c r="K661" s="11" t="s">
        <v>70</v>
      </c>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4"/>
    </row>
    <row r="662" spans="1:35" ht="15.75" hidden="1" customHeight="1" x14ac:dyDescent="0.25">
      <c r="A662" s="9">
        <v>124</v>
      </c>
      <c r="B662" s="10" t="s">
        <v>60</v>
      </c>
      <c r="C662" s="10" t="s">
        <v>41</v>
      </c>
      <c r="D662" s="10" t="s">
        <v>43</v>
      </c>
      <c r="E662" s="11" t="s">
        <v>91</v>
      </c>
      <c r="F662" s="11" t="s">
        <v>17</v>
      </c>
      <c r="G662" s="10" t="s">
        <v>24</v>
      </c>
      <c r="H662" s="11" t="s">
        <v>23</v>
      </c>
      <c r="I662" s="11" t="s">
        <v>20</v>
      </c>
      <c r="J662" s="11"/>
      <c r="K662" s="11" t="s">
        <v>70</v>
      </c>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4"/>
    </row>
    <row r="663" spans="1:35" ht="15.75" hidden="1" customHeight="1" x14ac:dyDescent="0.25">
      <c r="A663" s="9">
        <v>125</v>
      </c>
      <c r="B663" s="10" t="s">
        <v>60</v>
      </c>
      <c r="C663" s="10" t="s">
        <v>41</v>
      </c>
      <c r="D663" s="10" t="s">
        <v>43</v>
      </c>
      <c r="E663" s="11" t="s">
        <v>91</v>
      </c>
      <c r="F663" s="11" t="s">
        <v>17</v>
      </c>
      <c r="G663" s="10" t="s">
        <v>24</v>
      </c>
      <c r="H663" s="11" t="s">
        <v>23</v>
      </c>
      <c r="I663" s="11" t="s">
        <v>20</v>
      </c>
      <c r="J663" s="11"/>
      <c r="K663" s="11" t="s">
        <v>70</v>
      </c>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4"/>
    </row>
    <row r="664" spans="1:35" ht="15.75" hidden="1" customHeight="1" x14ac:dyDescent="0.25">
      <c r="A664" s="9">
        <v>126</v>
      </c>
      <c r="B664" s="10" t="s">
        <v>60</v>
      </c>
      <c r="C664" s="10" t="s">
        <v>41</v>
      </c>
      <c r="D664" s="10" t="s">
        <v>43</v>
      </c>
      <c r="E664" s="11" t="s">
        <v>91</v>
      </c>
      <c r="F664" s="11" t="s">
        <v>17</v>
      </c>
      <c r="G664" s="10" t="s">
        <v>18</v>
      </c>
      <c r="H664" s="11" t="s">
        <v>23</v>
      </c>
      <c r="I664" s="11" t="s">
        <v>20</v>
      </c>
      <c r="J664" s="11"/>
      <c r="K664" s="11" t="s">
        <v>70</v>
      </c>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4"/>
    </row>
    <row r="665" spans="1:35" ht="15.75" hidden="1" customHeight="1" x14ac:dyDescent="0.25">
      <c r="A665" s="9">
        <v>127</v>
      </c>
      <c r="B665" s="10" t="s">
        <v>60</v>
      </c>
      <c r="C665" s="10" t="s">
        <v>41</v>
      </c>
      <c r="D665" s="10" t="s">
        <v>43</v>
      </c>
      <c r="E665" s="11" t="s">
        <v>91</v>
      </c>
      <c r="F665" s="11" t="s">
        <v>17</v>
      </c>
      <c r="G665" s="10" t="s">
        <v>24</v>
      </c>
      <c r="H665" s="11" t="s">
        <v>23</v>
      </c>
      <c r="I665" s="11" t="s">
        <v>20</v>
      </c>
      <c r="J665" s="11"/>
      <c r="K665" s="11" t="s">
        <v>70</v>
      </c>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4"/>
    </row>
    <row r="666" spans="1:35" ht="15.75" hidden="1" customHeight="1" x14ac:dyDescent="0.25">
      <c r="A666" s="9">
        <v>128</v>
      </c>
      <c r="B666" s="10" t="s">
        <v>60</v>
      </c>
      <c r="C666" s="10" t="s">
        <v>41</v>
      </c>
      <c r="D666" s="10" t="s">
        <v>43</v>
      </c>
      <c r="E666" s="11" t="s">
        <v>91</v>
      </c>
      <c r="F666" s="11" t="s">
        <v>17</v>
      </c>
      <c r="G666" s="10" t="s">
        <v>18</v>
      </c>
      <c r="H666" s="11" t="s">
        <v>23</v>
      </c>
      <c r="I666" s="11" t="s">
        <v>20</v>
      </c>
      <c r="J666" s="11"/>
      <c r="K666" s="11" t="s">
        <v>70</v>
      </c>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4"/>
    </row>
    <row r="667" spans="1:35" ht="15.75" hidden="1" customHeight="1" x14ac:dyDescent="0.25">
      <c r="A667" s="9">
        <v>129</v>
      </c>
      <c r="B667" s="10" t="s">
        <v>60</v>
      </c>
      <c r="C667" s="10" t="s">
        <v>15</v>
      </c>
      <c r="D667" s="10" t="s">
        <v>45</v>
      </c>
      <c r="E667" s="11" t="s">
        <v>157</v>
      </c>
      <c r="F667" s="11" t="s">
        <v>17</v>
      </c>
      <c r="G667" s="10" t="s">
        <v>24</v>
      </c>
      <c r="H667" s="11" t="s">
        <v>23</v>
      </c>
      <c r="I667" s="11" t="s">
        <v>20</v>
      </c>
      <c r="J667" s="11"/>
      <c r="K667" s="11" t="s">
        <v>71</v>
      </c>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4"/>
    </row>
    <row r="668" spans="1:35" ht="15.75" hidden="1" customHeight="1" x14ac:dyDescent="0.25">
      <c r="A668" s="9">
        <v>130</v>
      </c>
      <c r="B668" s="10" t="s">
        <v>60</v>
      </c>
      <c r="C668" s="10" t="s">
        <v>15</v>
      </c>
      <c r="D668" s="10" t="s">
        <v>37</v>
      </c>
      <c r="E668" s="11" t="s">
        <v>157</v>
      </c>
      <c r="F668" s="11" t="s">
        <v>17</v>
      </c>
      <c r="G668" s="10" t="s">
        <v>18</v>
      </c>
      <c r="H668" s="11" t="s">
        <v>19</v>
      </c>
      <c r="I668" s="11" t="s">
        <v>20</v>
      </c>
      <c r="J668" s="11"/>
      <c r="K668" s="11" t="s">
        <v>71</v>
      </c>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4"/>
    </row>
    <row r="669" spans="1:35" ht="15.75" hidden="1" customHeight="1" x14ac:dyDescent="0.25">
      <c r="A669" s="9">
        <v>131</v>
      </c>
      <c r="B669" s="10" t="s">
        <v>60</v>
      </c>
      <c r="C669" s="10" t="s">
        <v>15</v>
      </c>
      <c r="D669" s="10" t="s">
        <v>45</v>
      </c>
      <c r="E669" s="11" t="s">
        <v>158</v>
      </c>
      <c r="F669" s="11" t="s">
        <v>17</v>
      </c>
      <c r="G669" s="10" t="s">
        <v>24</v>
      </c>
      <c r="H669" s="11" t="s">
        <v>19</v>
      </c>
      <c r="I669" s="11" t="s">
        <v>20</v>
      </c>
      <c r="J669" s="11"/>
      <c r="K669" s="11" t="s">
        <v>72</v>
      </c>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4"/>
    </row>
    <row r="670" spans="1:35" ht="15.75" hidden="1" customHeight="1" x14ac:dyDescent="0.25">
      <c r="A670" s="9">
        <v>132</v>
      </c>
      <c r="B670" s="10" t="s">
        <v>60</v>
      </c>
      <c r="C670" s="10" t="s">
        <v>15</v>
      </c>
      <c r="D670" s="10" t="s">
        <v>45</v>
      </c>
      <c r="E670" s="11" t="s">
        <v>158</v>
      </c>
      <c r="F670" s="11" t="s">
        <v>17</v>
      </c>
      <c r="G670" s="10" t="s">
        <v>18</v>
      </c>
      <c r="H670" s="11" t="s">
        <v>19</v>
      </c>
      <c r="I670" s="11" t="s">
        <v>20</v>
      </c>
      <c r="J670" s="11"/>
      <c r="K670" s="11" t="s">
        <v>72</v>
      </c>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4"/>
    </row>
    <row r="671" spans="1:35" ht="15.75" hidden="1" customHeight="1" x14ac:dyDescent="0.25">
      <c r="A671" s="9">
        <v>133</v>
      </c>
      <c r="B671" s="10" t="s">
        <v>60</v>
      </c>
      <c r="C671" s="10" t="s">
        <v>15</v>
      </c>
      <c r="D671" s="10" t="s">
        <v>37</v>
      </c>
      <c r="E671" s="11" t="s">
        <v>158</v>
      </c>
      <c r="F671" s="11" t="s">
        <v>17</v>
      </c>
      <c r="G671" s="10" t="s">
        <v>18</v>
      </c>
      <c r="H671" s="11" t="s">
        <v>19</v>
      </c>
      <c r="I671" s="11" t="s">
        <v>20</v>
      </c>
      <c r="J671" s="11"/>
      <c r="K671" s="11" t="s">
        <v>72</v>
      </c>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4"/>
    </row>
    <row r="672" spans="1:35" ht="15.75" hidden="1" customHeight="1" x14ac:dyDescent="0.25">
      <c r="A672" s="9">
        <v>134</v>
      </c>
      <c r="B672" s="10" t="s">
        <v>60</v>
      </c>
      <c r="C672" s="10" t="s">
        <v>15</v>
      </c>
      <c r="D672" s="10" t="s">
        <v>16</v>
      </c>
      <c r="E672" s="11" t="s">
        <v>159</v>
      </c>
      <c r="F672" s="11" t="s">
        <v>17</v>
      </c>
      <c r="G672" s="10" t="s">
        <v>24</v>
      </c>
      <c r="H672" s="11" t="s">
        <v>19</v>
      </c>
      <c r="I672" s="11" t="s">
        <v>20</v>
      </c>
      <c r="J672" s="11"/>
      <c r="K672" s="11" t="s">
        <v>73</v>
      </c>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4"/>
    </row>
    <row r="673" spans="1:35" ht="15.75" hidden="1" customHeight="1" x14ac:dyDescent="0.25">
      <c r="A673" s="9">
        <v>135</v>
      </c>
      <c r="B673" s="10" t="s">
        <v>60</v>
      </c>
      <c r="C673" s="10" t="s">
        <v>15</v>
      </c>
      <c r="D673" s="10" t="s">
        <v>37</v>
      </c>
      <c r="E673" s="11" t="s">
        <v>159</v>
      </c>
      <c r="F673" s="11" t="s">
        <v>17</v>
      </c>
      <c r="G673" s="10" t="s">
        <v>18</v>
      </c>
      <c r="H673" s="11" t="s">
        <v>19</v>
      </c>
      <c r="I673" s="11" t="s">
        <v>20</v>
      </c>
      <c r="J673" s="11"/>
      <c r="K673" s="11" t="s">
        <v>73</v>
      </c>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4"/>
    </row>
    <row r="674" spans="1:35" ht="15.75" hidden="1" customHeight="1" x14ac:dyDescent="0.25">
      <c r="A674" s="9">
        <v>136</v>
      </c>
      <c r="B674" s="10" t="s">
        <v>60</v>
      </c>
      <c r="C674" s="10" t="s">
        <v>15</v>
      </c>
      <c r="D674" s="10" t="s">
        <v>45</v>
      </c>
      <c r="E674" s="11" t="s">
        <v>160</v>
      </c>
      <c r="F674" s="11" t="s">
        <v>17</v>
      </c>
      <c r="G674" s="10" t="s">
        <v>18</v>
      </c>
      <c r="H674" s="11" t="s">
        <v>19</v>
      </c>
      <c r="I674" s="11" t="s">
        <v>20</v>
      </c>
      <c r="J674" s="11"/>
      <c r="K674" s="11" t="s">
        <v>74</v>
      </c>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4"/>
    </row>
    <row r="675" spans="1:35" ht="15.75" hidden="1" customHeight="1" x14ac:dyDescent="0.25">
      <c r="A675" s="9">
        <v>137</v>
      </c>
      <c r="B675" s="10" t="s">
        <v>60</v>
      </c>
      <c r="C675" s="10" t="s">
        <v>15</v>
      </c>
      <c r="D675" s="10" t="s">
        <v>45</v>
      </c>
      <c r="E675" s="11" t="s">
        <v>160</v>
      </c>
      <c r="F675" s="11" t="s">
        <v>17</v>
      </c>
      <c r="G675" s="10" t="s">
        <v>24</v>
      </c>
      <c r="H675" s="11" t="s">
        <v>19</v>
      </c>
      <c r="I675" s="11" t="s">
        <v>20</v>
      </c>
      <c r="J675" s="11"/>
      <c r="K675" s="11" t="s">
        <v>74</v>
      </c>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4"/>
    </row>
    <row r="676" spans="1:35" ht="15.75" hidden="1" customHeight="1" x14ac:dyDescent="0.25">
      <c r="A676" s="9">
        <v>138</v>
      </c>
      <c r="B676" s="10" t="s">
        <v>60</v>
      </c>
      <c r="C676" s="10" t="s">
        <v>15</v>
      </c>
      <c r="D676" s="10" t="s">
        <v>16</v>
      </c>
      <c r="E676" s="11" t="s">
        <v>160</v>
      </c>
      <c r="F676" s="11" t="s">
        <v>17</v>
      </c>
      <c r="G676" s="10" t="s">
        <v>18</v>
      </c>
      <c r="H676" s="11" t="s">
        <v>19</v>
      </c>
      <c r="I676" s="11" t="s">
        <v>20</v>
      </c>
      <c r="J676" s="11"/>
      <c r="K676" s="11" t="s">
        <v>74</v>
      </c>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4"/>
    </row>
    <row r="677" spans="1:35" ht="15.75" hidden="1" customHeight="1" x14ac:dyDescent="0.25">
      <c r="A677" s="9">
        <v>139</v>
      </c>
      <c r="B677" s="10" t="s">
        <v>60</v>
      </c>
      <c r="C677" s="10" t="s">
        <v>15</v>
      </c>
      <c r="D677" s="10" t="s">
        <v>16</v>
      </c>
      <c r="E677" s="11" t="s">
        <v>160</v>
      </c>
      <c r="F677" s="11" t="s">
        <v>17</v>
      </c>
      <c r="G677" s="10" t="s">
        <v>18</v>
      </c>
      <c r="H677" s="11" t="s">
        <v>19</v>
      </c>
      <c r="I677" s="11" t="s">
        <v>20</v>
      </c>
      <c r="J677" s="11"/>
      <c r="K677" s="11" t="s">
        <v>74</v>
      </c>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4"/>
    </row>
    <row r="678" spans="1:35" ht="15.75" hidden="1" customHeight="1" x14ac:dyDescent="0.25">
      <c r="A678" s="9">
        <v>140</v>
      </c>
      <c r="B678" s="10" t="s">
        <v>60</v>
      </c>
      <c r="C678" s="10" t="s">
        <v>15</v>
      </c>
      <c r="D678" s="10" t="s">
        <v>37</v>
      </c>
      <c r="E678" s="11" t="s">
        <v>160</v>
      </c>
      <c r="F678" s="11" t="s">
        <v>17</v>
      </c>
      <c r="G678" s="10" t="s">
        <v>24</v>
      </c>
      <c r="H678" s="11" t="s">
        <v>19</v>
      </c>
      <c r="I678" s="11" t="s">
        <v>20</v>
      </c>
      <c r="J678" s="11"/>
      <c r="K678" s="11" t="s">
        <v>74</v>
      </c>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4"/>
    </row>
    <row r="679" spans="1:35" ht="15.75" hidden="1" customHeight="1" x14ac:dyDescent="0.25">
      <c r="A679" s="9">
        <v>141</v>
      </c>
      <c r="B679" s="10" t="s">
        <v>60</v>
      </c>
      <c r="C679" s="10" t="s">
        <v>15</v>
      </c>
      <c r="D679" s="10" t="s">
        <v>37</v>
      </c>
      <c r="E679" s="11" t="s">
        <v>160</v>
      </c>
      <c r="F679" s="11" t="s">
        <v>17</v>
      </c>
      <c r="G679" s="10" t="s">
        <v>18</v>
      </c>
      <c r="H679" s="11" t="s">
        <v>19</v>
      </c>
      <c r="I679" s="11" t="s">
        <v>20</v>
      </c>
      <c r="J679" s="11"/>
      <c r="K679" s="11" t="s">
        <v>74</v>
      </c>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4"/>
    </row>
    <row r="680" spans="1:35" ht="15.75" hidden="1" customHeight="1" x14ac:dyDescent="0.25">
      <c r="A680" s="9">
        <v>142</v>
      </c>
      <c r="B680" s="10" t="s">
        <v>60</v>
      </c>
      <c r="C680" s="10" t="s">
        <v>15</v>
      </c>
      <c r="D680" s="10" t="s">
        <v>37</v>
      </c>
      <c r="E680" s="11" t="s">
        <v>160</v>
      </c>
      <c r="F680" s="11" t="s">
        <v>17</v>
      </c>
      <c r="G680" s="10" t="s">
        <v>18</v>
      </c>
      <c r="H680" s="11" t="s">
        <v>19</v>
      </c>
      <c r="I680" s="11" t="s">
        <v>20</v>
      </c>
      <c r="J680" s="11"/>
      <c r="K680" s="11" t="s">
        <v>74</v>
      </c>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4"/>
    </row>
    <row r="681" spans="1:35" ht="15.75" hidden="1" customHeight="1" x14ac:dyDescent="0.25">
      <c r="A681" s="9">
        <v>143</v>
      </c>
      <c r="B681" s="10" t="s">
        <v>60</v>
      </c>
      <c r="C681" s="10" t="s">
        <v>15</v>
      </c>
      <c r="D681" s="10" t="s">
        <v>37</v>
      </c>
      <c r="E681" s="11" t="s">
        <v>160</v>
      </c>
      <c r="F681" s="11" t="s">
        <v>17</v>
      </c>
      <c r="G681" s="10" t="s">
        <v>18</v>
      </c>
      <c r="H681" s="11" t="s">
        <v>19</v>
      </c>
      <c r="I681" s="11" t="s">
        <v>20</v>
      </c>
      <c r="J681" s="11"/>
      <c r="K681" s="11" t="s">
        <v>74</v>
      </c>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4"/>
    </row>
    <row r="682" spans="1:35" ht="15.75" hidden="1" customHeight="1" x14ac:dyDescent="0.25">
      <c r="A682" s="9">
        <v>144</v>
      </c>
      <c r="B682" s="10" t="s">
        <v>60</v>
      </c>
      <c r="C682" s="10" t="s">
        <v>41</v>
      </c>
      <c r="D682" s="10" t="s">
        <v>42</v>
      </c>
      <c r="E682" s="11" t="s">
        <v>160</v>
      </c>
      <c r="F682" s="11" t="s">
        <v>17</v>
      </c>
      <c r="G682" s="10" t="s">
        <v>18</v>
      </c>
      <c r="H682" s="11" t="s">
        <v>19</v>
      </c>
      <c r="I682" s="11" t="s">
        <v>20</v>
      </c>
      <c r="J682" s="11"/>
      <c r="K682" s="11" t="s">
        <v>74</v>
      </c>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4"/>
    </row>
    <row r="683" spans="1:35" ht="15.75" hidden="1" customHeight="1" x14ac:dyDescent="0.25">
      <c r="A683" s="9">
        <v>145</v>
      </c>
      <c r="B683" s="10" t="s">
        <v>60</v>
      </c>
      <c r="C683" s="10" t="s">
        <v>41</v>
      </c>
      <c r="D683" s="10" t="s">
        <v>42</v>
      </c>
      <c r="E683" s="11" t="s">
        <v>160</v>
      </c>
      <c r="F683" s="11" t="s">
        <v>17</v>
      </c>
      <c r="G683" s="10" t="s">
        <v>24</v>
      </c>
      <c r="H683" s="11" t="s">
        <v>19</v>
      </c>
      <c r="I683" s="11" t="s">
        <v>20</v>
      </c>
      <c r="J683" s="11"/>
      <c r="K683" s="11" t="s">
        <v>74</v>
      </c>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4"/>
    </row>
    <row r="684" spans="1:35" ht="15.75" hidden="1" customHeight="1" x14ac:dyDescent="0.25">
      <c r="A684" s="9">
        <v>146</v>
      </c>
      <c r="B684" s="10" t="s">
        <v>60</v>
      </c>
      <c r="C684" s="10" t="s">
        <v>41</v>
      </c>
      <c r="D684" s="10" t="s">
        <v>42</v>
      </c>
      <c r="E684" s="11" t="s">
        <v>160</v>
      </c>
      <c r="F684" s="11" t="s">
        <v>17</v>
      </c>
      <c r="G684" s="10" t="s">
        <v>18</v>
      </c>
      <c r="H684" s="11" t="s">
        <v>19</v>
      </c>
      <c r="I684" s="11" t="s">
        <v>20</v>
      </c>
      <c r="J684" s="11"/>
      <c r="K684" s="11" t="s">
        <v>74</v>
      </c>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4"/>
    </row>
    <row r="685" spans="1:35" ht="15.75" hidden="1" customHeight="1" x14ac:dyDescent="0.25">
      <c r="A685" s="9">
        <v>147</v>
      </c>
      <c r="B685" s="10" t="s">
        <v>60</v>
      </c>
      <c r="C685" s="10" t="s">
        <v>41</v>
      </c>
      <c r="D685" s="10" t="s">
        <v>42</v>
      </c>
      <c r="E685" s="11" t="s">
        <v>160</v>
      </c>
      <c r="F685" s="11" t="s">
        <v>17</v>
      </c>
      <c r="G685" s="10" t="s">
        <v>24</v>
      </c>
      <c r="H685" s="11" t="s">
        <v>19</v>
      </c>
      <c r="I685" s="11" t="s">
        <v>20</v>
      </c>
      <c r="J685" s="11"/>
      <c r="K685" s="11" t="s">
        <v>74</v>
      </c>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4"/>
    </row>
    <row r="686" spans="1:35" ht="15.75" hidden="1" customHeight="1" x14ac:dyDescent="0.25">
      <c r="A686" s="9">
        <v>148</v>
      </c>
      <c r="B686" s="10" t="s">
        <v>60</v>
      </c>
      <c r="C686" s="10" t="s">
        <v>41</v>
      </c>
      <c r="D686" s="10" t="s">
        <v>42</v>
      </c>
      <c r="E686" s="11" t="s">
        <v>160</v>
      </c>
      <c r="F686" s="11" t="s">
        <v>17</v>
      </c>
      <c r="G686" s="10" t="s">
        <v>18</v>
      </c>
      <c r="H686" s="11" t="s">
        <v>19</v>
      </c>
      <c r="I686" s="11" t="s">
        <v>20</v>
      </c>
      <c r="J686" s="11"/>
      <c r="K686" s="11" t="s">
        <v>74</v>
      </c>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4"/>
    </row>
    <row r="687" spans="1:35" ht="15.75" hidden="1" customHeight="1" x14ac:dyDescent="0.25">
      <c r="A687" s="9">
        <v>149</v>
      </c>
      <c r="B687" s="10" t="s">
        <v>60</v>
      </c>
      <c r="C687" s="10" t="s">
        <v>41</v>
      </c>
      <c r="D687" s="10" t="s">
        <v>42</v>
      </c>
      <c r="E687" s="11" t="s">
        <v>160</v>
      </c>
      <c r="F687" s="11" t="s">
        <v>17</v>
      </c>
      <c r="G687" s="10" t="s">
        <v>18</v>
      </c>
      <c r="H687" s="11" t="s">
        <v>19</v>
      </c>
      <c r="I687" s="11" t="s">
        <v>20</v>
      </c>
      <c r="J687" s="11"/>
      <c r="K687" s="11" t="s">
        <v>74</v>
      </c>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4"/>
    </row>
    <row r="688" spans="1:35" ht="15.75" hidden="1" customHeight="1" x14ac:dyDescent="0.25">
      <c r="A688" s="9">
        <v>150</v>
      </c>
      <c r="B688" s="10" t="s">
        <v>60</v>
      </c>
      <c r="C688" s="10" t="s">
        <v>41</v>
      </c>
      <c r="D688" s="10" t="s">
        <v>42</v>
      </c>
      <c r="E688" s="11" t="s">
        <v>160</v>
      </c>
      <c r="F688" s="11" t="s">
        <v>17</v>
      </c>
      <c r="G688" s="10" t="s">
        <v>18</v>
      </c>
      <c r="H688" s="11" t="s">
        <v>19</v>
      </c>
      <c r="I688" s="11" t="s">
        <v>20</v>
      </c>
      <c r="J688" s="11"/>
      <c r="K688" s="11" t="s">
        <v>74</v>
      </c>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4"/>
    </row>
    <row r="689" spans="1:35" ht="15.75" hidden="1" customHeight="1" x14ac:dyDescent="0.25">
      <c r="A689" s="9">
        <v>151</v>
      </c>
      <c r="B689" s="10" t="s">
        <v>60</v>
      </c>
      <c r="C689" s="10" t="s">
        <v>41</v>
      </c>
      <c r="D689" s="10" t="s">
        <v>42</v>
      </c>
      <c r="E689" s="11" t="s">
        <v>160</v>
      </c>
      <c r="F689" s="11" t="s">
        <v>17</v>
      </c>
      <c r="G689" s="10" t="s">
        <v>18</v>
      </c>
      <c r="H689" s="11" t="s">
        <v>19</v>
      </c>
      <c r="I689" s="11" t="s">
        <v>20</v>
      </c>
      <c r="J689" s="11"/>
      <c r="K689" s="11" t="s">
        <v>74</v>
      </c>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4"/>
    </row>
    <row r="690" spans="1:35" ht="15.75" hidden="1" customHeight="1" x14ac:dyDescent="0.25">
      <c r="A690" s="9">
        <v>152</v>
      </c>
      <c r="B690" s="10" t="s">
        <v>60</v>
      </c>
      <c r="C690" s="10" t="s">
        <v>41</v>
      </c>
      <c r="D690" s="10" t="s">
        <v>43</v>
      </c>
      <c r="E690" s="11" t="s">
        <v>160</v>
      </c>
      <c r="F690" s="11" t="s">
        <v>17</v>
      </c>
      <c r="G690" s="10" t="s">
        <v>24</v>
      </c>
      <c r="H690" s="11" t="s">
        <v>19</v>
      </c>
      <c r="I690" s="11" t="s">
        <v>20</v>
      </c>
      <c r="J690" s="11"/>
      <c r="K690" s="11" t="s">
        <v>74</v>
      </c>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4"/>
    </row>
    <row r="691" spans="1:35" ht="15.75" hidden="1" customHeight="1" x14ac:dyDescent="0.25">
      <c r="A691" s="9">
        <v>153</v>
      </c>
      <c r="B691" s="10" t="s">
        <v>60</v>
      </c>
      <c r="C691" s="10" t="s">
        <v>41</v>
      </c>
      <c r="D691" s="10" t="s">
        <v>43</v>
      </c>
      <c r="E691" s="11" t="s">
        <v>160</v>
      </c>
      <c r="F691" s="11" t="s">
        <v>17</v>
      </c>
      <c r="G691" s="10" t="s">
        <v>18</v>
      </c>
      <c r="H691" s="11" t="s">
        <v>19</v>
      </c>
      <c r="I691" s="11" t="s">
        <v>20</v>
      </c>
      <c r="J691" s="11"/>
      <c r="K691" s="11" t="s">
        <v>74</v>
      </c>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4"/>
    </row>
    <row r="692" spans="1:35" ht="15.75" hidden="1" customHeight="1" x14ac:dyDescent="0.25">
      <c r="A692" s="9">
        <v>154</v>
      </c>
      <c r="B692" s="10" t="s">
        <v>60</v>
      </c>
      <c r="C692" s="10" t="s">
        <v>41</v>
      </c>
      <c r="D692" s="10" t="s">
        <v>43</v>
      </c>
      <c r="E692" s="11" t="s">
        <v>160</v>
      </c>
      <c r="F692" s="11" t="s">
        <v>17</v>
      </c>
      <c r="G692" s="10" t="s">
        <v>24</v>
      </c>
      <c r="H692" s="11" t="s">
        <v>19</v>
      </c>
      <c r="I692" s="11" t="s">
        <v>20</v>
      </c>
      <c r="J692" s="11"/>
      <c r="K692" s="11" t="s">
        <v>74</v>
      </c>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4"/>
    </row>
    <row r="693" spans="1:35" ht="15.75" hidden="1" customHeight="1" x14ac:dyDescent="0.25">
      <c r="A693" s="9">
        <v>155</v>
      </c>
      <c r="B693" s="10" t="s">
        <v>60</v>
      </c>
      <c r="C693" s="10" t="s">
        <v>15</v>
      </c>
      <c r="D693" s="10" t="s">
        <v>45</v>
      </c>
      <c r="E693" s="11" t="s">
        <v>161</v>
      </c>
      <c r="F693" s="11" t="s">
        <v>17</v>
      </c>
      <c r="G693" s="10" t="s">
        <v>18</v>
      </c>
      <c r="H693" s="11" t="s">
        <v>19</v>
      </c>
      <c r="I693" s="11" t="s">
        <v>20</v>
      </c>
      <c r="J693" s="11"/>
      <c r="K693" s="11" t="s">
        <v>75</v>
      </c>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4"/>
    </row>
    <row r="694" spans="1:35" ht="15.75" hidden="1" customHeight="1" x14ac:dyDescent="0.25">
      <c r="A694" s="9">
        <v>156</v>
      </c>
      <c r="B694" s="10" t="s">
        <v>60</v>
      </c>
      <c r="C694" s="10" t="s">
        <v>15</v>
      </c>
      <c r="D694" s="10" t="s">
        <v>45</v>
      </c>
      <c r="E694" s="11" t="s">
        <v>162</v>
      </c>
      <c r="F694" s="11" t="s">
        <v>17</v>
      </c>
      <c r="G694" s="10" t="s">
        <v>18</v>
      </c>
      <c r="H694" s="11" t="s">
        <v>19</v>
      </c>
      <c r="I694" s="11" t="s">
        <v>20</v>
      </c>
      <c r="J694" s="11"/>
      <c r="K694" s="11" t="s">
        <v>76</v>
      </c>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4"/>
    </row>
    <row r="695" spans="1:35" ht="15.75" hidden="1" customHeight="1" x14ac:dyDescent="0.25">
      <c r="A695" s="9">
        <v>157</v>
      </c>
      <c r="B695" s="10" t="s">
        <v>60</v>
      </c>
      <c r="C695" s="10" t="s">
        <v>15</v>
      </c>
      <c r="D695" s="10" t="s">
        <v>45</v>
      </c>
      <c r="E695" s="11" t="s">
        <v>162</v>
      </c>
      <c r="F695" s="11" t="s">
        <v>17</v>
      </c>
      <c r="G695" s="10" t="s">
        <v>24</v>
      </c>
      <c r="H695" s="11" t="s">
        <v>19</v>
      </c>
      <c r="I695" s="11" t="s">
        <v>20</v>
      </c>
      <c r="J695" s="11"/>
      <c r="K695" s="11" t="s">
        <v>76</v>
      </c>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4"/>
    </row>
    <row r="696" spans="1:35" ht="15.75" hidden="1" customHeight="1" x14ac:dyDescent="0.25">
      <c r="A696" s="9">
        <v>158</v>
      </c>
      <c r="B696" s="10" t="s">
        <v>60</v>
      </c>
      <c r="C696" s="10" t="s">
        <v>15</v>
      </c>
      <c r="D696" s="10" t="s">
        <v>45</v>
      </c>
      <c r="E696" s="11" t="s">
        <v>162</v>
      </c>
      <c r="F696" s="11" t="s">
        <v>17</v>
      </c>
      <c r="G696" s="10" t="s">
        <v>24</v>
      </c>
      <c r="H696" s="11" t="s">
        <v>19</v>
      </c>
      <c r="I696" s="11" t="s">
        <v>20</v>
      </c>
      <c r="J696" s="11"/>
      <c r="K696" s="11" t="s">
        <v>76</v>
      </c>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4"/>
    </row>
    <row r="697" spans="1:35" ht="15.75" hidden="1" customHeight="1" x14ac:dyDescent="0.25">
      <c r="A697" s="9">
        <v>159</v>
      </c>
      <c r="B697" s="10" t="s">
        <v>60</v>
      </c>
      <c r="C697" s="10" t="s">
        <v>15</v>
      </c>
      <c r="D697" s="10" t="s">
        <v>45</v>
      </c>
      <c r="E697" s="11" t="s">
        <v>162</v>
      </c>
      <c r="F697" s="11" t="s">
        <v>17</v>
      </c>
      <c r="G697" s="10" t="s">
        <v>18</v>
      </c>
      <c r="H697" s="11" t="s">
        <v>19</v>
      </c>
      <c r="I697" s="11" t="s">
        <v>20</v>
      </c>
      <c r="J697" s="11"/>
      <c r="K697" s="11" t="s">
        <v>76</v>
      </c>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4"/>
    </row>
    <row r="698" spans="1:35" ht="15.75" hidden="1" customHeight="1" x14ac:dyDescent="0.25">
      <c r="A698" s="9">
        <v>160</v>
      </c>
      <c r="B698" s="10" t="s">
        <v>60</v>
      </c>
      <c r="C698" s="10" t="s">
        <v>15</v>
      </c>
      <c r="D698" s="10" t="s">
        <v>45</v>
      </c>
      <c r="E698" s="11" t="s">
        <v>162</v>
      </c>
      <c r="F698" s="11" t="s">
        <v>17</v>
      </c>
      <c r="G698" s="10" t="s">
        <v>18</v>
      </c>
      <c r="H698" s="11" t="s">
        <v>19</v>
      </c>
      <c r="I698" s="11" t="s">
        <v>20</v>
      </c>
      <c r="J698" s="11"/>
      <c r="K698" s="11" t="s">
        <v>76</v>
      </c>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4"/>
    </row>
    <row r="699" spans="1:35" ht="15.75" hidden="1" customHeight="1" x14ac:dyDescent="0.25">
      <c r="A699" s="9">
        <v>161</v>
      </c>
      <c r="B699" s="10" t="s">
        <v>60</v>
      </c>
      <c r="C699" s="10" t="s">
        <v>15</v>
      </c>
      <c r="D699" s="10" t="s">
        <v>45</v>
      </c>
      <c r="E699" s="11" t="s">
        <v>162</v>
      </c>
      <c r="F699" s="11" t="s">
        <v>17</v>
      </c>
      <c r="G699" s="10" t="s">
        <v>24</v>
      </c>
      <c r="H699" s="11" t="s">
        <v>19</v>
      </c>
      <c r="I699" s="11" t="s">
        <v>20</v>
      </c>
      <c r="J699" s="11"/>
      <c r="K699" s="11" t="s">
        <v>76</v>
      </c>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4"/>
    </row>
    <row r="700" spans="1:35" ht="15.75" hidden="1" customHeight="1" x14ac:dyDescent="0.25">
      <c r="A700" s="9">
        <v>162</v>
      </c>
      <c r="B700" s="10" t="s">
        <v>60</v>
      </c>
      <c r="C700" s="10" t="s">
        <v>15</v>
      </c>
      <c r="D700" s="10" t="s">
        <v>45</v>
      </c>
      <c r="E700" s="11" t="s">
        <v>162</v>
      </c>
      <c r="F700" s="11" t="s">
        <v>17</v>
      </c>
      <c r="G700" s="10" t="s">
        <v>18</v>
      </c>
      <c r="H700" s="11" t="s">
        <v>19</v>
      </c>
      <c r="I700" s="11" t="s">
        <v>20</v>
      </c>
      <c r="J700" s="11"/>
      <c r="K700" s="11" t="s">
        <v>76</v>
      </c>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4"/>
    </row>
    <row r="701" spans="1:35" ht="15.75" hidden="1" customHeight="1" x14ac:dyDescent="0.25">
      <c r="A701" s="9">
        <v>163</v>
      </c>
      <c r="B701" s="10" t="s">
        <v>60</v>
      </c>
      <c r="C701" s="10" t="s">
        <v>15</v>
      </c>
      <c r="D701" s="10" t="s">
        <v>45</v>
      </c>
      <c r="E701" s="11" t="s">
        <v>162</v>
      </c>
      <c r="F701" s="11" t="s">
        <v>17</v>
      </c>
      <c r="G701" s="10" t="s">
        <v>24</v>
      </c>
      <c r="H701" s="11" t="s">
        <v>19</v>
      </c>
      <c r="I701" s="11" t="s">
        <v>20</v>
      </c>
      <c r="J701" s="11"/>
      <c r="K701" s="11" t="s">
        <v>76</v>
      </c>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4"/>
    </row>
    <row r="702" spans="1:35" ht="15.75" hidden="1" customHeight="1" x14ac:dyDescent="0.25">
      <c r="A702" s="9">
        <v>164</v>
      </c>
      <c r="B702" s="10" t="s">
        <v>60</v>
      </c>
      <c r="C702" s="10" t="s">
        <v>15</v>
      </c>
      <c r="D702" s="10" t="s">
        <v>45</v>
      </c>
      <c r="E702" s="11" t="s">
        <v>162</v>
      </c>
      <c r="F702" s="11" t="s">
        <v>17</v>
      </c>
      <c r="G702" s="10" t="s">
        <v>24</v>
      </c>
      <c r="H702" s="11" t="s">
        <v>19</v>
      </c>
      <c r="I702" s="11" t="s">
        <v>20</v>
      </c>
      <c r="J702" s="11"/>
      <c r="K702" s="11" t="s">
        <v>76</v>
      </c>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4"/>
    </row>
    <row r="703" spans="1:35" ht="15.75" hidden="1" customHeight="1" x14ac:dyDescent="0.25">
      <c r="A703" s="9">
        <v>165</v>
      </c>
      <c r="B703" s="10" t="s">
        <v>60</v>
      </c>
      <c r="C703" s="10" t="s">
        <v>15</v>
      </c>
      <c r="D703" s="10" t="s">
        <v>45</v>
      </c>
      <c r="E703" s="11" t="s">
        <v>162</v>
      </c>
      <c r="F703" s="11" t="s">
        <v>17</v>
      </c>
      <c r="G703" s="10" t="s">
        <v>24</v>
      </c>
      <c r="H703" s="11" t="s">
        <v>19</v>
      </c>
      <c r="I703" s="11" t="s">
        <v>20</v>
      </c>
      <c r="J703" s="11"/>
      <c r="K703" s="11" t="s">
        <v>76</v>
      </c>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4"/>
    </row>
    <row r="704" spans="1:35" ht="15.75" hidden="1" customHeight="1" x14ac:dyDescent="0.25">
      <c r="A704" s="9">
        <v>166</v>
      </c>
      <c r="B704" s="10" t="s">
        <v>60</v>
      </c>
      <c r="C704" s="10" t="s">
        <v>15</v>
      </c>
      <c r="D704" s="10" t="s">
        <v>16</v>
      </c>
      <c r="E704" s="11" t="s">
        <v>162</v>
      </c>
      <c r="F704" s="11" t="s">
        <v>17</v>
      </c>
      <c r="G704" s="10" t="s">
        <v>18</v>
      </c>
      <c r="H704" s="11" t="s">
        <v>19</v>
      </c>
      <c r="I704" s="11" t="s">
        <v>20</v>
      </c>
      <c r="J704" s="11"/>
      <c r="K704" s="11" t="s">
        <v>76</v>
      </c>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4"/>
    </row>
    <row r="705" spans="1:35" ht="15.75" hidden="1" customHeight="1" x14ac:dyDescent="0.25">
      <c r="A705" s="9">
        <v>167</v>
      </c>
      <c r="B705" s="10" t="s">
        <v>60</v>
      </c>
      <c r="C705" s="10" t="s">
        <v>15</v>
      </c>
      <c r="D705" s="10" t="s">
        <v>16</v>
      </c>
      <c r="E705" s="11" t="s">
        <v>162</v>
      </c>
      <c r="F705" s="11" t="s">
        <v>17</v>
      </c>
      <c r="G705" s="10" t="s">
        <v>18</v>
      </c>
      <c r="H705" s="11" t="s">
        <v>19</v>
      </c>
      <c r="I705" s="11" t="s">
        <v>20</v>
      </c>
      <c r="J705" s="11"/>
      <c r="K705" s="11" t="s">
        <v>76</v>
      </c>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4"/>
    </row>
    <row r="706" spans="1:35" ht="15.75" hidden="1" customHeight="1" x14ac:dyDescent="0.25">
      <c r="A706" s="9">
        <v>168</v>
      </c>
      <c r="B706" s="10" t="s">
        <v>60</v>
      </c>
      <c r="C706" s="10" t="s">
        <v>15</v>
      </c>
      <c r="D706" s="10" t="s">
        <v>16</v>
      </c>
      <c r="E706" s="11" t="s">
        <v>162</v>
      </c>
      <c r="F706" s="11" t="s">
        <v>17</v>
      </c>
      <c r="G706" s="10" t="s">
        <v>24</v>
      </c>
      <c r="H706" s="11" t="s">
        <v>19</v>
      </c>
      <c r="I706" s="11" t="s">
        <v>20</v>
      </c>
      <c r="J706" s="11"/>
      <c r="K706" s="11" t="s">
        <v>76</v>
      </c>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4"/>
    </row>
    <row r="707" spans="1:35" ht="15.75" hidden="1" customHeight="1" x14ac:dyDescent="0.25">
      <c r="A707" s="9">
        <v>169</v>
      </c>
      <c r="B707" s="10" t="s">
        <v>60</v>
      </c>
      <c r="C707" s="10" t="s">
        <v>15</v>
      </c>
      <c r="D707" s="10" t="s">
        <v>16</v>
      </c>
      <c r="E707" s="11" t="s">
        <v>162</v>
      </c>
      <c r="F707" s="11" t="s">
        <v>17</v>
      </c>
      <c r="G707" s="10" t="s">
        <v>18</v>
      </c>
      <c r="H707" s="11" t="s">
        <v>19</v>
      </c>
      <c r="I707" s="11" t="s">
        <v>20</v>
      </c>
      <c r="J707" s="11"/>
      <c r="K707" s="11" t="s">
        <v>76</v>
      </c>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4"/>
    </row>
    <row r="708" spans="1:35" ht="15.75" hidden="1" customHeight="1" x14ac:dyDescent="0.25">
      <c r="A708" s="9">
        <v>170</v>
      </c>
      <c r="B708" s="10" t="s">
        <v>60</v>
      </c>
      <c r="C708" s="10" t="s">
        <v>15</v>
      </c>
      <c r="D708" s="10" t="s">
        <v>16</v>
      </c>
      <c r="E708" s="11" t="s">
        <v>162</v>
      </c>
      <c r="F708" s="11" t="s">
        <v>17</v>
      </c>
      <c r="G708" s="10" t="s">
        <v>24</v>
      </c>
      <c r="H708" s="11" t="s">
        <v>19</v>
      </c>
      <c r="I708" s="11" t="s">
        <v>20</v>
      </c>
      <c r="J708" s="11"/>
      <c r="K708" s="11" t="s">
        <v>76</v>
      </c>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4"/>
    </row>
    <row r="709" spans="1:35" ht="15.75" hidden="1" customHeight="1" x14ac:dyDescent="0.25">
      <c r="A709" s="9">
        <v>171</v>
      </c>
      <c r="B709" s="10" t="s">
        <v>60</v>
      </c>
      <c r="C709" s="10" t="s">
        <v>15</v>
      </c>
      <c r="D709" s="10" t="s">
        <v>16</v>
      </c>
      <c r="E709" s="11" t="s">
        <v>162</v>
      </c>
      <c r="F709" s="11" t="s">
        <v>17</v>
      </c>
      <c r="G709" s="10" t="s">
        <v>24</v>
      </c>
      <c r="H709" s="11" t="s">
        <v>19</v>
      </c>
      <c r="I709" s="11" t="s">
        <v>20</v>
      </c>
      <c r="J709" s="11"/>
      <c r="K709" s="11" t="s">
        <v>76</v>
      </c>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4"/>
    </row>
    <row r="710" spans="1:35" ht="15.75" hidden="1" customHeight="1" x14ac:dyDescent="0.25">
      <c r="A710" s="9">
        <v>172</v>
      </c>
      <c r="B710" s="10" t="s">
        <v>60</v>
      </c>
      <c r="C710" s="10" t="s">
        <v>15</v>
      </c>
      <c r="D710" s="10" t="s">
        <v>16</v>
      </c>
      <c r="E710" s="11" t="s">
        <v>162</v>
      </c>
      <c r="F710" s="11" t="s">
        <v>17</v>
      </c>
      <c r="G710" s="10" t="s">
        <v>24</v>
      </c>
      <c r="H710" s="11" t="s">
        <v>19</v>
      </c>
      <c r="I710" s="11" t="s">
        <v>20</v>
      </c>
      <c r="J710" s="11"/>
      <c r="K710" s="11" t="s">
        <v>76</v>
      </c>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4"/>
    </row>
    <row r="711" spans="1:35" ht="15.75" hidden="1" customHeight="1" x14ac:dyDescent="0.25">
      <c r="A711" s="9">
        <v>173</v>
      </c>
      <c r="B711" s="10" t="s">
        <v>60</v>
      </c>
      <c r="C711" s="10" t="s">
        <v>15</v>
      </c>
      <c r="D711" s="10" t="s">
        <v>16</v>
      </c>
      <c r="E711" s="11" t="s">
        <v>162</v>
      </c>
      <c r="F711" s="11" t="s">
        <v>17</v>
      </c>
      <c r="G711" s="10" t="s">
        <v>18</v>
      </c>
      <c r="H711" s="11" t="s">
        <v>19</v>
      </c>
      <c r="I711" s="11" t="s">
        <v>20</v>
      </c>
      <c r="J711" s="11"/>
      <c r="K711" s="11" t="s">
        <v>76</v>
      </c>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4"/>
    </row>
    <row r="712" spans="1:35" ht="15.75" hidden="1" customHeight="1" x14ac:dyDescent="0.25">
      <c r="A712" s="9">
        <v>174</v>
      </c>
      <c r="B712" s="10" t="s">
        <v>60</v>
      </c>
      <c r="C712" s="10" t="s">
        <v>15</v>
      </c>
      <c r="D712" s="10" t="s">
        <v>16</v>
      </c>
      <c r="E712" s="11" t="s">
        <v>162</v>
      </c>
      <c r="F712" s="11" t="s">
        <v>17</v>
      </c>
      <c r="G712" s="10" t="s">
        <v>24</v>
      </c>
      <c r="H712" s="11" t="s">
        <v>19</v>
      </c>
      <c r="I712" s="11" t="s">
        <v>20</v>
      </c>
      <c r="J712" s="11"/>
      <c r="K712" s="11" t="s">
        <v>76</v>
      </c>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4"/>
    </row>
    <row r="713" spans="1:35" ht="15.75" hidden="1" customHeight="1" x14ac:dyDescent="0.25">
      <c r="A713" s="9">
        <v>175</v>
      </c>
      <c r="B713" s="10" t="s">
        <v>60</v>
      </c>
      <c r="C713" s="10" t="s">
        <v>15</v>
      </c>
      <c r="D713" s="10" t="s">
        <v>16</v>
      </c>
      <c r="E713" s="11" t="s">
        <v>162</v>
      </c>
      <c r="F713" s="11" t="s">
        <v>17</v>
      </c>
      <c r="G713" s="10" t="s">
        <v>24</v>
      </c>
      <c r="H713" s="11" t="s">
        <v>19</v>
      </c>
      <c r="I713" s="11" t="s">
        <v>20</v>
      </c>
      <c r="J713" s="11"/>
      <c r="K713" s="11" t="s">
        <v>76</v>
      </c>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4"/>
    </row>
    <row r="714" spans="1:35" ht="15.75" hidden="1" customHeight="1" x14ac:dyDescent="0.25">
      <c r="A714" s="9">
        <v>176</v>
      </c>
      <c r="B714" s="10" t="s">
        <v>60</v>
      </c>
      <c r="C714" s="10" t="s">
        <v>15</v>
      </c>
      <c r="D714" s="10" t="s">
        <v>16</v>
      </c>
      <c r="E714" s="11" t="s">
        <v>162</v>
      </c>
      <c r="F714" s="11" t="s">
        <v>17</v>
      </c>
      <c r="G714" s="10" t="s">
        <v>24</v>
      </c>
      <c r="H714" s="11" t="s">
        <v>19</v>
      </c>
      <c r="I714" s="11" t="s">
        <v>20</v>
      </c>
      <c r="J714" s="11"/>
      <c r="K714" s="11" t="s">
        <v>76</v>
      </c>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4"/>
    </row>
    <row r="715" spans="1:35" ht="15.75" hidden="1" customHeight="1" x14ac:dyDescent="0.25">
      <c r="A715" s="9">
        <v>177</v>
      </c>
      <c r="B715" s="10" t="s">
        <v>60</v>
      </c>
      <c r="C715" s="10" t="s">
        <v>15</v>
      </c>
      <c r="D715" s="10" t="s">
        <v>16</v>
      </c>
      <c r="E715" s="11" t="s">
        <v>162</v>
      </c>
      <c r="F715" s="11" t="s">
        <v>17</v>
      </c>
      <c r="G715" s="10" t="s">
        <v>18</v>
      </c>
      <c r="H715" s="11" t="s">
        <v>19</v>
      </c>
      <c r="I715" s="11" t="s">
        <v>20</v>
      </c>
      <c r="J715" s="11"/>
      <c r="K715" s="11" t="s">
        <v>76</v>
      </c>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4"/>
    </row>
    <row r="716" spans="1:35" ht="15.75" hidden="1" customHeight="1" x14ac:dyDescent="0.25">
      <c r="A716" s="9">
        <v>178</v>
      </c>
      <c r="B716" s="10" t="s">
        <v>60</v>
      </c>
      <c r="C716" s="10" t="s">
        <v>15</v>
      </c>
      <c r="D716" s="10" t="s">
        <v>16</v>
      </c>
      <c r="E716" s="11" t="s">
        <v>162</v>
      </c>
      <c r="F716" s="11" t="s">
        <v>17</v>
      </c>
      <c r="G716" s="10" t="s">
        <v>24</v>
      </c>
      <c r="H716" s="11" t="s">
        <v>19</v>
      </c>
      <c r="I716" s="11" t="s">
        <v>20</v>
      </c>
      <c r="J716" s="11"/>
      <c r="K716" s="11" t="s">
        <v>76</v>
      </c>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4"/>
    </row>
    <row r="717" spans="1:35" ht="15.75" hidden="1" customHeight="1" x14ac:dyDescent="0.25">
      <c r="A717" s="9">
        <v>179</v>
      </c>
      <c r="B717" s="10" t="s">
        <v>60</v>
      </c>
      <c r="C717" s="10" t="s">
        <v>15</v>
      </c>
      <c r="D717" s="10" t="s">
        <v>16</v>
      </c>
      <c r="E717" s="11" t="s">
        <v>162</v>
      </c>
      <c r="F717" s="11" t="s">
        <v>17</v>
      </c>
      <c r="G717" s="10" t="s">
        <v>18</v>
      </c>
      <c r="H717" s="11" t="s">
        <v>19</v>
      </c>
      <c r="I717" s="11" t="s">
        <v>20</v>
      </c>
      <c r="J717" s="11"/>
      <c r="K717" s="11" t="s">
        <v>76</v>
      </c>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4"/>
    </row>
    <row r="718" spans="1:35" ht="15.75" hidden="1" customHeight="1" x14ac:dyDescent="0.25">
      <c r="A718" s="9">
        <v>180</v>
      </c>
      <c r="B718" s="10" t="s">
        <v>60</v>
      </c>
      <c r="C718" s="10" t="s">
        <v>15</v>
      </c>
      <c r="D718" s="10" t="s">
        <v>16</v>
      </c>
      <c r="E718" s="11" t="s">
        <v>162</v>
      </c>
      <c r="F718" s="11" t="s">
        <v>17</v>
      </c>
      <c r="G718" s="10" t="s">
        <v>18</v>
      </c>
      <c r="H718" s="11" t="s">
        <v>19</v>
      </c>
      <c r="I718" s="11" t="s">
        <v>20</v>
      </c>
      <c r="J718" s="11"/>
      <c r="K718" s="11" t="s">
        <v>76</v>
      </c>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4"/>
    </row>
    <row r="719" spans="1:35" ht="15.75" hidden="1" customHeight="1" x14ac:dyDescent="0.25">
      <c r="A719" s="9">
        <v>181</v>
      </c>
      <c r="B719" s="10" t="s">
        <v>60</v>
      </c>
      <c r="C719" s="10" t="s">
        <v>15</v>
      </c>
      <c r="D719" s="10" t="s">
        <v>37</v>
      </c>
      <c r="E719" s="11" t="s">
        <v>162</v>
      </c>
      <c r="F719" s="11" t="s">
        <v>17</v>
      </c>
      <c r="G719" s="10" t="s">
        <v>24</v>
      </c>
      <c r="H719" s="11" t="s">
        <v>19</v>
      </c>
      <c r="I719" s="11" t="s">
        <v>20</v>
      </c>
      <c r="J719" s="11"/>
      <c r="K719" s="11" t="s">
        <v>76</v>
      </c>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4"/>
    </row>
    <row r="720" spans="1:35" ht="15.75" hidden="1" customHeight="1" x14ac:dyDescent="0.25">
      <c r="A720" s="9">
        <v>182</v>
      </c>
      <c r="B720" s="10" t="s">
        <v>60</v>
      </c>
      <c r="C720" s="10" t="s">
        <v>15</v>
      </c>
      <c r="D720" s="10" t="s">
        <v>37</v>
      </c>
      <c r="E720" s="11" t="s">
        <v>162</v>
      </c>
      <c r="F720" s="11" t="s">
        <v>17</v>
      </c>
      <c r="G720" s="10" t="s">
        <v>24</v>
      </c>
      <c r="H720" s="11" t="s">
        <v>19</v>
      </c>
      <c r="I720" s="11" t="s">
        <v>20</v>
      </c>
      <c r="J720" s="11"/>
      <c r="K720" s="11" t="s">
        <v>76</v>
      </c>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4"/>
    </row>
    <row r="721" spans="1:35" ht="15.75" hidden="1" customHeight="1" x14ac:dyDescent="0.25">
      <c r="A721" s="9">
        <v>183</v>
      </c>
      <c r="B721" s="10" t="s">
        <v>60</v>
      </c>
      <c r="C721" s="10" t="s">
        <v>15</v>
      </c>
      <c r="D721" s="10" t="s">
        <v>37</v>
      </c>
      <c r="E721" s="11" t="s">
        <v>162</v>
      </c>
      <c r="F721" s="11" t="s">
        <v>17</v>
      </c>
      <c r="G721" s="10" t="s">
        <v>18</v>
      </c>
      <c r="H721" s="11" t="s">
        <v>19</v>
      </c>
      <c r="I721" s="11" t="s">
        <v>20</v>
      </c>
      <c r="J721" s="11"/>
      <c r="K721" s="11" t="s">
        <v>76</v>
      </c>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4"/>
    </row>
    <row r="722" spans="1:35" ht="15.75" hidden="1" customHeight="1" x14ac:dyDescent="0.25">
      <c r="A722" s="9">
        <v>184</v>
      </c>
      <c r="B722" s="10" t="s">
        <v>60</v>
      </c>
      <c r="C722" s="10" t="s">
        <v>15</v>
      </c>
      <c r="D722" s="10" t="s">
        <v>37</v>
      </c>
      <c r="E722" s="11" t="s">
        <v>162</v>
      </c>
      <c r="F722" s="11" t="s">
        <v>17</v>
      </c>
      <c r="G722" s="10" t="s">
        <v>18</v>
      </c>
      <c r="H722" s="11" t="s">
        <v>19</v>
      </c>
      <c r="I722" s="11" t="s">
        <v>20</v>
      </c>
      <c r="J722" s="11"/>
      <c r="K722" s="11" t="s">
        <v>76</v>
      </c>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4"/>
    </row>
    <row r="723" spans="1:35" ht="15.75" hidden="1" customHeight="1" x14ac:dyDescent="0.25">
      <c r="A723" s="9">
        <v>185</v>
      </c>
      <c r="B723" s="10" t="s">
        <v>60</v>
      </c>
      <c r="C723" s="10" t="s">
        <v>15</v>
      </c>
      <c r="D723" s="10" t="s">
        <v>37</v>
      </c>
      <c r="E723" s="11" t="s">
        <v>162</v>
      </c>
      <c r="F723" s="11" t="s">
        <v>17</v>
      </c>
      <c r="G723" s="10" t="s">
        <v>24</v>
      </c>
      <c r="H723" s="11" t="s">
        <v>19</v>
      </c>
      <c r="I723" s="11" t="s">
        <v>20</v>
      </c>
      <c r="J723" s="11"/>
      <c r="K723" s="11" t="s">
        <v>76</v>
      </c>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4"/>
    </row>
    <row r="724" spans="1:35" ht="15.75" hidden="1" customHeight="1" x14ac:dyDescent="0.25">
      <c r="A724" s="9">
        <v>186</v>
      </c>
      <c r="B724" s="10" t="s">
        <v>60</v>
      </c>
      <c r="C724" s="10" t="s">
        <v>15</v>
      </c>
      <c r="D724" s="10" t="s">
        <v>37</v>
      </c>
      <c r="E724" s="11" t="s">
        <v>162</v>
      </c>
      <c r="F724" s="11" t="s">
        <v>17</v>
      </c>
      <c r="G724" s="10" t="s">
        <v>24</v>
      </c>
      <c r="H724" s="11" t="s">
        <v>19</v>
      </c>
      <c r="I724" s="11" t="s">
        <v>20</v>
      </c>
      <c r="J724" s="11"/>
      <c r="K724" s="11" t="s">
        <v>76</v>
      </c>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4"/>
    </row>
    <row r="725" spans="1:35" ht="15.75" hidden="1" customHeight="1" x14ac:dyDescent="0.25">
      <c r="A725" s="9">
        <v>187</v>
      </c>
      <c r="B725" s="10" t="s">
        <v>60</v>
      </c>
      <c r="C725" s="10" t="s">
        <v>15</v>
      </c>
      <c r="D725" s="10" t="s">
        <v>37</v>
      </c>
      <c r="E725" s="11" t="s">
        <v>162</v>
      </c>
      <c r="F725" s="11" t="s">
        <v>17</v>
      </c>
      <c r="G725" s="10" t="s">
        <v>18</v>
      </c>
      <c r="H725" s="11" t="s">
        <v>19</v>
      </c>
      <c r="I725" s="11" t="s">
        <v>20</v>
      </c>
      <c r="J725" s="11"/>
      <c r="K725" s="11" t="s">
        <v>76</v>
      </c>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4"/>
    </row>
    <row r="726" spans="1:35" ht="15.75" hidden="1" customHeight="1" x14ac:dyDescent="0.25">
      <c r="A726" s="9">
        <v>188</v>
      </c>
      <c r="B726" s="10" t="s">
        <v>60</v>
      </c>
      <c r="C726" s="10" t="s">
        <v>15</v>
      </c>
      <c r="D726" s="10" t="s">
        <v>37</v>
      </c>
      <c r="E726" s="11" t="s">
        <v>162</v>
      </c>
      <c r="F726" s="11" t="s">
        <v>17</v>
      </c>
      <c r="G726" s="10" t="s">
        <v>24</v>
      </c>
      <c r="H726" s="11" t="s">
        <v>19</v>
      </c>
      <c r="I726" s="11" t="s">
        <v>20</v>
      </c>
      <c r="J726" s="11"/>
      <c r="K726" s="11" t="s">
        <v>76</v>
      </c>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4"/>
    </row>
    <row r="727" spans="1:35" ht="15.75" hidden="1" customHeight="1" x14ac:dyDescent="0.25">
      <c r="A727" s="9">
        <v>189</v>
      </c>
      <c r="B727" s="10" t="s">
        <v>60</v>
      </c>
      <c r="C727" s="10" t="s">
        <v>15</v>
      </c>
      <c r="D727" s="10" t="s">
        <v>37</v>
      </c>
      <c r="E727" s="11" t="s">
        <v>162</v>
      </c>
      <c r="F727" s="11" t="s">
        <v>17</v>
      </c>
      <c r="G727" s="10" t="s">
        <v>18</v>
      </c>
      <c r="H727" s="11" t="s">
        <v>19</v>
      </c>
      <c r="I727" s="11" t="s">
        <v>20</v>
      </c>
      <c r="J727" s="11"/>
      <c r="K727" s="11" t="s">
        <v>76</v>
      </c>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4"/>
    </row>
    <row r="728" spans="1:35" ht="15.75" hidden="1" customHeight="1" x14ac:dyDescent="0.25">
      <c r="A728" s="9">
        <v>190</v>
      </c>
      <c r="B728" s="10" t="s">
        <v>60</v>
      </c>
      <c r="C728" s="10" t="s">
        <v>15</v>
      </c>
      <c r="D728" s="10" t="s">
        <v>37</v>
      </c>
      <c r="E728" s="11" t="s">
        <v>162</v>
      </c>
      <c r="F728" s="11" t="s">
        <v>17</v>
      </c>
      <c r="G728" s="10" t="s">
        <v>18</v>
      </c>
      <c r="H728" s="11" t="s">
        <v>19</v>
      </c>
      <c r="I728" s="11" t="s">
        <v>20</v>
      </c>
      <c r="J728" s="11"/>
      <c r="K728" s="11" t="s">
        <v>76</v>
      </c>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4"/>
    </row>
    <row r="729" spans="1:35" ht="15.75" hidden="1" customHeight="1" x14ac:dyDescent="0.25">
      <c r="A729" s="9">
        <v>191</v>
      </c>
      <c r="B729" s="10" t="s">
        <v>60</v>
      </c>
      <c r="C729" s="10" t="s">
        <v>15</v>
      </c>
      <c r="D729" s="10" t="s">
        <v>37</v>
      </c>
      <c r="E729" s="11" t="s">
        <v>162</v>
      </c>
      <c r="F729" s="11" t="s">
        <v>17</v>
      </c>
      <c r="G729" s="10" t="s">
        <v>24</v>
      </c>
      <c r="H729" s="11" t="s">
        <v>19</v>
      </c>
      <c r="I729" s="11" t="s">
        <v>20</v>
      </c>
      <c r="J729" s="11"/>
      <c r="K729" s="11" t="s">
        <v>76</v>
      </c>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4"/>
    </row>
    <row r="730" spans="1:35" ht="15.75" hidden="1" customHeight="1" x14ac:dyDescent="0.25">
      <c r="A730" s="9">
        <v>192</v>
      </c>
      <c r="B730" s="10" t="s">
        <v>60</v>
      </c>
      <c r="C730" s="10" t="s">
        <v>15</v>
      </c>
      <c r="D730" s="10" t="s">
        <v>37</v>
      </c>
      <c r="E730" s="11" t="s">
        <v>162</v>
      </c>
      <c r="F730" s="11" t="s">
        <v>17</v>
      </c>
      <c r="G730" s="10" t="s">
        <v>24</v>
      </c>
      <c r="H730" s="11" t="s">
        <v>19</v>
      </c>
      <c r="I730" s="11" t="s">
        <v>20</v>
      </c>
      <c r="J730" s="11"/>
      <c r="K730" s="11" t="s">
        <v>76</v>
      </c>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4"/>
    </row>
    <row r="731" spans="1:35" ht="15.75" hidden="1" customHeight="1" x14ac:dyDescent="0.25">
      <c r="A731" s="9">
        <v>193</v>
      </c>
      <c r="B731" s="10" t="s">
        <v>60</v>
      </c>
      <c r="C731" s="10" t="s">
        <v>15</v>
      </c>
      <c r="D731" s="10" t="s">
        <v>37</v>
      </c>
      <c r="E731" s="11" t="s">
        <v>162</v>
      </c>
      <c r="F731" s="11" t="s">
        <v>17</v>
      </c>
      <c r="G731" s="10" t="s">
        <v>24</v>
      </c>
      <c r="H731" s="11" t="s">
        <v>19</v>
      </c>
      <c r="I731" s="11" t="s">
        <v>20</v>
      </c>
      <c r="J731" s="11"/>
      <c r="K731" s="11" t="s">
        <v>76</v>
      </c>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4"/>
    </row>
    <row r="732" spans="1:35" ht="15.75" hidden="1" customHeight="1" x14ac:dyDescent="0.25">
      <c r="A732" s="9">
        <v>194</v>
      </c>
      <c r="B732" s="10" t="s">
        <v>60</v>
      </c>
      <c r="C732" s="10" t="s">
        <v>41</v>
      </c>
      <c r="D732" s="10" t="s">
        <v>42</v>
      </c>
      <c r="E732" s="11" t="s">
        <v>162</v>
      </c>
      <c r="F732" s="11" t="s">
        <v>17</v>
      </c>
      <c r="G732" s="10" t="s">
        <v>24</v>
      </c>
      <c r="H732" s="11" t="s">
        <v>19</v>
      </c>
      <c r="I732" s="11" t="s">
        <v>20</v>
      </c>
      <c r="J732" s="11"/>
      <c r="K732" s="11" t="s">
        <v>76</v>
      </c>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4"/>
    </row>
    <row r="733" spans="1:35" ht="15.75" hidden="1" customHeight="1" x14ac:dyDescent="0.25">
      <c r="A733" s="9">
        <v>195</v>
      </c>
      <c r="B733" s="10" t="s">
        <v>60</v>
      </c>
      <c r="C733" s="10" t="s">
        <v>41</v>
      </c>
      <c r="D733" s="10" t="s">
        <v>42</v>
      </c>
      <c r="E733" s="11" t="s">
        <v>162</v>
      </c>
      <c r="F733" s="11" t="s">
        <v>17</v>
      </c>
      <c r="G733" s="10" t="s">
        <v>18</v>
      </c>
      <c r="H733" s="11" t="s">
        <v>19</v>
      </c>
      <c r="I733" s="11" t="s">
        <v>20</v>
      </c>
      <c r="J733" s="11"/>
      <c r="K733" s="11" t="s">
        <v>76</v>
      </c>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4"/>
    </row>
    <row r="734" spans="1:35" ht="15.75" hidden="1" customHeight="1" x14ac:dyDescent="0.25">
      <c r="A734" s="9">
        <v>196</v>
      </c>
      <c r="B734" s="10" t="s">
        <v>60</v>
      </c>
      <c r="C734" s="10" t="s">
        <v>41</v>
      </c>
      <c r="D734" s="10" t="s">
        <v>42</v>
      </c>
      <c r="E734" s="11" t="s">
        <v>162</v>
      </c>
      <c r="F734" s="11" t="s">
        <v>17</v>
      </c>
      <c r="G734" s="10" t="s">
        <v>18</v>
      </c>
      <c r="H734" s="11" t="s">
        <v>19</v>
      </c>
      <c r="I734" s="11" t="s">
        <v>20</v>
      </c>
      <c r="J734" s="11"/>
      <c r="K734" s="11" t="s">
        <v>76</v>
      </c>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4"/>
    </row>
    <row r="735" spans="1:35" ht="15.75" hidden="1" customHeight="1" x14ac:dyDescent="0.25">
      <c r="A735" s="9">
        <v>197</v>
      </c>
      <c r="B735" s="10" t="s">
        <v>60</v>
      </c>
      <c r="C735" s="10" t="s">
        <v>41</v>
      </c>
      <c r="D735" s="10" t="s">
        <v>42</v>
      </c>
      <c r="E735" s="11" t="s">
        <v>162</v>
      </c>
      <c r="F735" s="11" t="s">
        <v>17</v>
      </c>
      <c r="G735" s="10" t="s">
        <v>18</v>
      </c>
      <c r="H735" s="11" t="s">
        <v>19</v>
      </c>
      <c r="I735" s="11" t="s">
        <v>20</v>
      </c>
      <c r="J735" s="11"/>
      <c r="K735" s="11" t="s">
        <v>76</v>
      </c>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4"/>
    </row>
    <row r="736" spans="1:35" ht="15.75" hidden="1" customHeight="1" x14ac:dyDescent="0.25">
      <c r="A736" s="9">
        <v>198</v>
      </c>
      <c r="B736" s="10" t="s">
        <v>60</v>
      </c>
      <c r="C736" s="10" t="s">
        <v>41</v>
      </c>
      <c r="D736" s="10" t="s">
        <v>42</v>
      </c>
      <c r="E736" s="11" t="s">
        <v>162</v>
      </c>
      <c r="F736" s="11" t="s">
        <v>17</v>
      </c>
      <c r="G736" s="10" t="s">
        <v>24</v>
      </c>
      <c r="H736" s="11" t="s">
        <v>19</v>
      </c>
      <c r="I736" s="11" t="s">
        <v>20</v>
      </c>
      <c r="J736" s="11"/>
      <c r="K736" s="11" t="s">
        <v>76</v>
      </c>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4"/>
    </row>
    <row r="737" spans="1:35" ht="15.75" hidden="1" customHeight="1" x14ac:dyDescent="0.25">
      <c r="A737" s="9">
        <v>199</v>
      </c>
      <c r="B737" s="10" t="s">
        <v>60</v>
      </c>
      <c r="C737" s="10" t="s">
        <v>41</v>
      </c>
      <c r="D737" s="10" t="s">
        <v>42</v>
      </c>
      <c r="E737" s="11" t="s">
        <v>162</v>
      </c>
      <c r="F737" s="11" t="s">
        <v>17</v>
      </c>
      <c r="G737" s="10" t="s">
        <v>24</v>
      </c>
      <c r="H737" s="11" t="s">
        <v>19</v>
      </c>
      <c r="I737" s="11" t="s">
        <v>20</v>
      </c>
      <c r="J737" s="11"/>
      <c r="K737" s="11" t="s">
        <v>76</v>
      </c>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4"/>
    </row>
    <row r="738" spans="1:35" ht="15.75" hidden="1" customHeight="1" x14ac:dyDescent="0.25">
      <c r="A738" s="9">
        <v>200</v>
      </c>
      <c r="B738" s="10" t="s">
        <v>60</v>
      </c>
      <c r="C738" s="10" t="s">
        <v>41</v>
      </c>
      <c r="D738" s="10" t="s">
        <v>42</v>
      </c>
      <c r="E738" s="11" t="s">
        <v>162</v>
      </c>
      <c r="F738" s="11" t="s">
        <v>17</v>
      </c>
      <c r="G738" s="10" t="s">
        <v>18</v>
      </c>
      <c r="H738" s="11" t="s">
        <v>19</v>
      </c>
      <c r="I738" s="11" t="s">
        <v>20</v>
      </c>
      <c r="J738" s="11"/>
      <c r="K738" s="11" t="s">
        <v>76</v>
      </c>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4"/>
    </row>
    <row r="739" spans="1:35" ht="15.75" hidden="1" customHeight="1" x14ac:dyDescent="0.25">
      <c r="A739" s="9">
        <v>201</v>
      </c>
      <c r="B739" s="10" t="s">
        <v>60</v>
      </c>
      <c r="C739" s="10" t="s">
        <v>41</v>
      </c>
      <c r="D739" s="10" t="s">
        <v>42</v>
      </c>
      <c r="E739" s="11" t="s">
        <v>162</v>
      </c>
      <c r="F739" s="11" t="s">
        <v>17</v>
      </c>
      <c r="G739" s="10" t="s">
        <v>18</v>
      </c>
      <c r="H739" s="11" t="s">
        <v>19</v>
      </c>
      <c r="I739" s="11" t="s">
        <v>20</v>
      </c>
      <c r="J739" s="11"/>
      <c r="K739" s="11" t="s">
        <v>76</v>
      </c>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4"/>
    </row>
    <row r="740" spans="1:35" ht="15.75" hidden="1" customHeight="1" x14ac:dyDescent="0.25">
      <c r="A740" s="9">
        <v>202</v>
      </c>
      <c r="B740" s="10" t="s">
        <v>60</v>
      </c>
      <c r="C740" s="10" t="s">
        <v>41</v>
      </c>
      <c r="D740" s="10" t="s">
        <v>42</v>
      </c>
      <c r="E740" s="11" t="s">
        <v>162</v>
      </c>
      <c r="F740" s="11" t="s">
        <v>17</v>
      </c>
      <c r="G740" s="10" t="s">
        <v>18</v>
      </c>
      <c r="H740" s="11" t="s">
        <v>19</v>
      </c>
      <c r="I740" s="11" t="s">
        <v>20</v>
      </c>
      <c r="J740" s="11"/>
      <c r="K740" s="11" t="s">
        <v>76</v>
      </c>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4"/>
    </row>
    <row r="741" spans="1:35" ht="15.75" hidden="1" customHeight="1" x14ac:dyDescent="0.25">
      <c r="A741" s="9">
        <v>203</v>
      </c>
      <c r="B741" s="10" t="s">
        <v>60</v>
      </c>
      <c r="C741" s="10" t="s">
        <v>41</v>
      </c>
      <c r="D741" s="10" t="s">
        <v>42</v>
      </c>
      <c r="E741" s="11" t="s">
        <v>162</v>
      </c>
      <c r="F741" s="11" t="s">
        <v>17</v>
      </c>
      <c r="G741" s="10" t="s">
        <v>18</v>
      </c>
      <c r="H741" s="11" t="s">
        <v>19</v>
      </c>
      <c r="I741" s="11" t="s">
        <v>20</v>
      </c>
      <c r="J741" s="11"/>
      <c r="K741" s="11" t="s">
        <v>76</v>
      </c>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4"/>
    </row>
    <row r="742" spans="1:35" ht="15.75" hidden="1" customHeight="1" x14ac:dyDescent="0.25">
      <c r="A742" s="9">
        <v>204</v>
      </c>
      <c r="B742" s="10" t="s">
        <v>60</v>
      </c>
      <c r="C742" s="10" t="s">
        <v>41</v>
      </c>
      <c r="D742" s="10" t="s">
        <v>42</v>
      </c>
      <c r="E742" s="11" t="s">
        <v>162</v>
      </c>
      <c r="F742" s="11" t="s">
        <v>17</v>
      </c>
      <c r="G742" s="10" t="s">
        <v>24</v>
      </c>
      <c r="H742" s="11" t="s">
        <v>19</v>
      </c>
      <c r="I742" s="11" t="s">
        <v>20</v>
      </c>
      <c r="J742" s="11"/>
      <c r="K742" s="11" t="s">
        <v>76</v>
      </c>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4"/>
    </row>
    <row r="743" spans="1:35" ht="15.75" hidden="1" customHeight="1" x14ac:dyDescent="0.25">
      <c r="A743" s="9">
        <v>205</v>
      </c>
      <c r="B743" s="10" t="s">
        <v>60</v>
      </c>
      <c r="C743" s="10" t="s">
        <v>41</v>
      </c>
      <c r="D743" s="10" t="s">
        <v>42</v>
      </c>
      <c r="E743" s="11" t="s">
        <v>162</v>
      </c>
      <c r="F743" s="11" t="s">
        <v>17</v>
      </c>
      <c r="G743" s="10" t="s">
        <v>24</v>
      </c>
      <c r="H743" s="11" t="s">
        <v>19</v>
      </c>
      <c r="I743" s="11" t="s">
        <v>20</v>
      </c>
      <c r="J743" s="11"/>
      <c r="K743" s="11" t="s">
        <v>76</v>
      </c>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4"/>
    </row>
    <row r="744" spans="1:35" ht="15.75" hidden="1" customHeight="1" x14ac:dyDescent="0.25">
      <c r="A744" s="9">
        <v>206</v>
      </c>
      <c r="B744" s="10" t="s">
        <v>60</v>
      </c>
      <c r="C744" s="10" t="s">
        <v>41</v>
      </c>
      <c r="D744" s="10" t="s">
        <v>42</v>
      </c>
      <c r="E744" s="11" t="s">
        <v>162</v>
      </c>
      <c r="F744" s="11" t="s">
        <v>17</v>
      </c>
      <c r="G744" s="10" t="s">
        <v>24</v>
      </c>
      <c r="H744" s="11" t="s">
        <v>19</v>
      </c>
      <c r="I744" s="11" t="s">
        <v>20</v>
      </c>
      <c r="J744" s="11"/>
      <c r="K744" s="11" t="s">
        <v>76</v>
      </c>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4"/>
    </row>
    <row r="745" spans="1:35" ht="15.75" hidden="1" customHeight="1" x14ac:dyDescent="0.25">
      <c r="A745" s="9">
        <v>207</v>
      </c>
      <c r="B745" s="10" t="s">
        <v>60</v>
      </c>
      <c r="C745" s="10" t="s">
        <v>41</v>
      </c>
      <c r="D745" s="10" t="s">
        <v>42</v>
      </c>
      <c r="E745" s="11" t="s">
        <v>162</v>
      </c>
      <c r="F745" s="11" t="s">
        <v>17</v>
      </c>
      <c r="G745" s="10" t="s">
        <v>18</v>
      </c>
      <c r="H745" s="11" t="s">
        <v>19</v>
      </c>
      <c r="I745" s="11" t="s">
        <v>20</v>
      </c>
      <c r="J745" s="11"/>
      <c r="K745" s="11" t="s">
        <v>76</v>
      </c>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4"/>
    </row>
    <row r="746" spans="1:35" ht="15.75" hidden="1" customHeight="1" x14ac:dyDescent="0.25">
      <c r="A746" s="9">
        <v>208</v>
      </c>
      <c r="B746" s="10" t="s">
        <v>60</v>
      </c>
      <c r="C746" s="10" t="s">
        <v>41</v>
      </c>
      <c r="D746" s="10" t="s">
        <v>42</v>
      </c>
      <c r="E746" s="11" t="s">
        <v>162</v>
      </c>
      <c r="F746" s="11" t="s">
        <v>17</v>
      </c>
      <c r="G746" s="10" t="s">
        <v>18</v>
      </c>
      <c r="H746" s="11" t="s">
        <v>19</v>
      </c>
      <c r="I746" s="11" t="s">
        <v>20</v>
      </c>
      <c r="J746" s="11"/>
      <c r="K746" s="11" t="s">
        <v>76</v>
      </c>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4"/>
    </row>
    <row r="747" spans="1:35" ht="15.75" hidden="1" customHeight="1" x14ac:dyDescent="0.25">
      <c r="A747" s="9">
        <v>209</v>
      </c>
      <c r="B747" s="10" t="s">
        <v>60</v>
      </c>
      <c r="C747" s="10" t="s">
        <v>41</v>
      </c>
      <c r="D747" s="10" t="s">
        <v>42</v>
      </c>
      <c r="E747" s="11" t="s">
        <v>162</v>
      </c>
      <c r="F747" s="11" t="s">
        <v>17</v>
      </c>
      <c r="G747" s="10" t="s">
        <v>24</v>
      </c>
      <c r="H747" s="11" t="s">
        <v>19</v>
      </c>
      <c r="I747" s="11" t="s">
        <v>20</v>
      </c>
      <c r="J747" s="11"/>
      <c r="K747" s="11" t="s">
        <v>76</v>
      </c>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4"/>
    </row>
    <row r="748" spans="1:35" ht="15.75" hidden="1" customHeight="1" x14ac:dyDescent="0.25">
      <c r="A748" s="9">
        <v>210</v>
      </c>
      <c r="B748" s="10" t="s">
        <v>60</v>
      </c>
      <c r="C748" s="10" t="s">
        <v>41</v>
      </c>
      <c r="D748" s="10" t="s">
        <v>42</v>
      </c>
      <c r="E748" s="11" t="s">
        <v>162</v>
      </c>
      <c r="F748" s="11" t="s">
        <v>17</v>
      </c>
      <c r="G748" s="10" t="s">
        <v>24</v>
      </c>
      <c r="H748" s="11" t="s">
        <v>19</v>
      </c>
      <c r="I748" s="11" t="s">
        <v>20</v>
      </c>
      <c r="J748" s="11"/>
      <c r="K748" s="11" t="s">
        <v>76</v>
      </c>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4"/>
    </row>
    <row r="749" spans="1:35" ht="15.75" hidden="1" customHeight="1" x14ac:dyDescent="0.25">
      <c r="A749" s="9">
        <v>211</v>
      </c>
      <c r="B749" s="10" t="s">
        <v>60</v>
      </c>
      <c r="C749" s="10" t="s">
        <v>41</v>
      </c>
      <c r="D749" s="10" t="s">
        <v>42</v>
      </c>
      <c r="E749" s="11" t="s">
        <v>162</v>
      </c>
      <c r="F749" s="11" t="s">
        <v>17</v>
      </c>
      <c r="G749" s="10" t="s">
        <v>24</v>
      </c>
      <c r="H749" s="11" t="s">
        <v>19</v>
      </c>
      <c r="I749" s="11" t="s">
        <v>20</v>
      </c>
      <c r="J749" s="11"/>
      <c r="K749" s="11" t="s">
        <v>76</v>
      </c>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4"/>
    </row>
    <row r="750" spans="1:35" ht="15.75" hidden="1" customHeight="1" x14ac:dyDescent="0.25">
      <c r="A750" s="9">
        <v>212</v>
      </c>
      <c r="B750" s="10" t="s">
        <v>60</v>
      </c>
      <c r="C750" s="10" t="s">
        <v>41</v>
      </c>
      <c r="D750" s="10" t="s">
        <v>42</v>
      </c>
      <c r="E750" s="11" t="s">
        <v>162</v>
      </c>
      <c r="F750" s="11" t="s">
        <v>17</v>
      </c>
      <c r="G750" s="10" t="s">
        <v>24</v>
      </c>
      <c r="H750" s="11" t="s">
        <v>19</v>
      </c>
      <c r="I750" s="11" t="s">
        <v>20</v>
      </c>
      <c r="J750" s="11"/>
      <c r="K750" s="11" t="s">
        <v>76</v>
      </c>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4"/>
    </row>
    <row r="751" spans="1:35" ht="15.75" hidden="1" customHeight="1" x14ac:dyDescent="0.25">
      <c r="A751" s="9">
        <v>213</v>
      </c>
      <c r="B751" s="10" t="s">
        <v>60</v>
      </c>
      <c r="C751" s="10" t="s">
        <v>41</v>
      </c>
      <c r="D751" s="10" t="s">
        <v>42</v>
      </c>
      <c r="E751" s="11" t="s">
        <v>162</v>
      </c>
      <c r="F751" s="11" t="s">
        <v>17</v>
      </c>
      <c r="G751" s="10" t="s">
        <v>24</v>
      </c>
      <c r="H751" s="11" t="s">
        <v>19</v>
      </c>
      <c r="I751" s="11" t="s">
        <v>20</v>
      </c>
      <c r="J751" s="11"/>
      <c r="K751" s="11" t="s">
        <v>76</v>
      </c>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4"/>
    </row>
    <row r="752" spans="1:35" ht="15.75" hidden="1" customHeight="1" x14ac:dyDescent="0.25">
      <c r="A752" s="9">
        <v>214</v>
      </c>
      <c r="B752" s="10" t="s">
        <v>60</v>
      </c>
      <c r="C752" s="10" t="s">
        <v>41</v>
      </c>
      <c r="D752" s="10" t="s">
        <v>42</v>
      </c>
      <c r="E752" s="11" t="s">
        <v>162</v>
      </c>
      <c r="F752" s="11" t="s">
        <v>17</v>
      </c>
      <c r="G752" s="10" t="s">
        <v>24</v>
      </c>
      <c r="H752" s="11" t="s">
        <v>19</v>
      </c>
      <c r="I752" s="11" t="s">
        <v>20</v>
      </c>
      <c r="J752" s="11"/>
      <c r="K752" s="11" t="s">
        <v>76</v>
      </c>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4"/>
    </row>
    <row r="753" spans="1:35" ht="15.75" hidden="1" customHeight="1" x14ac:dyDescent="0.25">
      <c r="A753" s="9">
        <v>215</v>
      </c>
      <c r="B753" s="10" t="s">
        <v>60</v>
      </c>
      <c r="C753" s="10" t="s">
        <v>41</v>
      </c>
      <c r="D753" s="10" t="s">
        <v>42</v>
      </c>
      <c r="E753" s="11" t="s">
        <v>162</v>
      </c>
      <c r="F753" s="11" t="s">
        <v>17</v>
      </c>
      <c r="G753" s="10" t="s">
        <v>18</v>
      </c>
      <c r="H753" s="11" t="s">
        <v>19</v>
      </c>
      <c r="I753" s="11" t="s">
        <v>20</v>
      </c>
      <c r="J753" s="11"/>
      <c r="K753" s="11" t="s">
        <v>76</v>
      </c>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4"/>
    </row>
    <row r="754" spans="1:35" ht="15.75" hidden="1" customHeight="1" x14ac:dyDescent="0.25">
      <c r="A754" s="9">
        <v>216</v>
      </c>
      <c r="B754" s="10" t="s">
        <v>60</v>
      </c>
      <c r="C754" s="10" t="s">
        <v>41</v>
      </c>
      <c r="D754" s="10" t="s">
        <v>42</v>
      </c>
      <c r="E754" s="11" t="s">
        <v>162</v>
      </c>
      <c r="F754" s="11" t="s">
        <v>17</v>
      </c>
      <c r="G754" s="10" t="s">
        <v>18</v>
      </c>
      <c r="H754" s="11" t="s">
        <v>19</v>
      </c>
      <c r="I754" s="11" t="s">
        <v>20</v>
      </c>
      <c r="J754" s="11"/>
      <c r="K754" s="11" t="s">
        <v>76</v>
      </c>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4"/>
    </row>
    <row r="755" spans="1:35" ht="15.75" hidden="1" customHeight="1" x14ac:dyDescent="0.25">
      <c r="A755" s="9">
        <v>217</v>
      </c>
      <c r="B755" s="10" t="s">
        <v>60</v>
      </c>
      <c r="C755" s="10" t="s">
        <v>41</v>
      </c>
      <c r="D755" s="10" t="s">
        <v>43</v>
      </c>
      <c r="E755" s="11" t="s">
        <v>162</v>
      </c>
      <c r="F755" s="11" t="s">
        <v>17</v>
      </c>
      <c r="G755" s="10" t="s">
        <v>24</v>
      </c>
      <c r="H755" s="11" t="s">
        <v>19</v>
      </c>
      <c r="I755" s="11" t="s">
        <v>20</v>
      </c>
      <c r="J755" s="11"/>
      <c r="K755" s="11" t="s">
        <v>76</v>
      </c>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4"/>
    </row>
    <row r="756" spans="1:35" ht="15.75" hidden="1" customHeight="1" x14ac:dyDescent="0.25">
      <c r="A756" s="9">
        <v>218</v>
      </c>
      <c r="B756" s="10" t="s">
        <v>60</v>
      </c>
      <c r="C756" s="10" t="s">
        <v>41</v>
      </c>
      <c r="D756" s="10" t="s">
        <v>43</v>
      </c>
      <c r="E756" s="11" t="s">
        <v>162</v>
      </c>
      <c r="F756" s="11" t="s">
        <v>17</v>
      </c>
      <c r="G756" s="10" t="s">
        <v>24</v>
      </c>
      <c r="H756" s="11" t="s">
        <v>19</v>
      </c>
      <c r="I756" s="11" t="s">
        <v>20</v>
      </c>
      <c r="J756" s="11"/>
      <c r="K756" s="11" t="s">
        <v>76</v>
      </c>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4"/>
    </row>
    <row r="757" spans="1:35" ht="15.75" hidden="1" customHeight="1" x14ac:dyDescent="0.25">
      <c r="A757" s="9">
        <v>219</v>
      </c>
      <c r="B757" s="10" t="s">
        <v>60</v>
      </c>
      <c r="C757" s="10" t="s">
        <v>41</v>
      </c>
      <c r="D757" s="10" t="s">
        <v>43</v>
      </c>
      <c r="E757" s="11" t="s">
        <v>162</v>
      </c>
      <c r="F757" s="11" t="s">
        <v>17</v>
      </c>
      <c r="G757" s="10" t="s">
        <v>24</v>
      </c>
      <c r="H757" s="11" t="s">
        <v>19</v>
      </c>
      <c r="I757" s="11" t="s">
        <v>20</v>
      </c>
      <c r="J757" s="11"/>
      <c r="K757" s="11" t="s">
        <v>76</v>
      </c>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4"/>
    </row>
    <row r="758" spans="1:35" ht="15.75" hidden="1" customHeight="1" x14ac:dyDescent="0.25">
      <c r="A758" s="9">
        <v>220</v>
      </c>
      <c r="B758" s="10" t="s">
        <v>60</v>
      </c>
      <c r="C758" s="10" t="s">
        <v>41</v>
      </c>
      <c r="D758" s="10" t="s">
        <v>43</v>
      </c>
      <c r="E758" s="11" t="s">
        <v>162</v>
      </c>
      <c r="F758" s="11" t="s">
        <v>17</v>
      </c>
      <c r="G758" s="10" t="s">
        <v>24</v>
      </c>
      <c r="H758" s="11" t="s">
        <v>19</v>
      </c>
      <c r="I758" s="11" t="s">
        <v>20</v>
      </c>
      <c r="J758" s="11"/>
      <c r="K758" s="11" t="s">
        <v>76</v>
      </c>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4"/>
    </row>
    <row r="759" spans="1:35" ht="15.75" hidden="1" customHeight="1" x14ac:dyDescent="0.25">
      <c r="A759" s="9">
        <v>221</v>
      </c>
      <c r="B759" s="10" t="s">
        <v>60</v>
      </c>
      <c r="C759" s="10" t="s">
        <v>41</v>
      </c>
      <c r="D759" s="10" t="s">
        <v>43</v>
      </c>
      <c r="E759" s="11" t="s">
        <v>162</v>
      </c>
      <c r="F759" s="11" t="s">
        <v>17</v>
      </c>
      <c r="G759" s="10" t="s">
        <v>24</v>
      </c>
      <c r="H759" s="11" t="s">
        <v>19</v>
      </c>
      <c r="I759" s="11" t="s">
        <v>20</v>
      </c>
      <c r="J759" s="11"/>
      <c r="K759" s="11" t="s">
        <v>76</v>
      </c>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4"/>
    </row>
    <row r="760" spans="1:35" ht="15.75" hidden="1" customHeight="1" x14ac:dyDescent="0.25">
      <c r="A760" s="9">
        <v>222</v>
      </c>
      <c r="B760" s="10" t="s">
        <v>60</v>
      </c>
      <c r="C760" s="10" t="s">
        <v>41</v>
      </c>
      <c r="D760" s="10" t="s">
        <v>43</v>
      </c>
      <c r="E760" s="11" t="s">
        <v>162</v>
      </c>
      <c r="F760" s="11" t="s">
        <v>17</v>
      </c>
      <c r="G760" s="10" t="s">
        <v>18</v>
      </c>
      <c r="H760" s="11" t="s">
        <v>19</v>
      </c>
      <c r="I760" s="11" t="s">
        <v>20</v>
      </c>
      <c r="J760" s="11"/>
      <c r="K760" s="11" t="s">
        <v>76</v>
      </c>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4"/>
    </row>
    <row r="761" spans="1:35" ht="15.75" hidden="1" customHeight="1" x14ac:dyDescent="0.25">
      <c r="A761" s="9">
        <v>223</v>
      </c>
      <c r="B761" s="10" t="s">
        <v>60</v>
      </c>
      <c r="C761" s="10" t="s">
        <v>41</v>
      </c>
      <c r="D761" s="10" t="s">
        <v>43</v>
      </c>
      <c r="E761" s="11" t="s">
        <v>162</v>
      </c>
      <c r="F761" s="11" t="s">
        <v>17</v>
      </c>
      <c r="G761" s="10" t="s">
        <v>18</v>
      </c>
      <c r="H761" s="11" t="s">
        <v>19</v>
      </c>
      <c r="I761" s="11" t="s">
        <v>20</v>
      </c>
      <c r="J761" s="11"/>
      <c r="K761" s="11" t="s">
        <v>76</v>
      </c>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4"/>
    </row>
    <row r="762" spans="1:35" ht="15.75" hidden="1" customHeight="1" x14ac:dyDescent="0.25">
      <c r="A762" s="9">
        <v>224</v>
      </c>
      <c r="B762" s="10" t="s">
        <v>60</v>
      </c>
      <c r="C762" s="10" t="s">
        <v>41</v>
      </c>
      <c r="D762" s="10" t="s">
        <v>43</v>
      </c>
      <c r="E762" s="11" t="s">
        <v>162</v>
      </c>
      <c r="F762" s="11" t="s">
        <v>17</v>
      </c>
      <c r="G762" s="10" t="s">
        <v>24</v>
      </c>
      <c r="H762" s="11" t="s">
        <v>19</v>
      </c>
      <c r="I762" s="11" t="s">
        <v>20</v>
      </c>
      <c r="J762" s="11"/>
      <c r="K762" s="11" t="s">
        <v>76</v>
      </c>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4"/>
    </row>
    <row r="763" spans="1:35" ht="15.75" hidden="1" customHeight="1" x14ac:dyDescent="0.25">
      <c r="A763" s="9">
        <v>229</v>
      </c>
      <c r="B763" s="10" t="s">
        <v>60</v>
      </c>
      <c r="C763" s="10" t="s">
        <v>15</v>
      </c>
      <c r="D763" s="10" t="s">
        <v>16</v>
      </c>
      <c r="E763" s="11" t="s">
        <v>163</v>
      </c>
      <c r="F763" s="11" t="s">
        <v>17</v>
      </c>
      <c r="G763" s="10" t="s">
        <v>24</v>
      </c>
      <c r="H763" s="11" t="s">
        <v>19</v>
      </c>
      <c r="I763" s="11" t="s">
        <v>20</v>
      </c>
      <c r="J763" s="11"/>
      <c r="K763" s="11" t="s">
        <v>77</v>
      </c>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4"/>
    </row>
    <row r="764" spans="1:35" ht="15.75" hidden="1" customHeight="1" x14ac:dyDescent="0.25">
      <c r="A764" s="9">
        <v>230</v>
      </c>
      <c r="B764" s="10" t="s">
        <v>60</v>
      </c>
      <c r="C764" s="10" t="s">
        <v>15</v>
      </c>
      <c r="D764" s="10" t="s">
        <v>37</v>
      </c>
      <c r="E764" s="11" t="s">
        <v>163</v>
      </c>
      <c r="F764" s="11" t="s">
        <v>17</v>
      </c>
      <c r="G764" s="10" t="s">
        <v>18</v>
      </c>
      <c r="H764" s="11" t="s">
        <v>19</v>
      </c>
      <c r="I764" s="11" t="s">
        <v>20</v>
      </c>
      <c r="J764" s="11"/>
      <c r="K764" s="11" t="s">
        <v>77</v>
      </c>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4"/>
    </row>
    <row r="765" spans="1:35" ht="15.75" hidden="1" customHeight="1" x14ac:dyDescent="0.25">
      <c r="A765" s="9">
        <v>231</v>
      </c>
      <c r="B765" s="10" t="s">
        <v>60</v>
      </c>
      <c r="C765" s="10" t="s">
        <v>15</v>
      </c>
      <c r="D765" s="10" t="s">
        <v>37</v>
      </c>
      <c r="E765" s="11" t="s">
        <v>163</v>
      </c>
      <c r="F765" s="11" t="s">
        <v>17</v>
      </c>
      <c r="G765" s="10" t="s">
        <v>18</v>
      </c>
      <c r="H765" s="11" t="s">
        <v>19</v>
      </c>
      <c r="I765" s="11" t="s">
        <v>20</v>
      </c>
      <c r="J765" s="11"/>
      <c r="K765" s="11" t="s">
        <v>77</v>
      </c>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4"/>
    </row>
    <row r="766" spans="1:35" ht="15.75" hidden="1" customHeight="1" x14ac:dyDescent="0.25">
      <c r="A766" s="9">
        <v>232</v>
      </c>
      <c r="B766" s="10" t="s">
        <v>60</v>
      </c>
      <c r="C766" s="10" t="s">
        <v>15</v>
      </c>
      <c r="D766" s="10" t="s">
        <v>37</v>
      </c>
      <c r="E766" s="11" t="s">
        <v>164</v>
      </c>
      <c r="F766" s="11" t="s">
        <v>17</v>
      </c>
      <c r="G766" s="10" t="s">
        <v>18</v>
      </c>
      <c r="H766" s="11" t="s">
        <v>19</v>
      </c>
      <c r="I766" s="11" t="s">
        <v>20</v>
      </c>
      <c r="J766" s="11"/>
      <c r="K766" s="11" t="s">
        <v>78</v>
      </c>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4"/>
    </row>
    <row r="767" spans="1:35" ht="15.75" hidden="1" customHeight="1" x14ac:dyDescent="0.25">
      <c r="A767" s="9">
        <v>233</v>
      </c>
      <c r="B767" s="10" t="s">
        <v>60</v>
      </c>
      <c r="C767" s="10" t="s">
        <v>15</v>
      </c>
      <c r="D767" s="10" t="s">
        <v>37</v>
      </c>
      <c r="E767" s="11" t="s">
        <v>164</v>
      </c>
      <c r="F767" s="11" t="s">
        <v>17</v>
      </c>
      <c r="G767" s="10" t="s">
        <v>24</v>
      </c>
      <c r="H767" s="11" t="s">
        <v>19</v>
      </c>
      <c r="I767" s="11" t="s">
        <v>20</v>
      </c>
      <c r="J767" s="11"/>
      <c r="K767" s="11" t="s">
        <v>78</v>
      </c>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4"/>
    </row>
    <row r="768" spans="1:35" ht="15.75" hidden="1" customHeight="1" x14ac:dyDescent="0.25">
      <c r="A768" s="9">
        <v>234</v>
      </c>
      <c r="B768" s="10" t="s">
        <v>60</v>
      </c>
      <c r="C768" s="10" t="s">
        <v>15</v>
      </c>
      <c r="D768" s="10" t="s">
        <v>45</v>
      </c>
      <c r="E768" s="11" t="s">
        <v>165</v>
      </c>
      <c r="F768" s="11" t="s">
        <v>17</v>
      </c>
      <c r="G768" s="10" t="s">
        <v>24</v>
      </c>
      <c r="H768" s="11" t="s">
        <v>19</v>
      </c>
      <c r="I768" s="11" t="s">
        <v>20</v>
      </c>
      <c r="J768" s="11"/>
      <c r="K768" s="11" t="s">
        <v>79</v>
      </c>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4"/>
    </row>
    <row r="769" spans="1:35" ht="15.75" hidden="1" customHeight="1" x14ac:dyDescent="0.25">
      <c r="A769" s="9">
        <v>235</v>
      </c>
      <c r="B769" s="10" t="s">
        <v>60</v>
      </c>
      <c r="C769" s="10" t="s">
        <v>15</v>
      </c>
      <c r="D769" s="10" t="s">
        <v>45</v>
      </c>
      <c r="E769" s="11" t="s">
        <v>165</v>
      </c>
      <c r="F769" s="11" t="s">
        <v>17</v>
      </c>
      <c r="G769" s="10" t="s">
        <v>18</v>
      </c>
      <c r="H769" s="11" t="s">
        <v>19</v>
      </c>
      <c r="I769" s="11" t="s">
        <v>20</v>
      </c>
      <c r="J769" s="11"/>
      <c r="K769" s="11" t="s">
        <v>79</v>
      </c>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4"/>
    </row>
    <row r="770" spans="1:35" ht="15.75" hidden="1" customHeight="1" x14ac:dyDescent="0.25">
      <c r="A770" s="9">
        <v>236</v>
      </c>
      <c r="B770" s="10" t="s">
        <v>60</v>
      </c>
      <c r="C770" s="10" t="s">
        <v>15</v>
      </c>
      <c r="D770" s="10" t="s">
        <v>16</v>
      </c>
      <c r="E770" s="11" t="s">
        <v>165</v>
      </c>
      <c r="F770" s="11" t="s">
        <v>17</v>
      </c>
      <c r="G770" s="10" t="s">
        <v>18</v>
      </c>
      <c r="H770" s="11" t="s">
        <v>19</v>
      </c>
      <c r="I770" s="11" t="s">
        <v>20</v>
      </c>
      <c r="J770" s="11"/>
      <c r="K770" s="11" t="s">
        <v>79</v>
      </c>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4"/>
    </row>
    <row r="771" spans="1:35" ht="15.75" hidden="1" customHeight="1" x14ac:dyDescent="0.25">
      <c r="A771" s="9">
        <v>237</v>
      </c>
      <c r="B771" s="10" t="s">
        <v>60</v>
      </c>
      <c r="C771" s="10" t="s">
        <v>15</v>
      </c>
      <c r="D771" s="10" t="s">
        <v>16</v>
      </c>
      <c r="E771" s="11" t="s">
        <v>165</v>
      </c>
      <c r="F771" s="11" t="s">
        <v>17</v>
      </c>
      <c r="G771" s="10" t="s">
        <v>18</v>
      </c>
      <c r="H771" s="11" t="s">
        <v>19</v>
      </c>
      <c r="I771" s="11" t="s">
        <v>20</v>
      </c>
      <c r="J771" s="11"/>
      <c r="K771" s="11" t="s">
        <v>79</v>
      </c>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4"/>
    </row>
    <row r="772" spans="1:35" ht="15.75" hidden="1" customHeight="1" x14ac:dyDescent="0.25">
      <c r="A772" s="9">
        <v>238</v>
      </c>
      <c r="B772" s="10" t="s">
        <v>60</v>
      </c>
      <c r="C772" s="10" t="s">
        <v>15</v>
      </c>
      <c r="D772" s="10" t="s">
        <v>37</v>
      </c>
      <c r="E772" s="11" t="s">
        <v>165</v>
      </c>
      <c r="F772" s="11" t="s">
        <v>17</v>
      </c>
      <c r="G772" s="10" t="s">
        <v>18</v>
      </c>
      <c r="H772" s="11" t="s">
        <v>19</v>
      </c>
      <c r="I772" s="11" t="s">
        <v>20</v>
      </c>
      <c r="J772" s="11"/>
      <c r="K772" s="11" t="s">
        <v>79</v>
      </c>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4"/>
    </row>
    <row r="773" spans="1:35" ht="15.75" hidden="1" customHeight="1" x14ac:dyDescent="0.25">
      <c r="A773" s="9">
        <v>239</v>
      </c>
      <c r="B773" s="10" t="s">
        <v>60</v>
      </c>
      <c r="C773" s="10" t="s">
        <v>15</v>
      </c>
      <c r="D773" s="10" t="s">
        <v>45</v>
      </c>
      <c r="E773" s="11" t="s">
        <v>166</v>
      </c>
      <c r="F773" s="11" t="s">
        <v>17</v>
      </c>
      <c r="G773" s="10" t="s">
        <v>24</v>
      </c>
      <c r="H773" s="11" t="s">
        <v>19</v>
      </c>
      <c r="I773" s="11" t="s">
        <v>20</v>
      </c>
      <c r="J773" s="11"/>
      <c r="K773" s="11" t="s">
        <v>80</v>
      </c>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4"/>
    </row>
    <row r="774" spans="1:35" ht="15.75" hidden="1" customHeight="1" x14ac:dyDescent="0.25">
      <c r="A774" s="9">
        <v>240</v>
      </c>
      <c r="B774" s="10" t="s">
        <v>60</v>
      </c>
      <c r="C774" s="10" t="s">
        <v>15</v>
      </c>
      <c r="D774" s="10" t="s">
        <v>45</v>
      </c>
      <c r="E774" s="11" t="s">
        <v>166</v>
      </c>
      <c r="F774" s="11" t="s">
        <v>17</v>
      </c>
      <c r="G774" s="10" t="s">
        <v>18</v>
      </c>
      <c r="H774" s="11" t="s">
        <v>19</v>
      </c>
      <c r="I774" s="11" t="s">
        <v>20</v>
      </c>
      <c r="J774" s="11"/>
      <c r="K774" s="11" t="s">
        <v>80</v>
      </c>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4"/>
    </row>
    <row r="775" spans="1:35" ht="15.75" hidden="1" customHeight="1" x14ac:dyDescent="0.25">
      <c r="A775" s="9">
        <v>241</v>
      </c>
      <c r="B775" s="10" t="s">
        <v>60</v>
      </c>
      <c r="C775" s="10" t="s">
        <v>15</v>
      </c>
      <c r="D775" s="10" t="s">
        <v>16</v>
      </c>
      <c r="E775" s="11" t="s">
        <v>166</v>
      </c>
      <c r="F775" s="11" t="s">
        <v>17</v>
      </c>
      <c r="G775" s="10" t="s">
        <v>18</v>
      </c>
      <c r="H775" s="11" t="s">
        <v>19</v>
      </c>
      <c r="I775" s="11" t="s">
        <v>20</v>
      </c>
      <c r="J775" s="11"/>
      <c r="K775" s="11" t="s">
        <v>80</v>
      </c>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4"/>
    </row>
    <row r="776" spans="1:35" ht="15.75" hidden="1" customHeight="1" x14ac:dyDescent="0.25">
      <c r="A776" s="9">
        <v>242</v>
      </c>
      <c r="B776" s="10" t="s">
        <v>60</v>
      </c>
      <c r="C776" s="10" t="s">
        <v>15</v>
      </c>
      <c r="D776" s="10" t="s">
        <v>37</v>
      </c>
      <c r="E776" s="11" t="s">
        <v>166</v>
      </c>
      <c r="F776" s="11" t="s">
        <v>17</v>
      </c>
      <c r="G776" s="10" t="s">
        <v>24</v>
      </c>
      <c r="H776" s="11" t="s">
        <v>19</v>
      </c>
      <c r="I776" s="11" t="s">
        <v>20</v>
      </c>
      <c r="J776" s="11"/>
      <c r="K776" s="11" t="s">
        <v>80</v>
      </c>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4"/>
    </row>
    <row r="777" spans="1:35" ht="15.75" hidden="1" customHeight="1" x14ac:dyDescent="0.25">
      <c r="A777" s="9">
        <v>243</v>
      </c>
      <c r="B777" s="10" t="s">
        <v>60</v>
      </c>
      <c r="C777" s="10" t="s">
        <v>15</v>
      </c>
      <c r="D777" s="10" t="s">
        <v>45</v>
      </c>
      <c r="E777" s="11" t="s">
        <v>167</v>
      </c>
      <c r="F777" s="11" t="s">
        <v>17</v>
      </c>
      <c r="G777" s="10" t="s">
        <v>24</v>
      </c>
      <c r="H777" s="11" t="s">
        <v>19</v>
      </c>
      <c r="I777" s="11" t="s">
        <v>20</v>
      </c>
      <c r="J777" s="11"/>
      <c r="K777" s="11" t="s">
        <v>81</v>
      </c>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4"/>
    </row>
    <row r="778" spans="1:35" ht="15.75" hidden="1" customHeight="1" x14ac:dyDescent="0.25">
      <c r="A778" s="9">
        <v>244</v>
      </c>
      <c r="B778" s="10" t="s">
        <v>60</v>
      </c>
      <c r="C778" s="10" t="s">
        <v>15</v>
      </c>
      <c r="D778" s="10" t="s">
        <v>16</v>
      </c>
      <c r="E778" s="11" t="s">
        <v>167</v>
      </c>
      <c r="F778" s="11" t="s">
        <v>17</v>
      </c>
      <c r="G778" s="10" t="s">
        <v>18</v>
      </c>
      <c r="H778" s="11" t="s">
        <v>19</v>
      </c>
      <c r="I778" s="11" t="s">
        <v>20</v>
      </c>
      <c r="J778" s="11"/>
      <c r="K778" s="11" t="s">
        <v>81</v>
      </c>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4"/>
    </row>
    <row r="779" spans="1:35" ht="15.75" hidden="1" customHeight="1" x14ac:dyDescent="0.25">
      <c r="A779" s="9">
        <v>246</v>
      </c>
      <c r="B779" s="10" t="s">
        <v>60</v>
      </c>
      <c r="C779" s="10" t="s">
        <v>15</v>
      </c>
      <c r="D779" s="10" t="s">
        <v>45</v>
      </c>
      <c r="E779" s="11" t="s">
        <v>92</v>
      </c>
      <c r="F779" s="11" t="s">
        <v>17</v>
      </c>
      <c r="G779" s="10" t="s">
        <v>24</v>
      </c>
      <c r="H779" s="11" t="s">
        <v>19</v>
      </c>
      <c r="I779" s="11" t="s">
        <v>20</v>
      </c>
      <c r="J779" s="11"/>
      <c r="K779" s="11" t="s">
        <v>82</v>
      </c>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4"/>
    </row>
    <row r="780" spans="1:35" ht="15.75" hidden="1" customHeight="1" x14ac:dyDescent="0.25">
      <c r="A780" s="9">
        <v>247</v>
      </c>
      <c r="B780" s="10" t="s">
        <v>60</v>
      </c>
      <c r="C780" s="10" t="s">
        <v>15</v>
      </c>
      <c r="D780" s="10" t="s">
        <v>45</v>
      </c>
      <c r="E780" s="11" t="s">
        <v>92</v>
      </c>
      <c r="F780" s="11" t="s">
        <v>17</v>
      </c>
      <c r="G780" s="10" t="s">
        <v>24</v>
      </c>
      <c r="H780" s="11" t="s">
        <v>19</v>
      </c>
      <c r="I780" s="11" t="s">
        <v>20</v>
      </c>
      <c r="J780" s="11"/>
      <c r="K780" s="11" t="s">
        <v>82</v>
      </c>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4"/>
    </row>
    <row r="781" spans="1:35" ht="15.75" hidden="1" customHeight="1" x14ac:dyDescent="0.25">
      <c r="A781" s="9">
        <v>248</v>
      </c>
      <c r="B781" s="10" t="s">
        <v>60</v>
      </c>
      <c r="C781" s="10" t="s">
        <v>15</v>
      </c>
      <c r="D781" s="10" t="s">
        <v>45</v>
      </c>
      <c r="E781" s="11" t="s">
        <v>92</v>
      </c>
      <c r="F781" s="11" t="s">
        <v>17</v>
      </c>
      <c r="G781" s="10" t="s">
        <v>24</v>
      </c>
      <c r="H781" s="11" t="s">
        <v>19</v>
      </c>
      <c r="I781" s="11" t="s">
        <v>20</v>
      </c>
      <c r="J781" s="11"/>
      <c r="K781" s="11" t="s">
        <v>82</v>
      </c>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4"/>
    </row>
    <row r="782" spans="1:35" ht="15.75" hidden="1" customHeight="1" x14ac:dyDescent="0.25">
      <c r="A782" s="9">
        <v>249</v>
      </c>
      <c r="B782" s="10" t="s">
        <v>60</v>
      </c>
      <c r="C782" s="10" t="s">
        <v>15</v>
      </c>
      <c r="D782" s="10" t="s">
        <v>45</v>
      </c>
      <c r="E782" s="11" t="s">
        <v>92</v>
      </c>
      <c r="F782" s="11" t="s">
        <v>17</v>
      </c>
      <c r="G782" s="10" t="s">
        <v>18</v>
      </c>
      <c r="H782" s="11" t="s">
        <v>19</v>
      </c>
      <c r="I782" s="11" t="s">
        <v>20</v>
      </c>
      <c r="J782" s="11"/>
      <c r="K782" s="11" t="s">
        <v>82</v>
      </c>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4"/>
    </row>
    <row r="783" spans="1:35" ht="15.75" hidden="1" customHeight="1" x14ac:dyDescent="0.25">
      <c r="A783" s="9">
        <v>250</v>
      </c>
      <c r="B783" s="10" t="s">
        <v>60</v>
      </c>
      <c r="C783" s="10" t="s">
        <v>15</v>
      </c>
      <c r="D783" s="10" t="s">
        <v>45</v>
      </c>
      <c r="E783" s="11" t="s">
        <v>92</v>
      </c>
      <c r="F783" s="11" t="s">
        <v>17</v>
      </c>
      <c r="G783" s="10" t="s">
        <v>18</v>
      </c>
      <c r="H783" s="11" t="s">
        <v>19</v>
      </c>
      <c r="I783" s="11" t="s">
        <v>20</v>
      </c>
      <c r="J783" s="11"/>
      <c r="K783" s="11" t="s">
        <v>82</v>
      </c>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4"/>
    </row>
    <row r="784" spans="1:35" ht="15.75" hidden="1" customHeight="1" x14ac:dyDescent="0.25">
      <c r="A784" s="9">
        <v>251</v>
      </c>
      <c r="B784" s="10" t="s">
        <v>60</v>
      </c>
      <c r="C784" s="10" t="s">
        <v>15</v>
      </c>
      <c r="D784" s="10" t="s">
        <v>45</v>
      </c>
      <c r="E784" s="11" t="s">
        <v>92</v>
      </c>
      <c r="F784" s="11" t="s">
        <v>17</v>
      </c>
      <c r="G784" s="10" t="s">
        <v>24</v>
      </c>
      <c r="H784" s="11" t="s">
        <v>19</v>
      </c>
      <c r="I784" s="11" t="s">
        <v>20</v>
      </c>
      <c r="J784" s="11"/>
      <c r="K784" s="11" t="s">
        <v>82</v>
      </c>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4"/>
    </row>
    <row r="785" spans="1:35" ht="15.75" hidden="1" customHeight="1" x14ac:dyDescent="0.25">
      <c r="A785" s="9">
        <v>252</v>
      </c>
      <c r="B785" s="10" t="s">
        <v>60</v>
      </c>
      <c r="C785" s="10" t="s">
        <v>15</v>
      </c>
      <c r="D785" s="10" t="s">
        <v>45</v>
      </c>
      <c r="E785" s="11" t="s">
        <v>92</v>
      </c>
      <c r="F785" s="11" t="s">
        <v>17</v>
      </c>
      <c r="G785" s="10" t="s">
        <v>24</v>
      </c>
      <c r="H785" s="11" t="s">
        <v>23</v>
      </c>
      <c r="I785" s="11" t="s">
        <v>20</v>
      </c>
      <c r="J785" s="11"/>
      <c r="K785" s="11" t="s">
        <v>82</v>
      </c>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4"/>
    </row>
    <row r="786" spans="1:35" ht="15.75" hidden="1" customHeight="1" x14ac:dyDescent="0.25">
      <c r="A786" s="9">
        <v>253</v>
      </c>
      <c r="B786" s="10" t="s">
        <v>60</v>
      </c>
      <c r="C786" s="10" t="s">
        <v>15</v>
      </c>
      <c r="D786" s="10" t="s">
        <v>45</v>
      </c>
      <c r="E786" s="11" t="s">
        <v>92</v>
      </c>
      <c r="F786" s="11" t="s">
        <v>17</v>
      </c>
      <c r="G786" s="10" t="s">
        <v>18</v>
      </c>
      <c r="H786" s="11" t="s">
        <v>19</v>
      </c>
      <c r="I786" s="11" t="s">
        <v>20</v>
      </c>
      <c r="J786" s="11"/>
      <c r="K786" s="11" t="s">
        <v>82</v>
      </c>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4"/>
    </row>
    <row r="787" spans="1:35" ht="15.75" hidden="1" customHeight="1" x14ac:dyDescent="0.25">
      <c r="A787" s="9">
        <v>254</v>
      </c>
      <c r="B787" s="10" t="s">
        <v>60</v>
      </c>
      <c r="C787" s="10" t="s">
        <v>15</v>
      </c>
      <c r="D787" s="10" t="s">
        <v>45</v>
      </c>
      <c r="E787" s="11" t="s">
        <v>92</v>
      </c>
      <c r="F787" s="11" t="s">
        <v>17</v>
      </c>
      <c r="G787" s="10" t="s">
        <v>18</v>
      </c>
      <c r="H787" s="11" t="s">
        <v>19</v>
      </c>
      <c r="I787" s="11" t="s">
        <v>20</v>
      </c>
      <c r="J787" s="11"/>
      <c r="K787" s="11" t="s">
        <v>82</v>
      </c>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4"/>
    </row>
    <row r="788" spans="1:35" ht="15.75" hidden="1" customHeight="1" x14ac:dyDescent="0.25">
      <c r="A788" s="9">
        <v>255</v>
      </c>
      <c r="B788" s="10" t="s">
        <v>60</v>
      </c>
      <c r="C788" s="10" t="s">
        <v>15</v>
      </c>
      <c r="D788" s="10" t="s">
        <v>45</v>
      </c>
      <c r="E788" s="11" t="s">
        <v>92</v>
      </c>
      <c r="F788" s="11" t="s">
        <v>17</v>
      </c>
      <c r="G788" s="10" t="s">
        <v>18</v>
      </c>
      <c r="H788" s="11" t="s">
        <v>19</v>
      </c>
      <c r="I788" s="11" t="s">
        <v>20</v>
      </c>
      <c r="J788" s="11"/>
      <c r="K788" s="11" t="s">
        <v>82</v>
      </c>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4"/>
    </row>
    <row r="789" spans="1:35" ht="15.75" hidden="1" customHeight="1" x14ac:dyDescent="0.25">
      <c r="A789" s="9">
        <v>257</v>
      </c>
      <c r="B789" s="10" t="s">
        <v>60</v>
      </c>
      <c r="C789" s="10" t="s">
        <v>15</v>
      </c>
      <c r="D789" s="10" t="s">
        <v>45</v>
      </c>
      <c r="E789" s="11" t="s">
        <v>92</v>
      </c>
      <c r="F789" s="11" t="s">
        <v>17</v>
      </c>
      <c r="G789" s="10" t="s">
        <v>24</v>
      </c>
      <c r="H789" s="11" t="s">
        <v>19</v>
      </c>
      <c r="I789" s="11" t="s">
        <v>20</v>
      </c>
      <c r="J789" s="11"/>
      <c r="K789" s="11" t="s">
        <v>82</v>
      </c>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4"/>
    </row>
    <row r="790" spans="1:35" ht="15.75" hidden="1" customHeight="1" x14ac:dyDescent="0.25">
      <c r="A790" s="9">
        <v>258</v>
      </c>
      <c r="B790" s="10" t="s">
        <v>60</v>
      </c>
      <c r="C790" s="10" t="s">
        <v>15</v>
      </c>
      <c r="D790" s="10" t="s">
        <v>16</v>
      </c>
      <c r="E790" s="11" t="s">
        <v>92</v>
      </c>
      <c r="F790" s="11" t="s">
        <v>17</v>
      </c>
      <c r="G790" s="10" t="s">
        <v>18</v>
      </c>
      <c r="H790" s="11" t="s">
        <v>19</v>
      </c>
      <c r="I790" s="11" t="s">
        <v>20</v>
      </c>
      <c r="J790" s="11"/>
      <c r="K790" s="11" t="s">
        <v>82</v>
      </c>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4"/>
    </row>
    <row r="791" spans="1:35" ht="15.75" hidden="1" customHeight="1" x14ac:dyDescent="0.25">
      <c r="A791" s="9">
        <v>259</v>
      </c>
      <c r="B791" s="10" t="s">
        <v>60</v>
      </c>
      <c r="C791" s="10" t="s">
        <v>15</v>
      </c>
      <c r="D791" s="10" t="s">
        <v>16</v>
      </c>
      <c r="E791" s="11" t="s">
        <v>92</v>
      </c>
      <c r="F791" s="11" t="s">
        <v>17</v>
      </c>
      <c r="G791" s="10" t="s">
        <v>24</v>
      </c>
      <c r="H791" s="11" t="s">
        <v>23</v>
      </c>
      <c r="I791" s="11" t="s">
        <v>20</v>
      </c>
      <c r="J791" s="11"/>
      <c r="K791" s="11" t="s">
        <v>82</v>
      </c>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4"/>
    </row>
    <row r="792" spans="1:35" ht="15.75" hidden="1" customHeight="1" x14ac:dyDescent="0.25">
      <c r="A792" s="9">
        <v>260</v>
      </c>
      <c r="B792" s="10" t="s">
        <v>60</v>
      </c>
      <c r="C792" s="10" t="s">
        <v>15</v>
      </c>
      <c r="D792" s="10" t="s">
        <v>16</v>
      </c>
      <c r="E792" s="11" t="s">
        <v>92</v>
      </c>
      <c r="F792" s="11" t="s">
        <v>17</v>
      </c>
      <c r="G792" s="10" t="s">
        <v>18</v>
      </c>
      <c r="H792" s="11" t="s">
        <v>19</v>
      </c>
      <c r="I792" s="11" t="s">
        <v>20</v>
      </c>
      <c r="J792" s="11"/>
      <c r="K792" s="11" t="s">
        <v>82</v>
      </c>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4"/>
    </row>
    <row r="793" spans="1:35" ht="15.75" hidden="1" customHeight="1" x14ac:dyDescent="0.25">
      <c r="A793" s="9">
        <v>261</v>
      </c>
      <c r="B793" s="10" t="s">
        <v>60</v>
      </c>
      <c r="C793" s="10" t="s">
        <v>15</v>
      </c>
      <c r="D793" s="10" t="s">
        <v>16</v>
      </c>
      <c r="E793" s="11" t="s">
        <v>92</v>
      </c>
      <c r="F793" s="11" t="s">
        <v>17</v>
      </c>
      <c r="G793" s="10" t="s">
        <v>18</v>
      </c>
      <c r="H793" s="11" t="s">
        <v>19</v>
      </c>
      <c r="I793" s="11" t="s">
        <v>20</v>
      </c>
      <c r="J793" s="11"/>
      <c r="K793" s="11" t="s">
        <v>82</v>
      </c>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4"/>
    </row>
    <row r="794" spans="1:35" ht="15.75" hidden="1" customHeight="1" x14ac:dyDescent="0.25">
      <c r="A794" s="9">
        <v>263</v>
      </c>
      <c r="B794" s="10" t="s">
        <v>60</v>
      </c>
      <c r="C794" s="10" t="s">
        <v>15</v>
      </c>
      <c r="D794" s="10" t="s">
        <v>16</v>
      </c>
      <c r="E794" s="11" t="s">
        <v>92</v>
      </c>
      <c r="F794" s="11" t="s">
        <v>17</v>
      </c>
      <c r="G794" s="10" t="s">
        <v>18</v>
      </c>
      <c r="H794" s="11" t="s">
        <v>19</v>
      </c>
      <c r="I794" s="11" t="s">
        <v>20</v>
      </c>
      <c r="J794" s="11"/>
      <c r="K794" s="11" t="s">
        <v>82</v>
      </c>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4"/>
    </row>
    <row r="795" spans="1:35" ht="15.75" hidden="1" customHeight="1" x14ac:dyDescent="0.25">
      <c r="A795" s="9">
        <v>264</v>
      </c>
      <c r="B795" s="10" t="s">
        <v>60</v>
      </c>
      <c r="C795" s="10" t="s">
        <v>15</v>
      </c>
      <c r="D795" s="10" t="s">
        <v>16</v>
      </c>
      <c r="E795" s="11" t="s">
        <v>92</v>
      </c>
      <c r="F795" s="11" t="s">
        <v>17</v>
      </c>
      <c r="G795" s="10" t="s">
        <v>24</v>
      </c>
      <c r="H795" s="11" t="s">
        <v>19</v>
      </c>
      <c r="I795" s="11" t="s">
        <v>20</v>
      </c>
      <c r="J795" s="11"/>
      <c r="K795" s="11" t="s">
        <v>82</v>
      </c>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4"/>
    </row>
    <row r="796" spans="1:35" ht="15.75" hidden="1" customHeight="1" x14ac:dyDescent="0.25">
      <c r="A796" s="9">
        <v>265</v>
      </c>
      <c r="B796" s="10" t="s">
        <v>60</v>
      </c>
      <c r="C796" s="10" t="s">
        <v>15</v>
      </c>
      <c r="D796" s="10" t="s">
        <v>16</v>
      </c>
      <c r="E796" s="11" t="s">
        <v>92</v>
      </c>
      <c r="F796" s="11" t="s">
        <v>17</v>
      </c>
      <c r="G796" s="10" t="s">
        <v>18</v>
      </c>
      <c r="H796" s="11" t="s">
        <v>19</v>
      </c>
      <c r="I796" s="11" t="s">
        <v>20</v>
      </c>
      <c r="J796" s="11"/>
      <c r="K796" s="11" t="s">
        <v>82</v>
      </c>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4"/>
    </row>
    <row r="797" spans="1:35" ht="15.75" hidden="1" customHeight="1" x14ac:dyDescent="0.25">
      <c r="A797" s="9">
        <v>266</v>
      </c>
      <c r="B797" s="10" t="s">
        <v>60</v>
      </c>
      <c r="C797" s="10" t="s">
        <v>15</v>
      </c>
      <c r="D797" s="10" t="s">
        <v>16</v>
      </c>
      <c r="E797" s="11" t="s">
        <v>92</v>
      </c>
      <c r="F797" s="11" t="s">
        <v>17</v>
      </c>
      <c r="G797" s="10" t="s">
        <v>24</v>
      </c>
      <c r="H797" s="11" t="s">
        <v>19</v>
      </c>
      <c r="I797" s="11" t="s">
        <v>20</v>
      </c>
      <c r="J797" s="11"/>
      <c r="K797" s="11" t="s">
        <v>82</v>
      </c>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4"/>
    </row>
    <row r="798" spans="1:35" ht="15.75" hidden="1" customHeight="1" x14ac:dyDescent="0.25">
      <c r="A798" s="9">
        <v>267</v>
      </c>
      <c r="B798" s="10" t="s">
        <v>60</v>
      </c>
      <c r="C798" s="10" t="s">
        <v>15</v>
      </c>
      <c r="D798" s="10" t="s">
        <v>16</v>
      </c>
      <c r="E798" s="11" t="s">
        <v>92</v>
      </c>
      <c r="F798" s="11" t="s">
        <v>17</v>
      </c>
      <c r="G798" s="10" t="s">
        <v>18</v>
      </c>
      <c r="H798" s="11" t="s">
        <v>19</v>
      </c>
      <c r="I798" s="11" t="s">
        <v>20</v>
      </c>
      <c r="J798" s="11"/>
      <c r="K798" s="11" t="s">
        <v>82</v>
      </c>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4"/>
    </row>
    <row r="799" spans="1:35" ht="15.75" hidden="1" customHeight="1" x14ac:dyDescent="0.25">
      <c r="A799" s="9">
        <v>268</v>
      </c>
      <c r="B799" s="10" t="s">
        <v>60</v>
      </c>
      <c r="C799" s="10" t="s">
        <v>15</v>
      </c>
      <c r="D799" s="10" t="s">
        <v>16</v>
      </c>
      <c r="E799" s="11" t="s">
        <v>92</v>
      </c>
      <c r="F799" s="11" t="s">
        <v>17</v>
      </c>
      <c r="G799" s="10" t="s">
        <v>24</v>
      </c>
      <c r="H799" s="11" t="s">
        <v>19</v>
      </c>
      <c r="I799" s="11" t="s">
        <v>20</v>
      </c>
      <c r="J799" s="11"/>
      <c r="K799" s="11" t="s">
        <v>82</v>
      </c>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4"/>
    </row>
    <row r="800" spans="1:35" ht="15.75" hidden="1" customHeight="1" x14ac:dyDescent="0.25">
      <c r="A800" s="9">
        <v>269</v>
      </c>
      <c r="B800" s="10" t="s">
        <v>60</v>
      </c>
      <c r="C800" s="10" t="s">
        <v>15</v>
      </c>
      <c r="D800" s="10" t="s">
        <v>16</v>
      </c>
      <c r="E800" s="11" t="s">
        <v>92</v>
      </c>
      <c r="F800" s="11" t="s">
        <v>17</v>
      </c>
      <c r="G800" s="10" t="s">
        <v>24</v>
      </c>
      <c r="H800" s="11" t="s">
        <v>23</v>
      </c>
      <c r="I800" s="11" t="s">
        <v>20</v>
      </c>
      <c r="J800" s="11"/>
      <c r="K800" s="11" t="s">
        <v>82</v>
      </c>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4"/>
    </row>
    <row r="801" spans="1:35" ht="15.75" hidden="1" customHeight="1" x14ac:dyDescent="0.25">
      <c r="A801" s="9">
        <v>270</v>
      </c>
      <c r="B801" s="10" t="s">
        <v>60</v>
      </c>
      <c r="C801" s="10" t="s">
        <v>15</v>
      </c>
      <c r="D801" s="10" t="s">
        <v>37</v>
      </c>
      <c r="E801" s="11" t="s">
        <v>92</v>
      </c>
      <c r="F801" s="11" t="s">
        <v>17</v>
      </c>
      <c r="G801" s="10" t="s">
        <v>24</v>
      </c>
      <c r="H801" s="11" t="s">
        <v>19</v>
      </c>
      <c r="I801" s="11" t="s">
        <v>20</v>
      </c>
      <c r="J801" s="11"/>
      <c r="K801" s="11" t="s">
        <v>82</v>
      </c>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4"/>
    </row>
    <row r="802" spans="1:35" ht="15.75" hidden="1" customHeight="1" x14ac:dyDescent="0.25">
      <c r="A802" s="9">
        <v>271</v>
      </c>
      <c r="B802" s="10" t="s">
        <v>60</v>
      </c>
      <c r="C802" s="10" t="s">
        <v>15</v>
      </c>
      <c r="D802" s="10" t="s">
        <v>37</v>
      </c>
      <c r="E802" s="11" t="s">
        <v>92</v>
      </c>
      <c r="F802" s="11" t="s">
        <v>17</v>
      </c>
      <c r="G802" s="10" t="s">
        <v>24</v>
      </c>
      <c r="H802" s="11" t="s">
        <v>19</v>
      </c>
      <c r="I802" s="11" t="s">
        <v>20</v>
      </c>
      <c r="J802" s="11"/>
      <c r="K802" s="11" t="s">
        <v>82</v>
      </c>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4"/>
    </row>
    <row r="803" spans="1:35" ht="15.75" hidden="1" customHeight="1" x14ac:dyDescent="0.25">
      <c r="A803" s="9">
        <v>272</v>
      </c>
      <c r="B803" s="10" t="s">
        <v>60</v>
      </c>
      <c r="C803" s="10" t="s">
        <v>15</v>
      </c>
      <c r="D803" s="10" t="s">
        <v>37</v>
      </c>
      <c r="E803" s="11" t="s">
        <v>92</v>
      </c>
      <c r="F803" s="11" t="s">
        <v>17</v>
      </c>
      <c r="G803" s="10" t="s">
        <v>24</v>
      </c>
      <c r="H803" s="11" t="s">
        <v>19</v>
      </c>
      <c r="I803" s="11" t="s">
        <v>20</v>
      </c>
      <c r="J803" s="11"/>
      <c r="K803" s="11" t="s">
        <v>82</v>
      </c>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4"/>
    </row>
    <row r="804" spans="1:35" ht="15.75" hidden="1" customHeight="1" x14ac:dyDescent="0.25">
      <c r="A804" s="9">
        <v>273</v>
      </c>
      <c r="B804" s="10" t="s">
        <v>60</v>
      </c>
      <c r="C804" s="10" t="s">
        <v>15</v>
      </c>
      <c r="D804" s="10" t="s">
        <v>37</v>
      </c>
      <c r="E804" s="11" t="s">
        <v>92</v>
      </c>
      <c r="F804" s="11" t="s">
        <v>17</v>
      </c>
      <c r="G804" s="10" t="s">
        <v>24</v>
      </c>
      <c r="H804" s="11" t="s">
        <v>19</v>
      </c>
      <c r="I804" s="11" t="s">
        <v>20</v>
      </c>
      <c r="J804" s="11"/>
      <c r="K804" s="11" t="s">
        <v>82</v>
      </c>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4"/>
    </row>
    <row r="805" spans="1:35" ht="15.75" hidden="1" customHeight="1" x14ac:dyDescent="0.25">
      <c r="A805" s="9">
        <v>275</v>
      </c>
      <c r="B805" s="10" t="s">
        <v>60</v>
      </c>
      <c r="C805" s="10" t="s">
        <v>15</v>
      </c>
      <c r="D805" s="10" t="s">
        <v>37</v>
      </c>
      <c r="E805" s="11" t="s">
        <v>92</v>
      </c>
      <c r="F805" s="11" t="s">
        <v>17</v>
      </c>
      <c r="G805" s="10" t="s">
        <v>24</v>
      </c>
      <c r="H805" s="11" t="s">
        <v>19</v>
      </c>
      <c r="I805" s="11" t="s">
        <v>20</v>
      </c>
      <c r="J805" s="11"/>
      <c r="K805" s="11" t="s">
        <v>82</v>
      </c>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4"/>
    </row>
    <row r="806" spans="1:35" ht="15.75" hidden="1" customHeight="1" x14ac:dyDescent="0.25">
      <c r="A806" s="9">
        <v>276</v>
      </c>
      <c r="B806" s="10" t="s">
        <v>60</v>
      </c>
      <c r="C806" s="10" t="s">
        <v>15</v>
      </c>
      <c r="D806" s="10" t="s">
        <v>37</v>
      </c>
      <c r="E806" s="11" t="s">
        <v>92</v>
      </c>
      <c r="F806" s="11" t="s">
        <v>17</v>
      </c>
      <c r="G806" s="10" t="s">
        <v>18</v>
      </c>
      <c r="H806" s="11" t="s">
        <v>19</v>
      </c>
      <c r="I806" s="11" t="s">
        <v>20</v>
      </c>
      <c r="J806" s="11"/>
      <c r="K806" s="11" t="s">
        <v>82</v>
      </c>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4"/>
    </row>
    <row r="807" spans="1:35" ht="15.75" hidden="1" customHeight="1" x14ac:dyDescent="0.25">
      <c r="A807" s="9">
        <v>277</v>
      </c>
      <c r="B807" s="10" t="s">
        <v>60</v>
      </c>
      <c r="C807" s="10" t="s">
        <v>15</v>
      </c>
      <c r="D807" s="10" t="s">
        <v>37</v>
      </c>
      <c r="E807" s="11" t="s">
        <v>92</v>
      </c>
      <c r="F807" s="11" t="s">
        <v>17</v>
      </c>
      <c r="G807" s="10" t="s">
        <v>18</v>
      </c>
      <c r="H807" s="11" t="s">
        <v>19</v>
      </c>
      <c r="I807" s="11" t="s">
        <v>20</v>
      </c>
      <c r="J807" s="11"/>
      <c r="K807" s="11" t="s">
        <v>82</v>
      </c>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4"/>
    </row>
    <row r="808" spans="1:35" ht="15.75" hidden="1" customHeight="1" x14ac:dyDescent="0.25">
      <c r="A808" s="9">
        <v>279</v>
      </c>
      <c r="B808" s="10" t="s">
        <v>60</v>
      </c>
      <c r="C808" s="10" t="s">
        <v>15</v>
      </c>
      <c r="D808" s="10" t="s">
        <v>37</v>
      </c>
      <c r="E808" s="11" t="s">
        <v>92</v>
      </c>
      <c r="F808" s="11" t="s">
        <v>17</v>
      </c>
      <c r="G808" s="10" t="s">
        <v>24</v>
      </c>
      <c r="H808" s="11" t="s">
        <v>19</v>
      </c>
      <c r="I808" s="11" t="s">
        <v>20</v>
      </c>
      <c r="J808" s="11"/>
      <c r="K808" s="11" t="s">
        <v>82</v>
      </c>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4"/>
    </row>
    <row r="809" spans="1:35" ht="15.75" hidden="1" customHeight="1" x14ac:dyDescent="0.25">
      <c r="A809" s="9">
        <v>280</v>
      </c>
      <c r="B809" s="10" t="s">
        <v>60</v>
      </c>
      <c r="C809" s="10" t="s">
        <v>15</v>
      </c>
      <c r="D809" s="10" t="s">
        <v>37</v>
      </c>
      <c r="E809" s="11" t="s">
        <v>92</v>
      </c>
      <c r="F809" s="11" t="s">
        <v>17</v>
      </c>
      <c r="G809" s="10" t="s">
        <v>18</v>
      </c>
      <c r="H809" s="11" t="s">
        <v>19</v>
      </c>
      <c r="I809" s="11" t="s">
        <v>20</v>
      </c>
      <c r="J809" s="11"/>
      <c r="K809" s="11" t="s">
        <v>82</v>
      </c>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4"/>
    </row>
    <row r="810" spans="1:35" ht="15.75" hidden="1" customHeight="1" x14ac:dyDescent="0.25">
      <c r="A810" s="9">
        <v>281</v>
      </c>
      <c r="B810" s="10" t="s">
        <v>60</v>
      </c>
      <c r="C810" s="10" t="s">
        <v>15</v>
      </c>
      <c r="D810" s="10" t="s">
        <v>37</v>
      </c>
      <c r="E810" s="11" t="s">
        <v>92</v>
      </c>
      <c r="F810" s="11" t="s">
        <v>17</v>
      </c>
      <c r="G810" s="10" t="s">
        <v>24</v>
      </c>
      <c r="H810" s="11" t="s">
        <v>19</v>
      </c>
      <c r="I810" s="11" t="s">
        <v>20</v>
      </c>
      <c r="J810" s="11"/>
      <c r="K810" s="11" t="s">
        <v>82</v>
      </c>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4"/>
    </row>
    <row r="811" spans="1:35" ht="15.75" hidden="1" customHeight="1" x14ac:dyDescent="0.25">
      <c r="A811" s="9">
        <v>282</v>
      </c>
      <c r="B811" s="10" t="s">
        <v>60</v>
      </c>
      <c r="C811" s="10" t="s">
        <v>15</v>
      </c>
      <c r="D811" s="10" t="s">
        <v>37</v>
      </c>
      <c r="E811" s="11" t="s">
        <v>92</v>
      </c>
      <c r="F811" s="11" t="s">
        <v>17</v>
      </c>
      <c r="G811" s="10" t="s">
        <v>18</v>
      </c>
      <c r="H811" s="11" t="s">
        <v>19</v>
      </c>
      <c r="I811" s="11" t="s">
        <v>20</v>
      </c>
      <c r="J811" s="11"/>
      <c r="K811" s="11" t="s">
        <v>82</v>
      </c>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4"/>
    </row>
    <row r="812" spans="1:35" ht="15.75" hidden="1" customHeight="1" x14ac:dyDescent="0.25">
      <c r="A812" s="9">
        <v>283</v>
      </c>
      <c r="B812" s="10" t="s">
        <v>60</v>
      </c>
      <c r="C812" s="10" t="s">
        <v>15</v>
      </c>
      <c r="D812" s="10" t="s">
        <v>37</v>
      </c>
      <c r="E812" s="11" t="s">
        <v>92</v>
      </c>
      <c r="F812" s="11" t="s">
        <v>17</v>
      </c>
      <c r="G812" s="10" t="s">
        <v>24</v>
      </c>
      <c r="H812" s="11" t="s">
        <v>19</v>
      </c>
      <c r="I812" s="11" t="s">
        <v>20</v>
      </c>
      <c r="J812" s="11"/>
      <c r="K812" s="11" t="s">
        <v>82</v>
      </c>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4"/>
    </row>
    <row r="813" spans="1:35" ht="15.75" hidden="1" customHeight="1" x14ac:dyDescent="0.25">
      <c r="A813" s="9">
        <v>284</v>
      </c>
      <c r="B813" s="10" t="s">
        <v>60</v>
      </c>
      <c r="C813" s="10" t="s">
        <v>41</v>
      </c>
      <c r="D813" s="10" t="s">
        <v>42</v>
      </c>
      <c r="E813" s="11" t="s">
        <v>92</v>
      </c>
      <c r="F813" s="11" t="s">
        <v>17</v>
      </c>
      <c r="G813" s="10" t="s">
        <v>24</v>
      </c>
      <c r="H813" s="11" t="s">
        <v>19</v>
      </c>
      <c r="I813" s="11" t="s">
        <v>20</v>
      </c>
      <c r="J813" s="11"/>
      <c r="K813" s="11" t="s">
        <v>82</v>
      </c>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4"/>
    </row>
    <row r="814" spans="1:35" ht="15.75" hidden="1" customHeight="1" x14ac:dyDescent="0.25">
      <c r="A814" s="9">
        <v>285</v>
      </c>
      <c r="B814" s="10" t="s">
        <v>60</v>
      </c>
      <c r="C814" s="10" t="s">
        <v>41</v>
      </c>
      <c r="D814" s="10" t="s">
        <v>42</v>
      </c>
      <c r="E814" s="11" t="s">
        <v>92</v>
      </c>
      <c r="F814" s="11" t="s">
        <v>17</v>
      </c>
      <c r="G814" s="10" t="s">
        <v>24</v>
      </c>
      <c r="H814" s="11" t="s">
        <v>19</v>
      </c>
      <c r="I814" s="11" t="s">
        <v>20</v>
      </c>
      <c r="J814" s="11"/>
      <c r="K814" s="11" t="s">
        <v>82</v>
      </c>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4"/>
    </row>
    <row r="815" spans="1:35" ht="15.75" hidden="1" customHeight="1" x14ac:dyDescent="0.25">
      <c r="A815" s="9">
        <v>286</v>
      </c>
      <c r="B815" s="10" t="s">
        <v>60</v>
      </c>
      <c r="C815" s="10" t="s">
        <v>41</v>
      </c>
      <c r="D815" s="10" t="s">
        <v>42</v>
      </c>
      <c r="E815" s="11" t="s">
        <v>92</v>
      </c>
      <c r="F815" s="11" t="s">
        <v>17</v>
      </c>
      <c r="G815" s="10" t="s">
        <v>18</v>
      </c>
      <c r="H815" s="11" t="s">
        <v>19</v>
      </c>
      <c r="I815" s="11" t="s">
        <v>20</v>
      </c>
      <c r="J815" s="11"/>
      <c r="K815" s="11" t="s">
        <v>82</v>
      </c>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4"/>
    </row>
    <row r="816" spans="1:35" ht="15.75" hidden="1" customHeight="1" x14ac:dyDescent="0.25">
      <c r="A816" s="9">
        <v>287</v>
      </c>
      <c r="B816" s="10" t="s">
        <v>60</v>
      </c>
      <c r="C816" s="10" t="s">
        <v>41</v>
      </c>
      <c r="D816" s="10" t="s">
        <v>42</v>
      </c>
      <c r="E816" s="11" t="s">
        <v>92</v>
      </c>
      <c r="F816" s="11" t="s">
        <v>17</v>
      </c>
      <c r="G816" s="10" t="s">
        <v>18</v>
      </c>
      <c r="H816" s="11" t="s">
        <v>19</v>
      </c>
      <c r="I816" s="11" t="s">
        <v>20</v>
      </c>
      <c r="J816" s="11"/>
      <c r="K816" s="11" t="s">
        <v>82</v>
      </c>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4"/>
    </row>
    <row r="817" spans="1:35" ht="15.75" hidden="1" customHeight="1" x14ac:dyDescent="0.25">
      <c r="A817" s="9">
        <v>288</v>
      </c>
      <c r="B817" s="10" t="s">
        <v>60</v>
      </c>
      <c r="C817" s="10" t="s">
        <v>41</v>
      </c>
      <c r="D817" s="10" t="s">
        <v>42</v>
      </c>
      <c r="E817" s="11" t="s">
        <v>92</v>
      </c>
      <c r="F817" s="11" t="s">
        <v>17</v>
      </c>
      <c r="G817" s="10" t="s">
        <v>18</v>
      </c>
      <c r="H817" s="11" t="s">
        <v>19</v>
      </c>
      <c r="I817" s="11" t="s">
        <v>20</v>
      </c>
      <c r="J817" s="11"/>
      <c r="K817" s="11" t="s">
        <v>82</v>
      </c>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4"/>
    </row>
    <row r="818" spans="1:35" ht="15.75" hidden="1" customHeight="1" x14ac:dyDescent="0.25">
      <c r="A818" s="9">
        <v>290</v>
      </c>
      <c r="B818" s="10" t="s">
        <v>60</v>
      </c>
      <c r="C818" s="10" t="s">
        <v>41</v>
      </c>
      <c r="D818" s="10" t="s">
        <v>42</v>
      </c>
      <c r="E818" s="11" t="s">
        <v>92</v>
      </c>
      <c r="F818" s="11" t="s">
        <v>17</v>
      </c>
      <c r="G818" s="10" t="s">
        <v>18</v>
      </c>
      <c r="H818" s="11" t="s">
        <v>19</v>
      </c>
      <c r="I818" s="11" t="s">
        <v>20</v>
      </c>
      <c r="J818" s="11"/>
      <c r="K818" s="11" t="s">
        <v>82</v>
      </c>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4"/>
    </row>
    <row r="819" spans="1:35" ht="15.75" hidden="1" customHeight="1" x14ac:dyDescent="0.25">
      <c r="A819" s="9">
        <v>291</v>
      </c>
      <c r="B819" s="10" t="s">
        <v>60</v>
      </c>
      <c r="C819" s="10" t="s">
        <v>41</v>
      </c>
      <c r="D819" s="10" t="s">
        <v>42</v>
      </c>
      <c r="E819" s="11" t="s">
        <v>92</v>
      </c>
      <c r="F819" s="11" t="s">
        <v>17</v>
      </c>
      <c r="G819" s="10" t="s">
        <v>18</v>
      </c>
      <c r="H819" s="11" t="s">
        <v>19</v>
      </c>
      <c r="I819" s="11" t="s">
        <v>20</v>
      </c>
      <c r="J819" s="11"/>
      <c r="K819" s="11" t="s">
        <v>82</v>
      </c>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4"/>
    </row>
    <row r="820" spans="1:35" ht="15.75" hidden="1" customHeight="1" x14ac:dyDescent="0.25">
      <c r="A820" s="9">
        <v>292</v>
      </c>
      <c r="B820" s="10" t="s">
        <v>60</v>
      </c>
      <c r="C820" s="10" t="s">
        <v>41</v>
      </c>
      <c r="D820" s="10" t="s">
        <v>42</v>
      </c>
      <c r="E820" s="11" t="s">
        <v>92</v>
      </c>
      <c r="F820" s="11" t="s">
        <v>17</v>
      </c>
      <c r="G820" s="10" t="s">
        <v>24</v>
      </c>
      <c r="H820" s="11" t="s">
        <v>19</v>
      </c>
      <c r="I820" s="11" t="s">
        <v>20</v>
      </c>
      <c r="J820" s="11"/>
      <c r="K820" s="11" t="s">
        <v>82</v>
      </c>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4"/>
    </row>
    <row r="821" spans="1:35" ht="15.75" hidden="1" customHeight="1" x14ac:dyDescent="0.25">
      <c r="A821" s="9">
        <v>293</v>
      </c>
      <c r="B821" s="10" t="s">
        <v>60</v>
      </c>
      <c r="C821" s="10" t="s">
        <v>41</v>
      </c>
      <c r="D821" s="10" t="s">
        <v>42</v>
      </c>
      <c r="E821" s="11" t="s">
        <v>92</v>
      </c>
      <c r="F821" s="11" t="s">
        <v>17</v>
      </c>
      <c r="G821" s="10" t="s">
        <v>24</v>
      </c>
      <c r="H821" s="11" t="s">
        <v>19</v>
      </c>
      <c r="I821" s="11" t="s">
        <v>20</v>
      </c>
      <c r="J821" s="11"/>
      <c r="K821" s="11" t="s">
        <v>82</v>
      </c>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4"/>
    </row>
    <row r="822" spans="1:35" ht="15.75" hidden="1" customHeight="1" x14ac:dyDescent="0.25">
      <c r="A822" s="9">
        <v>294</v>
      </c>
      <c r="B822" s="10" t="s">
        <v>60</v>
      </c>
      <c r="C822" s="10" t="s">
        <v>41</v>
      </c>
      <c r="D822" s="10" t="s">
        <v>42</v>
      </c>
      <c r="E822" s="11" t="s">
        <v>92</v>
      </c>
      <c r="F822" s="11" t="s">
        <v>17</v>
      </c>
      <c r="G822" s="10" t="s">
        <v>24</v>
      </c>
      <c r="H822" s="11" t="s">
        <v>19</v>
      </c>
      <c r="I822" s="11" t="s">
        <v>20</v>
      </c>
      <c r="J822" s="11"/>
      <c r="K822" s="11" t="s">
        <v>82</v>
      </c>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4"/>
    </row>
    <row r="823" spans="1:35" ht="15.75" hidden="1" customHeight="1" x14ac:dyDescent="0.25">
      <c r="A823" s="9">
        <v>295</v>
      </c>
      <c r="B823" s="10" t="s">
        <v>60</v>
      </c>
      <c r="C823" s="10" t="s">
        <v>41</v>
      </c>
      <c r="D823" s="10" t="s">
        <v>42</v>
      </c>
      <c r="E823" s="11" t="s">
        <v>92</v>
      </c>
      <c r="F823" s="11" t="s">
        <v>17</v>
      </c>
      <c r="G823" s="10" t="s">
        <v>18</v>
      </c>
      <c r="H823" s="11" t="s">
        <v>19</v>
      </c>
      <c r="I823" s="11" t="s">
        <v>20</v>
      </c>
      <c r="J823" s="11"/>
      <c r="K823" s="11" t="s">
        <v>82</v>
      </c>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4"/>
    </row>
    <row r="824" spans="1:35" ht="15.75" hidden="1" customHeight="1" x14ac:dyDescent="0.25">
      <c r="A824" s="9">
        <v>297</v>
      </c>
      <c r="B824" s="10" t="s">
        <v>60</v>
      </c>
      <c r="C824" s="10" t="s">
        <v>41</v>
      </c>
      <c r="D824" s="10" t="s">
        <v>42</v>
      </c>
      <c r="E824" s="11" t="s">
        <v>92</v>
      </c>
      <c r="F824" s="11" t="s">
        <v>17</v>
      </c>
      <c r="G824" s="10" t="s">
        <v>24</v>
      </c>
      <c r="H824" s="11" t="s">
        <v>19</v>
      </c>
      <c r="I824" s="11" t="s">
        <v>20</v>
      </c>
      <c r="J824" s="11"/>
      <c r="K824" s="11" t="s">
        <v>82</v>
      </c>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4"/>
    </row>
    <row r="825" spans="1:35" ht="15.75" hidden="1" customHeight="1" x14ac:dyDescent="0.25">
      <c r="A825" s="9">
        <v>298</v>
      </c>
      <c r="B825" s="10" t="s">
        <v>60</v>
      </c>
      <c r="C825" s="10" t="s">
        <v>41</v>
      </c>
      <c r="D825" s="10" t="s">
        <v>42</v>
      </c>
      <c r="E825" s="11" t="s">
        <v>92</v>
      </c>
      <c r="F825" s="11" t="s">
        <v>17</v>
      </c>
      <c r="G825" s="10" t="s">
        <v>24</v>
      </c>
      <c r="H825" s="11" t="s">
        <v>19</v>
      </c>
      <c r="I825" s="11" t="s">
        <v>20</v>
      </c>
      <c r="J825" s="11"/>
      <c r="K825" s="11" t="s">
        <v>82</v>
      </c>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4"/>
    </row>
    <row r="826" spans="1:35" ht="15.75" hidden="1" customHeight="1" x14ac:dyDescent="0.25">
      <c r="A826" s="9">
        <v>299</v>
      </c>
      <c r="B826" s="10" t="s">
        <v>60</v>
      </c>
      <c r="C826" s="10" t="s">
        <v>41</v>
      </c>
      <c r="D826" s="10" t="s">
        <v>42</v>
      </c>
      <c r="E826" s="11" t="s">
        <v>92</v>
      </c>
      <c r="F826" s="11" t="s">
        <v>17</v>
      </c>
      <c r="G826" s="10" t="s">
        <v>18</v>
      </c>
      <c r="H826" s="11" t="s">
        <v>19</v>
      </c>
      <c r="I826" s="11" t="s">
        <v>20</v>
      </c>
      <c r="J826" s="11"/>
      <c r="K826" s="11" t="s">
        <v>82</v>
      </c>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4"/>
    </row>
    <row r="827" spans="1:35" ht="15.75" hidden="1" customHeight="1" x14ac:dyDescent="0.25">
      <c r="A827" s="9">
        <v>300</v>
      </c>
      <c r="B827" s="10" t="s">
        <v>60</v>
      </c>
      <c r="C827" s="10" t="s">
        <v>41</v>
      </c>
      <c r="D827" s="10" t="s">
        <v>42</v>
      </c>
      <c r="E827" s="11" t="s">
        <v>92</v>
      </c>
      <c r="F827" s="11" t="s">
        <v>17</v>
      </c>
      <c r="G827" s="10" t="s">
        <v>18</v>
      </c>
      <c r="H827" s="11" t="s">
        <v>19</v>
      </c>
      <c r="I827" s="11" t="s">
        <v>20</v>
      </c>
      <c r="J827" s="11"/>
      <c r="K827" s="11" t="s">
        <v>82</v>
      </c>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4"/>
    </row>
    <row r="828" spans="1:35" ht="15.75" hidden="1" customHeight="1" x14ac:dyDescent="0.25">
      <c r="A828" s="9">
        <v>302</v>
      </c>
      <c r="B828" s="10" t="s">
        <v>60</v>
      </c>
      <c r="C828" s="10" t="s">
        <v>41</v>
      </c>
      <c r="D828" s="10" t="s">
        <v>42</v>
      </c>
      <c r="E828" s="11" t="s">
        <v>92</v>
      </c>
      <c r="F828" s="11" t="s">
        <v>17</v>
      </c>
      <c r="G828" s="10" t="s">
        <v>18</v>
      </c>
      <c r="H828" s="11" t="s">
        <v>19</v>
      </c>
      <c r="I828" s="11" t="s">
        <v>20</v>
      </c>
      <c r="J828" s="11"/>
      <c r="K828" s="11" t="s">
        <v>82</v>
      </c>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4"/>
    </row>
    <row r="829" spans="1:35" ht="15.75" hidden="1" customHeight="1" x14ac:dyDescent="0.25">
      <c r="A829" s="9">
        <v>303</v>
      </c>
      <c r="B829" s="10" t="s">
        <v>60</v>
      </c>
      <c r="C829" s="10" t="s">
        <v>41</v>
      </c>
      <c r="D829" s="10" t="s">
        <v>42</v>
      </c>
      <c r="E829" s="11" t="s">
        <v>92</v>
      </c>
      <c r="F829" s="11" t="s">
        <v>17</v>
      </c>
      <c r="G829" s="10" t="s">
        <v>18</v>
      </c>
      <c r="H829" s="11" t="s">
        <v>19</v>
      </c>
      <c r="I829" s="11" t="s">
        <v>20</v>
      </c>
      <c r="J829" s="11"/>
      <c r="K829" s="11" t="s">
        <v>82</v>
      </c>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4"/>
    </row>
    <row r="830" spans="1:35" ht="15.75" hidden="1" customHeight="1" x14ac:dyDescent="0.25">
      <c r="A830" s="9">
        <v>304</v>
      </c>
      <c r="B830" s="10" t="s">
        <v>60</v>
      </c>
      <c r="C830" s="10" t="s">
        <v>41</v>
      </c>
      <c r="D830" s="10" t="s">
        <v>42</v>
      </c>
      <c r="E830" s="11" t="s">
        <v>92</v>
      </c>
      <c r="F830" s="11" t="s">
        <v>17</v>
      </c>
      <c r="G830" s="10" t="s">
        <v>24</v>
      </c>
      <c r="H830" s="11" t="s">
        <v>19</v>
      </c>
      <c r="I830" s="11" t="s">
        <v>20</v>
      </c>
      <c r="J830" s="11"/>
      <c r="K830" s="11" t="s">
        <v>82</v>
      </c>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4"/>
    </row>
    <row r="831" spans="1:35" ht="15.75" hidden="1" customHeight="1" x14ac:dyDescent="0.25">
      <c r="A831" s="9">
        <v>305</v>
      </c>
      <c r="B831" s="10" t="s">
        <v>60</v>
      </c>
      <c r="C831" s="10" t="s">
        <v>41</v>
      </c>
      <c r="D831" s="10" t="s">
        <v>42</v>
      </c>
      <c r="E831" s="11" t="s">
        <v>92</v>
      </c>
      <c r="F831" s="11" t="s">
        <v>17</v>
      </c>
      <c r="G831" s="10" t="s">
        <v>24</v>
      </c>
      <c r="H831" s="11" t="s">
        <v>19</v>
      </c>
      <c r="I831" s="11" t="s">
        <v>20</v>
      </c>
      <c r="J831" s="11"/>
      <c r="K831" s="11" t="s">
        <v>82</v>
      </c>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4"/>
    </row>
    <row r="832" spans="1:35" ht="15.75" hidden="1" customHeight="1" x14ac:dyDescent="0.25">
      <c r="A832" s="9">
        <v>306</v>
      </c>
      <c r="B832" s="10" t="s">
        <v>60</v>
      </c>
      <c r="C832" s="10" t="s">
        <v>41</v>
      </c>
      <c r="D832" s="10" t="s">
        <v>42</v>
      </c>
      <c r="E832" s="11" t="s">
        <v>92</v>
      </c>
      <c r="F832" s="11" t="s">
        <v>17</v>
      </c>
      <c r="G832" s="10" t="s">
        <v>24</v>
      </c>
      <c r="H832" s="11" t="s">
        <v>19</v>
      </c>
      <c r="I832" s="11" t="s">
        <v>20</v>
      </c>
      <c r="J832" s="11"/>
      <c r="K832" s="11" t="s">
        <v>82</v>
      </c>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4"/>
    </row>
    <row r="833" spans="1:35" ht="15.75" hidden="1" customHeight="1" x14ac:dyDescent="0.25">
      <c r="A833" s="9">
        <v>307</v>
      </c>
      <c r="B833" s="10" t="s">
        <v>60</v>
      </c>
      <c r="C833" s="10" t="s">
        <v>41</v>
      </c>
      <c r="D833" s="10" t="s">
        <v>42</v>
      </c>
      <c r="E833" s="11" t="s">
        <v>92</v>
      </c>
      <c r="F833" s="11" t="s">
        <v>17</v>
      </c>
      <c r="G833" s="10" t="s">
        <v>18</v>
      </c>
      <c r="H833" s="11" t="s">
        <v>19</v>
      </c>
      <c r="I833" s="11" t="s">
        <v>20</v>
      </c>
      <c r="J833" s="11"/>
      <c r="K833" s="11" t="s">
        <v>82</v>
      </c>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4"/>
    </row>
    <row r="834" spans="1:35" ht="15.75" hidden="1" customHeight="1" x14ac:dyDescent="0.25">
      <c r="A834" s="9">
        <v>308</v>
      </c>
      <c r="B834" s="10" t="s">
        <v>60</v>
      </c>
      <c r="C834" s="10" t="s">
        <v>41</v>
      </c>
      <c r="D834" s="10" t="s">
        <v>42</v>
      </c>
      <c r="E834" s="11" t="s">
        <v>92</v>
      </c>
      <c r="F834" s="11" t="s">
        <v>17</v>
      </c>
      <c r="G834" s="10" t="s">
        <v>18</v>
      </c>
      <c r="H834" s="11" t="s">
        <v>19</v>
      </c>
      <c r="I834" s="11" t="s">
        <v>20</v>
      </c>
      <c r="J834" s="11"/>
      <c r="K834" s="11" t="s">
        <v>82</v>
      </c>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4"/>
    </row>
    <row r="835" spans="1:35" ht="15.75" hidden="1" customHeight="1" x14ac:dyDescent="0.25">
      <c r="A835" s="9">
        <v>310</v>
      </c>
      <c r="B835" s="10" t="s">
        <v>60</v>
      </c>
      <c r="C835" s="10" t="s">
        <v>41</v>
      </c>
      <c r="D835" s="10" t="s">
        <v>42</v>
      </c>
      <c r="E835" s="11" t="s">
        <v>92</v>
      </c>
      <c r="F835" s="11" t="s">
        <v>17</v>
      </c>
      <c r="G835" s="10" t="s">
        <v>18</v>
      </c>
      <c r="H835" s="11" t="s">
        <v>19</v>
      </c>
      <c r="I835" s="11" t="s">
        <v>20</v>
      </c>
      <c r="J835" s="11"/>
      <c r="K835" s="11" t="s">
        <v>82</v>
      </c>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4"/>
    </row>
    <row r="836" spans="1:35" ht="15.75" hidden="1" customHeight="1" x14ac:dyDescent="0.25">
      <c r="A836" s="9">
        <v>311</v>
      </c>
      <c r="B836" s="10" t="s">
        <v>60</v>
      </c>
      <c r="C836" s="10" t="s">
        <v>41</v>
      </c>
      <c r="D836" s="10" t="s">
        <v>42</v>
      </c>
      <c r="E836" s="11" t="s">
        <v>92</v>
      </c>
      <c r="F836" s="11" t="s">
        <v>17</v>
      </c>
      <c r="G836" s="10" t="s">
        <v>24</v>
      </c>
      <c r="H836" s="11" t="s">
        <v>19</v>
      </c>
      <c r="I836" s="11" t="s">
        <v>20</v>
      </c>
      <c r="J836" s="11"/>
      <c r="K836" s="11" t="s">
        <v>82</v>
      </c>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4"/>
    </row>
    <row r="837" spans="1:35" ht="15.75" hidden="1" customHeight="1" x14ac:dyDescent="0.25">
      <c r="A837" s="9">
        <v>312</v>
      </c>
      <c r="B837" s="10" t="s">
        <v>60</v>
      </c>
      <c r="C837" s="10" t="s">
        <v>41</v>
      </c>
      <c r="D837" s="10" t="s">
        <v>42</v>
      </c>
      <c r="E837" s="11" t="s">
        <v>92</v>
      </c>
      <c r="F837" s="11" t="s">
        <v>17</v>
      </c>
      <c r="G837" s="10" t="s">
        <v>24</v>
      </c>
      <c r="H837" s="11" t="s">
        <v>19</v>
      </c>
      <c r="I837" s="11" t="s">
        <v>20</v>
      </c>
      <c r="J837" s="11"/>
      <c r="K837" s="11" t="s">
        <v>82</v>
      </c>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4"/>
    </row>
    <row r="838" spans="1:35" ht="15.75" hidden="1" customHeight="1" x14ac:dyDescent="0.25">
      <c r="A838" s="9">
        <v>313</v>
      </c>
      <c r="B838" s="10" t="s">
        <v>60</v>
      </c>
      <c r="C838" s="10" t="s">
        <v>41</v>
      </c>
      <c r="D838" s="10" t="s">
        <v>43</v>
      </c>
      <c r="E838" s="11" t="s">
        <v>92</v>
      </c>
      <c r="F838" s="11" t="s">
        <v>17</v>
      </c>
      <c r="G838" s="10" t="s">
        <v>24</v>
      </c>
      <c r="H838" s="11" t="s">
        <v>19</v>
      </c>
      <c r="I838" s="11" t="s">
        <v>20</v>
      </c>
      <c r="J838" s="11"/>
      <c r="K838" s="11" t="s">
        <v>82</v>
      </c>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4"/>
    </row>
    <row r="839" spans="1:35" ht="15.75" hidden="1" customHeight="1" x14ac:dyDescent="0.25">
      <c r="A839" s="9">
        <v>314</v>
      </c>
      <c r="B839" s="10" t="s">
        <v>60</v>
      </c>
      <c r="C839" s="10" t="s">
        <v>41</v>
      </c>
      <c r="D839" s="10" t="s">
        <v>43</v>
      </c>
      <c r="E839" s="11" t="s">
        <v>92</v>
      </c>
      <c r="F839" s="11" t="s">
        <v>17</v>
      </c>
      <c r="G839" s="10" t="s">
        <v>24</v>
      </c>
      <c r="H839" s="11" t="s">
        <v>19</v>
      </c>
      <c r="I839" s="11" t="s">
        <v>20</v>
      </c>
      <c r="J839" s="11"/>
      <c r="K839" s="11" t="s">
        <v>82</v>
      </c>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4"/>
    </row>
    <row r="840" spans="1:35" ht="15.75" hidden="1" customHeight="1" x14ac:dyDescent="0.25">
      <c r="A840" s="9">
        <v>315</v>
      </c>
      <c r="B840" s="10" t="s">
        <v>60</v>
      </c>
      <c r="C840" s="10" t="s">
        <v>41</v>
      </c>
      <c r="D840" s="10" t="s">
        <v>43</v>
      </c>
      <c r="E840" s="11" t="s">
        <v>92</v>
      </c>
      <c r="F840" s="11" t="s">
        <v>17</v>
      </c>
      <c r="G840" s="10" t="s">
        <v>24</v>
      </c>
      <c r="H840" s="11" t="s">
        <v>19</v>
      </c>
      <c r="I840" s="11" t="s">
        <v>20</v>
      </c>
      <c r="J840" s="11"/>
      <c r="K840" s="11" t="s">
        <v>82</v>
      </c>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4"/>
    </row>
    <row r="841" spans="1:35" ht="15.75" hidden="1" customHeight="1" x14ac:dyDescent="0.25">
      <c r="A841" s="9">
        <v>316</v>
      </c>
      <c r="B841" s="10" t="s">
        <v>60</v>
      </c>
      <c r="C841" s="10" t="s">
        <v>41</v>
      </c>
      <c r="D841" s="10" t="s">
        <v>43</v>
      </c>
      <c r="E841" s="11" t="s">
        <v>92</v>
      </c>
      <c r="F841" s="11" t="s">
        <v>17</v>
      </c>
      <c r="G841" s="10" t="s">
        <v>18</v>
      </c>
      <c r="H841" s="11" t="s">
        <v>23</v>
      </c>
      <c r="I841" s="11" t="s">
        <v>20</v>
      </c>
      <c r="J841" s="11"/>
      <c r="K841" s="11" t="s">
        <v>82</v>
      </c>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4"/>
    </row>
    <row r="842" spans="1:35" ht="15.75" hidden="1" customHeight="1" x14ac:dyDescent="0.25">
      <c r="A842" s="9">
        <v>317</v>
      </c>
      <c r="B842" s="10" t="s">
        <v>60</v>
      </c>
      <c r="C842" s="10" t="s">
        <v>41</v>
      </c>
      <c r="D842" s="10" t="s">
        <v>43</v>
      </c>
      <c r="E842" s="11" t="s">
        <v>92</v>
      </c>
      <c r="F842" s="11" t="s">
        <v>17</v>
      </c>
      <c r="G842" s="10" t="s">
        <v>18</v>
      </c>
      <c r="H842" s="11" t="s">
        <v>19</v>
      </c>
      <c r="I842" s="11" t="s">
        <v>20</v>
      </c>
      <c r="J842" s="11"/>
      <c r="K842" s="11" t="s">
        <v>82</v>
      </c>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4"/>
    </row>
    <row r="843" spans="1:35" ht="15.75" hidden="1" customHeight="1" x14ac:dyDescent="0.25">
      <c r="A843" s="9">
        <v>318</v>
      </c>
      <c r="B843" s="10" t="s">
        <v>60</v>
      </c>
      <c r="C843" s="10" t="s">
        <v>41</v>
      </c>
      <c r="D843" s="10" t="s">
        <v>43</v>
      </c>
      <c r="E843" s="11" t="s">
        <v>92</v>
      </c>
      <c r="F843" s="11" t="s">
        <v>17</v>
      </c>
      <c r="G843" s="10" t="s">
        <v>24</v>
      </c>
      <c r="H843" s="11" t="s">
        <v>19</v>
      </c>
      <c r="I843" s="11" t="s">
        <v>20</v>
      </c>
      <c r="J843" s="11"/>
      <c r="K843" s="11" t="s">
        <v>82</v>
      </c>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4"/>
    </row>
    <row r="844" spans="1:35" ht="15.75" hidden="1" customHeight="1" x14ac:dyDescent="0.25">
      <c r="A844" s="9">
        <v>319</v>
      </c>
      <c r="B844" s="10" t="s">
        <v>60</v>
      </c>
      <c r="C844" s="10" t="s">
        <v>41</v>
      </c>
      <c r="D844" s="10" t="s">
        <v>43</v>
      </c>
      <c r="E844" s="11" t="s">
        <v>92</v>
      </c>
      <c r="F844" s="11" t="s">
        <v>17</v>
      </c>
      <c r="G844" s="10" t="s">
        <v>24</v>
      </c>
      <c r="H844" s="11" t="s">
        <v>19</v>
      </c>
      <c r="I844" s="11" t="s">
        <v>20</v>
      </c>
      <c r="J844" s="11"/>
      <c r="K844" s="11" t="s">
        <v>82</v>
      </c>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4"/>
    </row>
    <row r="845" spans="1:35" ht="15.75" hidden="1" customHeight="1" x14ac:dyDescent="0.25">
      <c r="A845" s="9">
        <v>320</v>
      </c>
      <c r="B845" s="10" t="s">
        <v>60</v>
      </c>
      <c r="C845" s="10" t="s">
        <v>41</v>
      </c>
      <c r="D845" s="10" t="s">
        <v>43</v>
      </c>
      <c r="E845" s="11" t="s">
        <v>92</v>
      </c>
      <c r="F845" s="11" t="s">
        <v>17</v>
      </c>
      <c r="G845" s="10" t="s">
        <v>24</v>
      </c>
      <c r="H845" s="11" t="s">
        <v>19</v>
      </c>
      <c r="I845" s="11" t="s">
        <v>20</v>
      </c>
      <c r="J845" s="11"/>
      <c r="K845" s="11" t="s">
        <v>82</v>
      </c>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4"/>
    </row>
    <row r="846" spans="1:35" ht="15.75" hidden="1" customHeight="1" x14ac:dyDescent="0.25">
      <c r="A846" s="9">
        <v>321</v>
      </c>
      <c r="B846" s="10" t="s">
        <v>60</v>
      </c>
      <c r="C846" s="10" t="s">
        <v>41</v>
      </c>
      <c r="D846" s="10" t="s">
        <v>43</v>
      </c>
      <c r="E846" s="11" t="s">
        <v>92</v>
      </c>
      <c r="F846" s="11" t="s">
        <v>17</v>
      </c>
      <c r="G846" s="10" t="s">
        <v>18</v>
      </c>
      <c r="H846" s="11" t="s">
        <v>19</v>
      </c>
      <c r="I846" s="11" t="s">
        <v>20</v>
      </c>
      <c r="J846" s="11"/>
      <c r="K846" s="11" t="s">
        <v>82</v>
      </c>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4"/>
    </row>
    <row r="847" spans="1:35" ht="15.75" hidden="1" customHeight="1" x14ac:dyDescent="0.25">
      <c r="A847" s="9">
        <v>322</v>
      </c>
      <c r="B847" s="10" t="s">
        <v>60</v>
      </c>
      <c r="C847" s="10" t="s">
        <v>41</v>
      </c>
      <c r="D847" s="10" t="s">
        <v>43</v>
      </c>
      <c r="E847" s="11" t="s">
        <v>92</v>
      </c>
      <c r="F847" s="11" t="s">
        <v>17</v>
      </c>
      <c r="G847" s="10" t="s">
        <v>18</v>
      </c>
      <c r="H847" s="11" t="s">
        <v>19</v>
      </c>
      <c r="I847" s="11" t="s">
        <v>20</v>
      </c>
      <c r="J847" s="11"/>
      <c r="K847" s="11" t="s">
        <v>82</v>
      </c>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4"/>
    </row>
    <row r="848" spans="1:35" ht="15.75" hidden="1" customHeight="1" x14ac:dyDescent="0.25">
      <c r="A848" s="9">
        <v>323</v>
      </c>
      <c r="B848" s="10" t="s">
        <v>60</v>
      </c>
      <c r="C848" s="10" t="s">
        <v>41</v>
      </c>
      <c r="D848" s="10" t="s">
        <v>43</v>
      </c>
      <c r="E848" s="11" t="s">
        <v>92</v>
      </c>
      <c r="F848" s="11" t="s">
        <v>17</v>
      </c>
      <c r="G848" s="10" t="s">
        <v>24</v>
      </c>
      <c r="H848" s="11" t="s">
        <v>19</v>
      </c>
      <c r="I848" s="11" t="s">
        <v>20</v>
      </c>
      <c r="J848" s="11"/>
      <c r="K848" s="11" t="s">
        <v>82</v>
      </c>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4"/>
    </row>
    <row r="849" spans="1:35" ht="15.75" hidden="1" customHeight="1" x14ac:dyDescent="0.25">
      <c r="A849" s="9">
        <v>324</v>
      </c>
      <c r="B849" s="10" t="s">
        <v>60</v>
      </c>
      <c r="C849" s="10" t="s">
        <v>41</v>
      </c>
      <c r="D849" s="10" t="s">
        <v>43</v>
      </c>
      <c r="E849" s="11" t="s">
        <v>92</v>
      </c>
      <c r="F849" s="11" t="s">
        <v>17</v>
      </c>
      <c r="G849" s="10" t="s">
        <v>18</v>
      </c>
      <c r="H849" s="11" t="s">
        <v>19</v>
      </c>
      <c r="I849" s="11" t="s">
        <v>20</v>
      </c>
      <c r="J849" s="11"/>
      <c r="K849" s="11" t="s">
        <v>82</v>
      </c>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4"/>
    </row>
    <row r="850" spans="1:35" ht="15.75" hidden="1" customHeight="1" x14ac:dyDescent="0.25">
      <c r="A850" s="9">
        <v>326</v>
      </c>
      <c r="B850" s="10" t="s">
        <v>60</v>
      </c>
      <c r="C850" s="10" t="s">
        <v>41</v>
      </c>
      <c r="D850" s="10" t="s">
        <v>43</v>
      </c>
      <c r="E850" s="11" t="s">
        <v>92</v>
      </c>
      <c r="F850" s="11" t="s">
        <v>17</v>
      </c>
      <c r="G850" s="10" t="s">
        <v>18</v>
      </c>
      <c r="H850" s="11" t="s">
        <v>19</v>
      </c>
      <c r="I850" s="11" t="s">
        <v>20</v>
      </c>
      <c r="J850" s="11"/>
      <c r="K850" s="11" t="s">
        <v>82</v>
      </c>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4"/>
    </row>
    <row r="851" spans="1:35" ht="15.75" hidden="1" customHeight="1" x14ac:dyDescent="0.25">
      <c r="A851" s="9">
        <v>327</v>
      </c>
      <c r="B851" s="10" t="s">
        <v>60</v>
      </c>
      <c r="C851" s="10" t="s">
        <v>41</v>
      </c>
      <c r="D851" s="10" t="s">
        <v>43</v>
      </c>
      <c r="E851" s="11" t="s">
        <v>92</v>
      </c>
      <c r="F851" s="11" t="s">
        <v>17</v>
      </c>
      <c r="G851" s="10" t="s">
        <v>18</v>
      </c>
      <c r="H851" s="11" t="s">
        <v>19</v>
      </c>
      <c r="I851" s="11" t="s">
        <v>20</v>
      </c>
      <c r="J851" s="11"/>
      <c r="K851" s="11" t="s">
        <v>82</v>
      </c>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4"/>
    </row>
    <row r="852" spans="1:35" ht="15.75" hidden="1" customHeight="1" x14ac:dyDescent="0.25">
      <c r="A852" s="9">
        <v>328</v>
      </c>
      <c r="B852" s="10" t="s">
        <v>60</v>
      </c>
      <c r="C852" s="10" t="s">
        <v>41</v>
      </c>
      <c r="D852" s="10" t="s">
        <v>43</v>
      </c>
      <c r="E852" s="11" t="s">
        <v>92</v>
      </c>
      <c r="F852" s="11" t="s">
        <v>17</v>
      </c>
      <c r="G852" s="10" t="s">
        <v>18</v>
      </c>
      <c r="H852" s="11" t="s">
        <v>19</v>
      </c>
      <c r="I852" s="11" t="s">
        <v>20</v>
      </c>
      <c r="J852" s="11"/>
      <c r="K852" s="11" t="s">
        <v>82</v>
      </c>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4"/>
    </row>
    <row r="853" spans="1:35" ht="15.75" hidden="1" customHeight="1" x14ac:dyDescent="0.25">
      <c r="A853" s="9">
        <v>329</v>
      </c>
      <c r="B853" s="10" t="s">
        <v>60</v>
      </c>
      <c r="C853" s="10" t="s">
        <v>41</v>
      </c>
      <c r="D853" s="10" t="s">
        <v>43</v>
      </c>
      <c r="E853" s="11" t="s">
        <v>92</v>
      </c>
      <c r="F853" s="11" t="s">
        <v>17</v>
      </c>
      <c r="G853" s="10" t="s">
        <v>24</v>
      </c>
      <c r="H853" s="11" t="s">
        <v>19</v>
      </c>
      <c r="I853" s="11" t="s">
        <v>20</v>
      </c>
      <c r="J853" s="11"/>
      <c r="K853" s="11" t="s">
        <v>82</v>
      </c>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4"/>
    </row>
    <row r="854" spans="1:35" ht="15.75" hidden="1" customHeight="1" x14ac:dyDescent="0.25">
      <c r="A854" s="9">
        <v>330</v>
      </c>
      <c r="B854" s="10" t="s">
        <v>60</v>
      </c>
      <c r="C854" s="10" t="s">
        <v>41</v>
      </c>
      <c r="D854" s="10" t="s">
        <v>43</v>
      </c>
      <c r="E854" s="11" t="s">
        <v>92</v>
      </c>
      <c r="F854" s="11" t="s">
        <v>17</v>
      </c>
      <c r="G854" s="10" t="s">
        <v>18</v>
      </c>
      <c r="H854" s="11" t="s">
        <v>19</v>
      </c>
      <c r="I854" s="11" t="s">
        <v>20</v>
      </c>
      <c r="J854" s="11"/>
      <c r="K854" s="11" t="s">
        <v>82</v>
      </c>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4"/>
    </row>
    <row r="855" spans="1:35" ht="15.75" hidden="1" customHeight="1" x14ac:dyDescent="0.25">
      <c r="A855" s="9">
        <v>331</v>
      </c>
      <c r="B855" s="10" t="s">
        <v>60</v>
      </c>
      <c r="C855" s="10" t="s">
        <v>41</v>
      </c>
      <c r="D855" s="10" t="s">
        <v>43</v>
      </c>
      <c r="E855" s="11" t="s">
        <v>92</v>
      </c>
      <c r="F855" s="11" t="s">
        <v>17</v>
      </c>
      <c r="G855" s="10" t="s">
        <v>24</v>
      </c>
      <c r="H855" s="11" t="s">
        <v>19</v>
      </c>
      <c r="I855" s="11" t="s">
        <v>20</v>
      </c>
      <c r="J855" s="11"/>
      <c r="K855" s="11" t="s">
        <v>82</v>
      </c>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4"/>
    </row>
    <row r="856" spans="1:35" ht="15.75" hidden="1" customHeight="1" x14ac:dyDescent="0.25">
      <c r="A856" s="9">
        <v>332</v>
      </c>
      <c r="B856" s="10" t="s">
        <v>60</v>
      </c>
      <c r="C856" s="10" t="s">
        <v>41</v>
      </c>
      <c r="D856" s="10" t="s">
        <v>43</v>
      </c>
      <c r="E856" s="11" t="s">
        <v>92</v>
      </c>
      <c r="F856" s="11" t="s">
        <v>17</v>
      </c>
      <c r="G856" s="10" t="s">
        <v>18</v>
      </c>
      <c r="H856" s="11" t="s">
        <v>19</v>
      </c>
      <c r="I856" s="11" t="s">
        <v>20</v>
      </c>
      <c r="J856" s="11"/>
      <c r="K856" s="11" t="s">
        <v>82</v>
      </c>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4"/>
    </row>
    <row r="857" spans="1:35" ht="15.75" hidden="1" customHeight="1" x14ac:dyDescent="0.25">
      <c r="A857" s="9">
        <v>333</v>
      </c>
      <c r="B857" s="10" t="s">
        <v>60</v>
      </c>
      <c r="C857" s="10" t="s">
        <v>41</v>
      </c>
      <c r="D857" s="10" t="s">
        <v>43</v>
      </c>
      <c r="E857" s="11" t="s">
        <v>92</v>
      </c>
      <c r="F857" s="11" t="s">
        <v>17</v>
      </c>
      <c r="G857" s="10" t="s">
        <v>18</v>
      </c>
      <c r="H857" s="11" t="s">
        <v>19</v>
      </c>
      <c r="I857" s="11" t="s">
        <v>20</v>
      </c>
      <c r="J857" s="11"/>
      <c r="K857" s="11" t="s">
        <v>82</v>
      </c>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4"/>
    </row>
    <row r="858" spans="1:35" ht="15.75" hidden="1" customHeight="1" x14ac:dyDescent="0.25">
      <c r="A858" s="9">
        <v>334</v>
      </c>
      <c r="B858" s="10" t="s">
        <v>60</v>
      </c>
      <c r="C858" s="10" t="s">
        <v>41</v>
      </c>
      <c r="D858" s="10" t="s">
        <v>43</v>
      </c>
      <c r="E858" s="11" t="s">
        <v>92</v>
      </c>
      <c r="F858" s="11" t="s">
        <v>17</v>
      </c>
      <c r="G858" s="10" t="s">
        <v>18</v>
      </c>
      <c r="H858" s="11" t="s">
        <v>23</v>
      </c>
      <c r="I858" s="11" t="s">
        <v>20</v>
      </c>
      <c r="J858" s="11"/>
      <c r="K858" s="11" t="s">
        <v>82</v>
      </c>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4"/>
    </row>
    <row r="859" spans="1:35" ht="15.75" hidden="1" customHeight="1" x14ac:dyDescent="0.25">
      <c r="A859" s="9">
        <v>335</v>
      </c>
      <c r="B859" s="10" t="s">
        <v>60</v>
      </c>
      <c r="C859" s="10" t="s">
        <v>41</v>
      </c>
      <c r="D859" s="10" t="s">
        <v>43</v>
      </c>
      <c r="E859" s="11" t="s">
        <v>92</v>
      </c>
      <c r="F859" s="11" t="s">
        <v>17</v>
      </c>
      <c r="G859" s="10" t="s">
        <v>24</v>
      </c>
      <c r="H859" s="11" t="s">
        <v>19</v>
      </c>
      <c r="I859" s="11" t="s">
        <v>20</v>
      </c>
      <c r="J859" s="11"/>
      <c r="K859" s="11" t="s">
        <v>82</v>
      </c>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4"/>
    </row>
    <row r="860" spans="1:35" ht="15.75" hidden="1" customHeight="1" x14ac:dyDescent="0.25">
      <c r="A860" s="9">
        <v>1</v>
      </c>
      <c r="B860" s="10" t="s">
        <v>83</v>
      </c>
      <c r="C860" s="10" t="s">
        <v>15</v>
      </c>
      <c r="D860" s="10" t="s">
        <v>45</v>
      </c>
      <c r="E860" s="11" t="s">
        <v>168</v>
      </c>
      <c r="F860" s="11" t="s">
        <v>17</v>
      </c>
      <c r="G860" s="10" t="s">
        <v>18</v>
      </c>
      <c r="H860" s="11" t="s">
        <v>19</v>
      </c>
      <c r="I860" s="11" t="s">
        <v>20</v>
      </c>
      <c r="J860" s="11"/>
      <c r="K860" s="11" t="s">
        <v>84</v>
      </c>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4"/>
    </row>
    <row r="861" spans="1:35" ht="15.75" hidden="1" customHeight="1" x14ac:dyDescent="0.25">
      <c r="A861" s="9">
        <v>2</v>
      </c>
      <c r="B861" s="10" t="s">
        <v>83</v>
      </c>
      <c r="C861" s="10" t="s">
        <v>15</v>
      </c>
      <c r="D861" s="10" t="s">
        <v>16</v>
      </c>
      <c r="E861" s="11" t="s">
        <v>168</v>
      </c>
      <c r="F861" s="11" t="s">
        <v>17</v>
      </c>
      <c r="G861" s="10" t="s">
        <v>18</v>
      </c>
      <c r="H861" s="11" t="s">
        <v>19</v>
      </c>
      <c r="I861" s="11" t="s">
        <v>20</v>
      </c>
      <c r="J861" s="11"/>
      <c r="K861" s="11" t="s">
        <v>84</v>
      </c>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4"/>
    </row>
    <row r="862" spans="1:35" ht="15.75" hidden="1" customHeight="1" x14ac:dyDescent="0.25">
      <c r="A862" s="9">
        <v>3</v>
      </c>
      <c r="B862" s="10" t="s">
        <v>83</v>
      </c>
      <c r="C862" s="10" t="s">
        <v>15</v>
      </c>
      <c r="D862" s="10" t="s">
        <v>16</v>
      </c>
      <c r="E862" s="11" t="s">
        <v>168</v>
      </c>
      <c r="F862" s="11" t="s">
        <v>17</v>
      </c>
      <c r="G862" s="10" t="s">
        <v>18</v>
      </c>
      <c r="H862" s="11" t="s">
        <v>19</v>
      </c>
      <c r="I862" s="11" t="s">
        <v>20</v>
      </c>
      <c r="J862" s="11"/>
      <c r="K862" s="11" t="s">
        <v>84</v>
      </c>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4"/>
    </row>
    <row r="863" spans="1:35" ht="15.75" hidden="1" customHeight="1" x14ac:dyDescent="0.25">
      <c r="A863" s="9">
        <v>4</v>
      </c>
      <c r="B863" s="10" t="s">
        <v>83</v>
      </c>
      <c r="C863" s="10" t="s">
        <v>15</v>
      </c>
      <c r="D863" s="10" t="s">
        <v>16</v>
      </c>
      <c r="E863" s="11" t="s">
        <v>168</v>
      </c>
      <c r="F863" s="11" t="s">
        <v>17</v>
      </c>
      <c r="G863" s="10" t="s">
        <v>24</v>
      </c>
      <c r="H863" s="11" t="s">
        <v>19</v>
      </c>
      <c r="I863" s="11" t="s">
        <v>20</v>
      </c>
      <c r="J863" s="11"/>
      <c r="K863" s="11" t="s">
        <v>84</v>
      </c>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4"/>
    </row>
    <row r="864" spans="1:35" ht="15.75" hidden="1" customHeight="1" x14ac:dyDescent="0.25">
      <c r="A864" s="9">
        <v>5</v>
      </c>
      <c r="B864" s="10" t="s">
        <v>83</v>
      </c>
      <c r="C864" s="10" t="s">
        <v>15</v>
      </c>
      <c r="D864" s="10" t="s">
        <v>16</v>
      </c>
      <c r="E864" s="11" t="s">
        <v>168</v>
      </c>
      <c r="F864" s="11" t="s">
        <v>17</v>
      </c>
      <c r="G864" s="10" t="s">
        <v>24</v>
      </c>
      <c r="H864" s="11" t="s">
        <v>19</v>
      </c>
      <c r="I864" s="11" t="s">
        <v>20</v>
      </c>
      <c r="J864" s="11"/>
      <c r="K864" s="11" t="s">
        <v>84</v>
      </c>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4"/>
    </row>
    <row r="865" spans="1:35" ht="15.75" hidden="1" customHeight="1" x14ac:dyDescent="0.25">
      <c r="A865" s="9">
        <v>6</v>
      </c>
      <c r="B865" s="10" t="s">
        <v>83</v>
      </c>
      <c r="C865" s="10" t="s">
        <v>15</v>
      </c>
      <c r="D865" s="10" t="s">
        <v>37</v>
      </c>
      <c r="E865" s="11" t="s">
        <v>168</v>
      </c>
      <c r="F865" s="11" t="s">
        <v>17</v>
      </c>
      <c r="G865" s="10" t="s">
        <v>24</v>
      </c>
      <c r="H865" s="11" t="s">
        <v>19</v>
      </c>
      <c r="I865" s="11" t="s">
        <v>20</v>
      </c>
      <c r="J865" s="11"/>
      <c r="K865" s="11" t="s">
        <v>84</v>
      </c>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4"/>
    </row>
    <row r="866" spans="1:35" ht="15.75" hidden="1" customHeight="1" x14ac:dyDescent="0.25">
      <c r="A866" s="9">
        <v>7</v>
      </c>
      <c r="B866" s="10" t="s">
        <v>83</v>
      </c>
      <c r="C866" s="10" t="s">
        <v>15</v>
      </c>
      <c r="D866" s="10" t="s">
        <v>37</v>
      </c>
      <c r="E866" s="11" t="s">
        <v>168</v>
      </c>
      <c r="F866" s="11" t="s">
        <v>17</v>
      </c>
      <c r="G866" s="10" t="s">
        <v>24</v>
      </c>
      <c r="H866" s="11" t="s">
        <v>19</v>
      </c>
      <c r="I866" s="11" t="s">
        <v>20</v>
      </c>
      <c r="J866" s="11"/>
      <c r="K866" s="11" t="s">
        <v>84</v>
      </c>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4"/>
    </row>
    <row r="867" spans="1:35" ht="15.75" hidden="1" customHeight="1" x14ac:dyDescent="0.25">
      <c r="A867" s="9">
        <v>8</v>
      </c>
      <c r="B867" s="10" t="s">
        <v>83</v>
      </c>
      <c r="C867" s="10" t="s">
        <v>15</v>
      </c>
      <c r="D867" s="10" t="s">
        <v>45</v>
      </c>
      <c r="E867" s="11" t="s">
        <v>169</v>
      </c>
      <c r="F867" s="11" t="s">
        <v>17</v>
      </c>
      <c r="G867" s="10" t="s">
        <v>18</v>
      </c>
      <c r="H867" s="11" t="s">
        <v>19</v>
      </c>
      <c r="I867" s="11" t="s">
        <v>20</v>
      </c>
      <c r="J867" s="11"/>
      <c r="K867" s="11" t="s">
        <v>85</v>
      </c>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4"/>
    </row>
    <row r="868" spans="1:35" ht="15.75" hidden="1" customHeight="1" x14ac:dyDescent="0.25">
      <c r="A868" s="9">
        <v>9</v>
      </c>
      <c r="B868" s="10" t="s">
        <v>83</v>
      </c>
      <c r="C868" s="10" t="s">
        <v>15</v>
      </c>
      <c r="D868" s="10" t="s">
        <v>45</v>
      </c>
      <c r="E868" s="11" t="s">
        <v>169</v>
      </c>
      <c r="F868" s="11" t="s">
        <v>17</v>
      </c>
      <c r="G868" s="10" t="s">
        <v>24</v>
      </c>
      <c r="H868" s="11" t="s">
        <v>19</v>
      </c>
      <c r="I868" s="11" t="s">
        <v>20</v>
      </c>
      <c r="J868" s="11"/>
      <c r="K868" s="11" t="s">
        <v>85</v>
      </c>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4"/>
    </row>
    <row r="869" spans="1:35" ht="15.75" hidden="1" customHeight="1" x14ac:dyDescent="0.25">
      <c r="A869" s="9">
        <v>10</v>
      </c>
      <c r="B869" s="10" t="s">
        <v>83</v>
      </c>
      <c r="C869" s="10" t="s">
        <v>15</v>
      </c>
      <c r="D869" s="10" t="s">
        <v>45</v>
      </c>
      <c r="E869" s="11" t="s">
        <v>169</v>
      </c>
      <c r="F869" s="11" t="s">
        <v>17</v>
      </c>
      <c r="G869" s="10" t="s">
        <v>24</v>
      </c>
      <c r="H869" s="11" t="s">
        <v>19</v>
      </c>
      <c r="I869" s="11" t="s">
        <v>20</v>
      </c>
      <c r="J869" s="11"/>
      <c r="K869" s="11" t="s">
        <v>85</v>
      </c>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4"/>
    </row>
    <row r="870" spans="1:35" ht="15.75" hidden="1" customHeight="1" x14ac:dyDescent="0.25">
      <c r="A870" s="9">
        <v>12</v>
      </c>
      <c r="B870" s="10" t="s">
        <v>83</v>
      </c>
      <c r="C870" s="10" t="s">
        <v>15</v>
      </c>
      <c r="D870" s="10" t="s">
        <v>45</v>
      </c>
      <c r="E870" s="11" t="s">
        <v>169</v>
      </c>
      <c r="F870" s="11" t="s">
        <v>17</v>
      </c>
      <c r="G870" s="10" t="s">
        <v>18</v>
      </c>
      <c r="H870" s="11" t="s">
        <v>19</v>
      </c>
      <c r="I870" s="11" t="s">
        <v>20</v>
      </c>
      <c r="J870" s="11"/>
      <c r="K870" s="11" t="s">
        <v>85</v>
      </c>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4"/>
    </row>
    <row r="871" spans="1:35" ht="15.75" hidden="1" customHeight="1" x14ac:dyDescent="0.25">
      <c r="A871" s="9">
        <v>13</v>
      </c>
      <c r="B871" s="10" t="s">
        <v>83</v>
      </c>
      <c r="C871" s="10" t="s">
        <v>15</v>
      </c>
      <c r="D871" s="10" t="s">
        <v>45</v>
      </c>
      <c r="E871" s="11" t="s">
        <v>169</v>
      </c>
      <c r="F871" s="11" t="s">
        <v>17</v>
      </c>
      <c r="G871" s="10" t="s">
        <v>18</v>
      </c>
      <c r="H871" s="11" t="s">
        <v>19</v>
      </c>
      <c r="I871" s="11" t="s">
        <v>20</v>
      </c>
      <c r="J871" s="11"/>
      <c r="K871" s="11" t="s">
        <v>85</v>
      </c>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4"/>
    </row>
    <row r="872" spans="1:35" ht="15.75" hidden="1" customHeight="1" x14ac:dyDescent="0.25">
      <c r="A872" s="9">
        <v>14</v>
      </c>
      <c r="B872" s="10" t="s">
        <v>83</v>
      </c>
      <c r="C872" s="10" t="s">
        <v>15</v>
      </c>
      <c r="D872" s="10" t="s">
        <v>45</v>
      </c>
      <c r="E872" s="11" t="s">
        <v>169</v>
      </c>
      <c r="F872" s="11" t="s">
        <v>17</v>
      </c>
      <c r="G872" s="10" t="s">
        <v>18</v>
      </c>
      <c r="H872" s="11" t="s">
        <v>19</v>
      </c>
      <c r="I872" s="11" t="s">
        <v>20</v>
      </c>
      <c r="J872" s="11"/>
      <c r="K872" s="11" t="s">
        <v>85</v>
      </c>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4"/>
    </row>
    <row r="873" spans="1:35" ht="15.75" hidden="1" customHeight="1" x14ac:dyDescent="0.25">
      <c r="A873" s="9">
        <v>15</v>
      </c>
      <c r="B873" s="10" t="s">
        <v>83</v>
      </c>
      <c r="C873" s="10" t="s">
        <v>15</v>
      </c>
      <c r="D873" s="10" t="s">
        <v>45</v>
      </c>
      <c r="E873" s="11" t="s">
        <v>169</v>
      </c>
      <c r="F873" s="11" t="s">
        <v>17</v>
      </c>
      <c r="G873" s="10" t="s">
        <v>24</v>
      </c>
      <c r="H873" s="11" t="s">
        <v>19</v>
      </c>
      <c r="I873" s="11" t="s">
        <v>20</v>
      </c>
      <c r="J873" s="11"/>
      <c r="K873" s="11" t="s">
        <v>85</v>
      </c>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4"/>
    </row>
    <row r="874" spans="1:35" ht="15.75" hidden="1" customHeight="1" x14ac:dyDescent="0.25">
      <c r="A874" s="9">
        <v>16</v>
      </c>
      <c r="B874" s="10" t="s">
        <v>83</v>
      </c>
      <c r="C874" s="10" t="s">
        <v>15</v>
      </c>
      <c r="D874" s="10" t="s">
        <v>45</v>
      </c>
      <c r="E874" s="11" t="s">
        <v>169</v>
      </c>
      <c r="F874" s="11" t="s">
        <v>17</v>
      </c>
      <c r="G874" s="10" t="s">
        <v>24</v>
      </c>
      <c r="H874" s="11" t="s">
        <v>19</v>
      </c>
      <c r="I874" s="11" t="s">
        <v>20</v>
      </c>
      <c r="J874" s="11"/>
      <c r="K874" s="11" t="s">
        <v>85</v>
      </c>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4"/>
    </row>
    <row r="875" spans="1:35" ht="15.75" hidden="1" customHeight="1" x14ac:dyDescent="0.25">
      <c r="A875" s="9">
        <v>17</v>
      </c>
      <c r="B875" s="10" t="s">
        <v>83</v>
      </c>
      <c r="C875" s="10" t="s">
        <v>15</v>
      </c>
      <c r="D875" s="10" t="s">
        <v>45</v>
      </c>
      <c r="E875" s="11" t="s">
        <v>169</v>
      </c>
      <c r="F875" s="11" t="s">
        <v>17</v>
      </c>
      <c r="G875" s="10" t="s">
        <v>24</v>
      </c>
      <c r="H875" s="11" t="s">
        <v>19</v>
      </c>
      <c r="I875" s="11" t="s">
        <v>20</v>
      </c>
      <c r="J875" s="11"/>
      <c r="K875" s="11" t="s">
        <v>85</v>
      </c>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4"/>
    </row>
    <row r="876" spans="1:35" ht="15.75" hidden="1" customHeight="1" x14ac:dyDescent="0.25">
      <c r="A876" s="9">
        <v>18</v>
      </c>
      <c r="B876" s="10" t="s">
        <v>83</v>
      </c>
      <c r="C876" s="10" t="s">
        <v>15</v>
      </c>
      <c r="D876" s="10" t="s">
        <v>45</v>
      </c>
      <c r="E876" s="11" t="s">
        <v>169</v>
      </c>
      <c r="F876" s="11" t="s">
        <v>17</v>
      </c>
      <c r="G876" s="10" t="s">
        <v>18</v>
      </c>
      <c r="H876" s="11" t="s">
        <v>19</v>
      </c>
      <c r="I876" s="11" t="s">
        <v>20</v>
      </c>
      <c r="J876" s="11"/>
      <c r="K876" s="11" t="s">
        <v>85</v>
      </c>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4"/>
    </row>
    <row r="877" spans="1:35" ht="15.75" hidden="1" customHeight="1" x14ac:dyDescent="0.25">
      <c r="A877" s="9">
        <v>19</v>
      </c>
      <c r="B877" s="10" t="s">
        <v>83</v>
      </c>
      <c r="C877" s="10" t="s">
        <v>15</v>
      </c>
      <c r="D877" s="10" t="s">
        <v>45</v>
      </c>
      <c r="E877" s="11" t="s">
        <v>169</v>
      </c>
      <c r="F877" s="11" t="s">
        <v>17</v>
      </c>
      <c r="G877" s="10" t="s">
        <v>18</v>
      </c>
      <c r="H877" s="11" t="s">
        <v>19</v>
      </c>
      <c r="I877" s="11" t="s">
        <v>20</v>
      </c>
      <c r="J877" s="11"/>
      <c r="K877" s="11" t="s">
        <v>85</v>
      </c>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4"/>
    </row>
    <row r="878" spans="1:35" ht="15.75" hidden="1" customHeight="1" x14ac:dyDescent="0.25">
      <c r="A878" s="9">
        <v>20</v>
      </c>
      <c r="B878" s="10" t="s">
        <v>83</v>
      </c>
      <c r="C878" s="10" t="s">
        <v>15</v>
      </c>
      <c r="D878" s="10" t="s">
        <v>45</v>
      </c>
      <c r="E878" s="11" t="s">
        <v>169</v>
      </c>
      <c r="F878" s="11" t="s">
        <v>17</v>
      </c>
      <c r="G878" s="10" t="s">
        <v>18</v>
      </c>
      <c r="H878" s="11" t="s">
        <v>19</v>
      </c>
      <c r="I878" s="11" t="s">
        <v>20</v>
      </c>
      <c r="J878" s="11"/>
      <c r="K878" s="11" t="s">
        <v>85</v>
      </c>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4"/>
    </row>
    <row r="879" spans="1:35" ht="15.75" hidden="1" customHeight="1" x14ac:dyDescent="0.25">
      <c r="A879" s="9">
        <v>21</v>
      </c>
      <c r="B879" s="10" t="s">
        <v>83</v>
      </c>
      <c r="C879" s="10" t="s">
        <v>15</v>
      </c>
      <c r="D879" s="10" t="s">
        <v>45</v>
      </c>
      <c r="E879" s="11" t="s">
        <v>169</v>
      </c>
      <c r="F879" s="11" t="s">
        <v>17</v>
      </c>
      <c r="G879" s="10" t="s">
        <v>18</v>
      </c>
      <c r="H879" s="11" t="s">
        <v>19</v>
      </c>
      <c r="I879" s="11" t="s">
        <v>20</v>
      </c>
      <c r="J879" s="11"/>
      <c r="K879" s="11" t="s">
        <v>85</v>
      </c>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4"/>
    </row>
    <row r="880" spans="1:35" ht="15.75" hidden="1" customHeight="1" x14ac:dyDescent="0.25">
      <c r="A880" s="9">
        <v>22</v>
      </c>
      <c r="B880" s="10" t="s">
        <v>83</v>
      </c>
      <c r="C880" s="10" t="s">
        <v>15</v>
      </c>
      <c r="D880" s="10" t="s">
        <v>45</v>
      </c>
      <c r="E880" s="11" t="s">
        <v>169</v>
      </c>
      <c r="F880" s="11" t="s">
        <v>17</v>
      </c>
      <c r="G880" s="10" t="s">
        <v>24</v>
      </c>
      <c r="H880" s="11" t="s">
        <v>19</v>
      </c>
      <c r="I880" s="11" t="s">
        <v>20</v>
      </c>
      <c r="J880" s="11"/>
      <c r="K880" s="11" t="s">
        <v>85</v>
      </c>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4"/>
    </row>
    <row r="881" spans="1:35" ht="15.75" hidden="1" customHeight="1" x14ac:dyDescent="0.25">
      <c r="A881" s="9">
        <v>23</v>
      </c>
      <c r="B881" s="10" t="s">
        <v>83</v>
      </c>
      <c r="C881" s="10" t="s">
        <v>15</v>
      </c>
      <c r="D881" s="10" t="s">
        <v>45</v>
      </c>
      <c r="E881" s="11" t="s">
        <v>169</v>
      </c>
      <c r="F881" s="11" t="s">
        <v>17</v>
      </c>
      <c r="G881" s="10" t="s">
        <v>18</v>
      </c>
      <c r="H881" s="11" t="s">
        <v>19</v>
      </c>
      <c r="I881" s="11" t="s">
        <v>20</v>
      </c>
      <c r="J881" s="11"/>
      <c r="K881" s="11" t="s">
        <v>85</v>
      </c>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4"/>
    </row>
    <row r="882" spans="1:35" ht="15.75" hidden="1" customHeight="1" x14ac:dyDescent="0.25">
      <c r="A882" s="9">
        <v>24</v>
      </c>
      <c r="B882" s="10" t="s">
        <v>83</v>
      </c>
      <c r="C882" s="10" t="s">
        <v>15</v>
      </c>
      <c r="D882" s="10" t="s">
        <v>16</v>
      </c>
      <c r="E882" s="11" t="s">
        <v>169</v>
      </c>
      <c r="F882" s="11" t="s">
        <v>17</v>
      </c>
      <c r="G882" s="10" t="s">
        <v>18</v>
      </c>
      <c r="H882" s="11" t="s">
        <v>19</v>
      </c>
      <c r="I882" s="11" t="s">
        <v>20</v>
      </c>
      <c r="J882" s="11"/>
      <c r="K882" s="11" t="s">
        <v>85</v>
      </c>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4"/>
    </row>
    <row r="883" spans="1:35" ht="15.75" hidden="1" customHeight="1" x14ac:dyDescent="0.25">
      <c r="A883" s="9">
        <v>25</v>
      </c>
      <c r="B883" s="10" t="s">
        <v>83</v>
      </c>
      <c r="C883" s="10" t="s">
        <v>15</v>
      </c>
      <c r="D883" s="10" t="s">
        <v>16</v>
      </c>
      <c r="E883" s="11" t="s">
        <v>169</v>
      </c>
      <c r="F883" s="11" t="s">
        <v>17</v>
      </c>
      <c r="G883" s="10" t="s">
        <v>24</v>
      </c>
      <c r="H883" s="11" t="s">
        <v>19</v>
      </c>
      <c r="I883" s="11" t="s">
        <v>20</v>
      </c>
      <c r="J883" s="11"/>
      <c r="K883" s="11" t="s">
        <v>85</v>
      </c>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4"/>
    </row>
    <row r="884" spans="1:35" ht="15.75" hidden="1" customHeight="1" x14ac:dyDescent="0.25">
      <c r="A884" s="9">
        <v>26</v>
      </c>
      <c r="B884" s="10" t="s">
        <v>83</v>
      </c>
      <c r="C884" s="10" t="s">
        <v>15</v>
      </c>
      <c r="D884" s="10" t="s">
        <v>16</v>
      </c>
      <c r="E884" s="11" t="s">
        <v>169</v>
      </c>
      <c r="F884" s="11" t="s">
        <v>17</v>
      </c>
      <c r="G884" s="10" t="s">
        <v>24</v>
      </c>
      <c r="H884" s="11" t="s">
        <v>19</v>
      </c>
      <c r="I884" s="11" t="s">
        <v>20</v>
      </c>
      <c r="J884" s="11"/>
      <c r="K884" s="11" t="s">
        <v>85</v>
      </c>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4"/>
    </row>
    <row r="885" spans="1:35" ht="15.75" hidden="1" customHeight="1" x14ac:dyDescent="0.25">
      <c r="A885" s="9">
        <v>27</v>
      </c>
      <c r="B885" s="10" t="s">
        <v>83</v>
      </c>
      <c r="C885" s="10" t="s">
        <v>15</v>
      </c>
      <c r="D885" s="10" t="s">
        <v>16</v>
      </c>
      <c r="E885" s="11" t="s">
        <v>169</v>
      </c>
      <c r="F885" s="11" t="s">
        <v>17</v>
      </c>
      <c r="G885" s="10" t="s">
        <v>18</v>
      </c>
      <c r="H885" s="11" t="s">
        <v>19</v>
      </c>
      <c r="I885" s="11" t="s">
        <v>20</v>
      </c>
      <c r="J885" s="11"/>
      <c r="K885" s="11" t="s">
        <v>85</v>
      </c>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4"/>
    </row>
    <row r="886" spans="1:35" ht="15.75" hidden="1" customHeight="1" x14ac:dyDescent="0.25">
      <c r="A886" s="9">
        <v>28</v>
      </c>
      <c r="B886" s="10" t="s">
        <v>83</v>
      </c>
      <c r="C886" s="10" t="s">
        <v>15</v>
      </c>
      <c r="D886" s="10" t="s">
        <v>16</v>
      </c>
      <c r="E886" s="11" t="s">
        <v>169</v>
      </c>
      <c r="F886" s="11" t="s">
        <v>17</v>
      </c>
      <c r="G886" s="10" t="s">
        <v>18</v>
      </c>
      <c r="H886" s="11" t="s">
        <v>19</v>
      </c>
      <c r="I886" s="11" t="s">
        <v>20</v>
      </c>
      <c r="J886" s="11"/>
      <c r="K886" s="11" t="s">
        <v>85</v>
      </c>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4"/>
    </row>
    <row r="887" spans="1:35" ht="15.75" hidden="1" customHeight="1" x14ac:dyDescent="0.25">
      <c r="A887" s="9">
        <v>29</v>
      </c>
      <c r="B887" s="10" t="s">
        <v>83</v>
      </c>
      <c r="C887" s="10" t="s">
        <v>15</v>
      </c>
      <c r="D887" s="10" t="s">
        <v>16</v>
      </c>
      <c r="E887" s="11" t="s">
        <v>169</v>
      </c>
      <c r="F887" s="11" t="s">
        <v>17</v>
      </c>
      <c r="G887" s="10" t="s">
        <v>18</v>
      </c>
      <c r="H887" s="11" t="s">
        <v>19</v>
      </c>
      <c r="I887" s="11" t="s">
        <v>20</v>
      </c>
      <c r="J887" s="11"/>
      <c r="K887" s="11" t="s">
        <v>85</v>
      </c>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4"/>
    </row>
    <row r="888" spans="1:35" ht="15.75" hidden="1" customHeight="1" x14ac:dyDescent="0.25">
      <c r="A888" s="9">
        <v>30</v>
      </c>
      <c r="B888" s="10" t="s">
        <v>83</v>
      </c>
      <c r="C888" s="10" t="s">
        <v>15</v>
      </c>
      <c r="D888" s="10" t="s">
        <v>37</v>
      </c>
      <c r="E888" s="11" t="s">
        <v>169</v>
      </c>
      <c r="F888" s="11" t="s">
        <v>17</v>
      </c>
      <c r="G888" s="10" t="s">
        <v>24</v>
      </c>
      <c r="H888" s="11" t="s">
        <v>19</v>
      </c>
      <c r="I888" s="11" t="s">
        <v>20</v>
      </c>
      <c r="J888" s="11"/>
      <c r="K888" s="11" t="s">
        <v>85</v>
      </c>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4"/>
    </row>
    <row r="889" spans="1:35" ht="15.75" hidden="1" customHeight="1" x14ac:dyDescent="0.25">
      <c r="A889" s="9">
        <v>31</v>
      </c>
      <c r="B889" s="10" t="s">
        <v>83</v>
      </c>
      <c r="C889" s="10" t="s">
        <v>15</v>
      </c>
      <c r="D889" s="10" t="s">
        <v>37</v>
      </c>
      <c r="E889" s="11" t="s">
        <v>169</v>
      </c>
      <c r="F889" s="11" t="s">
        <v>17</v>
      </c>
      <c r="G889" s="10" t="s">
        <v>24</v>
      </c>
      <c r="H889" s="11" t="s">
        <v>19</v>
      </c>
      <c r="I889" s="11" t="s">
        <v>20</v>
      </c>
      <c r="J889" s="11"/>
      <c r="K889" s="11" t="s">
        <v>85</v>
      </c>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4"/>
    </row>
    <row r="890" spans="1:35" ht="15.75" hidden="1" customHeight="1" x14ac:dyDescent="0.25">
      <c r="A890" s="9">
        <v>32</v>
      </c>
      <c r="B890" s="10" t="s">
        <v>83</v>
      </c>
      <c r="C890" s="10" t="s">
        <v>15</v>
      </c>
      <c r="D890" s="10" t="s">
        <v>37</v>
      </c>
      <c r="E890" s="11" t="s">
        <v>169</v>
      </c>
      <c r="F890" s="11" t="s">
        <v>17</v>
      </c>
      <c r="G890" s="10" t="s">
        <v>24</v>
      </c>
      <c r="H890" s="11" t="s">
        <v>19</v>
      </c>
      <c r="I890" s="11" t="s">
        <v>20</v>
      </c>
      <c r="J890" s="11"/>
      <c r="K890" s="11" t="s">
        <v>85</v>
      </c>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4"/>
    </row>
    <row r="891" spans="1:35" ht="15.75" hidden="1" customHeight="1" x14ac:dyDescent="0.25">
      <c r="A891" s="9">
        <v>33</v>
      </c>
      <c r="B891" s="10" t="s">
        <v>83</v>
      </c>
      <c r="C891" s="10" t="s">
        <v>15</v>
      </c>
      <c r="D891" s="10" t="s">
        <v>37</v>
      </c>
      <c r="E891" s="11" t="s">
        <v>169</v>
      </c>
      <c r="F891" s="11" t="s">
        <v>17</v>
      </c>
      <c r="G891" s="10" t="s">
        <v>18</v>
      </c>
      <c r="H891" s="11" t="s">
        <v>19</v>
      </c>
      <c r="I891" s="11" t="s">
        <v>20</v>
      </c>
      <c r="J891" s="11"/>
      <c r="K891" s="11" t="s">
        <v>85</v>
      </c>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4"/>
    </row>
    <row r="892" spans="1:35" ht="15.75" hidden="1" customHeight="1" x14ac:dyDescent="0.25">
      <c r="A892" s="9">
        <v>34</v>
      </c>
      <c r="B892" s="10" t="s">
        <v>83</v>
      </c>
      <c r="C892" s="10" t="s">
        <v>15</v>
      </c>
      <c r="D892" s="10" t="s">
        <v>37</v>
      </c>
      <c r="E892" s="11" t="s">
        <v>169</v>
      </c>
      <c r="F892" s="11" t="s">
        <v>17</v>
      </c>
      <c r="G892" s="10" t="s">
        <v>18</v>
      </c>
      <c r="H892" s="11" t="s">
        <v>19</v>
      </c>
      <c r="I892" s="11" t="s">
        <v>20</v>
      </c>
      <c r="J892" s="11"/>
      <c r="K892" s="11" t="s">
        <v>85</v>
      </c>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4"/>
    </row>
    <row r="893" spans="1:35" ht="15.75" hidden="1" customHeight="1" x14ac:dyDescent="0.25">
      <c r="A893" s="9">
        <v>35</v>
      </c>
      <c r="B893" s="10" t="s">
        <v>83</v>
      </c>
      <c r="C893" s="10" t="s">
        <v>15</v>
      </c>
      <c r="D893" s="10" t="s">
        <v>37</v>
      </c>
      <c r="E893" s="11" t="s">
        <v>169</v>
      </c>
      <c r="F893" s="11" t="s">
        <v>17</v>
      </c>
      <c r="G893" s="10" t="s">
        <v>18</v>
      </c>
      <c r="H893" s="11" t="s">
        <v>19</v>
      </c>
      <c r="I893" s="11" t="s">
        <v>20</v>
      </c>
      <c r="J893" s="11"/>
      <c r="K893" s="11" t="s">
        <v>85</v>
      </c>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4"/>
    </row>
    <row r="894" spans="1:35" ht="15.75" hidden="1" customHeight="1" x14ac:dyDescent="0.25">
      <c r="A894" s="9">
        <v>36</v>
      </c>
      <c r="B894" s="10" t="s">
        <v>83</v>
      </c>
      <c r="C894" s="10" t="s">
        <v>15</v>
      </c>
      <c r="D894" s="10" t="s">
        <v>37</v>
      </c>
      <c r="E894" s="11" t="s">
        <v>169</v>
      </c>
      <c r="F894" s="11" t="s">
        <v>17</v>
      </c>
      <c r="G894" s="10" t="s">
        <v>24</v>
      </c>
      <c r="H894" s="11" t="s">
        <v>19</v>
      </c>
      <c r="I894" s="11" t="s">
        <v>20</v>
      </c>
      <c r="J894" s="11"/>
      <c r="K894" s="11" t="s">
        <v>85</v>
      </c>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4"/>
    </row>
    <row r="895" spans="1:35" ht="15.75" hidden="1" customHeight="1" x14ac:dyDescent="0.25">
      <c r="A895" s="9">
        <v>37</v>
      </c>
      <c r="B895" s="10" t="s">
        <v>83</v>
      </c>
      <c r="C895" s="10" t="s">
        <v>15</v>
      </c>
      <c r="D895" s="10" t="s">
        <v>37</v>
      </c>
      <c r="E895" s="11" t="s">
        <v>169</v>
      </c>
      <c r="F895" s="11" t="s">
        <v>17</v>
      </c>
      <c r="G895" s="10" t="s">
        <v>18</v>
      </c>
      <c r="H895" s="11" t="s">
        <v>19</v>
      </c>
      <c r="I895" s="11" t="s">
        <v>20</v>
      </c>
      <c r="J895" s="11"/>
      <c r="K895" s="11" t="s">
        <v>85</v>
      </c>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4"/>
    </row>
    <row r="896" spans="1:35" ht="15.75" hidden="1" customHeight="1" x14ac:dyDescent="0.25">
      <c r="A896" s="9">
        <v>38</v>
      </c>
      <c r="B896" s="10" t="s">
        <v>83</v>
      </c>
      <c r="C896" s="10" t="s">
        <v>15</v>
      </c>
      <c r="D896" s="10" t="s">
        <v>37</v>
      </c>
      <c r="E896" s="11" t="s">
        <v>169</v>
      </c>
      <c r="F896" s="11" t="s">
        <v>17</v>
      </c>
      <c r="G896" s="10" t="s">
        <v>24</v>
      </c>
      <c r="H896" s="11" t="s">
        <v>19</v>
      </c>
      <c r="I896" s="11" t="s">
        <v>20</v>
      </c>
      <c r="J896" s="11"/>
      <c r="K896" s="11" t="s">
        <v>85</v>
      </c>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4"/>
    </row>
    <row r="897" spans="1:35" ht="15.75" hidden="1" customHeight="1" x14ac:dyDescent="0.25">
      <c r="A897" s="9">
        <v>39</v>
      </c>
      <c r="B897" s="10" t="s">
        <v>83</v>
      </c>
      <c r="C897" s="10" t="s">
        <v>15</v>
      </c>
      <c r="D897" s="10" t="s">
        <v>37</v>
      </c>
      <c r="E897" s="11" t="s">
        <v>169</v>
      </c>
      <c r="F897" s="11" t="s">
        <v>17</v>
      </c>
      <c r="G897" s="10" t="s">
        <v>24</v>
      </c>
      <c r="H897" s="11" t="s">
        <v>19</v>
      </c>
      <c r="I897" s="11" t="s">
        <v>20</v>
      </c>
      <c r="J897" s="11"/>
      <c r="K897" s="11" t="s">
        <v>85</v>
      </c>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4"/>
    </row>
    <row r="898" spans="1:35" ht="15.75" hidden="1" customHeight="1" x14ac:dyDescent="0.25">
      <c r="A898" s="9">
        <v>40</v>
      </c>
      <c r="B898" s="10" t="s">
        <v>83</v>
      </c>
      <c r="C898" s="10" t="s">
        <v>15</v>
      </c>
      <c r="D898" s="10" t="s">
        <v>37</v>
      </c>
      <c r="E898" s="11" t="s">
        <v>169</v>
      </c>
      <c r="F898" s="11" t="s">
        <v>17</v>
      </c>
      <c r="G898" s="10" t="s">
        <v>24</v>
      </c>
      <c r="H898" s="11" t="s">
        <v>19</v>
      </c>
      <c r="I898" s="11" t="s">
        <v>20</v>
      </c>
      <c r="J898" s="11"/>
      <c r="K898" s="11" t="s">
        <v>85</v>
      </c>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4"/>
    </row>
    <row r="899" spans="1:35" ht="15.75" hidden="1" customHeight="1" x14ac:dyDescent="0.25">
      <c r="A899" s="9">
        <v>41</v>
      </c>
      <c r="B899" s="10" t="s">
        <v>83</v>
      </c>
      <c r="C899" s="10" t="s">
        <v>15</v>
      </c>
      <c r="D899" s="10" t="s">
        <v>37</v>
      </c>
      <c r="E899" s="11" t="s">
        <v>169</v>
      </c>
      <c r="F899" s="11" t="s">
        <v>17</v>
      </c>
      <c r="G899" s="10" t="s">
        <v>18</v>
      </c>
      <c r="H899" s="11" t="s">
        <v>19</v>
      </c>
      <c r="I899" s="11" t="s">
        <v>20</v>
      </c>
      <c r="J899" s="11"/>
      <c r="K899" s="11" t="s">
        <v>85</v>
      </c>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4"/>
    </row>
    <row r="900" spans="1:35" ht="15.75" hidden="1" customHeight="1" x14ac:dyDescent="0.25">
      <c r="A900" s="9">
        <v>42</v>
      </c>
      <c r="B900" s="10" t="s">
        <v>83</v>
      </c>
      <c r="C900" s="10" t="s">
        <v>41</v>
      </c>
      <c r="D900" s="10" t="s">
        <v>42</v>
      </c>
      <c r="E900" s="11" t="s">
        <v>169</v>
      </c>
      <c r="F900" s="11" t="s">
        <v>17</v>
      </c>
      <c r="G900" s="10" t="s">
        <v>18</v>
      </c>
      <c r="H900" s="11" t="s">
        <v>19</v>
      </c>
      <c r="I900" s="11" t="s">
        <v>20</v>
      </c>
      <c r="J900" s="11"/>
      <c r="K900" s="11" t="s">
        <v>85</v>
      </c>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4"/>
    </row>
    <row r="901" spans="1:35" ht="15.75" hidden="1" customHeight="1" x14ac:dyDescent="0.25">
      <c r="A901" s="9">
        <v>43</v>
      </c>
      <c r="B901" s="10" t="s">
        <v>83</v>
      </c>
      <c r="C901" s="10" t="s">
        <v>41</v>
      </c>
      <c r="D901" s="10" t="s">
        <v>42</v>
      </c>
      <c r="E901" s="11" t="s">
        <v>169</v>
      </c>
      <c r="F901" s="11" t="s">
        <v>17</v>
      </c>
      <c r="G901" s="10" t="s">
        <v>18</v>
      </c>
      <c r="H901" s="11" t="s">
        <v>19</v>
      </c>
      <c r="I901" s="11" t="s">
        <v>20</v>
      </c>
      <c r="J901" s="11"/>
      <c r="K901" s="11" t="s">
        <v>85</v>
      </c>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4"/>
    </row>
    <row r="902" spans="1:35" ht="15.75" hidden="1" customHeight="1" x14ac:dyDescent="0.25">
      <c r="A902" s="9">
        <v>44</v>
      </c>
      <c r="B902" s="10" t="s">
        <v>83</v>
      </c>
      <c r="C902" s="10" t="s">
        <v>41</v>
      </c>
      <c r="D902" s="10" t="s">
        <v>42</v>
      </c>
      <c r="E902" s="11" t="s">
        <v>169</v>
      </c>
      <c r="F902" s="11" t="s">
        <v>17</v>
      </c>
      <c r="G902" s="10" t="s">
        <v>24</v>
      </c>
      <c r="H902" s="11" t="s">
        <v>19</v>
      </c>
      <c r="I902" s="11" t="s">
        <v>20</v>
      </c>
      <c r="J902" s="11"/>
      <c r="K902" s="11" t="s">
        <v>85</v>
      </c>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4"/>
    </row>
    <row r="903" spans="1:35" ht="15.75" hidden="1" customHeight="1" x14ac:dyDescent="0.25">
      <c r="A903" s="9">
        <v>45</v>
      </c>
      <c r="B903" s="10" t="s">
        <v>83</v>
      </c>
      <c r="C903" s="10" t="s">
        <v>41</v>
      </c>
      <c r="D903" s="10" t="s">
        <v>42</v>
      </c>
      <c r="E903" s="11" t="s">
        <v>169</v>
      </c>
      <c r="F903" s="11" t="s">
        <v>17</v>
      </c>
      <c r="G903" s="10" t="s">
        <v>18</v>
      </c>
      <c r="H903" s="11" t="s">
        <v>19</v>
      </c>
      <c r="I903" s="11" t="s">
        <v>20</v>
      </c>
      <c r="J903" s="11"/>
      <c r="K903" s="11" t="s">
        <v>85</v>
      </c>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4"/>
    </row>
    <row r="904" spans="1:35" ht="15.75" hidden="1" customHeight="1" x14ac:dyDescent="0.25">
      <c r="A904" s="9">
        <v>46</v>
      </c>
      <c r="B904" s="10" t="s">
        <v>83</v>
      </c>
      <c r="C904" s="10" t="s">
        <v>41</v>
      </c>
      <c r="D904" s="10" t="s">
        <v>42</v>
      </c>
      <c r="E904" s="11" t="s">
        <v>169</v>
      </c>
      <c r="F904" s="11" t="s">
        <v>17</v>
      </c>
      <c r="G904" s="10" t="s">
        <v>24</v>
      </c>
      <c r="H904" s="11" t="s">
        <v>19</v>
      </c>
      <c r="I904" s="11" t="s">
        <v>20</v>
      </c>
      <c r="J904" s="11"/>
      <c r="K904" s="11" t="s">
        <v>85</v>
      </c>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4"/>
    </row>
    <row r="905" spans="1:35" ht="15.75" hidden="1" customHeight="1" x14ac:dyDescent="0.25">
      <c r="A905" s="9">
        <v>47</v>
      </c>
      <c r="B905" s="10" t="s">
        <v>83</v>
      </c>
      <c r="C905" s="10" t="s">
        <v>41</v>
      </c>
      <c r="D905" s="10" t="s">
        <v>42</v>
      </c>
      <c r="E905" s="11" t="s">
        <v>169</v>
      </c>
      <c r="F905" s="11" t="s">
        <v>17</v>
      </c>
      <c r="G905" s="10" t="s">
        <v>24</v>
      </c>
      <c r="H905" s="11" t="s">
        <v>19</v>
      </c>
      <c r="I905" s="11" t="s">
        <v>20</v>
      </c>
      <c r="J905" s="11"/>
      <c r="K905" s="11" t="s">
        <v>85</v>
      </c>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4"/>
    </row>
    <row r="906" spans="1:35" ht="15.75" hidden="1" customHeight="1" x14ac:dyDescent="0.25">
      <c r="A906" s="9">
        <v>50</v>
      </c>
      <c r="B906" s="10" t="s">
        <v>83</v>
      </c>
      <c r="C906" s="10" t="s">
        <v>41</v>
      </c>
      <c r="D906" s="10" t="s">
        <v>42</v>
      </c>
      <c r="E906" s="11" t="s">
        <v>169</v>
      </c>
      <c r="F906" s="11" t="s">
        <v>17</v>
      </c>
      <c r="G906" s="10" t="s">
        <v>18</v>
      </c>
      <c r="H906" s="11" t="s">
        <v>19</v>
      </c>
      <c r="I906" s="11" t="s">
        <v>20</v>
      </c>
      <c r="J906" s="11"/>
      <c r="K906" s="11" t="s">
        <v>85</v>
      </c>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4"/>
    </row>
    <row r="907" spans="1:35" ht="15.75" hidden="1" customHeight="1" x14ac:dyDescent="0.25">
      <c r="A907" s="9">
        <v>51</v>
      </c>
      <c r="B907" s="10" t="s">
        <v>83</v>
      </c>
      <c r="C907" s="10" t="s">
        <v>41</v>
      </c>
      <c r="D907" s="10" t="s">
        <v>42</v>
      </c>
      <c r="E907" s="11" t="s">
        <v>169</v>
      </c>
      <c r="F907" s="11" t="s">
        <v>17</v>
      </c>
      <c r="G907" s="10" t="s">
        <v>18</v>
      </c>
      <c r="H907" s="11" t="s">
        <v>19</v>
      </c>
      <c r="I907" s="11" t="s">
        <v>20</v>
      </c>
      <c r="J907" s="11"/>
      <c r="K907" s="11" t="s">
        <v>85</v>
      </c>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4"/>
    </row>
    <row r="908" spans="1:35" ht="15.75" hidden="1" customHeight="1" x14ac:dyDescent="0.25">
      <c r="A908" s="9">
        <v>52</v>
      </c>
      <c r="B908" s="10" t="s">
        <v>83</v>
      </c>
      <c r="C908" s="10" t="s">
        <v>41</v>
      </c>
      <c r="D908" s="10" t="s">
        <v>42</v>
      </c>
      <c r="E908" s="11" t="s">
        <v>169</v>
      </c>
      <c r="F908" s="11" t="s">
        <v>17</v>
      </c>
      <c r="G908" s="10" t="s">
        <v>18</v>
      </c>
      <c r="H908" s="11" t="s">
        <v>19</v>
      </c>
      <c r="I908" s="11" t="s">
        <v>20</v>
      </c>
      <c r="J908" s="11"/>
      <c r="K908" s="11" t="s">
        <v>85</v>
      </c>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4"/>
    </row>
    <row r="909" spans="1:35" ht="15.75" hidden="1" customHeight="1" x14ac:dyDescent="0.25">
      <c r="A909" s="9">
        <v>53</v>
      </c>
      <c r="B909" s="10" t="s">
        <v>83</v>
      </c>
      <c r="C909" s="10" t="s">
        <v>41</v>
      </c>
      <c r="D909" s="10" t="s">
        <v>42</v>
      </c>
      <c r="E909" s="11" t="s">
        <v>169</v>
      </c>
      <c r="F909" s="11" t="s">
        <v>17</v>
      </c>
      <c r="G909" s="10" t="s">
        <v>24</v>
      </c>
      <c r="H909" s="11" t="s">
        <v>19</v>
      </c>
      <c r="I909" s="11" t="s">
        <v>20</v>
      </c>
      <c r="J909" s="11"/>
      <c r="K909" s="11" t="s">
        <v>85</v>
      </c>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4"/>
    </row>
    <row r="910" spans="1:35" ht="15.75" hidden="1" customHeight="1" x14ac:dyDescent="0.25">
      <c r="A910" s="9">
        <v>55</v>
      </c>
      <c r="B910" s="10" t="s">
        <v>83</v>
      </c>
      <c r="C910" s="10" t="s">
        <v>41</v>
      </c>
      <c r="D910" s="10" t="s">
        <v>42</v>
      </c>
      <c r="E910" s="11" t="s">
        <v>169</v>
      </c>
      <c r="F910" s="11" t="s">
        <v>17</v>
      </c>
      <c r="G910" s="10" t="s">
        <v>18</v>
      </c>
      <c r="H910" s="11" t="s">
        <v>19</v>
      </c>
      <c r="I910" s="11" t="s">
        <v>20</v>
      </c>
      <c r="J910" s="11"/>
      <c r="K910" s="11" t="s">
        <v>85</v>
      </c>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4"/>
    </row>
    <row r="911" spans="1:35" ht="15.75" hidden="1" customHeight="1" x14ac:dyDescent="0.25">
      <c r="A911" s="9">
        <v>57</v>
      </c>
      <c r="B911" s="10" t="s">
        <v>83</v>
      </c>
      <c r="C911" s="10" t="s">
        <v>41</v>
      </c>
      <c r="D911" s="10" t="s">
        <v>42</v>
      </c>
      <c r="E911" s="11" t="s">
        <v>169</v>
      </c>
      <c r="F911" s="11" t="s">
        <v>17</v>
      </c>
      <c r="G911" s="10" t="s">
        <v>18</v>
      </c>
      <c r="H911" s="11" t="s">
        <v>19</v>
      </c>
      <c r="I911" s="11" t="s">
        <v>20</v>
      </c>
      <c r="J911" s="11"/>
      <c r="K911" s="11" t="s">
        <v>85</v>
      </c>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4"/>
    </row>
    <row r="912" spans="1:35" ht="15.75" hidden="1" customHeight="1" x14ac:dyDescent="0.25">
      <c r="A912" s="9">
        <v>59</v>
      </c>
      <c r="B912" s="10" t="s">
        <v>83</v>
      </c>
      <c r="C912" s="10" t="s">
        <v>41</v>
      </c>
      <c r="D912" s="10" t="s">
        <v>42</v>
      </c>
      <c r="E912" s="11" t="s">
        <v>169</v>
      </c>
      <c r="F912" s="11" t="s">
        <v>17</v>
      </c>
      <c r="G912" s="10" t="s">
        <v>18</v>
      </c>
      <c r="H912" s="11" t="s">
        <v>19</v>
      </c>
      <c r="I912" s="11" t="s">
        <v>20</v>
      </c>
      <c r="J912" s="11"/>
      <c r="K912" s="11" t="s">
        <v>85</v>
      </c>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4"/>
    </row>
    <row r="913" spans="1:35" ht="15.75" hidden="1" customHeight="1" x14ac:dyDescent="0.25">
      <c r="A913" s="9">
        <v>60</v>
      </c>
      <c r="B913" s="10" t="s">
        <v>83</v>
      </c>
      <c r="C913" s="10" t="s">
        <v>41</v>
      </c>
      <c r="D913" s="10" t="s">
        <v>42</v>
      </c>
      <c r="E913" s="11" t="s">
        <v>169</v>
      </c>
      <c r="F913" s="11" t="s">
        <v>17</v>
      </c>
      <c r="G913" s="10" t="s">
        <v>24</v>
      </c>
      <c r="H913" s="11" t="s">
        <v>19</v>
      </c>
      <c r="I913" s="11" t="s">
        <v>20</v>
      </c>
      <c r="J913" s="11"/>
      <c r="K913" s="11" t="s">
        <v>85</v>
      </c>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4"/>
    </row>
    <row r="914" spans="1:35" ht="15.75" hidden="1" customHeight="1" x14ac:dyDescent="0.25">
      <c r="A914" s="9">
        <v>61</v>
      </c>
      <c r="B914" s="10" t="s">
        <v>83</v>
      </c>
      <c r="C914" s="10" t="s">
        <v>41</v>
      </c>
      <c r="D914" s="10" t="s">
        <v>42</v>
      </c>
      <c r="E914" s="11" t="s">
        <v>169</v>
      </c>
      <c r="F914" s="11" t="s">
        <v>17</v>
      </c>
      <c r="G914" s="10" t="s">
        <v>24</v>
      </c>
      <c r="H914" s="11" t="s">
        <v>19</v>
      </c>
      <c r="I914" s="11" t="s">
        <v>20</v>
      </c>
      <c r="J914" s="11"/>
      <c r="K914" s="11" t="s">
        <v>85</v>
      </c>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4"/>
    </row>
    <row r="915" spans="1:35" ht="15.75" hidden="1" customHeight="1" x14ac:dyDescent="0.25">
      <c r="A915" s="9">
        <v>62</v>
      </c>
      <c r="B915" s="10" t="s">
        <v>83</v>
      </c>
      <c r="C915" s="10" t="s">
        <v>41</v>
      </c>
      <c r="D915" s="10" t="s">
        <v>42</v>
      </c>
      <c r="E915" s="11" t="s">
        <v>169</v>
      </c>
      <c r="F915" s="11" t="s">
        <v>17</v>
      </c>
      <c r="G915" s="10" t="s">
        <v>24</v>
      </c>
      <c r="H915" s="11" t="s">
        <v>19</v>
      </c>
      <c r="I915" s="11" t="s">
        <v>20</v>
      </c>
      <c r="J915" s="11"/>
      <c r="K915" s="11" t="s">
        <v>85</v>
      </c>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4"/>
    </row>
    <row r="916" spans="1:35" ht="15.75" hidden="1" customHeight="1" x14ac:dyDescent="0.25">
      <c r="A916" s="9">
        <v>63</v>
      </c>
      <c r="B916" s="10" t="s">
        <v>83</v>
      </c>
      <c r="C916" s="10" t="s">
        <v>41</v>
      </c>
      <c r="D916" s="10" t="s">
        <v>42</v>
      </c>
      <c r="E916" s="11" t="s">
        <v>169</v>
      </c>
      <c r="F916" s="11" t="s">
        <v>17</v>
      </c>
      <c r="G916" s="10" t="s">
        <v>18</v>
      </c>
      <c r="H916" s="11" t="s">
        <v>19</v>
      </c>
      <c r="I916" s="11" t="s">
        <v>20</v>
      </c>
      <c r="J916" s="11"/>
      <c r="K916" s="11" t="s">
        <v>85</v>
      </c>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4"/>
    </row>
    <row r="917" spans="1:35" ht="15.75" hidden="1" customHeight="1" x14ac:dyDescent="0.25">
      <c r="A917" s="9">
        <v>64</v>
      </c>
      <c r="B917" s="10" t="s">
        <v>83</v>
      </c>
      <c r="C917" s="10" t="s">
        <v>41</v>
      </c>
      <c r="D917" s="10" t="s">
        <v>42</v>
      </c>
      <c r="E917" s="11" t="s">
        <v>169</v>
      </c>
      <c r="F917" s="11" t="s">
        <v>17</v>
      </c>
      <c r="G917" s="10" t="s">
        <v>18</v>
      </c>
      <c r="H917" s="11" t="s">
        <v>19</v>
      </c>
      <c r="I917" s="11" t="s">
        <v>20</v>
      </c>
      <c r="J917" s="11"/>
      <c r="K917" s="11" t="s">
        <v>85</v>
      </c>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4"/>
    </row>
    <row r="918" spans="1:35" ht="15.75" hidden="1" customHeight="1" x14ac:dyDescent="0.25">
      <c r="A918" s="9">
        <v>65</v>
      </c>
      <c r="B918" s="10" t="s">
        <v>83</v>
      </c>
      <c r="C918" s="10" t="s">
        <v>41</v>
      </c>
      <c r="D918" s="10" t="s">
        <v>42</v>
      </c>
      <c r="E918" s="11" t="s">
        <v>169</v>
      </c>
      <c r="F918" s="11" t="s">
        <v>17</v>
      </c>
      <c r="G918" s="10" t="s">
        <v>24</v>
      </c>
      <c r="H918" s="11" t="s">
        <v>19</v>
      </c>
      <c r="I918" s="11" t="s">
        <v>20</v>
      </c>
      <c r="J918" s="11"/>
      <c r="K918" s="11" t="s">
        <v>85</v>
      </c>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4"/>
    </row>
    <row r="919" spans="1:35" ht="15.75" hidden="1" customHeight="1" x14ac:dyDescent="0.25">
      <c r="A919" s="9">
        <v>66</v>
      </c>
      <c r="B919" s="10" t="s">
        <v>83</v>
      </c>
      <c r="C919" s="10" t="s">
        <v>41</v>
      </c>
      <c r="D919" s="10" t="s">
        <v>42</v>
      </c>
      <c r="E919" s="11" t="s">
        <v>169</v>
      </c>
      <c r="F919" s="11" t="s">
        <v>17</v>
      </c>
      <c r="G919" s="10" t="s">
        <v>18</v>
      </c>
      <c r="H919" s="11" t="s">
        <v>19</v>
      </c>
      <c r="I919" s="11" t="s">
        <v>20</v>
      </c>
      <c r="J919" s="11"/>
      <c r="K919" s="11" t="s">
        <v>85</v>
      </c>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4"/>
    </row>
    <row r="920" spans="1:35" ht="15.75" hidden="1" customHeight="1" x14ac:dyDescent="0.25">
      <c r="A920" s="9">
        <v>67</v>
      </c>
      <c r="B920" s="10" t="s">
        <v>83</v>
      </c>
      <c r="C920" s="10" t="s">
        <v>41</v>
      </c>
      <c r="D920" s="10" t="s">
        <v>43</v>
      </c>
      <c r="E920" s="11" t="s">
        <v>169</v>
      </c>
      <c r="F920" s="11" t="s">
        <v>17</v>
      </c>
      <c r="G920" s="10" t="s">
        <v>24</v>
      </c>
      <c r="H920" s="11" t="s">
        <v>19</v>
      </c>
      <c r="I920" s="11" t="s">
        <v>20</v>
      </c>
      <c r="J920" s="11"/>
      <c r="K920" s="11" t="s">
        <v>85</v>
      </c>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4"/>
    </row>
    <row r="921" spans="1:35" ht="15.75" hidden="1" customHeight="1" x14ac:dyDescent="0.25">
      <c r="A921" s="9">
        <v>68</v>
      </c>
      <c r="B921" s="10" t="s">
        <v>83</v>
      </c>
      <c r="C921" s="10" t="s">
        <v>41</v>
      </c>
      <c r="D921" s="10" t="s">
        <v>43</v>
      </c>
      <c r="E921" s="11" t="s">
        <v>169</v>
      </c>
      <c r="F921" s="11" t="s">
        <v>17</v>
      </c>
      <c r="G921" s="10" t="s">
        <v>24</v>
      </c>
      <c r="H921" s="11" t="s">
        <v>19</v>
      </c>
      <c r="I921" s="11" t="s">
        <v>20</v>
      </c>
      <c r="J921" s="11"/>
      <c r="K921" s="11" t="s">
        <v>85</v>
      </c>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4"/>
    </row>
    <row r="922" spans="1:35" ht="15.75" hidden="1" customHeight="1" x14ac:dyDescent="0.25">
      <c r="A922" s="9">
        <v>69</v>
      </c>
      <c r="B922" s="10" t="s">
        <v>83</v>
      </c>
      <c r="C922" s="10" t="s">
        <v>41</v>
      </c>
      <c r="D922" s="10" t="s">
        <v>43</v>
      </c>
      <c r="E922" s="11" t="s">
        <v>169</v>
      </c>
      <c r="F922" s="11" t="s">
        <v>17</v>
      </c>
      <c r="G922" s="10" t="s">
        <v>18</v>
      </c>
      <c r="H922" s="11" t="s">
        <v>19</v>
      </c>
      <c r="I922" s="11" t="s">
        <v>20</v>
      </c>
      <c r="J922" s="11"/>
      <c r="K922" s="11" t="s">
        <v>85</v>
      </c>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4"/>
    </row>
    <row r="923" spans="1:35" ht="15.75" hidden="1" customHeight="1" x14ac:dyDescent="0.25">
      <c r="A923" s="9">
        <v>70</v>
      </c>
      <c r="B923" s="10" t="s">
        <v>83</v>
      </c>
      <c r="C923" s="10" t="s">
        <v>41</v>
      </c>
      <c r="D923" s="10" t="s">
        <v>43</v>
      </c>
      <c r="E923" s="11" t="s">
        <v>169</v>
      </c>
      <c r="F923" s="11" t="s">
        <v>17</v>
      </c>
      <c r="G923" s="10" t="s">
        <v>24</v>
      </c>
      <c r="H923" s="11" t="s">
        <v>19</v>
      </c>
      <c r="I923" s="11" t="s">
        <v>20</v>
      </c>
      <c r="J923" s="11"/>
      <c r="K923" s="11" t="s">
        <v>85</v>
      </c>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4"/>
    </row>
    <row r="924" spans="1:35" ht="15.75" hidden="1" customHeight="1" x14ac:dyDescent="0.25">
      <c r="A924" s="9">
        <v>72</v>
      </c>
      <c r="B924" s="10" t="s">
        <v>83</v>
      </c>
      <c r="C924" s="10" t="s">
        <v>41</v>
      </c>
      <c r="D924" s="10" t="s">
        <v>43</v>
      </c>
      <c r="E924" s="11" t="s">
        <v>169</v>
      </c>
      <c r="F924" s="11" t="s">
        <v>17</v>
      </c>
      <c r="G924" s="10" t="s">
        <v>24</v>
      </c>
      <c r="H924" s="11" t="s">
        <v>19</v>
      </c>
      <c r="I924" s="11" t="s">
        <v>20</v>
      </c>
      <c r="J924" s="11"/>
      <c r="K924" s="11" t="s">
        <v>85</v>
      </c>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4"/>
    </row>
    <row r="925" spans="1:35" ht="15.75" hidden="1" customHeight="1" x14ac:dyDescent="0.25">
      <c r="A925" s="9">
        <v>73</v>
      </c>
      <c r="B925" s="10" t="s">
        <v>83</v>
      </c>
      <c r="C925" s="10" t="s">
        <v>41</v>
      </c>
      <c r="D925" s="10" t="s">
        <v>43</v>
      </c>
      <c r="E925" s="11" t="s">
        <v>169</v>
      </c>
      <c r="F925" s="11" t="s">
        <v>17</v>
      </c>
      <c r="G925" s="10" t="s">
        <v>18</v>
      </c>
      <c r="H925" s="11" t="s">
        <v>19</v>
      </c>
      <c r="I925" s="11" t="s">
        <v>20</v>
      </c>
      <c r="J925" s="11"/>
      <c r="K925" s="11" t="s">
        <v>85</v>
      </c>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4"/>
    </row>
    <row r="926" spans="1:35" ht="15.75" hidden="1" customHeight="1" x14ac:dyDescent="0.25">
      <c r="A926" s="9">
        <v>74</v>
      </c>
      <c r="B926" s="10" t="s">
        <v>83</v>
      </c>
      <c r="C926" s="10" t="s">
        <v>41</v>
      </c>
      <c r="D926" s="10" t="s">
        <v>43</v>
      </c>
      <c r="E926" s="11" t="s">
        <v>169</v>
      </c>
      <c r="F926" s="11" t="s">
        <v>17</v>
      </c>
      <c r="G926" s="10" t="s">
        <v>18</v>
      </c>
      <c r="H926" s="11" t="s">
        <v>19</v>
      </c>
      <c r="I926" s="11" t="s">
        <v>20</v>
      </c>
      <c r="J926" s="11"/>
      <c r="K926" s="11" t="s">
        <v>85</v>
      </c>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4"/>
    </row>
    <row r="927" spans="1:35" ht="15.75" hidden="1" customHeight="1" x14ac:dyDescent="0.25">
      <c r="A927" s="9">
        <v>75</v>
      </c>
      <c r="B927" s="10" t="s">
        <v>83</v>
      </c>
      <c r="C927" s="10" t="s">
        <v>41</v>
      </c>
      <c r="D927" s="10" t="s">
        <v>43</v>
      </c>
      <c r="E927" s="11" t="s">
        <v>169</v>
      </c>
      <c r="F927" s="11" t="s">
        <v>17</v>
      </c>
      <c r="G927" s="10" t="s">
        <v>24</v>
      </c>
      <c r="H927" s="11" t="s">
        <v>19</v>
      </c>
      <c r="I927" s="11" t="s">
        <v>20</v>
      </c>
      <c r="J927" s="11"/>
      <c r="K927" s="11" t="s">
        <v>85</v>
      </c>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4"/>
    </row>
    <row r="928" spans="1:35" ht="15.75" hidden="1" customHeight="1" x14ac:dyDescent="0.25">
      <c r="A928" s="9">
        <v>77</v>
      </c>
      <c r="B928" s="10" t="s">
        <v>83</v>
      </c>
      <c r="C928" s="10" t="s">
        <v>41</v>
      </c>
      <c r="D928" s="10" t="s">
        <v>43</v>
      </c>
      <c r="E928" s="11" t="s">
        <v>169</v>
      </c>
      <c r="F928" s="11" t="s">
        <v>17</v>
      </c>
      <c r="G928" s="10" t="s">
        <v>24</v>
      </c>
      <c r="H928" s="11" t="s">
        <v>19</v>
      </c>
      <c r="I928" s="11" t="s">
        <v>20</v>
      </c>
      <c r="J928" s="11"/>
      <c r="K928" s="11" t="s">
        <v>85</v>
      </c>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4"/>
    </row>
    <row r="929" spans="1:35" ht="15.75" hidden="1" customHeight="1" x14ac:dyDescent="0.25">
      <c r="A929" s="9">
        <v>78</v>
      </c>
      <c r="B929" s="10" t="s">
        <v>83</v>
      </c>
      <c r="C929" s="10" t="s">
        <v>41</v>
      </c>
      <c r="D929" s="10" t="s">
        <v>43</v>
      </c>
      <c r="E929" s="11" t="s">
        <v>169</v>
      </c>
      <c r="F929" s="11" t="s">
        <v>17</v>
      </c>
      <c r="G929" s="10" t="s">
        <v>18</v>
      </c>
      <c r="H929" s="11" t="s">
        <v>19</v>
      </c>
      <c r="I929" s="11" t="s">
        <v>20</v>
      </c>
      <c r="J929" s="11"/>
      <c r="K929" s="11" t="s">
        <v>85</v>
      </c>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4"/>
    </row>
    <row r="930" spans="1:35" ht="15.75" hidden="1" customHeight="1" x14ac:dyDescent="0.25">
      <c r="A930" s="9">
        <v>80</v>
      </c>
      <c r="B930" s="10" t="s">
        <v>83</v>
      </c>
      <c r="C930" s="10" t="s">
        <v>41</v>
      </c>
      <c r="D930" s="10" t="s">
        <v>43</v>
      </c>
      <c r="E930" s="11" t="s">
        <v>169</v>
      </c>
      <c r="F930" s="11" t="s">
        <v>17</v>
      </c>
      <c r="G930" s="10" t="s">
        <v>18</v>
      </c>
      <c r="H930" s="11" t="s">
        <v>19</v>
      </c>
      <c r="I930" s="11" t="s">
        <v>20</v>
      </c>
      <c r="J930" s="11"/>
      <c r="K930" s="11" t="s">
        <v>85</v>
      </c>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4"/>
    </row>
    <row r="931" spans="1:35" ht="15.75" hidden="1" customHeight="1" x14ac:dyDescent="0.25">
      <c r="A931" s="9">
        <v>81</v>
      </c>
      <c r="B931" s="10" t="s">
        <v>83</v>
      </c>
      <c r="C931" s="10" t="s">
        <v>41</v>
      </c>
      <c r="D931" s="10" t="s">
        <v>43</v>
      </c>
      <c r="E931" s="11" t="s">
        <v>169</v>
      </c>
      <c r="F931" s="11" t="s">
        <v>17</v>
      </c>
      <c r="G931" s="10" t="s">
        <v>18</v>
      </c>
      <c r="H931" s="11" t="s">
        <v>19</v>
      </c>
      <c r="I931" s="11" t="s">
        <v>20</v>
      </c>
      <c r="J931" s="11"/>
      <c r="K931" s="11" t="s">
        <v>85</v>
      </c>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4"/>
    </row>
    <row r="932" spans="1:35" ht="15.75" hidden="1" customHeight="1" x14ac:dyDescent="0.25">
      <c r="A932" s="9">
        <v>82</v>
      </c>
      <c r="B932" s="10" t="s">
        <v>83</v>
      </c>
      <c r="C932" s="10" t="s">
        <v>41</v>
      </c>
      <c r="D932" s="10" t="s">
        <v>43</v>
      </c>
      <c r="E932" s="11" t="s">
        <v>169</v>
      </c>
      <c r="F932" s="11" t="s">
        <v>17</v>
      </c>
      <c r="G932" s="10" t="s">
        <v>24</v>
      </c>
      <c r="H932" s="11" t="s">
        <v>19</v>
      </c>
      <c r="I932" s="11" t="s">
        <v>20</v>
      </c>
      <c r="J932" s="11"/>
      <c r="K932" s="11" t="s">
        <v>85</v>
      </c>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4"/>
    </row>
    <row r="933" spans="1:35" ht="15.75" hidden="1" customHeight="1" x14ac:dyDescent="0.25">
      <c r="A933" s="9">
        <v>84</v>
      </c>
      <c r="B933" s="10" t="s">
        <v>83</v>
      </c>
      <c r="C933" s="10" t="s">
        <v>41</v>
      </c>
      <c r="D933" s="10" t="s">
        <v>43</v>
      </c>
      <c r="E933" s="11" t="s">
        <v>169</v>
      </c>
      <c r="F933" s="11" t="s">
        <v>17</v>
      </c>
      <c r="G933" s="10" t="s">
        <v>24</v>
      </c>
      <c r="H933" s="11" t="s">
        <v>19</v>
      </c>
      <c r="I933" s="11" t="s">
        <v>20</v>
      </c>
      <c r="J933" s="11"/>
      <c r="K933" s="11" t="s">
        <v>85</v>
      </c>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4"/>
    </row>
    <row r="934" spans="1:35" ht="15.75" hidden="1" customHeight="1" x14ac:dyDescent="0.25">
      <c r="A934" s="9">
        <v>85</v>
      </c>
      <c r="B934" s="10" t="s">
        <v>83</v>
      </c>
      <c r="C934" s="10" t="s">
        <v>41</v>
      </c>
      <c r="D934" s="10" t="s">
        <v>43</v>
      </c>
      <c r="E934" s="11" t="s">
        <v>169</v>
      </c>
      <c r="F934" s="11" t="s">
        <v>17</v>
      </c>
      <c r="G934" s="10" t="s">
        <v>18</v>
      </c>
      <c r="H934" s="11" t="s">
        <v>19</v>
      </c>
      <c r="I934" s="11" t="s">
        <v>20</v>
      </c>
      <c r="J934" s="11"/>
      <c r="K934" s="11" t="s">
        <v>85</v>
      </c>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4"/>
    </row>
    <row r="935" spans="1:35" ht="15.75" hidden="1" customHeight="1" x14ac:dyDescent="0.25">
      <c r="A935" s="9">
        <v>87</v>
      </c>
      <c r="B935" s="10" t="s">
        <v>83</v>
      </c>
      <c r="C935" s="10" t="s">
        <v>41</v>
      </c>
      <c r="D935" s="10" t="s">
        <v>43</v>
      </c>
      <c r="E935" s="11" t="s">
        <v>169</v>
      </c>
      <c r="F935" s="11" t="s">
        <v>17</v>
      </c>
      <c r="G935" s="10" t="s">
        <v>24</v>
      </c>
      <c r="H935" s="11" t="s">
        <v>19</v>
      </c>
      <c r="I935" s="11" t="s">
        <v>20</v>
      </c>
      <c r="J935" s="11"/>
      <c r="K935" s="11" t="s">
        <v>85</v>
      </c>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4"/>
    </row>
    <row r="936" spans="1:35" ht="15.75" hidden="1" customHeight="1" x14ac:dyDescent="0.25">
      <c r="A936" s="9">
        <v>88</v>
      </c>
      <c r="B936" s="10" t="s">
        <v>83</v>
      </c>
      <c r="C936" s="10" t="s">
        <v>41</v>
      </c>
      <c r="D936" s="10" t="s">
        <v>43</v>
      </c>
      <c r="E936" s="11" t="s">
        <v>169</v>
      </c>
      <c r="F936" s="11" t="s">
        <v>17</v>
      </c>
      <c r="G936" s="10" t="s">
        <v>18</v>
      </c>
      <c r="H936" s="11" t="s">
        <v>19</v>
      </c>
      <c r="I936" s="11" t="s">
        <v>20</v>
      </c>
      <c r="J936" s="11"/>
      <c r="K936" s="11" t="s">
        <v>85</v>
      </c>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4"/>
    </row>
    <row r="937" spans="1:35" ht="15.75" hidden="1" customHeight="1" x14ac:dyDescent="0.25">
      <c r="A937" s="9">
        <v>89</v>
      </c>
      <c r="B937" s="10" t="s">
        <v>83</v>
      </c>
      <c r="C937" s="10" t="s">
        <v>41</v>
      </c>
      <c r="D937" s="10" t="s">
        <v>43</v>
      </c>
      <c r="E937" s="11" t="s">
        <v>169</v>
      </c>
      <c r="F937" s="11" t="s">
        <v>17</v>
      </c>
      <c r="G937" s="10" t="s">
        <v>18</v>
      </c>
      <c r="H937" s="11" t="s">
        <v>19</v>
      </c>
      <c r="I937" s="11" t="s">
        <v>20</v>
      </c>
      <c r="J937" s="11"/>
      <c r="K937" s="11" t="s">
        <v>85</v>
      </c>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4"/>
    </row>
    <row r="938" spans="1:35" ht="15.75" hidden="1" customHeight="1" x14ac:dyDescent="0.25">
      <c r="A938" s="9">
        <v>90</v>
      </c>
      <c r="B938" s="10" t="s">
        <v>83</v>
      </c>
      <c r="C938" s="10" t="s">
        <v>41</v>
      </c>
      <c r="D938" s="10" t="s">
        <v>43</v>
      </c>
      <c r="E938" s="11" t="s">
        <v>169</v>
      </c>
      <c r="F938" s="11" t="s">
        <v>17</v>
      </c>
      <c r="G938" s="10" t="s">
        <v>24</v>
      </c>
      <c r="H938" s="11" t="s">
        <v>19</v>
      </c>
      <c r="I938" s="11" t="s">
        <v>20</v>
      </c>
      <c r="J938" s="11"/>
      <c r="K938" s="11" t="s">
        <v>85</v>
      </c>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4"/>
    </row>
    <row r="939" spans="1:35" ht="15.75" hidden="1" customHeight="1" x14ac:dyDescent="0.25">
      <c r="A939" s="9">
        <v>91</v>
      </c>
      <c r="B939" s="10" t="s">
        <v>83</v>
      </c>
      <c r="C939" s="10" t="s">
        <v>41</v>
      </c>
      <c r="D939" s="10" t="s">
        <v>43</v>
      </c>
      <c r="E939" s="11" t="s">
        <v>169</v>
      </c>
      <c r="F939" s="11" t="s">
        <v>17</v>
      </c>
      <c r="G939" s="10" t="s">
        <v>18</v>
      </c>
      <c r="H939" s="11" t="s">
        <v>19</v>
      </c>
      <c r="I939" s="11" t="s">
        <v>20</v>
      </c>
      <c r="J939" s="11"/>
      <c r="K939" s="11" t="s">
        <v>85</v>
      </c>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4"/>
    </row>
    <row r="940" spans="1:35" ht="15.75" hidden="1" customHeight="1" x14ac:dyDescent="0.25">
      <c r="A940" s="9">
        <v>92</v>
      </c>
      <c r="B940" s="10" t="s">
        <v>83</v>
      </c>
      <c r="C940" s="10" t="s">
        <v>41</v>
      </c>
      <c r="D940" s="10" t="s">
        <v>43</v>
      </c>
      <c r="E940" s="11" t="s">
        <v>169</v>
      </c>
      <c r="F940" s="11" t="s">
        <v>17</v>
      </c>
      <c r="G940" s="10" t="s">
        <v>24</v>
      </c>
      <c r="H940" s="11" t="s">
        <v>19</v>
      </c>
      <c r="I940" s="11" t="s">
        <v>20</v>
      </c>
      <c r="J940" s="11"/>
      <c r="K940" s="11" t="s">
        <v>85</v>
      </c>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4"/>
    </row>
    <row r="941" spans="1:35" ht="12.5" hidden="1" x14ac:dyDescent="0.25">
      <c r="A941" s="9">
        <v>94</v>
      </c>
      <c r="B941" s="10" t="s">
        <v>83</v>
      </c>
      <c r="C941" s="10" t="s">
        <v>15</v>
      </c>
      <c r="D941" s="10" t="s">
        <v>45</v>
      </c>
      <c r="E941" s="11" t="s">
        <v>170</v>
      </c>
      <c r="F941" s="11" t="s">
        <v>17</v>
      </c>
      <c r="G941" s="10" t="s">
        <v>18</v>
      </c>
      <c r="H941" s="11" t="s">
        <v>19</v>
      </c>
      <c r="I941" s="11" t="s">
        <v>20</v>
      </c>
      <c r="J941" s="11"/>
      <c r="K941" s="11" t="s">
        <v>86</v>
      </c>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4"/>
    </row>
    <row r="942" spans="1:35" ht="12.5" hidden="1" x14ac:dyDescent="0.25">
      <c r="A942" s="9">
        <v>95</v>
      </c>
      <c r="B942" s="10" t="s">
        <v>83</v>
      </c>
      <c r="C942" s="10" t="s">
        <v>15</v>
      </c>
      <c r="D942" s="10" t="s">
        <v>45</v>
      </c>
      <c r="E942" s="11" t="s">
        <v>170</v>
      </c>
      <c r="F942" s="11" t="s">
        <v>17</v>
      </c>
      <c r="G942" s="10" t="s">
        <v>24</v>
      </c>
      <c r="H942" s="11" t="s">
        <v>19</v>
      </c>
      <c r="I942" s="11" t="s">
        <v>20</v>
      </c>
      <c r="J942" s="11"/>
      <c r="K942" s="11" t="s">
        <v>86</v>
      </c>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4"/>
    </row>
    <row r="943" spans="1:35" ht="12.5" hidden="1" x14ac:dyDescent="0.25">
      <c r="A943" s="9">
        <v>96</v>
      </c>
      <c r="B943" s="10" t="s">
        <v>83</v>
      </c>
      <c r="C943" s="10" t="s">
        <v>15</v>
      </c>
      <c r="D943" s="10" t="s">
        <v>45</v>
      </c>
      <c r="E943" s="11" t="s">
        <v>170</v>
      </c>
      <c r="F943" s="11" t="s">
        <v>17</v>
      </c>
      <c r="G943" s="10" t="s">
        <v>18</v>
      </c>
      <c r="H943" s="11" t="s">
        <v>19</v>
      </c>
      <c r="I943" s="11" t="s">
        <v>20</v>
      </c>
      <c r="J943" s="11"/>
      <c r="K943" s="11" t="s">
        <v>86</v>
      </c>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4"/>
    </row>
    <row r="944" spans="1:35" ht="12.5" hidden="1" x14ac:dyDescent="0.25">
      <c r="A944" s="9">
        <v>97</v>
      </c>
      <c r="B944" s="10" t="s">
        <v>83</v>
      </c>
      <c r="C944" s="10" t="s">
        <v>15</v>
      </c>
      <c r="D944" s="10" t="s">
        <v>45</v>
      </c>
      <c r="E944" s="11" t="s">
        <v>170</v>
      </c>
      <c r="F944" s="11" t="s">
        <v>17</v>
      </c>
      <c r="G944" s="10" t="s">
        <v>24</v>
      </c>
      <c r="H944" s="11" t="s">
        <v>19</v>
      </c>
      <c r="I944" s="11" t="s">
        <v>20</v>
      </c>
      <c r="J944" s="11"/>
      <c r="K944" s="11" t="s">
        <v>86</v>
      </c>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4"/>
    </row>
    <row r="945" spans="1:35" ht="12.5" hidden="1" x14ac:dyDescent="0.25">
      <c r="A945" s="9">
        <v>98</v>
      </c>
      <c r="B945" s="10" t="s">
        <v>83</v>
      </c>
      <c r="C945" s="10" t="s">
        <v>15</v>
      </c>
      <c r="D945" s="10" t="s">
        <v>16</v>
      </c>
      <c r="E945" s="11" t="s">
        <v>170</v>
      </c>
      <c r="F945" s="11" t="s">
        <v>17</v>
      </c>
      <c r="G945" s="10" t="s">
        <v>18</v>
      </c>
      <c r="H945" s="11" t="s">
        <v>19</v>
      </c>
      <c r="I945" s="11" t="s">
        <v>20</v>
      </c>
      <c r="J945" s="11"/>
      <c r="K945" s="11" t="s">
        <v>86</v>
      </c>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4"/>
    </row>
    <row r="946" spans="1:35" ht="12.5" hidden="1" x14ac:dyDescent="0.25">
      <c r="A946" s="9">
        <v>99</v>
      </c>
      <c r="B946" s="10" t="s">
        <v>83</v>
      </c>
      <c r="C946" s="10" t="s">
        <v>15</v>
      </c>
      <c r="D946" s="10" t="s">
        <v>16</v>
      </c>
      <c r="E946" s="11" t="s">
        <v>170</v>
      </c>
      <c r="F946" s="11" t="s">
        <v>17</v>
      </c>
      <c r="G946" s="10" t="s">
        <v>18</v>
      </c>
      <c r="H946" s="11" t="s">
        <v>19</v>
      </c>
      <c r="I946" s="11" t="s">
        <v>20</v>
      </c>
      <c r="J946" s="11"/>
      <c r="K946" s="11" t="s">
        <v>86</v>
      </c>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4"/>
    </row>
    <row r="947" spans="1:35" ht="12.5" hidden="1" x14ac:dyDescent="0.25">
      <c r="A947" s="9">
        <v>100</v>
      </c>
      <c r="B947" s="10" t="s">
        <v>83</v>
      </c>
      <c r="C947" s="10" t="s">
        <v>15</v>
      </c>
      <c r="D947" s="10" t="s">
        <v>16</v>
      </c>
      <c r="E947" s="11" t="s">
        <v>170</v>
      </c>
      <c r="F947" s="11" t="s">
        <v>17</v>
      </c>
      <c r="G947" s="10" t="s">
        <v>24</v>
      </c>
      <c r="H947" s="11" t="s">
        <v>19</v>
      </c>
      <c r="I947" s="11" t="s">
        <v>20</v>
      </c>
      <c r="J947" s="11"/>
      <c r="K947" s="11" t="s">
        <v>86</v>
      </c>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4"/>
    </row>
    <row r="948" spans="1:35" ht="12.5" hidden="1" x14ac:dyDescent="0.25">
      <c r="A948" s="9">
        <v>101</v>
      </c>
      <c r="B948" s="10" t="s">
        <v>83</v>
      </c>
      <c r="C948" s="10" t="s">
        <v>15</v>
      </c>
      <c r="D948" s="10" t="s">
        <v>16</v>
      </c>
      <c r="E948" s="11" t="s">
        <v>170</v>
      </c>
      <c r="F948" s="11" t="s">
        <v>17</v>
      </c>
      <c r="G948" s="10" t="s">
        <v>18</v>
      </c>
      <c r="H948" s="11" t="s">
        <v>19</v>
      </c>
      <c r="I948" s="11" t="s">
        <v>20</v>
      </c>
      <c r="J948" s="11"/>
      <c r="K948" s="11" t="s">
        <v>86</v>
      </c>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4"/>
    </row>
    <row r="949" spans="1:35" ht="12.5" hidden="1" x14ac:dyDescent="0.25">
      <c r="A949" s="9">
        <v>102</v>
      </c>
      <c r="B949" s="10" t="s">
        <v>83</v>
      </c>
      <c r="C949" s="10" t="s">
        <v>15</v>
      </c>
      <c r="D949" s="10" t="s">
        <v>16</v>
      </c>
      <c r="E949" s="11" t="s">
        <v>170</v>
      </c>
      <c r="F949" s="11" t="s">
        <v>17</v>
      </c>
      <c r="G949" s="10" t="s">
        <v>18</v>
      </c>
      <c r="H949" s="11" t="s">
        <v>19</v>
      </c>
      <c r="I949" s="11" t="s">
        <v>20</v>
      </c>
      <c r="J949" s="11"/>
      <c r="K949" s="11" t="s">
        <v>86</v>
      </c>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4"/>
    </row>
    <row r="950" spans="1:35" ht="12.5" hidden="1" x14ac:dyDescent="0.25">
      <c r="A950" s="9">
        <v>103</v>
      </c>
      <c r="B950" s="10" t="s">
        <v>83</v>
      </c>
      <c r="C950" s="10" t="s">
        <v>15</v>
      </c>
      <c r="D950" s="10" t="s">
        <v>16</v>
      </c>
      <c r="E950" s="11" t="s">
        <v>170</v>
      </c>
      <c r="F950" s="11" t="s">
        <v>17</v>
      </c>
      <c r="G950" s="10" t="s">
        <v>18</v>
      </c>
      <c r="H950" s="11" t="s">
        <v>19</v>
      </c>
      <c r="I950" s="11" t="s">
        <v>20</v>
      </c>
      <c r="J950" s="11"/>
      <c r="K950" s="11" t="s">
        <v>86</v>
      </c>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4"/>
    </row>
    <row r="951" spans="1:35" ht="12.5" hidden="1" x14ac:dyDescent="0.25">
      <c r="A951" s="9">
        <v>104</v>
      </c>
      <c r="B951" s="10" t="s">
        <v>83</v>
      </c>
      <c r="C951" s="10" t="s">
        <v>15</v>
      </c>
      <c r="D951" s="10" t="s">
        <v>16</v>
      </c>
      <c r="E951" s="11" t="s">
        <v>170</v>
      </c>
      <c r="F951" s="11" t="s">
        <v>17</v>
      </c>
      <c r="G951" s="10" t="s">
        <v>24</v>
      </c>
      <c r="H951" s="11" t="s">
        <v>19</v>
      </c>
      <c r="I951" s="11" t="s">
        <v>20</v>
      </c>
      <c r="J951" s="11"/>
      <c r="K951" s="11" t="s">
        <v>86</v>
      </c>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4"/>
    </row>
    <row r="952" spans="1:35" ht="12.5" hidden="1" x14ac:dyDescent="0.25">
      <c r="A952" s="9">
        <v>105</v>
      </c>
      <c r="B952" s="10" t="s">
        <v>83</v>
      </c>
      <c r="C952" s="10" t="s">
        <v>15</v>
      </c>
      <c r="D952" s="10" t="s">
        <v>37</v>
      </c>
      <c r="E952" s="11" t="s">
        <v>170</v>
      </c>
      <c r="F952" s="11" t="s">
        <v>17</v>
      </c>
      <c r="G952" s="10" t="s">
        <v>24</v>
      </c>
      <c r="H952" s="11" t="s">
        <v>19</v>
      </c>
      <c r="I952" s="11" t="s">
        <v>20</v>
      </c>
      <c r="J952" s="11"/>
      <c r="K952" s="11" t="s">
        <v>86</v>
      </c>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4"/>
    </row>
    <row r="953" spans="1:35" ht="12.5" hidden="1" x14ac:dyDescent="0.25">
      <c r="A953" s="9">
        <v>106</v>
      </c>
      <c r="B953" s="10" t="s">
        <v>83</v>
      </c>
      <c r="C953" s="10" t="s">
        <v>15</v>
      </c>
      <c r="D953" s="10" t="s">
        <v>37</v>
      </c>
      <c r="E953" s="11" t="s">
        <v>170</v>
      </c>
      <c r="F953" s="11" t="s">
        <v>17</v>
      </c>
      <c r="G953" s="10" t="s">
        <v>18</v>
      </c>
      <c r="H953" s="11" t="s">
        <v>19</v>
      </c>
      <c r="I953" s="11" t="s">
        <v>20</v>
      </c>
      <c r="J953" s="11"/>
      <c r="K953" s="11" t="s">
        <v>86</v>
      </c>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4"/>
    </row>
    <row r="954" spans="1:35" ht="12.5" hidden="1" x14ac:dyDescent="0.25">
      <c r="A954" s="9">
        <v>107</v>
      </c>
      <c r="B954" s="10" t="s">
        <v>83</v>
      </c>
      <c r="C954" s="10" t="s">
        <v>15</v>
      </c>
      <c r="D954" s="10" t="s">
        <v>37</v>
      </c>
      <c r="E954" s="11" t="s">
        <v>170</v>
      </c>
      <c r="F954" s="11" t="s">
        <v>17</v>
      </c>
      <c r="G954" s="10" t="s">
        <v>24</v>
      </c>
      <c r="H954" s="11" t="s">
        <v>19</v>
      </c>
      <c r="I954" s="11" t="s">
        <v>20</v>
      </c>
      <c r="J954" s="11"/>
      <c r="K954" s="11" t="s">
        <v>86</v>
      </c>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4"/>
    </row>
    <row r="955" spans="1:35" ht="12.5" hidden="1" x14ac:dyDescent="0.25">
      <c r="A955" s="9">
        <v>108</v>
      </c>
      <c r="B955" s="10" t="s">
        <v>83</v>
      </c>
      <c r="C955" s="10" t="s">
        <v>15</v>
      </c>
      <c r="D955" s="10" t="s">
        <v>45</v>
      </c>
      <c r="E955" s="11" t="s">
        <v>171</v>
      </c>
      <c r="F955" s="11" t="s">
        <v>17</v>
      </c>
      <c r="G955" s="10" t="s">
        <v>18</v>
      </c>
      <c r="H955" s="11" t="s">
        <v>19</v>
      </c>
      <c r="I955" s="11" t="s">
        <v>20</v>
      </c>
      <c r="J955" s="11"/>
      <c r="K955" s="11" t="s">
        <v>87</v>
      </c>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4"/>
    </row>
    <row r="956" spans="1:35" ht="12.5" hidden="1" x14ac:dyDescent="0.25">
      <c r="A956" s="9">
        <v>109</v>
      </c>
      <c r="B956" s="10" t="s">
        <v>83</v>
      </c>
      <c r="C956" s="10" t="s">
        <v>15</v>
      </c>
      <c r="D956" s="10" t="s">
        <v>45</v>
      </c>
      <c r="E956" s="11" t="s">
        <v>171</v>
      </c>
      <c r="F956" s="11" t="s">
        <v>17</v>
      </c>
      <c r="G956" s="10" t="s">
        <v>24</v>
      </c>
      <c r="H956" s="11" t="s">
        <v>19</v>
      </c>
      <c r="I956" s="11" t="s">
        <v>20</v>
      </c>
      <c r="J956" s="11"/>
      <c r="K956" s="11" t="s">
        <v>87</v>
      </c>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4"/>
    </row>
    <row r="957" spans="1:35" ht="12.5" hidden="1" x14ac:dyDescent="0.25">
      <c r="A957" s="9">
        <v>110</v>
      </c>
      <c r="B957" s="10" t="s">
        <v>83</v>
      </c>
      <c r="C957" s="10" t="s">
        <v>15</v>
      </c>
      <c r="D957" s="10" t="s">
        <v>45</v>
      </c>
      <c r="E957" s="11" t="s">
        <v>171</v>
      </c>
      <c r="F957" s="11" t="s">
        <v>17</v>
      </c>
      <c r="G957" s="10" t="s">
        <v>18</v>
      </c>
      <c r="H957" s="11" t="s">
        <v>19</v>
      </c>
      <c r="I957" s="11" t="s">
        <v>20</v>
      </c>
      <c r="J957" s="11"/>
      <c r="K957" s="11" t="s">
        <v>87</v>
      </c>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4"/>
    </row>
    <row r="958" spans="1:35" ht="12.5" hidden="1" x14ac:dyDescent="0.25">
      <c r="A958" s="9">
        <v>111</v>
      </c>
      <c r="B958" s="10" t="s">
        <v>83</v>
      </c>
      <c r="C958" s="10" t="s">
        <v>15</v>
      </c>
      <c r="D958" s="10" t="s">
        <v>45</v>
      </c>
      <c r="E958" s="11" t="s">
        <v>171</v>
      </c>
      <c r="F958" s="11" t="s">
        <v>17</v>
      </c>
      <c r="G958" s="10" t="s">
        <v>24</v>
      </c>
      <c r="H958" s="11" t="s">
        <v>19</v>
      </c>
      <c r="I958" s="11" t="s">
        <v>20</v>
      </c>
      <c r="J958" s="11"/>
      <c r="K958" s="11" t="s">
        <v>87</v>
      </c>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4"/>
    </row>
    <row r="959" spans="1:35" ht="12.5" hidden="1" x14ac:dyDescent="0.25">
      <c r="A959" s="9">
        <v>112</v>
      </c>
      <c r="B959" s="10" t="s">
        <v>83</v>
      </c>
      <c r="C959" s="10" t="s">
        <v>15</v>
      </c>
      <c r="D959" s="10" t="s">
        <v>45</v>
      </c>
      <c r="E959" s="11" t="s">
        <v>171</v>
      </c>
      <c r="F959" s="11" t="s">
        <v>17</v>
      </c>
      <c r="G959" s="10" t="s">
        <v>18</v>
      </c>
      <c r="H959" s="11" t="s">
        <v>19</v>
      </c>
      <c r="I959" s="11" t="s">
        <v>20</v>
      </c>
      <c r="J959" s="11"/>
      <c r="K959" s="11" t="s">
        <v>87</v>
      </c>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4"/>
    </row>
    <row r="960" spans="1:35" ht="12.5" hidden="1" x14ac:dyDescent="0.25">
      <c r="A960" s="9">
        <v>113</v>
      </c>
      <c r="B960" s="10" t="s">
        <v>83</v>
      </c>
      <c r="C960" s="10" t="s">
        <v>15</v>
      </c>
      <c r="D960" s="10" t="s">
        <v>45</v>
      </c>
      <c r="E960" s="11" t="s">
        <v>171</v>
      </c>
      <c r="F960" s="11" t="s">
        <v>17</v>
      </c>
      <c r="G960" s="10" t="s">
        <v>24</v>
      </c>
      <c r="H960" s="11" t="s">
        <v>19</v>
      </c>
      <c r="I960" s="11" t="s">
        <v>20</v>
      </c>
      <c r="J960" s="11"/>
      <c r="K960" s="11" t="s">
        <v>87</v>
      </c>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4"/>
    </row>
    <row r="961" spans="1:35" ht="12.5" hidden="1" x14ac:dyDescent="0.25">
      <c r="A961" s="9">
        <v>114</v>
      </c>
      <c r="B961" s="10" t="s">
        <v>83</v>
      </c>
      <c r="C961" s="10" t="s">
        <v>15</v>
      </c>
      <c r="D961" s="10" t="s">
        <v>16</v>
      </c>
      <c r="E961" s="11" t="s">
        <v>171</v>
      </c>
      <c r="F961" s="11" t="s">
        <v>17</v>
      </c>
      <c r="G961" s="10" t="s">
        <v>24</v>
      </c>
      <c r="H961" s="11" t="s">
        <v>19</v>
      </c>
      <c r="I961" s="11" t="s">
        <v>20</v>
      </c>
      <c r="J961" s="11"/>
      <c r="K961" s="11" t="s">
        <v>87</v>
      </c>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4"/>
    </row>
    <row r="962" spans="1:35" ht="12.5" hidden="1" x14ac:dyDescent="0.25">
      <c r="A962" s="9">
        <v>115</v>
      </c>
      <c r="B962" s="10" t="s">
        <v>83</v>
      </c>
      <c r="C962" s="10" t="s">
        <v>15</v>
      </c>
      <c r="D962" s="10" t="s">
        <v>16</v>
      </c>
      <c r="E962" s="11" t="s">
        <v>171</v>
      </c>
      <c r="F962" s="11" t="s">
        <v>17</v>
      </c>
      <c r="G962" s="10" t="s">
        <v>24</v>
      </c>
      <c r="H962" s="11" t="s">
        <v>19</v>
      </c>
      <c r="I962" s="11" t="s">
        <v>20</v>
      </c>
      <c r="J962" s="11"/>
      <c r="K962" s="11" t="s">
        <v>87</v>
      </c>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4"/>
    </row>
    <row r="963" spans="1:35" ht="12.5" hidden="1" x14ac:dyDescent="0.25">
      <c r="A963" s="9">
        <v>116</v>
      </c>
      <c r="B963" s="10" t="s">
        <v>83</v>
      </c>
      <c r="C963" s="10" t="s">
        <v>15</v>
      </c>
      <c r="D963" s="10" t="s">
        <v>16</v>
      </c>
      <c r="E963" s="11" t="s">
        <v>171</v>
      </c>
      <c r="F963" s="11" t="s">
        <v>17</v>
      </c>
      <c r="G963" s="10" t="s">
        <v>24</v>
      </c>
      <c r="H963" s="11" t="s">
        <v>19</v>
      </c>
      <c r="I963" s="11" t="s">
        <v>20</v>
      </c>
      <c r="J963" s="11"/>
      <c r="K963" s="11" t="s">
        <v>87</v>
      </c>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4"/>
    </row>
    <row r="964" spans="1:35" ht="12.5" hidden="1" x14ac:dyDescent="0.25">
      <c r="A964" s="9">
        <v>117</v>
      </c>
      <c r="B964" s="10" t="s">
        <v>83</v>
      </c>
      <c r="C964" s="10" t="s">
        <v>15</v>
      </c>
      <c r="D964" s="10" t="s">
        <v>16</v>
      </c>
      <c r="E964" s="11" t="s">
        <v>171</v>
      </c>
      <c r="F964" s="11" t="s">
        <v>17</v>
      </c>
      <c r="G964" s="10" t="s">
        <v>18</v>
      </c>
      <c r="H964" s="11" t="s">
        <v>19</v>
      </c>
      <c r="I964" s="11" t="s">
        <v>20</v>
      </c>
      <c r="J964" s="11"/>
      <c r="K964" s="11" t="s">
        <v>87</v>
      </c>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4"/>
    </row>
    <row r="965" spans="1:35" ht="12.5" hidden="1" x14ac:dyDescent="0.25">
      <c r="A965" s="9">
        <v>118</v>
      </c>
      <c r="B965" s="10" t="s">
        <v>83</v>
      </c>
      <c r="C965" s="10" t="s">
        <v>15</v>
      </c>
      <c r="D965" s="10" t="s">
        <v>16</v>
      </c>
      <c r="E965" s="11" t="s">
        <v>171</v>
      </c>
      <c r="F965" s="11" t="s">
        <v>17</v>
      </c>
      <c r="G965" s="10" t="s">
        <v>24</v>
      </c>
      <c r="H965" s="11" t="s">
        <v>19</v>
      </c>
      <c r="I965" s="11" t="s">
        <v>20</v>
      </c>
      <c r="J965" s="11"/>
      <c r="K965" s="11" t="s">
        <v>87</v>
      </c>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4"/>
    </row>
    <row r="966" spans="1:35" ht="12.5" hidden="1" x14ac:dyDescent="0.25">
      <c r="A966" s="9">
        <v>119</v>
      </c>
      <c r="B966" s="10" t="s">
        <v>83</v>
      </c>
      <c r="C966" s="10" t="s">
        <v>15</v>
      </c>
      <c r="D966" s="10" t="s">
        <v>16</v>
      </c>
      <c r="E966" s="11" t="s">
        <v>171</v>
      </c>
      <c r="F966" s="11" t="s">
        <v>17</v>
      </c>
      <c r="G966" s="10" t="s">
        <v>24</v>
      </c>
      <c r="H966" s="11" t="s">
        <v>19</v>
      </c>
      <c r="I966" s="11" t="s">
        <v>20</v>
      </c>
      <c r="J966" s="11"/>
      <c r="K966" s="11" t="s">
        <v>87</v>
      </c>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4"/>
    </row>
    <row r="967" spans="1:35" ht="12.5" hidden="1" x14ac:dyDescent="0.25">
      <c r="A967" s="9">
        <v>120</v>
      </c>
      <c r="B967" s="10" t="s">
        <v>83</v>
      </c>
      <c r="C967" s="10" t="s">
        <v>15</v>
      </c>
      <c r="D967" s="10" t="s">
        <v>16</v>
      </c>
      <c r="E967" s="11" t="s">
        <v>171</v>
      </c>
      <c r="F967" s="11" t="s">
        <v>17</v>
      </c>
      <c r="G967" s="10" t="s">
        <v>24</v>
      </c>
      <c r="H967" s="11" t="s">
        <v>19</v>
      </c>
      <c r="I967" s="11" t="s">
        <v>20</v>
      </c>
      <c r="J967" s="11"/>
      <c r="K967" s="11" t="s">
        <v>87</v>
      </c>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4"/>
    </row>
    <row r="968" spans="1:35" ht="12.5" hidden="1" x14ac:dyDescent="0.25">
      <c r="A968" s="9">
        <v>121</v>
      </c>
      <c r="B968" s="10" t="s">
        <v>83</v>
      </c>
      <c r="C968" s="10" t="s">
        <v>15</v>
      </c>
      <c r="D968" s="10" t="s">
        <v>16</v>
      </c>
      <c r="E968" s="11" t="s">
        <v>171</v>
      </c>
      <c r="F968" s="11" t="s">
        <v>17</v>
      </c>
      <c r="G968" s="10" t="s">
        <v>24</v>
      </c>
      <c r="H968" s="11" t="s">
        <v>19</v>
      </c>
      <c r="I968" s="11" t="s">
        <v>20</v>
      </c>
      <c r="J968" s="11"/>
      <c r="K968" s="11" t="s">
        <v>87</v>
      </c>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4"/>
    </row>
    <row r="969" spans="1:35" ht="12.5" hidden="1" x14ac:dyDescent="0.25">
      <c r="A969" s="9">
        <v>123</v>
      </c>
      <c r="B969" s="10" t="s">
        <v>83</v>
      </c>
      <c r="C969" s="10" t="s">
        <v>15</v>
      </c>
      <c r="D969" s="10" t="s">
        <v>37</v>
      </c>
      <c r="E969" s="11" t="s">
        <v>171</v>
      </c>
      <c r="F969" s="11" t="s">
        <v>17</v>
      </c>
      <c r="G969" s="10" t="s">
        <v>24</v>
      </c>
      <c r="H969" s="11" t="s">
        <v>19</v>
      </c>
      <c r="I969" s="11" t="s">
        <v>20</v>
      </c>
      <c r="J969" s="11"/>
      <c r="K969" s="11" t="s">
        <v>87</v>
      </c>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4"/>
    </row>
    <row r="970" spans="1:35" ht="12.5" hidden="1" x14ac:dyDescent="0.25">
      <c r="A970" s="9">
        <v>124</v>
      </c>
      <c r="B970" s="10" t="s">
        <v>83</v>
      </c>
      <c r="C970" s="10" t="s">
        <v>15</v>
      </c>
      <c r="D970" s="10" t="s">
        <v>37</v>
      </c>
      <c r="E970" s="11" t="s">
        <v>171</v>
      </c>
      <c r="F970" s="11" t="s">
        <v>17</v>
      </c>
      <c r="G970" s="10" t="s">
        <v>24</v>
      </c>
      <c r="H970" s="11" t="s">
        <v>19</v>
      </c>
      <c r="I970" s="11" t="s">
        <v>20</v>
      </c>
      <c r="J970" s="11"/>
      <c r="K970" s="11" t="s">
        <v>87</v>
      </c>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4"/>
    </row>
    <row r="971" spans="1:35" ht="12.5" hidden="1" x14ac:dyDescent="0.25">
      <c r="A971" s="9">
        <v>125</v>
      </c>
      <c r="B971" s="10" t="s">
        <v>83</v>
      </c>
      <c r="C971" s="10" t="s">
        <v>15</v>
      </c>
      <c r="D971" s="10" t="s">
        <v>37</v>
      </c>
      <c r="E971" s="11" t="s">
        <v>171</v>
      </c>
      <c r="F971" s="11" t="s">
        <v>17</v>
      </c>
      <c r="G971" s="10" t="s">
        <v>24</v>
      </c>
      <c r="H971" s="11" t="s">
        <v>19</v>
      </c>
      <c r="I971" s="11" t="s">
        <v>20</v>
      </c>
      <c r="J971" s="11"/>
      <c r="K971" s="11" t="s">
        <v>87</v>
      </c>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4"/>
    </row>
    <row r="972" spans="1:35" ht="12.5" hidden="1" x14ac:dyDescent="0.25">
      <c r="A972" s="9">
        <v>126</v>
      </c>
      <c r="B972" s="10" t="s">
        <v>83</v>
      </c>
      <c r="C972" s="10" t="s">
        <v>15</v>
      </c>
      <c r="D972" s="10" t="s">
        <v>37</v>
      </c>
      <c r="E972" s="11" t="s">
        <v>171</v>
      </c>
      <c r="F972" s="11" t="s">
        <v>17</v>
      </c>
      <c r="G972" s="10" t="s">
        <v>24</v>
      </c>
      <c r="H972" s="11" t="s">
        <v>19</v>
      </c>
      <c r="I972" s="11" t="s">
        <v>20</v>
      </c>
      <c r="J972" s="11"/>
      <c r="K972" s="11" t="s">
        <v>87</v>
      </c>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4"/>
    </row>
    <row r="973" spans="1:35" ht="12.5" hidden="1" x14ac:dyDescent="0.25">
      <c r="A973" s="9">
        <v>127</v>
      </c>
      <c r="B973" s="10" t="s">
        <v>83</v>
      </c>
      <c r="C973" s="10" t="s">
        <v>15</v>
      </c>
      <c r="D973" s="10" t="s">
        <v>37</v>
      </c>
      <c r="E973" s="11" t="s">
        <v>171</v>
      </c>
      <c r="F973" s="11" t="s">
        <v>17</v>
      </c>
      <c r="G973" s="10" t="s">
        <v>18</v>
      </c>
      <c r="H973" s="11" t="s">
        <v>19</v>
      </c>
      <c r="I973" s="11" t="s">
        <v>20</v>
      </c>
      <c r="J973" s="11"/>
      <c r="K973" s="11" t="s">
        <v>87</v>
      </c>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4"/>
    </row>
    <row r="974" spans="1:35" ht="12.5" hidden="1" x14ac:dyDescent="0.25">
      <c r="A974" s="9">
        <v>128</v>
      </c>
      <c r="B974" s="10" t="s">
        <v>83</v>
      </c>
      <c r="C974" s="10" t="s">
        <v>15</v>
      </c>
      <c r="D974" s="10" t="s">
        <v>45</v>
      </c>
      <c r="E974" s="11" t="s">
        <v>172</v>
      </c>
      <c r="F974" s="11" t="s">
        <v>17</v>
      </c>
      <c r="G974" s="10" t="s">
        <v>24</v>
      </c>
      <c r="H974" s="11" t="s">
        <v>19</v>
      </c>
      <c r="I974" s="11" t="s">
        <v>20</v>
      </c>
      <c r="J974" s="11"/>
      <c r="K974" s="11" t="s">
        <v>88</v>
      </c>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4"/>
    </row>
    <row r="975" spans="1:35" ht="12.5" hidden="1" x14ac:dyDescent="0.25">
      <c r="A975" s="9">
        <v>129</v>
      </c>
      <c r="B975" s="10" t="s">
        <v>83</v>
      </c>
      <c r="C975" s="10" t="s">
        <v>15</v>
      </c>
      <c r="D975" s="10" t="s">
        <v>45</v>
      </c>
      <c r="E975" s="11" t="s">
        <v>172</v>
      </c>
      <c r="F975" s="11" t="s">
        <v>17</v>
      </c>
      <c r="G975" s="10" t="s">
        <v>24</v>
      </c>
      <c r="H975" s="11" t="s">
        <v>19</v>
      </c>
      <c r="I975" s="11" t="s">
        <v>20</v>
      </c>
      <c r="J975" s="11"/>
      <c r="K975" s="11" t="s">
        <v>88</v>
      </c>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4"/>
    </row>
    <row r="976" spans="1:35" ht="12.5" hidden="1" x14ac:dyDescent="0.25">
      <c r="A976" s="9">
        <v>130</v>
      </c>
      <c r="B976" s="10" t="s">
        <v>83</v>
      </c>
      <c r="C976" s="10" t="s">
        <v>15</v>
      </c>
      <c r="D976" s="10" t="s">
        <v>45</v>
      </c>
      <c r="E976" s="11" t="s">
        <v>172</v>
      </c>
      <c r="F976" s="11" t="s">
        <v>17</v>
      </c>
      <c r="G976" s="10" t="s">
        <v>24</v>
      </c>
      <c r="H976" s="11" t="s">
        <v>19</v>
      </c>
      <c r="I976" s="11" t="s">
        <v>20</v>
      </c>
      <c r="J976" s="11"/>
      <c r="K976" s="11" t="s">
        <v>88</v>
      </c>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4"/>
    </row>
    <row r="977" spans="1:35" ht="12.5" hidden="1" x14ac:dyDescent="0.25">
      <c r="A977" s="9">
        <v>131</v>
      </c>
      <c r="B977" s="10" t="s">
        <v>83</v>
      </c>
      <c r="C977" s="10" t="s">
        <v>15</v>
      </c>
      <c r="D977" s="10" t="s">
        <v>45</v>
      </c>
      <c r="E977" s="11" t="s">
        <v>172</v>
      </c>
      <c r="F977" s="11" t="s">
        <v>17</v>
      </c>
      <c r="G977" s="10" t="s">
        <v>24</v>
      </c>
      <c r="H977" s="11" t="s">
        <v>19</v>
      </c>
      <c r="I977" s="11" t="s">
        <v>20</v>
      </c>
      <c r="J977" s="11"/>
      <c r="K977" s="11" t="s">
        <v>88</v>
      </c>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4"/>
    </row>
    <row r="978" spans="1:35" ht="12.5" hidden="1" x14ac:dyDescent="0.25">
      <c r="A978" s="9">
        <v>132</v>
      </c>
      <c r="B978" s="10" t="s">
        <v>83</v>
      </c>
      <c r="C978" s="10" t="s">
        <v>15</v>
      </c>
      <c r="D978" s="10" t="s">
        <v>45</v>
      </c>
      <c r="E978" s="11" t="s">
        <v>172</v>
      </c>
      <c r="F978" s="11" t="s">
        <v>17</v>
      </c>
      <c r="G978" s="10" t="s">
        <v>18</v>
      </c>
      <c r="H978" s="11" t="s">
        <v>19</v>
      </c>
      <c r="I978" s="11" t="s">
        <v>20</v>
      </c>
      <c r="J978" s="11"/>
      <c r="K978" s="11" t="s">
        <v>88</v>
      </c>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4"/>
    </row>
    <row r="979" spans="1:35" ht="12.5" hidden="1" x14ac:dyDescent="0.25">
      <c r="A979" s="9">
        <v>133</v>
      </c>
      <c r="B979" s="10" t="s">
        <v>83</v>
      </c>
      <c r="C979" s="10" t="s">
        <v>15</v>
      </c>
      <c r="D979" s="10" t="s">
        <v>45</v>
      </c>
      <c r="E979" s="11" t="s">
        <v>172</v>
      </c>
      <c r="F979" s="11" t="s">
        <v>17</v>
      </c>
      <c r="G979" s="10" t="s">
        <v>18</v>
      </c>
      <c r="H979" s="11" t="s">
        <v>19</v>
      </c>
      <c r="I979" s="11" t="s">
        <v>20</v>
      </c>
      <c r="J979" s="11"/>
      <c r="K979" s="11" t="s">
        <v>88</v>
      </c>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4"/>
    </row>
    <row r="980" spans="1:35" ht="12.5" hidden="1" x14ac:dyDescent="0.25">
      <c r="A980" s="9">
        <v>134</v>
      </c>
      <c r="B980" s="10" t="s">
        <v>83</v>
      </c>
      <c r="C980" s="10" t="s">
        <v>15</v>
      </c>
      <c r="D980" s="10" t="s">
        <v>45</v>
      </c>
      <c r="E980" s="11" t="s">
        <v>172</v>
      </c>
      <c r="F980" s="11" t="s">
        <v>17</v>
      </c>
      <c r="G980" s="10" t="s">
        <v>18</v>
      </c>
      <c r="H980" s="11" t="s">
        <v>19</v>
      </c>
      <c r="I980" s="11" t="s">
        <v>20</v>
      </c>
      <c r="J980" s="11"/>
      <c r="K980" s="11" t="s">
        <v>88</v>
      </c>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4"/>
    </row>
    <row r="981" spans="1:35" ht="12.5" hidden="1" x14ac:dyDescent="0.25">
      <c r="A981" s="9">
        <v>135</v>
      </c>
      <c r="B981" s="10" t="s">
        <v>83</v>
      </c>
      <c r="C981" s="10" t="s">
        <v>15</v>
      </c>
      <c r="D981" s="10" t="s">
        <v>16</v>
      </c>
      <c r="E981" s="11" t="s">
        <v>172</v>
      </c>
      <c r="F981" s="11" t="s">
        <v>17</v>
      </c>
      <c r="G981" s="10" t="s">
        <v>24</v>
      </c>
      <c r="H981" s="11" t="s">
        <v>19</v>
      </c>
      <c r="I981" s="11" t="s">
        <v>20</v>
      </c>
      <c r="J981" s="11"/>
      <c r="K981" s="11" t="s">
        <v>88</v>
      </c>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4"/>
    </row>
    <row r="982" spans="1:35" ht="12.5" hidden="1" x14ac:dyDescent="0.25">
      <c r="A982" s="9">
        <v>136</v>
      </c>
      <c r="B982" s="10" t="s">
        <v>83</v>
      </c>
      <c r="C982" s="10" t="s">
        <v>15</v>
      </c>
      <c r="D982" s="10" t="s">
        <v>16</v>
      </c>
      <c r="E982" s="11" t="s">
        <v>172</v>
      </c>
      <c r="F982" s="11" t="s">
        <v>17</v>
      </c>
      <c r="G982" s="10" t="s">
        <v>18</v>
      </c>
      <c r="H982" s="11" t="s">
        <v>19</v>
      </c>
      <c r="I982" s="11" t="s">
        <v>20</v>
      </c>
      <c r="J982" s="11"/>
      <c r="K982" s="11" t="s">
        <v>88</v>
      </c>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4"/>
    </row>
    <row r="983" spans="1:35" ht="12.5" hidden="1" x14ac:dyDescent="0.25">
      <c r="A983" s="9">
        <v>137</v>
      </c>
      <c r="B983" s="10" t="s">
        <v>83</v>
      </c>
      <c r="C983" s="10" t="s">
        <v>15</v>
      </c>
      <c r="D983" s="10" t="s">
        <v>16</v>
      </c>
      <c r="E983" s="11" t="s">
        <v>172</v>
      </c>
      <c r="F983" s="11" t="s">
        <v>17</v>
      </c>
      <c r="G983" s="10" t="s">
        <v>18</v>
      </c>
      <c r="H983" s="11" t="s">
        <v>19</v>
      </c>
      <c r="I983" s="11" t="s">
        <v>20</v>
      </c>
      <c r="J983" s="11"/>
      <c r="K983" s="11" t="s">
        <v>88</v>
      </c>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4"/>
    </row>
    <row r="984" spans="1:35" ht="12.5" hidden="1" x14ac:dyDescent="0.25">
      <c r="A984" s="9">
        <v>138</v>
      </c>
      <c r="B984" s="10" t="s">
        <v>83</v>
      </c>
      <c r="C984" s="10" t="s">
        <v>15</v>
      </c>
      <c r="D984" s="10" t="s">
        <v>16</v>
      </c>
      <c r="E984" s="11" t="s">
        <v>172</v>
      </c>
      <c r="F984" s="11" t="s">
        <v>17</v>
      </c>
      <c r="G984" s="10" t="s">
        <v>24</v>
      </c>
      <c r="H984" s="11" t="s">
        <v>19</v>
      </c>
      <c r="I984" s="11" t="s">
        <v>20</v>
      </c>
      <c r="J984" s="11"/>
      <c r="K984" s="11" t="s">
        <v>88</v>
      </c>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4"/>
    </row>
    <row r="985" spans="1:35" ht="12.5" hidden="1" x14ac:dyDescent="0.25">
      <c r="A985" s="9">
        <v>139</v>
      </c>
      <c r="B985" s="10" t="s">
        <v>83</v>
      </c>
      <c r="C985" s="10" t="s">
        <v>15</v>
      </c>
      <c r="D985" s="10" t="s">
        <v>16</v>
      </c>
      <c r="E985" s="11" t="s">
        <v>172</v>
      </c>
      <c r="F985" s="11" t="s">
        <v>17</v>
      </c>
      <c r="G985" s="10" t="s">
        <v>24</v>
      </c>
      <c r="H985" s="11" t="s">
        <v>19</v>
      </c>
      <c r="I985" s="11" t="s">
        <v>20</v>
      </c>
      <c r="J985" s="11"/>
      <c r="K985" s="11" t="s">
        <v>88</v>
      </c>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4"/>
    </row>
    <row r="986" spans="1:35" ht="12.5" hidden="1" x14ac:dyDescent="0.25">
      <c r="A986" s="9">
        <v>140</v>
      </c>
      <c r="B986" s="10" t="s">
        <v>83</v>
      </c>
      <c r="C986" s="10" t="s">
        <v>15</v>
      </c>
      <c r="D986" s="10" t="s">
        <v>37</v>
      </c>
      <c r="E986" s="11" t="s">
        <v>172</v>
      </c>
      <c r="F986" s="11" t="s">
        <v>17</v>
      </c>
      <c r="G986" s="10" t="s">
        <v>18</v>
      </c>
      <c r="H986" s="11" t="s">
        <v>19</v>
      </c>
      <c r="I986" s="11" t="s">
        <v>20</v>
      </c>
      <c r="J986" s="11"/>
      <c r="K986" s="11" t="s">
        <v>88</v>
      </c>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4"/>
    </row>
    <row r="987" spans="1:35" ht="12.5" hidden="1" x14ac:dyDescent="0.25">
      <c r="A987" s="9">
        <v>141</v>
      </c>
      <c r="B987" s="10" t="s">
        <v>83</v>
      </c>
      <c r="C987" s="10" t="s">
        <v>15</v>
      </c>
      <c r="D987" s="10" t="s">
        <v>37</v>
      </c>
      <c r="E987" s="11" t="s">
        <v>172</v>
      </c>
      <c r="F987" s="11" t="s">
        <v>17</v>
      </c>
      <c r="G987" s="10" t="s">
        <v>18</v>
      </c>
      <c r="H987" s="11" t="s">
        <v>19</v>
      </c>
      <c r="I987" s="11" t="s">
        <v>20</v>
      </c>
      <c r="J987" s="11"/>
      <c r="K987" s="11" t="s">
        <v>88</v>
      </c>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4"/>
    </row>
    <row r="988" spans="1:35" ht="12.5" hidden="1" x14ac:dyDescent="0.25">
      <c r="A988" s="9">
        <v>142</v>
      </c>
      <c r="B988" s="10" t="s">
        <v>83</v>
      </c>
      <c r="C988" s="10" t="s">
        <v>15</v>
      </c>
      <c r="D988" s="10" t="s">
        <v>37</v>
      </c>
      <c r="E988" s="11" t="s">
        <v>172</v>
      </c>
      <c r="F988" s="11" t="s">
        <v>17</v>
      </c>
      <c r="G988" s="10" t="s">
        <v>18</v>
      </c>
      <c r="H988" s="11" t="s">
        <v>19</v>
      </c>
      <c r="I988" s="11" t="s">
        <v>20</v>
      </c>
      <c r="J988" s="11"/>
      <c r="K988" s="11" t="s">
        <v>88</v>
      </c>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4"/>
    </row>
    <row r="989" spans="1:35" ht="12.5" hidden="1" x14ac:dyDescent="0.25">
      <c r="A989" s="9">
        <v>143</v>
      </c>
      <c r="B989" s="10" t="s">
        <v>83</v>
      </c>
      <c r="C989" s="10" t="s">
        <v>15</v>
      </c>
      <c r="D989" s="10" t="s">
        <v>37</v>
      </c>
      <c r="E989" s="11" t="s">
        <v>172</v>
      </c>
      <c r="F989" s="11" t="s">
        <v>17</v>
      </c>
      <c r="G989" s="10" t="s">
        <v>18</v>
      </c>
      <c r="H989" s="11" t="s">
        <v>19</v>
      </c>
      <c r="I989" s="11" t="s">
        <v>20</v>
      </c>
      <c r="J989" s="11"/>
      <c r="K989" s="11" t="s">
        <v>88</v>
      </c>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4"/>
    </row>
    <row r="990" spans="1:35" ht="12.5" hidden="1" x14ac:dyDescent="0.25">
      <c r="A990" s="9">
        <v>144</v>
      </c>
      <c r="B990" s="10" t="s">
        <v>83</v>
      </c>
      <c r="C990" s="10" t="s">
        <v>15</v>
      </c>
      <c r="D990" s="10" t="s">
        <v>37</v>
      </c>
      <c r="E990" s="11" t="s">
        <v>172</v>
      </c>
      <c r="F990" s="11" t="s">
        <v>17</v>
      </c>
      <c r="G990" s="10" t="s">
        <v>24</v>
      </c>
      <c r="H990" s="11" t="s">
        <v>19</v>
      </c>
      <c r="I990" s="11" t="s">
        <v>20</v>
      </c>
      <c r="J990" s="11"/>
      <c r="K990" s="11" t="s">
        <v>88</v>
      </c>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4"/>
    </row>
    <row r="991" spans="1:35" ht="12.5" hidden="1" x14ac:dyDescent="0.25">
      <c r="A991" s="9">
        <v>145</v>
      </c>
      <c r="B991" s="10" t="s">
        <v>83</v>
      </c>
      <c r="C991" s="10" t="s">
        <v>41</v>
      </c>
      <c r="D991" s="10" t="s">
        <v>42</v>
      </c>
      <c r="E991" s="11" t="s">
        <v>172</v>
      </c>
      <c r="F991" s="11" t="s">
        <v>17</v>
      </c>
      <c r="G991" s="10" t="s">
        <v>24</v>
      </c>
      <c r="H991" s="11" t="s">
        <v>19</v>
      </c>
      <c r="I991" s="11" t="s">
        <v>20</v>
      </c>
      <c r="J991" s="11"/>
      <c r="K991" s="11" t="s">
        <v>88</v>
      </c>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4"/>
    </row>
    <row r="992" spans="1:35" ht="12.5" hidden="1" x14ac:dyDescent="0.25">
      <c r="A992" s="9">
        <v>146</v>
      </c>
      <c r="B992" s="10" t="s">
        <v>83</v>
      </c>
      <c r="C992" s="10" t="s">
        <v>41</v>
      </c>
      <c r="D992" s="10" t="s">
        <v>42</v>
      </c>
      <c r="E992" s="11" t="s">
        <v>172</v>
      </c>
      <c r="F992" s="11" t="s">
        <v>17</v>
      </c>
      <c r="G992" s="10" t="s">
        <v>18</v>
      </c>
      <c r="H992" s="11" t="s">
        <v>19</v>
      </c>
      <c r="I992" s="11" t="s">
        <v>20</v>
      </c>
      <c r="J992" s="11"/>
      <c r="K992" s="11" t="s">
        <v>88</v>
      </c>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4"/>
    </row>
    <row r="993" spans="1:35" ht="12.5" hidden="1" x14ac:dyDescent="0.25">
      <c r="A993" s="9">
        <v>147</v>
      </c>
      <c r="B993" s="10" t="s">
        <v>83</v>
      </c>
      <c r="C993" s="10" t="s">
        <v>41</v>
      </c>
      <c r="D993" s="10" t="s">
        <v>42</v>
      </c>
      <c r="E993" s="11" t="s">
        <v>172</v>
      </c>
      <c r="F993" s="11" t="s">
        <v>17</v>
      </c>
      <c r="G993" s="10" t="s">
        <v>24</v>
      </c>
      <c r="H993" s="11" t="s">
        <v>19</v>
      </c>
      <c r="I993" s="11" t="s">
        <v>20</v>
      </c>
      <c r="J993" s="11"/>
      <c r="K993" s="11" t="s">
        <v>88</v>
      </c>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4"/>
    </row>
    <row r="994" spans="1:35" ht="12.5" hidden="1" x14ac:dyDescent="0.25">
      <c r="A994" s="9">
        <v>148</v>
      </c>
      <c r="B994" s="10" t="s">
        <v>83</v>
      </c>
      <c r="C994" s="10" t="s">
        <v>41</v>
      </c>
      <c r="D994" s="10" t="s">
        <v>42</v>
      </c>
      <c r="E994" s="11" t="s">
        <v>172</v>
      </c>
      <c r="F994" s="11" t="s">
        <v>17</v>
      </c>
      <c r="G994" s="10" t="s">
        <v>24</v>
      </c>
      <c r="H994" s="11" t="s">
        <v>19</v>
      </c>
      <c r="I994" s="11" t="s">
        <v>20</v>
      </c>
      <c r="J994" s="11"/>
      <c r="K994" s="11" t="s">
        <v>88</v>
      </c>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4"/>
    </row>
    <row r="995" spans="1:35" ht="12.5" hidden="1" x14ac:dyDescent="0.25">
      <c r="A995" s="9">
        <v>150</v>
      </c>
      <c r="B995" s="10" t="s">
        <v>83</v>
      </c>
      <c r="C995" s="10" t="s">
        <v>41</v>
      </c>
      <c r="D995" s="10" t="s">
        <v>43</v>
      </c>
      <c r="E995" s="11" t="s">
        <v>172</v>
      </c>
      <c r="F995" s="11" t="s">
        <v>17</v>
      </c>
      <c r="G995" s="10" t="s">
        <v>24</v>
      </c>
      <c r="H995" s="11" t="s">
        <v>19</v>
      </c>
      <c r="I995" s="11" t="s">
        <v>20</v>
      </c>
      <c r="J995" s="11"/>
      <c r="K995" s="11" t="s">
        <v>88</v>
      </c>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4"/>
    </row>
    <row r="996" spans="1:35" ht="12.5" hidden="1" x14ac:dyDescent="0.25">
      <c r="A996" s="9">
        <v>151</v>
      </c>
      <c r="B996" s="10" t="s">
        <v>83</v>
      </c>
      <c r="C996" s="10" t="s">
        <v>41</v>
      </c>
      <c r="D996" s="10" t="s">
        <v>43</v>
      </c>
      <c r="E996" s="11" t="s">
        <v>172</v>
      </c>
      <c r="F996" s="11" t="s">
        <v>17</v>
      </c>
      <c r="G996" s="10" t="s">
        <v>24</v>
      </c>
      <c r="H996" s="11" t="s">
        <v>19</v>
      </c>
      <c r="I996" s="11" t="s">
        <v>20</v>
      </c>
      <c r="J996" s="11"/>
      <c r="K996" s="11" t="s">
        <v>88</v>
      </c>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4"/>
    </row>
    <row r="997" spans="1:35" ht="12.5" hidden="1" x14ac:dyDescent="0.25">
      <c r="A997" s="9">
        <v>152</v>
      </c>
      <c r="B997" s="10" t="s">
        <v>83</v>
      </c>
      <c r="C997" s="10" t="s">
        <v>41</v>
      </c>
      <c r="D997" s="10" t="s">
        <v>43</v>
      </c>
      <c r="E997" s="11" t="s">
        <v>172</v>
      </c>
      <c r="F997" s="11" t="s">
        <v>17</v>
      </c>
      <c r="G997" s="10" t="s">
        <v>18</v>
      </c>
      <c r="H997" s="11" t="s">
        <v>19</v>
      </c>
      <c r="I997" s="11" t="s">
        <v>20</v>
      </c>
      <c r="J997" s="11"/>
      <c r="K997" s="11" t="s">
        <v>88</v>
      </c>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4"/>
    </row>
    <row r="998" spans="1:35" ht="12.5" hidden="1" x14ac:dyDescent="0.25">
      <c r="A998" s="9">
        <v>153</v>
      </c>
      <c r="B998" s="10" t="s">
        <v>83</v>
      </c>
      <c r="C998" s="10" t="s">
        <v>41</v>
      </c>
      <c r="D998" s="10" t="s">
        <v>43</v>
      </c>
      <c r="E998" s="11" t="s">
        <v>172</v>
      </c>
      <c r="F998" s="11" t="s">
        <v>17</v>
      </c>
      <c r="G998" s="10" t="s">
        <v>24</v>
      </c>
      <c r="H998" s="11" t="s">
        <v>19</v>
      </c>
      <c r="I998" s="11" t="s">
        <v>20</v>
      </c>
      <c r="J998" s="11"/>
      <c r="K998" s="11" t="s">
        <v>88</v>
      </c>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4"/>
    </row>
    <row r="999" spans="1:35" ht="12.5" hidden="1" x14ac:dyDescent="0.25">
      <c r="A999" s="9">
        <v>154</v>
      </c>
      <c r="B999" s="10" t="s">
        <v>83</v>
      </c>
      <c r="C999" s="10" t="s">
        <v>41</v>
      </c>
      <c r="D999" s="10" t="s">
        <v>43</v>
      </c>
      <c r="E999" s="11" t="s">
        <v>172</v>
      </c>
      <c r="F999" s="11" t="s">
        <v>17</v>
      </c>
      <c r="G999" s="10" t="s">
        <v>18</v>
      </c>
      <c r="H999" s="11" t="s">
        <v>19</v>
      </c>
      <c r="I999" s="11" t="s">
        <v>20</v>
      </c>
      <c r="J999" s="11"/>
      <c r="K999" s="11" t="s">
        <v>88</v>
      </c>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4"/>
    </row>
    <row r="1000" spans="1:35" ht="12.5" hidden="1" x14ac:dyDescent="0.25">
      <c r="A1000" s="9">
        <v>1</v>
      </c>
      <c r="B1000" s="10" t="s">
        <v>89</v>
      </c>
      <c r="C1000" s="10" t="s">
        <v>41</v>
      </c>
      <c r="D1000" s="10" t="s">
        <v>42</v>
      </c>
      <c r="E1000" s="11" t="s">
        <v>173</v>
      </c>
      <c r="F1000" s="11" t="s">
        <v>17</v>
      </c>
      <c r="G1000" s="10" t="s">
        <v>24</v>
      </c>
      <c r="H1000" s="11" t="s">
        <v>23</v>
      </c>
      <c r="I1000" s="11" t="s">
        <v>20</v>
      </c>
      <c r="J1000" s="11"/>
      <c r="K1000" s="11" t="s">
        <v>90</v>
      </c>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4"/>
    </row>
    <row r="1001" spans="1:35" ht="12.5" hidden="1" x14ac:dyDescent="0.25">
      <c r="A1001" s="9">
        <v>2</v>
      </c>
      <c r="B1001" s="10" t="s">
        <v>89</v>
      </c>
      <c r="C1001" s="10" t="s">
        <v>41</v>
      </c>
      <c r="D1001" s="10" t="s">
        <v>42</v>
      </c>
      <c r="E1001" s="11" t="s">
        <v>173</v>
      </c>
      <c r="F1001" s="11" t="s">
        <v>17</v>
      </c>
      <c r="G1001" s="10" t="s">
        <v>18</v>
      </c>
      <c r="H1001" s="11" t="s">
        <v>23</v>
      </c>
      <c r="I1001" s="11" t="s">
        <v>20</v>
      </c>
      <c r="J1001" s="11"/>
      <c r="K1001" s="11" t="s">
        <v>90</v>
      </c>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4"/>
    </row>
    <row r="1002" spans="1:35" ht="12.5" hidden="1" x14ac:dyDescent="0.25">
      <c r="A1002" s="9">
        <v>3</v>
      </c>
      <c r="B1002" s="10" t="s">
        <v>89</v>
      </c>
      <c r="C1002" s="10" t="s">
        <v>41</v>
      </c>
      <c r="D1002" s="10" t="s">
        <v>42</v>
      </c>
      <c r="E1002" s="11" t="s">
        <v>173</v>
      </c>
      <c r="F1002" s="11" t="s">
        <v>17</v>
      </c>
      <c r="G1002" s="10" t="s">
        <v>24</v>
      </c>
      <c r="H1002" s="11" t="s">
        <v>19</v>
      </c>
      <c r="I1002" s="11" t="s">
        <v>20</v>
      </c>
      <c r="J1002" s="11"/>
      <c r="K1002" s="11" t="s">
        <v>90</v>
      </c>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4"/>
    </row>
    <row r="1003" spans="1:35" ht="12.5" hidden="1" x14ac:dyDescent="0.25">
      <c r="A1003" s="9">
        <v>4</v>
      </c>
      <c r="B1003" s="10" t="s">
        <v>89</v>
      </c>
      <c r="C1003" s="10" t="s">
        <v>41</v>
      </c>
      <c r="D1003" s="10" t="s">
        <v>42</v>
      </c>
      <c r="E1003" s="11" t="s">
        <v>173</v>
      </c>
      <c r="F1003" s="11" t="s">
        <v>17</v>
      </c>
      <c r="G1003" s="10" t="s">
        <v>18</v>
      </c>
      <c r="H1003" s="11" t="s">
        <v>23</v>
      </c>
      <c r="I1003" s="11" t="s">
        <v>20</v>
      </c>
      <c r="J1003" s="11"/>
      <c r="K1003" s="11" t="s">
        <v>90</v>
      </c>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4"/>
    </row>
    <row r="1004" spans="1:35" ht="12.5" hidden="1" x14ac:dyDescent="0.25">
      <c r="A1004" s="9">
        <v>5</v>
      </c>
      <c r="B1004" s="10" t="s">
        <v>89</v>
      </c>
      <c r="C1004" s="10" t="s">
        <v>41</v>
      </c>
      <c r="D1004" s="10" t="s">
        <v>42</v>
      </c>
      <c r="E1004" s="11" t="s">
        <v>173</v>
      </c>
      <c r="F1004" s="11" t="s">
        <v>17</v>
      </c>
      <c r="G1004" s="10" t="s">
        <v>24</v>
      </c>
      <c r="H1004" s="11" t="s">
        <v>19</v>
      </c>
      <c r="I1004" s="11" t="s">
        <v>20</v>
      </c>
      <c r="J1004" s="11"/>
      <c r="K1004" s="11" t="s">
        <v>90</v>
      </c>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4"/>
    </row>
    <row r="1005" spans="1:35" ht="12.5" hidden="1" x14ac:dyDescent="0.25">
      <c r="A1005" s="9">
        <v>6</v>
      </c>
      <c r="B1005" s="10" t="s">
        <v>89</v>
      </c>
      <c r="C1005" s="10" t="s">
        <v>41</v>
      </c>
      <c r="D1005" s="10" t="s">
        <v>42</v>
      </c>
      <c r="E1005" s="11" t="s">
        <v>173</v>
      </c>
      <c r="F1005" s="11" t="s">
        <v>17</v>
      </c>
      <c r="G1005" s="10" t="s">
        <v>24</v>
      </c>
      <c r="H1005" s="11" t="s">
        <v>23</v>
      </c>
      <c r="I1005" s="11" t="s">
        <v>20</v>
      </c>
      <c r="J1005" s="11"/>
      <c r="K1005" s="11" t="s">
        <v>90</v>
      </c>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4"/>
    </row>
    <row r="1006" spans="1:35" ht="12.5" hidden="1" x14ac:dyDescent="0.25">
      <c r="A1006" s="9">
        <v>7</v>
      </c>
      <c r="B1006" s="10" t="s">
        <v>89</v>
      </c>
      <c r="C1006" s="10" t="s">
        <v>41</v>
      </c>
      <c r="D1006" s="10" t="s">
        <v>42</v>
      </c>
      <c r="E1006" s="11" t="s">
        <v>173</v>
      </c>
      <c r="F1006" s="11" t="s">
        <v>17</v>
      </c>
      <c r="G1006" s="10" t="s">
        <v>24</v>
      </c>
      <c r="H1006" s="11" t="s">
        <v>23</v>
      </c>
      <c r="I1006" s="11" t="s">
        <v>20</v>
      </c>
      <c r="J1006" s="11"/>
      <c r="K1006" s="11" t="s">
        <v>90</v>
      </c>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4"/>
    </row>
    <row r="1007" spans="1:35" ht="12.5" hidden="1" x14ac:dyDescent="0.25">
      <c r="A1007" s="9">
        <v>8</v>
      </c>
      <c r="B1007" s="10" t="s">
        <v>89</v>
      </c>
      <c r="C1007" s="10" t="s">
        <v>41</v>
      </c>
      <c r="D1007" s="10" t="s">
        <v>42</v>
      </c>
      <c r="E1007" s="11" t="s">
        <v>173</v>
      </c>
      <c r="F1007" s="11" t="s">
        <v>17</v>
      </c>
      <c r="G1007" s="10" t="s">
        <v>18</v>
      </c>
      <c r="H1007" s="11" t="s">
        <v>19</v>
      </c>
      <c r="I1007" s="11" t="s">
        <v>20</v>
      </c>
      <c r="J1007" s="11"/>
      <c r="K1007" s="11" t="s">
        <v>90</v>
      </c>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4"/>
    </row>
    <row r="1008" spans="1:35" ht="12.5" hidden="1" x14ac:dyDescent="0.25">
      <c r="A1008" s="9">
        <v>9</v>
      </c>
      <c r="B1008" s="10" t="s">
        <v>89</v>
      </c>
      <c r="C1008" s="10" t="s">
        <v>41</v>
      </c>
      <c r="D1008" s="10" t="s">
        <v>42</v>
      </c>
      <c r="E1008" s="11" t="s">
        <v>173</v>
      </c>
      <c r="F1008" s="11" t="s">
        <v>17</v>
      </c>
      <c r="G1008" s="10" t="s">
        <v>24</v>
      </c>
      <c r="H1008" s="11" t="s">
        <v>23</v>
      </c>
      <c r="I1008" s="11" t="s">
        <v>20</v>
      </c>
      <c r="J1008" s="11"/>
      <c r="K1008" s="11" t="s">
        <v>90</v>
      </c>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4"/>
    </row>
    <row r="1009" spans="1:35" ht="12.5" hidden="1" x14ac:dyDescent="0.25">
      <c r="A1009" s="9">
        <v>10</v>
      </c>
      <c r="B1009" s="10" t="s">
        <v>89</v>
      </c>
      <c r="C1009" s="10" t="s">
        <v>41</v>
      </c>
      <c r="D1009" s="10" t="s">
        <v>42</v>
      </c>
      <c r="E1009" s="11" t="s">
        <v>173</v>
      </c>
      <c r="F1009" s="11" t="s">
        <v>17</v>
      </c>
      <c r="G1009" s="10" t="s">
        <v>18</v>
      </c>
      <c r="H1009" s="11" t="s">
        <v>23</v>
      </c>
      <c r="I1009" s="11" t="s">
        <v>20</v>
      </c>
      <c r="J1009" s="11"/>
      <c r="K1009" s="11" t="s">
        <v>90</v>
      </c>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4"/>
    </row>
    <row r="1010" spans="1:35" ht="12.5" hidden="1" x14ac:dyDescent="0.25">
      <c r="A1010" s="9">
        <v>11</v>
      </c>
      <c r="B1010" s="10" t="s">
        <v>89</v>
      </c>
      <c r="C1010" s="10" t="s">
        <v>41</v>
      </c>
      <c r="D1010" s="10" t="s">
        <v>42</v>
      </c>
      <c r="E1010" s="11" t="s">
        <v>173</v>
      </c>
      <c r="F1010" s="11" t="s">
        <v>17</v>
      </c>
      <c r="G1010" s="10" t="s">
        <v>24</v>
      </c>
      <c r="H1010" s="11" t="s">
        <v>23</v>
      </c>
      <c r="I1010" s="11" t="s">
        <v>20</v>
      </c>
      <c r="J1010" s="11"/>
      <c r="K1010" s="11" t="s">
        <v>90</v>
      </c>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4"/>
    </row>
    <row r="1011" spans="1:35" ht="12.5" hidden="1" x14ac:dyDescent="0.25">
      <c r="A1011" s="9">
        <v>12</v>
      </c>
      <c r="B1011" s="10" t="s">
        <v>89</v>
      </c>
      <c r="C1011" s="10" t="s">
        <v>41</v>
      </c>
      <c r="D1011" s="10" t="s">
        <v>43</v>
      </c>
      <c r="E1011" s="11" t="s">
        <v>173</v>
      </c>
      <c r="F1011" s="11" t="s">
        <v>17</v>
      </c>
      <c r="G1011" s="10" t="s">
        <v>24</v>
      </c>
      <c r="H1011" s="11" t="s">
        <v>25</v>
      </c>
      <c r="I1011" s="11" t="s">
        <v>20</v>
      </c>
      <c r="J1011" s="11"/>
      <c r="K1011" s="11" t="s">
        <v>90</v>
      </c>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4"/>
    </row>
    <row r="1012" spans="1:35" ht="12.5" hidden="1" x14ac:dyDescent="0.25">
      <c r="A1012" s="9">
        <v>13</v>
      </c>
      <c r="B1012" s="10" t="s">
        <v>89</v>
      </c>
      <c r="C1012" s="10" t="s">
        <v>41</v>
      </c>
      <c r="D1012" s="10" t="s">
        <v>43</v>
      </c>
      <c r="E1012" s="11" t="s">
        <v>173</v>
      </c>
      <c r="F1012" s="11" t="s">
        <v>17</v>
      </c>
      <c r="G1012" s="10" t="s">
        <v>24</v>
      </c>
      <c r="H1012" s="11" t="s">
        <v>25</v>
      </c>
      <c r="I1012" s="11" t="s">
        <v>20</v>
      </c>
      <c r="J1012" s="11"/>
      <c r="K1012" s="11" t="s">
        <v>90</v>
      </c>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4"/>
    </row>
    <row r="1013" spans="1:35" ht="12.5" hidden="1" x14ac:dyDescent="0.25">
      <c r="A1013" s="9">
        <v>14</v>
      </c>
      <c r="B1013" s="10" t="s">
        <v>89</v>
      </c>
      <c r="C1013" s="10" t="s">
        <v>41</v>
      </c>
      <c r="D1013" s="10" t="s">
        <v>43</v>
      </c>
      <c r="E1013" s="11" t="s">
        <v>173</v>
      </c>
      <c r="F1013" s="11" t="s">
        <v>17</v>
      </c>
      <c r="G1013" s="10" t="s">
        <v>24</v>
      </c>
      <c r="H1013" s="11" t="s">
        <v>25</v>
      </c>
      <c r="I1013" s="11" t="s">
        <v>20</v>
      </c>
      <c r="J1013" s="11"/>
      <c r="K1013" s="11" t="s">
        <v>90</v>
      </c>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4"/>
    </row>
    <row r="1014" spans="1:35" ht="12.5" hidden="1" x14ac:dyDescent="0.25">
      <c r="A1014" s="9">
        <v>15</v>
      </c>
      <c r="B1014" s="10" t="s">
        <v>89</v>
      </c>
      <c r="C1014" s="10" t="s">
        <v>41</v>
      </c>
      <c r="D1014" s="10" t="s">
        <v>43</v>
      </c>
      <c r="E1014" s="11" t="s">
        <v>173</v>
      </c>
      <c r="F1014" s="11" t="s">
        <v>17</v>
      </c>
      <c r="G1014" s="10" t="s">
        <v>24</v>
      </c>
      <c r="H1014" s="11" t="s">
        <v>25</v>
      </c>
      <c r="I1014" s="11" t="s">
        <v>20</v>
      </c>
      <c r="J1014" s="11"/>
      <c r="K1014" s="11" t="s">
        <v>90</v>
      </c>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4"/>
    </row>
    <row r="1015" spans="1:35" ht="12.5" hidden="1" x14ac:dyDescent="0.25">
      <c r="A1015" s="9">
        <v>16</v>
      </c>
      <c r="B1015" s="10" t="s">
        <v>89</v>
      </c>
      <c r="C1015" s="10" t="s">
        <v>41</v>
      </c>
      <c r="D1015" s="10" t="s">
        <v>43</v>
      </c>
      <c r="E1015" s="11" t="s">
        <v>173</v>
      </c>
      <c r="F1015" s="11" t="s">
        <v>17</v>
      </c>
      <c r="G1015" s="10" t="s">
        <v>18</v>
      </c>
      <c r="H1015" s="11" t="s">
        <v>23</v>
      </c>
      <c r="I1015" s="11" t="s">
        <v>20</v>
      </c>
      <c r="J1015" s="11"/>
      <c r="K1015" s="11" t="s">
        <v>90</v>
      </c>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4"/>
    </row>
    <row r="1016" spans="1:35" ht="12.5" hidden="1" x14ac:dyDescent="0.25">
      <c r="A1016" s="9">
        <v>17</v>
      </c>
      <c r="B1016" s="10" t="s">
        <v>89</v>
      </c>
      <c r="C1016" s="10" t="s">
        <v>41</v>
      </c>
      <c r="D1016" s="10" t="s">
        <v>43</v>
      </c>
      <c r="E1016" s="11" t="s">
        <v>173</v>
      </c>
      <c r="F1016" s="11" t="s">
        <v>17</v>
      </c>
      <c r="G1016" s="10" t="s">
        <v>18</v>
      </c>
      <c r="H1016" s="11" t="s">
        <v>23</v>
      </c>
      <c r="I1016" s="11" t="s">
        <v>20</v>
      </c>
      <c r="J1016" s="11"/>
      <c r="K1016" s="11" t="s">
        <v>90</v>
      </c>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4"/>
    </row>
    <row r="1017" spans="1:35" ht="12.5" hidden="1" x14ac:dyDescent="0.25">
      <c r="A1017" s="9">
        <v>18</v>
      </c>
      <c r="B1017" s="10" t="s">
        <v>89</v>
      </c>
      <c r="C1017" s="10" t="s">
        <v>41</v>
      </c>
      <c r="D1017" s="10" t="s">
        <v>43</v>
      </c>
      <c r="E1017" s="11" t="s">
        <v>173</v>
      </c>
      <c r="F1017" s="11" t="s">
        <v>17</v>
      </c>
      <c r="G1017" s="10" t="s">
        <v>18</v>
      </c>
      <c r="H1017" s="11" t="s">
        <v>19</v>
      </c>
      <c r="I1017" s="11" t="s">
        <v>20</v>
      </c>
      <c r="J1017" s="11"/>
      <c r="K1017" s="11" t="s">
        <v>90</v>
      </c>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4"/>
    </row>
    <row r="1018" spans="1:35" ht="12.5" hidden="1" x14ac:dyDescent="0.25">
      <c r="A1018" s="9">
        <v>19</v>
      </c>
      <c r="B1018" s="10" t="s">
        <v>89</v>
      </c>
      <c r="C1018" s="10" t="s">
        <v>41</v>
      </c>
      <c r="D1018" s="10" t="s">
        <v>43</v>
      </c>
      <c r="E1018" s="11" t="s">
        <v>173</v>
      </c>
      <c r="F1018" s="11" t="s">
        <v>17</v>
      </c>
      <c r="G1018" s="10" t="s">
        <v>18</v>
      </c>
      <c r="H1018" s="11" t="s">
        <v>25</v>
      </c>
      <c r="I1018" s="11" t="s">
        <v>20</v>
      </c>
      <c r="J1018" s="11"/>
      <c r="K1018" s="11" t="s">
        <v>90</v>
      </c>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4"/>
    </row>
    <row r="1019" spans="1:35" ht="12.5" hidden="1" x14ac:dyDescent="0.25">
      <c r="A1019" s="9">
        <v>20</v>
      </c>
      <c r="B1019" s="10" t="s">
        <v>89</v>
      </c>
      <c r="C1019" s="10" t="s">
        <v>41</v>
      </c>
      <c r="D1019" s="10" t="s">
        <v>43</v>
      </c>
      <c r="E1019" s="11" t="s">
        <v>173</v>
      </c>
      <c r="F1019" s="11" t="s">
        <v>17</v>
      </c>
      <c r="G1019" s="10" t="s">
        <v>24</v>
      </c>
      <c r="H1019" s="11" t="s">
        <v>23</v>
      </c>
      <c r="I1019" s="11" t="s">
        <v>20</v>
      </c>
      <c r="J1019" s="11"/>
      <c r="K1019" s="11" t="s">
        <v>90</v>
      </c>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4"/>
    </row>
    <row r="1020" spans="1:35" ht="12.5" hidden="1" x14ac:dyDescent="0.25">
      <c r="A1020" s="9">
        <v>21</v>
      </c>
      <c r="B1020" s="10" t="s">
        <v>89</v>
      </c>
      <c r="C1020" s="10" t="s">
        <v>41</v>
      </c>
      <c r="D1020" s="10" t="s">
        <v>43</v>
      </c>
      <c r="E1020" s="11" t="s">
        <v>173</v>
      </c>
      <c r="F1020" s="11" t="s">
        <v>17</v>
      </c>
      <c r="G1020" s="10" t="s">
        <v>18</v>
      </c>
      <c r="H1020" s="11" t="s">
        <v>23</v>
      </c>
      <c r="I1020" s="11" t="s">
        <v>20</v>
      </c>
      <c r="J1020" s="11"/>
      <c r="K1020" s="11" t="s">
        <v>90</v>
      </c>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4"/>
    </row>
    <row r="1021" spans="1:35" ht="12.5" hidden="1" x14ac:dyDescent="0.25">
      <c r="A1021" s="9">
        <v>22</v>
      </c>
      <c r="B1021" s="10" t="s">
        <v>89</v>
      </c>
      <c r="C1021" s="10" t="s">
        <v>41</v>
      </c>
      <c r="D1021" s="10" t="s">
        <v>43</v>
      </c>
      <c r="E1021" s="11" t="s">
        <v>173</v>
      </c>
      <c r="F1021" s="11" t="s">
        <v>17</v>
      </c>
      <c r="G1021" s="10" t="s">
        <v>18</v>
      </c>
      <c r="H1021" s="11" t="s">
        <v>25</v>
      </c>
      <c r="I1021" s="11" t="s">
        <v>20</v>
      </c>
      <c r="J1021" s="11"/>
      <c r="K1021" s="11" t="s">
        <v>90</v>
      </c>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4"/>
    </row>
    <row r="1022" spans="1:35" ht="12.5" hidden="1" x14ac:dyDescent="0.25">
      <c r="A1022" s="9">
        <v>23</v>
      </c>
      <c r="B1022" s="10" t="s">
        <v>89</v>
      </c>
      <c r="C1022" s="10" t="s">
        <v>41</v>
      </c>
      <c r="D1022" s="10" t="s">
        <v>43</v>
      </c>
      <c r="E1022" s="11" t="s">
        <v>173</v>
      </c>
      <c r="F1022" s="11" t="s">
        <v>17</v>
      </c>
      <c r="G1022" s="10" t="s">
        <v>18</v>
      </c>
      <c r="H1022" s="11" t="s">
        <v>23</v>
      </c>
      <c r="I1022" s="11" t="s">
        <v>20</v>
      </c>
      <c r="J1022" s="11"/>
      <c r="K1022" s="11" t="s">
        <v>90</v>
      </c>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4"/>
    </row>
    <row r="1023" spans="1:35" ht="12.5" hidden="1" x14ac:dyDescent="0.25">
      <c r="A1023" s="9">
        <v>24</v>
      </c>
      <c r="B1023" s="10" t="s">
        <v>89</v>
      </c>
      <c r="C1023" s="10" t="s">
        <v>41</v>
      </c>
      <c r="D1023" s="10" t="s">
        <v>43</v>
      </c>
      <c r="E1023" s="11" t="s">
        <v>173</v>
      </c>
      <c r="F1023" s="11" t="s">
        <v>17</v>
      </c>
      <c r="G1023" s="10" t="s">
        <v>24</v>
      </c>
      <c r="H1023" s="11" t="s">
        <v>25</v>
      </c>
      <c r="I1023" s="11" t="s">
        <v>20</v>
      </c>
      <c r="J1023" s="11"/>
      <c r="K1023" s="11" t="s">
        <v>90</v>
      </c>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4"/>
    </row>
    <row r="1024" spans="1:35" ht="12.5" hidden="1" x14ac:dyDescent="0.25">
      <c r="A1024" s="9">
        <v>25</v>
      </c>
      <c r="B1024" s="10" t="s">
        <v>89</v>
      </c>
      <c r="C1024" s="10" t="s">
        <v>41</v>
      </c>
      <c r="D1024" s="10" t="s">
        <v>43</v>
      </c>
      <c r="E1024" s="11" t="s">
        <v>173</v>
      </c>
      <c r="F1024" s="11" t="s">
        <v>17</v>
      </c>
      <c r="G1024" s="10" t="s">
        <v>24</v>
      </c>
      <c r="H1024" s="11" t="s">
        <v>23</v>
      </c>
      <c r="I1024" s="11" t="s">
        <v>20</v>
      </c>
      <c r="J1024" s="11"/>
      <c r="K1024" s="11" t="s">
        <v>90</v>
      </c>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4"/>
    </row>
    <row r="1025" spans="1:35" ht="12.5" hidden="1" x14ac:dyDescent="0.25">
      <c r="A1025" s="9">
        <v>26</v>
      </c>
      <c r="B1025" s="10" t="s">
        <v>89</v>
      </c>
      <c r="C1025" s="10" t="s">
        <v>41</v>
      </c>
      <c r="D1025" s="10" t="s">
        <v>43</v>
      </c>
      <c r="E1025" s="11" t="s">
        <v>173</v>
      </c>
      <c r="F1025" s="11" t="s">
        <v>17</v>
      </c>
      <c r="G1025" s="10" t="s">
        <v>24</v>
      </c>
      <c r="H1025" s="11" t="s">
        <v>19</v>
      </c>
      <c r="I1025" s="11" t="s">
        <v>20</v>
      </c>
      <c r="J1025" s="11"/>
      <c r="K1025" s="11" t="s">
        <v>90</v>
      </c>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4"/>
    </row>
    <row r="1026" spans="1:35" ht="12.5" hidden="1" x14ac:dyDescent="0.25">
      <c r="A1026" s="9">
        <v>27</v>
      </c>
      <c r="B1026" s="10" t="s">
        <v>89</v>
      </c>
      <c r="C1026" s="10" t="s">
        <v>41</v>
      </c>
      <c r="D1026" s="10" t="s">
        <v>43</v>
      </c>
      <c r="E1026" s="11" t="s">
        <v>173</v>
      </c>
      <c r="F1026" s="11" t="s">
        <v>17</v>
      </c>
      <c r="G1026" s="10" t="s">
        <v>18</v>
      </c>
      <c r="H1026" s="11" t="s">
        <v>25</v>
      </c>
      <c r="I1026" s="11" t="s">
        <v>20</v>
      </c>
      <c r="J1026" s="11"/>
      <c r="K1026" s="11" t="s">
        <v>90</v>
      </c>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4"/>
    </row>
    <row r="1027" spans="1:35" ht="12.5" hidden="1" x14ac:dyDescent="0.25">
      <c r="A1027" s="9">
        <v>1</v>
      </c>
      <c r="B1027" s="10" t="s">
        <v>89</v>
      </c>
      <c r="C1027" s="10" t="s">
        <v>41</v>
      </c>
      <c r="D1027" s="10" t="s">
        <v>42</v>
      </c>
      <c r="E1027" s="11" t="s">
        <v>173</v>
      </c>
      <c r="F1027" s="11" t="s">
        <v>17</v>
      </c>
      <c r="G1027" s="10" t="s">
        <v>24</v>
      </c>
      <c r="H1027" s="11" t="s">
        <v>23</v>
      </c>
      <c r="I1027" s="11" t="s">
        <v>20</v>
      </c>
      <c r="J1027" s="11"/>
      <c r="K1027" s="11" t="s">
        <v>90</v>
      </c>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4"/>
    </row>
    <row r="1028" spans="1:35" ht="12.5" hidden="1" x14ac:dyDescent="0.25">
      <c r="A1028" s="9">
        <v>2</v>
      </c>
      <c r="B1028" s="10" t="s">
        <v>89</v>
      </c>
      <c r="C1028" s="10" t="s">
        <v>41</v>
      </c>
      <c r="D1028" s="10" t="s">
        <v>42</v>
      </c>
      <c r="E1028" s="11" t="s">
        <v>173</v>
      </c>
      <c r="F1028" s="11" t="s">
        <v>17</v>
      </c>
      <c r="G1028" s="10" t="s">
        <v>18</v>
      </c>
      <c r="H1028" s="11" t="s">
        <v>23</v>
      </c>
      <c r="I1028" s="11" t="s">
        <v>20</v>
      </c>
      <c r="J1028" s="11"/>
      <c r="K1028" s="11" t="s">
        <v>90</v>
      </c>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4"/>
    </row>
    <row r="1029" spans="1:35" ht="12.5" hidden="1" x14ac:dyDescent="0.25">
      <c r="A1029" s="9">
        <v>3</v>
      </c>
      <c r="B1029" s="10" t="s">
        <v>89</v>
      </c>
      <c r="C1029" s="10" t="s">
        <v>41</v>
      </c>
      <c r="D1029" s="10" t="s">
        <v>42</v>
      </c>
      <c r="E1029" s="11" t="s">
        <v>173</v>
      </c>
      <c r="F1029" s="11" t="s">
        <v>17</v>
      </c>
      <c r="G1029" s="10" t="s">
        <v>24</v>
      </c>
      <c r="H1029" s="11" t="s">
        <v>19</v>
      </c>
      <c r="I1029" s="11" t="s">
        <v>20</v>
      </c>
      <c r="J1029" s="11"/>
      <c r="K1029" s="11" t="s">
        <v>90</v>
      </c>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4"/>
    </row>
    <row r="1030" spans="1:35" ht="12.5" hidden="1" x14ac:dyDescent="0.25">
      <c r="A1030" s="9">
        <v>4</v>
      </c>
      <c r="B1030" s="10" t="s">
        <v>89</v>
      </c>
      <c r="C1030" s="10" t="s">
        <v>41</v>
      </c>
      <c r="D1030" s="10" t="s">
        <v>42</v>
      </c>
      <c r="E1030" s="11" t="s">
        <v>173</v>
      </c>
      <c r="F1030" s="11" t="s">
        <v>17</v>
      </c>
      <c r="G1030" s="10" t="s">
        <v>18</v>
      </c>
      <c r="H1030" s="11" t="s">
        <v>23</v>
      </c>
      <c r="I1030" s="11" t="s">
        <v>20</v>
      </c>
      <c r="J1030" s="11"/>
      <c r="K1030" s="11" t="s">
        <v>90</v>
      </c>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4"/>
    </row>
    <row r="1031" spans="1:35" ht="12.5" hidden="1" x14ac:dyDescent="0.25">
      <c r="A1031" s="9">
        <v>5</v>
      </c>
      <c r="B1031" s="10" t="s">
        <v>89</v>
      </c>
      <c r="C1031" s="10" t="s">
        <v>41</v>
      </c>
      <c r="D1031" s="10" t="s">
        <v>42</v>
      </c>
      <c r="E1031" s="11" t="s">
        <v>173</v>
      </c>
      <c r="F1031" s="11" t="s">
        <v>17</v>
      </c>
      <c r="G1031" s="10" t="s">
        <v>24</v>
      </c>
      <c r="H1031" s="11" t="s">
        <v>19</v>
      </c>
      <c r="I1031" s="11" t="s">
        <v>20</v>
      </c>
      <c r="J1031" s="11"/>
      <c r="K1031" s="11" t="s">
        <v>90</v>
      </c>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4"/>
    </row>
    <row r="1032" spans="1:35" ht="12.5" hidden="1" x14ac:dyDescent="0.25">
      <c r="A1032" s="9">
        <v>6</v>
      </c>
      <c r="B1032" s="10" t="s">
        <v>89</v>
      </c>
      <c r="C1032" s="10" t="s">
        <v>41</v>
      </c>
      <c r="D1032" s="10" t="s">
        <v>42</v>
      </c>
      <c r="E1032" s="11" t="s">
        <v>173</v>
      </c>
      <c r="F1032" s="11" t="s">
        <v>17</v>
      </c>
      <c r="G1032" s="10" t="s">
        <v>24</v>
      </c>
      <c r="H1032" s="11" t="s">
        <v>23</v>
      </c>
      <c r="I1032" s="11" t="s">
        <v>20</v>
      </c>
      <c r="J1032" s="11"/>
      <c r="K1032" s="11" t="s">
        <v>90</v>
      </c>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4"/>
    </row>
    <row r="1033" spans="1:35" ht="12.5" hidden="1" x14ac:dyDescent="0.25">
      <c r="A1033" s="9">
        <v>7</v>
      </c>
      <c r="B1033" s="10" t="s">
        <v>89</v>
      </c>
      <c r="C1033" s="10" t="s">
        <v>41</v>
      </c>
      <c r="D1033" s="10" t="s">
        <v>43</v>
      </c>
      <c r="E1033" s="11" t="s">
        <v>173</v>
      </c>
      <c r="F1033" s="11" t="s">
        <v>17</v>
      </c>
      <c r="G1033" s="10" t="s">
        <v>24</v>
      </c>
      <c r="H1033" s="11" t="s">
        <v>25</v>
      </c>
      <c r="I1033" s="11" t="s">
        <v>20</v>
      </c>
      <c r="J1033" s="11"/>
      <c r="K1033" s="11" t="s">
        <v>90</v>
      </c>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4"/>
    </row>
    <row r="1034" spans="1:35" ht="12.5" hidden="1" x14ac:dyDescent="0.25">
      <c r="A1034" s="9">
        <v>8</v>
      </c>
      <c r="B1034" s="10" t="s">
        <v>89</v>
      </c>
      <c r="C1034" s="10" t="s">
        <v>41</v>
      </c>
      <c r="D1034" s="10" t="s">
        <v>43</v>
      </c>
      <c r="E1034" s="11" t="s">
        <v>173</v>
      </c>
      <c r="F1034" s="11" t="s">
        <v>17</v>
      </c>
      <c r="G1034" s="10" t="s">
        <v>24</v>
      </c>
      <c r="H1034" s="11" t="s">
        <v>25</v>
      </c>
      <c r="I1034" s="11" t="s">
        <v>20</v>
      </c>
      <c r="J1034" s="11"/>
      <c r="K1034" s="11" t="s">
        <v>90</v>
      </c>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4"/>
    </row>
    <row r="1035" spans="1:35" ht="12.5" hidden="1" x14ac:dyDescent="0.25">
      <c r="A1035" s="9">
        <v>9</v>
      </c>
      <c r="B1035" s="10" t="s">
        <v>89</v>
      </c>
      <c r="C1035" s="10" t="s">
        <v>41</v>
      </c>
      <c r="D1035" s="10" t="s">
        <v>43</v>
      </c>
      <c r="E1035" s="11" t="s">
        <v>173</v>
      </c>
      <c r="F1035" s="11" t="s">
        <v>17</v>
      </c>
      <c r="G1035" s="10" t="s">
        <v>24</v>
      </c>
      <c r="H1035" s="11" t="s">
        <v>25</v>
      </c>
      <c r="I1035" s="11" t="s">
        <v>20</v>
      </c>
      <c r="J1035" s="11"/>
      <c r="K1035" s="11" t="s">
        <v>90</v>
      </c>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4"/>
    </row>
    <row r="1036" spans="1:35" ht="12.5" hidden="1" x14ac:dyDescent="0.25">
      <c r="A1036" s="9">
        <v>10</v>
      </c>
      <c r="B1036" s="10" t="s">
        <v>89</v>
      </c>
      <c r="C1036" s="10" t="s">
        <v>41</v>
      </c>
      <c r="D1036" s="10" t="s">
        <v>43</v>
      </c>
      <c r="E1036" s="11" t="s">
        <v>173</v>
      </c>
      <c r="F1036" s="11" t="s">
        <v>17</v>
      </c>
      <c r="G1036" s="10" t="s">
        <v>24</v>
      </c>
      <c r="H1036" s="11" t="s">
        <v>25</v>
      </c>
      <c r="I1036" s="11" t="s">
        <v>20</v>
      </c>
      <c r="J1036" s="11"/>
      <c r="K1036" s="11" t="s">
        <v>90</v>
      </c>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4"/>
    </row>
    <row r="1037" spans="1:35" ht="12.5" hidden="1" x14ac:dyDescent="0.25">
      <c r="A1037" s="9">
        <v>11</v>
      </c>
      <c r="B1037" s="10" t="s">
        <v>89</v>
      </c>
      <c r="C1037" s="10" t="s">
        <v>41</v>
      </c>
      <c r="D1037" s="10" t="s">
        <v>43</v>
      </c>
      <c r="E1037" s="11" t="s">
        <v>173</v>
      </c>
      <c r="F1037" s="11" t="s">
        <v>17</v>
      </c>
      <c r="G1037" s="10" t="s">
        <v>18</v>
      </c>
      <c r="H1037" s="11" t="s">
        <v>23</v>
      </c>
      <c r="I1037" s="11" t="s">
        <v>20</v>
      </c>
      <c r="J1037" s="11"/>
      <c r="K1037" s="11" t="s">
        <v>90</v>
      </c>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4"/>
    </row>
    <row r="1038" spans="1:35" ht="12.5" hidden="1" x14ac:dyDescent="0.25">
      <c r="A1038" s="9">
        <v>12</v>
      </c>
      <c r="B1038" s="10" t="s">
        <v>89</v>
      </c>
      <c r="C1038" s="10" t="s">
        <v>41</v>
      </c>
      <c r="D1038" s="10" t="s">
        <v>43</v>
      </c>
      <c r="E1038" s="11" t="s">
        <v>173</v>
      </c>
      <c r="F1038" s="11" t="s">
        <v>17</v>
      </c>
      <c r="G1038" s="10" t="s">
        <v>18</v>
      </c>
      <c r="H1038" s="11" t="s">
        <v>23</v>
      </c>
      <c r="I1038" s="11" t="s">
        <v>20</v>
      </c>
      <c r="J1038" s="11"/>
      <c r="K1038" s="11" t="s">
        <v>90</v>
      </c>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4"/>
    </row>
    <row r="1039" spans="1:35" ht="12.5" hidden="1" x14ac:dyDescent="0.25">
      <c r="A1039" s="9">
        <v>13</v>
      </c>
      <c r="B1039" s="10" t="s">
        <v>89</v>
      </c>
      <c r="C1039" s="10" t="s">
        <v>41</v>
      </c>
      <c r="D1039" s="10" t="s">
        <v>43</v>
      </c>
      <c r="E1039" s="11" t="s">
        <v>173</v>
      </c>
      <c r="F1039" s="11" t="s">
        <v>17</v>
      </c>
      <c r="G1039" s="10" t="s">
        <v>18</v>
      </c>
      <c r="H1039" s="11" t="s">
        <v>19</v>
      </c>
      <c r="I1039" s="11" t="s">
        <v>20</v>
      </c>
      <c r="J1039" s="11"/>
      <c r="K1039" s="11" t="s">
        <v>90</v>
      </c>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4"/>
    </row>
    <row r="1040" spans="1:35" ht="12.5" hidden="1" x14ac:dyDescent="0.25">
      <c r="A1040" s="9">
        <v>14</v>
      </c>
      <c r="B1040" s="10" t="s">
        <v>89</v>
      </c>
      <c r="C1040" s="10" t="s">
        <v>41</v>
      </c>
      <c r="D1040" s="10" t="s">
        <v>43</v>
      </c>
      <c r="E1040" s="11" t="s">
        <v>173</v>
      </c>
      <c r="F1040" s="11" t="s">
        <v>17</v>
      </c>
      <c r="G1040" s="10" t="s">
        <v>18</v>
      </c>
      <c r="H1040" s="11" t="s">
        <v>25</v>
      </c>
      <c r="I1040" s="11" t="s">
        <v>20</v>
      </c>
      <c r="J1040" s="11"/>
      <c r="K1040" s="11" t="s">
        <v>90</v>
      </c>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4"/>
    </row>
    <row r="1041" spans="1:35" ht="12.5" x14ac:dyDescent="0.25">
      <c r="A1041" s="9">
        <v>2005</v>
      </c>
      <c r="B1041" s="10" t="s">
        <v>60</v>
      </c>
      <c r="C1041" s="10" t="s">
        <v>15</v>
      </c>
      <c r="D1041" s="10" t="s">
        <v>141</v>
      </c>
      <c r="E1041" s="11" t="s">
        <v>92</v>
      </c>
      <c r="F1041" s="11" t="s">
        <v>17</v>
      </c>
      <c r="G1041" s="10" t="s">
        <v>18</v>
      </c>
      <c r="H1041" s="11" t="s">
        <v>23</v>
      </c>
      <c r="I1041" s="11">
        <v>2022</v>
      </c>
      <c r="J1041" s="11"/>
      <c r="K1041" s="11">
        <v>60133</v>
      </c>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4"/>
    </row>
    <row r="1042" spans="1:35" ht="12.5" x14ac:dyDescent="0.25">
      <c r="A1042" s="9">
        <v>2006</v>
      </c>
      <c r="B1042" s="10" t="s">
        <v>60</v>
      </c>
      <c r="C1042" s="10" t="s">
        <v>15</v>
      </c>
      <c r="D1042" s="10" t="s">
        <v>141</v>
      </c>
      <c r="E1042" s="11" t="s">
        <v>92</v>
      </c>
      <c r="F1042" s="11" t="s">
        <v>17</v>
      </c>
      <c r="G1042" s="10" t="s">
        <v>24</v>
      </c>
      <c r="H1042" s="11" t="s">
        <v>19</v>
      </c>
      <c r="I1042" s="11">
        <v>2022</v>
      </c>
      <c r="J1042" s="11"/>
      <c r="K1042" s="11">
        <v>60133</v>
      </c>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4"/>
    </row>
    <row r="1043" spans="1:35" ht="12.5" x14ac:dyDescent="0.25">
      <c r="A1043" s="9">
        <v>2007</v>
      </c>
      <c r="B1043" s="10" t="s">
        <v>60</v>
      </c>
      <c r="C1043" s="10" t="s">
        <v>15</v>
      </c>
      <c r="D1043" s="10" t="s">
        <v>141</v>
      </c>
      <c r="E1043" s="11" t="s">
        <v>92</v>
      </c>
      <c r="F1043" s="11" t="s">
        <v>17</v>
      </c>
      <c r="G1043" s="10" t="s">
        <v>24</v>
      </c>
      <c r="H1043" s="11" t="s">
        <v>19</v>
      </c>
      <c r="I1043" s="11">
        <v>2022</v>
      </c>
      <c r="J1043" s="11"/>
      <c r="K1043" s="11">
        <v>60133</v>
      </c>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4"/>
    </row>
    <row r="1044" spans="1:35" ht="12.5" hidden="1" x14ac:dyDescent="0.25">
      <c r="A1044" s="9">
        <v>2008</v>
      </c>
      <c r="B1044" s="10" t="s">
        <v>60</v>
      </c>
      <c r="C1044" s="10" t="s">
        <v>15</v>
      </c>
      <c r="D1044" s="10" t="s">
        <v>45</v>
      </c>
      <c r="E1044" s="11" t="s">
        <v>91</v>
      </c>
      <c r="F1044" s="11" t="s">
        <v>17</v>
      </c>
      <c r="G1044" s="10" t="s">
        <v>24</v>
      </c>
      <c r="H1044" s="11" t="s">
        <v>23</v>
      </c>
      <c r="I1044" s="11">
        <v>2022</v>
      </c>
      <c r="J1044" s="11"/>
      <c r="K1044" s="11">
        <v>601331</v>
      </c>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4"/>
    </row>
    <row r="1045" spans="1:35" ht="12.5" hidden="1" x14ac:dyDescent="0.25">
      <c r="A1045" s="9">
        <v>2009</v>
      </c>
      <c r="B1045" s="10" t="s">
        <v>60</v>
      </c>
      <c r="C1045" s="10" t="s">
        <v>15</v>
      </c>
      <c r="D1045" s="10" t="s">
        <v>45</v>
      </c>
      <c r="E1045" s="11" t="s">
        <v>92</v>
      </c>
      <c r="F1045" s="11" t="s">
        <v>17</v>
      </c>
      <c r="G1045" s="10" t="s">
        <v>24</v>
      </c>
      <c r="H1045" s="11" t="s">
        <v>19</v>
      </c>
      <c r="I1045" s="11">
        <v>2022</v>
      </c>
      <c r="J1045" s="11"/>
      <c r="K1045" s="11">
        <v>60133</v>
      </c>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4"/>
    </row>
    <row r="1046" spans="1:35" ht="12.5" hidden="1" x14ac:dyDescent="0.25">
      <c r="A1046" s="9">
        <v>2010</v>
      </c>
      <c r="B1046" s="10" t="s">
        <v>60</v>
      </c>
      <c r="C1046" s="10" t="s">
        <v>41</v>
      </c>
      <c r="D1046" s="10" t="s">
        <v>42</v>
      </c>
      <c r="E1046" s="11" t="s">
        <v>65</v>
      </c>
      <c r="F1046" s="11" t="s">
        <v>17</v>
      </c>
      <c r="G1046" s="10" t="s">
        <v>18</v>
      </c>
      <c r="H1046" s="11" t="s">
        <v>19</v>
      </c>
      <c r="I1046" s="11">
        <v>2022</v>
      </c>
      <c r="J1046" s="11"/>
      <c r="K1046" s="11" t="s">
        <v>65</v>
      </c>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4"/>
    </row>
    <row r="1047" spans="1:35" ht="12.5" hidden="1" x14ac:dyDescent="0.25">
      <c r="A1047" s="9">
        <v>2011</v>
      </c>
      <c r="B1047" s="10" t="s">
        <v>60</v>
      </c>
      <c r="C1047" s="10" t="s">
        <v>41</v>
      </c>
      <c r="D1047" s="10" t="s">
        <v>42</v>
      </c>
      <c r="E1047" s="11" t="s">
        <v>65</v>
      </c>
      <c r="F1047" s="11" t="s">
        <v>17</v>
      </c>
      <c r="G1047" s="10" t="s">
        <v>18</v>
      </c>
      <c r="H1047" s="11" t="s">
        <v>19</v>
      </c>
      <c r="I1047" s="11">
        <v>2022</v>
      </c>
      <c r="J1047" s="11"/>
      <c r="K1047" s="11" t="s">
        <v>65</v>
      </c>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4"/>
    </row>
    <row r="1048" spans="1:35" ht="12.5" hidden="1" x14ac:dyDescent="0.25">
      <c r="A1048" s="9">
        <v>2012</v>
      </c>
      <c r="B1048" s="10" t="s">
        <v>60</v>
      </c>
      <c r="C1048" s="10" t="s">
        <v>41</v>
      </c>
      <c r="D1048" s="10" t="s">
        <v>42</v>
      </c>
      <c r="E1048" s="11" t="s">
        <v>65</v>
      </c>
      <c r="F1048" s="11" t="s">
        <v>17</v>
      </c>
      <c r="G1048" s="10" t="s">
        <v>18</v>
      </c>
      <c r="H1048" s="11" t="s">
        <v>19</v>
      </c>
      <c r="I1048" s="11">
        <v>2022</v>
      </c>
      <c r="J1048" s="11"/>
      <c r="K1048" s="11" t="s">
        <v>65</v>
      </c>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4"/>
    </row>
    <row r="1049" spans="1:35" ht="12.5" hidden="1" x14ac:dyDescent="0.25">
      <c r="A1049" s="9">
        <v>2013</v>
      </c>
      <c r="B1049" s="10" t="s">
        <v>60</v>
      </c>
      <c r="C1049" s="10" t="s">
        <v>41</v>
      </c>
      <c r="D1049" s="10" t="s">
        <v>42</v>
      </c>
      <c r="E1049" s="11" t="s">
        <v>65</v>
      </c>
      <c r="F1049" s="11" t="s">
        <v>17</v>
      </c>
      <c r="G1049" s="10" t="s">
        <v>18</v>
      </c>
      <c r="H1049" s="11" t="s">
        <v>19</v>
      </c>
      <c r="I1049" s="11">
        <v>2022</v>
      </c>
      <c r="J1049" s="11"/>
      <c r="K1049" s="11" t="s">
        <v>65</v>
      </c>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4"/>
    </row>
    <row r="1050" spans="1:35" ht="12.5" hidden="1" x14ac:dyDescent="0.25">
      <c r="A1050" s="9">
        <v>2014</v>
      </c>
      <c r="B1050" s="10" t="s">
        <v>60</v>
      </c>
      <c r="C1050" s="10" t="s">
        <v>41</v>
      </c>
      <c r="D1050" s="10" t="s">
        <v>42</v>
      </c>
      <c r="E1050" s="11" t="s">
        <v>65</v>
      </c>
      <c r="F1050" s="11" t="s">
        <v>17</v>
      </c>
      <c r="G1050" s="10" t="s">
        <v>18</v>
      </c>
      <c r="H1050" s="11" t="s">
        <v>19</v>
      </c>
      <c r="I1050" s="11">
        <v>2022</v>
      </c>
      <c r="J1050" s="11"/>
      <c r="K1050" s="11" t="s">
        <v>65</v>
      </c>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4"/>
    </row>
    <row r="1051" spans="1:35" ht="12.5" hidden="1" x14ac:dyDescent="0.25">
      <c r="A1051" s="9">
        <v>2015</v>
      </c>
      <c r="B1051" s="10" t="s">
        <v>60</v>
      </c>
      <c r="C1051" s="10" t="s">
        <v>41</v>
      </c>
      <c r="D1051" s="10" t="s">
        <v>42</v>
      </c>
      <c r="E1051" s="11" t="s">
        <v>65</v>
      </c>
      <c r="F1051" s="11" t="s">
        <v>17</v>
      </c>
      <c r="G1051" s="10" t="s">
        <v>18</v>
      </c>
      <c r="H1051" s="11" t="s">
        <v>19</v>
      </c>
      <c r="I1051" s="11">
        <v>2022</v>
      </c>
      <c r="J1051" s="11"/>
      <c r="K1051" s="11" t="s">
        <v>65</v>
      </c>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4"/>
    </row>
    <row r="1052" spans="1:35" ht="12.5" hidden="1" x14ac:dyDescent="0.25">
      <c r="A1052" s="9">
        <v>2016</v>
      </c>
      <c r="B1052" s="10" t="s">
        <v>60</v>
      </c>
      <c r="C1052" s="10" t="s">
        <v>41</v>
      </c>
      <c r="D1052" s="10" t="s">
        <v>42</v>
      </c>
      <c r="E1052" s="11" t="s">
        <v>65</v>
      </c>
      <c r="F1052" s="11" t="s">
        <v>17</v>
      </c>
      <c r="G1052" s="10" t="s">
        <v>24</v>
      </c>
      <c r="H1052" s="11" t="s">
        <v>19</v>
      </c>
      <c r="I1052" s="11">
        <v>2022</v>
      </c>
      <c r="J1052" s="11"/>
      <c r="K1052" s="11" t="s">
        <v>65</v>
      </c>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4"/>
    </row>
    <row r="1053" spans="1:35" ht="12.5" hidden="1" x14ac:dyDescent="0.25">
      <c r="A1053" s="9">
        <v>2017</v>
      </c>
      <c r="B1053" s="10" t="s">
        <v>60</v>
      </c>
      <c r="C1053" s="10" t="s">
        <v>41</v>
      </c>
      <c r="D1053" s="10" t="s">
        <v>42</v>
      </c>
      <c r="E1053" s="11" t="s">
        <v>65</v>
      </c>
      <c r="F1053" s="11" t="s">
        <v>17</v>
      </c>
      <c r="G1053" s="10" t="s">
        <v>18</v>
      </c>
      <c r="H1053" s="11" t="s">
        <v>19</v>
      </c>
      <c r="I1053" s="11">
        <v>2022</v>
      </c>
      <c r="J1053" s="11"/>
      <c r="K1053" s="11" t="s">
        <v>65</v>
      </c>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4"/>
    </row>
    <row r="1054" spans="1:35" ht="12.5" hidden="1" x14ac:dyDescent="0.25">
      <c r="A1054" s="9">
        <v>2018</v>
      </c>
      <c r="B1054" s="10" t="s">
        <v>60</v>
      </c>
      <c r="C1054" s="10" t="s">
        <v>41</v>
      </c>
      <c r="D1054" s="10" t="s">
        <v>42</v>
      </c>
      <c r="E1054" s="11" t="s">
        <v>65</v>
      </c>
      <c r="F1054" s="11" t="s">
        <v>17</v>
      </c>
      <c r="G1054" s="10" t="s">
        <v>18</v>
      </c>
      <c r="H1054" s="11" t="s">
        <v>19</v>
      </c>
      <c r="I1054" s="11">
        <v>2022</v>
      </c>
      <c r="J1054" s="11"/>
      <c r="K1054" s="11" t="s">
        <v>65</v>
      </c>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4"/>
    </row>
    <row r="1055" spans="1:35" ht="12.5" hidden="1" x14ac:dyDescent="0.25">
      <c r="A1055" s="9">
        <v>2019</v>
      </c>
      <c r="B1055" s="10" t="s">
        <v>60</v>
      </c>
      <c r="C1055" s="10" t="s">
        <v>41</v>
      </c>
      <c r="D1055" s="10" t="s">
        <v>42</v>
      </c>
      <c r="E1055" s="11" t="s">
        <v>65</v>
      </c>
      <c r="F1055" s="11" t="s">
        <v>17</v>
      </c>
      <c r="G1055" s="10" t="s">
        <v>18</v>
      </c>
      <c r="H1055" s="11" t="s">
        <v>19</v>
      </c>
      <c r="I1055" s="11">
        <v>2022</v>
      </c>
      <c r="J1055" s="11"/>
      <c r="K1055" s="11" t="s">
        <v>65</v>
      </c>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4"/>
    </row>
    <row r="1056" spans="1:35" ht="12.5" hidden="1" x14ac:dyDescent="0.25">
      <c r="A1056" s="9">
        <v>2020</v>
      </c>
      <c r="B1056" s="10" t="s">
        <v>60</v>
      </c>
      <c r="C1056" s="10" t="s">
        <v>41</v>
      </c>
      <c r="D1056" s="10" t="s">
        <v>42</v>
      </c>
      <c r="E1056" s="11" t="s">
        <v>65</v>
      </c>
      <c r="F1056" s="11" t="s">
        <v>17</v>
      </c>
      <c r="G1056" s="10" t="s">
        <v>18</v>
      </c>
      <c r="H1056" s="11" t="s">
        <v>19</v>
      </c>
      <c r="I1056" s="11">
        <v>2022</v>
      </c>
      <c r="J1056" s="11"/>
      <c r="K1056" s="11" t="s">
        <v>65</v>
      </c>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4"/>
    </row>
    <row r="1057" spans="1:35" ht="12.5" hidden="1" x14ac:dyDescent="0.25">
      <c r="A1057" s="9">
        <v>2021</v>
      </c>
      <c r="B1057" s="10" t="s">
        <v>60</v>
      </c>
      <c r="C1057" s="10" t="s">
        <v>41</v>
      </c>
      <c r="D1057" s="10" t="s">
        <v>42</v>
      </c>
      <c r="E1057" s="11" t="s">
        <v>65</v>
      </c>
      <c r="F1057" s="11" t="s">
        <v>17</v>
      </c>
      <c r="G1057" s="10" t="s">
        <v>18</v>
      </c>
      <c r="H1057" s="11" t="s">
        <v>19</v>
      </c>
      <c r="I1057" s="11">
        <v>2022</v>
      </c>
      <c r="J1057" s="11"/>
      <c r="K1057" s="11" t="s">
        <v>65</v>
      </c>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4"/>
    </row>
    <row r="1058" spans="1:35" ht="12.5" hidden="1" x14ac:dyDescent="0.25">
      <c r="A1058" s="9">
        <v>2022</v>
      </c>
      <c r="B1058" s="10" t="s">
        <v>60</v>
      </c>
      <c r="C1058" s="10" t="s">
        <v>41</v>
      </c>
      <c r="D1058" s="10" t="s">
        <v>42</v>
      </c>
      <c r="E1058" s="11" t="s">
        <v>65</v>
      </c>
      <c r="F1058" s="11" t="s">
        <v>17</v>
      </c>
      <c r="G1058" s="10" t="s">
        <v>24</v>
      </c>
      <c r="H1058" s="11" t="s">
        <v>19</v>
      </c>
      <c r="I1058" s="11">
        <v>2022</v>
      </c>
      <c r="J1058" s="11"/>
      <c r="K1058" s="11" t="s">
        <v>65</v>
      </c>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4"/>
    </row>
    <row r="1059" spans="1:35" ht="12.5" hidden="1" x14ac:dyDescent="0.25">
      <c r="A1059" s="9">
        <v>2023</v>
      </c>
      <c r="B1059" s="10" t="s">
        <v>60</v>
      </c>
      <c r="C1059" s="10" t="s">
        <v>41</v>
      </c>
      <c r="D1059" s="10" t="s">
        <v>42</v>
      </c>
      <c r="E1059" s="11" t="s">
        <v>65</v>
      </c>
      <c r="F1059" s="11" t="s">
        <v>17</v>
      </c>
      <c r="G1059" s="10" t="s">
        <v>18</v>
      </c>
      <c r="H1059" s="11" t="s">
        <v>19</v>
      </c>
      <c r="I1059" s="11">
        <v>2022</v>
      </c>
      <c r="J1059" s="11"/>
      <c r="K1059" s="11" t="s">
        <v>65</v>
      </c>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4"/>
    </row>
    <row r="1060" spans="1:35" ht="12.5" hidden="1" x14ac:dyDescent="0.25">
      <c r="A1060" s="9">
        <v>2024</v>
      </c>
      <c r="B1060" s="10" t="s">
        <v>60</v>
      </c>
      <c r="C1060" s="10" t="s">
        <v>41</v>
      </c>
      <c r="D1060" s="10" t="s">
        <v>42</v>
      </c>
      <c r="E1060" s="11" t="s">
        <v>65</v>
      </c>
      <c r="F1060" s="11" t="s">
        <v>17</v>
      </c>
      <c r="G1060" s="10" t="s">
        <v>18</v>
      </c>
      <c r="H1060" s="11" t="s">
        <v>19</v>
      </c>
      <c r="I1060" s="11">
        <v>2022</v>
      </c>
      <c r="J1060" s="11"/>
      <c r="K1060" s="11" t="s">
        <v>65</v>
      </c>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4"/>
    </row>
    <row r="1061" spans="1:35" ht="12.5" hidden="1" x14ac:dyDescent="0.25">
      <c r="A1061" s="9">
        <v>2025</v>
      </c>
      <c r="B1061" s="10" t="s">
        <v>60</v>
      </c>
      <c r="C1061" s="10" t="s">
        <v>41</v>
      </c>
      <c r="D1061" s="10" t="s">
        <v>42</v>
      </c>
      <c r="E1061" s="11" t="s">
        <v>91</v>
      </c>
      <c r="F1061" s="11" t="s">
        <v>17</v>
      </c>
      <c r="G1061" s="10" t="s">
        <v>24</v>
      </c>
      <c r="H1061" s="11" t="s">
        <v>25</v>
      </c>
      <c r="I1061" s="11">
        <v>2022</v>
      </c>
      <c r="J1061" s="11"/>
      <c r="K1061" s="11">
        <v>601331</v>
      </c>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4"/>
    </row>
    <row r="1062" spans="1:35" ht="12.5" hidden="1" x14ac:dyDescent="0.25">
      <c r="A1062" s="9">
        <v>2026</v>
      </c>
      <c r="B1062" s="10" t="s">
        <v>60</v>
      </c>
      <c r="C1062" s="10" t="s">
        <v>41</v>
      </c>
      <c r="D1062" s="10" t="s">
        <v>42</v>
      </c>
      <c r="E1062" s="11" t="s">
        <v>91</v>
      </c>
      <c r="F1062" s="11" t="s">
        <v>17</v>
      </c>
      <c r="G1062" s="10" t="s">
        <v>24</v>
      </c>
      <c r="H1062" s="11" t="s">
        <v>19</v>
      </c>
      <c r="I1062" s="11">
        <v>2022</v>
      </c>
      <c r="J1062" s="11"/>
      <c r="K1062" s="11">
        <v>601331</v>
      </c>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4"/>
    </row>
    <row r="1063" spans="1:35" ht="12.5" hidden="1" x14ac:dyDescent="0.25">
      <c r="A1063" s="9">
        <v>2027</v>
      </c>
      <c r="B1063" s="10" t="s">
        <v>60</v>
      </c>
      <c r="C1063" s="10" t="s">
        <v>41</v>
      </c>
      <c r="D1063" s="10" t="s">
        <v>42</v>
      </c>
      <c r="E1063" s="11" t="s">
        <v>91</v>
      </c>
      <c r="F1063" s="11" t="s">
        <v>17</v>
      </c>
      <c r="G1063" s="10" t="s">
        <v>18</v>
      </c>
      <c r="H1063" s="11" t="s">
        <v>19</v>
      </c>
      <c r="I1063" s="11">
        <v>2022</v>
      </c>
      <c r="J1063" s="11"/>
      <c r="K1063" s="11">
        <v>601331</v>
      </c>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4"/>
    </row>
    <row r="1064" spans="1:35" ht="12.5" hidden="1" x14ac:dyDescent="0.25">
      <c r="A1064" s="9">
        <v>2028</v>
      </c>
      <c r="B1064" s="10" t="s">
        <v>60</v>
      </c>
      <c r="C1064" s="10" t="s">
        <v>41</v>
      </c>
      <c r="D1064" s="10" t="s">
        <v>42</v>
      </c>
      <c r="E1064" s="11" t="s">
        <v>91</v>
      </c>
      <c r="F1064" s="11" t="s">
        <v>17</v>
      </c>
      <c r="G1064" s="10" t="s">
        <v>24</v>
      </c>
      <c r="H1064" s="11" t="s">
        <v>19</v>
      </c>
      <c r="I1064" s="11">
        <v>2022</v>
      </c>
      <c r="J1064" s="11"/>
      <c r="K1064" s="11">
        <v>601331</v>
      </c>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4"/>
    </row>
    <row r="1065" spans="1:35" ht="12.5" hidden="1" x14ac:dyDescent="0.25">
      <c r="A1065" s="9">
        <v>2029</v>
      </c>
      <c r="B1065" s="10" t="s">
        <v>60</v>
      </c>
      <c r="C1065" s="10" t="s">
        <v>41</v>
      </c>
      <c r="D1065" s="10" t="s">
        <v>42</v>
      </c>
      <c r="E1065" s="11" t="s">
        <v>91</v>
      </c>
      <c r="F1065" s="11" t="s">
        <v>17</v>
      </c>
      <c r="G1065" s="10" t="s">
        <v>18</v>
      </c>
      <c r="H1065" s="11" t="s">
        <v>19</v>
      </c>
      <c r="I1065" s="11">
        <v>2022</v>
      </c>
      <c r="J1065" s="11"/>
      <c r="K1065" s="11">
        <v>601331</v>
      </c>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4"/>
    </row>
    <row r="1066" spans="1:35" ht="12.5" hidden="1" x14ac:dyDescent="0.25">
      <c r="A1066" s="9">
        <v>2030</v>
      </c>
      <c r="B1066" s="10" t="s">
        <v>60</v>
      </c>
      <c r="C1066" s="10" t="s">
        <v>41</v>
      </c>
      <c r="D1066" s="10" t="s">
        <v>42</v>
      </c>
      <c r="E1066" s="11" t="s">
        <v>91</v>
      </c>
      <c r="F1066" s="11" t="s">
        <v>17</v>
      </c>
      <c r="G1066" s="10" t="s">
        <v>24</v>
      </c>
      <c r="H1066" s="11" t="s">
        <v>19</v>
      </c>
      <c r="I1066" s="11">
        <v>2022</v>
      </c>
      <c r="J1066" s="11"/>
      <c r="K1066" s="11">
        <v>601331</v>
      </c>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4"/>
    </row>
    <row r="1067" spans="1:35" ht="12.5" hidden="1" x14ac:dyDescent="0.25">
      <c r="A1067" s="9">
        <v>2031</v>
      </c>
      <c r="B1067" s="10" t="s">
        <v>60</v>
      </c>
      <c r="C1067" s="10" t="s">
        <v>41</v>
      </c>
      <c r="D1067" s="10" t="s">
        <v>42</v>
      </c>
      <c r="E1067" s="11" t="s">
        <v>91</v>
      </c>
      <c r="F1067" s="11" t="s">
        <v>17</v>
      </c>
      <c r="G1067" s="10" t="s">
        <v>18</v>
      </c>
      <c r="H1067" s="11" t="s">
        <v>19</v>
      </c>
      <c r="I1067" s="11">
        <v>2022</v>
      </c>
      <c r="J1067" s="11"/>
      <c r="K1067" s="11">
        <v>601331</v>
      </c>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4"/>
    </row>
    <row r="1068" spans="1:35" ht="12.5" hidden="1" x14ac:dyDescent="0.25">
      <c r="A1068" s="9">
        <v>2032</v>
      </c>
      <c r="B1068" s="10" t="s">
        <v>60</v>
      </c>
      <c r="C1068" s="10" t="s">
        <v>41</v>
      </c>
      <c r="D1068" s="10" t="s">
        <v>42</v>
      </c>
      <c r="E1068" s="11" t="s">
        <v>91</v>
      </c>
      <c r="F1068" s="11" t="s">
        <v>17</v>
      </c>
      <c r="G1068" s="10" t="s">
        <v>18</v>
      </c>
      <c r="H1068" s="11" t="s">
        <v>19</v>
      </c>
      <c r="I1068" s="11">
        <v>2022</v>
      </c>
      <c r="J1068" s="11"/>
      <c r="K1068" s="11">
        <v>601331</v>
      </c>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4"/>
    </row>
    <row r="1069" spans="1:35" ht="12.5" hidden="1" x14ac:dyDescent="0.25">
      <c r="A1069" s="9">
        <v>2033</v>
      </c>
      <c r="B1069" s="10" t="s">
        <v>60</v>
      </c>
      <c r="C1069" s="10" t="s">
        <v>41</v>
      </c>
      <c r="D1069" s="10" t="s">
        <v>42</v>
      </c>
      <c r="E1069" s="11" t="s">
        <v>91</v>
      </c>
      <c r="F1069" s="11" t="s">
        <v>17</v>
      </c>
      <c r="G1069" s="10" t="s">
        <v>18</v>
      </c>
      <c r="H1069" s="11" t="s">
        <v>19</v>
      </c>
      <c r="I1069" s="11">
        <v>2022</v>
      </c>
      <c r="J1069" s="11"/>
      <c r="K1069" s="11">
        <v>601331</v>
      </c>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4"/>
    </row>
    <row r="1070" spans="1:35" ht="12.5" hidden="1" x14ac:dyDescent="0.25">
      <c r="A1070" s="9">
        <v>2034</v>
      </c>
      <c r="B1070" s="10" t="s">
        <v>60</v>
      </c>
      <c r="C1070" s="10" t="s">
        <v>41</v>
      </c>
      <c r="D1070" s="10" t="s">
        <v>42</v>
      </c>
      <c r="E1070" s="11" t="s">
        <v>91</v>
      </c>
      <c r="F1070" s="11" t="s">
        <v>17</v>
      </c>
      <c r="G1070" s="10" t="s">
        <v>18</v>
      </c>
      <c r="H1070" s="11" t="s">
        <v>19</v>
      </c>
      <c r="I1070" s="11">
        <v>2022</v>
      </c>
      <c r="J1070" s="11"/>
      <c r="K1070" s="11">
        <v>601331</v>
      </c>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4"/>
    </row>
    <row r="1071" spans="1:35" ht="12.5" hidden="1" x14ac:dyDescent="0.25">
      <c r="A1071" s="9">
        <v>2035</v>
      </c>
      <c r="B1071" s="10" t="s">
        <v>60</v>
      </c>
      <c r="C1071" s="10" t="s">
        <v>41</v>
      </c>
      <c r="D1071" s="10" t="s">
        <v>42</v>
      </c>
      <c r="E1071" s="11" t="s">
        <v>91</v>
      </c>
      <c r="F1071" s="11" t="s">
        <v>17</v>
      </c>
      <c r="G1071" s="10" t="s">
        <v>18</v>
      </c>
      <c r="H1071" s="11" t="s">
        <v>19</v>
      </c>
      <c r="I1071" s="11">
        <v>2022</v>
      </c>
      <c r="J1071" s="11"/>
      <c r="K1071" s="11">
        <v>601331</v>
      </c>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4"/>
    </row>
    <row r="1072" spans="1:35" ht="12.5" hidden="1" x14ac:dyDescent="0.25">
      <c r="A1072" s="9">
        <v>2036</v>
      </c>
      <c r="B1072" s="10" t="s">
        <v>60</v>
      </c>
      <c r="C1072" s="10" t="s">
        <v>41</v>
      </c>
      <c r="D1072" s="10" t="s">
        <v>42</v>
      </c>
      <c r="E1072" s="11" t="s">
        <v>91</v>
      </c>
      <c r="F1072" s="11" t="s">
        <v>17</v>
      </c>
      <c r="G1072" s="10" t="s">
        <v>24</v>
      </c>
      <c r="H1072" s="11" t="s">
        <v>19</v>
      </c>
      <c r="I1072" s="11">
        <v>2022</v>
      </c>
      <c r="J1072" s="11"/>
      <c r="K1072" s="11">
        <v>601331</v>
      </c>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4"/>
    </row>
    <row r="1073" spans="1:35" ht="12.5" hidden="1" x14ac:dyDescent="0.25">
      <c r="A1073" s="9">
        <v>2037</v>
      </c>
      <c r="B1073" s="10" t="s">
        <v>60</v>
      </c>
      <c r="C1073" s="10" t="s">
        <v>41</v>
      </c>
      <c r="D1073" s="10" t="s">
        <v>42</v>
      </c>
      <c r="E1073" s="11" t="s">
        <v>91</v>
      </c>
      <c r="F1073" s="11" t="s">
        <v>17</v>
      </c>
      <c r="G1073" s="10" t="s">
        <v>18</v>
      </c>
      <c r="H1073" s="11" t="s">
        <v>19</v>
      </c>
      <c r="I1073" s="11">
        <v>2022</v>
      </c>
      <c r="J1073" s="11"/>
      <c r="K1073" s="11">
        <v>601331</v>
      </c>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4"/>
    </row>
    <row r="1074" spans="1:35" ht="12.5" hidden="1" x14ac:dyDescent="0.25">
      <c r="A1074" s="9">
        <v>2038</v>
      </c>
      <c r="B1074" s="10" t="s">
        <v>60</v>
      </c>
      <c r="C1074" s="10" t="s">
        <v>41</v>
      </c>
      <c r="D1074" s="10" t="s">
        <v>42</v>
      </c>
      <c r="E1074" s="11" t="s">
        <v>91</v>
      </c>
      <c r="F1074" s="11" t="s">
        <v>17</v>
      </c>
      <c r="G1074" s="10" t="s">
        <v>24</v>
      </c>
      <c r="H1074" s="11" t="s">
        <v>19</v>
      </c>
      <c r="I1074" s="11">
        <v>2022</v>
      </c>
      <c r="J1074" s="11"/>
      <c r="K1074" s="11">
        <v>601331</v>
      </c>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4"/>
    </row>
    <row r="1075" spans="1:35" ht="12.5" hidden="1" x14ac:dyDescent="0.25">
      <c r="A1075" s="9">
        <v>2039</v>
      </c>
      <c r="B1075" s="10" t="s">
        <v>60</v>
      </c>
      <c r="C1075" s="10" t="s">
        <v>41</v>
      </c>
      <c r="D1075" s="10" t="s">
        <v>42</v>
      </c>
      <c r="E1075" s="11" t="s">
        <v>160</v>
      </c>
      <c r="F1075" s="11" t="s">
        <v>17</v>
      </c>
      <c r="G1075" s="10" t="s">
        <v>24</v>
      </c>
      <c r="H1075" s="11" t="s">
        <v>19</v>
      </c>
      <c r="I1075" s="11">
        <v>2022</v>
      </c>
      <c r="J1075" s="11"/>
      <c r="K1075" s="11">
        <v>6010230</v>
      </c>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4"/>
    </row>
    <row r="1076" spans="1:35" ht="12.5" hidden="1" x14ac:dyDescent="0.25">
      <c r="A1076" s="9">
        <v>2040</v>
      </c>
      <c r="B1076" s="10" t="s">
        <v>60</v>
      </c>
      <c r="C1076" s="10" t="s">
        <v>41</v>
      </c>
      <c r="D1076" s="10" t="s">
        <v>42</v>
      </c>
      <c r="E1076" s="11" t="s">
        <v>160</v>
      </c>
      <c r="F1076" s="11" t="s">
        <v>17</v>
      </c>
      <c r="G1076" s="10" t="s">
        <v>24</v>
      </c>
      <c r="H1076" s="11" t="s">
        <v>19</v>
      </c>
      <c r="I1076" s="11">
        <v>2022</v>
      </c>
      <c r="J1076" s="11"/>
      <c r="K1076" s="11">
        <v>6010230</v>
      </c>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4"/>
    </row>
    <row r="1077" spans="1:35" ht="12.5" hidden="1" x14ac:dyDescent="0.25">
      <c r="A1077" s="9">
        <v>2041</v>
      </c>
      <c r="B1077" s="10" t="s">
        <v>60</v>
      </c>
      <c r="C1077" s="10" t="s">
        <v>41</v>
      </c>
      <c r="D1077" s="10" t="s">
        <v>42</v>
      </c>
      <c r="E1077" s="11" t="s">
        <v>160</v>
      </c>
      <c r="F1077" s="11" t="s">
        <v>17</v>
      </c>
      <c r="G1077" s="10" t="s">
        <v>18</v>
      </c>
      <c r="H1077" s="11" t="s">
        <v>19</v>
      </c>
      <c r="I1077" s="11">
        <v>2022</v>
      </c>
      <c r="J1077" s="11"/>
      <c r="K1077" s="11">
        <v>6010230</v>
      </c>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4"/>
    </row>
    <row r="1078" spans="1:35" ht="12.5" hidden="1" x14ac:dyDescent="0.25">
      <c r="A1078" s="9">
        <v>2042</v>
      </c>
      <c r="B1078" s="10" t="s">
        <v>60</v>
      </c>
      <c r="C1078" s="10" t="s">
        <v>41</v>
      </c>
      <c r="D1078" s="10" t="s">
        <v>42</v>
      </c>
      <c r="E1078" s="11" t="s">
        <v>160</v>
      </c>
      <c r="F1078" s="11" t="s">
        <v>17</v>
      </c>
      <c r="G1078" s="10" t="s">
        <v>18</v>
      </c>
      <c r="H1078" s="11" t="s">
        <v>19</v>
      </c>
      <c r="I1078" s="11">
        <v>2022</v>
      </c>
      <c r="J1078" s="11"/>
      <c r="K1078" s="11">
        <v>6010230</v>
      </c>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4"/>
    </row>
    <row r="1079" spans="1:35" ht="12.5" hidden="1" x14ac:dyDescent="0.25">
      <c r="A1079" s="9">
        <v>2043</v>
      </c>
      <c r="B1079" s="10" t="s">
        <v>60</v>
      </c>
      <c r="C1079" s="10" t="s">
        <v>41</v>
      </c>
      <c r="D1079" s="10" t="s">
        <v>42</v>
      </c>
      <c r="E1079" s="11" t="s">
        <v>160</v>
      </c>
      <c r="F1079" s="11" t="s">
        <v>17</v>
      </c>
      <c r="G1079" s="10" t="s">
        <v>24</v>
      </c>
      <c r="H1079" s="11" t="s">
        <v>19</v>
      </c>
      <c r="I1079" s="11">
        <v>2022</v>
      </c>
      <c r="J1079" s="11"/>
      <c r="K1079" s="11">
        <v>6010230</v>
      </c>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4"/>
    </row>
    <row r="1080" spans="1:35" ht="12.5" hidden="1" x14ac:dyDescent="0.25">
      <c r="A1080" s="9">
        <v>2044</v>
      </c>
      <c r="B1080" s="10" t="s">
        <v>60</v>
      </c>
      <c r="C1080" s="10" t="s">
        <v>41</v>
      </c>
      <c r="D1080" s="10" t="s">
        <v>42</v>
      </c>
      <c r="E1080" s="11" t="s">
        <v>160</v>
      </c>
      <c r="F1080" s="11" t="s">
        <v>17</v>
      </c>
      <c r="G1080" s="10" t="s">
        <v>18</v>
      </c>
      <c r="H1080" s="11" t="s">
        <v>19</v>
      </c>
      <c r="I1080" s="11">
        <v>2022</v>
      </c>
      <c r="J1080" s="11"/>
      <c r="K1080" s="11">
        <v>6010230</v>
      </c>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4"/>
    </row>
    <row r="1081" spans="1:35" ht="12.5" hidden="1" x14ac:dyDescent="0.25">
      <c r="A1081" s="9">
        <v>2045</v>
      </c>
      <c r="B1081" s="10" t="s">
        <v>60</v>
      </c>
      <c r="C1081" s="10" t="s">
        <v>41</v>
      </c>
      <c r="D1081" s="10" t="s">
        <v>42</v>
      </c>
      <c r="E1081" s="11" t="s">
        <v>160</v>
      </c>
      <c r="F1081" s="11" t="s">
        <v>17</v>
      </c>
      <c r="G1081" s="10" t="s">
        <v>24</v>
      </c>
      <c r="H1081" s="11" t="s">
        <v>19</v>
      </c>
      <c r="I1081" s="11">
        <v>2022</v>
      </c>
      <c r="J1081" s="11"/>
      <c r="K1081" s="11">
        <v>6010230</v>
      </c>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4"/>
    </row>
    <row r="1082" spans="1:35" ht="12.5" hidden="1" x14ac:dyDescent="0.25">
      <c r="A1082" s="9">
        <v>2046</v>
      </c>
      <c r="B1082" s="10" t="s">
        <v>60</v>
      </c>
      <c r="C1082" s="10" t="s">
        <v>41</v>
      </c>
      <c r="D1082" s="10" t="s">
        <v>42</v>
      </c>
      <c r="E1082" s="11" t="s">
        <v>92</v>
      </c>
      <c r="F1082" s="11" t="s">
        <v>17</v>
      </c>
      <c r="G1082" s="10" t="s">
        <v>24</v>
      </c>
      <c r="H1082" s="11" t="s">
        <v>19</v>
      </c>
      <c r="I1082" s="11">
        <v>2022</v>
      </c>
      <c r="J1082" s="11"/>
      <c r="K1082" s="11">
        <v>60133</v>
      </c>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4"/>
    </row>
    <row r="1083" spans="1:35" ht="12.5" hidden="1" x14ac:dyDescent="0.25">
      <c r="A1083" s="9">
        <v>2047</v>
      </c>
      <c r="B1083" s="10" t="s">
        <v>60</v>
      </c>
      <c r="C1083" s="10" t="s">
        <v>41</v>
      </c>
      <c r="D1083" s="10" t="s">
        <v>42</v>
      </c>
      <c r="E1083" s="11" t="s">
        <v>92</v>
      </c>
      <c r="F1083" s="11" t="s">
        <v>17</v>
      </c>
      <c r="G1083" s="10" t="s">
        <v>24</v>
      </c>
      <c r="H1083" s="11" t="s">
        <v>19</v>
      </c>
      <c r="I1083" s="11">
        <v>2022</v>
      </c>
      <c r="J1083" s="11"/>
      <c r="K1083" s="11">
        <v>60133</v>
      </c>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4"/>
    </row>
    <row r="1084" spans="1:35" ht="12.5" hidden="1" x14ac:dyDescent="0.25">
      <c r="A1084" s="9">
        <v>2048</v>
      </c>
      <c r="B1084" s="10" t="s">
        <v>60</v>
      </c>
      <c r="C1084" s="10" t="s">
        <v>41</v>
      </c>
      <c r="D1084" s="10" t="s">
        <v>42</v>
      </c>
      <c r="E1084" s="11" t="s">
        <v>92</v>
      </c>
      <c r="F1084" s="11" t="s">
        <v>17</v>
      </c>
      <c r="G1084" s="10" t="s">
        <v>24</v>
      </c>
      <c r="H1084" s="11" t="s">
        <v>19</v>
      </c>
      <c r="I1084" s="11">
        <v>2022</v>
      </c>
      <c r="J1084" s="11"/>
      <c r="K1084" s="11">
        <v>60133</v>
      </c>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4"/>
    </row>
    <row r="1085" spans="1:35" ht="12.5" hidden="1" x14ac:dyDescent="0.25">
      <c r="A1085" s="9">
        <v>2049</v>
      </c>
      <c r="B1085" s="10" t="s">
        <v>60</v>
      </c>
      <c r="C1085" s="10" t="s">
        <v>41</v>
      </c>
      <c r="D1085" s="10" t="s">
        <v>42</v>
      </c>
      <c r="E1085" s="11" t="s">
        <v>92</v>
      </c>
      <c r="F1085" s="11" t="s">
        <v>17</v>
      </c>
      <c r="G1085" s="10" t="s">
        <v>24</v>
      </c>
      <c r="H1085" s="11" t="s">
        <v>19</v>
      </c>
      <c r="I1085" s="11">
        <v>2022</v>
      </c>
      <c r="J1085" s="11"/>
      <c r="K1085" s="11">
        <v>60133</v>
      </c>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4"/>
    </row>
    <row r="1086" spans="1:35" ht="12.5" hidden="1" x14ac:dyDescent="0.25">
      <c r="A1086" s="9">
        <v>2050</v>
      </c>
      <c r="B1086" s="10" t="s">
        <v>60</v>
      </c>
      <c r="C1086" s="10" t="s">
        <v>41</v>
      </c>
      <c r="D1086" s="10" t="s">
        <v>42</v>
      </c>
      <c r="E1086" s="11" t="s">
        <v>92</v>
      </c>
      <c r="F1086" s="11" t="s">
        <v>17</v>
      </c>
      <c r="G1086" s="10" t="s">
        <v>18</v>
      </c>
      <c r="H1086" s="11" t="s">
        <v>19</v>
      </c>
      <c r="I1086" s="11">
        <v>2022</v>
      </c>
      <c r="J1086" s="11"/>
      <c r="K1086" s="11">
        <v>60133</v>
      </c>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4"/>
    </row>
    <row r="1087" spans="1:35" ht="12.5" hidden="1" x14ac:dyDescent="0.25">
      <c r="A1087" s="9">
        <v>2051</v>
      </c>
      <c r="B1087" s="10" t="s">
        <v>60</v>
      </c>
      <c r="C1087" s="10" t="s">
        <v>41</v>
      </c>
      <c r="D1087" s="10" t="s">
        <v>42</v>
      </c>
      <c r="E1087" s="11" t="s">
        <v>92</v>
      </c>
      <c r="F1087" s="11" t="s">
        <v>17</v>
      </c>
      <c r="G1087" s="10" t="s">
        <v>18</v>
      </c>
      <c r="H1087" s="11" t="s">
        <v>19</v>
      </c>
      <c r="I1087" s="11">
        <v>2022</v>
      </c>
      <c r="J1087" s="11"/>
      <c r="K1087" s="11">
        <v>60133</v>
      </c>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4"/>
    </row>
    <row r="1088" spans="1:35" ht="12.5" hidden="1" x14ac:dyDescent="0.25">
      <c r="A1088" s="9">
        <v>2052</v>
      </c>
      <c r="B1088" s="10" t="s">
        <v>60</v>
      </c>
      <c r="C1088" s="10" t="s">
        <v>41</v>
      </c>
      <c r="D1088" s="10" t="s">
        <v>42</v>
      </c>
      <c r="E1088" s="11" t="s">
        <v>92</v>
      </c>
      <c r="F1088" s="11" t="s">
        <v>17</v>
      </c>
      <c r="G1088" s="10" t="s">
        <v>24</v>
      </c>
      <c r="H1088" s="11" t="s">
        <v>19</v>
      </c>
      <c r="I1088" s="11">
        <v>2022</v>
      </c>
      <c r="J1088" s="11"/>
      <c r="K1088" s="11">
        <v>60133</v>
      </c>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4"/>
    </row>
    <row r="1089" spans="1:35" ht="12.5" hidden="1" x14ac:dyDescent="0.25">
      <c r="A1089" s="9">
        <v>2053</v>
      </c>
      <c r="B1089" s="10" t="s">
        <v>60</v>
      </c>
      <c r="C1089" s="10" t="s">
        <v>41</v>
      </c>
      <c r="D1089" s="10" t="s">
        <v>42</v>
      </c>
      <c r="E1089" s="11" t="s">
        <v>92</v>
      </c>
      <c r="F1089" s="11" t="s">
        <v>17</v>
      </c>
      <c r="G1089" s="10" t="s">
        <v>18</v>
      </c>
      <c r="H1089" s="11" t="s">
        <v>19</v>
      </c>
      <c r="I1089" s="11">
        <v>2022</v>
      </c>
      <c r="J1089" s="11"/>
      <c r="K1089" s="11">
        <v>60133</v>
      </c>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4"/>
    </row>
    <row r="1090" spans="1:35" ht="12.5" hidden="1" x14ac:dyDescent="0.25">
      <c r="A1090" s="9">
        <v>2054</v>
      </c>
      <c r="B1090" s="10" t="s">
        <v>60</v>
      </c>
      <c r="C1090" s="10" t="s">
        <v>41</v>
      </c>
      <c r="D1090" s="10" t="s">
        <v>42</v>
      </c>
      <c r="E1090" s="11" t="s">
        <v>92</v>
      </c>
      <c r="F1090" s="11" t="s">
        <v>17</v>
      </c>
      <c r="G1090" s="10" t="s">
        <v>24</v>
      </c>
      <c r="H1090" s="11" t="s">
        <v>19</v>
      </c>
      <c r="I1090" s="11">
        <v>2022</v>
      </c>
      <c r="J1090" s="11"/>
      <c r="K1090" s="11">
        <v>60133</v>
      </c>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4"/>
    </row>
    <row r="1091" spans="1:35" ht="12.5" hidden="1" x14ac:dyDescent="0.25">
      <c r="A1091" s="9">
        <v>2055</v>
      </c>
      <c r="B1091" s="10" t="s">
        <v>60</v>
      </c>
      <c r="C1091" s="10" t="s">
        <v>41</v>
      </c>
      <c r="D1091" s="10" t="s">
        <v>42</v>
      </c>
      <c r="E1091" s="11" t="s">
        <v>92</v>
      </c>
      <c r="F1091" s="11" t="s">
        <v>17</v>
      </c>
      <c r="G1091" s="10" t="s">
        <v>24</v>
      </c>
      <c r="H1091" s="11" t="s">
        <v>19</v>
      </c>
      <c r="I1091" s="11">
        <v>2022</v>
      </c>
      <c r="J1091" s="11"/>
      <c r="K1091" s="11">
        <v>60133</v>
      </c>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4"/>
    </row>
    <row r="1092" spans="1:35" ht="12.5" hidden="1" x14ac:dyDescent="0.25">
      <c r="A1092" s="9">
        <v>2056</v>
      </c>
      <c r="B1092" s="10" t="s">
        <v>60</v>
      </c>
      <c r="C1092" s="10" t="s">
        <v>41</v>
      </c>
      <c r="D1092" s="10" t="s">
        <v>42</v>
      </c>
      <c r="E1092" s="11" t="s">
        <v>92</v>
      </c>
      <c r="F1092" s="11" t="s">
        <v>17</v>
      </c>
      <c r="G1092" s="10" t="s">
        <v>24</v>
      </c>
      <c r="H1092" s="11" t="s">
        <v>19</v>
      </c>
      <c r="I1092" s="11">
        <v>2022</v>
      </c>
      <c r="J1092" s="11"/>
      <c r="K1092" s="11">
        <v>60133</v>
      </c>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4"/>
    </row>
    <row r="1093" spans="1:35" ht="12.5" hidden="1" x14ac:dyDescent="0.25">
      <c r="A1093" s="9">
        <v>2057</v>
      </c>
      <c r="B1093" s="10" t="s">
        <v>60</v>
      </c>
      <c r="C1093" s="10" t="s">
        <v>41</v>
      </c>
      <c r="D1093" s="10" t="s">
        <v>42</v>
      </c>
      <c r="E1093" s="11" t="s">
        <v>92</v>
      </c>
      <c r="F1093" s="11" t="s">
        <v>17</v>
      </c>
      <c r="G1093" s="10" t="s">
        <v>24</v>
      </c>
      <c r="H1093" s="11" t="s">
        <v>19</v>
      </c>
      <c r="I1093" s="11">
        <v>2022</v>
      </c>
      <c r="J1093" s="11"/>
      <c r="K1093" s="11">
        <v>60133</v>
      </c>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4"/>
    </row>
    <row r="1094" spans="1:35" ht="12.5" hidden="1" x14ac:dyDescent="0.25">
      <c r="A1094" s="9">
        <v>2058</v>
      </c>
      <c r="B1094" s="10" t="s">
        <v>60</v>
      </c>
      <c r="C1094" s="10" t="s">
        <v>41</v>
      </c>
      <c r="D1094" s="10" t="s">
        <v>42</v>
      </c>
      <c r="E1094" s="11" t="s">
        <v>92</v>
      </c>
      <c r="F1094" s="11" t="s">
        <v>17</v>
      </c>
      <c r="G1094" s="10" t="s">
        <v>24</v>
      </c>
      <c r="H1094" s="11" t="s">
        <v>19</v>
      </c>
      <c r="I1094" s="11">
        <v>2022</v>
      </c>
      <c r="J1094" s="11"/>
      <c r="K1094" s="11">
        <v>60133</v>
      </c>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4"/>
    </row>
    <row r="1095" spans="1:35" ht="12.5" hidden="1" x14ac:dyDescent="0.25">
      <c r="A1095" s="9">
        <v>2059</v>
      </c>
      <c r="B1095" s="10" t="s">
        <v>60</v>
      </c>
      <c r="C1095" s="10" t="s">
        <v>41</v>
      </c>
      <c r="D1095" s="10" t="s">
        <v>42</v>
      </c>
      <c r="E1095" s="11" t="s">
        <v>92</v>
      </c>
      <c r="F1095" s="11" t="s">
        <v>17</v>
      </c>
      <c r="G1095" s="10" t="s">
        <v>24</v>
      </c>
      <c r="H1095" s="11" t="s">
        <v>19</v>
      </c>
      <c r="I1095" s="11">
        <v>2022</v>
      </c>
      <c r="J1095" s="11"/>
      <c r="K1095" s="11">
        <v>60133</v>
      </c>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4"/>
    </row>
    <row r="1096" spans="1:35" ht="12.5" hidden="1" x14ac:dyDescent="0.25">
      <c r="A1096" s="9">
        <v>2060</v>
      </c>
      <c r="B1096" s="10" t="s">
        <v>60</v>
      </c>
      <c r="C1096" s="10" t="s">
        <v>41</v>
      </c>
      <c r="D1096" s="10" t="s">
        <v>42</v>
      </c>
      <c r="E1096" s="11" t="s">
        <v>92</v>
      </c>
      <c r="F1096" s="11" t="s">
        <v>17</v>
      </c>
      <c r="G1096" s="10" t="s">
        <v>18</v>
      </c>
      <c r="H1096" s="11" t="s">
        <v>19</v>
      </c>
      <c r="I1096" s="11">
        <v>2022</v>
      </c>
      <c r="J1096" s="11"/>
      <c r="K1096" s="11">
        <v>60133</v>
      </c>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4"/>
    </row>
    <row r="1097" spans="1:35" ht="12.5" hidden="1" x14ac:dyDescent="0.25">
      <c r="A1097" s="9">
        <v>2061</v>
      </c>
      <c r="B1097" s="10" t="s">
        <v>60</v>
      </c>
      <c r="C1097" s="10" t="s">
        <v>41</v>
      </c>
      <c r="D1097" s="10" t="s">
        <v>42</v>
      </c>
      <c r="E1097" s="11" t="s">
        <v>92</v>
      </c>
      <c r="F1097" s="11" t="s">
        <v>17</v>
      </c>
      <c r="G1097" s="10" t="s">
        <v>18</v>
      </c>
      <c r="H1097" s="11" t="s">
        <v>19</v>
      </c>
      <c r="I1097" s="11">
        <v>2022</v>
      </c>
      <c r="J1097" s="11"/>
      <c r="K1097" s="11">
        <v>60133</v>
      </c>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4"/>
    </row>
    <row r="1098" spans="1:35" ht="12.5" hidden="1" x14ac:dyDescent="0.25">
      <c r="A1098" s="9">
        <v>2062</v>
      </c>
      <c r="B1098" s="10" t="s">
        <v>60</v>
      </c>
      <c r="C1098" s="10" t="s">
        <v>41</v>
      </c>
      <c r="D1098" s="10" t="s">
        <v>42</v>
      </c>
      <c r="E1098" s="11" t="s">
        <v>92</v>
      </c>
      <c r="F1098" s="11" t="s">
        <v>17</v>
      </c>
      <c r="G1098" s="10" t="s">
        <v>24</v>
      </c>
      <c r="H1098" s="11" t="s">
        <v>19</v>
      </c>
      <c r="I1098" s="11">
        <v>2022</v>
      </c>
      <c r="J1098" s="11"/>
      <c r="K1098" s="11">
        <v>60133</v>
      </c>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4"/>
    </row>
    <row r="1099" spans="1:35" ht="12.5" hidden="1" x14ac:dyDescent="0.25">
      <c r="A1099" s="9">
        <v>2063</v>
      </c>
      <c r="B1099" s="10" t="s">
        <v>60</v>
      </c>
      <c r="C1099" s="10" t="s">
        <v>41</v>
      </c>
      <c r="D1099" s="10" t="s">
        <v>42</v>
      </c>
      <c r="E1099" s="11" t="s">
        <v>92</v>
      </c>
      <c r="F1099" s="11" t="s">
        <v>17</v>
      </c>
      <c r="G1099" s="10" t="s">
        <v>18</v>
      </c>
      <c r="H1099" s="11" t="s">
        <v>19</v>
      </c>
      <c r="I1099" s="11">
        <v>2022</v>
      </c>
      <c r="J1099" s="11"/>
      <c r="K1099" s="11">
        <v>60133</v>
      </c>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4"/>
    </row>
    <row r="1100" spans="1:35" ht="12.5" hidden="1" x14ac:dyDescent="0.25">
      <c r="A1100" s="9">
        <v>2064</v>
      </c>
      <c r="B1100" s="10" t="s">
        <v>60</v>
      </c>
      <c r="C1100" s="10" t="s">
        <v>41</v>
      </c>
      <c r="D1100" s="10" t="s">
        <v>42</v>
      </c>
      <c r="E1100" s="11" t="s">
        <v>92</v>
      </c>
      <c r="F1100" s="11" t="s">
        <v>17</v>
      </c>
      <c r="G1100" s="10" t="s">
        <v>18</v>
      </c>
      <c r="H1100" s="11" t="s">
        <v>19</v>
      </c>
      <c r="I1100" s="11">
        <v>2022</v>
      </c>
      <c r="J1100" s="11"/>
      <c r="K1100" s="11">
        <v>60133</v>
      </c>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4"/>
    </row>
    <row r="1101" spans="1:35" ht="12.5" hidden="1" x14ac:dyDescent="0.25">
      <c r="A1101" s="9">
        <v>2065</v>
      </c>
      <c r="B1101" s="10" t="s">
        <v>60</v>
      </c>
      <c r="C1101" s="10" t="s">
        <v>41</v>
      </c>
      <c r="D1101" s="10" t="s">
        <v>42</v>
      </c>
      <c r="E1101" s="11" t="s">
        <v>92</v>
      </c>
      <c r="F1101" s="11" t="s">
        <v>17</v>
      </c>
      <c r="G1101" s="10" t="s">
        <v>24</v>
      </c>
      <c r="H1101" s="11" t="s">
        <v>19</v>
      </c>
      <c r="I1101" s="11">
        <v>2022</v>
      </c>
      <c r="J1101" s="11"/>
      <c r="K1101" s="11">
        <v>60133</v>
      </c>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4"/>
    </row>
    <row r="1102" spans="1:35" ht="12.5" hidden="1" x14ac:dyDescent="0.25">
      <c r="A1102" s="9">
        <v>2066</v>
      </c>
      <c r="B1102" s="10" t="s">
        <v>60</v>
      </c>
      <c r="C1102" s="10" t="s">
        <v>41</v>
      </c>
      <c r="D1102" s="10" t="s">
        <v>42</v>
      </c>
      <c r="E1102" s="11" t="s">
        <v>92</v>
      </c>
      <c r="F1102" s="11" t="s">
        <v>17</v>
      </c>
      <c r="G1102" s="10" t="s">
        <v>24</v>
      </c>
      <c r="H1102" s="11" t="s">
        <v>19</v>
      </c>
      <c r="I1102" s="11">
        <v>2022</v>
      </c>
      <c r="J1102" s="11"/>
      <c r="K1102" s="11">
        <v>60133</v>
      </c>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4"/>
    </row>
    <row r="1103" spans="1:35" ht="12.5" hidden="1" x14ac:dyDescent="0.25">
      <c r="A1103" s="9">
        <v>2067</v>
      </c>
      <c r="B1103" s="10" t="s">
        <v>60</v>
      </c>
      <c r="C1103" s="10" t="s">
        <v>41</v>
      </c>
      <c r="D1103" s="10" t="s">
        <v>42</v>
      </c>
      <c r="E1103" s="11" t="s">
        <v>92</v>
      </c>
      <c r="F1103" s="11" t="s">
        <v>17</v>
      </c>
      <c r="G1103" s="10" t="s">
        <v>18</v>
      </c>
      <c r="H1103" s="11" t="s">
        <v>19</v>
      </c>
      <c r="I1103" s="11">
        <v>2022</v>
      </c>
      <c r="J1103" s="11"/>
      <c r="K1103" s="11">
        <v>60133</v>
      </c>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4"/>
    </row>
    <row r="1104" spans="1:35" ht="12.5" hidden="1" x14ac:dyDescent="0.25">
      <c r="A1104" s="9">
        <v>2068</v>
      </c>
      <c r="B1104" s="10" t="s">
        <v>60</v>
      </c>
      <c r="C1104" s="10" t="s">
        <v>41</v>
      </c>
      <c r="D1104" s="10" t="s">
        <v>42</v>
      </c>
      <c r="E1104" s="11" t="s">
        <v>92</v>
      </c>
      <c r="F1104" s="11" t="s">
        <v>17</v>
      </c>
      <c r="G1104" s="10" t="s">
        <v>18</v>
      </c>
      <c r="H1104" s="11" t="s">
        <v>19</v>
      </c>
      <c r="I1104" s="11">
        <v>2022</v>
      </c>
      <c r="J1104" s="11"/>
      <c r="K1104" s="11">
        <v>60133</v>
      </c>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4"/>
    </row>
    <row r="1105" spans="1:35" ht="12.5" hidden="1" x14ac:dyDescent="0.25">
      <c r="A1105" s="9">
        <v>2069</v>
      </c>
      <c r="B1105" s="10" t="s">
        <v>60</v>
      </c>
      <c r="C1105" s="10" t="s">
        <v>41</v>
      </c>
      <c r="D1105" s="10" t="s">
        <v>42</v>
      </c>
      <c r="E1105" s="11" t="s">
        <v>92</v>
      </c>
      <c r="F1105" s="11" t="s">
        <v>17</v>
      </c>
      <c r="G1105" s="10" t="s">
        <v>24</v>
      </c>
      <c r="H1105" s="11" t="s">
        <v>19</v>
      </c>
      <c r="I1105" s="11">
        <v>2022</v>
      </c>
      <c r="J1105" s="11"/>
      <c r="K1105" s="11">
        <v>60133</v>
      </c>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4"/>
    </row>
    <row r="1106" spans="1:35" ht="12.5" hidden="1" x14ac:dyDescent="0.25">
      <c r="A1106" s="9">
        <v>2070</v>
      </c>
      <c r="B1106" s="10" t="s">
        <v>60</v>
      </c>
      <c r="C1106" s="10" t="s">
        <v>41</v>
      </c>
      <c r="D1106" s="10" t="s">
        <v>42</v>
      </c>
      <c r="E1106" s="11" t="s">
        <v>92</v>
      </c>
      <c r="F1106" s="11" t="s">
        <v>17</v>
      </c>
      <c r="G1106" s="10" t="s">
        <v>18</v>
      </c>
      <c r="H1106" s="11" t="s">
        <v>19</v>
      </c>
      <c r="I1106" s="11">
        <v>2022</v>
      </c>
      <c r="J1106" s="11"/>
      <c r="K1106" s="11">
        <v>60133</v>
      </c>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4"/>
    </row>
    <row r="1107" spans="1:35" ht="12.5" hidden="1" x14ac:dyDescent="0.25">
      <c r="A1107" s="9">
        <v>2071</v>
      </c>
      <c r="B1107" s="10" t="s">
        <v>60</v>
      </c>
      <c r="C1107" s="10" t="s">
        <v>41</v>
      </c>
      <c r="D1107" s="10" t="s">
        <v>42</v>
      </c>
      <c r="E1107" s="11" t="s">
        <v>92</v>
      </c>
      <c r="F1107" s="11" t="s">
        <v>17</v>
      </c>
      <c r="G1107" s="10" t="s">
        <v>24</v>
      </c>
      <c r="H1107" s="11" t="s">
        <v>19</v>
      </c>
      <c r="I1107" s="11">
        <v>2022</v>
      </c>
      <c r="J1107" s="11"/>
      <c r="K1107" s="11">
        <v>60133</v>
      </c>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4"/>
    </row>
    <row r="1108" spans="1:35" ht="12.5" hidden="1" x14ac:dyDescent="0.25">
      <c r="A1108" s="9">
        <v>2072</v>
      </c>
      <c r="B1108" s="10" t="s">
        <v>60</v>
      </c>
      <c r="C1108" s="10" t="s">
        <v>41</v>
      </c>
      <c r="D1108" s="10" t="s">
        <v>42</v>
      </c>
      <c r="E1108" s="11" t="s">
        <v>92</v>
      </c>
      <c r="F1108" s="11" t="s">
        <v>17</v>
      </c>
      <c r="G1108" s="10" t="s">
        <v>24</v>
      </c>
      <c r="H1108" s="11" t="s">
        <v>19</v>
      </c>
      <c r="I1108" s="11">
        <v>2022</v>
      </c>
      <c r="J1108" s="11"/>
      <c r="K1108" s="11">
        <v>60133</v>
      </c>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4"/>
    </row>
    <row r="1109" spans="1:35" ht="12.5" hidden="1" x14ac:dyDescent="0.25">
      <c r="A1109" s="9">
        <v>2073</v>
      </c>
      <c r="B1109" s="10" t="s">
        <v>60</v>
      </c>
      <c r="C1109" s="10" t="s">
        <v>41</v>
      </c>
      <c r="D1109" s="10" t="s">
        <v>42</v>
      </c>
      <c r="E1109" s="11" t="s">
        <v>92</v>
      </c>
      <c r="F1109" s="11" t="s">
        <v>17</v>
      </c>
      <c r="G1109" s="10" t="s">
        <v>18</v>
      </c>
      <c r="H1109" s="11" t="s">
        <v>19</v>
      </c>
      <c r="I1109" s="11">
        <v>2022</v>
      </c>
      <c r="J1109" s="11"/>
      <c r="K1109" s="11">
        <v>60133</v>
      </c>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4"/>
    </row>
    <row r="1110" spans="1:35" ht="12.5" hidden="1" x14ac:dyDescent="0.25">
      <c r="A1110" s="9">
        <v>2074</v>
      </c>
      <c r="B1110" s="10" t="s">
        <v>60</v>
      </c>
      <c r="C1110" s="10" t="s">
        <v>41</v>
      </c>
      <c r="D1110" s="10" t="s">
        <v>42</v>
      </c>
      <c r="E1110" s="11" t="s">
        <v>92</v>
      </c>
      <c r="F1110" s="11" t="s">
        <v>17</v>
      </c>
      <c r="G1110" s="10" t="s">
        <v>18</v>
      </c>
      <c r="H1110" s="11" t="s">
        <v>19</v>
      </c>
      <c r="I1110" s="11">
        <v>2022</v>
      </c>
      <c r="J1110" s="11"/>
      <c r="K1110" s="11">
        <v>60133</v>
      </c>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4"/>
    </row>
    <row r="1111" spans="1:35" ht="12.5" hidden="1" x14ac:dyDescent="0.25">
      <c r="A1111" s="9">
        <v>2075</v>
      </c>
      <c r="B1111" s="10" t="s">
        <v>60</v>
      </c>
      <c r="C1111" s="10" t="s">
        <v>41</v>
      </c>
      <c r="D1111" s="10" t="s">
        <v>42</v>
      </c>
      <c r="E1111" s="11" t="s">
        <v>92</v>
      </c>
      <c r="F1111" s="11" t="s">
        <v>17</v>
      </c>
      <c r="G1111" s="10" t="s">
        <v>18</v>
      </c>
      <c r="H1111" s="11" t="s">
        <v>19</v>
      </c>
      <c r="I1111" s="11">
        <v>2022</v>
      </c>
      <c r="J1111" s="11"/>
      <c r="K1111" s="11">
        <v>60133</v>
      </c>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4"/>
    </row>
    <row r="1112" spans="1:35" ht="12.5" hidden="1" x14ac:dyDescent="0.25">
      <c r="A1112" s="9">
        <v>2076</v>
      </c>
      <c r="B1112" s="10" t="s">
        <v>60</v>
      </c>
      <c r="C1112" s="10" t="s">
        <v>41</v>
      </c>
      <c r="D1112" s="10" t="s">
        <v>42</v>
      </c>
      <c r="E1112" s="11" t="s">
        <v>92</v>
      </c>
      <c r="F1112" s="11" t="s">
        <v>17</v>
      </c>
      <c r="G1112" s="10" t="s">
        <v>24</v>
      </c>
      <c r="H1112" s="11" t="s">
        <v>19</v>
      </c>
      <c r="I1112" s="11">
        <v>2022</v>
      </c>
      <c r="J1112" s="11"/>
      <c r="K1112" s="11">
        <v>60133</v>
      </c>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4"/>
    </row>
    <row r="1113" spans="1:35" ht="12.5" hidden="1" x14ac:dyDescent="0.25">
      <c r="A1113" s="9">
        <v>2077</v>
      </c>
      <c r="B1113" s="10" t="s">
        <v>60</v>
      </c>
      <c r="C1113" s="10" t="s">
        <v>15</v>
      </c>
      <c r="D1113" s="10" t="s">
        <v>16</v>
      </c>
      <c r="E1113" s="11" t="s">
        <v>94</v>
      </c>
      <c r="F1113" s="11" t="s">
        <v>17</v>
      </c>
      <c r="G1113" s="10" t="s">
        <v>24</v>
      </c>
      <c r="H1113" s="11" t="s">
        <v>19</v>
      </c>
      <c r="I1113" s="11">
        <v>2022</v>
      </c>
      <c r="J1113" s="11"/>
      <c r="K1113" s="11">
        <v>601448</v>
      </c>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4"/>
    </row>
    <row r="1114" spans="1:35" ht="12.5" hidden="1" x14ac:dyDescent="0.25">
      <c r="A1114" s="9">
        <v>2078</v>
      </c>
      <c r="B1114" s="10" t="s">
        <v>60</v>
      </c>
      <c r="C1114" s="10" t="s">
        <v>15</v>
      </c>
      <c r="D1114" s="10" t="s">
        <v>16</v>
      </c>
      <c r="E1114" s="11" t="s">
        <v>94</v>
      </c>
      <c r="F1114" s="11" t="s">
        <v>17</v>
      </c>
      <c r="G1114" s="10" t="s">
        <v>24</v>
      </c>
      <c r="H1114" s="11" t="s">
        <v>19</v>
      </c>
      <c r="I1114" s="11">
        <v>2022</v>
      </c>
      <c r="J1114" s="11"/>
      <c r="K1114" s="11">
        <v>601448</v>
      </c>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4"/>
    </row>
    <row r="1115" spans="1:35" ht="12.5" hidden="1" x14ac:dyDescent="0.25">
      <c r="A1115" s="9">
        <v>2079</v>
      </c>
      <c r="B1115" s="10" t="s">
        <v>60</v>
      </c>
      <c r="C1115" s="10" t="s">
        <v>15</v>
      </c>
      <c r="D1115" s="10" t="s">
        <v>16</v>
      </c>
      <c r="E1115" s="11" t="s">
        <v>94</v>
      </c>
      <c r="F1115" s="11" t="s">
        <v>17</v>
      </c>
      <c r="G1115" s="10" t="s">
        <v>18</v>
      </c>
      <c r="H1115" s="11" t="s">
        <v>19</v>
      </c>
      <c r="I1115" s="11">
        <v>2022</v>
      </c>
      <c r="J1115" s="11"/>
      <c r="K1115" s="11">
        <v>601448</v>
      </c>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4"/>
    </row>
    <row r="1116" spans="1:35" ht="12.5" hidden="1" x14ac:dyDescent="0.25">
      <c r="A1116" s="9">
        <v>2080</v>
      </c>
      <c r="B1116" s="10" t="s">
        <v>60</v>
      </c>
      <c r="C1116" s="10" t="s">
        <v>15</v>
      </c>
      <c r="D1116" s="10" t="s">
        <v>16</v>
      </c>
      <c r="E1116" s="11" t="s">
        <v>91</v>
      </c>
      <c r="F1116" s="11" t="s">
        <v>17</v>
      </c>
      <c r="G1116" s="10" t="s">
        <v>24</v>
      </c>
      <c r="H1116" s="11" t="s">
        <v>25</v>
      </c>
      <c r="I1116" s="11">
        <v>2022</v>
      </c>
      <c r="J1116" s="11"/>
      <c r="K1116" s="11">
        <v>601331</v>
      </c>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4"/>
    </row>
    <row r="1117" spans="1:35" ht="12.5" hidden="1" x14ac:dyDescent="0.25">
      <c r="A1117" s="9">
        <v>2081</v>
      </c>
      <c r="B1117" s="10" t="s">
        <v>60</v>
      </c>
      <c r="C1117" s="10" t="s">
        <v>15</v>
      </c>
      <c r="D1117" s="10" t="s">
        <v>16</v>
      </c>
      <c r="E1117" s="11" t="s">
        <v>160</v>
      </c>
      <c r="F1117" s="11" t="s">
        <v>17</v>
      </c>
      <c r="G1117" s="10" t="s">
        <v>18</v>
      </c>
      <c r="H1117" s="11" t="s">
        <v>19</v>
      </c>
      <c r="I1117" s="11">
        <v>2022</v>
      </c>
      <c r="J1117" s="11"/>
      <c r="K1117" s="11">
        <v>6010230</v>
      </c>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4"/>
    </row>
    <row r="1118" spans="1:35" ht="12.5" hidden="1" x14ac:dyDescent="0.25">
      <c r="A1118" s="9">
        <v>2082</v>
      </c>
      <c r="B1118" s="10" t="s">
        <v>60</v>
      </c>
      <c r="C1118" s="10" t="s">
        <v>15</v>
      </c>
      <c r="D1118" s="10" t="s">
        <v>16</v>
      </c>
      <c r="E1118" s="11" t="s">
        <v>160</v>
      </c>
      <c r="F1118" s="11" t="s">
        <v>17</v>
      </c>
      <c r="G1118" s="10" t="s">
        <v>18</v>
      </c>
      <c r="H1118" s="11" t="s">
        <v>19</v>
      </c>
      <c r="I1118" s="11">
        <v>2022</v>
      </c>
      <c r="J1118" s="11"/>
      <c r="K1118" s="11">
        <v>6010230</v>
      </c>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4"/>
    </row>
    <row r="1119" spans="1:35" ht="12.5" hidden="1" x14ac:dyDescent="0.25">
      <c r="A1119" s="9">
        <v>2083</v>
      </c>
      <c r="B1119" s="10" t="s">
        <v>60</v>
      </c>
      <c r="C1119" s="10" t="s">
        <v>15</v>
      </c>
      <c r="D1119" s="10" t="s">
        <v>16</v>
      </c>
      <c r="E1119" s="11" t="s">
        <v>160</v>
      </c>
      <c r="F1119" s="11" t="s">
        <v>17</v>
      </c>
      <c r="G1119" s="10" t="s">
        <v>18</v>
      </c>
      <c r="H1119" s="11" t="s">
        <v>19</v>
      </c>
      <c r="I1119" s="11">
        <v>2022</v>
      </c>
      <c r="J1119" s="11"/>
      <c r="K1119" s="11">
        <v>6010230</v>
      </c>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4"/>
    </row>
    <row r="1120" spans="1:35" ht="12.5" hidden="1" x14ac:dyDescent="0.25">
      <c r="A1120" s="9">
        <v>2084</v>
      </c>
      <c r="B1120" s="10" t="s">
        <v>60</v>
      </c>
      <c r="C1120" s="10" t="s">
        <v>15</v>
      </c>
      <c r="D1120" s="10" t="s">
        <v>16</v>
      </c>
      <c r="E1120" s="11" t="s">
        <v>160</v>
      </c>
      <c r="F1120" s="11" t="s">
        <v>17</v>
      </c>
      <c r="G1120" s="10" t="s">
        <v>18</v>
      </c>
      <c r="H1120" s="11" t="s">
        <v>19</v>
      </c>
      <c r="I1120" s="11">
        <v>2022</v>
      </c>
      <c r="J1120" s="11"/>
      <c r="K1120" s="11">
        <v>6010230</v>
      </c>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4"/>
    </row>
    <row r="1121" spans="1:35" ht="12.5" hidden="1" x14ac:dyDescent="0.25">
      <c r="A1121" s="9">
        <v>2085</v>
      </c>
      <c r="B1121" s="10" t="s">
        <v>60</v>
      </c>
      <c r="C1121" s="10" t="s">
        <v>15</v>
      </c>
      <c r="D1121" s="10" t="s">
        <v>16</v>
      </c>
      <c r="E1121" s="11" t="s">
        <v>160</v>
      </c>
      <c r="F1121" s="11" t="s">
        <v>17</v>
      </c>
      <c r="G1121" s="10" t="s">
        <v>24</v>
      </c>
      <c r="H1121" s="11" t="s">
        <v>19</v>
      </c>
      <c r="I1121" s="11">
        <v>2022</v>
      </c>
      <c r="J1121" s="11"/>
      <c r="K1121" s="11">
        <v>6010230</v>
      </c>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4"/>
    </row>
    <row r="1122" spans="1:35" ht="12.5" hidden="1" x14ac:dyDescent="0.25">
      <c r="A1122" s="9">
        <v>2086</v>
      </c>
      <c r="B1122" s="10" t="s">
        <v>60</v>
      </c>
      <c r="C1122" s="10" t="s">
        <v>15</v>
      </c>
      <c r="D1122" s="10" t="s">
        <v>16</v>
      </c>
      <c r="E1122" s="11" t="s">
        <v>160</v>
      </c>
      <c r="F1122" s="11" t="s">
        <v>17</v>
      </c>
      <c r="G1122" s="10" t="s">
        <v>18</v>
      </c>
      <c r="H1122" s="11" t="s">
        <v>19</v>
      </c>
      <c r="I1122" s="11">
        <v>2022</v>
      </c>
      <c r="J1122" s="11"/>
      <c r="K1122" s="11">
        <v>6010230</v>
      </c>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4"/>
    </row>
    <row r="1123" spans="1:35" ht="12.5" hidden="1" x14ac:dyDescent="0.25">
      <c r="A1123" s="9">
        <v>2087</v>
      </c>
      <c r="B1123" s="10" t="s">
        <v>60</v>
      </c>
      <c r="C1123" s="10" t="s">
        <v>15</v>
      </c>
      <c r="D1123" s="10" t="s">
        <v>16</v>
      </c>
      <c r="E1123" s="11" t="s">
        <v>160</v>
      </c>
      <c r="F1123" s="11" t="s">
        <v>17</v>
      </c>
      <c r="G1123" s="10" t="s">
        <v>24</v>
      </c>
      <c r="H1123" s="11" t="s">
        <v>19</v>
      </c>
      <c r="I1123" s="11">
        <v>2022</v>
      </c>
      <c r="J1123" s="11"/>
      <c r="K1123" s="11">
        <v>6010230</v>
      </c>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4"/>
    </row>
    <row r="1124" spans="1:35" ht="12.5" hidden="1" x14ac:dyDescent="0.25">
      <c r="A1124" s="9">
        <v>2088</v>
      </c>
      <c r="B1124" s="10" t="s">
        <v>60</v>
      </c>
      <c r="C1124" s="10" t="s">
        <v>15</v>
      </c>
      <c r="D1124" s="10" t="s">
        <v>16</v>
      </c>
      <c r="E1124" s="11" t="s">
        <v>160</v>
      </c>
      <c r="F1124" s="11" t="s">
        <v>17</v>
      </c>
      <c r="G1124" s="10" t="s">
        <v>18</v>
      </c>
      <c r="H1124" s="11" t="s">
        <v>19</v>
      </c>
      <c r="I1124" s="11">
        <v>2022</v>
      </c>
      <c r="J1124" s="11"/>
      <c r="K1124" s="11">
        <v>6010230</v>
      </c>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4"/>
    </row>
    <row r="1125" spans="1:35" ht="12.5" hidden="1" x14ac:dyDescent="0.25">
      <c r="A1125" s="9">
        <v>2089</v>
      </c>
      <c r="B1125" s="10" t="s">
        <v>60</v>
      </c>
      <c r="C1125" s="10" t="s">
        <v>15</v>
      </c>
      <c r="D1125" s="10" t="s">
        <v>16</v>
      </c>
      <c r="E1125" s="11" t="s">
        <v>160</v>
      </c>
      <c r="F1125" s="11" t="s">
        <v>17</v>
      </c>
      <c r="G1125" s="10" t="s">
        <v>24</v>
      </c>
      <c r="H1125" s="11" t="s">
        <v>19</v>
      </c>
      <c r="I1125" s="11">
        <v>2022</v>
      </c>
      <c r="J1125" s="11"/>
      <c r="K1125" s="11">
        <v>6010230</v>
      </c>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4"/>
    </row>
    <row r="1126" spans="1:35" ht="12.5" hidden="1" x14ac:dyDescent="0.25">
      <c r="A1126" s="9">
        <v>2090</v>
      </c>
      <c r="B1126" s="10" t="s">
        <v>60</v>
      </c>
      <c r="C1126" s="10" t="s">
        <v>41</v>
      </c>
      <c r="D1126" s="10" t="s">
        <v>43</v>
      </c>
      <c r="E1126" s="11" t="s">
        <v>65</v>
      </c>
      <c r="F1126" s="11" t="s">
        <v>17</v>
      </c>
      <c r="G1126" s="10" t="s">
        <v>18</v>
      </c>
      <c r="H1126" s="11" t="s">
        <v>19</v>
      </c>
      <c r="I1126" s="11">
        <v>2022</v>
      </c>
      <c r="J1126" s="11"/>
      <c r="K1126" s="11" t="s">
        <v>65</v>
      </c>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4"/>
    </row>
    <row r="1127" spans="1:35" ht="12.5" hidden="1" x14ac:dyDescent="0.25">
      <c r="A1127" s="9">
        <v>2091</v>
      </c>
      <c r="B1127" s="10" t="s">
        <v>60</v>
      </c>
      <c r="C1127" s="10" t="s">
        <v>41</v>
      </c>
      <c r="D1127" s="10" t="s">
        <v>43</v>
      </c>
      <c r="E1127" s="11" t="s">
        <v>65</v>
      </c>
      <c r="F1127" s="11" t="s">
        <v>17</v>
      </c>
      <c r="G1127" s="10" t="s">
        <v>24</v>
      </c>
      <c r="H1127" s="11" t="s">
        <v>19</v>
      </c>
      <c r="I1127" s="11">
        <v>2022</v>
      </c>
      <c r="J1127" s="11"/>
      <c r="K1127" s="11" t="s">
        <v>65</v>
      </c>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4"/>
    </row>
    <row r="1128" spans="1:35" ht="12.5" hidden="1" x14ac:dyDescent="0.25">
      <c r="A1128" s="9">
        <v>2092</v>
      </c>
      <c r="B1128" s="10" t="s">
        <v>60</v>
      </c>
      <c r="C1128" s="10" t="s">
        <v>41</v>
      </c>
      <c r="D1128" s="10" t="s">
        <v>43</v>
      </c>
      <c r="E1128" s="11" t="s">
        <v>65</v>
      </c>
      <c r="F1128" s="11" t="s">
        <v>17</v>
      </c>
      <c r="G1128" s="10" t="s">
        <v>18</v>
      </c>
      <c r="H1128" s="11" t="s">
        <v>23</v>
      </c>
      <c r="I1128" s="11">
        <v>2022</v>
      </c>
      <c r="J1128" s="11"/>
      <c r="K1128" s="11" t="s">
        <v>65</v>
      </c>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4"/>
    </row>
    <row r="1129" spans="1:35" ht="12.5" hidden="1" x14ac:dyDescent="0.25">
      <c r="A1129" s="9">
        <v>2093</v>
      </c>
      <c r="B1129" s="10" t="s">
        <v>60</v>
      </c>
      <c r="C1129" s="10" t="s">
        <v>41</v>
      </c>
      <c r="D1129" s="10" t="s">
        <v>43</v>
      </c>
      <c r="E1129" s="11" t="s">
        <v>65</v>
      </c>
      <c r="F1129" s="11" t="s">
        <v>17</v>
      </c>
      <c r="G1129" s="10" t="s">
        <v>18</v>
      </c>
      <c r="H1129" s="11" t="s">
        <v>19</v>
      </c>
      <c r="I1129" s="11">
        <v>2022</v>
      </c>
      <c r="J1129" s="11"/>
      <c r="K1129" s="11" t="s">
        <v>65</v>
      </c>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4"/>
    </row>
    <row r="1130" spans="1:35" ht="12.5" hidden="1" x14ac:dyDescent="0.25">
      <c r="A1130" s="9">
        <v>2094</v>
      </c>
      <c r="B1130" s="10" t="s">
        <v>60</v>
      </c>
      <c r="C1130" s="10" t="s">
        <v>41</v>
      </c>
      <c r="D1130" s="10" t="s">
        <v>43</v>
      </c>
      <c r="E1130" s="11" t="s">
        <v>65</v>
      </c>
      <c r="F1130" s="11" t="s">
        <v>17</v>
      </c>
      <c r="G1130" s="10" t="s">
        <v>24</v>
      </c>
      <c r="H1130" s="11" t="s">
        <v>19</v>
      </c>
      <c r="I1130" s="11">
        <v>2022</v>
      </c>
      <c r="J1130" s="11"/>
      <c r="K1130" s="11" t="s">
        <v>65</v>
      </c>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4"/>
    </row>
    <row r="1131" spans="1:35" ht="12.5" hidden="1" x14ac:dyDescent="0.25">
      <c r="A1131" s="9">
        <v>2095</v>
      </c>
      <c r="B1131" s="10" t="s">
        <v>60</v>
      </c>
      <c r="C1131" s="10" t="s">
        <v>41</v>
      </c>
      <c r="D1131" s="10" t="s">
        <v>43</v>
      </c>
      <c r="E1131" s="11" t="s">
        <v>65</v>
      </c>
      <c r="F1131" s="11" t="s">
        <v>17</v>
      </c>
      <c r="G1131" s="10" t="s">
        <v>24</v>
      </c>
      <c r="H1131" s="11" t="s">
        <v>19</v>
      </c>
      <c r="I1131" s="11">
        <v>2022</v>
      </c>
      <c r="J1131" s="11"/>
      <c r="K1131" s="11" t="s">
        <v>65</v>
      </c>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4"/>
    </row>
    <row r="1132" spans="1:35" ht="12.5" hidden="1" x14ac:dyDescent="0.25">
      <c r="A1132" s="9">
        <v>2096</v>
      </c>
      <c r="B1132" s="10" t="s">
        <v>60</v>
      </c>
      <c r="C1132" s="10" t="s">
        <v>41</v>
      </c>
      <c r="D1132" s="10" t="s">
        <v>43</v>
      </c>
      <c r="E1132" s="11" t="s">
        <v>65</v>
      </c>
      <c r="F1132" s="11" t="s">
        <v>17</v>
      </c>
      <c r="G1132" s="10" t="s">
        <v>24</v>
      </c>
      <c r="H1132" s="11" t="s">
        <v>19</v>
      </c>
      <c r="I1132" s="11">
        <v>2022</v>
      </c>
      <c r="J1132" s="11"/>
      <c r="K1132" s="11" t="s">
        <v>65</v>
      </c>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4"/>
    </row>
    <row r="1133" spans="1:35" ht="12.5" hidden="1" x14ac:dyDescent="0.25">
      <c r="A1133" s="9">
        <v>2097</v>
      </c>
      <c r="B1133" s="10" t="s">
        <v>60</v>
      </c>
      <c r="C1133" s="10" t="s">
        <v>41</v>
      </c>
      <c r="D1133" s="10" t="s">
        <v>43</v>
      </c>
      <c r="E1133" s="11" t="s">
        <v>65</v>
      </c>
      <c r="F1133" s="11" t="s">
        <v>17</v>
      </c>
      <c r="G1133" s="10" t="s">
        <v>18</v>
      </c>
      <c r="H1133" s="11" t="s">
        <v>19</v>
      </c>
      <c r="I1133" s="11">
        <v>2022</v>
      </c>
      <c r="J1133" s="11"/>
      <c r="K1133" s="11" t="s">
        <v>65</v>
      </c>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4"/>
    </row>
    <row r="1134" spans="1:35" ht="12.5" hidden="1" x14ac:dyDescent="0.25">
      <c r="A1134" s="9">
        <v>2098</v>
      </c>
      <c r="B1134" s="10" t="s">
        <v>60</v>
      </c>
      <c r="C1134" s="10" t="s">
        <v>41</v>
      </c>
      <c r="D1134" s="10" t="s">
        <v>43</v>
      </c>
      <c r="E1134" s="11" t="s">
        <v>65</v>
      </c>
      <c r="F1134" s="11" t="s">
        <v>17</v>
      </c>
      <c r="G1134" s="10" t="s">
        <v>18</v>
      </c>
      <c r="H1134" s="11" t="s">
        <v>19</v>
      </c>
      <c r="I1134" s="11">
        <v>2022</v>
      </c>
      <c r="J1134" s="11"/>
      <c r="K1134" s="11" t="s">
        <v>65</v>
      </c>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4"/>
    </row>
    <row r="1135" spans="1:35" ht="12.5" hidden="1" x14ac:dyDescent="0.25">
      <c r="A1135" s="9">
        <v>2099</v>
      </c>
      <c r="B1135" s="10" t="s">
        <v>60</v>
      </c>
      <c r="C1135" s="10" t="s">
        <v>41</v>
      </c>
      <c r="D1135" s="10" t="s">
        <v>43</v>
      </c>
      <c r="E1135" s="11" t="s">
        <v>65</v>
      </c>
      <c r="F1135" s="11" t="s">
        <v>17</v>
      </c>
      <c r="G1135" s="10" t="s">
        <v>18</v>
      </c>
      <c r="H1135" s="11" t="s">
        <v>19</v>
      </c>
      <c r="I1135" s="11">
        <v>2022</v>
      </c>
      <c r="J1135" s="11"/>
      <c r="K1135" s="11" t="s">
        <v>65</v>
      </c>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4"/>
    </row>
    <row r="1136" spans="1:35" ht="12.5" hidden="1" x14ac:dyDescent="0.25">
      <c r="A1136" s="9">
        <v>2100</v>
      </c>
      <c r="B1136" s="10" t="s">
        <v>60</v>
      </c>
      <c r="C1136" s="10" t="s">
        <v>41</v>
      </c>
      <c r="D1136" s="10" t="s">
        <v>43</v>
      </c>
      <c r="E1136" s="11" t="s">
        <v>65</v>
      </c>
      <c r="F1136" s="11" t="s">
        <v>17</v>
      </c>
      <c r="G1136" s="10" t="s">
        <v>18</v>
      </c>
      <c r="H1136" s="11" t="s">
        <v>19</v>
      </c>
      <c r="I1136" s="11">
        <v>2022</v>
      </c>
      <c r="J1136" s="11"/>
      <c r="K1136" s="11" t="s">
        <v>65</v>
      </c>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4"/>
    </row>
    <row r="1137" spans="1:35" ht="12.5" hidden="1" x14ac:dyDescent="0.25">
      <c r="A1137" s="9">
        <v>2101</v>
      </c>
      <c r="B1137" s="10" t="s">
        <v>60</v>
      </c>
      <c r="C1137" s="10" t="s">
        <v>41</v>
      </c>
      <c r="D1137" s="10" t="s">
        <v>43</v>
      </c>
      <c r="E1137" s="11" t="s">
        <v>65</v>
      </c>
      <c r="F1137" s="11" t="s">
        <v>17</v>
      </c>
      <c r="G1137" s="10" t="s">
        <v>24</v>
      </c>
      <c r="H1137" s="11" t="s">
        <v>19</v>
      </c>
      <c r="I1137" s="11">
        <v>2022</v>
      </c>
      <c r="J1137" s="11"/>
      <c r="K1137" s="11" t="s">
        <v>65</v>
      </c>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4"/>
    </row>
    <row r="1138" spans="1:35" ht="12.5" hidden="1" x14ac:dyDescent="0.25">
      <c r="A1138" s="9">
        <v>2102</v>
      </c>
      <c r="B1138" s="10" t="s">
        <v>60</v>
      </c>
      <c r="C1138" s="10" t="s">
        <v>41</v>
      </c>
      <c r="D1138" s="10" t="s">
        <v>43</v>
      </c>
      <c r="E1138" s="11" t="s">
        <v>65</v>
      </c>
      <c r="F1138" s="11" t="s">
        <v>17</v>
      </c>
      <c r="G1138" s="10" t="s">
        <v>24</v>
      </c>
      <c r="H1138" s="11" t="s">
        <v>19</v>
      </c>
      <c r="I1138" s="11">
        <v>2022</v>
      </c>
      <c r="J1138" s="11"/>
      <c r="K1138" s="11" t="s">
        <v>65</v>
      </c>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4"/>
    </row>
    <row r="1139" spans="1:35" ht="12.5" hidden="1" x14ac:dyDescent="0.25">
      <c r="A1139" s="9">
        <v>2103</v>
      </c>
      <c r="B1139" s="10" t="s">
        <v>60</v>
      </c>
      <c r="C1139" s="10" t="s">
        <v>41</v>
      </c>
      <c r="D1139" s="10" t="s">
        <v>43</v>
      </c>
      <c r="E1139" s="11" t="s">
        <v>65</v>
      </c>
      <c r="F1139" s="11" t="s">
        <v>17</v>
      </c>
      <c r="G1139" s="10" t="s">
        <v>24</v>
      </c>
      <c r="H1139" s="11" t="s">
        <v>19</v>
      </c>
      <c r="I1139" s="11">
        <v>2022</v>
      </c>
      <c r="J1139" s="11"/>
      <c r="K1139" s="11" t="s">
        <v>65</v>
      </c>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4"/>
    </row>
    <row r="1140" spans="1:35" ht="12.5" hidden="1" x14ac:dyDescent="0.25">
      <c r="A1140" s="9">
        <v>2104</v>
      </c>
      <c r="B1140" s="10" t="s">
        <v>60</v>
      </c>
      <c r="C1140" s="10" t="s">
        <v>41</v>
      </c>
      <c r="D1140" s="10" t="s">
        <v>43</v>
      </c>
      <c r="E1140" s="11" t="s">
        <v>65</v>
      </c>
      <c r="F1140" s="11" t="s">
        <v>17</v>
      </c>
      <c r="G1140" s="10" t="s">
        <v>18</v>
      </c>
      <c r="H1140" s="11" t="s">
        <v>19</v>
      </c>
      <c r="I1140" s="11">
        <v>2022</v>
      </c>
      <c r="J1140" s="11"/>
      <c r="K1140" s="11" t="s">
        <v>65</v>
      </c>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4"/>
    </row>
    <row r="1141" spans="1:35" ht="12.5" hidden="1" x14ac:dyDescent="0.25">
      <c r="A1141" s="9">
        <v>2105</v>
      </c>
      <c r="B1141" s="10" t="s">
        <v>60</v>
      </c>
      <c r="C1141" s="10" t="s">
        <v>41</v>
      </c>
      <c r="D1141" s="10" t="s">
        <v>43</v>
      </c>
      <c r="E1141" s="11" t="s">
        <v>65</v>
      </c>
      <c r="F1141" s="11" t="s">
        <v>17</v>
      </c>
      <c r="G1141" s="10" t="s">
        <v>18</v>
      </c>
      <c r="H1141" s="11" t="s">
        <v>19</v>
      </c>
      <c r="I1141" s="11">
        <v>2022</v>
      </c>
      <c r="J1141" s="11"/>
      <c r="K1141" s="11" t="s">
        <v>65</v>
      </c>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4"/>
    </row>
    <row r="1142" spans="1:35" ht="12.5" hidden="1" x14ac:dyDescent="0.25">
      <c r="A1142" s="9">
        <v>2106</v>
      </c>
      <c r="B1142" s="10" t="s">
        <v>60</v>
      </c>
      <c r="C1142" s="10" t="s">
        <v>41</v>
      </c>
      <c r="D1142" s="10" t="s">
        <v>43</v>
      </c>
      <c r="E1142" s="11" t="s">
        <v>65</v>
      </c>
      <c r="F1142" s="11" t="s">
        <v>17</v>
      </c>
      <c r="G1142" s="10" t="s">
        <v>18</v>
      </c>
      <c r="H1142" s="11" t="s">
        <v>19</v>
      </c>
      <c r="I1142" s="11">
        <v>2022</v>
      </c>
      <c r="J1142" s="11"/>
      <c r="K1142" s="11" t="s">
        <v>65</v>
      </c>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4"/>
    </row>
    <row r="1143" spans="1:35" ht="12.5" hidden="1" x14ac:dyDescent="0.25">
      <c r="A1143" s="9">
        <v>2107</v>
      </c>
      <c r="B1143" s="10" t="s">
        <v>60</v>
      </c>
      <c r="C1143" s="10" t="s">
        <v>41</v>
      </c>
      <c r="D1143" s="10" t="s">
        <v>43</v>
      </c>
      <c r="E1143" s="11" t="s">
        <v>65</v>
      </c>
      <c r="F1143" s="11" t="s">
        <v>17</v>
      </c>
      <c r="G1143" s="10" t="s">
        <v>18</v>
      </c>
      <c r="H1143" s="11" t="s">
        <v>19</v>
      </c>
      <c r="I1143" s="11">
        <v>2022</v>
      </c>
      <c r="J1143" s="11"/>
      <c r="K1143" s="11" t="s">
        <v>65</v>
      </c>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4"/>
    </row>
    <row r="1144" spans="1:35" ht="12.5" hidden="1" x14ac:dyDescent="0.25">
      <c r="A1144" s="9">
        <v>2108</v>
      </c>
      <c r="B1144" s="10" t="s">
        <v>60</v>
      </c>
      <c r="C1144" s="10" t="s">
        <v>41</v>
      </c>
      <c r="D1144" s="10" t="s">
        <v>43</v>
      </c>
      <c r="E1144" s="11" t="s">
        <v>65</v>
      </c>
      <c r="F1144" s="11" t="s">
        <v>17</v>
      </c>
      <c r="G1144" s="10" t="s">
        <v>18</v>
      </c>
      <c r="H1144" s="11" t="s">
        <v>19</v>
      </c>
      <c r="I1144" s="11">
        <v>2022</v>
      </c>
      <c r="J1144" s="11"/>
      <c r="K1144" s="11" t="s">
        <v>65</v>
      </c>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4"/>
    </row>
    <row r="1145" spans="1:35" ht="12.5" hidden="1" x14ac:dyDescent="0.25">
      <c r="A1145" s="9">
        <v>2109</v>
      </c>
      <c r="B1145" s="10" t="s">
        <v>60</v>
      </c>
      <c r="C1145" s="10" t="s">
        <v>41</v>
      </c>
      <c r="D1145" s="10" t="s">
        <v>43</v>
      </c>
      <c r="E1145" s="11" t="s">
        <v>65</v>
      </c>
      <c r="F1145" s="11" t="s">
        <v>17</v>
      </c>
      <c r="G1145" s="10" t="s">
        <v>18</v>
      </c>
      <c r="H1145" s="11" t="s">
        <v>19</v>
      </c>
      <c r="I1145" s="11">
        <v>2022</v>
      </c>
      <c r="J1145" s="11"/>
      <c r="K1145" s="11" t="s">
        <v>65</v>
      </c>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4"/>
    </row>
    <row r="1146" spans="1:35" ht="12.5" hidden="1" x14ac:dyDescent="0.25">
      <c r="A1146" s="9">
        <v>2110</v>
      </c>
      <c r="B1146" s="10" t="s">
        <v>60</v>
      </c>
      <c r="C1146" s="10" t="s">
        <v>41</v>
      </c>
      <c r="D1146" s="10" t="s">
        <v>43</v>
      </c>
      <c r="E1146" s="11" t="s">
        <v>65</v>
      </c>
      <c r="F1146" s="11" t="s">
        <v>17</v>
      </c>
      <c r="G1146" s="10" t="s">
        <v>24</v>
      </c>
      <c r="H1146" s="11" t="s">
        <v>19</v>
      </c>
      <c r="I1146" s="11">
        <v>2022</v>
      </c>
      <c r="J1146" s="11"/>
      <c r="K1146" s="11" t="s">
        <v>65</v>
      </c>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4"/>
    </row>
    <row r="1147" spans="1:35" ht="12.5" hidden="1" x14ac:dyDescent="0.25">
      <c r="A1147" s="9">
        <v>2111</v>
      </c>
      <c r="B1147" s="10" t="s">
        <v>60</v>
      </c>
      <c r="C1147" s="10" t="s">
        <v>41</v>
      </c>
      <c r="D1147" s="10" t="s">
        <v>43</v>
      </c>
      <c r="E1147" s="11" t="s">
        <v>65</v>
      </c>
      <c r="F1147" s="11" t="s">
        <v>17</v>
      </c>
      <c r="G1147" s="10" t="s">
        <v>18</v>
      </c>
      <c r="H1147" s="11" t="s">
        <v>19</v>
      </c>
      <c r="I1147" s="11">
        <v>2022</v>
      </c>
      <c r="J1147" s="11"/>
      <c r="K1147" s="11" t="s">
        <v>65</v>
      </c>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4"/>
    </row>
    <row r="1148" spans="1:35" ht="12.5" hidden="1" x14ac:dyDescent="0.25">
      <c r="A1148" s="9">
        <v>2112</v>
      </c>
      <c r="B1148" s="10" t="s">
        <v>60</v>
      </c>
      <c r="C1148" s="10" t="s">
        <v>41</v>
      </c>
      <c r="D1148" s="10" t="s">
        <v>43</v>
      </c>
      <c r="E1148" s="11" t="s">
        <v>65</v>
      </c>
      <c r="F1148" s="11" t="s">
        <v>17</v>
      </c>
      <c r="G1148" s="10" t="s">
        <v>18</v>
      </c>
      <c r="H1148" s="11" t="s">
        <v>19</v>
      </c>
      <c r="I1148" s="11">
        <v>2022</v>
      </c>
      <c r="J1148" s="11"/>
      <c r="K1148" s="11" t="s">
        <v>65</v>
      </c>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4"/>
    </row>
    <row r="1149" spans="1:35" ht="12.5" hidden="1" x14ac:dyDescent="0.25">
      <c r="A1149" s="9">
        <v>2113</v>
      </c>
      <c r="B1149" s="10" t="s">
        <v>60</v>
      </c>
      <c r="C1149" s="10" t="s">
        <v>41</v>
      </c>
      <c r="D1149" s="10" t="s">
        <v>43</v>
      </c>
      <c r="E1149" s="11" t="s">
        <v>65</v>
      </c>
      <c r="F1149" s="11" t="s">
        <v>17</v>
      </c>
      <c r="G1149" s="10" t="s">
        <v>24</v>
      </c>
      <c r="H1149" s="11" t="s">
        <v>19</v>
      </c>
      <c r="I1149" s="11">
        <v>2022</v>
      </c>
      <c r="J1149" s="11"/>
      <c r="K1149" s="11" t="s">
        <v>65</v>
      </c>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4"/>
    </row>
    <row r="1150" spans="1:35" ht="12.5" hidden="1" x14ac:dyDescent="0.25">
      <c r="A1150" s="9">
        <v>2114</v>
      </c>
      <c r="B1150" s="10" t="s">
        <v>60</v>
      </c>
      <c r="C1150" s="10" t="s">
        <v>41</v>
      </c>
      <c r="D1150" s="10" t="s">
        <v>43</v>
      </c>
      <c r="E1150" s="11" t="s">
        <v>91</v>
      </c>
      <c r="F1150" s="11" t="s">
        <v>17</v>
      </c>
      <c r="G1150" s="10" t="s">
        <v>24</v>
      </c>
      <c r="H1150" s="11" t="s">
        <v>25</v>
      </c>
      <c r="I1150" s="11">
        <v>2022</v>
      </c>
      <c r="J1150" s="11"/>
      <c r="K1150" s="11">
        <v>601331</v>
      </c>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4"/>
    </row>
    <row r="1151" spans="1:35" ht="12.5" hidden="1" x14ac:dyDescent="0.25">
      <c r="A1151" s="9">
        <v>2115</v>
      </c>
      <c r="B1151" s="10" t="s">
        <v>60</v>
      </c>
      <c r="C1151" s="10" t="s">
        <v>41</v>
      </c>
      <c r="D1151" s="10" t="s">
        <v>43</v>
      </c>
      <c r="E1151" s="11" t="s">
        <v>91</v>
      </c>
      <c r="F1151" s="11" t="s">
        <v>17</v>
      </c>
      <c r="G1151" s="10" t="s">
        <v>18</v>
      </c>
      <c r="H1151" s="11" t="s">
        <v>19</v>
      </c>
      <c r="I1151" s="11">
        <v>2022</v>
      </c>
      <c r="J1151" s="11"/>
      <c r="K1151" s="11">
        <v>601331</v>
      </c>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4"/>
    </row>
    <row r="1152" spans="1:35" ht="12.5" hidden="1" x14ac:dyDescent="0.25">
      <c r="A1152" s="9">
        <v>2116</v>
      </c>
      <c r="B1152" s="10" t="s">
        <v>60</v>
      </c>
      <c r="C1152" s="10" t="s">
        <v>41</v>
      </c>
      <c r="D1152" s="10" t="s">
        <v>43</v>
      </c>
      <c r="E1152" s="11" t="s">
        <v>91</v>
      </c>
      <c r="F1152" s="11" t="s">
        <v>17</v>
      </c>
      <c r="G1152" s="10" t="s">
        <v>24</v>
      </c>
      <c r="H1152" s="11" t="s">
        <v>19</v>
      </c>
      <c r="I1152" s="11">
        <v>2022</v>
      </c>
      <c r="J1152" s="11"/>
      <c r="K1152" s="11">
        <v>601331</v>
      </c>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4"/>
    </row>
    <row r="1153" spans="1:35" ht="12.5" hidden="1" x14ac:dyDescent="0.25">
      <c r="A1153" s="9">
        <v>2117</v>
      </c>
      <c r="B1153" s="10" t="s">
        <v>60</v>
      </c>
      <c r="C1153" s="10" t="s">
        <v>41</v>
      </c>
      <c r="D1153" s="10" t="s">
        <v>43</v>
      </c>
      <c r="E1153" s="11" t="s">
        <v>91</v>
      </c>
      <c r="F1153" s="11" t="s">
        <v>17</v>
      </c>
      <c r="G1153" s="10" t="s">
        <v>18</v>
      </c>
      <c r="H1153" s="11" t="s">
        <v>23</v>
      </c>
      <c r="I1153" s="11">
        <v>2022</v>
      </c>
      <c r="J1153" s="11"/>
      <c r="K1153" s="11">
        <v>601331</v>
      </c>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4"/>
    </row>
    <row r="1154" spans="1:35" ht="12.5" hidden="1" x14ac:dyDescent="0.25">
      <c r="A1154" s="9">
        <v>2118</v>
      </c>
      <c r="B1154" s="10" t="s">
        <v>60</v>
      </c>
      <c r="C1154" s="10" t="s">
        <v>41</v>
      </c>
      <c r="D1154" s="10" t="s">
        <v>43</v>
      </c>
      <c r="E1154" s="11" t="s">
        <v>91</v>
      </c>
      <c r="F1154" s="11" t="s">
        <v>17</v>
      </c>
      <c r="G1154" s="10" t="s">
        <v>18</v>
      </c>
      <c r="H1154" s="11" t="s">
        <v>25</v>
      </c>
      <c r="I1154" s="11">
        <v>2022</v>
      </c>
      <c r="J1154" s="11"/>
      <c r="K1154" s="11">
        <v>601331</v>
      </c>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4"/>
    </row>
    <row r="1155" spans="1:35" ht="12.5" hidden="1" x14ac:dyDescent="0.25">
      <c r="A1155" s="9">
        <v>2119</v>
      </c>
      <c r="B1155" s="10" t="s">
        <v>60</v>
      </c>
      <c r="C1155" s="10" t="s">
        <v>41</v>
      </c>
      <c r="D1155" s="10" t="s">
        <v>43</v>
      </c>
      <c r="E1155" s="11" t="s">
        <v>91</v>
      </c>
      <c r="F1155" s="11" t="s">
        <v>17</v>
      </c>
      <c r="G1155" s="10" t="s">
        <v>18</v>
      </c>
      <c r="H1155" s="11" t="s">
        <v>19</v>
      </c>
      <c r="I1155" s="11">
        <v>2022</v>
      </c>
      <c r="J1155" s="11"/>
      <c r="K1155" s="11">
        <v>601331</v>
      </c>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4"/>
    </row>
    <row r="1156" spans="1:35" ht="12.5" hidden="1" x14ac:dyDescent="0.25">
      <c r="A1156" s="9">
        <v>2120</v>
      </c>
      <c r="B1156" s="10" t="s">
        <v>60</v>
      </c>
      <c r="C1156" s="10" t="s">
        <v>41</v>
      </c>
      <c r="D1156" s="10" t="s">
        <v>43</v>
      </c>
      <c r="E1156" s="11" t="s">
        <v>91</v>
      </c>
      <c r="F1156" s="11" t="s">
        <v>17</v>
      </c>
      <c r="G1156" s="10" t="s">
        <v>18</v>
      </c>
      <c r="H1156" s="11" t="s">
        <v>23</v>
      </c>
      <c r="I1156" s="11">
        <v>2022</v>
      </c>
      <c r="J1156" s="11"/>
      <c r="K1156" s="11">
        <v>601331</v>
      </c>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4"/>
    </row>
    <row r="1157" spans="1:35" ht="12.5" hidden="1" x14ac:dyDescent="0.25">
      <c r="A1157" s="9">
        <v>2121</v>
      </c>
      <c r="B1157" s="10" t="s">
        <v>60</v>
      </c>
      <c r="C1157" s="10" t="s">
        <v>41</v>
      </c>
      <c r="D1157" s="10" t="s">
        <v>43</v>
      </c>
      <c r="E1157" s="11" t="s">
        <v>91</v>
      </c>
      <c r="F1157" s="11" t="s">
        <v>17</v>
      </c>
      <c r="G1157" s="10" t="s">
        <v>24</v>
      </c>
      <c r="H1157" s="11" t="s">
        <v>19</v>
      </c>
      <c r="I1157" s="11">
        <v>2022</v>
      </c>
      <c r="J1157" s="11"/>
      <c r="K1157" s="11">
        <v>601331</v>
      </c>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4"/>
    </row>
    <row r="1158" spans="1:35" ht="12.5" hidden="1" x14ac:dyDescent="0.25">
      <c r="A1158" s="9">
        <v>2122</v>
      </c>
      <c r="B1158" s="10" t="s">
        <v>60</v>
      </c>
      <c r="C1158" s="10" t="s">
        <v>41</v>
      </c>
      <c r="D1158" s="10" t="s">
        <v>43</v>
      </c>
      <c r="E1158" s="11" t="s">
        <v>91</v>
      </c>
      <c r="F1158" s="11" t="s">
        <v>17</v>
      </c>
      <c r="G1158" s="10" t="s">
        <v>18</v>
      </c>
      <c r="H1158" s="11" t="s">
        <v>19</v>
      </c>
      <c r="I1158" s="11">
        <v>2022</v>
      </c>
      <c r="J1158" s="11"/>
      <c r="K1158" s="11">
        <v>601331</v>
      </c>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4"/>
    </row>
    <row r="1159" spans="1:35" ht="12.5" hidden="1" x14ac:dyDescent="0.25">
      <c r="A1159" s="9">
        <v>2123</v>
      </c>
      <c r="B1159" s="10" t="s">
        <v>60</v>
      </c>
      <c r="C1159" s="10" t="s">
        <v>41</v>
      </c>
      <c r="D1159" s="10" t="s">
        <v>43</v>
      </c>
      <c r="E1159" s="11" t="s">
        <v>91</v>
      </c>
      <c r="F1159" s="11" t="s">
        <v>17</v>
      </c>
      <c r="G1159" s="10" t="s">
        <v>18</v>
      </c>
      <c r="H1159" s="11" t="s">
        <v>19</v>
      </c>
      <c r="I1159" s="11">
        <v>2022</v>
      </c>
      <c r="J1159" s="11"/>
      <c r="K1159" s="11">
        <v>601331</v>
      </c>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4"/>
    </row>
    <row r="1160" spans="1:35" ht="12.5" hidden="1" x14ac:dyDescent="0.25">
      <c r="A1160" s="9">
        <v>2124</v>
      </c>
      <c r="B1160" s="10" t="s">
        <v>60</v>
      </c>
      <c r="C1160" s="10" t="s">
        <v>41</v>
      </c>
      <c r="D1160" s="10" t="s">
        <v>43</v>
      </c>
      <c r="E1160" s="11" t="s">
        <v>91</v>
      </c>
      <c r="F1160" s="11" t="s">
        <v>17</v>
      </c>
      <c r="G1160" s="10" t="s">
        <v>24</v>
      </c>
      <c r="H1160" s="11" t="s">
        <v>25</v>
      </c>
      <c r="I1160" s="11">
        <v>2022</v>
      </c>
      <c r="J1160" s="11"/>
      <c r="K1160" s="11">
        <v>601331</v>
      </c>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4"/>
    </row>
    <row r="1161" spans="1:35" ht="12.5" hidden="1" x14ac:dyDescent="0.25">
      <c r="A1161" s="9">
        <v>2125</v>
      </c>
      <c r="B1161" s="10" t="s">
        <v>60</v>
      </c>
      <c r="C1161" s="10" t="s">
        <v>41</v>
      </c>
      <c r="D1161" s="10" t="s">
        <v>43</v>
      </c>
      <c r="E1161" s="11" t="s">
        <v>91</v>
      </c>
      <c r="F1161" s="11" t="s">
        <v>17</v>
      </c>
      <c r="G1161" s="10" t="s">
        <v>24</v>
      </c>
      <c r="H1161" s="11" t="s">
        <v>19</v>
      </c>
      <c r="I1161" s="11">
        <v>2022</v>
      </c>
      <c r="J1161" s="11"/>
      <c r="K1161" s="11">
        <v>601331</v>
      </c>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4"/>
    </row>
    <row r="1162" spans="1:35" ht="12.5" hidden="1" x14ac:dyDescent="0.25">
      <c r="A1162" s="9">
        <v>2126</v>
      </c>
      <c r="B1162" s="10" t="s">
        <v>60</v>
      </c>
      <c r="C1162" s="10" t="s">
        <v>41</v>
      </c>
      <c r="D1162" s="10" t="s">
        <v>43</v>
      </c>
      <c r="E1162" s="11" t="s">
        <v>91</v>
      </c>
      <c r="F1162" s="11" t="s">
        <v>17</v>
      </c>
      <c r="G1162" s="10" t="s">
        <v>24</v>
      </c>
      <c r="H1162" s="11" t="s">
        <v>19</v>
      </c>
      <c r="I1162" s="11">
        <v>2022</v>
      </c>
      <c r="J1162" s="11"/>
      <c r="K1162" s="11">
        <v>601331</v>
      </c>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4"/>
    </row>
    <row r="1163" spans="1:35" ht="12.5" hidden="1" x14ac:dyDescent="0.25">
      <c r="A1163" s="9">
        <v>2127</v>
      </c>
      <c r="B1163" s="10" t="s">
        <v>60</v>
      </c>
      <c r="C1163" s="10" t="s">
        <v>41</v>
      </c>
      <c r="D1163" s="10" t="s">
        <v>43</v>
      </c>
      <c r="E1163" s="11" t="s">
        <v>91</v>
      </c>
      <c r="F1163" s="11" t="s">
        <v>17</v>
      </c>
      <c r="G1163" s="10" t="s">
        <v>24</v>
      </c>
      <c r="H1163" s="11" t="s">
        <v>19</v>
      </c>
      <c r="I1163" s="11">
        <v>2022</v>
      </c>
      <c r="J1163" s="11"/>
      <c r="K1163" s="11">
        <v>601331</v>
      </c>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4"/>
    </row>
    <row r="1164" spans="1:35" ht="12.5" hidden="1" x14ac:dyDescent="0.25">
      <c r="A1164" s="9">
        <v>2128</v>
      </c>
      <c r="B1164" s="10" t="s">
        <v>60</v>
      </c>
      <c r="C1164" s="10" t="s">
        <v>41</v>
      </c>
      <c r="D1164" s="10" t="s">
        <v>43</v>
      </c>
      <c r="E1164" s="11" t="s">
        <v>91</v>
      </c>
      <c r="F1164" s="11" t="s">
        <v>17</v>
      </c>
      <c r="G1164" s="10" t="s">
        <v>18</v>
      </c>
      <c r="H1164" s="11" t="s">
        <v>19</v>
      </c>
      <c r="I1164" s="11">
        <v>2022</v>
      </c>
      <c r="J1164" s="11"/>
      <c r="K1164" s="11">
        <v>601331</v>
      </c>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4"/>
    </row>
    <row r="1165" spans="1:35" ht="12.5" hidden="1" x14ac:dyDescent="0.25">
      <c r="A1165" s="9">
        <v>2129</v>
      </c>
      <c r="B1165" s="10" t="s">
        <v>60</v>
      </c>
      <c r="C1165" s="10" t="s">
        <v>41</v>
      </c>
      <c r="D1165" s="10" t="s">
        <v>43</v>
      </c>
      <c r="E1165" s="11" t="s">
        <v>91</v>
      </c>
      <c r="F1165" s="11" t="s">
        <v>17</v>
      </c>
      <c r="G1165" s="10" t="s">
        <v>24</v>
      </c>
      <c r="H1165" s="11" t="s">
        <v>25</v>
      </c>
      <c r="I1165" s="11">
        <v>2022</v>
      </c>
      <c r="J1165" s="11"/>
      <c r="K1165" s="11">
        <v>601331</v>
      </c>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4"/>
    </row>
    <row r="1166" spans="1:35" ht="12.5" hidden="1" x14ac:dyDescent="0.25">
      <c r="A1166" s="9">
        <v>2130</v>
      </c>
      <c r="B1166" s="10" t="s">
        <v>60</v>
      </c>
      <c r="C1166" s="10" t="s">
        <v>41</v>
      </c>
      <c r="D1166" s="10" t="s">
        <v>43</v>
      </c>
      <c r="E1166" s="11" t="s">
        <v>160</v>
      </c>
      <c r="F1166" s="11" t="s">
        <v>17</v>
      </c>
      <c r="G1166" s="10" t="s">
        <v>18</v>
      </c>
      <c r="H1166" s="11" t="s">
        <v>19</v>
      </c>
      <c r="I1166" s="11">
        <v>2022</v>
      </c>
      <c r="J1166" s="11"/>
      <c r="K1166" s="11">
        <v>6010230</v>
      </c>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4"/>
    </row>
    <row r="1167" spans="1:35" ht="12.5" hidden="1" x14ac:dyDescent="0.25">
      <c r="A1167" s="9">
        <v>2131</v>
      </c>
      <c r="B1167" s="10" t="s">
        <v>60</v>
      </c>
      <c r="C1167" s="10" t="s">
        <v>41</v>
      </c>
      <c r="D1167" s="10" t="s">
        <v>43</v>
      </c>
      <c r="E1167" s="11" t="s">
        <v>160</v>
      </c>
      <c r="F1167" s="11" t="s">
        <v>17</v>
      </c>
      <c r="G1167" s="10" t="s">
        <v>18</v>
      </c>
      <c r="H1167" s="11" t="s">
        <v>19</v>
      </c>
      <c r="I1167" s="11">
        <v>2022</v>
      </c>
      <c r="J1167" s="11"/>
      <c r="K1167" s="11">
        <v>6010230</v>
      </c>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4"/>
    </row>
    <row r="1168" spans="1:35" ht="12.5" hidden="1" x14ac:dyDescent="0.25">
      <c r="A1168" s="9">
        <v>2132</v>
      </c>
      <c r="B1168" s="10" t="s">
        <v>60</v>
      </c>
      <c r="C1168" s="10" t="s">
        <v>41</v>
      </c>
      <c r="D1168" s="10" t="s">
        <v>43</v>
      </c>
      <c r="E1168" s="11" t="s">
        <v>160</v>
      </c>
      <c r="F1168" s="11" t="s">
        <v>17</v>
      </c>
      <c r="G1168" s="10" t="s">
        <v>18</v>
      </c>
      <c r="H1168" s="11" t="s">
        <v>19</v>
      </c>
      <c r="I1168" s="11">
        <v>2022</v>
      </c>
      <c r="J1168" s="11"/>
      <c r="K1168" s="11">
        <v>6010230</v>
      </c>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4"/>
    </row>
    <row r="1169" spans="1:35" ht="12.5" hidden="1" x14ac:dyDescent="0.25">
      <c r="A1169" s="9">
        <v>2133</v>
      </c>
      <c r="B1169" s="10" t="s">
        <v>60</v>
      </c>
      <c r="C1169" s="10" t="s">
        <v>41</v>
      </c>
      <c r="D1169" s="10" t="s">
        <v>43</v>
      </c>
      <c r="E1169" s="11" t="s">
        <v>160</v>
      </c>
      <c r="F1169" s="11" t="s">
        <v>17</v>
      </c>
      <c r="G1169" s="10" t="s">
        <v>24</v>
      </c>
      <c r="H1169" s="11" t="s">
        <v>19</v>
      </c>
      <c r="I1169" s="11">
        <v>2022</v>
      </c>
      <c r="J1169" s="11"/>
      <c r="K1169" s="11">
        <v>6010230</v>
      </c>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4"/>
    </row>
    <row r="1170" spans="1:35" ht="12.5" hidden="1" x14ac:dyDescent="0.25">
      <c r="A1170" s="9">
        <v>2134</v>
      </c>
      <c r="B1170" s="10" t="s">
        <v>60</v>
      </c>
      <c r="C1170" s="10" t="s">
        <v>41</v>
      </c>
      <c r="D1170" s="10" t="s">
        <v>43</v>
      </c>
      <c r="E1170" s="11" t="s">
        <v>160</v>
      </c>
      <c r="F1170" s="11" t="s">
        <v>17</v>
      </c>
      <c r="G1170" s="10" t="s">
        <v>24</v>
      </c>
      <c r="H1170" s="11" t="s">
        <v>19</v>
      </c>
      <c r="I1170" s="11">
        <v>2022</v>
      </c>
      <c r="J1170" s="11"/>
      <c r="K1170" s="11">
        <v>6010230</v>
      </c>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4"/>
    </row>
    <row r="1171" spans="1:35" ht="12.5" hidden="1" x14ac:dyDescent="0.25">
      <c r="A1171" s="9">
        <v>2135</v>
      </c>
      <c r="B1171" s="10" t="s">
        <v>60</v>
      </c>
      <c r="C1171" s="10" t="s">
        <v>41</v>
      </c>
      <c r="D1171" s="10" t="s">
        <v>43</v>
      </c>
      <c r="E1171" s="11" t="s">
        <v>160</v>
      </c>
      <c r="F1171" s="11" t="s">
        <v>17</v>
      </c>
      <c r="G1171" s="10" t="s">
        <v>24</v>
      </c>
      <c r="H1171" s="11" t="s">
        <v>19</v>
      </c>
      <c r="I1171" s="11">
        <v>2022</v>
      </c>
      <c r="J1171" s="11"/>
      <c r="K1171" s="11">
        <v>6010230</v>
      </c>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4"/>
    </row>
    <row r="1172" spans="1:35" ht="12.5" hidden="1" x14ac:dyDescent="0.25">
      <c r="A1172" s="9">
        <v>2136</v>
      </c>
      <c r="B1172" s="10" t="s">
        <v>60</v>
      </c>
      <c r="C1172" s="10" t="s">
        <v>41</v>
      </c>
      <c r="D1172" s="10" t="s">
        <v>43</v>
      </c>
      <c r="E1172" s="11" t="s">
        <v>160</v>
      </c>
      <c r="F1172" s="11" t="s">
        <v>17</v>
      </c>
      <c r="G1172" s="10" t="s">
        <v>24</v>
      </c>
      <c r="H1172" s="11" t="s">
        <v>19</v>
      </c>
      <c r="I1172" s="11">
        <v>2022</v>
      </c>
      <c r="J1172" s="11"/>
      <c r="K1172" s="11">
        <v>6010230</v>
      </c>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4"/>
    </row>
    <row r="1173" spans="1:35" ht="12.5" hidden="1" x14ac:dyDescent="0.25">
      <c r="A1173" s="9">
        <v>2137</v>
      </c>
      <c r="B1173" s="10" t="s">
        <v>60</v>
      </c>
      <c r="C1173" s="10" t="s">
        <v>41</v>
      </c>
      <c r="D1173" s="10" t="s">
        <v>43</v>
      </c>
      <c r="E1173" s="11" t="s">
        <v>160</v>
      </c>
      <c r="F1173" s="11" t="s">
        <v>17</v>
      </c>
      <c r="G1173" s="10" t="s">
        <v>18</v>
      </c>
      <c r="H1173" s="11" t="s">
        <v>19</v>
      </c>
      <c r="I1173" s="11">
        <v>2022</v>
      </c>
      <c r="J1173" s="11"/>
      <c r="K1173" s="11">
        <v>6010230</v>
      </c>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4"/>
    </row>
    <row r="1174" spans="1:35" ht="12.5" hidden="1" x14ac:dyDescent="0.25">
      <c r="A1174" s="9">
        <v>2138</v>
      </c>
      <c r="B1174" s="10" t="s">
        <v>60</v>
      </c>
      <c r="C1174" s="10" t="s">
        <v>41</v>
      </c>
      <c r="D1174" s="10" t="s">
        <v>43</v>
      </c>
      <c r="E1174" s="11" t="s">
        <v>160</v>
      </c>
      <c r="F1174" s="11" t="s">
        <v>17</v>
      </c>
      <c r="G1174" s="10" t="s">
        <v>18</v>
      </c>
      <c r="H1174" s="11" t="s">
        <v>19</v>
      </c>
      <c r="I1174" s="11">
        <v>2022</v>
      </c>
      <c r="J1174" s="11"/>
      <c r="K1174" s="11">
        <v>6010230</v>
      </c>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4"/>
    </row>
    <row r="1175" spans="1:35" ht="12.5" hidden="1" x14ac:dyDescent="0.25">
      <c r="A1175" s="9">
        <v>2139</v>
      </c>
      <c r="B1175" s="10" t="s">
        <v>60</v>
      </c>
      <c r="C1175" s="10" t="s">
        <v>41</v>
      </c>
      <c r="D1175" s="10" t="s">
        <v>43</v>
      </c>
      <c r="E1175" s="11" t="s">
        <v>92</v>
      </c>
      <c r="F1175" s="11" t="s">
        <v>17</v>
      </c>
      <c r="G1175" s="10" t="s">
        <v>24</v>
      </c>
      <c r="H1175" s="11" t="s">
        <v>19</v>
      </c>
      <c r="I1175" s="11">
        <v>2022</v>
      </c>
      <c r="J1175" s="11"/>
      <c r="K1175" s="11">
        <v>60133</v>
      </c>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4"/>
    </row>
    <row r="1176" spans="1:35" ht="12.5" hidden="1" x14ac:dyDescent="0.25">
      <c r="A1176" s="9">
        <v>2140</v>
      </c>
      <c r="B1176" s="10" t="s">
        <v>60</v>
      </c>
      <c r="C1176" s="10" t="s">
        <v>41</v>
      </c>
      <c r="D1176" s="10" t="s">
        <v>43</v>
      </c>
      <c r="E1176" s="11" t="s">
        <v>92</v>
      </c>
      <c r="F1176" s="11" t="s">
        <v>17</v>
      </c>
      <c r="G1176" s="10" t="s">
        <v>18</v>
      </c>
      <c r="H1176" s="11" t="s">
        <v>19</v>
      </c>
      <c r="I1176" s="11">
        <v>2022</v>
      </c>
      <c r="J1176" s="11"/>
      <c r="K1176" s="11">
        <v>60133</v>
      </c>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4"/>
    </row>
    <row r="1177" spans="1:35" ht="12.5" hidden="1" x14ac:dyDescent="0.25">
      <c r="A1177" s="9">
        <v>2141</v>
      </c>
      <c r="B1177" s="10" t="s">
        <v>60</v>
      </c>
      <c r="C1177" s="10" t="s">
        <v>41</v>
      </c>
      <c r="D1177" s="10" t="s">
        <v>43</v>
      </c>
      <c r="E1177" s="11" t="s">
        <v>92</v>
      </c>
      <c r="F1177" s="11" t="s">
        <v>17</v>
      </c>
      <c r="G1177" s="10" t="s">
        <v>18</v>
      </c>
      <c r="H1177" s="11" t="s">
        <v>19</v>
      </c>
      <c r="I1177" s="11">
        <v>2022</v>
      </c>
      <c r="J1177" s="11"/>
      <c r="K1177" s="11">
        <v>60133</v>
      </c>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4"/>
    </row>
    <row r="1178" spans="1:35" ht="12.5" hidden="1" x14ac:dyDescent="0.25">
      <c r="A1178" s="9">
        <v>2142</v>
      </c>
      <c r="B1178" s="10" t="s">
        <v>60</v>
      </c>
      <c r="C1178" s="10" t="s">
        <v>41</v>
      </c>
      <c r="D1178" s="10" t="s">
        <v>43</v>
      </c>
      <c r="E1178" s="11" t="s">
        <v>92</v>
      </c>
      <c r="F1178" s="11" t="s">
        <v>17</v>
      </c>
      <c r="G1178" s="10" t="s">
        <v>18</v>
      </c>
      <c r="H1178" s="11" t="s">
        <v>19</v>
      </c>
      <c r="I1178" s="11">
        <v>2022</v>
      </c>
      <c r="J1178" s="11"/>
      <c r="K1178" s="11">
        <v>60133</v>
      </c>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4"/>
    </row>
    <row r="1179" spans="1:35" ht="12.5" hidden="1" x14ac:dyDescent="0.25">
      <c r="A1179" s="9">
        <v>2143</v>
      </c>
      <c r="B1179" s="10" t="s">
        <v>60</v>
      </c>
      <c r="C1179" s="10" t="s">
        <v>41</v>
      </c>
      <c r="D1179" s="10" t="s">
        <v>43</v>
      </c>
      <c r="E1179" s="11" t="s">
        <v>92</v>
      </c>
      <c r="F1179" s="11" t="s">
        <v>17</v>
      </c>
      <c r="G1179" s="10" t="s">
        <v>24</v>
      </c>
      <c r="H1179" s="11" t="s">
        <v>19</v>
      </c>
      <c r="I1179" s="11">
        <v>2022</v>
      </c>
      <c r="J1179" s="11"/>
      <c r="K1179" s="11">
        <v>60133</v>
      </c>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4"/>
    </row>
    <row r="1180" spans="1:35" ht="12.5" hidden="1" x14ac:dyDescent="0.25">
      <c r="A1180" s="9">
        <v>2144</v>
      </c>
      <c r="B1180" s="10" t="s">
        <v>60</v>
      </c>
      <c r="C1180" s="10" t="s">
        <v>41</v>
      </c>
      <c r="D1180" s="10" t="s">
        <v>43</v>
      </c>
      <c r="E1180" s="11" t="s">
        <v>92</v>
      </c>
      <c r="F1180" s="11" t="s">
        <v>17</v>
      </c>
      <c r="G1180" s="10" t="s">
        <v>24</v>
      </c>
      <c r="H1180" s="11" t="s">
        <v>19</v>
      </c>
      <c r="I1180" s="11">
        <v>2022</v>
      </c>
      <c r="J1180" s="11"/>
      <c r="K1180" s="11">
        <v>60133</v>
      </c>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4"/>
    </row>
    <row r="1181" spans="1:35" ht="12.5" hidden="1" x14ac:dyDescent="0.25">
      <c r="A1181" s="9">
        <v>2145</v>
      </c>
      <c r="B1181" s="10" t="s">
        <v>60</v>
      </c>
      <c r="C1181" s="10" t="s">
        <v>41</v>
      </c>
      <c r="D1181" s="10" t="s">
        <v>43</v>
      </c>
      <c r="E1181" s="11" t="s">
        <v>92</v>
      </c>
      <c r="F1181" s="11" t="s">
        <v>17</v>
      </c>
      <c r="G1181" s="10" t="s">
        <v>24</v>
      </c>
      <c r="H1181" s="11" t="s">
        <v>19</v>
      </c>
      <c r="I1181" s="11">
        <v>2022</v>
      </c>
      <c r="J1181" s="11"/>
      <c r="K1181" s="11">
        <v>60133</v>
      </c>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4"/>
    </row>
    <row r="1182" spans="1:35" ht="12.5" hidden="1" x14ac:dyDescent="0.25">
      <c r="A1182" s="9">
        <v>2146</v>
      </c>
      <c r="B1182" s="10" t="s">
        <v>60</v>
      </c>
      <c r="C1182" s="10" t="s">
        <v>41</v>
      </c>
      <c r="D1182" s="10" t="s">
        <v>43</v>
      </c>
      <c r="E1182" s="11" t="s">
        <v>92</v>
      </c>
      <c r="F1182" s="11" t="s">
        <v>17</v>
      </c>
      <c r="G1182" s="10" t="s">
        <v>24</v>
      </c>
      <c r="H1182" s="11" t="s">
        <v>19</v>
      </c>
      <c r="I1182" s="11">
        <v>2022</v>
      </c>
      <c r="J1182" s="11"/>
      <c r="K1182" s="11">
        <v>60133</v>
      </c>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4"/>
    </row>
    <row r="1183" spans="1:35" ht="12.5" hidden="1" x14ac:dyDescent="0.25">
      <c r="A1183" s="9">
        <v>2147</v>
      </c>
      <c r="B1183" s="10" t="s">
        <v>60</v>
      </c>
      <c r="C1183" s="10" t="s">
        <v>41</v>
      </c>
      <c r="D1183" s="10" t="s">
        <v>43</v>
      </c>
      <c r="E1183" s="11" t="s">
        <v>92</v>
      </c>
      <c r="F1183" s="11" t="s">
        <v>17</v>
      </c>
      <c r="G1183" s="10" t="s">
        <v>18</v>
      </c>
      <c r="H1183" s="11" t="s">
        <v>19</v>
      </c>
      <c r="I1183" s="11">
        <v>2022</v>
      </c>
      <c r="J1183" s="11"/>
      <c r="K1183" s="11">
        <v>60133</v>
      </c>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4"/>
    </row>
    <row r="1184" spans="1:35" ht="12.5" hidden="1" x14ac:dyDescent="0.25">
      <c r="A1184" s="9">
        <v>2148</v>
      </c>
      <c r="B1184" s="10" t="s">
        <v>60</v>
      </c>
      <c r="C1184" s="10" t="s">
        <v>41</v>
      </c>
      <c r="D1184" s="10" t="s">
        <v>43</v>
      </c>
      <c r="E1184" s="11" t="s">
        <v>92</v>
      </c>
      <c r="F1184" s="11" t="s">
        <v>17</v>
      </c>
      <c r="G1184" s="10" t="s">
        <v>18</v>
      </c>
      <c r="H1184" s="11" t="s">
        <v>19</v>
      </c>
      <c r="I1184" s="11">
        <v>2022</v>
      </c>
      <c r="J1184" s="11"/>
      <c r="K1184" s="11">
        <v>60133</v>
      </c>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4"/>
    </row>
    <row r="1185" spans="1:35" ht="12.5" hidden="1" x14ac:dyDescent="0.25">
      <c r="A1185" s="9">
        <v>2149</v>
      </c>
      <c r="B1185" s="10" t="s">
        <v>60</v>
      </c>
      <c r="C1185" s="10" t="s">
        <v>41</v>
      </c>
      <c r="D1185" s="10" t="s">
        <v>43</v>
      </c>
      <c r="E1185" s="11" t="s">
        <v>92</v>
      </c>
      <c r="F1185" s="11" t="s">
        <v>17</v>
      </c>
      <c r="G1185" s="10" t="s">
        <v>24</v>
      </c>
      <c r="H1185" s="11" t="s">
        <v>19</v>
      </c>
      <c r="I1185" s="11">
        <v>2022</v>
      </c>
      <c r="J1185" s="11"/>
      <c r="K1185" s="11">
        <v>60133</v>
      </c>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4"/>
    </row>
    <row r="1186" spans="1:35" ht="12.5" hidden="1" x14ac:dyDescent="0.25">
      <c r="A1186" s="9">
        <v>2150</v>
      </c>
      <c r="B1186" s="10" t="s">
        <v>60</v>
      </c>
      <c r="C1186" s="10" t="s">
        <v>41</v>
      </c>
      <c r="D1186" s="10" t="s">
        <v>43</v>
      </c>
      <c r="E1186" s="11" t="s">
        <v>92</v>
      </c>
      <c r="F1186" s="11" t="s">
        <v>17</v>
      </c>
      <c r="G1186" s="10" t="s">
        <v>18</v>
      </c>
      <c r="H1186" s="11" t="s">
        <v>19</v>
      </c>
      <c r="I1186" s="11">
        <v>2022</v>
      </c>
      <c r="J1186" s="11"/>
      <c r="K1186" s="11">
        <v>60133</v>
      </c>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4"/>
    </row>
    <row r="1187" spans="1:35" ht="12.5" hidden="1" x14ac:dyDescent="0.25">
      <c r="A1187" s="9">
        <v>2151</v>
      </c>
      <c r="B1187" s="10" t="s">
        <v>60</v>
      </c>
      <c r="C1187" s="10" t="s">
        <v>41</v>
      </c>
      <c r="D1187" s="10" t="s">
        <v>43</v>
      </c>
      <c r="E1187" s="11" t="s">
        <v>92</v>
      </c>
      <c r="F1187" s="11" t="s">
        <v>17</v>
      </c>
      <c r="G1187" s="10" t="s">
        <v>24</v>
      </c>
      <c r="H1187" s="11" t="s">
        <v>19</v>
      </c>
      <c r="I1187" s="11">
        <v>2022</v>
      </c>
      <c r="J1187" s="11"/>
      <c r="K1187" s="11">
        <v>60133</v>
      </c>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4"/>
    </row>
    <row r="1188" spans="1:35" ht="12.5" hidden="1" x14ac:dyDescent="0.25">
      <c r="A1188" s="9">
        <v>2152</v>
      </c>
      <c r="B1188" s="10" t="s">
        <v>60</v>
      </c>
      <c r="C1188" s="10" t="s">
        <v>41</v>
      </c>
      <c r="D1188" s="10" t="s">
        <v>43</v>
      </c>
      <c r="E1188" s="11" t="s">
        <v>92</v>
      </c>
      <c r="F1188" s="11" t="s">
        <v>17</v>
      </c>
      <c r="G1188" s="10" t="s">
        <v>24</v>
      </c>
      <c r="H1188" s="11" t="s">
        <v>19</v>
      </c>
      <c r="I1188" s="11">
        <v>2022</v>
      </c>
      <c r="J1188" s="11"/>
      <c r="K1188" s="11">
        <v>60133</v>
      </c>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4"/>
    </row>
    <row r="1189" spans="1:35" ht="12.5" hidden="1" x14ac:dyDescent="0.25">
      <c r="A1189" s="9">
        <v>2153</v>
      </c>
      <c r="B1189" s="10" t="s">
        <v>60</v>
      </c>
      <c r="C1189" s="10" t="s">
        <v>41</v>
      </c>
      <c r="D1189" s="10" t="s">
        <v>43</v>
      </c>
      <c r="E1189" s="11" t="s">
        <v>92</v>
      </c>
      <c r="F1189" s="11" t="s">
        <v>17</v>
      </c>
      <c r="G1189" s="10" t="s">
        <v>24</v>
      </c>
      <c r="H1189" s="11" t="s">
        <v>19</v>
      </c>
      <c r="I1189" s="11">
        <v>2022</v>
      </c>
      <c r="J1189" s="11"/>
      <c r="K1189" s="11">
        <v>60133</v>
      </c>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4"/>
    </row>
    <row r="1190" spans="1:35" ht="12.5" hidden="1" x14ac:dyDescent="0.25">
      <c r="A1190" s="9">
        <v>2154</v>
      </c>
      <c r="B1190" s="10" t="s">
        <v>60</v>
      </c>
      <c r="C1190" s="10" t="s">
        <v>41</v>
      </c>
      <c r="D1190" s="10" t="s">
        <v>43</v>
      </c>
      <c r="E1190" s="11" t="s">
        <v>92</v>
      </c>
      <c r="F1190" s="11" t="s">
        <v>17</v>
      </c>
      <c r="G1190" s="10" t="s">
        <v>18</v>
      </c>
      <c r="H1190" s="11" t="s">
        <v>19</v>
      </c>
      <c r="I1190" s="11">
        <v>2022</v>
      </c>
      <c r="J1190" s="11"/>
      <c r="K1190" s="11">
        <v>60133</v>
      </c>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4"/>
    </row>
    <row r="1191" spans="1:35" ht="12.5" hidden="1" x14ac:dyDescent="0.25">
      <c r="A1191" s="9">
        <v>2155</v>
      </c>
      <c r="B1191" s="10" t="s">
        <v>60</v>
      </c>
      <c r="C1191" s="10" t="s">
        <v>41</v>
      </c>
      <c r="D1191" s="10" t="s">
        <v>43</v>
      </c>
      <c r="E1191" s="11" t="s">
        <v>92</v>
      </c>
      <c r="F1191" s="11" t="s">
        <v>17</v>
      </c>
      <c r="G1191" s="10" t="s">
        <v>18</v>
      </c>
      <c r="H1191" s="11" t="s">
        <v>19</v>
      </c>
      <c r="I1191" s="11">
        <v>2022</v>
      </c>
      <c r="J1191" s="11"/>
      <c r="K1191" s="11">
        <v>60133</v>
      </c>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4"/>
    </row>
    <row r="1192" spans="1:35" ht="12.5" hidden="1" x14ac:dyDescent="0.25">
      <c r="A1192" s="9">
        <v>2156</v>
      </c>
      <c r="B1192" s="10" t="s">
        <v>60</v>
      </c>
      <c r="C1192" s="10" t="s">
        <v>41</v>
      </c>
      <c r="D1192" s="10" t="s">
        <v>43</v>
      </c>
      <c r="E1192" s="11" t="s">
        <v>92</v>
      </c>
      <c r="F1192" s="11" t="s">
        <v>17</v>
      </c>
      <c r="G1192" s="10" t="s">
        <v>18</v>
      </c>
      <c r="H1192" s="11" t="s">
        <v>19</v>
      </c>
      <c r="I1192" s="11">
        <v>2022</v>
      </c>
      <c r="J1192" s="11"/>
      <c r="K1192" s="11">
        <v>60133</v>
      </c>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4"/>
    </row>
    <row r="1193" spans="1:35" ht="12.5" hidden="1" x14ac:dyDescent="0.25">
      <c r="A1193" s="9">
        <v>2157</v>
      </c>
      <c r="B1193" s="10" t="s">
        <v>60</v>
      </c>
      <c r="C1193" s="10" t="s">
        <v>15</v>
      </c>
      <c r="D1193" s="10" t="s">
        <v>37</v>
      </c>
      <c r="E1193" s="11" t="s">
        <v>91</v>
      </c>
      <c r="F1193" s="11" t="s">
        <v>17</v>
      </c>
      <c r="G1193" s="10" t="s">
        <v>24</v>
      </c>
      <c r="H1193" s="11" t="s">
        <v>19</v>
      </c>
      <c r="I1193" s="11">
        <v>2022</v>
      </c>
      <c r="J1193" s="11"/>
      <c r="K1193" s="11">
        <v>601331</v>
      </c>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4"/>
    </row>
    <row r="1194" spans="1:35" ht="12.5" hidden="1" x14ac:dyDescent="0.25">
      <c r="A1194" s="9">
        <v>2158</v>
      </c>
      <c r="B1194" s="10" t="s">
        <v>60</v>
      </c>
      <c r="C1194" s="10" t="s">
        <v>15</v>
      </c>
      <c r="D1194" s="10" t="s">
        <v>37</v>
      </c>
      <c r="E1194" s="11" t="s">
        <v>91</v>
      </c>
      <c r="F1194" s="11" t="s">
        <v>17</v>
      </c>
      <c r="G1194" s="10" t="s">
        <v>18</v>
      </c>
      <c r="H1194" s="11" t="s">
        <v>19</v>
      </c>
      <c r="I1194" s="11">
        <v>2022</v>
      </c>
      <c r="J1194" s="11"/>
      <c r="K1194" s="11">
        <v>601331</v>
      </c>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4"/>
    </row>
    <row r="1195" spans="1:35" ht="12.5" hidden="1" x14ac:dyDescent="0.25">
      <c r="A1195" s="9">
        <v>2159</v>
      </c>
      <c r="B1195" s="10" t="s">
        <v>60</v>
      </c>
      <c r="C1195" s="10" t="s">
        <v>15</v>
      </c>
      <c r="D1195" s="10" t="s">
        <v>37</v>
      </c>
      <c r="E1195" s="11" t="s">
        <v>91</v>
      </c>
      <c r="F1195" s="11" t="s">
        <v>17</v>
      </c>
      <c r="G1195" s="10" t="s">
        <v>18</v>
      </c>
      <c r="H1195" s="11" t="s">
        <v>19</v>
      </c>
      <c r="I1195" s="11">
        <v>2022</v>
      </c>
      <c r="J1195" s="11"/>
      <c r="K1195" s="11">
        <v>601331</v>
      </c>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4"/>
    </row>
    <row r="1196" spans="1:35" ht="12.5" hidden="1" x14ac:dyDescent="0.25">
      <c r="A1196" s="9">
        <v>2160</v>
      </c>
      <c r="B1196" s="10" t="s">
        <v>60</v>
      </c>
      <c r="C1196" s="10" t="s">
        <v>15</v>
      </c>
      <c r="D1196" s="10" t="s">
        <v>37</v>
      </c>
      <c r="E1196" s="11" t="s">
        <v>91</v>
      </c>
      <c r="F1196" s="11" t="s">
        <v>17</v>
      </c>
      <c r="G1196" s="10" t="s">
        <v>18</v>
      </c>
      <c r="H1196" s="11" t="s">
        <v>19</v>
      </c>
      <c r="I1196" s="11">
        <v>2022</v>
      </c>
      <c r="J1196" s="11"/>
      <c r="K1196" s="11">
        <v>601331</v>
      </c>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4"/>
    </row>
    <row r="1197" spans="1:35" ht="12.5" hidden="1" x14ac:dyDescent="0.25">
      <c r="A1197" s="9">
        <v>2161</v>
      </c>
      <c r="B1197" s="10" t="s">
        <v>60</v>
      </c>
      <c r="C1197" s="10" t="s">
        <v>15</v>
      </c>
      <c r="D1197" s="10" t="s">
        <v>37</v>
      </c>
      <c r="E1197" s="11" t="s">
        <v>91</v>
      </c>
      <c r="F1197" s="11" t="s">
        <v>17</v>
      </c>
      <c r="G1197" s="10" t="s">
        <v>24</v>
      </c>
      <c r="H1197" s="11" t="s">
        <v>19</v>
      </c>
      <c r="I1197" s="11">
        <v>2022</v>
      </c>
      <c r="J1197" s="11"/>
      <c r="K1197" s="11">
        <v>601331</v>
      </c>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4"/>
    </row>
    <row r="1198" spans="1:35" ht="12.5" hidden="1" x14ac:dyDescent="0.25">
      <c r="A1198" s="9">
        <v>2162</v>
      </c>
      <c r="B1198" s="10" t="s">
        <v>60</v>
      </c>
      <c r="C1198" s="10" t="s">
        <v>15</v>
      </c>
      <c r="D1198" s="10" t="s">
        <v>37</v>
      </c>
      <c r="E1198" s="11" t="s">
        <v>91</v>
      </c>
      <c r="F1198" s="11" t="s">
        <v>17</v>
      </c>
      <c r="G1198" s="10" t="s">
        <v>24</v>
      </c>
      <c r="H1198" s="11" t="s">
        <v>19</v>
      </c>
      <c r="I1198" s="11">
        <v>2022</v>
      </c>
      <c r="J1198" s="11"/>
      <c r="K1198" s="11">
        <v>601331</v>
      </c>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4"/>
    </row>
    <row r="1199" spans="1:35" ht="12.5" hidden="1" x14ac:dyDescent="0.25">
      <c r="A1199" s="9">
        <v>2163</v>
      </c>
      <c r="B1199" s="10" t="s">
        <v>60</v>
      </c>
      <c r="C1199" s="10" t="s">
        <v>15</v>
      </c>
      <c r="D1199" s="10" t="s">
        <v>37</v>
      </c>
      <c r="E1199" s="11" t="s">
        <v>91</v>
      </c>
      <c r="F1199" s="11" t="s">
        <v>17</v>
      </c>
      <c r="G1199" s="10" t="s">
        <v>24</v>
      </c>
      <c r="H1199" s="11" t="s">
        <v>19</v>
      </c>
      <c r="I1199" s="11">
        <v>2022</v>
      </c>
      <c r="J1199" s="11"/>
      <c r="K1199" s="11">
        <v>601331</v>
      </c>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4"/>
    </row>
    <row r="1200" spans="1:35" ht="12.5" hidden="1" x14ac:dyDescent="0.25">
      <c r="A1200" s="9">
        <v>2164</v>
      </c>
      <c r="B1200" s="10" t="s">
        <v>60</v>
      </c>
      <c r="C1200" s="10" t="s">
        <v>15</v>
      </c>
      <c r="D1200" s="10" t="s">
        <v>37</v>
      </c>
      <c r="E1200" s="11" t="s">
        <v>91</v>
      </c>
      <c r="F1200" s="11" t="s">
        <v>17</v>
      </c>
      <c r="G1200" s="10" t="s">
        <v>18</v>
      </c>
      <c r="H1200" s="11" t="s">
        <v>19</v>
      </c>
      <c r="I1200" s="11">
        <v>2022</v>
      </c>
      <c r="J1200" s="11"/>
      <c r="K1200" s="11">
        <v>601331</v>
      </c>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4"/>
    </row>
    <row r="1201" spans="1:35" ht="12.5" hidden="1" x14ac:dyDescent="0.25">
      <c r="A1201" s="9">
        <v>2165</v>
      </c>
      <c r="B1201" s="10" t="s">
        <v>60</v>
      </c>
      <c r="C1201" s="10" t="s">
        <v>15</v>
      </c>
      <c r="D1201" s="10" t="s">
        <v>37</v>
      </c>
      <c r="E1201" s="11" t="s">
        <v>91</v>
      </c>
      <c r="F1201" s="11" t="s">
        <v>17</v>
      </c>
      <c r="G1201" s="10" t="s">
        <v>24</v>
      </c>
      <c r="H1201" s="11" t="s">
        <v>19</v>
      </c>
      <c r="I1201" s="11">
        <v>2022</v>
      </c>
      <c r="J1201" s="11"/>
      <c r="K1201" s="11">
        <v>601331</v>
      </c>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4"/>
    </row>
    <row r="1202" spans="1:35" ht="12.5" hidden="1" x14ac:dyDescent="0.25">
      <c r="A1202" s="9">
        <v>2166</v>
      </c>
      <c r="B1202" s="10" t="s">
        <v>60</v>
      </c>
      <c r="C1202" s="10" t="s">
        <v>15</v>
      </c>
      <c r="D1202" s="10" t="s">
        <v>37</v>
      </c>
      <c r="E1202" s="11" t="s">
        <v>160</v>
      </c>
      <c r="F1202" s="11" t="s">
        <v>17</v>
      </c>
      <c r="G1202" s="10" t="s">
        <v>18</v>
      </c>
      <c r="H1202" s="11" t="s">
        <v>19</v>
      </c>
      <c r="I1202" s="11">
        <v>2022</v>
      </c>
      <c r="J1202" s="11"/>
      <c r="K1202" s="11">
        <v>6010230</v>
      </c>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4"/>
    </row>
    <row r="1203" spans="1:35" ht="12.5" hidden="1" x14ac:dyDescent="0.25">
      <c r="A1203" s="9">
        <v>2167</v>
      </c>
      <c r="B1203" s="10" t="s">
        <v>60</v>
      </c>
      <c r="C1203" s="10" t="s">
        <v>15</v>
      </c>
      <c r="D1203" s="10" t="s">
        <v>37</v>
      </c>
      <c r="E1203" s="11" t="s">
        <v>160</v>
      </c>
      <c r="F1203" s="11" t="s">
        <v>17</v>
      </c>
      <c r="G1203" s="10" t="s">
        <v>24</v>
      </c>
      <c r="H1203" s="11" t="s">
        <v>19</v>
      </c>
      <c r="I1203" s="11">
        <v>2022</v>
      </c>
      <c r="J1203" s="11"/>
      <c r="K1203" s="11">
        <v>6010230</v>
      </c>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4"/>
    </row>
    <row r="1204" spans="1:35" ht="12.5" hidden="1" x14ac:dyDescent="0.25">
      <c r="A1204" s="9">
        <v>2168</v>
      </c>
      <c r="B1204" s="10" t="s">
        <v>60</v>
      </c>
      <c r="C1204" s="10" t="s">
        <v>15</v>
      </c>
      <c r="D1204" s="10" t="s">
        <v>37</v>
      </c>
      <c r="E1204" s="11" t="s">
        <v>160</v>
      </c>
      <c r="F1204" s="11" t="s">
        <v>17</v>
      </c>
      <c r="G1204" s="10" t="s">
        <v>18</v>
      </c>
      <c r="H1204" s="11" t="s">
        <v>19</v>
      </c>
      <c r="I1204" s="11">
        <v>2022</v>
      </c>
      <c r="J1204" s="11"/>
      <c r="K1204" s="11">
        <v>6010230</v>
      </c>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4"/>
    </row>
    <row r="1205" spans="1:35" ht="12.5" hidden="1" x14ac:dyDescent="0.25">
      <c r="A1205" s="9">
        <v>2169</v>
      </c>
      <c r="B1205" s="10" t="s">
        <v>60</v>
      </c>
      <c r="C1205" s="10" t="s">
        <v>15</v>
      </c>
      <c r="D1205" s="10" t="s">
        <v>37</v>
      </c>
      <c r="E1205" s="11" t="s">
        <v>160</v>
      </c>
      <c r="F1205" s="11" t="s">
        <v>17</v>
      </c>
      <c r="G1205" s="10" t="s">
        <v>18</v>
      </c>
      <c r="H1205" s="11" t="s">
        <v>19</v>
      </c>
      <c r="I1205" s="11">
        <v>2022</v>
      </c>
      <c r="J1205" s="11"/>
      <c r="K1205" s="11">
        <v>6010230</v>
      </c>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4"/>
    </row>
    <row r="1206" spans="1:35" ht="12.5" hidden="1" x14ac:dyDescent="0.25">
      <c r="A1206" s="9">
        <v>2170</v>
      </c>
      <c r="B1206" s="10" t="s">
        <v>60</v>
      </c>
      <c r="C1206" s="10" t="s">
        <v>15</v>
      </c>
      <c r="D1206" s="10" t="s">
        <v>37</v>
      </c>
      <c r="E1206" s="11" t="s">
        <v>92</v>
      </c>
      <c r="F1206" s="11" t="s">
        <v>17</v>
      </c>
      <c r="G1206" s="10" t="s">
        <v>18</v>
      </c>
      <c r="H1206" s="11" t="s">
        <v>19</v>
      </c>
      <c r="I1206" s="11">
        <v>2022</v>
      </c>
      <c r="J1206" s="11"/>
      <c r="K1206" s="11">
        <v>60133</v>
      </c>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4"/>
    </row>
    <row r="1207" spans="1:35" ht="12.5" hidden="1" x14ac:dyDescent="0.25">
      <c r="A1207" s="9">
        <v>2171</v>
      </c>
      <c r="B1207" s="10" t="s">
        <v>60</v>
      </c>
      <c r="C1207" s="10" t="s">
        <v>15</v>
      </c>
      <c r="D1207" s="10" t="s">
        <v>37</v>
      </c>
      <c r="E1207" s="11" t="s">
        <v>92</v>
      </c>
      <c r="F1207" s="11" t="s">
        <v>17</v>
      </c>
      <c r="G1207" s="10" t="s">
        <v>18</v>
      </c>
      <c r="H1207" s="11" t="s">
        <v>19</v>
      </c>
      <c r="I1207" s="11">
        <v>2022</v>
      </c>
      <c r="J1207" s="11"/>
      <c r="K1207" s="11">
        <v>60133</v>
      </c>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4"/>
    </row>
    <row r="1208" spans="1:35" ht="12.5" hidden="1" x14ac:dyDescent="0.25">
      <c r="A1208" s="9">
        <v>2172</v>
      </c>
      <c r="B1208" s="10" t="s">
        <v>60</v>
      </c>
      <c r="C1208" s="10" t="s">
        <v>15</v>
      </c>
      <c r="D1208" s="10" t="s">
        <v>37</v>
      </c>
      <c r="E1208" s="11" t="s">
        <v>92</v>
      </c>
      <c r="F1208" s="11" t="s">
        <v>17</v>
      </c>
      <c r="G1208" s="10" t="s">
        <v>18</v>
      </c>
      <c r="H1208" s="11" t="s">
        <v>23</v>
      </c>
      <c r="I1208" s="11">
        <v>2022</v>
      </c>
      <c r="J1208" s="11"/>
      <c r="K1208" s="11">
        <v>60133</v>
      </c>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4"/>
    </row>
    <row r="1209" spans="1:35" ht="12.5" x14ac:dyDescent="0.25">
      <c r="A1209" s="9">
        <v>2728</v>
      </c>
      <c r="B1209" s="10" t="s">
        <v>83</v>
      </c>
      <c r="C1209" s="10" t="s">
        <v>15</v>
      </c>
      <c r="D1209" s="10" t="s">
        <v>141</v>
      </c>
      <c r="E1209" s="11" t="s">
        <v>174</v>
      </c>
      <c r="F1209" s="11" t="s">
        <v>17</v>
      </c>
      <c r="G1209" s="10" t="s">
        <v>18</v>
      </c>
      <c r="H1209" s="11" t="s">
        <v>19</v>
      </c>
      <c r="I1209" s="11">
        <v>2022</v>
      </c>
      <c r="J1209" s="11"/>
      <c r="K1209" s="11" t="s">
        <v>95</v>
      </c>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4"/>
    </row>
    <row r="1210" spans="1:35" ht="12.5" x14ac:dyDescent="0.25">
      <c r="A1210" s="9">
        <v>2729</v>
      </c>
      <c r="B1210" s="10" t="s">
        <v>83</v>
      </c>
      <c r="C1210" s="10" t="s">
        <v>15</v>
      </c>
      <c r="D1210" s="10" t="s">
        <v>141</v>
      </c>
      <c r="E1210" s="11" t="s">
        <v>174</v>
      </c>
      <c r="F1210" s="11" t="s">
        <v>17</v>
      </c>
      <c r="G1210" s="10" t="s">
        <v>24</v>
      </c>
      <c r="H1210" s="11" t="s">
        <v>19</v>
      </c>
      <c r="I1210" s="11">
        <v>2022</v>
      </c>
      <c r="J1210" s="11"/>
      <c r="K1210" s="11" t="s">
        <v>95</v>
      </c>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4"/>
    </row>
    <row r="1211" spans="1:35" ht="12.5" x14ac:dyDescent="0.25">
      <c r="A1211" s="9">
        <v>2730</v>
      </c>
      <c r="B1211" s="10" t="s">
        <v>83</v>
      </c>
      <c r="C1211" s="10" t="s">
        <v>15</v>
      </c>
      <c r="D1211" s="10" t="s">
        <v>141</v>
      </c>
      <c r="E1211" s="11" t="s">
        <v>168</v>
      </c>
      <c r="F1211" s="11" t="s">
        <v>17</v>
      </c>
      <c r="G1211" s="10" t="s">
        <v>18</v>
      </c>
      <c r="H1211" s="11" t="s">
        <v>19</v>
      </c>
      <c r="I1211" s="11">
        <v>2022</v>
      </c>
      <c r="J1211" s="11"/>
      <c r="K1211" s="11" t="s">
        <v>96</v>
      </c>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4"/>
    </row>
    <row r="1212" spans="1:35" ht="12.5" hidden="1" x14ac:dyDescent="0.25">
      <c r="A1212" s="9">
        <v>2731</v>
      </c>
      <c r="B1212" s="10" t="s">
        <v>83</v>
      </c>
      <c r="C1212" s="10" t="s">
        <v>15</v>
      </c>
      <c r="D1212" s="10" t="s">
        <v>45</v>
      </c>
      <c r="E1212" s="11" t="s">
        <v>174</v>
      </c>
      <c r="F1212" s="11" t="s">
        <v>17</v>
      </c>
      <c r="G1212" s="10" t="s">
        <v>24</v>
      </c>
      <c r="H1212" s="11" t="s">
        <v>19</v>
      </c>
      <c r="I1212" s="11">
        <v>2022</v>
      </c>
      <c r="J1212" s="11"/>
      <c r="K1212" s="11" t="s">
        <v>95</v>
      </c>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4"/>
    </row>
    <row r="1213" spans="1:35" ht="12.5" hidden="1" x14ac:dyDescent="0.25">
      <c r="A1213" s="9">
        <v>2732</v>
      </c>
      <c r="B1213" s="10" t="s">
        <v>83</v>
      </c>
      <c r="C1213" s="10" t="s">
        <v>15</v>
      </c>
      <c r="D1213" s="10" t="s">
        <v>45</v>
      </c>
      <c r="E1213" s="11" t="s">
        <v>168</v>
      </c>
      <c r="F1213" s="11" t="s">
        <v>17</v>
      </c>
      <c r="G1213" s="10" t="s">
        <v>18</v>
      </c>
      <c r="H1213" s="11" t="s">
        <v>19</v>
      </c>
      <c r="I1213" s="11">
        <v>2022</v>
      </c>
      <c r="J1213" s="11"/>
      <c r="K1213" s="11" t="s">
        <v>96</v>
      </c>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4"/>
    </row>
    <row r="1214" spans="1:35" ht="12.5" hidden="1" x14ac:dyDescent="0.25">
      <c r="A1214" s="9">
        <v>2733</v>
      </c>
      <c r="B1214" s="10" t="s">
        <v>83</v>
      </c>
      <c r="C1214" s="10" t="s">
        <v>15</v>
      </c>
      <c r="D1214" s="10" t="s">
        <v>45</v>
      </c>
      <c r="E1214" s="11" t="s">
        <v>170</v>
      </c>
      <c r="F1214" s="11" t="s">
        <v>17</v>
      </c>
      <c r="G1214" s="10" t="s">
        <v>18</v>
      </c>
      <c r="H1214" s="11" t="s">
        <v>19</v>
      </c>
      <c r="I1214" s="11">
        <v>2022</v>
      </c>
      <c r="J1214" s="11"/>
      <c r="K1214" s="11" t="s">
        <v>86</v>
      </c>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4"/>
    </row>
    <row r="1215" spans="1:35" ht="12.5" hidden="1" x14ac:dyDescent="0.25">
      <c r="A1215" s="9">
        <v>2734</v>
      </c>
      <c r="B1215" s="10" t="s">
        <v>83</v>
      </c>
      <c r="C1215" s="10" t="s">
        <v>41</v>
      </c>
      <c r="D1215" s="10" t="s">
        <v>42</v>
      </c>
      <c r="E1215" s="11" t="s">
        <v>169</v>
      </c>
      <c r="F1215" s="11" t="s">
        <v>17</v>
      </c>
      <c r="G1215" s="10" t="s">
        <v>24</v>
      </c>
      <c r="H1215" s="11" t="s">
        <v>19</v>
      </c>
      <c r="I1215" s="11">
        <v>2022</v>
      </c>
      <c r="J1215" s="11"/>
      <c r="K1215" s="11" t="s">
        <v>85</v>
      </c>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4"/>
    </row>
    <row r="1216" spans="1:35" ht="12.5" hidden="1" x14ac:dyDescent="0.25">
      <c r="A1216" s="9">
        <v>2735</v>
      </c>
      <c r="B1216" s="10" t="s">
        <v>83</v>
      </c>
      <c r="C1216" s="10" t="s">
        <v>41</v>
      </c>
      <c r="D1216" s="10" t="s">
        <v>42</v>
      </c>
      <c r="E1216" s="11" t="s">
        <v>169</v>
      </c>
      <c r="F1216" s="11" t="s">
        <v>17</v>
      </c>
      <c r="G1216" s="10" t="s">
        <v>24</v>
      </c>
      <c r="H1216" s="11" t="s">
        <v>19</v>
      </c>
      <c r="I1216" s="11">
        <v>2022</v>
      </c>
      <c r="J1216" s="11"/>
      <c r="K1216" s="11" t="s">
        <v>85</v>
      </c>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4"/>
    </row>
    <row r="1217" spans="1:35" ht="12.5" hidden="1" x14ac:dyDescent="0.25">
      <c r="A1217" s="9">
        <v>2736</v>
      </c>
      <c r="B1217" s="10" t="s">
        <v>83</v>
      </c>
      <c r="C1217" s="10" t="s">
        <v>41</v>
      </c>
      <c r="D1217" s="10" t="s">
        <v>42</v>
      </c>
      <c r="E1217" s="11" t="s">
        <v>169</v>
      </c>
      <c r="F1217" s="11" t="s">
        <v>17</v>
      </c>
      <c r="G1217" s="10" t="s">
        <v>24</v>
      </c>
      <c r="H1217" s="11" t="s">
        <v>19</v>
      </c>
      <c r="I1217" s="11">
        <v>2022</v>
      </c>
      <c r="J1217" s="11"/>
      <c r="K1217" s="11" t="s">
        <v>85</v>
      </c>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4"/>
    </row>
    <row r="1218" spans="1:35" ht="12.5" hidden="1" x14ac:dyDescent="0.25">
      <c r="A1218" s="9">
        <v>2737</v>
      </c>
      <c r="B1218" s="10" t="s">
        <v>83</v>
      </c>
      <c r="C1218" s="10" t="s">
        <v>41</v>
      </c>
      <c r="D1218" s="10" t="s">
        <v>42</v>
      </c>
      <c r="E1218" s="11" t="s">
        <v>169</v>
      </c>
      <c r="F1218" s="11" t="s">
        <v>17</v>
      </c>
      <c r="G1218" s="10" t="s">
        <v>18</v>
      </c>
      <c r="H1218" s="11" t="s">
        <v>19</v>
      </c>
      <c r="I1218" s="11">
        <v>2022</v>
      </c>
      <c r="J1218" s="11"/>
      <c r="K1218" s="11" t="s">
        <v>85</v>
      </c>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4"/>
    </row>
    <row r="1219" spans="1:35" ht="12.5" hidden="1" x14ac:dyDescent="0.25">
      <c r="A1219" s="9">
        <v>2738</v>
      </c>
      <c r="B1219" s="10" t="s">
        <v>83</v>
      </c>
      <c r="C1219" s="10" t="s">
        <v>41</v>
      </c>
      <c r="D1219" s="10" t="s">
        <v>42</v>
      </c>
      <c r="E1219" s="11" t="s">
        <v>169</v>
      </c>
      <c r="F1219" s="11" t="s">
        <v>17</v>
      </c>
      <c r="G1219" s="10" t="s">
        <v>24</v>
      </c>
      <c r="H1219" s="11" t="s">
        <v>19</v>
      </c>
      <c r="I1219" s="11">
        <v>2022</v>
      </c>
      <c r="J1219" s="11"/>
      <c r="K1219" s="11" t="s">
        <v>85</v>
      </c>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4"/>
    </row>
    <row r="1220" spans="1:35" ht="12.5" hidden="1" x14ac:dyDescent="0.25">
      <c r="A1220" s="9">
        <v>2739</v>
      </c>
      <c r="B1220" s="10" t="s">
        <v>83</v>
      </c>
      <c r="C1220" s="10" t="s">
        <v>41</v>
      </c>
      <c r="D1220" s="10" t="s">
        <v>42</v>
      </c>
      <c r="E1220" s="11" t="s">
        <v>172</v>
      </c>
      <c r="F1220" s="11" t="s">
        <v>17</v>
      </c>
      <c r="G1220" s="10" t="s">
        <v>24</v>
      </c>
      <c r="H1220" s="11" t="s">
        <v>19</v>
      </c>
      <c r="I1220" s="11">
        <v>2022</v>
      </c>
      <c r="J1220" s="11"/>
      <c r="K1220" s="11" t="s">
        <v>97</v>
      </c>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4"/>
    </row>
    <row r="1221" spans="1:35" ht="12.5" hidden="1" x14ac:dyDescent="0.25">
      <c r="A1221" s="9">
        <v>2740</v>
      </c>
      <c r="B1221" s="10" t="s">
        <v>83</v>
      </c>
      <c r="C1221" s="10" t="s">
        <v>41</v>
      </c>
      <c r="D1221" s="10" t="s">
        <v>42</v>
      </c>
      <c r="E1221" s="11" t="s">
        <v>172</v>
      </c>
      <c r="F1221" s="11" t="s">
        <v>17</v>
      </c>
      <c r="G1221" s="10" t="s">
        <v>24</v>
      </c>
      <c r="H1221" s="11" t="s">
        <v>19</v>
      </c>
      <c r="I1221" s="11">
        <v>2022</v>
      </c>
      <c r="J1221" s="11"/>
      <c r="K1221" s="11" t="s">
        <v>97</v>
      </c>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4"/>
    </row>
    <row r="1222" spans="1:35" ht="12.5" hidden="1" x14ac:dyDescent="0.25">
      <c r="A1222" s="9">
        <v>2741</v>
      </c>
      <c r="B1222" s="10" t="s">
        <v>83</v>
      </c>
      <c r="C1222" s="10" t="s">
        <v>41</v>
      </c>
      <c r="D1222" s="10" t="s">
        <v>42</v>
      </c>
      <c r="E1222" s="11" t="s">
        <v>172</v>
      </c>
      <c r="F1222" s="11" t="s">
        <v>17</v>
      </c>
      <c r="G1222" s="10" t="s">
        <v>18</v>
      </c>
      <c r="H1222" s="11" t="s">
        <v>19</v>
      </c>
      <c r="I1222" s="11">
        <v>2022</v>
      </c>
      <c r="J1222" s="11"/>
      <c r="K1222" s="11" t="s">
        <v>97</v>
      </c>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4"/>
    </row>
    <row r="1223" spans="1:35" ht="12.5" hidden="1" x14ac:dyDescent="0.25">
      <c r="A1223" s="9">
        <v>2742</v>
      </c>
      <c r="B1223" s="10" t="s">
        <v>83</v>
      </c>
      <c r="C1223" s="10" t="s">
        <v>15</v>
      </c>
      <c r="D1223" s="10" t="s">
        <v>16</v>
      </c>
      <c r="E1223" s="11" t="s">
        <v>174</v>
      </c>
      <c r="F1223" s="11" t="s">
        <v>17</v>
      </c>
      <c r="G1223" s="10" t="s">
        <v>18</v>
      </c>
      <c r="H1223" s="11" t="s">
        <v>19</v>
      </c>
      <c r="I1223" s="11">
        <v>2022</v>
      </c>
      <c r="J1223" s="11"/>
      <c r="K1223" s="11" t="s">
        <v>95</v>
      </c>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4"/>
    </row>
    <row r="1224" spans="1:35" ht="12.5" hidden="1" x14ac:dyDescent="0.25">
      <c r="A1224" s="9">
        <v>2743</v>
      </c>
      <c r="B1224" s="10" t="s">
        <v>83</v>
      </c>
      <c r="C1224" s="10" t="s">
        <v>15</v>
      </c>
      <c r="D1224" s="10" t="s">
        <v>16</v>
      </c>
      <c r="E1224" s="11" t="s">
        <v>174</v>
      </c>
      <c r="F1224" s="11" t="s">
        <v>17</v>
      </c>
      <c r="G1224" s="10" t="s">
        <v>24</v>
      </c>
      <c r="H1224" s="11" t="s">
        <v>19</v>
      </c>
      <c r="I1224" s="11">
        <v>2022</v>
      </c>
      <c r="J1224" s="11"/>
      <c r="K1224" s="11" t="s">
        <v>95</v>
      </c>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4"/>
    </row>
    <row r="1225" spans="1:35" ht="12.5" hidden="1" x14ac:dyDescent="0.25">
      <c r="A1225" s="9">
        <v>2744</v>
      </c>
      <c r="B1225" s="10" t="s">
        <v>83</v>
      </c>
      <c r="C1225" s="10" t="s">
        <v>15</v>
      </c>
      <c r="D1225" s="10" t="s">
        <v>16</v>
      </c>
      <c r="E1225" s="11" t="s">
        <v>174</v>
      </c>
      <c r="F1225" s="11" t="s">
        <v>17</v>
      </c>
      <c r="G1225" s="10" t="s">
        <v>18</v>
      </c>
      <c r="H1225" s="11" t="s">
        <v>19</v>
      </c>
      <c r="I1225" s="11">
        <v>2022</v>
      </c>
      <c r="J1225" s="11"/>
      <c r="K1225" s="11" t="s">
        <v>95</v>
      </c>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4"/>
    </row>
    <row r="1226" spans="1:35" ht="12.5" hidden="1" x14ac:dyDescent="0.25">
      <c r="A1226" s="9">
        <v>2745</v>
      </c>
      <c r="B1226" s="10" t="s">
        <v>83</v>
      </c>
      <c r="C1226" s="10" t="s">
        <v>15</v>
      </c>
      <c r="D1226" s="10" t="s">
        <v>16</v>
      </c>
      <c r="E1226" s="11" t="s">
        <v>168</v>
      </c>
      <c r="F1226" s="11" t="s">
        <v>17</v>
      </c>
      <c r="G1226" s="10" t="s">
        <v>18</v>
      </c>
      <c r="H1226" s="11" t="s">
        <v>19</v>
      </c>
      <c r="I1226" s="11">
        <v>2022</v>
      </c>
      <c r="J1226" s="11"/>
      <c r="K1226" s="11" t="s">
        <v>96</v>
      </c>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4"/>
    </row>
    <row r="1227" spans="1:35" ht="12.5" hidden="1" x14ac:dyDescent="0.25">
      <c r="A1227" s="9">
        <v>2746</v>
      </c>
      <c r="B1227" s="10" t="s">
        <v>83</v>
      </c>
      <c r="C1227" s="10" t="s">
        <v>15</v>
      </c>
      <c r="D1227" s="10" t="s">
        <v>16</v>
      </c>
      <c r="E1227" s="11" t="s">
        <v>172</v>
      </c>
      <c r="F1227" s="11" t="s">
        <v>17</v>
      </c>
      <c r="G1227" s="10" t="s">
        <v>18</v>
      </c>
      <c r="H1227" s="11" t="s">
        <v>19</v>
      </c>
      <c r="I1227" s="11">
        <v>2022</v>
      </c>
      <c r="J1227" s="11"/>
      <c r="K1227" s="11" t="s">
        <v>97</v>
      </c>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4"/>
    </row>
    <row r="1228" spans="1:35" ht="12.5" hidden="1" x14ac:dyDescent="0.25">
      <c r="A1228" s="9">
        <v>2747</v>
      </c>
      <c r="B1228" s="10" t="s">
        <v>83</v>
      </c>
      <c r="C1228" s="10" t="s">
        <v>15</v>
      </c>
      <c r="D1228" s="10" t="s">
        <v>16</v>
      </c>
      <c r="E1228" s="11" t="s">
        <v>172</v>
      </c>
      <c r="F1228" s="11" t="s">
        <v>17</v>
      </c>
      <c r="G1228" s="10" t="s">
        <v>18</v>
      </c>
      <c r="H1228" s="11" t="s">
        <v>19</v>
      </c>
      <c r="I1228" s="11">
        <v>2022</v>
      </c>
      <c r="J1228" s="11"/>
      <c r="K1228" s="11" t="s">
        <v>97</v>
      </c>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4"/>
    </row>
    <row r="1229" spans="1:35" ht="12.5" hidden="1" x14ac:dyDescent="0.25">
      <c r="A1229" s="9">
        <v>2748</v>
      </c>
      <c r="B1229" s="10" t="s">
        <v>83</v>
      </c>
      <c r="C1229" s="10" t="s">
        <v>15</v>
      </c>
      <c r="D1229" s="10" t="s">
        <v>16</v>
      </c>
      <c r="E1229" s="11" t="s">
        <v>172</v>
      </c>
      <c r="F1229" s="11" t="s">
        <v>17</v>
      </c>
      <c r="G1229" s="10" t="s">
        <v>18</v>
      </c>
      <c r="H1229" s="11" t="s">
        <v>19</v>
      </c>
      <c r="I1229" s="11">
        <v>2022</v>
      </c>
      <c r="J1229" s="11"/>
      <c r="K1229" s="11" t="s">
        <v>97</v>
      </c>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4"/>
    </row>
    <row r="1230" spans="1:35" ht="12.5" hidden="1" x14ac:dyDescent="0.25">
      <c r="A1230" s="9">
        <v>2749</v>
      </c>
      <c r="B1230" s="10" t="s">
        <v>83</v>
      </c>
      <c r="C1230" s="10" t="s">
        <v>41</v>
      </c>
      <c r="D1230" s="10" t="s">
        <v>43</v>
      </c>
      <c r="E1230" s="11" t="s">
        <v>169</v>
      </c>
      <c r="F1230" s="11" t="s">
        <v>17</v>
      </c>
      <c r="G1230" s="10" t="s">
        <v>24</v>
      </c>
      <c r="H1230" s="11" t="s">
        <v>19</v>
      </c>
      <c r="I1230" s="11">
        <v>2022</v>
      </c>
      <c r="J1230" s="11"/>
      <c r="K1230" s="11" t="s">
        <v>85</v>
      </c>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4"/>
    </row>
    <row r="1231" spans="1:35" ht="12.5" hidden="1" x14ac:dyDescent="0.25">
      <c r="A1231" s="9">
        <v>2750</v>
      </c>
      <c r="B1231" s="10" t="s">
        <v>83</v>
      </c>
      <c r="C1231" s="10" t="s">
        <v>41</v>
      </c>
      <c r="D1231" s="10" t="s">
        <v>43</v>
      </c>
      <c r="E1231" s="11" t="s">
        <v>169</v>
      </c>
      <c r="F1231" s="11" t="s">
        <v>17</v>
      </c>
      <c r="G1231" s="10" t="s">
        <v>24</v>
      </c>
      <c r="H1231" s="11" t="s">
        <v>19</v>
      </c>
      <c r="I1231" s="11">
        <v>2022</v>
      </c>
      <c r="J1231" s="11"/>
      <c r="K1231" s="11" t="s">
        <v>85</v>
      </c>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4"/>
    </row>
    <row r="1232" spans="1:35" ht="12.5" hidden="1" x14ac:dyDescent="0.25">
      <c r="A1232" s="9">
        <v>2751</v>
      </c>
      <c r="B1232" s="10" t="s">
        <v>83</v>
      </c>
      <c r="C1232" s="10" t="s">
        <v>15</v>
      </c>
      <c r="D1232" s="10" t="s">
        <v>37</v>
      </c>
      <c r="E1232" s="11" t="s">
        <v>174</v>
      </c>
      <c r="F1232" s="11" t="s">
        <v>17</v>
      </c>
      <c r="G1232" s="10" t="s">
        <v>24</v>
      </c>
      <c r="H1232" s="11" t="s">
        <v>23</v>
      </c>
      <c r="I1232" s="11">
        <v>2022</v>
      </c>
      <c r="J1232" s="11"/>
      <c r="K1232" s="11" t="s">
        <v>95</v>
      </c>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4"/>
    </row>
    <row r="1233" spans="1:35" ht="12.5" hidden="1" x14ac:dyDescent="0.25">
      <c r="A1233" s="9">
        <v>2752</v>
      </c>
      <c r="B1233" s="10" t="s">
        <v>83</v>
      </c>
      <c r="C1233" s="10" t="s">
        <v>15</v>
      </c>
      <c r="D1233" s="10" t="s">
        <v>37</v>
      </c>
      <c r="E1233" s="11" t="s">
        <v>174</v>
      </c>
      <c r="F1233" s="11" t="s">
        <v>17</v>
      </c>
      <c r="G1233" s="10" t="s">
        <v>24</v>
      </c>
      <c r="H1233" s="11" t="s">
        <v>23</v>
      </c>
      <c r="I1233" s="11">
        <v>2022</v>
      </c>
      <c r="J1233" s="11"/>
      <c r="K1233" s="11" t="s">
        <v>95</v>
      </c>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4"/>
    </row>
    <row r="1234" spans="1:35" ht="12.5" hidden="1" x14ac:dyDescent="0.25">
      <c r="A1234" s="9">
        <v>2753</v>
      </c>
      <c r="B1234" s="10" t="s">
        <v>83</v>
      </c>
      <c r="C1234" s="10" t="s">
        <v>15</v>
      </c>
      <c r="D1234" s="10" t="s">
        <v>37</v>
      </c>
      <c r="E1234" s="11" t="s">
        <v>174</v>
      </c>
      <c r="F1234" s="11" t="s">
        <v>17</v>
      </c>
      <c r="G1234" s="10" t="s">
        <v>24</v>
      </c>
      <c r="H1234" s="11" t="s">
        <v>23</v>
      </c>
      <c r="I1234" s="11">
        <v>2022</v>
      </c>
      <c r="J1234" s="11"/>
      <c r="K1234" s="11" t="s">
        <v>95</v>
      </c>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4"/>
    </row>
    <row r="1235" spans="1:35" ht="12.5" hidden="1" x14ac:dyDescent="0.25">
      <c r="A1235" s="9">
        <v>2754</v>
      </c>
      <c r="B1235" s="10" t="s">
        <v>83</v>
      </c>
      <c r="C1235" s="10" t="s">
        <v>15</v>
      </c>
      <c r="D1235" s="10" t="s">
        <v>37</v>
      </c>
      <c r="E1235" s="11" t="s">
        <v>174</v>
      </c>
      <c r="F1235" s="11" t="s">
        <v>17</v>
      </c>
      <c r="G1235" s="10" t="s">
        <v>18</v>
      </c>
      <c r="H1235" s="11" t="s">
        <v>23</v>
      </c>
      <c r="I1235" s="11">
        <v>2022</v>
      </c>
      <c r="J1235" s="11"/>
      <c r="K1235" s="11" t="s">
        <v>95</v>
      </c>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4"/>
    </row>
    <row r="1236" spans="1:35" ht="12.5" hidden="1" x14ac:dyDescent="0.25">
      <c r="A1236" s="9">
        <v>2755</v>
      </c>
      <c r="B1236" s="10" t="s">
        <v>83</v>
      </c>
      <c r="C1236" s="10" t="s">
        <v>15</v>
      </c>
      <c r="D1236" s="10" t="s">
        <v>37</v>
      </c>
      <c r="E1236" s="11" t="s">
        <v>174</v>
      </c>
      <c r="F1236" s="11" t="s">
        <v>17</v>
      </c>
      <c r="G1236" s="10" t="s">
        <v>18</v>
      </c>
      <c r="H1236" s="11" t="s">
        <v>23</v>
      </c>
      <c r="I1236" s="11">
        <v>2022</v>
      </c>
      <c r="J1236" s="11"/>
      <c r="K1236" s="11" t="s">
        <v>95</v>
      </c>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4"/>
    </row>
    <row r="1237" spans="1:35" ht="12.5" hidden="1" x14ac:dyDescent="0.25">
      <c r="A1237" s="9">
        <v>2756</v>
      </c>
      <c r="B1237" s="10" t="s">
        <v>83</v>
      </c>
      <c r="C1237" s="10" t="s">
        <v>15</v>
      </c>
      <c r="D1237" s="10" t="s">
        <v>37</v>
      </c>
      <c r="E1237" s="11" t="s">
        <v>174</v>
      </c>
      <c r="F1237" s="11" t="s">
        <v>17</v>
      </c>
      <c r="G1237" s="10" t="s">
        <v>18</v>
      </c>
      <c r="H1237" s="11" t="s">
        <v>23</v>
      </c>
      <c r="I1237" s="11">
        <v>2022</v>
      </c>
      <c r="J1237" s="11"/>
      <c r="K1237" s="11" t="s">
        <v>95</v>
      </c>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4"/>
    </row>
    <row r="1238" spans="1:35" ht="12.5" hidden="1" x14ac:dyDescent="0.25">
      <c r="A1238" s="9">
        <v>2757</v>
      </c>
      <c r="B1238" s="10" t="s">
        <v>83</v>
      </c>
      <c r="C1238" s="10" t="s">
        <v>15</v>
      </c>
      <c r="D1238" s="10" t="s">
        <v>37</v>
      </c>
      <c r="E1238" s="11" t="s">
        <v>174</v>
      </c>
      <c r="F1238" s="11" t="s">
        <v>17</v>
      </c>
      <c r="G1238" s="10" t="s">
        <v>18</v>
      </c>
      <c r="H1238" s="11" t="s">
        <v>23</v>
      </c>
      <c r="I1238" s="11">
        <v>2022</v>
      </c>
      <c r="J1238" s="11"/>
      <c r="K1238" s="11" t="s">
        <v>95</v>
      </c>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4"/>
    </row>
    <row r="1239" spans="1:35" ht="12.5" hidden="1" x14ac:dyDescent="0.25">
      <c r="A1239" s="9">
        <v>2758</v>
      </c>
      <c r="B1239" s="10" t="s">
        <v>83</v>
      </c>
      <c r="C1239" s="10" t="s">
        <v>15</v>
      </c>
      <c r="D1239" s="10" t="s">
        <v>37</v>
      </c>
      <c r="E1239" s="11" t="s">
        <v>174</v>
      </c>
      <c r="F1239" s="11" t="s">
        <v>17</v>
      </c>
      <c r="G1239" s="10" t="s">
        <v>18</v>
      </c>
      <c r="H1239" s="11" t="s">
        <v>23</v>
      </c>
      <c r="I1239" s="11">
        <v>2022</v>
      </c>
      <c r="J1239" s="11"/>
      <c r="K1239" s="11" t="s">
        <v>95</v>
      </c>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4"/>
    </row>
    <row r="1240" spans="1:35" ht="12.5" hidden="1" x14ac:dyDescent="0.25">
      <c r="A1240" s="9">
        <v>2759</v>
      </c>
      <c r="B1240" s="10" t="s">
        <v>83</v>
      </c>
      <c r="C1240" s="10" t="s">
        <v>15</v>
      </c>
      <c r="D1240" s="10" t="s">
        <v>37</v>
      </c>
      <c r="E1240" s="11" t="s">
        <v>174</v>
      </c>
      <c r="F1240" s="11" t="s">
        <v>17</v>
      </c>
      <c r="G1240" s="10" t="s">
        <v>24</v>
      </c>
      <c r="H1240" s="11" t="s">
        <v>23</v>
      </c>
      <c r="I1240" s="11">
        <v>2022</v>
      </c>
      <c r="J1240" s="11"/>
      <c r="K1240" s="11" t="s">
        <v>95</v>
      </c>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4"/>
    </row>
    <row r="1241" spans="1:35" ht="12.5" hidden="1" x14ac:dyDescent="0.25">
      <c r="A1241" s="9">
        <v>2760</v>
      </c>
      <c r="B1241" s="10" t="s">
        <v>83</v>
      </c>
      <c r="C1241" s="10" t="s">
        <v>15</v>
      </c>
      <c r="D1241" s="10" t="s">
        <v>37</v>
      </c>
      <c r="E1241" s="11" t="s">
        <v>174</v>
      </c>
      <c r="F1241" s="11" t="s">
        <v>17</v>
      </c>
      <c r="G1241" s="10" t="s">
        <v>18</v>
      </c>
      <c r="H1241" s="11" t="s">
        <v>23</v>
      </c>
      <c r="I1241" s="11">
        <v>2022</v>
      </c>
      <c r="J1241" s="11"/>
      <c r="K1241" s="11" t="s">
        <v>95</v>
      </c>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4"/>
    </row>
    <row r="1242" spans="1:35" ht="12.5" hidden="1" x14ac:dyDescent="0.25">
      <c r="A1242" s="9">
        <v>2761</v>
      </c>
      <c r="B1242" s="10" t="s">
        <v>83</v>
      </c>
      <c r="C1242" s="10" t="s">
        <v>15</v>
      </c>
      <c r="D1242" s="10" t="s">
        <v>37</v>
      </c>
      <c r="E1242" s="11" t="s">
        <v>168</v>
      </c>
      <c r="F1242" s="11" t="s">
        <v>17</v>
      </c>
      <c r="G1242" s="10" t="s">
        <v>18</v>
      </c>
      <c r="H1242" s="11" t="s">
        <v>23</v>
      </c>
      <c r="I1242" s="11">
        <v>2022</v>
      </c>
      <c r="J1242" s="11"/>
      <c r="K1242" s="11" t="s">
        <v>98</v>
      </c>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4"/>
    </row>
    <row r="1243" spans="1:35" ht="12.5" hidden="1" x14ac:dyDescent="0.25">
      <c r="A1243" s="9">
        <v>2762</v>
      </c>
      <c r="B1243" s="10" t="s">
        <v>83</v>
      </c>
      <c r="C1243" s="10" t="s">
        <v>15</v>
      </c>
      <c r="D1243" s="10" t="s">
        <v>37</v>
      </c>
      <c r="E1243" s="11" t="s">
        <v>168</v>
      </c>
      <c r="F1243" s="11" t="s">
        <v>17</v>
      </c>
      <c r="G1243" s="10" t="s">
        <v>24</v>
      </c>
      <c r="H1243" s="11" t="s">
        <v>19</v>
      </c>
      <c r="I1243" s="11">
        <v>2022</v>
      </c>
      <c r="J1243" s="11"/>
      <c r="K1243" s="11" t="s">
        <v>98</v>
      </c>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4"/>
    </row>
    <row r="1244" spans="1:35" ht="12.5" hidden="1" x14ac:dyDescent="0.25">
      <c r="A1244" s="9">
        <v>2763</v>
      </c>
      <c r="B1244" s="10" t="s">
        <v>83</v>
      </c>
      <c r="C1244" s="10" t="s">
        <v>15</v>
      </c>
      <c r="D1244" s="10" t="s">
        <v>37</v>
      </c>
      <c r="E1244" s="11" t="s">
        <v>168</v>
      </c>
      <c r="F1244" s="11" t="s">
        <v>17</v>
      </c>
      <c r="G1244" s="10" t="s">
        <v>18</v>
      </c>
      <c r="H1244" s="11" t="s">
        <v>23</v>
      </c>
      <c r="I1244" s="11">
        <v>2022</v>
      </c>
      <c r="J1244" s="11"/>
      <c r="K1244" s="11" t="s">
        <v>98</v>
      </c>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4"/>
    </row>
    <row r="1245" spans="1:35" ht="12.5" hidden="1" x14ac:dyDescent="0.25">
      <c r="A1245" s="9">
        <v>2764</v>
      </c>
      <c r="B1245" s="10" t="s">
        <v>83</v>
      </c>
      <c r="C1245" s="10" t="s">
        <v>15</v>
      </c>
      <c r="D1245" s="10" t="s">
        <v>37</v>
      </c>
      <c r="E1245" s="11" t="s">
        <v>168</v>
      </c>
      <c r="F1245" s="11" t="s">
        <v>17</v>
      </c>
      <c r="G1245" s="10" t="s">
        <v>18</v>
      </c>
      <c r="H1245" s="11" t="s">
        <v>23</v>
      </c>
      <c r="I1245" s="11">
        <v>2022</v>
      </c>
      <c r="J1245" s="11"/>
      <c r="K1245" s="11" t="s">
        <v>98</v>
      </c>
      <c r="L1245" s="11"/>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4"/>
    </row>
    <row r="1246" spans="1:35" ht="12.5" hidden="1" x14ac:dyDescent="0.25">
      <c r="A1246" s="9">
        <v>2765</v>
      </c>
      <c r="B1246" s="10" t="s">
        <v>83</v>
      </c>
      <c r="C1246" s="10" t="s">
        <v>15</v>
      </c>
      <c r="D1246" s="10" t="s">
        <v>37</v>
      </c>
      <c r="E1246" s="11" t="s">
        <v>170</v>
      </c>
      <c r="F1246" s="11" t="s">
        <v>17</v>
      </c>
      <c r="G1246" s="10" t="s">
        <v>18</v>
      </c>
      <c r="H1246" s="11" t="s">
        <v>19</v>
      </c>
      <c r="I1246" s="11">
        <v>2022</v>
      </c>
      <c r="J1246" s="11"/>
      <c r="K1246" s="11" t="s">
        <v>86</v>
      </c>
      <c r="L1246" s="11"/>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4"/>
    </row>
    <row r="1247" spans="1:35" ht="12.5" hidden="1" x14ac:dyDescent="0.25">
      <c r="A1247" s="9">
        <v>2766</v>
      </c>
      <c r="B1247" s="10" t="s">
        <v>83</v>
      </c>
      <c r="C1247" s="10" t="s">
        <v>15</v>
      </c>
      <c r="D1247" s="10" t="s">
        <v>37</v>
      </c>
      <c r="E1247" s="11" t="s">
        <v>170</v>
      </c>
      <c r="F1247" s="11" t="s">
        <v>17</v>
      </c>
      <c r="G1247" s="10" t="s">
        <v>18</v>
      </c>
      <c r="H1247" s="11" t="s">
        <v>23</v>
      </c>
      <c r="I1247" s="11">
        <v>2022</v>
      </c>
      <c r="J1247" s="11"/>
      <c r="K1247" s="11" t="s">
        <v>86</v>
      </c>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4"/>
    </row>
    <row r="1248" spans="1:35" ht="12.5" hidden="1" x14ac:dyDescent="0.25">
      <c r="A1248" s="9">
        <v>2767</v>
      </c>
      <c r="B1248" s="10" t="s">
        <v>83</v>
      </c>
      <c r="C1248" s="10" t="s">
        <v>15</v>
      </c>
      <c r="D1248" s="10" t="s">
        <v>37</v>
      </c>
      <c r="E1248" s="11" t="s">
        <v>172</v>
      </c>
      <c r="F1248" s="11" t="s">
        <v>17</v>
      </c>
      <c r="G1248" s="10" t="s">
        <v>18</v>
      </c>
      <c r="H1248" s="11" t="s">
        <v>19</v>
      </c>
      <c r="I1248" s="11">
        <v>2022</v>
      </c>
      <c r="J1248" s="11"/>
      <c r="K1248" s="11" t="s">
        <v>97</v>
      </c>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4"/>
    </row>
    <row r="1249" spans="1:35" ht="12.5" hidden="1" x14ac:dyDescent="0.25">
      <c r="A1249" s="9">
        <v>3349</v>
      </c>
      <c r="B1249" s="10" t="s">
        <v>44</v>
      </c>
      <c r="C1249" s="10" t="s">
        <v>15</v>
      </c>
      <c r="D1249" s="10" t="s">
        <v>45</v>
      </c>
      <c r="E1249" s="11" t="s">
        <v>175</v>
      </c>
      <c r="F1249" s="11" t="s">
        <v>17</v>
      </c>
      <c r="G1249" s="10" t="s">
        <v>18</v>
      </c>
      <c r="H1249" s="11" t="s">
        <v>23</v>
      </c>
      <c r="I1249" s="11">
        <v>2022</v>
      </c>
      <c r="J1249" s="11"/>
      <c r="K1249" s="11" t="s">
        <v>99</v>
      </c>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4"/>
    </row>
    <row r="1250" spans="1:35" ht="12.5" hidden="1" x14ac:dyDescent="0.25">
      <c r="A1250" s="9">
        <v>3350</v>
      </c>
      <c r="B1250" s="10" t="s">
        <v>44</v>
      </c>
      <c r="C1250" s="10" t="s">
        <v>15</v>
      </c>
      <c r="D1250" s="10" t="s">
        <v>45</v>
      </c>
      <c r="E1250" s="11" t="s">
        <v>144</v>
      </c>
      <c r="F1250" s="11" t="s">
        <v>17</v>
      </c>
      <c r="G1250" s="10" t="s">
        <v>18</v>
      </c>
      <c r="H1250" s="11" t="s">
        <v>23</v>
      </c>
      <c r="I1250" s="11">
        <v>2022</v>
      </c>
      <c r="J1250" s="11"/>
      <c r="K1250" s="11" t="s">
        <v>100</v>
      </c>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4"/>
    </row>
    <row r="1251" spans="1:35" ht="12.5" hidden="1" x14ac:dyDescent="0.25">
      <c r="A1251" s="9">
        <v>3351</v>
      </c>
      <c r="B1251" s="10" t="s">
        <v>44</v>
      </c>
      <c r="C1251" s="10" t="s">
        <v>15</v>
      </c>
      <c r="D1251" s="10" t="s">
        <v>45</v>
      </c>
      <c r="E1251" s="11" t="s">
        <v>144</v>
      </c>
      <c r="F1251" s="11" t="s">
        <v>17</v>
      </c>
      <c r="G1251" s="10" t="s">
        <v>18</v>
      </c>
      <c r="H1251" s="11" t="s">
        <v>23</v>
      </c>
      <c r="I1251" s="11">
        <v>2022</v>
      </c>
      <c r="J1251" s="11"/>
      <c r="K1251" s="11" t="s">
        <v>100</v>
      </c>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4"/>
    </row>
    <row r="1252" spans="1:35" ht="12.5" hidden="1" x14ac:dyDescent="0.25">
      <c r="A1252" s="9">
        <v>3352</v>
      </c>
      <c r="B1252" s="10" t="s">
        <v>44</v>
      </c>
      <c r="C1252" s="10" t="s">
        <v>15</v>
      </c>
      <c r="D1252" s="10" t="s">
        <v>45</v>
      </c>
      <c r="E1252" s="11" t="s">
        <v>144</v>
      </c>
      <c r="F1252" s="11" t="s">
        <v>17</v>
      </c>
      <c r="G1252" s="10" t="s">
        <v>24</v>
      </c>
      <c r="H1252" s="11" t="s">
        <v>23</v>
      </c>
      <c r="I1252" s="11">
        <v>2022</v>
      </c>
      <c r="J1252" s="11"/>
      <c r="K1252" s="11" t="s">
        <v>100</v>
      </c>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4"/>
    </row>
    <row r="1253" spans="1:35" ht="12.5" hidden="1" x14ac:dyDescent="0.25">
      <c r="A1253" s="9">
        <v>3353</v>
      </c>
      <c r="B1253" s="10" t="s">
        <v>44</v>
      </c>
      <c r="C1253" s="10" t="s">
        <v>15</v>
      </c>
      <c r="D1253" s="10" t="s">
        <v>45</v>
      </c>
      <c r="E1253" s="11" t="s">
        <v>144</v>
      </c>
      <c r="F1253" s="11" t="s">
        <v>17</v>
      </c>
      <c r="G1253" s="10" t="s">
        <v>18</v>
      </c>
      <c r="H1253" s="11" t="s">
        <v>23</v>
      </c>
      <c r="I1253" s="11">
        <v>2022</v>
      </c>
      <c r="J1253" s="11"/>
      <c r="K1253" s="11" t="s">
        <v>100</v>
      </c>
      <c r="L1253" s="11"/>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4"/>
    </row>
    <row r="1254" spans="1:35" ht="12.5" hidden="1" x14ac:dyDescent="0.25">
      <c r="A1254" s="9">
        <v>3354</v>
      </c>
      <c r="B1254" s="10" t="s">
        <v>44</v>
      </c>
      <c r="C1254" s="10" t="s">
        <v>15</v>
      </c>
      <c r="D1254" s="10" t="s">
        <v>45</v>
      </c>
      <c r="E1254" s="11" t="s">
        <v>150</v>
      </c>
      <c r="F1254" s="11" t="s">
        <v>17</v>
      </c>
      <c r="G1254" s="10" t="s">
        <v>18</v>
      </c>
      <c r="H1254" s="11" t="s">
        <v>23</v>
      </c>
      <c r="I1254" s="11">
        <v>2022</v>
      </c>
      <c r="J1254" s="11"/>
      <c r="K1254" s="11" t="s">
        <v>101</v>
      </c>
      <c r="L1254" s="11"/>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4"/>
    </row>
    <row r="1255" spans="1:35" ht="12.5" hidden="1" x14ac:dyDescent="0.25">
      <c r="A1255" s="9">
        <v>3355</v>
      </c>
      <c r="B1255" s="10" t="s">
        <v>44</v>
      </c>
      <c r="C1255" s="10" t="s">
        <v>15</v>
      </c>
      <c r="D1255" s="10" t="s">
        <v>45</v>
      </c>
      <c r="E1255" s="11" t="s">
        <v>150</v>
      </c>
      <c r="F1255" s="11" t="s">
        <v>17</v>
      </c>
      <c r="G1255" s="10" t="s">
        <v>24</v>
      </c>
      <c r="H1255" s="11" t="s">
        <v>23</v>
      </c>
      <c r="I1255" s="11">
        <v>2022</v>
      </c>
      <c r="J1255" s="11"/>
      <c r="K1255" s="11" t="s">
        <v>101</v>
      </c>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4"/>
    </row>
    <row r="1256" spans="1:35" ht="12.5" hidden="1" x14ac:dyDescent="0.25">
      <c r="A1256" s="9">
        <v>3356</v>
      </c>
      <c r="B1256" s="10" t="s">
        <v>44</v>
      </c>
      <c r="C1256" s="10" t="s">
        <v>15</v>
      </c>
      <c r="D1256" s="10" t="s">
        <v>45</v>
      </c>
      <c r="E1256" s="11" t="s">
        <v>150</v>
      </c>
      <c r="F1256" s="11" t="s">
        <v>17</v>
      </c>
      <c r="G1256" s="10" t="s">
        <v>24</v>
      </c>
      <c r="H1256" s="11" t="s">
        <v>23</v>
      </c>
      <c r="I1256" s="11">
        <v>2022</v>
      </c>
      <c r="J1256" s="11"/>
      <c r="K1256" s="11" t="s">
        <v>101</v>
      </c>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4"/>
    </row>
    <row r="1257" spans="1:35" ht="12.5" hidden="1" x14ac:dyDescent="0.25">
      <c r="A1257" s="9">
        <v>3357</v>
      </c>
      <c r="B1257" s="10" t="s">
        <v>44</v>
      </c>
      <c r="C1257" s="10" t="s">
        <v>15</v>
      </c>
      <c r="D1257" s="10" t="s">
        <v>45</v>
      </c>
      <c r="E1257" s="11" t="s">
        <v>150</v>
      </c>
      <c r="F1257" s="11" t="s">
        <v>17</v>
      </c>
      <c r="G1257" s="10" t="s">
        <v>24</v>
      </c>
      <c r="H1257" s="11" t="s">
        <v>25</v>
      </c>
      <c r="I1257" s="11">
        <v>2022</v>
      </c>
      <c r="J1257" s="11"/>
      <c r="K1257" s="11" t="s">
        <v>101</v>
      </c>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4"/>
    </row>
    <row r="1258" spans="1:35" ht="12.5" hidden="1" x14ac:dyDescent="0.25">
      <c r="A1258" s="9">
        <v>3358</v>
      </c>
      <c r="B1258" s="10" t="s">
        <v>44</v>
      </c>
      <c r="C1258" s="10" t="s">
        <v>15</v>
      </c>
      <c r="D1258" s="10" t="s">
        <v>16</v>
      </c>
      <c r="E1258" s="11" t="s">
        <v>176</v>
      </c>
      <c r="F1258" s="11" t="s">
        <v>17</v>
      </c>
      <c r="G1258" s="10" t="s">
        <v>18</v>
      </c>
      <c r="H1258" s="11" t="s">
        <v>25</v>
      </c>
      <c r="I1258" s="11">
        <v>2022</v>
      </c>
      <c r="J1258" s="11"/>
      <c r="K1258" s="11" t="s">
        <v>102</v>
      </c>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4"/>
    </row>
    <row r="1259" spans="1:35" ht="12.5" hidden="1" x14ac:dyDescent="0.25">
      <c r="A1259" s="9">
        <v>3359</v>
      </c>
      <c r="B1259" s="10" t="s">
        <v>44</v>
      </c>
      <c r="C1259" s="10" t="s">
        <v>15</v>
      </c>
      <c r="D1259" s="10" t="s">
        <v>16</v>
      </c>
      <c r="E1259" s="11" t="s">
        <v>177</v>
      </c>
      <c r="F1259" s="11" t="s">
        <v>17</v>
      </c>
      <c r="G1259" s="10" t="s">
        <v>18</v>
      </c>
      <c r="H1259" s="11" t="s">
        <v>23</v>
      </c>
      <c r="I1259" s="11">
        <v>2022</v>
      </c>
      <c r="J1259" s="11"/>
      <c r="K1259" s="11" t="s">
        <v>103</v>
      </c>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4"/>
    </row>
    <row r="1260" spans="1:35" ht="12.5" hidden="1" x14ac:dyDescent="0.25">
      <c r="A1260" s="9">
        <v>3360</v>
      </c>
      <c r="B1260" s="10" t="s">
        <v>44</v>
      </c>
      <c r="C1260" s="10" t="s">
        <v>15</v>
      </c>
      <c r="D1260" s="10" t="s">
        <v>16</v>
      </c>
      <c r="E1260" s="11" t="s">
        <v>176</v>
      </c>
      <c r="F1260" s="11" t="s">
        <v>17</v>
      </c>
      <c r="G1260" s="10" t="s">
        <v>24</v>
      </c>
      <c r="H1260" s="11" t="s">
        <v>25</v>
      </c>
      <c r="I1260" s="11">
        <v>2022</v>
      </c>
      <c r="J1260" s="11"/>
      <c r="K1260" s="11" t="s">
        <v>102</v>
      </c>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4"/>
    </row>
    <row r="1261" spans="1:35" ht="12.5" hidden="1" x14ac:dyDescent="0.25">
      <c r="A1261" s="9">
        <v>3361</v>
      </c>
      <c r="B1261" s="10" t="s">
        <v>44</v>
      </c>
      <c r="C1261" s="10" t="s">
        <v>15</v>
      </c>
      <c r="D1261" s="10" t="s">
        <v>16</v>
      </c>
      <c r="E1261" s="11" t="s">
        <v>144</v>
      </c>
      <c r="F1261" s="11" t="s">
        <v>17</v>
      </c>
      <c r="G1261" s="10" t="s">
        <v>18</v>
      </c>
      <c r="H1261" s="11" t="s">
        <v>25</v>
      </c>
      <c r="I1261" s="11">
        <v>2022</v>
      </c>
      <c r="J1261" s="11"/>
      <c r="K1261" s="11" t="s">
        <v>100</v>
      </c>
      <c r="L1261" s="11"/>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4"/>
    </row>
    <row r="1262" spans="1:35" ht="12.5" hidden="1" x14ac:dyDescent="0.25">
      <c r="A1262" s="9">
        <v>3362</v>
      </c>
      <c r="B1262" s="10" t="s">
        <v>44</v>
      </c>
      <c r="C1262" s="10" t="s">
        <v>15</v>
      </c>
      <c r="D1262" s="10" t="s">
        <v>16</v>
      </c>
      <c r="E1262" s="11" t="s">
        <v>176</v>
      </c>
      <c r="F1262" s="11" t="s">
        <v>17</v>
      </c>
      <c r="G1262" s="10" t="s">
        <v>24</v>
      </c>
      <c r="H1262" s="11" t="s">
        <v>25</v>
      </c>
      <c r="I1262" s="11">
        <v>2022</v>
      </c>
      <c r="J1262" s="11"/>
      <c r="K1262" s="11" t="s">
        <v>102</v>
      </c>
      <c r="L1262" s="11"/>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4"/>
    </row>
    <row r="1263" spans="1:35" ht="12.5" hidden="1" x14ac:dyDescent="0.25">
      <c r="A1263" s="9">
        <v>3363</v>
      </c>
      <c r="B1263" s="10" t="s">
        <v>44</v>
      </c>
      <c r="C1263" s="10" t="s">
        <v>15</v>
      </c>
      <c r="D1263" s="10" t="s">
        <v>16</v>
      </c>
      <c r="E1263" s="11" t="s">
        <v>176</v>
      </c>
      <c r="F1263" s="11" t="s">
        <v>17</v>
      </c>
      <c r="G1263" s="10" t="s">
        <v>24</v>
      </c>
      <c r="H1263" s="11" t="s">
        <v>25</v>
      </c>
      <c r="I1263" s="11">
        <v>2022</v>
      </c>
      <c r="J1263" s="11"/>
      <c r="K1263" s="11" t="s">
        <v>102</v>
      </c>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4"/>
    </row>
    <row r="1264" spans="1:35" ht="12.5" hidden="1" x14ac:dyDescent="0.25">
      <c r="A1264" s="9">
        <v>3364</v>
      </c>
      <c r="B1264" s="10" t="s">
        <v>44</v>
      </c>
      <c r="C1264" s="10" t="s">
        <v>15</v>
      </c>
      <c r="D1264" s="10" t="s">
        <v>16</v>
      </c>
      <c r="E1264" s="11" t="s">
        <v>143</v>
      </c>
      <c r="F1264" s="11" t="s">
        <v>17</v>
      </c>
      <c r="G1264" s="10" t="s">
        <v>18</v>
      </c>
      <c r="H1264" s="11" t="s">
        <v>23</v>
      </c>
      <c r="I1264" s="11">
        <v>2022</v>
      </c>
      <c r="J1264" s="11"/>
      <c r="K1264" s="11" t="s">
        <v>104</v>
      </c>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4"/>
    </row>
    <row r="1265" spans="1:35" ht="12.5" hidden="1" x14ac:dyDescent="0.25">
      <c r="A1265" s="9">
        <v>3365</v>
      </c>
      <c r="B1265" s="10" t="s">
        <v>44</v>
      </c>
      <c r="C1265" s="10" t="s">
        <v>15</v>
      </c>
      <c r="D1265" s="10" t="s">
        <v>16</v>
      </c>
      <c r="E1265" s="11" t="s">
        <v>143</v>
      </c>
      <c r="F1265" s="11" t="s">
        <v>17</v>
      </c>
      <c r="G1265" s="10" t="s">
        <v>18</v>
      </c>
      <c r="H1265" s="11" t="s">
        <v>23</v>
      </c>
      <c r="I1265" s="11">
        <v>2022</v>
      </c>
      <c r="J1265" s="11"/>
      <c r="K1265" s="11" t="s">
        <v>104</v>
      </c>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4"/>
    </row>
    <row r="1266" spans="1:35" ht="12.5" hidden="1" x14ac:dyDescent="0.25">
      <c r="A1266" s="9">
        <v>3366</v>
      </c>
      <c r="B1266" s="10" t="s">
        <v>44</v>
      </c>
      <c r="C1266" s="10" t="s">
        <v>15</v>
      </c>
      <c r="D1266" s="10" t="s">
        <v>16</v>
      </c>
      <c r="E1266" s="11" t="s">
        <v>150</v>
      </c>
      <c r="F1266" s="11" t="s">
        <v>17</v>
      </c>
      <c r="G1266" s="10" t="s">
        <v>18</v>
      </c>
      <c r="H1266" s="11" t="s">
        <v>23</v>
      </c>
      <c r="I1266" s="11">
        <v>2022</v>
      </c>
      <c r="J1266" s="11"/>
      <c r="K1266" s="11" t="s">
        <v>101</v>
      </c>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4"/>
    </row>
    <row r="1267" spans="1:35" ht="12.5" hidden="1" x14ac:dyDescent="0.25">
      <c r="A1267" s="9">
        <v>3367</v>
      </c>
      <c r="B1267" s="10" t="s">
        <v>44</v>
      </c>
      <c r="C1267" s="10" t="s">
        <v>15</v>
      </c>
      <c r="D1267" s="10" t="s">
        <v>16</v>
      </c>
      <c r="E1267" s="11" t="s">
        <v>150</v>
      </c>
      <c r="F1267" s="11" t="s">
        <v>17</v>
      </c>
      <c r="G1267" s="10" t="s">
        <v>18</v>
      </c>
      <c r="H1267" s="11" t="s">
        <v>23</v>
      </c>
      <c r="I1267" s="11">
        <v>2022</v>
      </c>
      <c r="J1267" s="11"/>
      <c r="K1267" s="11" t="s">
        <v>101</v>
      </c>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4"/>
    </row>
    <row r="1268" spans="1:35" ht="12.5" hidden="1" x14ac:dyDescent="0.25">
      <c r="A1268" s="9">
        <v>3368</v>
      </c>
      <c r="B1268" s="10" t="s">
        <v>44</v>
      </c>
      <c r="C1268" s="10" t="s">
        <v>15</v>
      </c>
      <c r="D1268" s="10" t="s">
        <v>16</v>
      </c>
      <c r="E1268" s="11" t="s">
        <v>150</v>
      </c>
      <c r="F1268" s="11" t="s">
        <v>17</v>
      </c>
      <c r="G1268" s="10" t="s">
        <v>18</v>
      </c>
      <c r="H1268" s="11" t="s">
        <v>25</v>
      </c>
      <c r="I1268" s="11">
        <v>2022</v>
      </c>
      <c r="J1268" s="11"/>
      <c r="K1268" s="11" t="s">
        <v>101</v>
      </c>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4"/>
    </row>
    <row r="1269" spans="1:35" ht="12.5" hidden="1" x14ac:dyDescent="0.25">
      <c r="A1269" s="9">
        <v>3369</v>
      </c>
      <c r="B1269" s="10" t="s">
        <v>44</v>
      </c>
      <c r="C1269" s="10" t="s">
        <v>15</v>
      </c>
      <c r="D1269" s="10" t="s">
        <v>16</v>
      </c>
      <c r="E1269" s="11" t="s">
        <v>150</v>
      </c>
      <c r="F1269" s="11" t="s">
        <v>17</v>
      </c>
      <c r="G1269" s="10" t="s">
        <v>24</v>
      </c>
      <c r="H1269" s="11" t="s">
        <v>23</v>
      </c>
      <c r="I1269" s="11">
        <v>2022</v>
      </c>
      <c r="J1269" s="11"/>
      <c r="K1269" s="11" t="s">
        <v>101</v>
      </c>
      <c r="L1269" s="11"/>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4"/>
    </row>
    <row r="1270" spans="1:35" ht="12.5" hidden="1" x14ac:dyDescent="0.25">
      <c r="A1270" s="9">
        <v>3370</v>
      </c>
      <c r="B1270" s="10" t="s">
        <v>44</v>
      </c>
      <c r="C1270" s="10" t="s">
        <v>15</v>
      </c>
      <c r="D1270" s="10" t="s">
        <v>16</v>
      </c>
      <c r="E1270" s="11" t="s">
        <v>150</v>
      </c>
      <c r="F1270" s="11" t="s">
        <v>17</v>
      </c>
      <c r="G1270" s="10" t="s">
        <v>24</v>
      </c>
      <c r="H1270" s="11" t="s">
        <v>25</v>
      </c>
      <c r="I1270" s="11">
        <v>2022</v>
      </c>
      <c r="J1270" s="11"/>
      <c r="K1270" s="11" t="s">
        <v>101</v>
      </c>
      <c r="L1270" s="11"/>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4"/>
    </row>
    <row r="1271" spans="1:35" ht="12.5" hidden="1" x14ac:dyDescent="0.25">
      <c r="A1271" s="9">
        <v>3371</v>
      </c>
      <c r="B1271" s="10" t="s">
        <v>44</v>
      </c>
      <c r="C1271" s="10" t="s">
        <v>15</v>
      </c>
      <c r="D1271" s="10" t="s">
        <v>16</v>
      </c>
      <c r="E1271" s="11" t="s">
        <v>150</v>
      </c>
      <c r="F1271" s="11" t="s">
        <v>17</v>
      </c>
      <c r="G1271" s="10" t="s">
        <v>24</v>
      </c>
      <c r="H1271" s="11" t="s">
        <v>23</v>
      </c>
      <c r="I1271" s="11">
        <v>2022</v>
      </c>
      <c r="J1271" s="11"/>
      <c r="K1271" s="11" t="s">
        <v>101</v>
      </c>
      <c r="L1271" s="11"/>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4"/>
    </row>
    <row r="1272" spans="1:35" ht="12.5" hidden="1" x14ac:dyDescent="0.25">
      <c r="A1272" s="9">
        <v>3372</v>
      </c>
      <c r="B1272" s="10" t="s">
        <v>44</v>
      </c>
      <c r="C1272" s="10" t="s">
        <v>15</v>
      </c>
      <c r="D1272" s="10" t="s">
        <v>16</v>
      </c>
      <c r="E1272" s="11" t="s">
        <v>150</v>
      </c>
      <c r="F1272" s="11" t="s">
        <v>17</v>
      </c>
      <c r="G1272" s="10" t="s">
        <v>24</v>
      </c>
      <c r="H1272" s="11" t="s">
        <v>23</v>
      </c>
      <c r="I1272" s="11">
        <v>2022</v>
      </c>
      <c r="J1272" s="11"/>
      <c r="K1272" s="11" t="s">
        <v>101</v>
      </c>
      <c r="L1272" s="11"/>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4"/>
    </row>
    <row r="1273" spans="1:35" ht="12.5" hidden="1" x14ac:dyDescent="0.25">
      <c r="A1273" s="9">
        <v>3373</v>
      </c>
      <c r="B1273" s="10" t="s">
        <v>44</v>
      </c>
      <c r="C1273" s="10" t="s">
        <v>15</v>
      </c>
      <c r="D1273" s="10" t="s">
        <v>16</v>
      </c>
      <c r="E1273" s="11" t="s">
        <v>150</v>
      </c>
      <c r="F1273" s="11" t="s">
        <v>17</v>
      </c>
      <c r="G1273" s="10" t="s">
        <v>24</v>
      </c>
      <c r="H1273" s="11" t="s">
        <v>25</v>
      </c>
      <c r="I1273" s="11">
        <v>2022</v>
      </c>
      <c r="J1273" s="11"/>
      <c r="K1273" s="11" t="s">
        <v>101</v>
      </c>
      <c r="L1273" s="11"/>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4"/>
    </row>
    <row r="1274" spans="1:35" ht="12.5" hidden="1" x14ac:dyDescent="0.25">
      <c r="A1274" s="9">
        <v>3374</v>
      </c>
      <c r="B1274" s="10" t="s">
        <v>44</v>
      </c>
      <c r="C1274" s="10" t="s">
        <v>15</v>
      </c>
      <c r="D1274" s="10" t="s">
        <v>16</v>
      </c>
      <c r="E1274" s="11" t="s">
        <v>150</v>
      </c>
      <c r="F1274" s="11" t="s">
        <v>17</v>
      </c>
      <c r="G1274" s="10" t="s">
        <v>24</v>
      </c>
      <c r="H1274" s="11" t="s">
        <v>25</v>
      </c>
      <c r="I1274" s="11">
        <v>2022</v>
      </c>
      <c r="J1274" s="11"/>
      <c r="K1274" s="11" t="s">
        <v>101</v>
      </c>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4"/>
    </row>
    <row r="1275" spans="1:35" ht="12.5" hidden="1" x14ac:dyDescent="0.25">
      <c r="A1275" s="9">
        <v>3375</v>
      </c>
      <c r="B1275" s="10" t="s">
        <v>44</v>
      </c>
      <c r="C1275" s="10" t="s">
        <v>15</v>
      </c>
      <c r="D1275" s="10" t="s">
        <v>16</v>
      </c>
      <c r="E1275" s="11" t="s">
        <v>150</v>
      </c>
      <c r="F1275" s="11" t="s">
        <v>17</v>
      </c>
      <c r="G1275" s="10" t="s">
        <v>24</v>
      </c>
      <c r="H1275" s="11" t="s">
        <v>23</v>
      </c>
      <c r="I1275" s="11">
        <v>2022</v>
      </c>
      <c r="J1275" s="11"/>
      <c r="K1275" s="11" t="s">
        <v>101</v>
      </c>
      <c r="L1275" s="11"/>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4"/>
    </row>
    <row r="1276" spans="1:35" ht="12.5" hidden="1" x14ac:dyDescent="0.25">
      <c r="A1276" s="9">
        <v>3376</v>
      </c>
      <c r="B1276" s="10" t="s">
        <v>44</v>
      </c>
      <c r="C1276" s="10" t="s">
        <v>15</v>
      </c>
      <c r="D1276" s="10" t="s">
        <v>16</v>
      </c>
      <c r="E1276" s="11" t="s">
        <v>150</v>
      </c>
      <c r="F1276" s="11" t="s">
        <v>17</v>
      </c>
      <c r="G1276" s="10" t="s">
        <v>24</v>
      </c>
      <c r="H1276" s="11" t="s">
        <v>25</v>
      </c>
      <c r="I1276" s="11">
        <v>2022</v>
      </c>
      <c r="J1276" s="11"/>
      <c r="K1276" s="11" t="s">
        <v>101</v>
      </c>
      <c r="L1276" s="11"/>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4"/>
    </row>
    <row r="1277" spans="1:35" ht="12.5" hidden="1" x14ac:dyDescent="0.25">
      <c r="A1277" s="9">
        <v>3377</v>
      </c>
      <c r="B1277" s="10" t="s">
        <v>44</v>
      </c>
      <c r="C1277" s="10" t="s">
        <v>15</v>
      </c>
      <c r="D1277" s="10" t="s">
        <v>16</v>
      </c>
      <c r="E1277" s="11" t="s">
        <v>150</v>
      </c>
      <c r="F1277" s="11" t="s">
        <v>17</v>
      </c>
      <c r="G1277" s="10" t="s">
        <v>18</v>
      </c>
      <c r="H1277" s="11" t="s">
        <v>25</v>
      </c>
      <c r="I1277" s="11">
        <v>2022</v>
      </c>
      <c r="J1277" s="11"/>
      <c r="K1277" s="11" t="s">
        <v>101</v>
      </c>
      <c r="L1277" s="11"/>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4"/>
    </row>
    <row r="1278" spans="1:35" ht="12.5" hidden="1" x14ac:dyDescent="0.25">
      <c r="A1278" s="9">
        <v>3378</v>
      </c>
      <c r="B1278" s="10" t="s">
        <v>44</v>
      </c>
      <c r="C1278" s="10" t="s">
        <v>15</v>
      </c>
      <c r="D1278" s="10" t="s">
        <v>37</v>
      </c>
      <c r="E1278" s="11" t="s">
        <v>175</v>
      </c>
      <c r="F1278" s="11" t="s">
        <v>17</v>
      </c>
      <c r="G1278" s="10" t="s">
        <v>18</v>
      </c>
      <c r="H1278" s="11" t="s">
        <v>25</v>
      </c>
      <c r="I1278" s="11">
        <v>2022</v>
      </c>
      <c r="J1278" s="11"/>
      <c r="K1278" s="11" t="s">
        <v>99</v>
      </c>
      <c r="L1278" s="11"/>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4"/>
    </row>
    <row r="1279" spans="1:35" ht="12.5" hidden="1" x14ac:dyDescent="0.25">
      <c r="A1279" s="9">
        <v>3379</v>
      </c>
      <c r="B1279" s="10" t="s">
        <v>44</v>
      </c>
      <c r="C1279" s="10" t="s">
        <v>15</v>
      </c>
      <c r="D1279" s="10" t="s">
        <v>37</v>
      </c>
      <c r="E1279" s="11" t="s">
        <v>177</v>
      </c>
      <c r="F1279" s="11" t="s">
        <v>17</v>
      </c>
      <c r="G1279" s="10" t="s">
        <v>18</v>
      </c>
      <c r="H1279" s="11" t="s">
        <v>25</v>
      </c>
      <c r="I1279" s="11">
        <v>2022</v>
      </c>
      <c r="J1279" s="11"/>
      <c r="K1279" s="11" t="s">
        <v>103</v>
      </c>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4"/>
    </row>
    <row r="1280" spans="1:35" ht="12.5" hidden="1" x14ac:dyDescent="0.25">
      <c r="A1280" s="9">
        <v>3380</v>
      </c>
      <c r="B1280" s="10" t="s">
        <v>44</v>
      </c>
      <c r="C1280" s="10" t="s">
        <v>15</v>
      </c>
      <c r="D1280" s="10" t="s">
        <v>37</v>
      </c>
      <c r="E1280" s="11" t="s">
        <v>176</v>
      </c>
      <c r="F1280" s="11" t="s">
        <v>17</v>
      </c>
      <c r="G1280" s="10" t="s">
        <v>18</v>
      </c>
      <c r="H1280" s="11" t="s">
        <v>25</v>
      </c>
      <c r="I1280" s="11">
        <v>2022</v>
      </c>
      <c r="J1280" s="11"/>
      <c r="K1280" s="11" t="s">
        <v>102</v>
      </c>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4"/>
    </row>
    <row r="1281" spans="1:35" ht="12.5" hidden="1" x14ac:dyDescent="0.25">
      <c r="A1281" s="9">
        <v>3381</v>
      </c>
      <c r="B1281" s="10" t="s">
        <v>44</v>
      </c>
      <c r="C1281" s="10" t="s">
        <v>15</v>
      </c>
      <c r="D1281" s="10" t="s">
        <v>37</v>
      </c>
      <c r="E1281" s="11" t="s">
        <v>176</v>
      </c>
      <c r="F1281" s="11" t="s">
        <v>17</v>
      </c>
      <c r="G1281" s="10" t="s">
        <v>18</v>
      </c>
      <c r="H1281" s="11" t="s">
        <v>25</v>
      </c>
      <c r="I1281" s="11">
        <v>2022</v>
      </c>
      <c r="J1281" s="11"/>
      <c r="K1281" s="11" t="s">
        <v>102</v>
      </c>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4"/>
    </row>
    <row r="1282" spans="1:35" ht="12.5" hidden="1" x14ac:dyDescent="0.25">
      <c r="A1282" s="9">
        <v>3382</v>
      </c>
      <c r="B1282" s="10" t="s">
        <v>44</v>
      </c>
      <c r="C1282" s="10" t="s">
        <v>15</v>
      </c>
      <c r="D1282" s="10" t="s">
        <v>37</v>
      </c>
      <c r="E1282" s="11" t="s">
        <v>176</v>
      </c>
      <c r="F1282" s="11" t="s">
        <v>17</v>
      </c>
      <c r="G1282" s="10" t="s">
        <v>18</v>
      </c>
      <c r="H1282" s="11" t="s">
        <v>25</v>
      </c>
      <c r="I1282" s="11">
        <v>2022</v>
      </c>
      <c r="J1282" s="11"/>
      <c r="K1282" s="11" t="s">
        <v>102</v>
      </c>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4"/>
    </row>
    <row r="1283" spans="1:35" ht="12.5" hidden="1" x14ac:dyDescent="0.25">
      <c r="A1283" s="9">
        <v>3383</v>
      </c>
      <c r="B1283" s="10" t="s">
        <v>44</v>
      </c>
      <c r="C1283" s="10" t="s">
        <v>15</v>
      </c>
      <c r="D1283" s="10" t="s">
        <v>37</v>
      </c>
      <c r="E1283" s="11" t="s">
        <v>144</v>
      </c>
      <c r="F1283" s="11" t="s">
        <v>17</v>
      </c>
      <c r="G1283" s="10" t="s">
        <v>18</v>
      </c>
      <c r="H1283" s="11" t="s">
        <v>25</v>
      </c>
      <c r="I1283" s="11">
        <v>2022</v>
      </c>
      <c r="J1283" s="11"/>
      <c r="K1283" s="11" t="s">
        <v>100</v>
      </c>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4"/>
    </row>
    <row r="1284" spans="1:35" ht="12.5" hidden="1" x14ac:dyDescent="0.25">
      <c r="A1284" s="9">
        <v>3384</v>
      </c>
      <c r="B1284" s="10" t="s">
        <v>44</v>
      </c>
      <c r="C1284" s="10" t="s">
        <v>15</v>
      </c>
      <c r="D1284" s="10" t="s">
        <v>37</v>
      </c>
      <c r="E1284" s="11" t="s">
        <v>144</v>
      </c>
      <c r="F1284" s="11" t="s">
        <v>17</v>
      </c>
      <c r="G1284" s="10" t="s">
        <v>24</v>
      </c>
      <c r="H1284" s="11" t="s">
        <v>23</v>
      </c>
      <c r="I1284" s="11">
        <v>2022</v>
      </c>
      <c r="J1284" s="11"/>
      <c r="K1284" s="11" t="s">
        <v>100</v>
      </c>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4"/>
    </row>
    <row r="1285" spans="1:35" ht="12.5" hidden="1" x14ac:dyDescent="0.25">
      <c r="A1285" s="9">
        <v>3385</v>
      </c>
      <c r="B1285" s="10" t="s">
        <v>44</v>
      </c>
      <c r="C1285" s="10" t="s">
        <v>15</v>
      </c>
      <c r="D1285" s="10" t="s">
        <v>37</v>
      </c>
      <c r="E1285" s="11" t="s">
        <v>143</v>
      </c>
      <c r="F1285" s="11" t="s">
        <v>17</v>
      </c>
      <c r="G1285" s="10" t="s">
        <v>18</v>
      </c>
      <c r="H1285" s="11" t="s">
        <v>23</v>
      </c>
      <c r="I1285" s="11">
        <v>2022</v>
      </c>
      <c r="J1285" s="11"/>
      <c r="K1285" s="11" t="s">
        <v>104</v>
      </c>
      <c r="L1285" s="11"/>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4"/>
    </row>
    <row r="1286" spans="1:35" ht="12.5" hidden="1" x14ac:dyDescent="0.25">
      <c r="A1286" s="9">
        <v>3386</v>
      </c>
      <c r="B1286" s="10" t="s">
        <v>44</v>
      </c>
      <c r="C1286" s="10" t="s">
        <v>15</v>
      </c>
      <c r="D1286" s="10" t="s">
        <v>37</v>
      </c>
      <c r="E1286" s="11" t="s">
        <v>143</v>
      </c>
      <c r="F1286" s="11" t="s">
        <v>17</v>
      </c>
      <c r="G1286" s="10" t="s">
        <v>18</v>
      </c>
      <c r="H1286" s="11" t="s">
        <v>23</v>
      </c>
      <c r="I1286" s="11">
        <v>2022</v>
      </c>
      <c r="J1286" s="11"/>
      <c r="K1286" s="11" t="s">
        <v>104</v>
      </c>
      <c r="L1286" s="11"/>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4"/>
    </row>
    <row r="1287" spans="1:35" ht="12.5" hidden="1" x14ac:dyDescent="0.25">
      <c r="A1287" s="9">
        <v>3387</v>
      </c>
      <c r="B1287" s="10" t="s">
        <v>44</v>
      </c>
      <c r="C1287" s="10" t="s">
        <v>15</v>
      </c>
      <c r="D1287" s="10" t="s">
        <v>37</v>
      </c>
      <c r="E1287" s="11" t="s">
        <v>144</v>
      </c>
      <c r="F1287" s="11" t="s">
        <v>17</v>
      </c>
      <c r="G1287" s="10" t="s">
        <v>24</v>
      </c>
      <c r="H1287" s="11" t="s">
        <v>23</v>
      </c>
      <c r="I1287" s="11">
        <v>2022</v>
      </c>
      <c r="J1287" s="11"/>
      <c r="K1287" s="11" t="s">
        <v>100</v>
      </c>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4"/>
    </row>
    <row r="1288" spans="1:35" ht="12.5" hidden="1" x14ac:dyDescent="0.25">
      <c r="A1288" s="9">
        <v>3388</v>
      </c>
      <c r="B1288" s="10" t="s">
        <v>44</v>
      </c>
      <c r="C1288" s="10" t="s">
        <v>15</v>
      </c>
      <c r="D1288" s="10" t="s">
        <v>37</v>
      </c>
      <c r="E1288" s="11" t="s">
        <v>143</v>
      </c>
      <c r="F1288" s="11" t="s">
        <v>17</v>
      </c>
      <c r="G1288" s="10" t="s">
        <v>24</v>
      </c>
      <c r="H1288" s="11" t="s">
        <v>25</v>
      </c>
      <c r="I1288" s="11">
        <v>2022</v>
      </c>
      <c r="J1288" s="11"/>
      <c r="K1288" s="11" t="s">
        <v>104</v>
      </c>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4"/>
    </row>
    <row r="1289" spans="1:35" ht="12.5" hidden="1" x14ac:dyDescent="0.25">
      <c r="A1289" s="9">
        <v>3389</v>
      </c>
      <c r="B1289" s="10" t="s">
        <v>44</v>
      </c>
      <c r="C1289" s="10" t="s">
        <v>15</v>
      </c>
      <c r="D1289" s="10" t="s">
        <v>37</v>
      </c>
      <c r="E1289" s="11" t="s">
        <v>143</v>
      </c>
      <c r="F1289" s="11" t="s">
        <v>17</v>
      </c>
      <c r="G1289" s="10" t="s">
        <v>24</v>
      </c>
      <c r="H1289" s="11" t="s">
        <v>25</v>
      </c>
      <c r="I1289" s="11">
        <v>2022</v>
      </c>
      <c r="J1289" s="11"/>
      <c r="K1289" s="11" t="s">
        <v>104</v>
      </c>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4"/>
    </row>
    <row r="1290" spans="1:35" ht="12.5" hidden="1" x14ac:dyDescent="0.25">
      <c r="A1290" s="9">
        <v>3390</v>
      </c>
      <c r="B1290" s="10" t="s">
        <v>44</v>
      </c>
      <c r="C1290" s="10" t="s">
        <v>15</v>
      </c>
      <c r="D1290" s="10" t="s">
        <v>37</v>
      </c>
      <c r="E1290" s="11" t="s">
        <v>150</v>
      </c>
      <c r="F1290" s="11" t="s">
        <v>17</v>
      </c>
      <c r="G1290" s="10" t="s">
        <v>18</v>
      </c>
      <c r="H1290" s="11" t="s">
        <v>23</v>
      </c>
      <c r="I1290" s="11">
        <v>2022</v>
      </c>
      <c r="J1290" s="11"/>
      <c r="K1290" s="11" t="s">
        <v>101</v>
      </c>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4"/>
    </row>
    <row r="1291" spans="1:35" ht="12.5" hidden="1" x14ac:dyDescent="0.25">
      <c r="A1291" s="9">
        <v>3391</v>
      </c>
      <c r="B1291" s="10" t="s">
        <v>44</v>
      </c>
      <c r="C1291" s="10" t="s">
        <v>15</v>
      </c>
      <c r="D1291" s="10" t="s">
        <v>37</v>
      </c>
      <c r="E1291" s="11" t="s">
        <v>150</v>
      </c>
      <c r="F1291" s="11" t="s">
        <v>17</v>
      </c>
      <c r="G1291" s="10" t="s">
        <v>24</v>
      </c>
      <c r="H1291" s="11" t="s">
        <v>25</v>
      </c>
      <c r="I1291" s="11">
        <v>2022</v>
      </c>
      <c r="J1291" s="11"/>
      <c r="K1291" s="11" t="s">
        <v>101</v>
      </c>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4"/>
    </row>
    <row r="1292" spans="1:35" ht="12.5" hidden="1" x14ac:dyDescent="0.25">
      <c r="A1292" s="9">
        <v>3392</v>
      </c>
      <c r="B1292" s="10" t="s">
        <v>44</v>
      </c>
      <c r="C1292" s="10" t="s">
        <v>15</v>
      </c>
      <c r="D1292" s="10" t="s">
        <v>37</v>
      </c>
      <c r="E1292" s="11" t="s">
        <v>150</v>
      </c>
      <c r="F1292" s="11" t="s">
        <v>17</v>
      </c>
      <c r="G1292" s="10" t="s">
        <v>24</v>
      </c>
      <c r="H1292" s="11" t="s">
        <v>25</v>
      </c>
      <c r="I1292" s="11">
        <v>2022</v>
      </c>
      <c r="J1292" s="11"/>
      <c r="K1292" s="11" t="s">
        <v>101</v>
      </c>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4"/>
    </row>
    <row r="1293" spans="1:35" ht="12.5" hidden="1" x14ac:dyDescent="0.25">
      <c r="A1293" s="9">
        <v>3393</v>
      </c>
      <c r="B1293" s="10" t="s">
        <v>44</v>
      </c>
      <c r="C1293" s="10" t="s">
        <v>15</v>
      </c>
      <c r="D1293" s="10" t="s">
        <v>37</v>
      </c>
      <c r="E1293" s="11" t="s">
        <v>150</v>
      </c>
      <c r="F1293" s="11" t="s">
        <v>17</v>
      </c>
      <c r="G1293" s="10" t="s">
        <v>18</v>
      </c>
      <c r="H1293" s="11" t="s">
        <v>25</v>
      </c>
      <c r="I1293" s="11">
        <v>2022</v>
      </c>
      <c r="J1293" s="11"/>
      <c r="K1293" s="11" t="s">
        <v>101</v>
      </c>
      <c r="L1293" s="11"/>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4"/>
    </row>
    <row r="1294" spans="1:35" ht="12.5" hidden="1" x14ac:dyDescent="0.25">
      <c r="A1294" s="9">
        <v>3394</v>
      </c>
      <c r="B1294" s="10" t="s">
        <v>44</v>
      </c>
      <c r="C1294" s="10" t="s">
        <v>15</v>
      </c>
      <c r="D1294" s="10" t="s">
        <v>37</v>
      </c>
      <c r="E1294" s="11" t="s">
        <v>150</v>
      </c>
      <c r="F1294" s="11" t="s">
        <v>17</v>
      </c>
      <c r="G1294" s="10" t="s">
        <v>18</v>
      </c>
      <c r="H1294" s="11" t="s">
        <v>25</v>
      </c>
      <c r="I1294" s="11">
        <v>2022</v>
      </c>
      <c r="J1294" s="11"/>
      <c r="K1294" s="11" t="s">
        <v>101</v>
      </c>
      <c r="L1294" s="11"/>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4"/>
    </row>
    <row r="1295" spans="1:35" ht="12.5" hidden="1" x14ac:dyDescent="0.25">
      <c r="A1295" s="9">
        <v>3395</v>
      </c>
      <c r="B1295" s="10" t="s">
        <v>44</v>
      </c>
      <c r="C1295" s="10" t="s">
        <v>15</v>
      </c>
      <c r="D1295" s="10" t="s">
        <v>37</v>
      </c>
      <c r="E1295" s="11" t="s">
        <v>150</v>
      </c>
      <c r="F1295" s="11" t="s">
        <v>17</v>
      </c>
      <c r="G1295" s="10" t="s">
        <v>18</v>
      </c>
      <c r="H1295" s="11" t="s">
        <v>25</v>
      </c>
      <c r="I1295" s="11">
        <v>2022</v>
      </c>
      <c r="J1295" s="11"/>
      <c r="K1295" s="11" t="s">
        <v>101</v>
      </c>
      <c r="L1295" s="11"/>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4"/>
    </row>
    <row r="1296" spans="1:35" ht="12.5" hidden="1" x14ac:dyDescent="0.25">
      <c r="A1296" s="9">
        <v>3396</v>
      </c>
      <c r="B1296" s="10" t="s">
        <v>44</v>
      </c>
      <c r="C1296" s="10" t="s">
        <v>15</v>
      </c>
      <c r="D1296" s="10" t="s">
        <v>37</v>
      </c>
      <c r="E1296" s="11" t="s">
        <v>150</v>
      </c>
      <c r="F1296" s="11" t="s">
        <v>17</v>
      </c>
      <c r="G1296" s="10" t="s">
        <v>24</v>
      </c>
      <c r="H1296" s="11" t="s">
        <v>25</v>
      </c>
      <c r="I1296" s="11">
        <v>2022</v>
      </c>
      <c r="J1296" s="11"/>
      <c r="K1296" s="11" t="s">
        <v>101</v>
      </c>
      <c r="L1296" s="11"/>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4"/>
    </row>
    <row r="1297" spans="1:35" ht="12.5" hidden="1" x14ac:dyDescent="0.25">
      <c r="A1297" s="9">
        <v>3540</v>
      </c>
      <c r="B1297" s="10" t="s">
        <v>54</v>
      </c>
      <c r="C1297" s="10" t="s">
        <v>15</v>
      </c>
      <c r="D1297" s="10" t="s">
        <v>45</v>
      </c>
      <c r="E1297" s="11" t="s">
        <v>178</v>
      </c>
      <c r="F1297" s="11" t="s">
        <v>17</v>
      </c>
      <c r="G1297" s="10" t="s">
        <v>24</v>
      </c>
      <c r="H1297" s="11" t="s">
        <v>19</v>
      </c>
      <c r="I1297" s="11">
        <v>2022</v>
      </c>
      <c r="J1297" s="11"/>
      <c r="K1297" s="11">
        <v>36161</v>
      </c>
      <c r="L1297" s="11"/>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4"/>
    </row>
    <row r="1298" spans="1:35" ht="12.5" hidden="1" x14ac:dyDescent="0.25">
      <c r="A1298" s="9">
        <v>3541</v>
      </c>
      <c r="B1298" s="10" t="s">
        <v>54</v>
      </c>
      <c r="C1298" s="10" t="s">
        <v>15</v>
      </c>
      <c r="D1298" s="10" t="s">
        <v>45</v>
      </c>
      <c r="E1298" s="11" t="s">
        <v>178</v>
      </c>
      <c r="F1298" s="11" t="s">
        <v>17</v>
      </c>
      <c r="G1298" s="10" t="s">
        <v>24</v>
      </c>
      <c r="H1298" s="11" t="s">
        <v>19</v>
      </c>
      <c r="I1298" s="11">
        <v>2022</v>
      </c>
      <c r="J1298" s="11"/>
      <c r="K1298" s="11">
        <v>36161</v>
      </c>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4"/>
    </row>
    <row r="1299" spans="1:35" ht="12.5" hidden="1" x14ac:dyDescent="0.25">
      <c r="A1299" s="9">
        <v>3542</v>
      </c>
      <c r="B1299" s="10" t="s">
        <v>54</v>
      </c>
      <c r="C1299" s="10" t="s">
        <v>15</v>
      </c>
      <c r="D1299" s="10" t="s">
        <v>45</v>
      </c>
      <c r="E1299" s="11" t="s">
        <v>178</v>
      </c>
      <c r="F1299" s="11" t="s">
        <v>17</v>
      </c>
      <c r="G1299" s="10" t="s">
        <v>18</v>
      </c>
      <c r="H1299" s="11" t="s">
        <v>19</v>
      </c>
      <c r="I1299" s="11">
        <v>2022</v>
      </c>
      <c r="J1299" s="11"/>
      <c r="K1299" s="11">
        <v>36161</v>
      </c>
      <c r="L1299" s="11"/>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4"/>
    </row>
    <row r="1300" spans="1:35" ht="12.5" hidden="1" x14ac:dyDescent="0.25">
      <c r="A1300" s="9">
        <v>3543</v>
      </c>
      <c r="B1300" s="10" t="s">
        <v>54</v>
      </c>
      <c r="C1300" s="10" t="s">
        <v>15</v>
      </c>
      <c r="D1300" s="10" t="s">
        <v>45</v>
      </c>
      <c r="E1300" s="11" t="s">
        <v>178</v>
      </c>
      <c r="F1300" s="11" t="s">
        <v>17</v>
      </c>
      <c r="G1300" s="10" t="s">
        <v>24</v>
      </c>
      <c r="H1300" s="11" t="s">
        <v>19</v>
      </c>
      <c r="I1300" s="11">
        <v>2022</v>
      </c>
      <c r="J1300" s="11"/>
      <c r="K1300" s="11">
        <v>36161</v>
      </c>
      <c r="L1300" s="11"/>
      <c r="M1300" s="11"/>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4"/>
    </row>
    <row r="1301" spans="1:35" ht="12.5" hidden="1" x14ac:dyDescent="0.25">
      <c r="A1301" s="9">
        <v>3544</v>
      </c>
      <c r="B1301" s="10" t="s">
        <v>54</v>
      </c>
      <c r="C1301" s="10" t="s">
        <v>15</v>
      </c>
      <c r="D1301" s="10" t="s">
        <v>45</v>
      </c>
      <c r="E1301" s="11" t="s">
        <v>109</v>
      </c>
      <c r="F1301" s="11" t="s">
        <v>17</v>
      </c>
      <c r="G1301" s="10" t="s">
        <v>24</v>
      </c>
      <c r="H1301" s="11" t="s">
        <v>19</v>
      </c>
      <c r="I1301" s="11">
        <v>2022</v>
      </c>
      <c r="J1301" s="11"/>
      <c r="K1301" s="11">
        <v>36166</v>
      </c>
      <c r="L1301" s="11"/>
      <c r="M1301" s="11"/>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4"/>
    </row>
    <row r="1302" spans="1:35" ht="12.5" hidden="1" x14ac:dyDescent="0.25">
      <c r="A1302" s="9">
        <v>3545</v>
      </c>
      <c r="B1302" s="10" t="s">
        <v>54</v>
      </c>
      <c r="C1302" s="10" t="s">
        <v>15</v>
      </c>
      <c r="D1302" s="10" t="s">
        <v>45</v>
      </c>
      <c r="E1302" s="11" t="s">
        <v>109</v>
      </c>
      <c r="F1302" s="11" t="s">
        <v>17</v>
      </c>
      <c r="G1302" s="10" t="s">
        <v>24</v>
      </c>
      <c r="H1302" s="11" t="s">
        <v>23</v>
      </c>
      <c r="I1302" s="11">
        <v>2022</v>
      </c>
      <c r="J1302" s="11"/>
      <c r="K1302" s="11">
        <v>36166</v>
      </c>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4"/>
    </row>
    <row r="1303" spans="1:35" ht="12.5" hidden="1" x14ac:dyDescent="0.25">
      <c r="A1303" s="9">
        <v>3546</v>
      </c>
      <c r="B1303" s="10" t="s">
        <v>54</v>
      </c>
      <c r="C1303" s="10" t="s">
        <v>15</v>
      </c>
      <c r="D1303" s="10" t="s">
        <v>45</v>
      </c>
      <c r="E1303" s="11" t="s">
        <v>109</v>
      </c>
      <c r="F1303" s="11" t="s">
        <v>17</v>
      </c>
      <c r="G1303" s="10" t="s">
        <v>24</v>
      </c>
      <c r="H1303" s="11" t="s">
        <v>19</v>
      </c>
      <c r="I1303" s="11">
        <v>2022</v>
      </c>
      <c r="J1303" s="11"/>
      <c r="K1303" s="11">
        <v>36166</v>
      </c>
      <c r="L1303" s="11"/>
      <c r="M1303" s="11"/>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4"/>
    </row>
    <row r="1304" spans="1:35" ht="12.5" hidden="1" x14ac:dyDescent="0.25">
      <c r="A1304" s="9">
        <v>3547</v>
      </c>
      <c r="B1304" s="10" t="s">
        <v>54</v>
      </c>
      <c r="C1304" s="10" t="s">
        <v>15</v>
      </c>
      <c r="D1304" s="10" t="s">
        <v>45</v>
      </c>
      <c r="E1304" s="11" t="s">
        <v>109</v>
      </c>
      <c r="F1304" s="11" t="s">
        <v>17</v>
      </c>
      <c r="G1304" s="10" t="s">
        <v>18</v>
      </c>
      <c r="H1304" s="11" t="s">
        <v>19</v>
      </c>
      <c r="I1304" s="11">
        <v>2022</v>
      </c>
      <c r="J1304" s="11"/>
      <c r="K1304" s="11">
        <v>36166</v>
      </c>
      <c r="L1304" s="11"/>
      <c r="M1304" s="11"/>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4"/>
    </row>
    <row r="1305" spans="1:35" ht="12.5" hidden="1" x14ac:dyDescent="0.25">
      <c r="A1305" s="9">
        <v>3548</v>
      </c>
      <c r="B1305" s="10" t="s">
        <v>54</v>
      </c>
      <c r="C1305" s="10" t="s">
        <v>15</v>
      </c>
      <c r="D1305" s="10" t="s">
        <v>45</v>
      </c>
      <c r="E1305" s="11" t="s">
        <v>109</v>
      </c>
      <c r="F1305" s="11" t="s">
        <v>17</v>
      </c>
      <c r="G1305" s="10" t="s">
        <v>24</v>
      </c>
      <c r="H1305" s="11" t="s">
        <v>19</v>
      </c>
      <c r="I1305" s="11">
        <v>2022</v>
      </c>
      <c r="J1305" s="11"/>
      <c r="K1305" s="11">
        <v>36166</v>
      </c>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4"/>
    </row>
    <row r="1306" spans="1:35" ht="12.5" hidden="1" x14ac:dyDescent="0.25">
      <c r="A1306" s="9">
        <v>3549</v>
      </c>
      <c r="B1306" s="10" t="s">
        <v>54</v>
      </c>
      <c r="C1306" s="10" t="s">
        <v>15</v>
      </c>
      <c r="D1306" s="10" t="s">
        <v>45</v>
      </c>
      <c r="E1306" s="11" t="s">
        <v>57</v>
      </c>
      <c r="F1306" s="11" t="s">
        <v>17</v>
      </c>
      <c r="G1306" s="10" t="s">
        <v>24</v>
      </c>
      <c r="H1306" s="11" t="s">
        <v>19</v>
      </c>
      <c r="I1306" s="11">
        <v>2022</v>
      </c>
      <c r="J1306" s="11"/>
      <c r="K1306" s="11">
        <v>36207</v>
      </c>
      <c r="L1306" s="11"/>
      <c r="M1306" s="11"/>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4"/>
    </row>
    <row r="1307" spans="1:35" ht="12.5" hidden="1" x14ac:dyDescent="0.25">
      <c r="A1307" s="9">
        <v>3550</v>
      </c>
      <c r="B1307" s="10" t="s">
        <v>54</v>
      </c>
      <c r="C1307" s="10" t="s">
        <v>41</v>
      </c>
      <c r="D1307" s="10" t="s">
        <v>42</v>
      </c>
      <c r="E1307" s="11" t="s">
        <v>107</v>
      </c>
      <c r="F1307" s="11" t="s">
        <v>17</v>
      </c>
      <c r="G1307" s="10" t="s">
        <v>18</v>
      </c>
      <c r="H1307" s="11" t="s">
        <v>23</v>
      </c>
      <c r="I1307" s="11">
        <v>2022</v>
      </c>
      <c r="J1307" s="11"/>
      <c r="K1307" s="11" t="s">
        <v>107</v>
      </c>
      <c r="L1307" s="11"/>
      <c r="M1307" s="11"/>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4"/>
    </row>
    <row r="1308" spans="1:35" ht="12.5" hidden="1" x14ac:dyDescent="0.25">
      <c r="A1308" s="9">
        <v>3551</v>
      </c>
      <c r="B1308" s="10" t="s">
        <v>54</v>
      </c>
      <c r="C1308" s="10" t="s">
        <v>41</v>
      </c>
      <c r="D1308" s="10" t="s">
        <v>42</v>
      </c>
      <c r="E1308" s="11" t="s">
        <v>107</v>
      </c>
      <c r="F1308" s="11" t="s">
        <v>17</v>
      </c>
      <c r="G1308" s="10" t="s">
        <v>24</v>
      </c>
      <c r="H1308" s="11" t="s">
        <v>25</v>
      </c>
      <c r="I1308" s="11">
        <v>2022</v>
      </c>
      <c r="J1308" s="11"/>
      <c r="K1308" s="11" t="s">
        <v>107</v>
      </c>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4"/>
    </row>
    <row r="1309" spans="1:35" ht="12.5" hidden="1" x14ac:dyDescent="0.25">
      <c r="A1309" s="9">
        <v>3552</v>
      </c>
      <c r="B1309" s="10" t="s">
        <v>54</v>
      </c>
      <c r="C1309" s="10" t="s">
        <v>41</v>
      </c>
      <c r="D1309" s="10" t="s">
        <v>42</v>
      </c>
      <c r="E1309" s="11" t="s">
        <v>107</v>
      </c>
      <c r="F1309" s="11" t="s">
        <v>17</v>
      </c>
      <c r="G1309" s="10" t="s">
        <v>18</v>
      </c>
      <c r="H1309" s="11" t="s">
        <v>19</v>
      </c>
      <c r="I1309" s="11">
        <v>2022</v>
      </c>
      <c r="J1309" s="11"/>
      <c r="K1309" s="11" t="s">
        <v>107</v>
      </c>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4"/>
    </row>
    <row r="1310" spans="1:35" ht="12.5" hidden="1" x14ac:dyDescent="0.25">
      <c r="A1310" s="9">
        <v>3553</v>
      </c>
      <c r="B1310" s="10" t="s">
        <v>54</v>
      </c>
      <c r="C1310" s="10" t="s">
        <v>41</v>
      </c>
      <c r="D1310" s="10" t="s">
        <v>42</v>
      </c>
      <c r="E1310" s="11" t="s">
        <v>107</v>
      </c>
      <c r="F1310" s="11" t="s">
        <v>17</v>
      </c>
      <c r="G1310" s="10" t="s">
        <v>18</v>
      </c>
      <c r="H1310" s="11" t="s">
        <v>19</v>
      </c>
      <c r="I1310" s="11">
        <v>2022</v>
      </c>
      <c r="J1310" s="11"/>
      <c r="K1310" s="11" t="s">
        <v>107</v>
      </c>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4"/>
    </row>
    <row r="1311" spans="1:35" ht="12.5" hidden="1" x14ac:dyDescent="0.25">
      <c r="A1311" s="9">
        <v>3554</v>
      </c>
      <c r="B1311" s="10" t="s">
        <v>54</v>
      </c>
      <c r="C1311" s="10" t="s">
        <v>41</v>
      </c>
      <c r="D1311" s="10" t="s">
        <v>42</v>
      </c>
      <c r="E1311" s="11" t="s">
        <v>107</v>
      </c>
      <c r="F1311" s="11" t="s">
        <v>17</v>
      </c>
      <c r="G1311" s="10" t="s">
        <v>24</v>
      </c>
      <c r="H1311" s="11" t="s">
        <v>19</v>
      </c>
      <c r="I1311" s="11">
        <v>2022</v>
      </c>
      <c r="J1311" s="11"/>
      <c r="K1311" s="11" t="s">
        <v>107</v>
      </c>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4"/>
    </row>
    <row r="1312" spans="1:35" ht="12.5" hidden="1" x14ac:dyDescent="0.25">
      <c r="A1312" s="9">
        <v>3555</v>
      </c>
      <c r="B1312" s="10" t="s">
        <v>54</v>
      </c>
      <c r="C1312" s="10" t="s">
        <v>41</v>
      </c>
      <c r="D1312" s="10" t="s">
        <v>42</v>
      </c>
      <c r="E1312" s="11" t="s">
        <v>107</v>
      </c>
      <c r="F1312" s="11" t="s">
        <v>17</v>
      </c>
      <c r="G1312" s="10" t="s">
        <v>24</v>
      </c>
      <c r="H1312" s="11" t="s">
        <v>25</v>
      </c>
      <c r="I1312" s="11">
        <v>2022</v>
      </c>
      <c r="J1312" s="11"/>
      <c r="K1312" s="11" t="s">
        <v>107</v>
      </c>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4"/>
    </row>
    <row r="1313" spans="1:35" ht="12.5" hidden="1" x14ac:dyDescent="0.25">
      <c r="A1313" s="9">
        <v>3556</v>
      </c>
      <c r="B1313" s="10" t="s">
        <v>54</v>
      </c>
      <c r="C1313" s="10" t="s">
        <v>41</v>
      </c>
      <c r="D1313" s="10" t="s">
        <v>42</v>
      </c>
      <c r="E1313" s="11" t="s">
        <v>107</v>
      </c>
      <c r="F1313" s="11" t="s">
        <v>17</v>
      </c>
      <c r="G1313" s="10" t="s">
        <v>18</v>
      </c>
      <c r="H1313" s="11" t="s">
        <v>25</v>
      </c>
      <c r="I1313" s="11">
        <v>2022</v>
      </c>
      <c r="J1313" s="11"/>
      <c r="K1313" s="11" t="s">
        <v>107</v>
      </c>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4"/>
    </row>
    <row r="1314" spans="1:35" ht="12.5" hidden="1" x14ac:dyDescent="0.25">
      <c r="A1314" s="9">
        <v>3557</v>
      </c>
      <c r="B1314" s="10" t="s">
        <v>54</v>
      </c>
      <c r="C1314" s="10" t="s">
        <v>41</v>
      </c>
      <c r="D1314" s="10" t="s">
        <v>42</v>
      </c>
      <c r="E1314" s="11" t="s">
        <v>107</v>
      </c>
      <c r="F1314" s="11" t="s">
        <v>17</v>
      </c>
      <c r="G1314" s="10" t="s">
        <v>18</v>
      </c>
      <c r="H1314" s="11" t="s">
        <v>19</v>
      </c>
      <c r="I1314" s="11">
        <v>2022</v>
      </c>
      <c r="J1314" s="11"/>
      <c r="K1314" s="11" t="s">
        <v>107</v>
      </c>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4"/>
    </row>
    <row r="1315" spans="1:35" ht="12.5" hidden="1" x14ac:dyDescent="0.25">
      <c r="A1315" s="9">
        <v>3558</v>
      </c>
      <c r="B1315" s="10" t="s">
        <v>54</v>
      </c>
      <c r="C1315" s="10" t="s">
        <v>41</v>
      </c>
      <c r="D1315" s="10" t="s">
        <v>42</v>
      </c>
      <c r="E1315" s="11" t="s">
        <v>107</v>
      </c>
      <c r="F1315" s="11" t="s">
        <v>17</v>
      </c>
      <c r="G1315" s="10" t="s">
        <v>18</v>
      </c>
      <c r="H1315" s="11" t="s">
        <v>23</v>
      </c>
      <c r="I1315" s="11">
        <v>2022</v>
      </c>
      <c r="J1315" s="11"/>
      <c r="K1315" s="11" t="s">
        <v>107</v>
      </c>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4"/>
    </row>
    <row r="1316" spans="1:35" ht="12.5" hidden="1" x14ac:dyDescent="0.25">
      <c r="A1316" s="9">
        <v>3559</v>
      </c>
      <c r="B1316" s="10" t="s">
        <v>54</v>
      </c>
      <c r="C1316" s="10" t="s">
        <v>41</v>
      </c>
      <c r="D1316" s="10" t="s">
        <v>42</v>
      </c>
      <c r="E1316" s="11" t="s">
        <v>107</v>
      </c>
      <c r="F1316" s="11" t="s">
        <v>17</v>
      </c>
      <c r="G1316" s="10" t="s">
        <v>18</v>
      </c>
      <c r="H1316" s="11" t="s">
        <v>19</v>
      </c>
      <c r="I1316" s="11">
        <v>2022</v>
      </c>
      <c r="J1316" s="11"/>
      <c r="K1316" s="11" t="s">
        <v>107</v>
      </c>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4"/>
    </row>
    <row r="1317" spans="1:35" ht="12.5" hidden="1" x14ac:dyDescent="0.25">
      <c r="A1317" s="9">
        <v>3560</v>
      </c>
      <c r="B1317" s="10" t="s">
        <v>54</v>
      </c>
      <c r="C1317" s="10" t="s">
        <v>41</v>
      </c>
      <c r="D1317" s="10" t="s">
        <v>42</v>
      </c>
      <c r="E1317" s="11" t="s">
        <v>107</v>
      </c>
      <c r="F1317" s="11" t="s">
        <v>17</v>
      </c>
      <c r="G1317" s="10" t="s">
        <v>18</v>
      </c>
      <c r="H1317" s="11" t="s">
        <v>25</v>
      </c>
      <c r="I1317" s="11">
        <v>2022</v>
      </c>
      <c r="J1317" s="11"/>
      <c r="K1317" s="11" t="s">
        <v>107</v>
      </c>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4"/>
    </row>
    <row r="1318" spans="1:35" ht="12.5" hidden="1" x14ac:dyDescent="0.25">
      <c r="A1318" s="9">
        <v>3561</v>
      </c>
      <c r="B1318" s="10" t="s">
        <v>54</v>
      </c>
      <c r="C1318" s="10" t="s">
        <v>41</v>
      </c>
      <c r="D1318" s="10" t="s">
        <v>42</v>
      </c>
      <c r="E1318" s="11" t="s">
        <v>107</v>
      </c>
      <c r="F1318" s="11" t="s">
        <v>17</v>
      </c>
      <c r="G1318" s="10" t="s">
        <v>18</v>
      </c>
      <c r="H1318" s="11" t="s">
        <v>19</v>
      </c>
      <c r="I1318" s="11">
        <v>2022</v>
      </c>
      <c r="J1318" s="11"/>
      <c r="K1318" s="11" t="s">
        <v>107</v>
      </c>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4"/>
    </row>
    <row r="1319" spans="1:35" ht="12.5" hidden="1" x14ac:dyDescent="0.25">
      <c r="A1319" s="9">
        <v>3562</v>
      </c>
      <c r="B1319" s="10" t="s">
        <v>54</v>
      </c>
      <c r="C1319" s="10" t="s">
        <v>41</v>
      </c>
      <c r="D1319" s="10" t="s">
        <v>42</v>
      </c>
      <c r="E1319" s="11" t="s">
        <v>107</v>
      </c>
      <c r="F1319" s="11" t="s">
        <v>17</v>
      </c>
      <c r="G1319" s="10" t="s">
        <v>24</v>
      </c>
      <c r="H1319" s="11" t="s">
        <v>25</v>
      </c>
      <c r="I1319" s="11">
        <v>2022</v>
      </c>
      <c r="J1319" s="11"/>
      <c r="K1319" s="11" t="s">
        <v>107</v>
      </c>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4"/>
    </row>
    <row r="1320" spans="1:35" ht="12.5" hidden="1" x14ac:dyDescent="0.25">
      <c r="A1320" s="9">
        <v>3563</v>
      </c>
      <c r="B1320" s="10" t="s">
        <v>54</v>
      </c>
      <c r="C1320" s="10" t="s">
        <v>41</v>
      </c>
      <c r="D1320" s="10" t="s">
        <v>42</v>
      </c>
      <c r="E1320" s="11" t="s">
        <v>107</v>
      </c>
      <c r="F1320" s="11" t="s">
        <v>17</v>
      </c>
      <c r="G1320" s="10" t="s">
        <v>24</v>
      </c>
      <c r="H1320" s="11" t="s">
        <v>19</v>
      </c>
      <c r="I1320" s="11">
        <v>2022</v>
      </c>
      <c r="J1320" s="11"/>
      <c r="K1320" s="11" t="s">
        <v>107</v>
      </c>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4"/>
    </row>
    <row r="1321" spans="1:35" ht="12.5" hidden="1" x14ac:dyDescent="0.25">
      <c r="A1321" s="9">
        <v>3564</v>
      </c>
      <c r="B1321" s="10" t="s">
        <v>54</v>
      </c>
      <c r="C1321" s="10" t="s">
        <v>41</v>
      </c>
      <c r="D1321" s="10" t="s">
        <v>42</v>
      </c>
      <c r="E1321" s="11" t="s">
        <v>107</v>
      </c>
      <c r="F1321" s="11" t="s">
        <v>17</v>
      </c>
      <c r="G1321" s="10" t="s">
        <v>24</v>
      </c>
      <c r="H1321" s="11" t="s">
        <v>19</v>
      </c>
      <c r="I1321" s="11">
        <v>2022</v>
      </c>
      <c r="J1321" s="11"/>
      <c r="K1321" s="11" t="s">
        <v>107</v>
      </c>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4"/>
    </row>
    <row r="1322" spans="1:35" ht="12.5" hidden="1" x14ac:dyDescent="0.25">
      <c r="A1322" s="9">
        <v>3565</v>
      </c>
      <c r="B1322" s="10" t="s">
        <v>54</v>
      </c>
      <c r="C1322" s="10" t="s">
        <v>41</v>
      </c>
      <c r="D1322" s="10" t="s">
        <v>42</v>
      </c>
      <c r="E1322" s="11" t="s">
        <v>107</v>
      </c>
      <c r="F1322" s="11" t="s">
        <v>17</v>
      </c>
      <c r="G1322" s="10" t="s">
        <v>24</v>
      </c>
      <c r="H1322" s="11" t="s">
        <v>25</v>
      </c>
      <c r="I1322" s="11">
        <v>2022</v>
      </c>
      <c r="J1322" s="11"/>
      <c r="K1322" s="11" t="s">
        <v>107</v>
      </c>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4"/>
    </row>
    <row r="1323" spans="1:35" ht="12.5" hidden="1" x14ac:dyDescent="0.25">
      <c r="A1323" s="9">
        <v>3566</v>
      </c>
      <c r="B1323" s="10" t="s">
        <v>54</v>
      </c>
      <c r="C1323" s="10" t="s">
        <v>41</v>
      </c>
      <c r="D1323" s="10" t="s">
        <v>42</v>
      </c>
      <c r="E1323" s="11" t="s">
        <v>108</v>
      </c>
      <c r="F1323" s="11" t="s">
        <v>17</v>
      </c>
      <c r="G1323" s="10" t="s">
        <v>24</v>
      </c>
      <c r="H1323" s="11" t="s">
        <v>19</v>
      </c>
      <c r="I1323" s="11">
        <v>2022</v>
      </c>
      <c r="J1323" s="11"/>
      <c r="K1323" s="11" t="s">
        <v>108</v>
      </c>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4"/>
    </row>
    <row r="1324" spans="1:35" ht="12.5" hidden="1" x14ac:dyDescent="0.25">
      <c r="A1324" s="9">
        <v>3567</v>
      </c>
      <c r="B1324" s="10" t="s">
        <v>54</v>
      </c>
      <c r="C1324" s="10" t="s">
        <v>41</v>
      </c>
      <c r="D1324" s="10" t="s">
        <v>42</v>
      </c>
      <c r="E1324" s="11" t="s">
        <v>109</v>
      </c>
      <c r="F1324" s="11" t="s">
        <v>17</v>
      </c>
      <c r="G1324" s="10" t="s">
        <v>18</v>
      </c>
      <c r="H1324" s="11" t="s">
        <v>23</v>
      </c>
      <c r="I1324" s="11">
        <v>2022</v>
      </c>
      <c r="J1324" s="11"/>
      <c r="K1324" s="11" t="s">
        <v>109</v>
      </c>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4"/>
    </row>
    <row r="1325" spans="1:35" ht="12.5" hidden="1" x14ac:dyDescent="0.25">
      <c r="A1325" s="9">
        <v>3568</v>
      </c>
      <c r="B1325" s="10" t="s">
        <v>54</v>
      </c>
      <c r="C1325" s="10" t="s">
        <v>41</v>
      </c>
      <c r="D1325" s="10" t="s">
        <v>42</v>
      </c>
      <c r="E1325" s="11" t="s">
        <v>109</v>
      </c>
      <c r="F1325" s="11" t="s">
        <v>17</v>
      </c>
      <c r="G1325" s="10" t="s">
        <v>18</v>
      </c>
      <c r="H1325" s="11" t="s">
        <v>25</v>
      </c>
      <c r="I1325" s="11">
        <v>2022</v>
      </c>
      <c r="J1325" s="11"/>
      <c r="K1325" s="11" t="s">
        <v>109</v>
      </c>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4"/>
    </row>
    <row r="1326" spans="1:35" ht="12.5" hidden="1" x14ac:dyDescent="0.25">
      <c r="A1326" s="9">
        <v>3569</v>
      </c>
      <c r="B1326" s="10" t="s">
        <v>54</v>
      </c>
      <c r="C1326" s="10" t="s">
        <v>41</v>
      </c>
      <c r="D1326" s="10" t="s">
        <v>42</v>
      </c>
      <c r="E1326" s="11" t="s">
        <v>109</v>
      </c>
      <c r="F1326" s="11" t="s">
        <v>17</v>
      </c>
      <c r="G1326" s="10" t="s">
        <v>18</v>
      </c>
      <c r="H1326" s="11" t="s">
        <v>19</v>
      </c>
      <c r="I1326" s="11">
        <v>2022</v>
      </c>
      <c r="J1326" s="11"/>
      <c r="K1326" s="11" t="s">
        <v>109</v>
      </c>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4"/>
    </row>
    <row r="1327" spans="1:35" ht="12.5" hidden="1" x14ac:dyDescent="0.25">
      <c r="A1327" s="9">
        <v>3570</v>
      </c>
      <c r="B1327" s="10" t="s">
        <v>54</v>
      </c>
      <c r="C1327" s="10" t="s">
        <v>41</v>
      </c>
      <c r="D1327" s="10" t="s">
        <v>42</v>
      </c>
      <c r="E1327" s="11" t="s">
        <v>109</v>
      </c>
      <c r="F1327" s="11" t="s">
        <v>17</v>
      </c>
      <c r="G1327" s="10" t="s">
        <v>24</v>
      </c>
      <c r="H1327" s="11" t="s">
        <v>25</v>
      </c>
      <c r="I1327" s="11">
        <v>2022</v>
      </c>
      <c r="J1327" s="11"/>
      <c r="K1327" s="11" t="s">
        <v>109</v>
      </c>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4"/>
    </row>
    <row r="1328" spans="1:35" ht="12.5" hidden="1" x14ac:dyDescent="0.25">
      <c r="A1328" s="9">
        <v>3571</v>
      </c>
      <c r="B1328" s="10" t="s">
        <v>54</v>
      </c>
      <c r="C1328" s="10" t="s">
        <v>41</v>
      </c>
      <c r="D1328" s="10" t="s">
        <v>42</v>
      </c>
      <c r="E1328" s="11" t="s">
        <v>109</v>
      </c>
      <c r="F1328" s="11" t="s">
        <v>17</v>
      </c>
      <c r="G1328" s="10" t="s">
        <v>24</v>
      </c>
      <c r="H1328" s="11" t="s">
        <v>25</v>
      </c>
      <c r="I1328" s="11">
        <v>2022</v>
      </c>
      <c r="J1328" s="11"/>
      <c r="K1328" s="11" t="s">
        <v>109</v>
      </c>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4"/>
    </row>
    <row r="1329" spans="1:35" ht="12.5" hidden="1" x14ac:dyDescent="0.25">
      <c r="A1329" s="9">
        <v>3572</v>
      </c>
      <c r="B1329" s="10" t="s">
        <v>54</v>
      </c>
      <c r="C1329" s="10" t="s">
        <v>41</v>
      </c>
      <c r="D1329" s="10" t="s">
        <v>42</v>
      </c>
      <c r="E1329" s="11" t="s">
        <v>109</v>
      </c>
      <c r="F1329" s="11" t="s">
        <v>17</v>
      </c>
      <c r="G1329" s="10" t="s">
        <v>24</v>
      </c>
      <c r="H1329" s="11" t="s">
        <v>19</v>
      </c>
      <c r="I1329" s="11">
        <v>2022</v>
      </c>
      <c r="J1329" s="11"/>
      <c r="K1329" s="11" t="s">
        <v>109</v>
      </c>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4"/>
    </row>
    <row r="1330" spans="1:35" ht="12.5" hidden="1" x14ac:dyDescent="0.25">
      <c r="A1330" s="9">
        <v>3573</v>
      </c>
      <c r="B1330" s="10" t="s">
        <v>54</v>
      </c>
      <c r="C1330" s="10" t="s">
        <v>41</v>
      </c>
      <c r="D1330" s="10" t="s">
        <v>42</v>
      </c>
      <c r="E1330" s="11" t="s">
        <v>109</v>
      </c>
      <c r="F1330" s="11" t="s">
        <v>17</v>
      </c>
      <c r="G1330" s="10" t="s">
        <v>24</v>
      </c>
      <c r="H1330" s="11" t="s">
        <v>23</v>
      </c>
      <c r="I1330" s="11">
        <v>2022</v>
      </c>
      <c r="J1330" s="11"/>
      <c r="K1330" s="11" t="s">
        <v>109</v>
      </c>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4"/>
    </row>
    <row r="1331" spans="1:35" ht="12.5" hidden="1" x14ac:dyDescent="0.25">
      <c r="A1331" s="9">
        <v>3574</v>
      </c>
      <c r="B1331" s="10" t="s">
        <v>54</v>
      </c>
      <c r="C1331" s="10" t="s">
        <v>41</v>
      </c>
      <c r="D1331" s="10" t="s">
        <v>42</v>
      </c>
      <c r="E1331" s="11" t="s">
        <v>109</v>
      </c>
      <c r="F1331" s="11" t="s">
        <v>17</v>
      </c>
      <c r="G1331" s="10" t="s">
        <v>24</v>
      </c>
      <c r="H1331" s="11" t="s">
        <v>19</v>
      </c>
      <c r="I1331" s="11">
        <v>2022</v>
      </c>
      <c r="J1331" s="11"/>
      <c r="K1331" s="11" t="s">
        <v>109</v>
      </c>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4"/>
    </row>
    <row r="1332" spans="1:35" ht="12.5" hidden="1" x14ac:dyDescent="0.25">
      <c r="A1332" s="9">
        <v>3575</v>
      </c>
      <c r="B1332" s="10" t="s">
        <v>54</v>
      </c>
      <c r="C1332" s="10" t="s">
        <v>41</v>
      </c>
      <c r="D1332" s="10" t="s">
        <v>42</v>
      </c>
      <c r="E1332" s="11" t="s">
        <v>109</v>
      </c>
      <c r="F1332" s="11" t="s">
        <v>17</v>
      </c>
      <c r="G1332" s="10" t="s">
        <v>24</v>
      </c>
      <c r="H1332" s="11" t="s">
        <v>19</v>
      </c>
      <c r="I1332" s="11">
        <v>2022</v>
      </c>
      <c r="J1332" s="11"/>
      <c r="K1332" s="11" t="s">
        <v>109</v>
      </c>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4"/>
    </row>
    <row r="1333" spans="1:35" ht="12.5" hidden="1" x14ac:dyDescent="0.25">
      <c r="A1333" s="9">
        <v>3576</v>
      </c>
      <c r="B1333" s="10" t="s">
        <v>54</v>
      </c>
      <c r="C1333" s="10" t="s">
        <v>41</v>
      </c>
      <c r="D1333" s="10" t="s">
        <v>42</v>
      </c>
      <c r="E1333" s="11" t="s">
        <v>109</v>
      </c>
      <c r="F1333" s="11" t="s">
        <v>17</v>
      </c>
      <c r="G1333" s="10" t="s">
        <v>24</v>
      </c>
      <c r="H1333" s="11" t="s">
        <v>23</v>
      </c>
      <c r="I1333" s="11">
        <v>2022</v>
      </c>
      <c r="J1333" s="11"/>
      <c r="K1333" s="11" t="s">
        <v>109</v>
      </c>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4"/>
    </row>
    <row r="1334" spans="1:35" ht="12.5" hidden="1" x14ac:dyDescent="0.25">
      <c r="A1334" s="9">
        <v>3577</v>
      </c>
      <c r="B1334" s="10" t="s">
        <v>54</v>
      </c>
      <c r="C1334" s="10" t="s">
        <v>41</v>
      </c>
      <c r="D1334" s="10" t="s">
        <v>42</v>
      </c>
      <c r="E1334" s="11" t="s">
        <v>109</v>
      </c>
      <c r="F1334" s="11" t="s">
        <v>17</v>
      </c>
      <c r="G1334" s="10" t="s">
        <v>18</v>
      </c>
      <c r="H1334" s="11" t="s">
        <v>25</v>
      </c>
      <c r="I1334" s="11">
        <v>2022</v>
      </c>
      <c r="J1334" s="11"/>
      <c r="K1334" s="11" t="s">
        <v>109</v>
      </c>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4"/>
    </row>
    <row r="1335" spans="1:35" ht="12.5" hidden="1" x14ac:dyDescent="0.25">
      <c r="A1335" s="9">
        <v>3578</v>
      </c>
      <c r="B1335" s="10" t="s">
        <v>54</v>
      </c>
      <c r="C1335" s="10" t="s">
        <v>41</v>
      </c>
      <c r="D1335" s="10" t="s">
        <v>42</v>
      </c>
      <c r="E1335" s="11" t="s">
        <v>109</v>
      </c>
      <c r="F1335" s="11" t="s">
        <v>17</v>
      </c>
      <c r="G1335" s="10" t="s">
        <v>18</v>
      </c>
      <c r="H1335" s="11" t="s">
        <v>25</v>
      </c>
      <c r="I1335" s="11">
        <v>2022</v>
      </c>
      <c r="J1335" s="11"/>
      <c r="K1335" s="11" t="s">
        <v>109</v>
      </c>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4"/>
    </row>
    <row r="1336" spans="1:35" ht="12.5" hidden="1" x14ac:dyDescent="0.25">
      <c r="A1336" s="9">
        <v>3579</v>
      </c>
      <c r="B1336" s="10" t="s">
        <v>54</v>
      </c>
      <c r="C1336" s="10" t="s">
        <v>41</v>
      </c>
      <c r="D1336" s="10" t="s">
        <v>42</v>
      </c>
      <c r="E1336" s="11" t="s">
        <v>109</v>
      </c>
      <c r="F1336" s="11" t="s">
        <v>17</v>
      </c>
      <c r="G1336" s="10" t="s">
        <v>18</v>
      </c>
      <c r="H1336" s="11" t="s">
        <v>23</v>
      </c>
      <c r="I1336" s="11">
        <v>2022</v>
      </c>
      <c r="J1336" s="11"/>
      <c r="K1336" s="11" t="s">
        <v>109</v>
      </c>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4"/>
    </row>
    <row r="1337" spans="1:35" ht="12.5" hidden="1" x14ac:dyDescent="0.25">
      <c r="A1337" s="9">
        <v>3580</v>
      </c>
      <c r="B1337" s="10" t="s">
        <v>54</v>
      </c>
      <c r="C1337" s="10" t="s">
        <v>41</v>
      </c>
      <c r="D1337" s="10" t="s">
        <v>42</v>
      </c>
      <c r="E1337" s="11" t="s">
        <v>109</v>
      </c>
      <c r="F1337" s="11" t="s">
        <v>17</v>
      </c>
      <c r="G1337" s="10" t="s">
        <v>18</v>
      </c>
      <c r="H1337" s="11" t="s">
        <v>19</v>
      </c>
      <c r="I1337" s="11">
        <v>2022</v>
      </c>
      <c r="J1337" s="11"/>
      <c r="K1337" s="11" t="s">
        <v>109</v>
      </c>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4"/>
    </row>
    <row r="1338" spans="1:35" ht="12.5" hidden="1" x14ac:dyDescent="0.25">
      <c r="A1338" s="9">
        <v>3581</v>
      </c>
      <c r="B1338" s="10" t="s">
        <v>54</v>
      </c>
      <c r="C1338" s="10" t="s">
        <v>41</v>
      </c>
      <c r="D1338" s="10" t="s">
        <v>42</v>
      </c>
      <c r="E1338" s="11" t="s">
        <v>109</v>
      </c>
      <c r="F1338" s="11" t="s">
        <v>17</v>
      </c>
      <c r="G1338" s="10" t="s">
        <v>24</v>
      </c>
      <c r="H1338" s="11" t="s">
        <v>19</v>
      </c>
      <c r="I1338" s="11">
        <v>2022</v>
      </c>
      <c r="J1338" s="11"/>
      <c r="K1338" s="11" t="s">
        <v>109</v>
      </c>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4"/>
    </row>
    <row r="1339" spans="1:35" ht="12.5" hidden="1" x14ac:dyDescent="0.25">
      <c r="A1339" s="9">
        <v>3582</v>
      </c>
      <c r="B1339" s="10" t="s">
        <v>54</v>
      </c>
      <c r="C1339" s="10" t="s">
        <v>41</v>
      </c>
      <c r="D1339" s="10" t="s">
        <v>42</v>
      </c>
      <c r="E1339" s="11" t="s">
        <v>109</v>
      </c>
      <c r="F1339" s="11" t="s">
        <v>17</v>
      </c>
      <c r="G1339" s="10" t="s">
        <v>18</v>
      </c>
      <c r="H1339" s="11" t="s">
        <v>25</v>
      </c>
      <c r="I1339" s="11">
        <v>2022</v>
      </c>
      <c r="J1339" s="11"/>
      <c r="K1339" s="11" t="s">
        <v>109</v>
      </c>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4"/>
    </row>
    <row r="1340" spans="1:35" ht="12.5" hidden="1" x14ac:dyDescent="0.25">
      <c r="A1340" s="9">
        <v>3583</v>
      </c>
      <c r="B1340" s="10" t="s">
        <v>54</v>
      </c>
      <c r="C1340" s="10" t="s">
        <v>15</v>
      </c>
      <c r="D1340" s="10" t="s">
        <v>16</v>
      </c>
      <c r="E1340" s="11" t="s">
        <v>57</v>
      </c>
      <c r="F1340" s="11" t="s">
        <v>17</v>
      </c>
      <c r="G1340" s="10" t="s">
        <v>24</v>
      </c>
      <c r="H1340" s="11" t="s">
        <v>19</v>
      </c>
      <c r="I1340" s="11">
        <v>2022</v>
      </c>
      <c r="J1340" s="11"/>
      <c r="K1340" s="11">
        <v>36207</v>
      </c>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4"/>
    </row>
    <row r="1341" spans="1:35" ht="12.5" hidden="1" x14ac:dyDescent="0.25">
      <c r="A1341" s="9">
        <v>3584</v>
      </c>
      <c r="B1341" s="10" t="s">
        <v>54</v>
      </c>
      <c r="C1341" s="10" t="s">
        <v>15</v>
      </c>
      <c r="D1341" s="10" t="s">
        <v>16</v>
      </c>
      <c r="E1341" s="11" t="s">
        <v>57</v>
      </c>
      <c r="F1341" s="11" t="s">
        <v>17</v>
      </c>
      <c r="G1341" s="10" t="s">
        <v>24</v>
      </c>
      <c r="H1341" s="11" t="s">
        <v>25</v>
      </c>
      <c r="I1341" s="11">
        <v>2022</v>
      </c>
      <c r="J1341" s="11"/>
      <c r="K1341" s="11">
        <v>36207</v>
      </c>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4"/>
    </row>
    <row r="1342" spans="1:35" ht="12.5" hidden="1" x14ac:dyDescent="0.25">
      <c r="A1342" s="9">
        <v>3585</v>
      </c>
      <c r="B1342" s="10" t="s">
        <v>54</v>
      </c>
      <c r="C1342" s="10" t="s">
        <v>41</v>
      </c>
      <c r="D1342" s="10" t="s">
        <v>43</v>
      </c>
      <c r="E1342" s="11" t="s">
        <v>107</v>
      </c>
      <c r="F1342" s="11" t="s">
        <v>17</v>
      </c>
      <c r="G1342" s="10" t="s">
        <v>24</v>
      </c>
      <c r="H1342" s="11" t="s">
        <v>19</v>
      </c>
      <c r="I1342" s="11">
        <v>2022</v>
      </c>
      <c r="J1342" s="11"/>
      <c r="K1342" s="11" t="s">
        <v>110</v>
      </c>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4"/>
    </row>
    <row r="1343" spans="1:35" ht="12.5" hidden="1" x14ac:dyDescent="0.25">
      <c r="A1343" s="9">
        <v>3586</v>
      </c>
      <c r="B1343" s="10" t="s">
        <v>54</v>
      </c>
      <c r="C1343" s="10" t="s">
        <v>41</v>
      </c>
      <c r="D1343" s="10" t="s">
        <v>43</v>
      </c>
      <c r="E1343" s="11" t="s">
        <v>107</v>
      </c>
      <c r="F1343" s="11" t="s">
        <v>17</v>
      </c>
      <c r="G1343" s="10" t="s">
        <v>18</v>
      </c>
      <c r="H1343" s="11" t="s">
        <v>19</v>
      </c>
      <c r="I1343" s="11">
        <v>2022</v>
      </c>
      <c r="J1343" s="11"/>
      <c r="K1343" s="11" t="s">
        <v>110</v>
      </c>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4"/>
    </row>
    <row r="1344" spans="1:35" ht="12.5" hidden="1" x14ac:dyDescent="0.25">
      <c r="A1344" s="9">
        <v>3587</v>
      </c>
      <c r="B1344" s="10" t="s">
        <v>54</v>
      </c>
      <c r="C1344" s="10" t="s">
        <v>41</v>
      </c>
      <c r="D1344" s="10" t="s">
        <v>43</v>
      </c>
      <c r="E1344" s="11" t="s">
        <v>107</v>
      </c>
      <c r="F1344" s="11" t="s">
        <v>17</v>
      </c>
      <c r="G1344" s="10" t="s">
        <v>18</v>
      </c>
      <c r="H1344" s="11" t="s">
        <v>19</v>
      </c>
      <c r="I1344" s="11">
        <v>2022</v>
      </c>
      <c r="J1344" s="11"/>
      <c r="K1344" s="11" t="s">
        <v>110</v>
      </c>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4"/>
    </row>
    <row r="1345" spans="1:35" ht="12.5" hidden="1" x14ac:dyDescent="0.25">
      <c r="A1345" s="9">
        <v>3588</v>
      </c>
      <c r="B1345" s="10" t="s">
        <v>54</v>
      </c>
      <c r="C1345" s="10" t="s">
        <v>41</v>
      </c>
      <c r="D1345" s="10" t="s">
        <v>43</v>
      </c>
      <c r="E1345" s="11" t="s">
        <v>107</v>
      </c>
      <c r="F1345" s="11" t="s">
        <v>17</v>
      </c>
      <c r="G1345" s="10" t="s">
        <v>18</v>
      </c>
      <c r="H1345" s="11" t="s">
        <v>19</v>
      </c>
      <c r="I1345" s="11">
        <v>2022</v>
      </c>
      <c r="J1345" s="11"/>
      <c r="K1345" s="11" t="s">
        <v>110</v>
      </c>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4"/>
    </row>
    <row r="1346" spans="1:35" ht="12.5" hidden="1" x14ac:dyDescent="0.25">
      <c r="A1346" s="9">
        <v>3589</v>
      </c>
      <c r="B1346" s="10" t="s">
        <v>54</v>
      </c>
      <c r="C1346" s="10" t="s">
        <v>41</v>
      </c>
      <c r="D1346" s="10" t="s">
        <v>43</v>
      </c>
      <c r="E1346" s="11" t="s">
        <v>107</v>
      </c>
      <c r="F1346" s="11" t="s">
        <v>17</v>
      </c>
      <c r="G1346" s="10" t="s">
        <v>18</v>
      </c>
      <c r="H1346" s="11" t="s">
        <v>23</v>
      </c>
      <c r="I1346" s="11">
        <v>2022</v>
      </c>
      <c r="J1346" s="11"/>
      <c r="K1346" s="11" t="s">
        <v>110</v>
      </c>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4"/>
    </row>
    <row r="1347" spans="1:35" ht="12.5" hidden="1" x14ac:dyDescent="0.25">
      <c r="A1347" s="9">
        <v>3590</v>
      </c>
      <c r="B1347" s="10" t="s">
        <v>54</v>
      </c>
      <c r="C1347" s="10" t="s">
        <v>41</v>
      </c>
      <c r="D1347" s="10" t="s">
        <v>43</v>
      </c>
      <c r="E1347" s="11" t="s">
        <v>107</v>
      </c>
      <c r="F1347" s="11" t="s">
        <v>17</v>
      </c>
      <c r="G1347" s="10" t="s">
        <v>24</v>
      </c>
      <c r="H1347" s="11" t="s">
        <v>19</v>
      </c>
      <c r="I1347" s="11">
        <v>2022</v>
      </c>
      <c r="J1347" s="11"/>
      <c r="K1347" s="11" t="s">
        <v>110</v>
      </c>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4"/>
    </row>
    <row r="1348" spans="1:35" ht="12.5" hidden="1" x14ac:dyDescent="0.25">
      <c r="A1348" s="9">
        <v>3591</v>
      </c>
      <c r="B1348" s="10" t="s">
        <v>54</v>
      </c>
      <c r="C1348" s="10" t="s">
        <v>41</v>
      </c>
      <c r="D1348" s="10" t="s">
        <v>43</v>
      </c>
      <c r="E1348" s="11" t="s">
        <v>107</v>
      </c>
      <c r="F1348" s="11" t="s">
        <v>17</v>
      </c>
      <c r="G1348" s="10" t="s">
        <v>18</v>
      </c>
      <c r="H1348" s="11" t="s">
        <v>19</v>
      </c>
      <c r="I1348" s="11">
        <v>2022</v>
      </c>
      <c r="J1348" s="11"/>
      <c r="K1348" s="11" t="s">
        <v>110</v>
      </c>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4"/>
    </row>
    <row r="1349" spans="1:35" ht="12.5" hidden="1" x14ac:dyDescent="0.25">
      <c r="A1349" s="9">
        <v>3592</v>
      </c>
      <c r="B1349" s="10" t="s">
        <v>54</v>
      </c>
      <c r="C1349" s="10" t="s">
        <v>41</v>
      </c>
      <c r="D1349" s="10" t="s">
        <v>43</v>
      </c>
      <c r="E1349" s="11" t="s">
        <v>107</v>
      </c>
      <c r="F1349" s="11" t="s">
        <v>17</v>
      </c>
      <c r="G1349" s="10" t="s">
        <v>24</v>
      </c>
      <c r="H1349" s="11" t="s">
        <v>19</v>
      </c>
      <c r="I1349" s="11">
        <v>2022</v>
      </c>
      <c r="J1349" s="11"/>
      <c r="K1349" s="11" t="s">
        <v>110</v>
      </c>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4"/>
    </row>
    <row r="1350" spans="1:35" ht="12.5" hidden="1" x14ac:dyDescent="0.25">
      <c r="A1350" s="9">
        <v>3593</v>
      </c>
      <c r="B1350" s="10" t="s">
        <v>54</v>
      </c>
      <c r="C1350" s="10" t="s">
        <v>41</v>
      </c>
      <c r="D1350" s="10" t="s">
        <v>43</v>
      </c>
      <c r="E1350" s="11" t="s">
        <v>107</v>
      </c>
      <c r="F1350" s="11" t="s">
        <v>17</v>
      </c>
      <c r="G1350" s="10" t="s">
        <v>18</v>
      </c>
      <c r="H1350" s="11" t="s">
        <v>19</v>
      </c>
      <c r="I1350" s="11">
        <v>2022</v>
      </c>
      <c r="J1350" s="11"/>
      <c r="K1350" s="11" t="s">
        <v>110</v>
      </c>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4"/>
    </row>
    <row r="1351" spans="1:35" ht="12.5" hidden="1" x14ac:dyDescent="0.25">
      <c r="A1351" s="9">
        <v>3594</v>
      </c>
      <c r="B1351" s="10" t="s">
        <v>54</v>
      </c>
      <c r="C1351" s="10" t="s">
        <v>41</v>
      </c>
      <c r="D1351" s="10" t="s">
        <v>43</v>
      </c>
      <c r="E1351" s="11" t="s">
        <v>107</v>
      </c>
      <c r="F1351" s="11" t="s">
        <v>17</v>
      </c>
      <c r="G1351" s="10" t="s">
        <v>18</v>
      </c>
      <c r="H1351" s="11" t="s">
        <v>19</v>
      </c>
      <c r="I1351" s="11">
        <v>2022</v>
      </c>
      <c r="J1351" s="11"/>
      <c r="K1351" s="11" t="s">
        <v>110</v>
      </c>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4"/>
    </row>
    <row r="1352" spans="1:35" ht="12.5" hidden="1" x14ac:dyDescent="0.25">
      <c r="A1352" s="9">
        <v>3595</v>
      </c>
      <c r="B1352" s="10" t="s">
        <v>54</v>
      </c>
      <c r="C1352" s="10" t="s">
        <v>41</v>
      </c>
      <c r="D1352" s="10" t="s">
        <v>43</v>
      </c>
      <c r="E1352" s="11" t="s">
        <v>107</v>
      </c>
      <c r="F1352" s="11" t="s">
        <v>17</v>
      </c>
      <c r="G1352" s="10" t="s">
        <v>24</v>
      </c>
      <c r="H1352" s="11" t="s">
        <v>19</v>
      </c>
      <c r="I1352" s="11">
        <v>2022</v>
      </c>
      <c r="J1352" s="11"/>
      <c r="K1352" s="11" t="s">
        <v>110</v>
      </c>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4"/>
    </row>
    <row r="1353" spans="1:35" ht="12.5" hidden="1" x14ac:dyDescent="0.25">
      <c r="A1353" s="9">
        <v>3596</v>
      </c>
      <c r="B1353" s="10" t="s">
        <v>54</v>
      </c>
      <c r="C1353" s="10" t="s">
        <v>41</v>
      </c>
      <c r="D1353" s="10" t="s">
        <v>43</v>
      </c>
      <c r="E1353" s="11" t="s">
        <v>107</v>
      </c>
      <c r="F1353" s="11" t="s">
        <v>17</v>
      </c>
      <c r="G1353" s="10" t="s">
        <v>24</v>
      </c>
      <c r="H1353" s="11" t="s">
        <v>23</v>
      </c>
      <c r="I1353" s="11">
        <v>2022</v>
      </c>
      <c r="J1353" s="11"/>
      <c r="K1353" s="11" t="s">
        <v>110</v>
      </c>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4"/>
    </row>
    <row r="1354" spans="1:35" ht="12.5" hidden="1" x14ac:dyDescent="0.25">
      <c r="A1354" s="9">
        <v>3597</v>
      </c>
      <c r="B1354" s="10" t="s">
        <v>54</v>
      </c>
      <c r="C1354" s="10" t="s">
        <v>41</v>
      </c>
      <c r="D1354" s="10" t="s">
        <v>43</v>
      </c>
      <c r="E1354" s="11" t="s">
        <v>107</v>
      </c>
      <c r="F1354" s="11" t="s">
        <v>17</v>
      </c>
      <c r="G1354" s="10" t="s">
        <v>18</v>
      </c>
      <c r="H1354" s="11" t="s">
        <v>25</v>
      </c>
      <c r="I1354" s="11">
        <v>2022</v>
      </c>
      <c r="J1354" s="11"/>
      <c r="K1354" s="11" t="s">
        <v>110</v>
      </c>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4"/>
    </row>
    <row r="1355" spans="1:35" ht="12.5" hidden="1" x14ac:dyDescent="0.25">
      <c r="A1355" s="9">
        <v>3598</v>
      </c>
      <c r="B1355" s="10" t="s">
        <v>54</v>
      </c>
      <c r="C1355" s="10" t="s">
        <v>41</v>
      </c>
      <c r="D1355" s="10" t="s">
        <v>43</v>
      </c>
      <c r="E1355" s="11" t="s">
        <v>107</v>
      </c>
      <c r="F1355" s="11" t="s">
        <v>17</v>
      </c>
      <c r="G1355" s="10" t="s">
        <v>24</v>
      </c>
      <c r="H1355" s="11" t="s">
        <v>23</v>
      </c>
      <c r="I1355" s="11">
        <v>2022</v>
      </c>
      <c r="J1355" s="11"/>
      <c r="K1355" s="11" t="s">
        <v>110</v>
      </c>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4"/>
    </row>
    <row r="1356" spans="1:35" ht="12.5" hidden="1" x14ac:dyDescent="0.25">
      <c r="A1356" s="9">
        <v>3599</v>
      </c>
      <c r="B1356" s="10" t="s">
        <v>54</v>
      </c>
      <c r="C1356" s="10" t="s">
        <v>41</v>
      </c>
      <c r="D1356" s="10" t="s">
        <v>43</v>
      </c>
      <c r="E1356" s="11" t="s">
        <v>107</v>
      </c>
      <c r="F1356" s="11" t="s">
        <v>17</v>
      </c>
      <c r="G1356" s="10" t="s">
        <v>18</v>
      </c>
      <c r="H1356" s="11" t="s">
        <v>19</v>
      </c>
      <c r="I1356" s="11">
        <v>2022</v>
      </c>
      <c r="J1356" s="11"/>
      <c r="K1356" s="11" t="s">
        <v>110</v>
      </c>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4"/>
    </row>
    <row r="1357" spans="1:35" ht="12.5" hidden="1" x14ac:dyDescent="0.25">
      <c r="A1357" s="9">
        <v>3600</v>
      </c>
      <c r="B1357" s="10" t="s">
        <v>54</v>
      </c>
      <c r="C1357" s="10" t="s">
        <v>41</v>
      </c>
      <c r="D1357" s="10" t="s">
        <v>43</v>
      </c>
      <c r="E1357" s="11" t="s">
        <v>107</v>
      </c>
      <c r="F1357" s="11" t="s">
        <v>17</v>
      </c>
      <c r="G1357" s="10" t="s">
        <v>18</v>
      </c>
      <c r="H1357" s="11" t="s">
        <v>19</v>
      </c>
      <c r="I1357" s="11">
        <v>2022</v>
      </c>
      <c r="J1357" s="11"/>
      <c r="K1357" s="11" t="s">
        <v>110</v>
      </c>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4"/>
    </row>
    <row r="1358" spans="1:35" ht="12.5" hidden="1" x14ac:dyDescent="0.25">
      <c r="A1358" s="9">
        <v>3601</v>
      </c>
      <c r="B1358" s="10" t="s">
        <v>54</v>
      </c>
      <c r="C1358" s="10" t="s">
        <v>41</v>
      </c>
      <c r="D1358" s="10" t="s">
        <v>43</v>
      </c>
      <c r="E1358" s="11" t="s">
        <v>107</v>
      </c>
      <c r="F1358" s="11" t="s">
        <v>17</v>
      </c>
      <c r="G1358" s="10" t="s">
        <v>18</v>
      </c>
      <c r="H1358" s="11" t="s">
        <v>19</v>
      </c>
      <c r="I1358" s="11">
        <v>2022</v>
      </c>
      <c r="J1358" s="11"/>
      <c r="K1358" s="11" t="s">
        <v>110</v>
      </c>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4"/>
    </row>
    <row r="1359" spans="1:35" ht="12.5" hidden="1" x14ac:dyDescent="0.25">
      <c r="A1359" s="9">
        <v>3602</v>
      </c>
      <c r="B1359" s="10" t="s">
        <v>54</v>
      </c>
      <c r="C1359" s="10" t="s">
        <v>41</v>
      </c>
      <c r="D1359" s="10" t="s">
        <v>43</v>
      </c>
      <c r="E1359" s="11" t="s">
        <v>107</v>
      </c>
      <c r="F1359" s="11" t="s">
        <v>17</v>
      </c>
      <c r="G1359" s="10" t="s">
        <v>18</v>
      </c>
      <c r="H1359" s="11" t="s">
        <v>23</v>
      </c>
      <c r="I1359" s="11">
        <v>2022</v>
      </c>
      <c r="J1359" s="11"/>
      <c r="K1359" s="11" t="s">
        <v>110</v>
      </c>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4"/>
    </row>
    <row r="1360" spans="1:35" ht="12.5" hidden="1" x14ac:dyDescent="0.25">
      <c r="A1360" s="9">
        <v>3603</v>
      </c>
      <c r="B1360" s="10" t="s">
        <v>54</v>
      </c>
      <c r="C1360" s="10" t="s">
        <v>41</v>
      </c>
      <c r="D1360" s="10" t="s">
        <v>43</v>
      </c>
      <c r="E1360" s="11" t="s">
        <v>107</v>
      </c>
      <c r="F1360" s="11" t="s">
        <v>17</v>
      </c>
      <c r="G1360" s="10" t="s">
        <v>24</v>
      </c>
      <c r="H1360" s="11" t="s">
        <v>19</v>
      </c>
      <c r="I1360" s="11">
        <v>2022</v>
      </c>
      <c r="J1360" s="11"/>
      <c r="K1360" s="11" t="s">
        <v>110</v>
      </c>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4"/>
    </row>
    <row r="1361" spans="1:35" ht="12.5" hidden="1" x14ac:dyDescent="0.25">
      <c r="A1361" s="9">
        <v>3604</v>
      </c>
      <c r="B1361" s="10" t="s">
        <v>54</v>
      </c>
      <c r="C1361" s="10" t="s">
        <v>41</v>
      </c>
      <c r="D1361" s="10" t="s">
        <v>43</v>
      </c>
      <c r="E1361" s="11" t="s">
        <v>107</v>
      </c>
      <c r="F1361" s="11" t="s">
        <v>17</v>
      </c>
      <c r="G1361" s="10" t="s">
        <v>18</v>
      </c>
      <c r="H1361" s="11" t="s">
        <v>19</v>
      </c>
      <c r="I1361" s="11">
        <v>2022</v>
      </c>
      <c r="J1361" s="11"/>
      <c r="K1361" s="11" t="s">
        <v>110</v>
      </c>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4"/>
    </row>
    <row r="1362" spans="1:35" ht="12.5" hidden="1" x14ac:dyDescent="0.25">
      <c r="A1362" s="9">
        <v>3605</v>
      </c>
      <c r="B1362" s="10" t="s">
        <v>54</v>
      </c>
      <c r="C1362" s="10" t="s">
        <v>41</v>
      </c>
      <c r="D1362" s="10" t="s">
        <v>43</v>
      </c>
      <c r="E1362" s="11" t="s">
        <v>107</v>
      </c>
      <c r="F1362" s="11" t="s">
        <v>17</v>
      </c>
      <c r="G1362" s="10" t="s">
        <v>24</v>
      </c>
      <c r="H1362" s="11" t="s">
        <v>23</v>
      </c>
      <c r="I1362" s="11">
        <v>2022</v>
      </c>
      <c r="J1362" s="11"/>
      <c r="K1362" s="11" t="s">
        <v>110</v>
      </c>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4"/>
    </row>
    <row r="1363" spans="1:35" ht="12.5" hidden="1" x14ac:dyDescent="0.25">
      <c r="A1363" s="9">
        <v>3606</v>
      </c>
      <c r="B1363" s="10" t="s">
        <v>54</v>
      </c>
      <c r="C1363" s="10" t="s">
        <v>41</v>
      </c>
      <c r="D1363" s="10" t="s">
        <v>43</v>
      </c>
      <c r="E1363" s="11" t="s">
        <v>107</v>
      </c>
      <c r="F1363" s="11" t="s">
        <v>17</v>
      </c>
      <c r="G1363" s="10" t="s">
        <v>24</v>
      </c>
      <c r="H1363" s="11" t="s">
        <v>23</v>
      </c>
      <c r="I1363" s="11">
        <v>2022</v>
      </c>
      <c r="J1363" s="11"/>
      <c r="K1363" s="11" t="s">
        <v>110</v>
      </c>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4"/>
    </row>
    <row r="1364" spans="1:35" ht="12.5" hidden="1" x14ac:dyDescent="0.25">
      <c r="A1364" s="9">
        <v>3607</v>
      </c>
      <c r="B1364" s="10" t="s">
        <v>54</v>
      </c>
      <c r="C1364" s="10" t="s">
        <v>41</v>
      </c>
      <c r="D1364" s="10" t="s">
        <v>43</v>
      </c>
      <c r="E1364" s="11" t="s">
        <v>108</v>
      </c>
      <c r="F1364" s="11" t="s">
        <v>17</v>
      </c>
      <c r="G1364" s="10" t="s">
        <v>18</v>
      </c>
      <c r="H1364" s="11" t="s">
        <v>23</v>
      </c>
      <c r="I1364" s="11">
        <v>2022</v>
      </c>
      <c r="J1364" s="11"/>
      <c r="K1364" s="11" t="s">
        <v>111</v>
      </c>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4"/>
    </row>
    <row r="1365" spans="1:35" ht="12.5" hidden="1" x14ac:dyDescent="0.25">
      <c r="A1365" s="9">
        <v>3608</v>
      </c>
      <c r="B1365" s="10" t="s">
        <v>54</v>
      </c>
      <c r="C1365" s="10" t="s">
        <v>41</v>
      </c>
      <c r="D1365" s="10" t="s">
        <v>43</v>
      </c>
      <c r="E1365" s="11" t="s">
        <v>108</v>
      </c>
      <c r="F1365" s="11" t="s">
        <v>17</v>
      </c>
      <c r="G1365" s="10" t="s">
        <v>18</v>
      </c>
      <c r="H1365" s="11" t="s">
        <v>19</v>
      </c>
      <c r="I1365" s="11">
        <v>2022</v>
      </c>
      <c r="J1365" s="11"/>
      <c r="K1365" s="11" t="s">
        <v>111</v>
      </c>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4"/>
    </row>
    <row r="1366" spans="1:35" ht="12.5" hidden="1" x14ac:dyDescent="0.25">
      <c r="A1366" s="9">
        <v>3609</v>
      </c>
      <c r="B1366" s="10" t="s">
        <v>54</v>
      </c>
      <c r="C1366" s="10" t="s">
        <v>41</v>
      </c>
      <c r="D1366" s="10" t="s">
        <v>43</v>
      </c>
      <c r="E1366" s="11" t="s">
        <v>108</v>
      </c>
      <c r="F1366" s="11" t="s">
        <v>17</v>
      </c>
      <c r="G1366" s="10" t="s">
        <v>24</v>
      </c>
      <c r="H1366" s="11" t="s">
        <v>23</v>
      </c>
      <c r="I1366" s="11">
        <v>2022</v>
      </c>
      <c r="J1366" s="11"/>
      <c r="K1366" s="11" t="s">
        <v>111</v>
      </c>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4"/>
    </row>
    <row r="1367" spans="1:35" ht="12.5" hidden="1" x14ac:dyDescent="0.25">
      <c r="A1367" s="9">
        <v>3610</v>
      </c>
      <c r="B1367" s="10" t="s">
        <v>54</v>
      </c>
      <c r="C1367" s="10" t="s">
        <v>41</v>
      </c>
      <c r="D1367" s="10" t="s">
        <v>43</v>
      </c>
      <c r="E1367" s="11" t="s">
        <v>108</v>
      </c>
      <c r="F1367" s="11" t="s">
        <v>17</v>
      </c>
      <c r="G1367" s="10" t="s">
        <v>18</v>
      </c>
      <c r="H1367" s="11" t="s">
        <v>23</v>
      </c>
      <c r="I1367" s="11">
        <v>2022</v>
      </c>
      <c r="J1367" s="11"/>
      <c r="K1367" s="11" t="s">
        <v>111</v>
      </c>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4"/>
    </row>
    <row r="1368" spans="1:35" ht="12.5" hidden="1" x14ac:dyDescent="0.25">
      <c r="A1368" s="9">
        <v>3611</v>
      </c>
      <c r="B1368" s="10" t="s">
        <v>54</v>
      </c>
      <c r="C1368" s="10" t="s">
        <v>41</v>
      </c>
      <c r="D1368" s="10" t="s">
        <v>43</v>
      </c>
      <c r="E1368" s="11" t="s">
        <v>108</v>
      </c>
      <c r="F1368" s="11" t="s">
        <v>17</v>
      </c>
      <c r="G1368" s="10" t="s">
        <v>18</v>
      </c>
      <c r="H1368" s="11" t="s">
        <v>19</v>
      </c>
      <c r="I1368" s="11">
        <v>2022</v>
      </c>
      <c r="J1368" s="11"/>
      <c r="K1368" s="11" t="s">
        <v>111</v>
      </c>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4"/>
    </row>
    <row r="1369" spans="1:35" ht="12.5" hidden="1" x14ac:dyDescent="0.25">
      <c r="A1369" s="9">
        <v>3612</v>
      </c>
      <c r="B1369" s="10" t="s">
        <v>54</v>
      </c>
      <c r="C1369" s="10" t="s">
        <v>41</v>
      </c>
      <c r="D1369" s="10" t="s">
        <v>43</v>
      </c>
      <c r="E1369" s="11" t="s">
        <v>108</v>
      </c>
      <c r="F1369" s="11" t="s">
        <v>17</v>
      </c>
      <c r="G1369" s="10" t="s">
        <v>24</v>
      </c>
      <c r="H1369" s="11" t="s">
        <v>25</v>
      </c>
      <c r="I1369" s="11">
        <v>2022</v>
      </c>
      <c r="J1369" s="11"/>
      <c r="K1369" s="11" t="s">
        <v>111</v>
      </c>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4"/>
    </row>
    <row r="1370" spans="1:35" ht="12.5" hidden="1" x14ac:dyDescent="0.25">
      <c r="A1370" s="9">
        <v>3613</v>
      </c>
      <c r="B1370" s="10" t="s">
        <v>54</v>
      </c>
      <c r="C1370" s="10" t="s">
        <v>41</v>
      </c>
      <c r="D1370" s="10" t="s">
        <v>43</v>
      </c>
      <c r="E1370" s="11" t="s">
        <v>108</v>
      </c>
      <c r="F1370" s="11" t="s">
        <v>17</v>
      </c>
      <c r="G1370" s="10" t="s">
        <v>18</v>
      </c>
      <c r="H1370" s="11" t="s">
        <v>19</v>
      </c>
      <c r="I1370" s="11">
        <v>2022</v>
      </c>
      <c r="J1370" s="11"/>
      <c r="K1370" s="11" t="s">
        <v>111</v>
      </c>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4"/>
    </row>
    <row r="1371" spans="1:35" ht="12.5" hidden="1" x14ac:dyDescent="0.25">
      <c r="A1371" s="9">
        <v>3614</v>
      </c>
      <c r="B1371" s="10" t="s">
        <v>54</v>
      </c>
      <c r="C1371" s="10" t="s">
        <v>41</v>
      </c>
      <c r="D1371" s="10" t="s">
        <v>43</v>
      </c>
      <c r="E1371" s="11" t="s">
        <v>108</v>
      </c>
      <c r="F1371" s="11" t="s">
        <v>17</v>
      </c>
      <c r="G1371" s="10" t="s">
        <v>24</v>
      </c>
      <c r="H1371" s="11" t="s">
        <v>19</v>
      </c>
      <c r="I1371" s="11">
        <v>2022</v>
      </c>
      <c r="J1371" s="11"/>
      <c r="K1371" s="11" t="s">
        <v>111</v>
      </c>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4"/>
    </row>
    <row r="1372" spans="1:35" ht="12.5" hidden="1" x14ac:dyDescent="0.25">
      <c r="A1372" s="9">
        <v>3615</v>
      </c>
      <c r="B1372" s="10" t="s">
        <v>54</v>
      </c>
      <c r="C1372" s="10" t="s">
        <v>41</v>
      </c>
      <c r="D1372" s="10" t="s">
        <v>43</v>
      </c>
      <c r="E1372" s="11" t="s">
        <v>108</v>
      </c>
      <c r="F1372" s="11" t="s">
        <v>17</v>
      </c>
      <c r="G1372" s="10" t="s">
        <v>24</v>
      </c>
      <c r="H1372" s="11" t="s">
        <v>23</v>
      </c>
      <c r="I1372" s="11">
        <v>2022</v>
      </c>
      <c r="J1372" s="11"/>
      <c r="K1372" s="11" t="s">
        <v>111</v>
      </c>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4"/>
    </row>
    <row r="1373" spans="1:35" ht="12.5" hidden="1" x14ac:dyDescent="0.25">
      <c r="A1373" s="9">
        <v>3616</v>
      </c>
      <c r="B1373" s="10" t="s">
        <v>54</v>
      </c>
      <c r="C1373" s="10" t="s">
        <v>41</v>
      </c>
      <c r="D1373" s="10" t="s">
        <v>43</v>
      </c>
      <c r="E1373" s="11" t="s">
        <v>108</v>
      </c>
      <c r="F1373" s="11" t="s">
        <v>17</v>
      </c>
      <c r="G1373" s="10" t="s">
        <v>18</v>
      </c>
      <c r="H1373" s="11" t="s">
        <v>19</v>
      </c>
      <c r="I1373" s="11">
        <v>2022</v>
      </c>
      <c r="J1373" s="11"/>
      <c r="K1373" s="11" t="s">
        <v>111</v>
      </c>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4"/>
    </row>
    <row r="1374" spans="1:35" ht="12.5" hidden="1" x14ac:dyDescent="0.25">
      <c r="A1374" s="9">
        <v>3617</v>
      </c>
      <c r="B1374" s="10" t="s">
        <v>54</v>
      </c>
      <c r="C1374" s="10" t="s">
        <v>41</v>
      </c>
      <c r="D1374" s="10" t="s">
        <v>43</v>
      </c>
      <c r="E1374" s="11" t="s">
        <v>108</v>
      </c>
      <c r="F1374" s="11" t="s">
        <v>17</v>
      </c>
      <c r="G1374" s="10" t="s">
        <v>24</v>
      </c>
      <c r="H1374" s="11" t="s">
        <v>19</v>
      </c>
      <c r="I1374" s="11">
        <v>2022</v>
      </c>
      <c r="J1374" s="11"/>
      <c r="K1374" s="11" t="s">
        <v>111</v>
      </c>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4"/>
    </row>
    <row r="1375" spans="1:35" ht="12.5" hidden="1" x14ac:dyDescent="0.25">
      <c r="A1375" s="9">
        <v>3618</v>
      </c>
      <c r="B1375" s="10" t="s">
        <v>54</v>
      </c>
      <c r="C1375" s="10" t="s">
        <v>41</v>
      </c>
      <c r="D1375" s="10" t="s">
        <v>43</v>
      </c>
      <c r="E1375" s="11" t="s">
        <v>108</v>
      </c>
      <c r="F1375" s="11" t="s">
        <v>17</v>
      </c>
      <c r="G1375" s="10" t="s">
        <v>24</v>
      </c>
      <c r="H1375" s="11" t="s">
        <v>19</v>
      </c>
      <c r="I1375" s="11">
        <v>2022</v>
      </c>
      <c r="J1375" s="11"/>
      <c r="K1375" s="11" t="s">
        <v>111</v>
      </c>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4"/>
    </row>
    <row r="1376" spans="1:35" ht="12.5" hidden="1" x14ac:dyDescent="0.25">
      <c r="A1376" s="9">
        <v>3619</v>
      </c>
      <c r="B1376" s="10" t="s">
        <v>54</v>
      </c>
      <c r="C1376" s="10" t="s">
        <v>41</v>
      </c>
      <c r="D1376" s="10" t="s">
        <v>43</v>
      </c>
      <c r="E1376" s="11" t="s">
        <v>108</v>
      </c>
      <c r="F1376" s="11" t="s">
        <v>17</v>
      </c>
      <c r="G1376" s="10" t="s">
        <v>24</v>
      </c>
      <c r="H1376" s="11" t="s">
        <v>19</v>
      </c>
      <c r="I1376" s="11">
        <v>2022</v>
      </c>
      <c r="J1376" s="11"/>
      <c r="K1376" s="11" t="s">
        <v>111</v>
      </c>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4"/>
    </row>
    <row r="1377" spans="1:35" ht="12.5" hidden="1" x14ac:dyDescent="0.25">
      <c r="A1377" s="9">
        <v>3620</v>
      </c>
      <c r="B1377" s="10" t="s">
        <v>54</v>
      </c>
      <c r="C1377" s="10" t="s">
        <v>41</v>
      </c>
      <c r="D1377" s="10" t="s">
        <v>43</v>
      </c>
      <c r="E1377" s="11" t="s">
        <v>108</v>
      </c>
      <c r="F1377" s="11" t="s">
        <v>17</v>
      </c>
      <c r="G1377" s="10" t="s">
        <v>18</v>
      </c>
      <c r="H1377" s="11" t="s">
        <v>23</v>
      </c>
      <c r="I1377" s="11">
        <v>2022</v>
      </c>
      <c r="J1377" s="11"/>
      <c r="K1377" s="11" t="s">
        <v>111</v>
      </c>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4"/>
    </row>
    <row r="1378" spans="1:35" ht="12.5" hidden="1" x14ac:dyDescent="0.25">
      <c r="A1378" s="9">
        <v>3621</v>
      </c>
      <c r="B1378" s="10" t="s">
        <v>54</v>
      </c>
      <c r="C1378" s="10" t="s">
        <v>41</v>
      </c>
      <c r="D1378" s="10" t="s">
        <v>43</v>
      </c>
      <c r="E1378" s="11" t="s">
        <v>109</v>
      </c>
      <c r="F1378" s="11" t="s">
        <v>17</v>
      </c>
      <c r="G1378" s="10" t="s">
        <v>24</v>
      </c>
      <c r="H1378" s="11" t="s">
        <v>19</v>
      </c>
      <c r="I1378" s="11">
        <v>2022</v>
      </c>
      <c r="J1378" s="11"/>
      <c r="K1378" s="11" t="s">
        <v>112</v>
      </c>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4"/>
    </row>
    <row r="1379" spans="1:35" ht="12.5" hidden="1" x14ac:dyDescent="0.25">
      <c r="A1379" s="9">
        <v>3622</v>
      </c>
      <c r="B1379" s="10" t="s">
        <v>54</v>
      </c>
      <c r="C1379" s="10" t="s">
        <v>41</v>
      </c>
      <c r="D1379" s="10" t="s">
        <v>43</v>
      </c>
      <c r="E1379" s="11" t="s">
        <v>109</v>
      </c>
      <c r="F1379" s="11" t="s">
        <v>17</v>
      </c>
      <c r="G1379" s="10" t="s">
        <v>18</v>
      </c>
      <c r="H1379" s="11" t="s">
        <v>19</v>
      </c>
      <c r="I1379" s="11">
        <v>2022</v>
      </c>
      <c r="J1379" s="11"/>
      <c r="K1379" s="11" t="s">
        <v>112</v>
      </c>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4"/>
    </row>
    <row r="1380" spans="1:35" ht="12.5" hidden="1" x14ac:dyDescent="0.25">
      <c r="A1380" s="9">
        <v>3623</v>
      </c>
      <c r="B1380" s="10" t="s">
        <v>54</v>
      </c>
      <c r="C1380" s="10" t="s">
        <v>41</v>
      </c>
      <c r="D1380" s="10" t="s">
        <v>43</v>
      </c>
      <c r="E1380" s="11" t="s">
        <v>109</v>
      </c>
      <c r="F1380" s="11" t="s">
        <v>17</v>
      </c>
      <c r="G1380" s="10" t="s">
        <v>18</v>
      </c>
      <c r="H1380" s="11" t="s">
        <v>23</v>
      </c>
      <c r="I1380" s="11">
        <v>2022</v>
      </c>
      <c r="J1380" s="11"/>
      <c r="K1380" s="11" t="s">
        <v>112</v>
      </c>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4"/>
    </row>
    <row r="1381" spans="1:35" ht="12.5" hidden="1" x14ac:dyDescent="0.25">
      <c r="A1381" s="9">
        <v>3624</v>
      </c>
      <c r="B1381" s="10" t="s">
        <v>54</v>
      </c>
      <c r="C1381" s="10" t="s">
        <v>41</v>
      </c>
      <c r="D1381" s="10" t="s">
        <v>43</v>
      </c>
      <c r="E1381" s="11" t="s">
        <v>109</v>
      </c>
      <c r="F1381" s="11" t="s">
        <v>17</v>
      </c>
      <c r="G1381" s="10" t="s">
        <v>24</v>
      </c>
      <c r="H1381" s="11" t="s">
        <v>23</v>
      </c>
      <c r="I1381" s="11">
        <v>2022</v>
      </c>
      <c r="J1381" s="11"/>
      <c r="K1381" s="11" t="s">
        <v>112</v>
      </c>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4"/>
    </row>
    <row r="1382" spans="1:35" ht="12.5" hidden="1" x14ac:dyDescent="0.25">
      <c r="A1382" s="9">
        <v>3625</v>
      </c>
      <c r="B1382" s="10" t="s">
        <v>54</v>
      </c>
      <c r="C1382" s="10" t="s">
        <v>41</v>
      </c>
      <c r="D1382" s="10" t="s">
        <v>43</v>
      </c>
      <c r="E1382" s="11" t="s">
        <v>109</v>
      </c>
      <c r="F1382" s="11" t="s">
        <v>17</v>
      </c>
      <c r="G1382" s="10" t="s">
        <v>24</v>
      </c>
      <c r="H1382" s="11" t="s">
        <v>23</v>
      </c>
      <c r="I1382" s="11">
        <v>2022</v>
      </c>
      <c r="J1382" s="11"/>
      <c r="K1382" s="11" t="s">
        <v>112</v>
      </c>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4"/>
    </row>
    <row r="1383" spans="1:35" ht="12.5" hidden="1" x14ac:dyDescent="0.25">
      <c r="A1383" s="9">
        <v>3626</v>
      </c>
      <c r="B1383" s="10" t="s">
        <v>54</v>
      </c>
      <c r="C1383" s="10" t="s">
        <v>41</v>
      </c>
      <c r="D1383" s="10" t="s">
        <v>43</v>
      </c>
      <c r="E1383" s="11" t="s">
        <v>109</v>
      </c>
      <c r="F1383" s="11" t="s">
        <v>17</v>
      </c>
      <c r="G1383" s="10" t="s">
        <v>18</v>
      </c>
      <c r="H1383" s="11" t="s">
        <v>19</v>
      </c>
      <c r="I1383" s="11">
        <v>2022</v>
      </c>
      <c r="J1383" s="11"/>
      <c r="K1383" s="11" t="s">
        <v>112</v>
      </c>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4"/>
    </row>
    <row r="1384" spans="1:35" ht="12.5" hidden="1" x14ac:dyDescent="0.25">
      <c r="A1384" s="9">
        <v>3627</v>
      </c>
      <c r="B1384" s="10" t="s">
        <v>54</v>
      </c>
      <c r="C1384" s="10" t="s">
        <v>41</v>
      </c>
      <c r="D1384" s="10" t="s">
        <v>43</v>
      </c>
      <c r="E1384" s="11" t="s">
        <v>109</v>
      </c>
      <c r="F1384" s="11" t="s">
        <v>17</v>
      </c>
      <c r="G1384" s="10" t="s">
        <v>24</v>
      </c>
      <c r="H1384" s="11" t="s">
        <v>23</v>
      </c>
      <c r="I1384" s="11">
        <v>2022</v>
      </c>
      <c r="J1384" s="11"/>
      <c r="K1384" s="11" t="s">
        <v>112</v>
      </c>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4"/>
    </row>
    <row r="1385" spans="1:35" ht="12.5" hidden="1" x14ac:dyDescent="0.25">
      <c r="A1385" s="9">
        <v>3628</v>
      </c>
      <c r="B1385" s="10" t="s">
        <v>54</v>
      </c>
      <c r="C1385" s="10" t="s">
        <v>15</v>
      </c>
      <c r="D1385" s="10" t="s">
        <v>37</v>
      </c>
      <c r="E1385" s="11" t="s">
        <v>109</v>
      </c>
      <c r="F1385" s="11" t="s">
        <v>17</v>
      </c>
      <c r="G1385" s="10" t="s">
        <v>18</v>
      </c>
      <c r="H1385" s="11" t="s">
        <v>19</v>
      </c>
      <c r="I1385" s="11">
        <v>2022</v>
      </c>
      <c r="J1385" s="11"/>
      <c r="K1385" s="11">
        <v>36166</v>
      </c>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4"/>
    </row>
    <row r="1386" spans="1:35" ht="12.5" hidden="1" x14ac:dyDescent="0.25">
      <c r="A1386" s="9">
        <v>3629</v>
      </c>
      <c r="B1386" s="10" t="s">
        <v>54</v>
      </c>
      <c r="C1386" s="10" t="s">
        <v>15</v>
      </c>
      <c r="D1386" s="10" t="s">
        <v>37</v>
      </c>
      <c r="E1386" s="11" t="s">
        <v>109</v>
      </c>
      <c r="F1386" s="11" t="s">
        <v>17</v>
      </c>
      <c r="G1386" s="10" t="s">
        <v>24</v>
      </c>
      <c r="H1386" s="11" t="s">
        <v>23</v>
      </c>
      <c r="I1386" s="11">
        <v>2022</v>
      </c>
      <c r="J1386" s="11"/>
      <c r="K1386" s="11">
        <v>36166</v>
      </c>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4"/>
    </row>
    <row r="1387" spans="1:35" ht="12.5" hidden="1" x14ac:dyDescent="0.25">
      <c r="A1387" s="9">
        <v>3630</v>
      </c>
      <c r="B1387" s="10" t="s">
        <v>54</v>
      </c>
      <c r="C1387" s="10" t="s">
        <v>15</v>
      </c>
      <c r="D1387" s="10" t="s">
        <v>37</v>
      </c>
      <c r="E1387" s="11" t="s">
        <v>109</v>
      </c>
      <c r="F1387" s="11" t="s">
        <v>17</v>
      </c>
      <c r="G1387" s="10" t="s">
        <v>18</v>
      </c>
      <c r="H1387" s="11" t="s">
        <v>23</v>
      </c>
      <c r="I1387" s="11">
        <v>2022</v>
      </c>
      <c r="J1387" s="11"/>
      <c r="K1387" s="11">
        <v>36166</v>
      </c>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4"/>
    </row>
    <row r="1388" spans="1:35" ht="12.5" hidden="1" x14ac:dyDescent="0.25">
      <c r="A1388" s="9">
        <v>3631</v>
      </c>
      <c r="B1388" s="10" t="s">
        <v>54</v>
      </c>
      <c r="C1388" s="10" t="s">
        <v>15</v>
      </c>
      <c r="D1388" s="10" t="s">
        <v>37</v>
      </c>
      <c r="E1388" s="11" t="s">
        <v>109</v>
      </c>
      <c r="F1388" s="11" t="s">
        <v>17</v>
      </c>
      <c r="G1388" s="10" t="s">
        <v>18</v>
      </c>
      <c r="H1388" s="11" t="s">
        <v>23</v>
      </c>
      <c r="I1388" s="11">
        <v>2022</v>
      </c>
      <c r="J1388" s="11"/>
      <c r="K1388" s="11">
        <v>36166</v>
      </c>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4"/>
    </row>
    <row r="1389" spans="1:35" ht="12.5" hidden="1" x14ac:dyDescent="0.25">
      <c r="A1389" s="9">
        <v>3632</v>
      </c>
      <c r="B1389" s="10" t="s">
        <v>54</v>
      </c>
      <c r="C1389" s="10" t="s">
        <v>15</v>
      </c>
      <c r="D1389" s="10" t="s">
        <v>37</v>
      </c>
      <c r="E1389" s="11" t="s">
        <v>109</v>
      </c>
      <c r="F1389" s="11" t="s">
        <v>17</v>
      </c>
      <c r="G1389" s="10" t="s">
        <v>18</v>
      </c>
      <c r="H1389" s="11" t="s">
        <v>23</v>
      </c>
      <c r="I1389" s="11">
        <v>2022</v>
      </c>
      <c r="J1389" s="11"/>
      <c r="K1389" s="11">
        <v>36166</v>
      </c>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4"/>
    </row>
    <row r="1390" spans="1:35" ht="12.5" hidden="1" x14ac:dyDescent="0.25">
      <c r="A1390" s="9">
        <v>3633</v>
      </c>
      <c r="B1390" s="10" t="s">
        <v>54</v>
      </c>
      <c r="C1390" s="10" t="s">
        <v>15</v>
      </c>
      <c r="D1390" s="10" t="s">
        <v>37</v>
      </c>
      <c r="E1390" s="11" t="s">
        <v>109</v>
      </c>
      <c r="F1390" s="11" t="s">
        <v>17</v>
      </c>
      <c r="G1390" s="10" t="s">
        <v>18</v>
      </c>
      <c r="H1390" s="11" t="s">
        <v>23</v>
      </c>
      <c r="I1390" s="11">
        <v>2022</v>
      </c>
      <c r="J1390" s="11"/>
      <c r="K1390" s="11">
        <v>36166</v>
      </c>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4"/>
    </row>
    <row r="1391" spans="1:35" ht="12.5" hidden="1" x14ac:dyDescent="0.25">
      <c r="A1391" s="9">
        <v>3634</v>
      </c>
      <c r="B1391" s="10" t="s">
        <v>54</v>
      </c>
      <c r="C1391" s="10" t="s">
        <v>15</v>
      </c>
      <c r="D1391" s="10" t="s">
        <v>37</v>
      </c>
      <c r="E1391" s="11" t="s">
        <v>109</v>
      </c>
      <c r="F1391" s="11" t="s">
        <v>17</v>
      </c>
      <c r="G1391" s="10" t="s">
        <v>18</v>
      </c>
      <c r="H1391" s="11" t="s">
        <v>23</v>
      </c>
      <c r="I1391" s="11">
        <v>2022</v>
      </c>
      <c r="J1391" s="11"/>
      <c r="K1391" s="11">
        <v>36166</v>
      </c>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4"/>
    </row>
    <row r="1392" spans="1:35" ht="12.5" hidden="1" x14ac:dyDescent="0.25">
      <c r="A1392" s="9">
        <v>3635</v>
      </c>
      <c r="B1392" s="10" t="s">
        <v>54</v>
      </c>
      <c r="C1392" s="10" t="s">
        <v>15</v>
      </c>
      <c r="D1392" s="10" t="s">
        <v>37</v>
      </c>
      <c r="E1392" s="11" t="s">
        <v>109</v>
      </c>
      <c r="F1392" s="11" t="s">
        <v>17</v>
      </c>
      <c r="G1392" s="10" t="s">
        <v>18</v>
      </c>
      <c r="H1392" s="11" t="s">
        <v>23</v>
      </c>
      <c r="I1392" s="11">
        <v>2022</v>
      </c>
      <c r="J1392" s="11"/>
      <c r="K1392" s="11">
        <v>36166</v>
      </c>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4"/>
    </row>
    <row r="1393" spans="1:35" ht="12.5" hidden="1" x14ac:dyDescent="0.25">
      <c r="A1393" s="9">
        <v>3636</v>
      </c>
      <c r="B1393" s="10" t="s">
        <v>54</v>
      </c>
      <c r="C1393" s="10" t="s">
        <v>15</v>
      </c>
      <c r="D1393" s="10" t="s">
        <v>37</v>
      </c>
      <c r="E1393" s="11" t="s">
        <v>109</v>
      </c>
      <c r="F1393" s="11" t="s">
        <v>17</v>
      </c>
      <c r="G1393" s="10" t="s">
        <v>18</v>
      </c>
      <c r="H1393" s="11" t="s">
        <v>23</v>
      </c>
      <c r="I1393" s="11">
        <v>2022</v>
      </c>
      <c r="J1393" s="11"/>
      <c r="K1393" s="11">
        <v>36166</v>
      </c>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4"/>
    </row>
    <row r="1394" spans="1:35" ht="12.5" hidden="1" x14ac:dyDescent="0.25">
      <c r="A1394" s="9">
        <v>3637</v>
      </c>
      <c r="B1394" s="10" t="s">
        <v>54</v>
      </c>
      <c r="C1394" s="10" t="s">
        <v>15</v>
      </c>
      <c r="D1394" s="10" t="s">
        <v>37</v>
      </c>
      <c r="E1394" s="11" t="s">
        <v>57</v>
      </c>
      <c r="F1394" s="11" t="s">
        <v>17</v>
      </c>
      <c r="G1394" s="10" t="s">
        <v>18</v>
      </c>
      <c r="H1394" s="11" t="s">
        <v>23</v>
      </c>
      <c r="I1394" s="11">
        <v>2022</v>
      </c>
      <c r="J1394" s="11"/>
      <c r="K1394" s="11">
        <v>36207</v>
      </c>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4"/>
    </row>
    <row r="1395" spans="1:35" ht="12.5" hidden="1" x14ac:dyDescent="0.25">
      <c r="A1395" s="9">
        <v>3638</v>
      </c>
      <c r="B1395" s="10" t="s">
        <v>54</v>
      </c>
      <c r="C1395" s="10" t="s">
        <v>15</v>
      </c>
      <c r="D1395" s="10" t="s">
        <v>37</v>
      </c>
      <c r="E1395" s="11" t="s">
        <v>57</v>
      </c>
      <c r="F1395" s="11" t="s">
        <v>17</v>
      </c>
      <c r="G1395" s="10" t="s">
        <v>24</v>
      </c>
      <c r="H1395" s="11" t="s">
        <v>23</v>
      </c>
      <c r="I1395" s="11">
        <v>2022</v>
      </c>
      <c r="J1395" s="11"/>
      <c r="K1395" s="11">
        <v>36207</v>
      </c>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4"/>
    </row>
    <row r="1396" spans="1:35" ht="12.5" hidden="1" x14ac:dyDescent="0.25">
      <c r="A1396" s="9">
        <v>3639</v>
      </c>
      <c r="B1396" s="10" t="s">
        <v>54</v>
      </c>
      <c r="C1396" s="10" t="s">
        <v>15</v>
      </c>
      <c r="D1396" s="10" t="s">
        <v>37</v>
      </c>
      <c r="E1396" s="11" t="s">
        <v>57</v>
      </c>
      <c r="F1396" s="11" t="s">
        <v>17</v>
      </c>
      <c r="G1396" s="10" t="s">
        <v>18</v>
      </c>
      <c r="H1396" s="11" t="s">
        <v>23</v>
      </c>
      <c r="I1396" s="11">
        <v>2022</v>
      </c>
      <c r="J1396" s="11"/>
      <c r="K1396" s="11">
        <v>36207</v>
      </c>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4"/>
    </row>
    <row r="1397" spans="1:35" ht="12.5" hidden="1" x14ac:dyDescent="0.25">
      <c r="A1397" s="9">
        <v>3640</v>
      </c>
      <c r="B1397" s="10" t="s">
        <v>54</v>
      </c>
      <c r="C1397" s="10" t="s">
        <v>15</v>
      </c>
      <c r="D1397" s="10" t="s">
        <v>37</v>
      </c>
      <c r="E1397" s="11" t="s">
        <v>57</v>
      </c>
      <c r="F1397" s="11" t="s">
        <v>17</v>
      </c>
      <c r="G1397" s="10" t="s">
        <v>24</v>
      </c>
      <c r="H1397" s="11" t="s">
        <v>23</v>
      </c>
      <c r="I1397" s="11">
        <v>2022</v>
      </c>
      <c r="J1397" s="11"/>
      <c r="K1397" s="11">
        <v>36207</v>
      </c>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4"/>
    </row>
    <row r="1398" spans="1:35" ht="12.5" hidden="1" x14ac:dyDescent="0.25">
      <c r="A1398" s="9">
        <v>3641</v>
      </c>
      <c r="B1398" s="10" t="s">
        <v>54</v>
      </c>
      <c r="C1398" s="10" t="s">
        <v>15</v>
      </c>
      <c r="D1398" s="10" t="s">
        <v>37</v>
      </c>
      <c r="E1398" s="11" t="s">
        <v>57</v>
      </c>
      <c r="F1398" s="11" t="s">
        <v>17</v>
      </c>
      <c r="G1398" s="10" t="s">
        <v>18</v>
      </c>
      <c r="H1398" s="11" t="s">
        <v>23</v>
      </c>
      <c r="I1398" s="11">
        <v>2022</v>
      </c>
      <c r="J1398" s="11"/>
      <c r="K1398" s="11">
        <v>36207</v>
      </c>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4"/>
    </row>
    <row r="1399" spans="1:35" ht="12.5" hidden="1" x14ac:dyDescent="0.25">
      <c r="A1399" s="9">
        <v>3642</v>
      </c>
      <c r="B1399" s="10" t="s">
        <v>54</v>
      </c>
      <c r="C1399" s="10" t="s">
        <v>15</v>
      </c>
      <c r="D1399" s="10" t="s">
        <v>37</v>
      </c>
      <c r="E1399" s="11" t="s">
        <v>178</v>
      </c>
      <c r="F1399" s="11" t="s">
        <v>17</v>
      </c>
      <c r="G1399" s="10" t="s">
        <v>24</v>
      </c>
      <c r="H1399" s="11" t="s">
        <v>25</v>
      </c>
      <c r="I1399" s="11">
        <v>2022</v>
      </c>
      <c r="J1399" s="11"/>
      <c r="K1399" s="11">
        <v>36161</v>
      </c>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4"/>
    </row>
    <row r="1400" spans="1:35" ht="12.5" hidden="1" x14ac:dyDescent="0.25">
      <c r="A1400" s="9">
        <v>3643</v>
      </c>
      <c r="B1400" s="10" t="s">
        <v>54</v>
      </c>
      <c r="C1400" s="10" t="s">
        <v>15</v>
      </c>
      <c r="D1400" s="10" t="s">
        <v>37</v>
      </c>
      <c r="E1400" s="11" t="s">
        <v>178</v>
      </c>
      <c r="F1400" s="11" t="s">
        <v>17</v>
      </c>
      <c r="G1400" s="10" t="s">
        <v>24</v>
      </c>
      <c r="H1400" s="11" t="s">
        <v>23</v>
      </c>
      <c r="I1400" s="11">
        <v>2022</v>
      </c>
      <c r="J1400" s="11"/>
      <c r="K1400" s="11">
        <v>36161</v>
      </c>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4"/>
    </row>
    <row r="1401" spans="1:35" ht="12.5" hidden="1" x14ac:dyDescent="0.25">
      <c r="A1401" s="9">
        <v>3644</v>
      </c>
      <c r="B1401" s="10" t="s">
        <v>54</v>
      </c>
      <c r="C1401" s="10" t="s">
        <v>15</v>
      </c>
      <c r="D1401" s="10" t="s">
        <v>37</v>
      </c>
      <c r="E1401" s="11" t="s">
        <v>178</v>
      </c>
      <c r="F1401" s="11" t="s">
        <v>17</v>
      </c>
      <c r="G1401" s="10" t="s">
        <v>24</v>
      </c>
      <c r="H1401" s="11" t="s">
        <v>25</v>
      </c>
      <c r="I1401" s="11">
        <v>2022</v>
      </c>
      <c r="J1401" s="11"/>
      <c r="K1401" s="11">
        <v>36161</v>
      </c>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4"/>
    </row>
    <row r="1402" spans="1:35" ht="12.5" hidden="1" x14ac:dyDescent="0.25">
      <c r="A1402" s="9">
        <v>1</v>
      </c>
      <c r="B1402" s="10" t="s">
        <v>54</v>
      </c>
      <c r="C1402" s="10" t="s">
        <v>41</v>
      </c>
      <c r="D1402" s="10" t="s">
        <v>42</v>
      </c>
      <c r="E1402" s="11" t="s">
        <v>151</v>
      </c>
      <c r="F1402" s="11" t="s">
        <v>17</v>
      </c>
      <c r="G1402" s="10" t="s">
        <v>24</v>
      </c>
      <c r="H1402" s="11" t="s">
        <v>19</v>
      </c>
      <c r="I1402" s="11" t="s">
        <v>113</v>
      </c>
      <c r="J1402" s="11"/>
      <c r="K1402" s="11" t="s">
        <v>114</v>
      </c>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4"/>
    </row>
    <row r="1403" spans="1:35" ht="12.5" hidden="1" x14ac:dyDescent="0.25">
      <c r="A1403" s="9">
        <v>2</v>
      </c>
      <c r="B1403" s="10" t="s">
        <v>54</v>
      </c>
      <c r="C1403" s="10" t="s">
        <v>41</v>
      </c>
      <c r="D1403" s="10" t="s">
        <v>42</v>
      </c>
      <c r="E1403" s="11" t="s">
        <v>151</v>
      </c>
      <c r="F1403" s="11" t="s">
        <v>17</v>
      </c>
      <c r="G1403" s="10" t="s">
        <v>18</v>
      </c>
      <c r="H1403" s="11" t="s">
        <v>23</v>
      </c>
      <c r="I1403" s="11" t="s">
        <v>113</v>
      </c>
      <c r="J1403" s="11"/>
      <c r="K1403" s="11" t="s">
        <v>114</v>
      </c>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4"/>
    </row>
    <row r="1404" spans="1:35" ht="12.5" hidden="1" x14ac:dyDescent="0.25">
      <c r="A1404" s="9">
        <v>3</v>
      </c>
      <c r="B1404" s="10" t="s">
        <v>54</v>
      </c>
      <c r="C1404" s="10" t="s">
        <v>41</v>
      </c>
      <c r="D1404" s="10" t="s">
        <v>42</v>
      </c>
      <c r="E1404" s="11" t="s">
        <v>151</v>
      </c>
      <c r="F1404" s="11" t="s">
        <v>17</v>
      </c>
      <c r="G1404" s="10" t="s">
        <v>18</v>
      </c>
      <c r="H1404" s="11" t="s">
        <v>19</v>
      </c>
      <c r="I1404" s="11" t="s">
        <v>113</v>
      </c>
      <c r="J1404" s="11"/>
      <c r="K1404" s="11" t="s">
        <v>114</v>
      </c>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4"/>
    </row>
    <row r="1405" spans="1:35" ht="12.5" hidden="1" x14ac:dyDescent="0.25">
      <c r="A1405" s="9">
        <v>4</v>
      </c>
      <c r="B1405" s="10" t="s">
        <v>54</v>
      </c>
      <c r="C1405" s="10" t="s">
        <v>41</v>
      </c>
      <c r="D1405" s="10" t="s">
        <v>42</v>
      </c>
      <c r="E1405" s="11" t="s">
        <v>151</v>
      </c>
      <c r="F1405" s="11" t="s">
        <v>17</v>
      </c>
      <c r="G1405" s="10" t="s">
        <v>24</v>
      </c>
      <c r="H1405" s="11" t="s">
        <v>19</v>
      </c>
      <c r="I1405" s="11" t="s">
        <v>113</v>
      </c>
      <c r="J1405" s="11"/>
      <c r="K1405" s="11" t="s">
        <v>114</v>
      </c>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4"/>
    </row>
    <row r="1406" spans="1:35" ht="12.5" hidden="1" x14ac:dyDescent="0.25">
      <c r="A1406" s="9">
        <v>5</v>
      </c>
      <c r="B1406" s="10" t="s">
        <v>54</v>
      </c>
      <c r="C1406" s="10" t="s">
        <v>41</v>
      </c>
      <c r="D1406" s="10" t="s">
        <v>42</v>
      </c>
      <c r="E1406" s="11" t="s">
        <v>151</v>
      </c>
      <c r="F1406" s="11" t="s">
        <v>17</v>
      </c>
      <c r="G1406" s="10" t="s">
        <v>18</v>
      </c>
      <c r="H1406" s="11" t="s">
        <v>19</v>
      </c>
      <c r="I1406" s="11" t="s">
        <v>113</v>
      </c>
      <c r="J1406" s="11"/>
      <c r="K1406" s="11" t="s">
        <v>114</v>
      </c>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4"/>
    </row>
    <row r="1407" spans="1:35" ht="12.5" hidden="1" x14ac:dyDescent="0.25">
      <c r="A1407" s="9">
        <v>6</v>
      </c>
      <c r="B1407" s="10" t="s">
        <v>54</v>
      </c>
      <c r="C1407" s="10" t="s">
        <v>41</v>
      </c>
      <c r="D1407" s="10" t="s">
        <v>42</v>
      </c>
      <c r="E1407" s="11" t="s">
        <v>151</v>
      </c>
      <c r="F1407" s="11" t="s">
        <v>17</v>
      </c>
      <c r="G1407" s="10" t="s">
        <v>18</v>
      </c>
      <c r="H1407" s="11" t="s">
        <v>23</v>
      </c>
      <c r="I1407" s="11" t="s">
        <v>113</v>
      </c>
      <c r="J1407" s="11"/>
      <c r="K1407" s="11" t="s">
        <v>114</v>
      </c>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4"/>
    </row>
    <row r="1408" spans="1:35" ht="12.5" hidden="1" x14ac:dyDescent="0.25">
      <c r="A1408" s="9">
        <v>7</v>
      </c>
      <c r="B1408" s="10" t="s">
        <v>54</v>
      </c>
      <c r="C1408" s="10" t="s">
        <v>41</v>
      </c>
      <c r="D1408" s="10" t="s">
        <v>42</v>
      </c>
      <c r="E1408" s="11" t="s">
        <v>151</v>
      </c>
      <c r="F1408" s="11" t="s">
        <v>17</v>
      </c>
      <c r="G1408" s="10" t="s">
        <v>18</v>
      </c>
      <c r="H1408" s="11" t="s">
        <v>19</v>
      </c>
      <c r="I1408" s="11" t="s">
        <v>113</v>
      </c>
      <c r="J1408" s="11"/>
      <c r="K1408" s="11" t="s">
        <v>114</v>
      </c>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4"/>
    </row>
    <row r="1409" spans="1:35" ht="12.5" hidden="1" x14ac:dyDescent="0.25">
      <c r="A1409" s="9">
        <v>8</v>
      </c>
      <c r="B1409" s="10" t="s">
        <v>54</v>
      </c>
      <c r="C1409" s="10" t="s">
        <v>41</v>
      </c>
      <c r="D1409" s="10" t="s">
        <v>42</v>
      </c>
      <c r="E1409" s="11" t="s">
        <v>151</v>
      </c>
      <c r="F1409" s="11" t="s">
        <v>17</v>
      </c>
      <c r="G1409" s="10" t="s">
        <v>24</v>
      </c>
      <c r="H1409" s="11" t="s">
        <v>19</v>
      </c>
      <c r="I1409" s="11" t="s">
        <v>113</v>
      </c>
      <c r="J1409" s="11"/>
      <c r="K1409" s="11" t="s">
        <v>114</v>
      </c>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4"/>
    </row>
    <row r="1410" spans="1:35" ht="12.5" hidden="1" x14ac:dyDescent="0.25">
      <c r="A1410" s="9">
        <v>9</v>
      </c>
      <c r="B1410" s="10" t="s">
        <v>54</v>
      </c>
      <c r="C1410" s="10" t="s">
        <v>41</v>
      </c>
      <c r="D1410" s="10" t="s">
        <v>42</v>
      </c>
      <c r="E1410" s="11" t="s">
        <v>151</v>
      </c>
      <c r="F1410" s="11" t="s">
        <v>17</v>
      </c>
      <c r="G1410" s="10" t="s">
        <v>24</v>
      </c>
      <c r="H1410" s="11" t="s">
        <v>19</v>
      </c>
      <c r="I1410" s="11" t="s">
        <v>113</v>
      </c>
      <c r="J1410" s="11"/>
      <c r="K1410" s="11" t="s">
        <v>114</v>
      </c>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4"/>
    </row>
    <row r="1411" spans="1:35" ht="12.5" hidden="1" x14ac:dyDescent="0.25">
      <c r="A1411" s="9">
        <v>10</v>
      </c>
      <c r="B1411" s="10" t="s">
        <v>54</v>
      </c>
      <c r="C1411" s="10" t="s">
        <v>41</v>
      </c>
      <c r="D1411" s="10" t="s">
        <v>42</v>
      </c>
      <c r="E1411" s="11" t="s">
        <v>151</v>
      </c>
      <c r="F1411" s="11" t="s">
        <v>17</v>
      </c>
      <c r="G1411" s="10" t="s">
        <v>18</v>
      </c>
      <c r="H1411" s="11" t="s">
        <v>25</v>
      </c>
      <c r="I1411" s="11" t="s">
        <v>113</v>
      </c>
      <c r="J1411" s="11"/>
      <c r="K1411" s="11" t="s">
        <v>114</v>
      </c>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4"/>
    </row>
    <row r="1412" spans="1:35" ht="12.5" hidden="1" x14ac:dyDescent="0.25">
      <c r="A1412" s="9">
        <v>11</v>
      </c>
      <c r="B1412" s="10" t="s">
        <v>54</v>
      </c>
      <c r="C1412" s="10" t="s">
        <v>41</v>
      </c>
      <c r="D1412" s="10" t="s">
        <v>42</v>
      </c>
      <c r="E1412" s="11" t="s">
        <v>151</v>
      </c>
      <c r="F1412" s="11" t="s">
        <v>17</v>
      </c>
      <c r="G1412" s="10" t="s">
        <v>24</v>
      </c>
      <c r="H1412" s="11" t="s">
        <v>19</v>
      </c>
      <c r="I1412" s="11" t="s">
        <v>113</v>
      </c>
      <c r="J1412" s="11"/>
      <c r="K1412" s="11" t="s">
        <v>114</v>
      </c>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4"/>
    </row>
    <row r="1413" spans="1:35" ht="12.5" hidden="1" x14ac:dyDescent="0.25">
      <c r="A1413" s="9">
        <v>12</v>
      </c>
      <c r="B1413" s="10" t="s">
        <v>54</v>
      </c>
      <c r="C1413" s="10" t="s">
        <v>41</v>
      </c>
      <c r="D1413" s="10" t="s">
        <v>42</v>
      </c>
      <c r="E1413" s="11" t="s">
        <v>151</v>
      </c>
      <c r="F1413" s="11" t="s">
        <v>17</v>
      </c>
      <c r="G1413" s="10" t="s">
        <v>18</v>
      </c>
      <c r="H1413" s="11" t="s">
        <v>19</v>
      </c>
      <c r="I1413" s="11" t="s">
        <v>113</v>
      </c>
      <c r="J1413" s="11"/>
      <c r="K1413" s="11" t="s">
        <v>114</v>
      </c>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4"/>
    </row>
    <row r="1414" spans="1:35" ht="12.5" hidden="1" x14ac:dyDescent="0.25">
      <c r="A1414" s="9">
        <v>13</v>
      </c>
      <c r="B1414" s="10" t="s">
        <v>54</v>
      </c>
      <c r="C1414" s="10" t="s">
        <v>41</v>
      </c>
      <c r="D1414" s="10" t="s">
        <v>42</v>
      </c>
      <c r="E1414" s="11" t="s">
        <v>151</v>
      </c>
      <c r="F1414" s="11" t="s">
        <v>17</v>
      </c>
      <c r="G1414" s="10" t="s">
        <v>24</v>
      </c>
      <c r="H1414" s="11" t="s">
        <v>19</v>
      </c>
      <c r="I1414" s="11" t="s">
        <v>113</v>
      </c>
      <c r="J1414" s="11"/>
      <c r="K1414" s="11" t="s">
        <v>114</v>
      </c>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4"/>
    </row>
    <row r="1415" spans="1:35" ht="12.5" hidden="1" x14ac:dyDescent="0.25">
      <c r="A1415" s="9">
        <v>14</v>
      </c>
      <c r="B1415" s="10" t="s">
        <v>54</v>
      </c>
      <c r="C1415" s="10" t="s">
        <v>41</v>
      </c>
      <c r="D1415" s="10" t="s">
        <v>42</v>
      </c>
      <c r="E1415" s="11" t="s">
        <v>151</v>
      </c>
      <c r="F1415" s="11" t="s">
        <v>17</v>
      </c>
      <c r="G1415" s="10" t="s">
        <v>24</v>
      </c>
      <c r="H1415" s="11" t="s">
        <v>19</v>
      </c>
      <c r="I1415" s="11" t="s">
        <v>113</v>
      </c>
      <c r="J1415" s="11"/>
      <c r="K1415" s="11" t="s">
        <v>114</v>
      </c>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4"/>
    </row>
    <row r="1416" spans="1:35" ht="12.5" hidden="1" x14ac:dyDescent="0.25">
      <c r="A1416" s="9">
        <v>15</v>
      </c>
      <c r="B1416" s="10" t="s">
        <v>54</v>
      </c>
      <c r="C1416" s="10" t="s">
        <v>41</v>
      </c>
      <c r="D1416" s="10" t="s">
        <v>42</v>
      </c>
      <c r="E1416" s="11" t="s">
        <v>151</v>
      </c>
      <c r="F1416" s="11" t="s">
        <v>17</v>
      </c>
      <c r="G1416" s="10" t="s">
        <v>24</v>
      </c>
      <c r="H1416" s="11" t="s">
        <v>19</v>
      </c>
      <c r="I1416" s="11" t="s">
        <v>113</v>
      </c>
      <c r="J1416" s="11"/>
      <c r="K1416" s="11" t="s">
        <v>114</v>
      </c>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4"/>
    </row>
    <row r="1417" spans="1:35" ht="12.5" hidden="1" x14ac:dyDescent="0.25">
      <c r="A1417" s="9">
        <v>16</v>
      </c>
      <c r="B1417" s="10" t="s">
        <v>54</v>
      </c>
      <c r="C1417" s="10" t="s">
        <v>41</v>
      </c>
      <c r="D1417" s="10" t="s">
        <v>42</v>
      </c>
      <c r="E1417" s="11" t="s">
        <v>151</v>
      </c>
      <c r="F1417" s="11" t="s">
        <v>17</v>
      </c>
      <c r="G1417" s="10" t="s">
        <v>18</v>
      </c>
      <c r="H1417" s="11" t="s">
        <v>19</v>
      </c>
      <c r="I1417" s="11" t="s">
        <v>113</v>
      </c>
      <c r="J1417" s="11"/>
      <c r="K1417" s="11" t="s">
        <v>114</v>
      </c>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4"/>
    </row>
    <row r="1418" spans="1:35" ht="12.5" hidden="1" x14ac:dyDescent="0.25">
      <c r="A1418" s="9">
        <v>17</v>
      </c>
      <c r="B1418" s="10" t="s">
        <v>54</v>
      </c>
      <c r="C1418" s="10" t="s">
        <v>41</v>
      </c>
      <c r="D1418" s="10" t="s">
        <v>42</v>
      </c>
      <c r="E1418" s="11" t="s">
        <v>151</v>
      </c>
      <c r="F1418" s="11" t="s">
        <v>17</v>
      </c>
      <c r="G1418" s="10" t="s">
        <v>18</v>
      </c>
      <c r="H1418" s="11" t="s">
        <v>19</v>
      </c>
      <c r="I1418" s="11" t="s">
        <v>113</v>
      </c>
      <c r="J1418" s="11"/>
      <c r="K1418" s="11" t="s">
        <v>114</v>
      </c>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4"/>
    </row>
    <row r="1419" spans="1:35" ht="12.5" hidden="1" x14ac:dyDescent="0.25">
      <c r="A1419" s="9">
        <v>18</v>
      </c>
      <c r="B1419" s="10" t="s">
        <v>54</v>
      </c>
      <c r="C1419" s="10" t="s">
        <v>41</v>
      </c>
      <c r="D1419" s="10" t="s">
        <v>42</v>
      </c>
      <c r="E1419" s="11" t="s">
        <v>151</v>
      </c>
      <c r="F1419" s="11" t="s">
        <v>17</v>
      </c>
      <c r="G1419" s="10" t="s">
        <v>24</v>
      </c>
      <c r="H1419" s="11" t="s">
        <v>19</v>
      </c>
      <c r="I1419" s="11" t="s">
        <v>113</v>
      </c>
      <c r="J1419" s="11"/>
      <c r="K1419" s="11" t="s">
        <v>114</v>
      </c>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4"/>
    </row>
    <row r="1420" spans="1:35" ht="12.5" hidden="1" x14ac:dyDescent="0.25">
      <c r="A1420" s="9">
        <v>19</v>
      </c>
      <c r="B1420" s="10" t="s">
        <v>54</v>
      </c>
      <c r="C1420" s="10" t="s">
        <v>41</v>
      </c>
      <c r="D1420" s="10" t="s">
        <v>42</v>
      </c>
      <c r="E1420" s="11" t="s">
        <v>151</v>
      </c>
      <c r="F1420" s="11" t="s">
        <v>17</v>
      </c>
      <c r="G1420" s="10" t="s">
        <v>18</v>
      </c>
      <c r="H1420" s="11" t="s">
        <v>19</v>
      </c>
      <c r="I1420" s="11" t="s">
        <v>113</v>
      </c>
      <c r="J1420" s="11"/>
      <c r="K1420" s="11" t="s">
        <v>114</v>
      </c>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4"/>
    </row>
    <row r="1421" spans="1:35" ht="12.5" hidden="1" x14ac:dyDescent="0.25">
      <c r="A1421" s="9">
        <v>20</v>
      </c>
      <c r="B1421" s="10" t="s">
        <v>54</v>
      </c>
      <c r="C1421" s="10" t="s">
        <v>41</v>
      </c>
      <c r="D1421" s="10" t="s">
        <v>42</v>
      </c>
      <c r="E1421" s="11" t="s">
        <v>151</v>
      </c>
      <c r="F1421" s="11" t="s">
        <v>17</v>
      </c>
      <c r="G1421" s="10" t="s">
        <v>18</v>
      </c>
      <c r="H1421" s="11" t="s">
        <v>19</v>
      </c>
      <c r="I1421" s="11" t="s">
        <v>113</v>
      </c>
      <c r="J1421" s="11"/>
      <c r="K1421" s="11" t="s">
        <v>114</v>
      </c>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4"/>
    </row>
    <row r="1422" spans="1:35" ht="12.5" hidden="1" x14ac:dyDescent="0.25">
      <c r="A1422" s="9">
        <v>21</v>
      </c>
      <c r="B1422" s="10" t="s">
        <v>54</v>
      </c>
      <c r="C1422" s="10" t="s">
        <v>41</v>
      </c>
      <c r="D1422" s="10" t="s">
        <v>42</v>
      </c>
      <c r="E1422" s="11" t="s">
        <v>151</v>
      </c>
      <c r="F1422" s="11" t="s">
        <v>17</v>
      </c>
      <c r="G1422" s="10" t="s">
        <v>24</v>
      </c>
      <c r="H1422" s="11" t="s">
        <v>19</v>
      </c>
      <c r="I1422" s="11" t="s">
        <v>113</v>
      </c>
      <c r="J1422" s="11"/>
      <c r="K1422" s="11" t="s">
        <v>114</v>
      </c>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4"/>
    </row>
    <row r="1423" spans="1:35" ht="12.5" hidden="1" x14ac:dyDescent="0.25">
      <c r="A1423" s="9">
        <v>22</v>
      </c>
      <c r="B1423" s="10" t="s">
        <v>54</v>
      </c>
      <c r="C1423" s="10" t="s">
        <v>41</v>
      </c>
      <c r="D1423" s="10" t="s">
        <v>42</v>
      </c>
      <c r="E1423" s="11" t="s">
        <v>151</v>
      </c>
      <c r="F1423" s="11" t="s">
        <v>17</v>
      </c>
      <c r="G1423" s="10" t="s">
        <v>18</v>
      </c>
      <c r="H1423" s="11" t="s">
        <v>19</v>
      </c>
      <c r="I1423" s="11" t="s">
        <v>113</v>
      </c>
      <c r="J1423" s="11"/>
      <c r="K1423" s="11" t="s">
        <v>114</v>
      </c>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4"/>
    </row>
    <row r="1424" spans="1:35" ht="12.5" hidden="1" x14ac:dyDescent="0.25">
      <c r="A1424" s="9">
        <v>23</v>
      </c>
      <c r="B1424" s="10" t="s">
        <v>54</v>
      </c>
      <c r="C1424" s="10" t="s">
        <v>41</v>
      </c>
      <c r="D1424" s="10" t="s">
        <v>42</v>
      </c>
      <c r="E1424" s="11" t="s">
        <v>151</v>
      </c>
      <c r="F1424" s="11" t="s">
        <v>17</v>
      </c>
      <c r="G1424" s="10" t="s">
        <v>18</v>
      </c>
      <c r="H1424" s="11" t="s">
        <v>19</v>
      </c>
      <c r="I1424" s="11" t="s">
        <v>113</v>
      </c>
      <c r="J1424" s="11"/>
      <c r="K1424" s="11" t="s">
        <v>114</v>
      </c>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4"/>
    </row>
    <row r="1425" spans="1:35" ht="12.5" hidden="1" x14ac:dyDescent="0.25">
      <c r="A1425" s="9">
        <v>24</v>
      </c>
      <c r="B1425" s="10" t="s">
        <v>54</v>
      </c>
      <c r="C1425" s="10" t="s">
        <v>41</v>
      </c>
      <c r="D1425" s="10" t="s">
        <v>42</v>
      </c>
      <c r="E1425" s="11" t="s">
        <v>151</v>
      </c>
      <c r="F1425" s="11" t="s">
        <v>17</v>
      </c>
      <c r="G1425" s="10" t="s">
        <v>18</v>
      </c>
      <c r="H1425" s="11" t="s">
        <v>19</v>
      </c>
      <c r="I1425" s="11" t="s">
        <v>113</v>
      </c>
      <c r="J1425" s="11"/>
      <c r="K1425" s="11" t="s">
        <v>114</v>
      </c>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4"/>
    </row>
    <row r="1426" spans="1:35" ht="12.5" hidden="1" x14ac:dyDescent="0.25">
      <c r="A1426" s="9">
        <v>25</v>
      </c>
      <c r="B1426" s="10" t="s">
        <v>54</v>
      </c>
      <c r="C1426" s="10" t="s">
        <v>41</v>
      </c>
      <c r="D1426" s="10" t="s">
        <v>42</v>
      </c>
      <c r="E1426" s="11" t="s">
        <v>151</v>
      </c>
      <c r="F1426" s="11" t="s">
        <v>17</v>
      </c>
      <c r="G1426" s="10" t="s">
        <v>24</v>
      </c>
      <c r="H1426" s="11" t="s">
        <v>19</v>
      </c>
      <c r="I1426" s="11" t="s">
        <v>113</v>
      </c>
      <c r="J1426" s="11"/>
      <c r="K1426" s="11" t="s">
        <v>114</v>
      </c>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4"/>
    </row>
    <row r="1427" spans="1:35" ht="12.5" hidden="1" x14ac:dyDescent="0.25">
      <c r="A1427" s="9">
        <v>26</v>
      </c>
      <c r="B1427" s="10" t="s">
        <v>54</v>
      </c>
      <c r="C1427" s="10" t="s">
        <v>41</v>
      </c>
      <c r="D1427" s="10" t="s">
        <v>42</v>
      </c>
      <c r="E1427" s="11" t="s">
        <v>151</v>
      </c>
      <c r="F1427" s="11" t="s">
        <v>17</v>
      </c>
      <c r="G1427" s="10" t="s">
        <v>18</v>
      </c>
      <c r="H1427" s="11" t="s">
        <v>19</v>
      </c>
      <c r="I1427" s="11" t="s">
        <v>113</v>
      </c>
      <c r="J1427" s="11"/>
      <c r="K1427" s="11" t="s">
        <v>114</v>
      </c>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4"/>
    </row>
    <row r="1428" spans="1:35" ht="12.5" hidden="1" x14ac:dyDescent="0.25">
      <c r="A1428" s="9">
        <v>27</v>
      </c>
      <c r="B1428" s="10" t="s">
        <v>54</v>
      </c>
      <c r="C1428" s="10" t="s">
        <v>41</v>
      </c>
      <c r="D1428" s="10" t="s">
        <v>42</v>
      </c>
      <c r="E1428" s="11" t="s">
        <v>151</v>
      </c>
      <c r="F1428" s="11" t="s">
        <v>17</v>
      </c>
      <c r="G1428" s="10" t="s">
        <v>18</v>
      </c>
      <c r="H1428" s="11" t="s">
        <v>19</v>
      </c>
      <c r="I1428" s="11" t="s">
        <v>113</v>
      </c>
      <c r="J1428" s="11"/>
      <c r="K1428" s="11" t="s">
        <v>114</v>
      </c>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4"/>
    </row>
    <row r="1429" spans="1:35" ht="12.5" hidden="1" x14ac:dyDescent="0.25">
      <c r="A1429" s="9">
        <v>28</v>
      </c>
      <c r="B1429" s="10" t="s">
        <v>54</v>
      </c>
      <c r="C1429" s="10" t="s">
        <v>41</v>
      </c>
      <c r="D1429" s="10" t="s">
        <v>42</v>
      </c>
      <c r="E1429" s="11" t="s">
        <v>151</v>
      </c>
      <c r="F1429" s="11" t="s">
        <v>17</v>
      </c>
      <c r="G1429" s="10" t="s">
        <v>24</v>
      </c>
      <c r="H1429" s="11" t="s">
        <v>19</v>
      </c>
      <c r="I1429" s="11" t="s">
        <v>113</v>
      </c>
      <c r="J1429" s="11"/>
      <c r="K1429" s="11" t="s">
        <v>114</v>
      </c>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4"/>
    </row>
    <row r="1430" spans="1:35" ht="12.5" hidden="1" x14ac:dyDescent="0.25">
      <c r="A1430" s="9">
        <v>29</v>
      </c>
      <c r="B1430" s="10" t="s">
        <v>54</v>
      </c>
      <c r="C1430" s="10" t="s">
        <v>41</v>
      </c>
      <c r="D1430" s="10" t="s">
        <v>42</v>
      </c>
      <c r="E1430" s="11" t="s">
        <v>151</v>
      </c>
      <c r="F1430" s="11" t="s">
        <v>17</v>
      </c>
      <c r="G1430" s="10" t="s">
        <v>18</v>
      </c>
      <c r="H1430" s="11" t="s">
        <v>19</v>
      </c>
      <c r="I1430" s="11" t="s">
        <v>113</v>
      </c>
      <c r="J1430" s="11"/>
      <c r="K1430" s="11" t="s">
        <v>114</v>
      </c>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4"/>
    </row>
    <row r="1431" spans="1:35" ht="12.5" hidden="1" x14ac:dyDescent="0.25">
      <c r="A1431" s="9">
        <v>30</v>
      </c>
      <c r="B1431" s="10" t="s">
        <v>54</v>
      </c>
      <c r="C1431" s="10" t="s">
        <v>41</v>
      </c>
      <c r="D1431" s="10" t="s">
        <v>42</v>
      </c>
      <c r="E1431" s="11" t="s">
        <v>151</v>
      </c>
      <c r="F1431" s="11" t="s">
        <v>17</v>
      </c>
      <c r="G1431" s="10" t="s">
        <v>24</v>
      </c>
      <c r="H1431" s="11" t="s">
        <v>19</v>
      </c>
      <c r="I1431" s="11" t="s">
        <v>113</v>
      </c>
      <c r="J1431" s="11"/>
      <c r="K1431" s="11" t="s">
        <v>114</v>
      </c>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4"/>
    </row>
    <row r="1432" spans="1:35" ht="12.5" hidden="1" x14ac:dyDescent="0.25">
      <c r="A1432" s="9">
        <v>31</v>
      </c>
      <c r="B1432" s="10" t="s">
        <v>54</v>
      </c>
      <c r="C1432" s="10" t="s">
        <v>41</v>
      </c>
      <c r="D1432" s="10" t="s">
        <v>42</v>
      </c>
      <c r="E1432" s="11" t="s">
        <v>151</v>
      </c>
      <c r="F1432" s="11" t="s">
        <v>17</v>
      </c>
      <c r="G1432" s="10" t="s">
        <v>24</v>
      </c>
      <c r="H1432" s="11" t="s">
        <v>19</v>
      </c>
      <c r="I1432" s="11" t="s">
        <v>113</v>
      </c>
      <c r="J1432" s="11"/>
      <c r="K1432" s="11" t="s">
        <v>114</v>
      </c>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4"/>
    </row>
    <row r="1433" spans="1:35" ht="12.5" hidden="1" x14ac:dyDescent="0.25">
      <c r="A1433" s="9">
        <v>32</v>
      </c>
      <c r="B1433" s="10" t="s">
        <v>54</v>
      </c>
      <c r="C1433" s="10" t="s">
        <v>41</v>
      </c>
      <c r="D1433" s="10" t="s">
        <v>42</v>
      </c>
      <c r="E1433" s="11" t="s">
        <v>151</v>
      </c>
      <c r="F1433" s="11" t="s">
        <v>17</v>
      </c>
      <c r="G1433" s="10" t="s">
        <v>24</v>
      </c>
      <c r="H1433" s="11" t="s">
        <v>19</v>
      </c>
      <c r="I1433" s="11" t="s">
        <v>113</v>
      </c>
      <c r="J1433" s="11"/>
      <c r="K1433" s="11" t="s">
        <v>114</v>
      </c>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4"/>
    </row>
    <row r="1434" spans="1:35" ht="12.5" hidden="1" x14ac:dyDescent="0.25">
      <c r="A1434" s="9">
        <v>33</v>
      </c>
      <c r="B1434" s="10" t="s">
        <v>54</v>
      </c>
      <c r="C1434" s="10" t="s">
        <v>41</v>
      </c>
      <c r="D1434" s="10" t="s">
        <v>42</v>
      </c>
      <c r="E1434" s="11" t="s">
        <v>151</v>
      </c>
      <c r="F1434" s="11" t="s">
        <v>17</v>
      </c>
      <c r="G1434" s="10" t="s">
        <v>24</v>
      </c>
      <c r="H1434" s="11" t="s">
        <v>19</v>
      </c>
      <c r="I1434" s="11" t="s">
        <v>113</v>
      </c>
      <c r="J1434" s="11"/>
      <c r="K1434" s="11" t="s">
        <v>114</v>
      </c>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4"/>
    </row>
    <row r="1435" spans="1:35" ht="12.5" hidden="1" x14ac:dyDescent="0.25">
      <c r="A1435" s="9">
        <v>34</v>
      </c>
      <c r="B1435" s="10" t="s">
        <v>54</v>
      </c>
      <c r="C1435" s="10" t="s">
        <v>41</v>
      </c>
      <c r="D1435" s="10" t="s">
        <v>42</v>
      </c>
      <c r="E1435" s="11" t="s">
        <v>151</v>
      </c>
      <c r="F1435" s="11" t="s">
        <v>17</v>
      </c>
      <c r="G1435" s="10" t="s">
        <v>24</v>
      </c>
      <c r="H1435" s="11" t="s">
        <v>19</v>
      </c>
      <c r="I1435" s="11" t="s">
        <v>113</v>
      </c>
      <c r="J1435" s="11"/>
      <c r="K1435" s="11" t="s">
        <v>114</v>
      </c>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4"/>
    </row>
    <row r="1436" spans="1:35" ht="12.5" hidden="1" x14ac:dyDescent="0.25">
      <c r="A1436" s="9">
        <v>35</v>
      </c>
      <c r="B1436" s="10" t="s">
        <v>54</v>
      </c>
      <c r="C1436" s="10" t="s">
        <v>41</v>
      </c>
      <c r="D1436" s="10" t="s">
        <v>42</v>
      </c>
      <c r="E1436" s="11" t="s">
        <v>151</v>
      </c>
      <c r="F1436" s="11" t="s">
        <v>17</v>
      </c>
      <c r="G1436" s="10" t="s">
        <v>18</v>
      </c>
      <c r="H1436" s="11" t="s">
        <v>23</v>
      </c>
      <c r="I1436" s="11" t="s">
        <v>113</v>
      </c>
      <c r="J1436" s="11"/>
      <c r="K1436" s="11" t="s">
        <v>114</v>
      </c>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4"/>
    </row>
    <row r="1437" spans="1:35" ht="12.5" hidden="1" x14ac:dyDescent="0.25">
      <c r="A1437" s="9">
        <v>36</v>
      </c>
      <c r="B1437" s="10" t="s">
        <v>54</v>
      </c>
      <c r="C1437" s="10" t="s">
        <v>41</v>
      </c>
      <c r="D1437" s="10" t="s">
        <v>42</v>
      </c>
      <c r="E1437" s="11" t="s">
        <v>151</v>
      </c>
      <c r="F1437" s="11" t="s">
        <v>17</v>
      </c>
      <c r="G1437" s="10" t="s">
        <v>24</v>
      </c>
      <c r="H1437" s="11" t="s">
        <v>19</v>
      </c>
      <c r="I1437" s="11" t="s">
        <v>113</v>
      </c>
      <c r="J1437" s="11"/>
      <c r="K1437" s="11" t="s">
        <v>114</v>
      </c>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4"/>
    </row>
    <row r="1438" spans="1:35" ht="12.5" hidden="1" x14ac:dyDescent="0.25">
      <c r="A1438" s="9">
        <v>37</v>
      </c>
      <c r="B1438" s="10" t="s">
        <v>54</v>
      </c>
      <c r="C1438" s="10" t="s">
        <v>41</v>
      </c>
      <c r="D1438" s="10" t="s">
        <v>42</v>
      </c>
      <c r="E1438" s="11" t="s">
        <v>151</v>
      </c>
      <c r="F1438" s="11" t="s">
        <v>17</v>
      </c>
      <c r="G1438" s="10" t="s">
        <v>18</v>
      </c>
      <c r="H1438" s="11" t="s">
        <v>19</v>
      </c>
      <c r="I1438" s="11" t="s">
        <v>113</v>
      </c>
      <c r="J1438" s="11"/>
      <c r="K1438" s="11" t="s">
        <v>114</v>
      </c>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4"/>
    </row>
    <row r="1439" spans="1:35" ht="12.5" hidden="1" x14ac:dyDescent="0.25">
      <c r="A1439" s="9">
        <v>38</v>
      </c>
      <c r="B1439" s="10" t="s">
        <v>54</v>
      </c>
      <c r="C1439" s="10" t="s">
        <v>41</v>
      </c>
      <c r="D1439" s="10" t="s">
        <v>42</v>
      </c>
      <c r="E1439" s="11" t="s">
        <v>151</v>
      </c>
      <c r="F1439" s="11" t="s">
        <v>17</v>
      </c>
      <c r="G1439" s="10" t="s">
        <v>24</v>
      </c>
      <c r="H1439" s="11" t="s">
        <v>19</v>
      </c>
      <c r="I1439" s="11" t="s">
        <v>113</v>
      </c>
      <c r="J1439" s="11"/>
      <c r="K1439" s="11" t="s">
        <v>114</v>
      </c>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4"/>
    </row>
    <row r="1440" spans="1:35" ht="12.5" hidden="1" x14ac:dyDescent="0.25">
      <c r="A1440" s="9">
        <v>39</v>
      </c>
      <c r="B1440" s="10" t="s">
        <v>54</v>
      </c>
      <c r="C1440" s="10" t="s">
        <v>41</v>
      </c>
      <c r="D1440" s="10" t="s">
        <v>42</v>
      </c>
      <c r="E1440" s="11" t="s">
        <v>151</v>
      </c>
      <c r="F1440" s="11" t="s">
        <v>17</v>
      </c>
      <c r="G1440" s="10" t="s">
        <v>24</v>
      </c>
      <c r="H1440" s="11" t="s">
        <v>19</v>
      </c>
      <c r="I1440" s="11" t="s">
        <v>113</v>
      </c>
      <c r="J1440" s="11"/>
      <c r="K1440" s="11" t="s">
        <v>114</v>
      </c>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4"/>
    </row>
    <row r="1441" spans="1:35" ht="12.5" hidden="1" x14ac:dyDescent="0.25">
      <c r="A1441" s="9">
        <v>40</v>
      </c>
      <c r="B1441" s="10" t="s">
        <v>54</v>
      </c>
      <c r="C1441" s="10" t="s">
        <v>41</v>
      </c>
      <c r="D1441" s="10" t="s">
        <v>42</v>
      </c>
      <c r="E1441" s="11" t="s">
        <v>151</v>
      </c>
      <c r="F1441" s="11" t="s">
        <v>17</v>
      </c>
      <c r="G1441" s="10" t="s">
        <v>18</v>
      </c>
      <c r="H1441" s="11" t="s">
        <v>19</v>
      </c>
      <c r="I1441" s="11" t="s">
        <v>113</v>
      </c>
      <c r="J1441" s="11"/>
      <c r="K1441" s="11" t="s">
        <v>114</v>
      </c>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4"/>
    </row>
    <row r="1442" spans="1:35" ht="12.5" hidden="1" x14ac:dyDescent="0.25">
      <c r="A1442" s="9">
        <v>41</v>
      </c>
      <c r="B1442" s="10" t="s">
        <v>54</v>
      </c>
      <c r="C1442" s="10" t="s">
        <v>41</v>
      </c>
      <c r="D1442" s="10" t="s">
        <v>43</v>
      </c>
      <c r="E1442" s="11" t="s">
        <v>151</v>
      </c>
      <c r="F1442" s="11" t="s">
        <v>17</v>
      </c>
      <c r="G1442" s="10" t="s">
        <v>18</v>
      </c>
      <c r="H1442" s="11" t="s">
        <v>19</v>
      </c>
      <c r="I1442" s="11" t="s">
        <v>113</v>
      </c>
      <c r="J1442" s="11"/>
      <c r="K1442" s="11" t="s">
        <v>114</v>
      </c>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4"/>
    </row>
    <row r="1443" spans="1:35" ht="12.5" hidden="1" x14ac:dyDescent="0.25">
      <c r="A1443" s="9">
        <v>42</v>
      </c>
      <c r="B1443" s="10" t="s">
        <v>54</v>
      </c>
      <c r="C1443" s="10" t="s">
        <v>41</v>
      </c>
      <c r="D1443" s="10" t="s">
        <v>43</v>
      </c>
      <c r="E1443" s="11" t="s">
        <v>151</v>
      </c>
      <c r="F1443" s="11" t="s">
        <v>17</v>
      </c>
      <c r="G1443" s="10" t="s">
        <v>24</v>
      </c>
      <c r="H1443" s="11" t="s">
        <v>19</v>
      </c>
      <c r="I1443" s="11" t="s">
        <v>113</v>
      </c>
      <c r="J1443" s="11"/>
      <c r="K1443" s="11" t="s">
        <v>114</v>
      </c>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4"/>
    </row>
    <row r="1444" spans="1:35" ht="12.5" hidden="1" x14ac:dyDescent="0.25">
      <c r="A1444" s="9">
        <v>43</v>
      </c>
      <c r="B1444" s="10" t="s">
        <v>54</v>
      </c>
      <c r="C1444" s="10" t="s">
        <v>41</v>
      </c>
      <c r="D1444" s="10" t="s">
        <v>43</v>
      </c>
      <c r="E1444" s="11" t="s">
        <v>151</v>
      </c>
      <c r="F1444" s="11" t="s">
        <v>17</v>
      </c>
      <c r="G1444" s="10" t="s">
        <v>18</v>
      </c>
      <c r="H1444" s="11" t="s">
        <v>23</v>
      </c>
      <c r="I1444" s="11" t="s">
        <v>113</v>
      </c>
      <c r="J1444" s="11"/>
      <c r="K1444" s="11" t="s">
        <v>114</v>
      </c>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4"/>
    </row>
    <row r="1445" spans="1:35" ht="12.5" hidden="1" x14ac:dyDescent="0.25">
      <c r="A1445" s="9">
        <v>44</v>
      </c>
      <c r="B1445" s="10" t="s">
        <v>54</v>
      </c>
      <c r="C1445" s="10" t="s">
        <v>41</v>
      </c>
      <c r="D1445" s="10" t="s">
        <v>43</v>
      </c>
      <c r="E1445" s="11" t="s">
        <v>151</v>
      </c>
      <c r="F1445" s="11" t="s">
        <v>17</v>
      </c>
      <c r="G1445" s="10" t="s">
        <v>24</v>
      </c>
      <c r="H1445" s="11" t="s">
        <v>23</v>
      </c>
      <c r="I1445" s="11" t="s">
        <v>113</v>
      </c>
      <c r="J1445" s="11"/>
      <c r="K1445" s="11" t="s">
        <v>114</v>
      </c>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4"/>
    </row>
    <row r="1446" spans="1:35" ht="12.5" hidden="1" x14ac:dyDescent="0.25">
      <c r="A1446" s="9">
        <v>45</v>
      </c>
      <c r="B1446" s="10" t="s">
        <v>54</v>
      </c>
      <c r="C1446" s="10" t="s">
        <v>41</v>
      </c>
      <c r="D1446" s="10" t="s">
        <v>43</v>
      </c>
      <c r="E1446" s="11" t="s">
        <v>151</v>
      </c>
      <c r="F1446" s="11" t="s">
        <v>17</v>
      </c>
      <c r="G1446" s="10" t="s">
        <v>18</v>
      </c>
      <c r="H1446" s="11" t="s">
        <v>19</v>
      </c>
      <c r="I1446" s="11" t="s">
        <v>113</v>
      </c>
      <c r="J1446" s="11"/>
      <c r="K1446" s="11" t="s">
        <v>114</v>
      </c>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4"/>
    </row>
    <row r="1447" spans="1:35" ht="12.5" hidden="1" x14ac:dyDescent="0.25">
      <c r="A1447" s="9">
        <v>46</v>
      </c>
      <c r="B1447" s="10" t="s">
        <v>54</v>
      </c>
      <c r="C1447" s="10" t="s">
        <v>41</v>
      </c>
      <c r="D1447" s="10" t="s">
        <v>43</v>
      </c>
      <c r="E1447" s="11" t="s">
        <v>151</v>
      </c>
      <c r="F1447" s="11" t="s">
        <v>17</v>
      </c>
      <c r="G1447" s="10" t="s">
        <v>18</v>
      </c>
      <c r="H1447" s="11" t="s">
        <v>23</v>
      </c>
      <c r="I1447" s="11" t="s">
        <v>113</v>
      </c>
      <c r="J1447" s="11"/>
      <c r="K1447" s="11" t="s">
        <v>114</v>
      </c>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4"/>
    </row>
    <row r="1448" spans="1:35" ht="12.5" hidden="1" x14ac:dyDescent="0.25">
      <c r="A1448" s="9">
        <v>47</v>
      </c>
      <c r="B1448" s="10" t="s">
        <v>54</v>
      </c>
      <c r="C1448" s="10" t="s">
        <v>41</v>
      </c>
      <c r="D1448" s="10" t="s">
        <v>43</v>
      </c>
      <c r="E1448" s="11" t="s">
        <v>151</v>
      </c>
      <c r="F1448" s="11" t="s">
        <v>17</v>
      </c>
      <c r="G1448" s="10" t="s">
        <v>24</v>
      </c>
      <c r="H1448" s="11" t="s">
        <v>19</v>
      </c>
      <c r="I1448" s="11" t="s">
        <v>113</v>
      </c>
      <c r="J1448" s="11"/>
      <c r="K1448" s="11" t="s">
        <v>114</v>
      </c>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4"/>
    </row>
    <row r="1449" spans="1:35" ht="12.5" hidden="1" x14ac:dyDescent="0.25">
      <c r="A1449" s="9">
        <v>48</v>
      </c>
      <c r="B1449" s="10" t="s">
        <v>54</v>
      </c>
      <c r="C1449" s="10" t="s">
        <v>41</v>
      </c>
      <c r="D1449" s="10" t="s">
        <v>43</v>
      </c>
      <c r="E1449" s="11" t="s">
        <v>151</v>
      </c>
      <c r="F1449" s="11" t="s">
        <v>17</v>
      </c>
      <c r="G1449" s="10" t="s">
        <v>24</v>
      </c>
      <c r="H1449" s="11" t="s">
        <v>19</v>
      </c>
      <c r="I1449" s="11" t="s">
        <v>113</v>
      </c>
      <c r="J1449" s="11"/>
      <c r="K1449" s="11" t="s">
        <v>114</v>
      </c>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4"/>
    </row>
    <row r="1450" spans="1:35" ht="12.5" hidden="1" x14ac:dyDescent="0.25">
      <c r="A1450" s="9">
        <v>49</v>
      </c>
      <c r="B1450" s="10" t="s">
        <v>54</v>
      </c>
      <c r="C1450" s="10" t="s">
        <v>41</v>
      </c>
      <c r="D1450" s="10" t="s">
        <v>43</v>
      </c>
      <c r="E1450" s="11" t="s">
        <v>151</v>
      </c>
      <c r="F1450" s="11" t="s">
        <v>17</v>
      </c>
      <c r="G1450" s="10" t="s">
        <v>18</v>
      </c>
      <c r="H1450" s="11" t="s">
        <v>19</v>
      </c>
      <c r="I1450" s="11" t="s">
        <v>113</v>
      </c>
      <c r="J1450" s="11"/>
      <c r="K1450" s="11" t="s">
        <v>114</v>
      </c>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4"/>
    </row>
    <row r="1451" spans="1:35" ht="12.5" hidden="1" x14ac:dyDescent="0.25">
      <c r="A1451" s="9">
        <v>50</v>
      </c>
      <c r="B1451" s="10" t="s">
        <v>54</v>
      </c>
      <c r="C1451" s="10" t="s">
        <v>41</v>
      </c>
      <c r="D1451" s="10" t="s">
        <v>43</v>
      </c>
      <c r="E1451" s="11" t="s">
        <v>151</v>
      </c>
      <c r="F1451" s="11" t="s">
        <v>17</v>
      </c>
      <c r="G1451" s="10" t="s">
        <v>24</v>
      </c>
      <c r="H1451" s="11" t="s">
        <v>19</v>
      </c>
      <c r="I1451" s="11" t="s">
        <v>113</v>
      </c>
      <c r="J1451" s="11"/>
      <c r="K1451" s="11" t="s">
        <v>114</v>
      </c>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4"/>
    </row>
    <row r="1452" spans="1:35" ht="12.5" hidden="1" x14ac:dyDescent="0.25">
      <c r="A1452" s="9">
        <v>51</v>
      </c>
      <c r="B1452" s="10" t="s">
        <v>54</v>
      </c>
      <c r="C1452" s="10" t="s">
        <v>41</v>
      </c>
      <c r="D1452" s="10" t="s">
        <v>43</v>
      </c>
      <c r="E1452" s="11" t="s">
        <v>151</v>
      </c>
      <c r="F1452" s="11" t="s">
        <v>17</v>
      </c>
      <c r="G1452" s="10" t="s">
        <v>18</v>
      </c>
      <c r="H1452" s="11" t="s">
        <v>19</v>
      </c>
      <c r="I1452" s="11" t="s">
        <v>113</v>
      </c>
      <c r="J1452" s="11"/>
      <c r="K1452" s="11" t="s">
        <v>114</v>
      </c>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4"/>
    </row>
    <row r="1453" spans="1:35" ht="12.5" hidden="1" x14ac:dyDescent="0.25">
      <c r="A1453" s="9">
        <v>52</v>
      </c>
      <c r="B1453" s="10" t="s">
        <v>54</v>
      </c>
      <c r="C1453" s="10" t="s">
        <v>41</v>
      </c>
      <c r="D1453" s="10" t="s">
        <v>43</v>
      </c>
      <c r="E1453" s="11" t="s">
        <v>151</v>
      </c>
      <c r="F1453" s="11" t="s">
        <v>17</v>
      </c>
      <c r="G1453" s="10" t="s">
        <v>24</v>
      </c>
      <c r="H1453" s="11" t="s">
        <v>19</v>
      </c>
      <c r="I1453" s="11" t="s">
        <v>113</v>
      </c>
      <c r="J1453" s="11"/>
      <c r="K1453" s="11" t="s">
        <v>114</v>
      </c>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4"/>
    </row>
    <row r="1454" spans="1:35" ht="12.5" hidden="1" x14ac:dyDescent="0.25">
      <c r="A1454" s="9">
        <v>53</v>
      </c>
      <c r="B1454" s="10" t="s">
        <v>54</v>
      </c>
      <c r="C1454" s="10" t="s">
        <v>41</v>
      </c>
      <c r="D1454" s="10" t="s">
        <v>43</v>
      </c>
      <c r="E1454" s="11" t="s">
        <v>151</v>
      </c>
      <c r="F1454" s="11" t="s">
        <v>17</v>
      </c>
      <c r="G1454" s="10" t="s">
        <v>24</v>
      </c>
      <c r="H1454" s="11" t="s">
        <v>19</v>
      </c>
      <c r="I1454" s="11" t="s">
        <v>113</v>
      </c>
      <c r="J1454" s="11"/>
      <c r="K1454" s="11" t="s">
        <v>114</v>
      </c>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4"/>
    </row>
    <row r="1455" spans="1:35" ht="12.5" hidden="1" x14ac:dyDescent="0.25">
      <c r="A1455" s="9">
        <v>54</v>
      </c>
      <c r="B1455" s="10" t="s">
        <v>54</v>
      </c>
      <c r="C1455" s="10" t="s">
        <v>41</v>
      </c>
      <c r="D1455" s="10" t="s">
        <v>43</v>
      </c>
      <c r="E1455" s="11" t="s">
        <v>151</v>
      </c>
      <c r="F1455" s="11" t="s">
        <v>17</v>
      </c>
      <c r="G1455" s="10" t="s">
        <v>18</v>
      </c>
      <c r="H1455" s="11" t="s">
        <v>19</v>
      </c>
      <c r="I1455" s="11" t="s">
        <v>113</v>
      </c>
      <c r="J1455" s="11"/>
      <c r="K1455" s="11" t="s">
        <v>114</v>
      </c>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4"/>
    </row>
    <row r="1456" spans="1:35" ht="12.5" hidden="1" x14ac:dyDescent="0.25">
      <c r="A1456" s="9">
        <v>55</v>
      </c>
      <c r="B1456" s="10" t="s">
        <v>54</v>
      </c>
      <c r="C1456" s="10" t="s">
        <v>41</v>
      </c>
      <c r="D1456" s="10" t="s">
        <v>43</v>
      </c>
      <c r="E1456" s="11" t="s">
        <v>151</v>
      </c>
      <c r="F1456" s="11" t="s">
        <v>17</v>
      </c>
      <c r="G1456" s="10" t="s">
        <v>18</v>
      </c>
      <c r="H1456" s="11" t="s">
        <v>19</v>
      </c>
      <c r="I1456" s="11" t="s">
        <v>113</v>
      </c>
      <c r="J1456" s="11"/>
      <c r="K1456" s="11" t="s">
        <v>114</v>
      </c>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4"/>
    </row>
    <row r="1457" spans="1:35" ht="12.5" hidden="1" x14ac:dyDescent="0.25">
      <c r="A1457" s="9">
        <v>56</v>
      </c>
      <c r="B1457" s="10" t="s">
        <v>54</v>
      </c>
      <c r="C1457" s="10" t="s">
        <v>41</v>
      </c>
      <c r="D1457" s="10" t="s">
        <v>43</v>
      </c>
      <c r="E1457" s="11" t="s">
        <v>151</v>
      </c>
      <c r="F1457" s="11" t="s">
        <v>17</v>
      </c>
      <c r="G1457" s="10" t="s">
        <v>18</v>
      </c>
      <c r="H1457" s="11" t="s">
        <v>19</v>
      </c>
      <c r="I1457" s="11" t="s">
        <v>113</v>
      </c>
      <c r="J1457" s="11"/>
      <c r="K1457" s="11" t="s">
        <v>114</v>
      </c>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4"/>
    </row>
    <row r="1458" spans="1:35" ht="12.5" hidden="1" x14ac:dyDescent="0.25">
      <c r="A1458" s="9">
        <v>57</v>
      </c>
      <c r="B1458" s="10" t="s">
        <v>54</v>
      </c>
      <c r="C1458" s="10" t="s">
        <v>41</v>
      </c>
      <c r="D1458" s="10" t="s">
        <v>43</v>
      </c>
      <c r="E1458" s="11" t="s">
        <v>151</v>
      </c>
      <c r="F1458" s="11" t="s">
        <v>17</v>
      </c>
      <c r="G1458" s="10" t="s">
        <v>24</v>
      </c>
      <c r="H1458" s="11" t="s">
        <v>19</v>
      </c>
      <c r="I1458" s="11" t="s">
        <v>113</v>
      </c>
      <c r="J1458" s="11"/>
      <c r="K1458" s="11" t="s">
        <v>114</v>
      </c>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4"/>
    </row>
    <row r="1459" spans="1:35" ht="12.5" hidden="1" x14ac:dyDescent="0.25">
      <c r="A1459" s="9">
        <v>58</v>
      </c>
      <c r="B1459" s="10" t="s">
        <v>54</v>
      </c>
      <c r="C1459" s="10" t="s">
        <v>41</v>
      </c>
      <c r="D1459" s="10" t="s">
        <v>43</v>
      </c>
      <c r="E1459" s="11" t="s">
        <v>151</v>
      </c>
      <c r="F1459" s="11" t="s">
        <v>17</v>
      </c>
      <c r="G1459" s="10" t="s">
        <v>24</v>
      </c>
      <c r="H1459" s="11" t="s">
        <v>19</v>
      </c>
      <c r="I1459" s="11" t="s">
        <v>113</v>
      </c>
      <c r="J1459" s="11"/>
      <c r="K1459" s="11" t="s">
        <v>114</v>
      </c>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4"/>
    </row>
    <row r="1460" spans="1:35" ht="12.5" hidden="1" x14ac:dyDescent="0.25">
      <c r="A1460" s="9">
        <v>59</v>
      </c>
      <c r="B1460" s="10" t="s">
        <v>54</v>
      </c>
      <c r="C1460" s="10" t="s">
        <v>41</v>
      </c>
      <c r="D1460" s="10" t="s">
        <v>43</v>
      </c>
      <c r="E1460" s="11" t="s">
        <v>151</v>
      </c>
      <c r="F1460" s="11" t="s">
        <v>17</v>
      </c>
      <c r="G1460" s="10" t="s">
        <v>18</v>
      </c>
      <c r="H1460" s="11" t="s">
        <v>19</v>
      </c>
      <c r="I1460" s="11" t="s">
        <v>113</v>
      </c>
      <c r="J1460" s="11"/>
      <c r="K1460" s="11" t="s">
        <v>114</v>
      </c>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4"/>
    </row>
    <row r="1461" spans="1:35" ht="12.5" hidden="1" x14ac:dyDescent="0.25">
      <c r="A1461" s="9">
        <v>60</v>
      </c>
      <c r="B1461" s="10" t="s">
        <v>54</v>
      </c>
      <c r="C1461" s="10" t="s">
        <v>41</v>
      </c>
      <c r="D1461" s="10" t="s">
        <v>43</v>
      </c>
      <c r="E1461" s="11" t="s">
        <v>151</v>
      </c>
      <c r="F1461" s="11" t="s">
        <v>17</v>
      </c>
      <c r="G1461" s="10" t="s">
        <v>18</v>
      </c>
      <c r="H1461" s="11" t="s">
        <v>19</v>
      </c>
      <c r="I1461" s="11" t="s">
        <v>113</v>
      </c>
      <c r="J1461" s="11"/>
      <c r="K1461" s="11" t="s">
        <v>114</v>
      </c>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4"/>
    </row>
    <row r="1462" spans="1:35" ht="12.5" hidden="1" x14ac:dyDescent="0.25">
      <c r="A1462" s="9">
        <v>61</v>
      </c>
      <c r="B1462" s="10" t="s">
        <v>54</v>
      </c>
      <c r="C1462" s="10" t="s">
        <v>41</v>
      </c>
      <c r="D1462" s="10" t="s">
        <v>43</v>
      </c>
      <c r="E1462" s="11" t="s">
        <v>151</v>
      </c>
      <c r="F1462" s="11" t="s">
        <v>17</v>
      </c>
      <c r="G1462" s="10" t="s">
        <v>18</v>
      </c>
      <c r="H1462" s="11" t="s">
        <v>19</v>
      </c>
      <c r="I1462" s="11" t="s">
        <v>113</v>
      </c>
      <c r="J1462" s="11"/>
      <c r="K1462" s="11" t="s">
        <v>114</v>
      </c>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4"/>
    </row>
    <row r="1463" spans="1:35" ht="12.5" hidden="1" x14ac:dyDescent="0.25">
      <c r="A1463" s="9">
        <v>62</v>
      </c>
      <c r="B1463" s="10" t="s">
        <v>54</v>
      </c>
      <c r="C1463" s="10" t="s">
        <v>41</v>
      </c>
      <c r="D1463" s="10" t="s">
        <v>43</v>
      </c>
      <c r="E1463" s="11" t="s">
        <v>151</v>
      </c>
      <c r="F1463" s="11" t="s">
        <v>17</v>
      </c>
      <c r="G1463" s="10" t="s">
        <v>24</v>
      </c>
      <c r="H1463" s="11" t="s">
        <v>19</v>
      </c>
      <c r="I1463" s="11" t="s">
        <v>113</v>
      </c>
      <c r="J1463" s="11"/>
      <c r="K1463" s="11" t="s">
        <v>114</v>
      </c>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4"/>
    </row>
    <row r="1464" spans="1:35" ht="12.5" hidden="1" x14ac:dyDescent="0.25">
      <c r="A1464" s="9">
        <v>63</v>
      </c>
      <c r="B1464" s="10" t="s">
        <v>54</v>
      </c>
      <c r="C1464" s="10" t="s">
        <v>41</v>
      </c>
      <c r="D1464" s="10" t="s">
        <v>43</v>
      </c>
      <c r="E1464" s="11" t="s">
        <v>151</v>
      </c>
      <c r="F1464" s="11" t="s">
        <v>17</v>
      </c>
      <c r="G1464" s="10" t="s">
        <v>24</v>
      </c>
      <c r="H1464" s="11" t="s">
        <v>19</v>
      </c>
      <c r="I1464" s="11" t="s">
        <v>113</v>
      </c>
      <c r="J1464" s="11"/>
      <c r="K1464" s="11" t="s">
        <v>114</v>
      </c>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4"/>
    </row>
    <row r="1465" spans="1:35" ht="12.5" hidden="1" x14ac:dyDescent="0.25">
      <c r="A1465" s="9">
        <v>64</v>
      </c>
      <c r="B1465" s="10" t="s">
        <v>54</v>
      </c>
      <c r="C1465" s="10" t="s">
        <v>41</v>
      </c>
      <c r="D1465" s="10" t="s">
        <v>43</v>
      </c>
      <c r="E1465" s="11" t="s">
        <v>151</v>
      </c>
      <c r="F1465" s="11" t="s">
        <v>17</v>
      </c>
      <c r="G1465" s="10" t="s">
        <v>24</v>
      </c>
      <c r="H1465" s="11" t="s">
        <v>19</v>
      </c>
      <c r="I1465" s="11" t="s">
        <v>113</v>
      </c>
      <c r="J1465" s="11"/>
      <c r="K1465" s="11" t="s">
        <v>114</v>
      </c>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4"/>
    </row>
    <row r="1466" spans="1:35" ht="12.5" hidden="1" x14ac:dyDescent="0.25">
      <c r="A1466" s="9">
        <v>65</v>
      </c>
      <c r="B1466" s="10" t="s">
        <v>54</v>
      </c>
      <c r="C1466" s="10" t="s">
        <v>41</v>
      </c>
      <c r="D1466" s="10" t="s">
        <v>43</v>
      </c>
      <c r="E1466" s="11" t="s">
        <v>151</v>
      </c>
      <c r="F1466" s="11" t="s">
        <v>17</v>
      </c>
      <c r="G1466" s="10" t="s">
        <v>18</v>
      </c>
      <c r="H1466" s="11" t="s">
        <v>19</v>
      </c>
      <c r="I1466" s="11" t="s">
        <v>113</v>
      </c>
      <c r="J1466" s="11"/>
      <c r="K1466" s="11" t="s">
        <v>114</v>
      </c>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4"/>
    </row>
    <row r="1467" spans="1:35" ht="12.5" hidden="1" x14ac:dyDescent="0.25">
      <c r="A1467" s="9">
        <v>66</v>
      </c>
      <c r="B1467" s="10" t="s">
        <v>54</v>
      </c>
      <c r="C1467" s="10" t="s">
        <v>41</v>
      </c>
      <c r="D1467" s="10" t="s">
        <v>43</v>
      </c>
      <c r="E1467" s="11" t="s">
        <v>151</v>
      </c>
      <c r="F1467" s="11" t="s">
        <v>17</v>
      </c>
      <c r="G1467" s="10" t="s">
        <v>18</v>
      </c>
      <c r="H1467" s="11" t="s">
        <v>19</v>
      </c>
      <c r="I1467" s="11" t="s">
        <v>113</v>
      </c>
      <c r="J1467" s="11"/>
      <c r="K1467" s="11" t="s">
        <v>114</v>
      </c>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4"/>
    </row>
    <row r="1468" spans="1:35" ht="12.5" hidden="1" x14ac:dyDescent="0.25">
      <c r="A1468" s="9">
        <v>67</v>
      </c>
      <c r="B1468" s="10" t="s">
        <v>54</v>
      </c>
      <c r="C1468" s="10" t="s">
        <v>41</v>
      </c>
      <c r="D1468" s="10" t="s">
        <v>43</v>
      </c>
      <c r="E1468" s="11" t="s">
        <v>151</v>
      </c>
      <c r="F1468" s="11" t="s">
        <v>17</v>
      </c>
      <c r="G1468" s="10" t="s">
        <v>24</v>
      </c>
      <c r="H1468" s="11" t="s">
        <v>19</v>
      </c>
      <c r="I1468" s="11" t="s">
        <v>113</v>
      </c>
      <c r="J1468" s="11"/>
      <c r="K1468" s="11" t="s">
        <v>114</v>
      </c>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4"/>
    </row>
    <row r="1469" spans="1:35" ht="12.5" hidden="1" x14ac:dyDescent="0.25">
      <c r="A1469" s="9">
        <v>68</v>
      </c>
      <c r="B1469" s="10" t="s">
        <v>54</v>
      </c>
      <c r="C1469" s="10" t="s">
        <v>41</v>
      </c>
      <c r="D1469" s="10" t="s">
        <v>43</v>
      </c>
      <c r="E1469" s="11" t="s">
        <v>151</v>
      </c>
      <c r="F1469" s="11" t="s">
        <v>17</v>
      </c>
      <c r="G1469" s="10" t="s">
        <v>18</v>
      </c>
      <c r="H1469" s="11" t="s">
        <v>19</v>
      </c>
      <c r="I1469" s="11" t="s">
        <v>113</v>
      </c>
      <c r="J1469" s="11"/>
      <c r="K1469" s="11" t="s">
        <v>114</v>
      </c>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4"/>
    </row>
    <row r="1470" spans="1:35" ht="12.5" hidden="1" x14ac:dyDescent="0.25">
      <c r="A1470" s="9">
        <v>69</v>
      </c>
      <c r="B1470" s="10" t="s">
        <v>54</v>
      </c>
      <c r="C1470" s="10" t="s">
        <v>41</v>
      </c>
      <c r="D1470" s="10" t="s">
        <v>43</v>
      </c>
      <c r="E1470" s="11" t="s">
        <v>151</v>
      </c>
      <c r="F1470" s="11" t="s">
        <v>17</v>
      </c>
      <c r="G1470" s="10" t="s">
        <v>18</v>
      </c>
      <c r="H1470" s="11" t="s">
        <v>19</v>
      </c>
      <c r="I1470" s="11" t="s">
        <v>113</v>
      </c>
      <c r="J1470" s="11"/>
      <c r="K1470" s="11" t="s">
        <v>114</v>
      </c>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4"/>
    </row>
    <row r="1471" spans="1:35" ht="12.5" hidden="1" x14ac:dyDescent="0.25">
      <c r="A1471" s="9">
        <v>70</v>
      </c>
      <c r="B1471" s="10" t="s">
        <v>54</v>
      </c>
      <c r="C1471" s="10" t="s">
        <v>41</v>
      </c>
      <c r="D1471" s="10" t="s">
        <v>43</v>
      </c>
      <c r="E1471" s="11" t="s">
        <v>151</v>
      </c>
      <c r="F1471" s="11" t="s">
        <v>17</v>
      </c>
      <c r="G1471" s="10" t="s">
        <v>24</v>
      </c>
      <c r="H1471" s="11" t="s">
        <v>19</v>
      </c>
      <c r="I1471" s="11" t="s">
        <v>113</v>
      </c>
      <c r="J1471" s="11"/>
      <c r="K1471" s="11" t="s">
        <v>114</v>
      </c>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4"/>
    </row>
    <row r="1472" spans="1:35" ht="12.5" hidden="1" x14ac:dyDescent="0.25">
      <c r="A1472" s="9">
        <v>71</v>
      </c>
      <c r="B1472" s="10" t="s">
        <v>54</v>
      </c>
      <c r="C1472" s="10" t="s">
        <v>41</v>
      </c>
      <c r="D1472" s="10" t="s">
        <v>43</v>
      </c>
      <c r="E1472" s="11" t="s">
        <v>151</v>
      </c>
      <c r="F1472" s="11" t="s">
        <v>17</v>
      </c>
      <c r="G1472" s="10" t="s">
        <v>24</v>
      </c>
      <c r="H1472" s="11" t="s">
        <v>19</v>
      </c>
      <c r="I1472" s="11" t="s">
        <v>113</v>
      </c>
      <c r="J1472" s="11"/>
      <c r="K1472" s="11" t="s">
        <v>114</v>
      </c>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4"/>
    </row>
    <row r="1473" spans="1:35" ht="12.5" hidden="1" x14ac:dyDescent="0.25">
      <c r="A1473" s="9">
        <v>72</v>
      </c>
      <c r="B1473" s="10" t="s">
        <v>54</v>
      </c>
      <c r="C1473" s="10" t="s">
        <v>41</v>
      </c>
      <c r="D1473" s="10" t="s">
        <v>43</v>
      </c>
      <c r="E1473" s="11" t="s">
        <v>151</v>
      </c>
      <c r="F1473" s="11" t="s">
        <v>17</v>
      </c>
      <c r="G1473" s="10" t="s">
        <v>24</v>
      </c>
      <c r="H1473" s="11" t="s">
        <v>19</v>
      </c>
      <c r="I1473" s="11" t="s">
        <v>113</v>
      </c>
      <c r="J1473" s="11"/>
      <c r="K1473" s="11" t="s">
        <v>114</v>
      </c>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4"/>
    </row>
    <row r="1474" spans="1:35" ht="12.5" hidden="1" x14ac:dyDescent="0.25">
      <c r="A1474" s="9">
        <v>73</v>
      </c>
      <c r="B1474" s="10" t="s">
        <v>54</v>
      </c>
      <c r="C1474" s="10" t="s">
        <v>41</v>
      </c>
      <c r="D1474" s="10" t="s">
        <v>43</v>
      </c>
      <c r="E1474" s="11" t="s">
        <v>151</v>
      </c>
      <c r="F1474" s="11" t="s">
        <v>17</v>
      </c>
      <c r="G1474" s="10" t="s">
        <v>18</v>
      </c>
      <c r="H1474" s="11" t="s">
        <v>19</v>
      </c>
      <c r="I1474" s="11" t="s">
        <v>113</v>
      </c>
      <c r="J1474" s="11"/>
      <c r="K1474" s="11" t="s">
        <v>114</v>
      </c>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4"/>
    </row>
    <row r="1475" spans="1:35" ht="12.5" hidden="1" x14ac:dyDescent="0.25">
      <c r="A1475" s="9">
        <v>74</v>
      </c>
      <c r="B1475" s="10" t="s">
        <v>54</v>
      </c>
      <c r="C1475" s="10" t="s">
        <v>41</v>
      </c>
      <c r="D1475" s="10" t="s">
        <v>43</v>
      </c>
      <c r="E1475" s="11" t="s">
        <v>151</v>
      </c>
      <c r="F1475" s="11" t="s">
        <v>17</v>
      </c>
      <c r="G1475" s="10" t="s">
        <v>18</v>
      </c>
      <c r="H1475" s="11" t="s">
        <v>19</v>
      </c>
      <c r="I1475" s="11" t="s">
        <v>113</v>
      </c>
      <c r="J1475" s="11"/>
      <c r="K1475" s="11" t="s">
        <v>114</v>
      </c>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4"/>
    </row>
    <row r="1476" spans="1:35" ht="12.5" hidden="1" x14ac:dyDescent="0.25">
      <c r="A1476" s="9">
        <v>75</v>
      </c>
      <c r="B1476" s="10" t="s">
        <v>54</v>
      </c>
      <c r="C1476" s="10" t="s">
        <v>41</v>
      </c>
      <c r="D1476" s="10" t="s">
        <v>43</v>
      </c>
      <c r="E1476" s="11" t="s">
        <v>151</v>
      </c>
      <c r="F1476" s="11" t="s">
        <v>17</v>
      </c>
      <c r="G1476" s="10" t="s">
        <v>24</v>
      </c>
      <c r="H1476" s="11" t="s">
        <v>19</v>
      </c>
      <c r="I1476" s="11" t="s">
        <v>113</v>
      </c>
      <c r="J1476" s="11"/>
      <c r="K1476" s="11" t="s">
        <v>114</v>
      </c>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4"/>
    </row>
    <row r="1477" spans="1:35" ht="12.5" hidden="1" x14ac:dyDescent="0.25">
      <c r="A1477" s="9">
        <v>76</v>
      </c>
      <c r="B1477" s="10" t="s">
        <v>54</v>
      </c>
      <c r="C1477" s="10" t="s">
        <v>41</v>
      </c>
      <c r="D1477" s="10" t="s">
        <v>43</v>
      </c>
      <c r="E1477" s="11" t="s">
        <v>151</v>
      </c>
      <c r="F1477" s="11" t="s">
        <v>17</v>
      </c>
      <c r="G1477" s="10" t="s">
        <v>18</v>
      </c>
      <c r="H1477" s="11" t="s">
        <v>19</v>
      </c>
      <c r="I1477" s="11" t="s">
        <v>113</v>
      </c>
      <c r="J1477" s="11"/>
      <c r="K1477" s="11" t="s">
        <v>114</v>
      </c>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4"/>
    </row>
    <row r="1478" spans="1:35" ht="12.5" hidden="1" x14ac:dyDescent="0.25">
      <c r="A1478" s="9">
        <v>77</v>
      </c>
      <c r="B1478" s="10" t="s">
        <v>54</v>
      </c>
      <c r="C1478" s="10" t="s">
        <v>41</v>
      </c>
      <c r="D1478" s="10" t="s">
        <v>43</v>
      </c>
      <c r="E1478" s="11" t="s">
        <v>151</v>
      </c>
      <c r="F1478" s="11" t="s">
        <v>17</v>
      </c>
      <c r="G1478" s="10" t="s">
        <v>18</v>
      </c>
      <c r="H1478" s="11" t="s">
        <v>19</v>
      </c>
      <c r="I1478" s="11" t="s">
        <v>113</v>
      </c>
      <c r="J1478" s="11"/>
      <c r="K1478" s="11" t="s">
        <v>114</v>
      </c>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4"/>
    </row>
    <row r="1479" spans="1:35" ht="12.5" hidden="1" x14ac:dyDescent="0.25">
      <c r="A1479" s="9">
        <v>78</v>
      </c>
      <c r="B1479" s="10" t="s">
        <v>54</v>
      </c>
      <c r="C1479" s="10" t="s">
        <v>41</v>
      </c>
      <c r="D1479" s="10" t="s">
        <v>43</v>
      </c>
      <c r="E1479" s="11" t="s">
        <v>151</v>
      </c>
      <c r="F1479" s="11" t="s">
        <v>17</v>
      </c>
      <c r="G1479" s="10" t="s">
        <v>24</v>
      </c>
      <c r="H1479" s="11" t="s">
        <v>19</v>
      </c>
      <c r="I1479" s="11" t="s">
        <v>113</v>
      </c>
      <c r="J1479" s="11"/>
      <c r="K1479" s="11" t="s">
        <v>114</v>
      </c>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4"/>
    </row>
    <row r="1480" spans="1:35" ht="12.5" hidden="1" x14ac:dyDescent="0.25">
      <c r="A1480" s="9">
        <v>79</v>
      </c>
      <c r="B1480" s="10" t="s">
        <v>54</v>
      </c>
      <c r="C1480" s="10" t="s">
        <v>41</v>
      </c>
      <c r="D1480" s="10" t="s">
        <v>43</v>
      </c>
      <c r="E1480" s="11" t="s">
        <v>151</v>
      </c>
      <c r="F1480" s="11" t="s">
        <v>17</v>
      </c>
      <c r="G1480" s="10" t="s">
        <v>18</v>
      </c>
      <c r="H1480" s="11" t="s">
        <v>23</v>
      </c>
      <c r="I1480" s="11" t="s">
        <v>113</v>
      </c>
      <c r="J1480" s="11"/>
      <c r="K1480" s="11" t="s">
        <v>114</v>
      </c>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4"/>
    </row>
    <row r="1481" spans="1:35" ht="12.5" hidden="1" x14ac:dyDescent="0.25">
      <c r="A1481" s="9">
        <v>80</v>
      </c>
      <c r="B1481" s="10" t="s">
        <v>44</v>
      </c>
      <c r="C1481" s="10" t="s">
        <v>15</v>
      </c>
      <c r="D1481" s="10" t="s">
        <v>45</v>
      </c>
      <c r="E1481" s="11" t="s">
        <v>144</v>
      </c>
      <c r="F1481" s="11" t="s">
        <v>17</v>
      </c>
      <c r="G1481" s="10" t="s">
        <v>24</v>
      </c>
      <c r="H1481" s="11" t="s">
        <v>19</v>
      </c>
      <c r="I1481" s="11" t="s">
        <v>113</v>
      </c>
      <c r="J1481" s="11"/>
      <c r="K1481" s="11" t="s">
        <v>115</v>
      </c>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4"/>
    </row>
    <row r="1482" spans="1:35" ht="12.5" hidden="1" x14ac:dyDescent="0.25">
      <c r="A1482" s="9">
        <v>81</v>
      </c>
      <c r="B1482" s="10" t="s">
        <v>44</v>
      </c>
      <c r="C1482" s="10" t="s">
        <v>15</v>
      </c>
      <c r="D1482" s="10" t="s">
        <v>45</v>
      </c>
      <c r="E1482" s="11" t="s">
        <v>144</v>
      </c>
      <c r="F1482" s="11" t="s">
        <v>17</v>
      </c>
      <c r="G1482" s="10" t="s">
        <v>18</v>
      </c>
      <c r="H1482" s="11" t="s">
        <v>19</v>
      </c>
      <c r="I1482" s="11" t="s">
        <v>113</v>
      </c>
      <c r="J1482" s="11"/>
      <c r="K1482" s="11" t="s">
        <v>115</v>
      </c>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4"/>
    </row>
    <row r="1483" spans="1:35" ht="12.5" hidden="1" x14ac:dyDescent="0.25">
      <c r="A1483" s="9">
        <v>82</v>
      </c>
      <c r="B1483" s="10" t="s">
        <v>44</v>
      </c>
      <c r="C1483" s="10" t="s">
        <v>15</v>
      </c>
      <c r="D1483" s="10" t="s">
        <v>45</v>
      </c>
      <c r="E1483" s="11" t="s">
        <v>175</v>
      </c>
      <c r="F1483" s="11" t="s">
        <v>17</v>
      </c>
      <c r="G1483" s="10" t="s">
        <v>24</v>
      </c>
      <c r="H1483" s="11" t="s">
        <v>19</v>
      </c>
      <c r="I1483" s="11" t="s">
        <v>113</v>
      </c>
      <c r="J1483" s="11"/>
      <c r="K1483" s="11" t="s">
        <v>116</v>
      </c>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4"/>
    </row>
    <row r="1484" spans="1:35" ht="12.5" hidden="1" x14ac:dyDescent="0.25">
      <c r="A1484" s="9">
        <v>83</v>
      </c>
      <c r="B1484" s="10" t="s">
        <v>44</v>
      </c>
      <c r="C1484" s="10" t="s">
        <v>15</v>
      </c>
      <c r="D1484" s="10" t="s">
        <v>45</v>
      </c>
      <c r="E1484" s="11" t="s">
        <v>175</v>
      </c>
      <c r="F1484" s="11" t="s">
        <v>17</v>
      </c>
      <c r="G1484" s="10" t="s">
        <v>24</v>
      </c>
      <c r="H1484" s="11" t="s">
        <v>19</v>
      </c>
      <c r="I1484" s="11" t="s">
        <v>113</v>
      </c>
      <c r="J1484" s="11"/>
      <c r="K1484" s="11" t="s">
        <v>116</v>
      </c>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4"/>
    </row>
    <row r="1485" spans="1:35" ht="12.5" hidden="1" x14ac:dyDescent="0.25">
      <c r="A1485" s="9">
        <v>84</v>
      </c>
      <c r="B1485" s="10" t="s">
        <v>44</v>
      </c>
      <c r="C1485" s="10" t="s">
        <v>15</v>
      </c>
      <c r="D1485" s="10" t="s">
        <v>37</v>
      </c>
      <c r="E1485" s="11" t="s">
        <v>175</v>
      </c>
      <c r="F1485" s="11" t="s">
        <v>17</v>
      </c>
      <c r="G1485" s="10" t="s">
        <v>18</v>
      </c>
      <c r="H1485" s="11" t="s">
        <v>19</v>
      </c>
      <c r="I1485" s="11" t="s">
        <v>113</v>
      </c>
      <c r="J1485" s="11"/>
      <c r="K1485" s="11" t="s">
        <v>116</v>
      </c>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4"/>
    </row>
    <row r="1486" spans="1:35" ht="12.5" hidden="1" x14ac:dyDescent="0.25">
      <c r="A1486" s="9">
        <v>85</v>
      </c>
      <c r="B1486" s="10" t="s">
        <v>44</v>
      </c>
      <c r="C1486" s="10" t="s">
        <v>15</v>
      </c>
      <c r="D1486" s="10" t="s">
        <v>37</v>
      </c>
      <c r="E1486" s="11" t="s">
        <v>175</v>
      </c>
      <c r="F1486" s="11" t="s">
        <v>17</v>
      </c>
      <c r="G1486" s="10" t="s">
        <v>24</v>
      </c>
      <c r="H1486" s="11" t="s">
        <v>19</v>
      </c>
      <c r="I1486" s="11" t="s">
        <v>113</v>
      </c>
      <c r="J1486" s="11"/>
      <c r="K1486" s="11" t="s">
        <v>116</v>
      </c>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4"/>
    </row>
    <row r="1487" spans="1:35" ht="12.5" hidden="1" x14ac:dyDescent="0.25">
      <c r="A1487" s="9">
        <v>86</v>
      </c>
      <c r="B1487" s="10" t="s">
        <v>44</v>
      </c>
      <c r="C1487" s="10" t="s">
        <v>15</v>
      </c>
      <c r="D1487" s="10" t="s">
        <v>37</v>
      </c>
      <c r="E1487" s="11" t="s">
        <v>175</v>
      </c>
      <c r="F1487" s="11" t="s">
        <v>17</v>
      </c>
      <c r="G1487" s="10" t="s">
        <v>18</v>
      </c>
      <c r="H1487" s="11" t="s">
        <v>19</v>
      </c>
      <c r="I1487" s="11" t="s">
        <v>113</v>
      </c>
      <c r="J1487" s="11"/>
      <c r="K1487" s="11" t="s">
        <v>116</v>
      </c>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4"/>
    </row>
    <row r="1488" spans="1:35" ht="12.5" hidden="1" x14ac:dyDescent="0.25">
      <c r="A1488" s="9">
        <v>87</v>
      </c>
      <c r="B1488" s="10" t="s">
        <v>44</v>
      </c>
      <c r="C1488" s="10" t="s">
        <v>15</v>
      </c>
      <c r="D1488" s="10" t="s">
        <v>37</v>
      </c>
      <c r="E1488" s="11" t="s">
        <v>175</v>
      </c>
      <c r="F1488" s="11" t="s">
        <v>17</v>
      </c>
      <c r="G1488" s="10" t="s">
        <v>18</v>
      </c>
      <c r="H1488" s="11" t="s">
        <v>23</v>
      </c>
      <c r="I1488" s="11" t="s">
        <v>113</v>
      </c>
      <c r="J1488" s="11"/>
      <c r="K1488" s="11" t="s">
        <v>116</v>
      </c>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4"/>
    </row>
    <row r="1489" spans="1:35" ht="12.5" hidden="1" x14ac:dyDescent="0.25">
      <c r="A1489" s="9">
        <v>88</v>
      </c>
      <c r="B1489" s="10" t="s">
        <v>44</v>
      </c>
      <c r="C1489" s="10" t="s">
        <v>15</v>
      </c>
      <c r="D1489" s="10" t="s">
        <v>16</v>
      </c>
      <c r="E1489" s="11" t="s">
        <v>179</v>
      </c>
      <c r="F1489" s="11" t="s">
        <v>17</v>
      </c>
      <c r="G1489" s="10" t="s">
        <v>24</v>
      </c>
      <c r="H1489" s="11" t="s">
        <v>23</v>
      </c>
      <c r="I1489" s="11" t="s">
        <v>113</v>
      </c>
      <c r="J1489" s="11"/>
      <c r="K1489" s="11" t="s">
        <v>117</v>
      </c>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4"/>
    </row>
    <row r="1490" spans="1:35" ht="12.5" hidden="1" x14ac:dyDescent="0.25">
      <c r="A1490" s="9">
        <v>89</v>
      </c>
      <c r="B1490" s="10" t="s">
        <v>44</v>
      </c>
      <c r="C1490" s="10" t="s">
        <v>15</v>
      </c>
      <c r="D1490" s="10" t="s">
        <v>16</v>
      </c>
      <c r="E1490" s="11" t="s">
        <v>179</v>
      </c>
      <c r="F1490" s="11" t="s">
        <v>17</v>
      </c>
      <c r="G1490" s="10" t="s">
        <v>18</v>
      </c>
      <c r="H1490" s="11" t="s">
        <v>19</v>
      </c>
      <c r="I1490" s="11" t="s">
        <v>113</v>
      </c>
      <c r="J1490" s="11"/>
      <c r="K1490" s="11" t="s">
        <v>117</v>
      </c>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4"/>
    </row>
    <row r="1491" spans="1:35" ht="12.5" hidden="1" x14ac:dyDescent="0.25">
      <c r="A1491" s="9">
        <v>90</v>
      </c>
      <c r="B1491" s="10" t="s">
        <v>44</v>
      </c>
      <c r="C1491" s="10" t="s">
        <v>15</v>
      </c>
      <c r="D1491" s="10" t="s">
        <v>37</v>
      </c>
      <c r="E1491" s="11" t="s">
        <v>179</v>
      </c>
      <c r="F1491" s="11" t="s">
        <v>17</v>
      </c>
      <c r="G1491" s="10" t="s">
        <v>18</v>
      </c>
      <c r="H1491" s="11" t="s">
        <v>19</v>
      </c>
      <c r="I1491" s="11" t="s">
        <v>113</v>
      </c>
      <c r="J1491" s="11"/>
      <c r="K1491" s="11" t="s">
        <v>117</v>
      </c>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4"/>
    </row>
    <row r="1492" spans="1:35" ht="12.5" hidden="1" x14ac:dyDescent="0.25">
      <c r="A1492" s="9">
        <v>91</v>
      </c>
      <c r="B1492" s="10" t="s">
        <v>44</v>
      </c>
      <c r="C1492" s="10" t="s">
        <v>15</v>
      </c>
      <c r="D1492" s="10" t="s">
        <v>37</v>
      </c>
      <c r="E1492" s="11" t="s">
        <v>179</v>
      </c>
      <c r="F1492" s="11" t="s">
        <v>17</v>
      </c>
      <c r="G1492" s="10" t="s">
        <v>24</v>
      </c>
      <c r="H1492" s="11" t="s">
        <v>19</v>
      </c>
      <c r="I1492" s="11" t="s">
        <v>113</v>
      </c>
      <c r="J1492" s="11"/>
      <c r="K1492" s="11" t="s">
        <v>117</v>
      </c>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4"/>
    </row>
    <row r="1493" spans="1:35" ht="12.5" hidden="1" x14ac:dyDescent="0.25">
      <c r="A1493" s="9">
        <v>92</v>
      </c>
      <c r="B1493" s="10" t="s">
        <v>44</v>
      </c>
      <c r="C1493" s="10" t="s">
        <v>15</v>
      </c>
      <c r="D1493" s="10" t="s">
        <v>37</v>
      </c>
      <c r="E1493" s="11" t="s">
        <v>179</v>
      </c>
      <c r="F1493" s="11" t="s">
        <v>17</v>
      </c>
      <c r="G1493" s="10" t="s">
        <v>24</v>
      </c>
      <c r="H1493" s="11" t="s">
        <v>23</v>
      </c>
      <c r="I1493" s="11" t="s">
        <v>113</v>
      </c>
      <c r="J1493" s="11"/>
      <c r="K1493" s="11" t="s">
        <v>117</v>
      </c>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4"/>
    </row>
    <row r="1494" spans="1:35" ht="12.5" hidden="1" x14ac:dyDescent="0.25">
      <c r="A1494" s="9">
        <v>93</v>
      </c>
      <c r="B1494" s="10" t="s">
        <v>44</v>
      </c>
      <c r="C1494" s="10" t="s">
        <v>15</v>
      </c>
      <c r="D1494" s="10" t="s">
        <v>37</v>
      </c>
      <c r="E1494" s="11" t="s">
        <v>179</v>
      </c>
      <c r="F1494" s="11" t="s">
        <v>17</v>
      </c>
      <c r="G1494" s="10" t="s">
        <v>18</v>
      </c>
      <c r="H1494" s="11" t="s">
        <v>23</v>
      </c>
      <c r="I1494" s="11" t="s">
        <v>113</v>
      </c>
      <c r="J1494" s="11"/>
      <c r="K1494" s="11" t="s">
        <v>117</v>
      </c>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4"/>
    </row>
    <row r="1495" spans="1:35" ht="12.5" hidden="1" x14ac:dyDescent="0.25">
      <c r="A1495" s="9">
        <v>94</v>
      </c>
      <c r="B1495" s="10" t="s">
        <v>44</v>
      </c>
      <c r="C1495" s="10" t="s">
        <v>15</v>
      </c>
      <c r="D1495" s="10" t="s">
        <v>16</v>
      </c>
      <c r="E1495" s="11" t="s">
        <v>149</v>
      </c>
      <c r="F1495" s="11" t="s">
        <v>17</v>
      </c>
      <c r="G1495" s="10" t="s">
        <v>18</v>
      </c>
      <c r="H1495" s="11" t="s">
        <v>23</v>
      </c>
      <c r="I1495" s="11" t="s">
        <v>113</v>
      </c>
      <c r="J1495" s="11"/>
      <c r="K1495" s="11" t="s">
        <v>118</v>
      </c>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4"/>
    </row>
    <row r="1496" spans="1:35" ht="12.5" hidden="1" x14ac:dyDescent="0.25">
      <c r="A1496" s="9">
        <v>95</v>
      </c>
      <c r="B1496" s="10" t="s">
        <v>44</v>
      </c>
      <c r="C1496" s="10" t="s">
        <v>15</v>
      </c>
      <c r="D1496" s="10" t="s">
        <v>16</v>
      </c>
      <c r="E1496" s="11" t="s">
        <v>149</v>
      </c>
      <c r="F1496" s="11" t="s">
        <v>17</v>
      </c>
      <c r="G1496" s="10" t="s">
        <v>24</v>
      </c>
      <c r="H1496" s="11" t="s">
        <v>23</v>
      </c>
      <c r="I1496" s="11" t="s">
        <v>113</v>
      </c>
      <c r="J1496" s="11"/>
      <c r="K1496" s="11" t="s">
        <v>118</v>
      </c>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4"/>
    </row>
    <row r="1497" spans="1:35" ht="12.5" hidden="1" x14ac:dyDescent="0.25">
      <c r="A1497" s="9">
        <v>96</v>
      </c>
      <c r="B1497" s="10" t="s">
        <v>44</v>
      </c>
      <c r="C1497" s="10" t="s">
        <v>15</v>
      </c>
      <c r="D1497" s="10" t="s">
        <v>16</v>
      </c>
      <c r="E1497" s="11" t="s">
        <v>149</v>
      </c>
      <c r="F1497" s="11" t="s">
        <v>17</v>
      </c>
      <c r="G1497" s="10" t="s">
        <v>24</v>
      </c>
      <c r="H1497" s="11" t="s">
        <v>23</v>
      </c>
      <c r="I1497" s="11" t="s">
        <v>113</v>
      </c>
      <c r="J1497" s="11"/>
      <c r="K1497" s="11" t="s">
        <v>118</v>
      </c>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4"/>
    </row>
    <row r="1498" spans="1:35" ht="12.5" hidden="1" x14ac:dyDescent="0.25">
      <c r="A1498" s="9">
        <v>97</v>
      </c>
      <c r="B1498" s="10" t="s">
        <v>44</v>
      </c>
      <c r="C1498" s="10" t="s">
        <v>15</v>
      </c>
      <c r="D1498" s="10" t="s">
        <v>16</v>
      </c>
      <c r="E1498" s="11" t="s">
        <v>149</v>
      </c>
      <c r="F1498" s="11" t="s">
        <v>17</v>
      </c>
      <c r="G1498" s="10" t="s">
        <v>18</v>
      </c>
      <c r="H1498" s="11" t="s">
        <v>19</v>
      </c>
      <c r="I1498" s="11" t="s">
        <v>113</v>
      </c>
      <c r="J1498" s="11"/>
      <c r="K1498" s="11" t="s">
        <v>118</v>
      </c>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4"/>
    </row>
    <row r="1499" spans="1:35" ht="12.5" hidden="1" x14ac:dyDescent="0.25">
      <c r="A1499" s="9">
        <v>98</v>
      </c>
      <c r="B1499" s="10" t="s">
        <v>44</v>
      </c>
      <c r="C1499" s="10" t="s">
        <v>15</v>
      </c>
      <c r="D1499" s="10" t="s">
        <v>16</v>
      </c>
      <c r="E1499" s="11" t="s">
        <v>149</v>
      </c>
      <c r="F1499" s="11" t="s">
        <v>17</v>
      </c>
      <c r="G1499" s="10" t="s">
        <v>18</v>
      </c>
      <c r="H1499" s="11" t="s">
        <v>19</v>
      </c>
      <c r="I1499" s="11" t="s">
        <v>113</v>
      </c>
      <c r="J1499" s="11"/>
      <c r="K1499" s="11" t="s">
        <v>118</v>
      </c>
      <c r="L1499" s="11"/>
      <c r="M1499" s="11"/>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4"/>
    </row>
    <row r="1500" spans="1:35" ht="12.5" hidden="1" x14ac:dyDescent="0.25">
      <c r="A1500" s="9">
        <v>99</v>
      </c>
      <c r="B1500" s="10" t="s">
        <v>44</v>
      </c>
      <c r="C1500" s="10" t="s">
        <v>15</v>
      </c>
      <c r="D1500" s="10" t="s">
        <v>16</v>
      </c>
      <c r="E1500" s="11" t="s">
        <v>149</v>
      </c>
      <c r="F1500" s="11" t="s">
        <v>17</v>
      </c>
      <c r="G1500" s="10" t="s">
        <v>24</v>
      </c>
      <c r="H1500" s="11" t="s">
        <v>23</v>
      </c>
      <c r="I1500" s="11" t="s">
        <v>113</v>
      </c>
      <c r="J1500" s="11"/>
      <c r="K1500" s="11" t="s">
        <v>118</v>
      </c>
      <c r="L1500" s="11"/>
      <c r="M1500" s="11"/>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4"/>
    </row>
    <row r="1501" spans="1:35" ht="12.5" hidden="1" x14ac:dyDescent="0.25">
      <c r="A1501" s="9">
        <v>100</v>
      </c>
      <c r="B1501" s="10" t="s">
        <v>44</v>
      </c>
      <c r="C1501" s="10" t="s">
        <v>15</v>
      </c>
      <c r="D1501" s="10" t="s">
        <v>16</v>
      </c>
      <c r="E1501" s="11" t="s">
        <v>149</v>
      </c>
      <c r="F1501" s="11" t="s">
        <v>17</v>
      </c>
      <c r="G1501" s="10" t="s">
        <v>24</v>
      </c>
      <c r="H1501" s="11" t="s">
        <v>23</v>
      </c>
      <c r="I1501" s="11" t="s">
        <v>113</v>
      </c>
      <c r="J1501" s="11"/>
      <c r="K1501" s="11" t="s">
        <v>118</v>
      </c>
      <c r="L1501" s="11"/>
      <c r="M1501" s="11"/>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4"/>
    </row>
    <row r="1502" spans="1:35" ht="12.5" hidden="1" x14ac:dyDescent="0.25">
      <c r="A1502" s="9">
        <v>101</v>
      </c>
      <c r="B1502" s="10" t="s">
        <v>44</v>
      </c>
      <c r="C1502" s="10" t="s">
        <v>15</v>
      </c>
      <c r="D1502" s="10" t="s">
        <v>16</v>
      </c>
      <c r="E1502" s="11" t="s">
        <v>149</v>
      </c>
      <c r="F1502" s="11" t="s">
        <v>17</v>
      </c>
      <c r="G1502" s="10" t="s">
        <v>24</v>
      </c>
      <c r="H1502" s="11" t="s">
        <v>23</v>
      </c>
      <c r="I1502" s="11" t="s">
        <v>113</v>
      </c>
      <c r="J1502" s="11"/>
      <c r="K1502" s="11" t="s">
        <v>118</v>
      </c>
      <c r="L1502" s="11"/>
      <c r="M1502" s="11"/>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4"/>
    </row>
    <row r="1503" spans="1:35" ht="12.5" hidden="1" x14ac:dyDescent="0.25">
      <c r="A1503" s="9">
        <v>102</v>
      </c>
      <c r="B1503" s="10" t="s">
        <v>44</v>
      </c>
      <c r="C1503" s="10" t="s">
        <v>15</v>
      </c>
      <c r="D1503" s="10" t="s">
        <v>16</v>
      </c>
      <c r="E1503" s="11" t="s">
        <v>149</v>
      </c>
      <c r="F1503" s="11" t="s">
        <v>17</v>
      </c>
      <c r="G1503" s="10" t="s">
        <v>24</v>
      </c>
      <c r="H1503" s="11" t="s">
        <v>19</v>
      </c>
      <c r="I1503" s="11" t="s">
        <v>113</v>
      </c>
      <c r="J1503" s="11"/>
      <c r="K1503" s="11" t="s">
        <v>118</v>
      </c>
      <c r="L1503" s="11"/>
      <c r="M1503" s="11"/>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4"/>
    </row>
    <row r="1504" spans="1:35" ht="12.5" hidden="1" x14ac:dyDescent="0.25">
      <c r="A1504" s="9">
        <v>103</v>
      </c>
      <c r="B1504" s="10" t="s">
        <v>44</v>
      </c>
      <c r="C1504" s="10" t="s">
        <v>15</v>
      </c>
      <c r="D1504" s="10" t="s">
        <v>16</v>
      </c>
      <c r="E1504" s="11" t="s">
        <v>149</v>
      </c>
      <c r="F1504" s="11" t="s">
        <v>17</v>
      </c>
      <c r="G1504" s="10" t="s">
        <v>18</v>
      </c>
      <c r="H1504" s="11" t="s">
        <v>23</v>
      </c>
      <c r="I1504" s="11" t="s">
        <v>113</v>
      </c>
      <c r="J1504" s="11"/>
      <c r="K1504" s="11" t="s">
        <v>118</v>
      </c>
      <c r="L1504" s="11"/>
      <c r="M1504" s="11"/>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4"/>
    </row>
    <row r="1505" spans="1:35" ht="12.5" hidden="1" x14ac:dyDescent="0.25">
      <c r="A1505" s="9">
        <v>104</v>
      </c>
      <c r="B1505" s="10" t="s">
        <v>44</v>
      </c>
      <c r="C1505" s="10" t="s">
        <v>15</v>
      </c>
      <c r="D1505" s="10" t="s">
        <v>16</v>
      </c>
      <c r="E1505" s="11" t="s">
        <v>149</v>
      </c>
      <c r="F1505" s="11" t="s">
        <v>17</v>
      </c>
      <c r="G1505" s="10" t="s">
        <v>24</v>
      </c>
      <c r="H1505" s="11" t="s">
        <v>23</v>
      </c>
      <c r="I1505" s="11" t="s">
        <v>113</v>
      </c>
      <c r="J1505" s="11"/>
      <c r="K1505" s="11" t="s">
        <v>118</v>
      </c>
      <c r="L1505" s="11"/>
      <c r="M1505" s="11"/>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4"/>
    </row>
    <row r="1506" spans="1:35" ht="12.5" hidden="1" x14ac:dyDescent="0.25">
      <c r="A1506" s="9">
        <v>105</v>
      </c>
      <c r="B1506" s="10" t="s">
        <v>44</v>
      </c>
      <c r="C1506" s="10" t="s">
        <v>15</v>
      </c>
      <c r="D1506" s="10" t="s">
        <v>16</v>
      </c>
      <c r="E1506" s="11" t="s">
        <v>149</v>
      </c>
      <c r="F1506" s="11" t="s">
        <v>17</v>
      </c>
      <c r="G1506" s="10" t="s">
        <v>24</v>
      </c>
      <c r="H1506" s="11" t="s">
        <v>23</v>
      </c>
      <c r="I1506" s="11" t="s">
        <v>113</v>
      </c>
      <c r="J1506" s="11"/>
      <c r="K1506" s="11" t="s">
        <v>118</v>
      </c>
      <c r="L1506" s="11"/>
      <c r="M1506" s="11"/>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4"/>
    </row>
    <row r="1507" spans="1:35" ht="12.5" hidden="1" x14ac:dyDescent="0.25">
      <c r="A1507" s="9">
        <v>106</v>
      </c>
      <c r="B1507" s="10" t="s">
        <v>44</v>
      </c>
      <c r="C1507" s="10" t="s">
        <v>15</v>
      </c>
      <c r="D1507" s="10" t="s">
        <v>16</v>
      </c>
      <c r="E1507" s="11" t="s">
        <v>149</v>
      </c>
      <c r="F1507" s="11" t="s">
        <v>17</v>
      </c>
      <c r="G1507" s="10" t="s">
        <v>18</v>
      </c>
      <c r="H1507" s="11" t="s">
        <v>19</v>
      </c>
      <c r="I1507" s="11" t="s">
        <v>113</v>
      </c>
      <c r="J1507" s="11"/>
      <c r="K1507" s="11" t="s">
        <v>118</v>
      </c>
      <c r="L1507" s="11"/>
      <c r="M1507" s="11"/>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4"/>
    </row>
    <row r="1508" spans="1:35" ht="12.5" hidden="1" x14ac:dyDescent="0.25">
      <c r="A1508" s="9">
        <v>107</v>
      </c>
      <c r="B1508" s="10" t="s">
        <v>44</v>
      </c>
      <c r="C1508" s="10" t="s">
        <v>15</v>
      </c>
      <c r="D1508" s="10" t="s">
        <v>16</v>
      </c>
      <c r="E1508" s="11" t="s">
        <v>149</v>
      </c>
      <c r="F1508" s="11" t="s">
        <v>17</v>
      </c>
      <c r="G1508" s="10" t="s">
        <v>24</v>
      </c>
      <c r="H1508" s="11" t="s">
        <v>23</v>
      </c>
      <c r="I1508" s="11" t="s">
        <v>113</v>
      </c>
      <c r="J1508" s="11"/>
      <c r="K1508" s="11" t="s">
        <v>118</v>
      </c>
      <c r="L1508" s="11"/>
      <c r="M1508" s="11"/>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4"/>
    </row>
    <row r="1509" spans="1:35" ht="12.5" hidden="1" x14ac:dyDescent="0.25">
      <c r="A1509" s="9">
        <v>108</v>
      </c>
      <c r="B1509" s="10" t="s">
        <v>44</v>
      </c>
      <c r="C1509" s="10" t="s">
        <v>15</v>
      </c>
      <c r="D1509" s="10" t="s">
        <v>16</v>
      </c>
      <c r="E1509" s="11" t="s">
        <v>149</v>
      </c>
      <c r="F1509" s="11" t="s">
        <v>17</v>
      </c>
      <c r="G1509" s="10" t="s">
        <v>18</v>
      </c>
      <c r="H1509" s="11" t="s">
        <v>19</v>
      </c>
      <c r="I1509" s="11" t="s">
        <v>113</v>
      </c>
      <c r="J1509" s="11"/>
      <c r="K1509" s="11" t="s">
        <v>118</v>
      </c>
      <c r="L1509" s="11"/>
      <c r="M1509" s="11"/>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4"/>
    </row>
    <row r="1510" spans="1:35" ht="12.5" hidden="1" x14ac:dyDescent="0.25">
      <c r="A1510" s="9">
        <v>109</v>
      </c>
      <c r="B1510" s="10" t="s">
        <v>44</v>
      </c>
      <c r="C1510" s="10" t="s">
        <v>15</v>
      </c>
      <c r="D1510" s="10" t="s">
        <v>16</v>
      </c>
      <c r="E1510" s="11" t="s">
        <v>149</v>
      </c>
      <c r="F1510" s="11" t="s">
        <v>17</v>
      </c>
      <c r="G1510" s="10" t="s">
        <v>24</v>
      </c>
      <c r="H1510" s="11" t="s">
        <v>19</v>
      </c>
      <c r="I1510" s="11" t="s">
        <v>113</v>
      </c>
      <c r="J1510" s="11"/>
      <c r="K1510" s="11" t="s">
        <v>118</v>
      </c>
      <c r="L1510" s="11"/>
      <c r="M1510" s="11"/>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4"/>
    </row>
    <row r="1511" spans="1:35" ht="12.5" hidden="1" x14ac:dyDescent="0.25">
      <c r="A1511" s="9">
        <v>110</v>
      </c>
      <c r="B1511" s="10" t="s">
        <v>44</v>
      </c>
      <c r="C1511" s="10" t="s">
        <v>15</v>
      </c>
      <c r="D1511" s="10" t="s">
        <v>16</v>
      </c>
      <c r="E1511" s="11" t="s">
        <v>149</v>
      </c>
      <c r="F1511" s="11" t="s">
        <v>17</v>
      </c>
      <c r="G1511" s="10" t="s">
        <v>18</v>
      </c>
      <c r="H1511" s="11" t="s">
        <v>23</v>
      </c>
      <c r="I1511" s="11" t="s">
        <v>113</v>
      </c>
      <c r="J1511" s="11"/>
      <c r="K1511" s="11" t="s">
        <v>118</v>
      </c>
      <c r="L1511" s="11"/>
      <c r="M1511" s="11"/>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4"/>
    </row>
    <row r="1512" spans="1:35" ht="12.5" hidden="1" x14ac:dyDescent="0.25">
      <c r="A1512" s="9">
        <v>111</v>
      </c>
      <c r="B1512" s="10" t="s">
        <v>44</v>
      </c>
      <c r="C1512" s="10" t="s">
        <v>15</v>
      </c>
      <c r="D1512" s="10" t="s">
        <v>45</v>
      </c>
      <c r="E1512" s="11" t="s">
        <v>180</v>
      </c>
      <c r="F1512" s="11" t="s">
        <v>17</v>
      </c>
      <c r="G1512" s="10" t="s">
        <v>24</v>
      </c>
      <c r="H1512" s="11" t="s">
        <v>19</v>
      </c>
      <c r="I1512" s="11" t="s">
        <v>113</v>
      </c>
      <c r="J1512" s="11"/>
      <c r="K1512" s="11" t="s">
        <v>119</v>
      </c>
      <c r="L1512" s="11"/>
      <c r="M1512" s="11"/>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4"/>
    </row>
    <row r="1513" spans="1:35" ht="12.5" hidden="1" x14ac:dyDescent="0.25">
      <c r="A1513" s="9">
        <v>112</v>
      </c>
      <c r="B1513" s="10" t="s">
        <v>44</v>
      </c>
      <c r="C1513" s="10" t="s">
        <v>15</v>
      </c>
      <c r="D1513" s="10" t="s">
        <v>16</v>
      </c>
      <c r="E1513" s="11" t="s">
        <v>180</v>
      </c>
      <c r="F1513" s="11" t="s">
        <v>17</v>
      </c>
      <c r="G1513" s="10" t="s">
        <v>18</v>
      </c>
      <c r="H1513" s="11" t="s">
        <v>23</v>
      </c>
      <c r="I1513" s="11" t="s">
        <v>113</v>
      </c>
      <c r="J1513" s="11"/>
      <c r="K1513" s="11" t="s">
        <v>119</v>
      </c>
      <c r="L1513" s="11"/>
      <c r="M1513" s="11"/>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4"/>
    </row>
    <row r="1514" spans="1:35" ht="12.5" hidden="1" x14ac:dyDescent="0.25">
      <c r="A1514" s="9">
        <v>113</v>
      </c>
      <c r="B1514" s="10" t="s">
        <v>44</v>
      </c>
      <c r="C1514" s="10" t="s">
        <v>15</v>
      </c>
      <c r="D1514" s="10" t="s">
        <v>37</v>
      </c>
      <c r="E1514" s="11" t="s">
        <v>180</v>
      </c>
      <c r="F1514" s="11" t="s">
        <v>17</v>
      </c>
      <c r="G1514" s="10" t="s">
        <v>24</v>
      </c>
      <c r="H1514" s="11" t="s">
        <v>23</v>
      </c>
      <c r="I1514" s="11" t="s">
        <v>113</v>
      </c>
      <c r="J1514" s="11"/>
      <c r="K1514" s="11" t="s">
        <v>119</v>
      </c>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4"/>
    </row>
    <row r="1515" spans="1:35" ht="12.5" hidden="1" x14ac:dyDescent="0.25">
      <c r="A1515" s="9">
        <v>114</v>
      </c>
      <c r="B1515" s="10" t="s">
        <v>44</v>
      </c>
      <c r="C1515" s="10" t="s">
        <v>15</v>
      </c>
      <c r="D1515" s="10" t="s">
        <v>37</v>
      </c>
      <c r="E1515" s="11" t="s">
        <v>180</v>
      </c>
      <c r="F1515" s="11" t="s">
        <v>17</v>
      </c>
      <c r="G1515" s="10" t="s">
        <v>24</v>
      </c>
      <c r="H1515" s="11" t="s">
        <v>23</v>
      </c>
      <c r="I1515" s="11" t="s">
        <v>113</v>
      </c>
      <c r="J1515" s="11"/>
      <c r="K1515" s="11" t="s">
        <v>119</v>
      </c>
      <c r="L1515" s="11"/>
      <c r="M1515" s="11"/>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4"/>
    </row>
    <row r="1516" spans="1:35" ht="12.5" hidden="1" x14ac:dyDescent="0.25">
      <c r="A1516" s="9">
        <v>115</v>
      </c>
      <c r="B1516" s="10" t="s">
        <v>44</v>
      </c>
      <c r="C1516" s="10" t="s">
        <v>15</v>
      </c>
      <c r="D1516" s="10" t="s">
        <v>37</v>
      </c>
      <c r="E1516" s="11" t="s">
        <v>180</v>
      </c>
      <c r="F1516" s="11" t="s">
        <v>17</v>
      </c>
      <c r="G1516" s="10" t="s">
        <v>18</v>
      </c>
      <c r="H1516" s="11" t="s">
        <v>23</v>
      </c>
      <c r="I1516" s="11" t="s">
        <v>113</v>
      </c>
      <c r="J1516" s="11"/>
      <c r="K1516" s="11" t="s">
        <v>119</v>
      </c>
      <c r="L1516" s="11"/>
      <c r="M1516" s="11"/>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4"/>
    </row>
    <row r="1517" spans="1:35" ht="12.5" hidden="1" x14ac:dyDescent="0.25">
      <c r="A1517" s="9">
        <v>116</v>
      </c>
      <c r="B1517" s="10" t="s">
        <v>44</v>
      </c>
      <c r="C1517" s="10" t="s">
        <v>15</v>
      </c>
      <c r="D1517" s="10" t="s">
        <v>45</v>
      </c>
      <c r="E1517" s="11" t="s">
        <v>150</v>
      </c>
      <c r="F1517" s="11" t="s">
        <v>17</v>
      </c>
      <c r="G1517" s="10" t="s">
        <v>24</v>
      </c>
      <c r="H1517" s="11" t="s">
        <v>19</v>
      </c>
      <c r="I1517" s="11" t="s">
        <v>113</v>
      </c>
      <c r="J1517" s="11"/>
      <c r="K1517" s="11" t="s">
        <v>53</v>
      </c>
      <c r="L1517" s="11"/>
      <c r="M1517" s="11"/>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4"/>
    </row>
    <row r="1518" spans="1:35" ht="12.5" hidden="1" x14ac:dyDescent="0.25">
      <c r="A1518" s="9">
        <v>117</v>
      </c>
      <c r="B1518" s="10" t="s">
        <v>44</v>
      </c>
      <c r="C1518" s="10" t="s">
        <v>15</v>
      </c>
      <c r="D1518" s="10" t="s">
        <v>45</v>
      </c>
      <c r="E1518" s="11" t="s">
        <v>150</v>
      </c>
      <c r="F1518" s="11" t="s">
        <v>17</v>
      </c>
      <c r="G1518" s="10" t="s">
        <v>24</v>
      </c>
      <c r="H1518" s="11" t="s">
        <v>23</v>
      </c>
      <c r="I1518" s="11" t="s">
        <v>113</v>
      </c>
      <c r="J1518" s="11"/>
      <c r="K1518" s="11" t="s">
        <v>53</v>
      </c>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4"/>
    </row>
    <row r="1519" spans="1:35" ht="12.5" hidden="1" x14ac:dyDescent="0.25">
      <c r="A1519" s="9">
        <v>118</v>
      </c>
      <c r="B1519" s="10" t="s">
        <v>44</v>
      </c>
      <c r="C1519" s="10" t="s">
        <v>15</v>
      </c>
      <c r="D1519" s="10" t="s">
        <v>45</v>
      </c>
      <c r="E1519" s="11" t="s">
        <v>150</v>
      </c>
      <c r="F1519" s="11" t="s">
        <v>17</v>
      </c>
      <c r="G1519" s="10" t="s">
        <v>24</v>
      </c>
      <c r="H1519" s="11" t="s">
        <v>23</v>
      </c>
      <c r="I1519" s="11" t="s">
        <v>113</v>
      </c>
      <c r="J1519" s="11"/>
      <c r="K1519" s="11" t="s">
        <v>53</v>
      </c>
      <c r="L1519" s="11"/>
      <c r="M1519" s="11"/>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4"/>
    </row>
    <row r="1520" spans="1:35" ht="12.5" hidden="1" x14ac:dyDescent="0.25">
      <c r="A1520" s="9">
        <v>119</v>
      </c>
      <c r="B1520" s="10" t="s">
        <v>44</v>
      </c>
      <c r="C1520" s="10" t="s">
        <v>15</v>
      </c>
      <c r="D1520" s="10" t="s">
        <v>45</v>
      </c>
      <c r="E1520" s="11" t="s">
        <v>150</v>
      </c>
      <c r="F1520" s="11" t="s">
        <v>17</v>
      </c>
      <c r="G1520" s="10" t="s">
        <v>24</v>
      </c>
      <c r="H1520" s="11" t="s">
        <v>23</v>
      </c>
      <c r="I1520" s="11" t="s">
        <v>113</v>
      </c>
      <c r="J1520" s="11"/>
      <c r="K1520" s="11" t="s">
        <v>53</v>
      </c>
      <c r="L1520" s="11"/>
      <c r="M1520" s="11"/>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4"/>
    </row>
    <row r="1521" spans="1:35" ht="12.5" hidden="1" x14ac:dyDescent="0.25">
      <c r="A1521" s="9">
        <v>120</v>
      </c>
      <c r="B1521" s="10" t="s">
        <v>44</v>
      </c>
      <c r="C1521" s="10" t="s">
        <v>15</v>
      </c>
      <c r="D1521" s="10" t="s">
        <v>45</v>
      </c>
      <c r="E1521" s="11" t="s">
        <v>150</v>
      </c>
      <c r="F1521" s="11" t="s">
        <v>17</v>
      </c>
      <c r="G1521" s="10" t="s">
        <v>24</v>
      </c>
      <c r="H1521" s="11" t="s">
        <v>23</v>
      </c>
      <c r="I1521" s="11" t="s">
        <v>113</v>
      </c>
      <c r="J1521" s="11"/>
      <c r="K1521" s="11" t="s">
        <v>53</v>
      </c>
      <c r="L1521" s="11"/>
      <c r="M1521" s="11"/>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4"/>
    </row>
    <row r="1522" spans="1:35" ht="12.5" hidden="1" x14ac:dyDescent="0.25">
      <c r="A1522" s="9">
        <v>121</v>
      </c>
      <c r="B1522" s="10" t="s">
        <v>44</v>
      </c>
      <c r="C1522" s="10" t="s">
        <v>15</v>
      </c>
      <c r="D1522" s="10" t="s">
        <v>45</v>
      </c>
      <c r="E1522" s="11" t="s">
        <v>150</v>
      </c>
      <c r="F1522" s="11" t="s">
        <v>17</v>
      </c>
      <c r="G1522" s="10" t="s">
        <v>18</v>
      </c>
      <c r="H1522" s="11" t="s">
        <v>19</v>
      </c>
      <c r="I1522" s="11" t="s">
        <v>113</v>
      </c>
      <c r="J1522" s="11"/>
      <c r="K1522" s="11" t="s">
        <v>53</v>
      </c>
      <c r="L1522" s="11"/>
      <c r="M1522" s="11"/>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4"/>
    </row>
    <row r="1523" spans="1:35" ht="12.5" hidden="1" x14ac:dyDescent="0.25">
      <c r="A1523" s="9">
        <v>122</v>
      </c>
      <c r="B1523" s="10" t="s">
        <v>44</v>
      </c>
      <c r="C1523" s="10" t="s">
        <v>15</v>
      </c>
      <c r="D1523" s="10" t="s">
        <v>45</v>
      </c>
      <c r="E1523" s="11" t="s">
        <v>150</v>
      </c>
      <c r="F1523" s="11" t="s">
        <v>17</v>
      </c>
      <c r="G1523" s="10" t="s">
        <v>24</v>
      </c>
      <c r="H1523" s="11" t="s">
        <v>19</v>
      </c>
      <c r="I1523" s="11" t="s">
        <v>113</v>
      </c>
      <c r="J1523" s="11"/>
      <c r="K1523" s="11" t="s">
        <v>53</v>
      </c>
      <c r="L1523" s="11"/>
      <c r="M1523" s="11"/>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4"/>
    </row>
    <row r="1524" spans="1:35" ht="12.5" hidden="1" x14ac:dyDescent="0.25">
      <c r="A1524" s="9">
        <v>123</v>
      </c>
      <c r="B1524" s="10" t="s">
        <v>44</v>
      </c>
      <c r="C1524" s="10" t="s">
        <v>15</v>
      </c>
      <c r="D1524" s="10" t="s">
        <v>45</v>
      </c>
      <c r="E1524" s="11" t="s">
        <v>150</v>
      </c>
      <c r="F1524" s="11" t="s">
        <v>17</v>
      </c>
      <c r="G1524" s="10" t="s">
        <v>24</v>
      </c>
      <c r="H1524" s="11" t="s">
        <v>19</v>
      </c>
      <c r="I1524" s="11" t="s">
        <v>113</v>
      </c>
      <c r="J1524" s="11"/>
      <c r="K1524" s="11" t="s">
        <v>53</v>
      </c>
      <c r="L1524" s="11"/>
      <c r="M1524" s="11"/>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4"/>
    </row>
    <row r="1525" spans="1:35" ht="12.5" hidden="1" x14ac:dyDescent="0.25">
      <c r="A1525" s="9">
        <v>124</v>
      </c>
      <c r="B1525" s="10" t="s">
        <v>44</v>
      </c>
      <c r="C1525" s="10" t="s">
        <v>15</v>
      </c>
      <c r="D1525" s="10" t="s">
        <v>45</v>
      </c>
      <c r="E1525" s="11" t="s">
        <v>150</v>
      </c>
      <c r="F1525" s="11" t="s">
        <v>17</v>
      </c>
      <c r="G1525" s="10" t="s">
        <v>24</v>
      </c>
      <c r="H1525" s="11" t="s">
        <v>23</v>
      </c>
      <c r="I1525" s="11" t="s">
        <v>113</v>
      </c>
      <c r="J1525" s="11"/>
      <c r="K1525" s="11" t="s">
        <v>53</v>
      </c>
      <c r="L1525" s="11"/>
      <c r="M1525" s="11"/>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4"/>
    </row>
    <row r="1526" spans="1:35" ht="12.5" hidden="1" x14ac:dyDescent="0.25">
      <c r="A1526" s="9">
        <v>125</v>
      </c>
      <c r="B1526" s="10" t="s">
        <v>44</v>
      </c>
      <c r="C1526" s="10" t="s">
        <v>15</v>
      </c>
      <c r="D1526" s="10" t="s">
        <v>45</v>
      </c>
      <c r="E1526" s="11" t="s">
        <v>150</v>
      </c>
      <c r="F1526" s="11" t="s">
        <v>17</v>
      </c>
      <c r="G1526" s="10" t="s">
        <v>24</v>
      </c>
      <c r="H1526" s="11" t="s">
        <v>23</v>
      </c>
      <c r="I1526" s="11" t="s">
        <v>113</v>
      </c>
      <c r="J1526" s="11"/>
      <c r="K1526" s="11" t="s">
        <v>53</v>
      </c>
      <c r="L1526" s="11"/>
      <c r="M1526" s="11"/>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4"/>
    </row>
    <row r="1527" spans="1:35" ht="12.5" hidden="1" x14ac:dyDescent="0.25">
      <c r="A1527" s="9">
        <v>126</v>
      </c>
      <c r="B1527" s="10" t="s">
        <v>44</v>
      </c>
      <c r="C1527" s="10" t="s">
        <v>15</v>
      </c>
      <c r="D1527" s="10" t="s">
        <v>45</v>
      </c>
      <c r="E1527" s="11" t="s">
        <v>150</v>
      </c>
      <c r="F1527" s="11" t="s">
        <v>17</v>
      </c>
      <c r="G1527" s="10" t="s">
        <v>24</v>
      </c>
      <c r="H1527" s="11" t="s">
        <v>23</v>
      </c>
      <c r="I1527" s="11" t="s">
        <v>113</v>
      </c>
      <c r="J1527" s="11"/>
      <c r="K1527" s="11" t="s">
        <v>53</v>
      </c>
      <c r="L1527" s="11"/>
      <c r="M1527" s="11"/>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4"/>
    </row>
    <row r="1528" spans="1:35" ht="12.5" hidden="1" x14ac:dyDescent="0.25">
      <c r="A1528" s="9">
        <v>127</v>
      </c>
      <c r="B1528" s="10" t="s">
        <v>44</v>
      </c>
      <c r="C1528" s="10" t="s">
        <v>15</v>
      </c>
      <c r="D1528" s="10" t="s">
        <v>45</v>
      </c>
      <c r="E1528" s="11" t="s">
        <v>150</v>
      </c>
      <c r="F1528" s="11" t="s">
        <v>17</v>
      </c>
      <c r="G1528" s="10" t="s">
        <v>24</v>
      </c>
      <c r="H1528" s="11" t="s">
        <v>23</v>
      </c>
      <c r="I1528" s="11" t="s">
        <v>113</v>
      </c>
      <c r="J1528" s="11"/>
      <c r="K1528" s="11" t="s">
        <v>53</v>
      </c>
      <c r="L1528" s="11"/>
      <c r="M1528" s="11"/>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4"/>
    </row>
    <row r="1529" spans="1:35" ht="12.5" hidden="1" x14ac:dyDescent="0.25">
      <c r="A1529" s="9">
        <v>128</v>
      </c>
      <c r="B1529" s="10" t="s">
        <v>44</v>
      </c>
      <c r="C1529" s="10" t="s">
        <v>15</v>
      </c>
      <c r="D1529" s="10" t="s">
        <v>45</v>
      </c>
      <c r="E1529" s="11" t="s">
        <v>150</v>
      </c>
      <c r="F1529" s="11" t="s">
        <v>17</v>
      </c>
      <c r="G1529" s="10" t="s">
        <v>24</v>
      </c>
      <c r="H1529" s="11" t="s">
        <v>19</v>
      </c>
      <c r="I1529" s="11" t="s">
        <v>113</v>
      </c>
      <c r="J1529" s="11"/>
      <c r="K1529" s="11" t="s">
        <v>53</v>
      </c>
      <c r="L1529" s="11"/>
      <c r="M1529" s="11"/>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4"/>
    </row>
    <row r="1530" spans="1:35" ht="12.5" hidden="1" x14ac:dyDescent="0.25">
      <c r="A1530" s="9">
        <v>129</v>
      </c>
      <c r="B1530" s="10" t="s">
        <v>44</v>
      </c>
      <c r="C1530" s="10" t="s">
        <v>15</v>
      </c>
      <c r="D1530" s="10" t="s">
        <v>45</v>
      </c>
      <c r="E1530" s="11" t="s">
        <v>150</v>
      </c>
      <c r="F1530" s="11" t="s">
        <v>17</v>
      </c>
      <c r="G1530" s="10" t="s">
        <v>24</v>
      </c>
      <c r="H1530" s="11" t="s">
        <v>23</v>
      </c>
      <c r="I1530" s="11" t="s">
        <v>113</v>
      </c>
      <c r="J1530" s="11"/>
      <c r="K1530" s="11" t="s">
        <v>53</v>
      </c>
      <c r="L1530" s="11"/>
      <c r="M1530" s="11"/>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4"/>
    </row>
    <row r="1531" spans="1:35" ht="12.5" hidden="1" x14ac:dyDescent="0.25">
      <c r="A1531" s="9">
        <v>130</v>
      </c>
      <c r="B1531" s="10" t="s">
        <v>44</v>
      </c>
      <c r="C1531" s="10" t="s">
        <v>15</v>
      </c>
      <c r="D1531" s="10" t="s">
        <v>45</v>
      </c>
      <c r="E1531" s="11" t="s">
        <v>150</v>
      </c>
      <c r="F1531" s="11" t="s">
        <v>17</v>
      </c>
      <c r="G1531" s="10" t="s">
        <v>18</v>
      </c>
      <c r="H1531" s="11" t="s">
        <v>23</v>
      </c>
      <c r="I1531" s="11" t="s">
        <v>113</v>
      </c>
      <c r="J1531" s="11"/>
      <c r="K1531" s="11" t="s">
        <v>53</v>
      </c>
      <c r="L1531" s="11"/>
      <c r="M1531" s="11"/>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4"/>
    </row>
    <row r="1532" spans="1:35" ht="12.5" hidden="1" x14ac:dyDescent="0.25">
      <c r="A1532" s="9">
        <v>131</v>
      </c>
      <c r="B1532" s="10" t="s">
        <v>44</v>
      </c>
      <c r="C1532" s="10" t="s">
        <v>15</v>
      </c>
      <c r="D1532" s="10" t="s">
        <v>16</v>
      </c>
      <c r="E1532" s="11" t="s">
        <v>150</v>
      </c>
      <c r="F1532" s="11" t="s">
        <v>17</v>
      </c>
      <c r="G1532" s="10" t="s">
        <v>18</v>
      </c>
      <c r="H1532" s="11" t="s">
        <v>19</v>
      </c>
      <c r="I1532" s="11" t="s">
        <v>113</v>
      </c>
      <c r="J1532" s="11"/>
      <c r="K1532" s="11" t="s">
        <v>53</v>
      </c>
      <c r="L1532" s="11"/>
      <c r="M1532" s="11"/>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4"/>
    </row>
    <row r="1533" spans="1:35" ht="12.5" hidden="1" x14ac:dyDescent="0.25">
      <c r="A1533" s="9">
        <v>132</v>
      </c>
      <c r="B1533" s="10" t="s">
        <v>44</v>
      </c>
      <c r="C1533" s="10" t="s">
        <v>15</v>
      </c>
      <c r="D1533" s="10" t="s">
        <v>16</v>
      </c>
      <c r="E1533" s="11" t="s">
        <v>150</v>
      </c>
      <c r="F1533" s="11" t="s">
        <v>17</v>
      </c>
      <c r="G1533" s="10" t="s">
        <v>24</v>
      </c>
      <c r="H1533" s="11" t="s">
        <v>19</v>
      </c>
      <c r="I1533" s="11" t="s">
        <v>113</v>
      </c>
      <c r="J1533" s="11"/>
      <c r="K1533" s="11" t="s">
        <v>53</v>
      </c>
      <c r="L1533" s="11"/>
      <c r="M1533" s="11"/>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4"/>
    </row>
    <row r="1534" spans="1:35" ht="12.5" hidden="1" x14ac:dyDescent="0.25">
      <c r="A1534" s="9">
        <v>133</v>
      </c>
      <c r="B1534" s="10" t="s">
        <v>44</v>
      </c>
      <c r="C1534" s="10" t="s">
        <v>15</v>
      </c>
      <c r="D1534" s="10" t="s">
        <v>16</v>
      </c>
      <c r="E1534" s="11" t="s">
        <v>150</v>
      </c>
      <c r="F1534" s="11" t="s">
        <v>17</v>
      </c>
      <c r="G1534" s="10" t="s">
        <v>24</v>
      </c>
      <c r="H1534" s="11" t="s">
        <v>23</v>
      </c>
      <c r="I1534" s="11" t="s">
        <v>113</v>
      </c>
      <c r="J1534" s="11"/>
      <c r="K1534" s="11" t="s">
        <v>53</v>
      </c>
      <c r="L1534" s="11"/>
      <c r="M1534" s="11"/>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4"/>
    </row>
    <row r="1535" spans="1:35" ht="12.5" hidden="1" x14ac:dyDescent="0.25">
      <c r="A1535" s="9">
        <v>134</v>
      </c>
      <c r="B1535" s="10" t="s">
        <v>44</v>
      </c>
      <c r="C1535" s="10" t="s">
        <v>15</v>
      </c>
      <c r="D1535" s="10" t="s">
        <v>16</v>
      </c>
      <c r="E1535" s="11" t="s">
        <v>150</v>
      </c>
      <c r="F1535" s="11" t="s">
        <v>17</v>
      </c>
      <c r="G1535" s="10" t="s">
        <v>18</v>
      </c>
      <c r="H1535" s="11" t="s">
        <v>19</v>
      </c>
      <c r="I1535" s="11" t="s">
        <v>113</v>
      </c>
      <c r="J1535" s="11"/>
      <c r="K1535" s="11" t="s">
        <v>53</v>
      </c>
      <c r="L1535" s="11"/>
      <c r="M1535" s="11"/>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4"/>
    </row>
    <row r="1536" spans="1:35" ht="12.5" hidden="1" x14ac:dyDescent="0.25">
      <c r="A1536" s="9">
        <v>135</v>
      </c>
      <c r="B1536" s="10" t="s">
        <v>44</v>
      </c>
      <c r="C1536" s="10" t="s">
        <v>15</v>
      </c>
      <c r="D1536" s="10" t="s">
        <v>16</v>
      </c>
      <c r="E1536" s="11" t="s">
        <v>150</v>
      </c>
      <c r="F1536" s="11" t="s">
        <v>17</v>
      </c>
      <c r="G1536" s="10" t="s">
        <v>24</v>
      </c>
      <c r="H1536" s="11" t="s">
        <v>25</v>
      </c>
      <c r="I1536" s="11" t="s">
        <v>113</v>
      </c>
      <c r="J1536" s="11"/>
      <c r="K1536" s="11" t="s">
        <v>53</v>
      </c>
      <c r="L1536" s="11"/>
      <c r="M1536" s="11"/>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4"/>
    </row>
    <row r="1537" spans="1:35" ht="12.5" hidden="1" x14ac:dyDescent="0.25">
      <c r="A1537" s="9">
        <v>136</v>
      </c>
      <c r="B1537" s="10" t="s">
        <v>83</v>
      </c>
      <c r="C1537" s="10" t="s">
        <v>15</v>
      </c>
      <c r="D1537" s="10" t="s">
        <v>45</v>
      </c>
      <c r="E1537" s="11" t="s">
        <v>168</v>
      </c>
      <c r="F1537" s="11" t="s">
        <v>17</v>
      </c>
      <c r="G1537" s="10" t="s">
        <v>24</v>
      </c>
      <c r="H1537" s="11" t="s">
        <v>23</v>
      </c>
      <c r="I1537" s="11" t="s">
        <v>113</v>
      </c>
      <c r="J1537" s="11"/>
      <c r="K1537" s="11" t="s">
        <v>120</v>
      </c>
      <c r="L1537" s="11"/>
      <c r="M1537" s="11"/>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4"/>
    </row>
    <row r="1538" spans="1:35" ht="12.5" hidden="1" x14ac:dyDescent="0.25">
      <c r="A1538" s="9">
        <v>137</v>
      </c>
      <c r="B1538" s="10" t="s">
        <v>83</v>
      </c>
      <c r="C1538" s="10" t="s">
        <v>15</v>
      </c>
      <c r="D1538" s="10" t="s">
        <v>45</v>
      </c>
      <c r="E1538" s="11" t="s">
        <v>168</v>
      </c>
      <c r="F1538" s="11" t="s">
        <v>17</v>
      </c>
      <c r="G1538" s="10" t="s">
        <v>24</v>
      </c>
      <c r="H1538" s="11" t="s">
        <v>23</v>
      </c>
      <c r="I1538" s="11" t="s">
        <v>113</v>
      </c>
      <c r="J1538" s="11"/>
      <c r="K1538" s="11" t="s">
        <v>120</v>
      </c>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4"/>
    </row>
    <row r="1539" spans="1:35" ht="12.5" hidden="1" x14ac:dyDescent="0.25">
      <c r="A1539" s="9">
        <v>138</v>
      </c>
      <c r="B1539" s="10" t="s">
        <v>83</v>
      </c>
      <c r="C1539" s="10" t="s">
        <v>15</v>
      </c>
      <c r="D1539" s="10" t="s">
        <v>45</v>
      </c>
      <c r="E1539" s="11" t="s">
        <v>168</v>
      </c>
      <c r="F1539" s="11" t="s">
        <v>17</v>
      </c>
      <c r="G1539" s="10" t="s">
        <v>18</v>
      </c>
      <c r="H1539" s="11" t="s">
        <v>19</v>
      </c>
      <c r="I1539" s="11" t="s">
        <v>113</v>
      </c>
      <c r="J1539" s="11"/>
      <c r="K1539" s="11" t="s">
        <v>120</v>
      </c>
      <c r="L1539" s="11"/>
      <c r="M1539" s="11"/>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4"/>
    </row>
    <row r="1540" spans="1:35" ht="12.5" hidden="1" x14ac:dyDescent="0.25">
      <c r="A1540" s="9">
        <v>139</v>
      </c>
      <c r="B1540" s="10" t="s">
        <v>83</v>
      </c>
      <c r="C1540" s="10" t="s">
        <v>15</v>
      </c>
      <c r="D1540" s="10" t="s">
        <v>45</v>
      </c>
      <c r="E1540" s="11" t="s">
        <v>171</v>
      </c>
      <c r="F1540" s="11" t="s">
        <v>17</v>
      </c>
      <c r="G1540" s="10" t="s">
        <v>18</v>
      </c>
      <c r="H1540" s="11" t="s">
        <v>19</v>
      </c>
      <c r="I1540" s="11" t="s">
        <v>113</v>
      </c>
      <c r="J1540" s="11"/>
      <c r="K1540" s="11" t="s">
        <v>121</v>
      </c>
      <c r="L1540" s="11"/>
      <c r="M1540" s="11"/>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4"/>
    </row>
    <row r="1541" spans="1:35" ht="12.5" hidden="1" x14ac:dyDescent="0.25">
      <c r="A1541" s="9">
        <v>140</v>
      </c>
      <c r="B1541" s="10" t="s">
        <v>83</v>
      </c>
      <c r="C1541" s="10" t="s">
        <v>15</v>
      </c>
      <c r="D1541" s="10" t="s">
        <v>45</v>
      </c>
      <c r="E1541" s="11" t="s">
        <v>171</v>
      </c>
      <c r="F1541" s="11" t="s">
        <v>17</v>
      </c>
      <c r="G1541" s="10" t="s">
        <v>24</v>
      </c>
      <c r="H1541" s="11" t="s">
        <v>19</v>
      </c>
      <c r="I1541" s="11" t="s">
        <v>113</v>
      </c>
      <c r="J1541" s="11"/>
      <c r="K1541" s="11" t="s">
        <v>121</v>
      </c>
      <c r="L1541" s="11"/>
      <c r="M1541" s="11"/>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4"/>
    </row>
    <row r="1542" spans="1:35" ht="12.5" hidden="1" x14ac:dyDescent="0.25">
      <c r="A1542" s="9">
        <v>141</v>
      </c>
      <c r="B1542" s="10" t="s">
        <v>83</v>
      </c>
      <c r="C1542" s="10" t="s">
        <v>15</v>
      </c>
      <c r="D1542" s="10" t="s">
        <v>45</v>
      </c>
      <c r="E1542" s="11" t="s">
        <v>171</v>
      </c>
      <c r="F1542" s="11" t="s">
        <v>17</v>
      </c>
      <c r="G1542" s="10" t="s">
        <v>24</v>
      </c>
      <c r="H1542" s="11" t="s">
        <v>19</v>
      </c>
      <c r="I1542" s="11" t="s">
        <v>113</v>
      </c>
      <c r="J1542" s="11"/>
      <c r="K1542" s="11" t="s">
        <v>121</v>
      </c>
      <c r="L1542" s="11"/>
      <c r="M1542" s="11"/>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4"/>
    </row>
    <row r="1543" spans="1:35" ht="12.5" hidden="1" x14ac:dyDescent="0.25">
      <c r="A1543" s="9">
        <v>142</v>
      </c>
      <c r="B1543" s="10" t="s">
        <v>83</v>
      </c>
      <c r="C1543" s="10" t="s">
        <v>15</v>
      </c>
      <c r="D1543" s="10" t="s">
        <v>45</v>
      </c>
      <c r="E1543" s="11" t="s">
        <v>171</v>
      </c>
      <c r="F1543" s="11" t="s">
        <v>17</v>
      </c>
      <c r="G1543" s="10" t="s">
        <v>24</v>
      </c>
      <c r="H1543" s="11" t="s">
        <v>19</v>
      </c>
      <c r="I1543" s="11" t="s">
        <v>113</v>
      </c>
      <c r="J1543" s="11"/>
      <c r="K1543" s="11" t="s">
        <v>121</v>
      </c>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4"/>
    </row>
    <row r="1544" spans="1:35" ht="12.5" hidden="1" x14ac:dyDescent="0.25">
      <c r="A1544" s="9">
        <v>143</v>
      </c>
      <c r="B1544" s="10" t="s">
        <v>83</v>
      </c>
      <c r="C1544" s="10" t="s">
        <v>15</v>
      </c>
      <c r="D1544" s="10" t="s">
        <v>16</v>
      </c>
      <c r="E1544" s="11" t="s">
        <v>168</v>
      </c>
      <c r="F1544" s="11" t="s">
        <v>17</v>
      </c>
      <c r="G1544" s="10" t="s">
        <v>24</v>
      </c>
      <c r="H1544" s="11" t="s">
        <v>19</v>
      </c>
      <c r="I1544" s="11" t="s">
        <v>113</v>
      </c>
      <c r="J1544" s="11"/>
      <c r="K1544" s="11" t="s">
        <v>120</v>
      </c>
      <c r="L1544" s="11"/>
      <c r="M1544" s="11"/>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4"/>
    </row>
    <row r="1545" spans="1:35" ht="12.5" hidden="1" x14ac:dyDescent="0.25">
      <c r="A1545" s="9">
        <v>144</v>
      </c>
      <c r="B1545" s="10" t="s">
        <v>83</v>
      </c>
      <c r="C1545" s="10" t="s">
        <v>15</v>
      </c>
      <c r="D1545" s="10" t="s">
        <v>16</v>
      </c>
      <c r="E1545" s="11" t="s">
        <v>168</v>
      </c>
      <c r="F1545" s="11" t="s">
        <v>17</v>
      </c>
      <c r="G1545" s="10" t="s">
        <v>24</v>
      </c>
      <c r="H1545" s="11" t="s">
        <v>19</v>
      </c>
      <c r="I1545" s="11" t="s">
        <v>113</v>
      </c>
      <c r="J1545" s="11"/>
      <c r="K1545" s="11" t="s">
        <v>120</v>
      </c>
      <c r="L1545" s="11"/>
      <c r="M1545" s="11"/>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4"/>
    </row>
    <row r="1546" spans="1:35" ht="12.5" hidden="1" x14ac:dyDescent="0.25">
      <c r="A1546" s="9">
        <v>145</v>
      </c>
      <c r="B1546" s="10" t="s">
        <v>83</v>
      </c>
      <c r="C1546" s="10" t="s">
        <v>15</v>
      </c>
      <c r="D1546" s="10" t="s">
        <v>16</v>
      </c>
      <c r="E1546" s="11" t="s">
        <v>169</v>
      </c>
      <c r="F1546" s="11" t="s">
        <v>17</v>
      </c>
      <c r="G1546" s="10" t="s">
        <v>18</v>
      </c>
      <c r="H1546" s="11" t="s">
        <v>19</v>
      </c>
      <c r="I1546" s="11" t="s">
        <v>113</v>
      </c>
      <c r="J1546" s="11"/>
      <c r="K1546" s="11" t="s">
        <v>122</v>
      </c>
      <c r="L1546" s="11"/>
      <c r="M1546" s="11"/>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4"/>
    </row>
    <row r="1547" spans="1:35" ht="12.5" hidden="1" x14ac:dyDescent="0.25">
      <c r="A1547" s="9">
        <v>146</v>
      </c>
      <c r="B1547" s="10" t="s">
        <v>83</v>
      </c>
      <c r="C1547" s="10" t="s">
        <v>15</v>
      </c>
      <c r="D1547" s="10" t="s">
        <v>16</v>
      </c>
      <c r="E1547" s="11" t="s">
        <v>169</v>
      </c>
      <c r="F1547" s="11" t="s">
        <v>17</v>
      </c>
      <c r="G1547" s="10" t="s">
        <v>24</v>
      </c>
      <c r="H1547" s="11" t="s">
        <v>19</v>
      </c>
      <c r="I1547" s="11" t="s">
        <v>113</v>
      </c>
      <c r="J1547" s="11"/>
      <c r="K1547" s="11" t="s">
        <v>122</v>
      </c>
      <c r="L1547" s="11"/>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4"/>
    </row>
    <row r="1548" spans="1:35" ht="12.5" hidden="1" x14ac:dyDescent="0.25">
      <c r="A1548" s="9">
        <v>147</v>
      </c>
      <c r="B1548" s="10" t="s">
        <v>83</v>
      </c>
      <c r="C1548" s="10" t="s">
        <v>15</v>
      </c>
      <c r="D1548" s="10" t="s">
        <v>16</v>
      </c>
      <c r="E1548" s="11" t="s">
        <v>169</v>
      </c>
      <c r="F1548" s="11" t="s">
        <v>17</v>
      </c>
      <c r="G1548" s="10" t="s">
        <v>18</v>
      </c>
      <c r="H1548" s="11" t="s">
        <v>19</v>
      </c>
      <c r="I1548" s="11" t="s">
        <v>113</v>
      </c>
      <c r="J1548" s="11"/>
      <c r="K1548" s="11" t="s">
        <v>122</v>
      </c>
      <c r="L1548" s="11"/>
      <c r="M1548" s="11"/>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4"/>
    </row>
    <row r="1549" spans="1:35" ht="12.5" hidden="1" x14ac:dyDescent="0.25">
      <c r="A1549" s="9">
        <v>148</v>
      </c>
      <c r="B1549" s="10" t="s">
        <v>83</v>
      </c>
      <c r="C1549" s="10" t="s">
        <v>15</v>
      </c>
      <c r="D1549" s="10" t="s">
        <v>16</v>
      </c>
      <c r="E1549" s="11" t="s">
        <v>169</v>
      </c>
      <c r="F1549" s="11" t="s">
        <v>17</v>
      </c>
      <c r="G1549" s="10" t="s">
        <v>18</v>
      </c>
      <c r="H1549" s="11" t="s">
        <v>19</v>
      </c>
      <c r="I1549" s="11" t="s">
        <v>113</v>
      </c>
      <c r="J1549" s="11"/>
      <c r="K1549" s="11" t="s">
        <v>122</v>
      </c>
      <c r="L1549" s="11"/>
      <c r="M1549" s="11"/>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4"/>
    </row>
    <row r="1550" spans="1:35" ht="12.5" hidden="1" x14ac:dyDescent="0.25">
      <c r="A1550" s="9">
        <v>149</v>
      </c>
      <c r="B1550" s="10" t="s">
        <v>83</v>
      </c>
      <c r="C1550" s="10" t="s">
        <v>15</v>
      </c>
      <c r="D1550" s="10" t="s">
        <v>16</v>
      </c>
      <c r="E1550" s="11" t="s">
        <v>169</v>
      </c>
      <c r="F1550" s="11" t="s">
        <v>17</v>
      </c>
      <c r="G1550" s="10" t="s">
        <v>18</v>
      </c>
      <c r="H1550" s="11" t="s">
        <v>19</v>
      </c>
      <c r="I1550" s="11" t="s">
        <v>113</v>
      </c>
      <c r="J1550" s="11"/>
      <c r="K1550" s="11" t="s">
        <v>122</v>
      </c>
      <c r="L1550" s="11"/>
      <c r="M1550" s="11"/>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4"/>
    </row>
    <row r="1551" spans="1:35" ht="12.5" hidden="1" x14ac:dyDescent="0.25">
      <c r="A1551" s="9">
        <v>150</v>
      </c>
      <c r="B1551" s="10" t="s">
        <v>83</v>
      </c>
      <c r="C1551" s="10" t="s">
        <v>15</v>
      </c>
      <c r="D1551" s="10" t="s">
        <v>16</v>
      </c>
      <c r="E1551" s="11" t="s">
        <v>169</v>
      </c>
      <c r="F1551" s="11" t="s">
        <v>17</v>
      </c>
      <c r="G1551" s="10" t="s">
        <v>18</v>
      </c>
      <c r="H1551" s="11" t="s">
        <v>19</v>
      </c>
      <c r="I1551" s="11" t="s">
        <v>113</v>
      </c>
      <c r="J1551" s="11"/>
      <c r="K1551" s="11" t="s">
        <v>122</v>
      </c>
      <c r="L1551" s="11"/>
      <c r="M1551" s="11"/>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4"/>
    </row>
    <row r="1552" spans="1:35" ht="12.5" hidden="1" x14ac:dyDescent="0.25">
      <c r="A1552" s="9">
        <v>151</v>
      </c>
      <c r="B1552" s="10" t="s">
        <v>83</v>
      </c>
      <c r="C1552" s="10" t="s">
        <v>15</v>
      </c>
      <c r="D1552" s="10" t="s">
        <v>16</v>
      </c>
      <c r="E1552" s="11" t="s">
        <v>169</v>
      </c>
      <c r="F1552" s="11" t="s">
        <v>17</v>
      </c>
      <c r="G1552" s="10" t="s">
        <v>18</v>
      </c>
      <c r="H1552" s="11" t="s">
        <v>19</v>
      </c>
      <c r="I1552" s="11" t="s">
        <v>113</v>
      </c>
      <c r="J1552" s="11"/>
      <c r="K1552" s="11" t="s">
        <v>122</v>
      </c>
      <c r="L1552" s="11"/>
      <c r="M1552" s="11"/>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4"/>
    </row>
    <row r="1553" spans="1:35" ht="12.5" hidden="1" x14ac:dyDescent="0.25">
      <c r="A1553" s="9">
        <v>152</v>
      </c>
      <c r="B1553" s="10" t="s">
        <v>83</v>
      </c>
      <c r="C1553" s="10" t="s">
        <v>15</v>
      </c>
      <c r="D1553" s="10" t="s">
        <v>16</v>
      </c>
      <c r="E1553" s="11" t="s">
        <v>169</v>
      </c>
      <c r="F1553" s="11" t="s">
        <v>17</v>
      </c>
      <c r="G1553" s="10" t="s">
        <v>18</v>
      </c>
      <c r="H1553" s="11" t="s">
        <v>19</v>
      </c>
      <c r="I1553" s="11" t="s">
        <v>113</v>
      </c>
      <c r="J1553" s="11"/>
      <c r="K1553" s="11" t="s">
        <v>122</v>
      </c>
      <c r="L1553" s="11"/>
      <c r="M1553" s="11"/>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4"/>
    </row>
    <row r="1554" spans="1:35" ht="12.5" hidden="1" x14ac:dyDescent="0.25">
      <c r="A1554" s="9">
        <v>153</v>
      </c>
      <c r="B1554" s="10" t="s">
        <v>83</v>
      </c>
      <c r="C1554" s="10" t="s">
        <v>15</v>
      </c>
      <c r="D1554" s="10" t="s">
        <v>16</v>
      </c>
      <c r="E1554" s="11" t="s">
        <v>169</v>
      </c>
      <c r="F1554" s="11" t="s">
        <v>17</v>
      </c>
      <c r="G1554" s="10" t="s">
        <v>24</v>
      </c>
      <c r="H1554" s="11" t="s">
        <v>19</v>
      </c>
      <c r="I1554" s="11" t="s">
        <v>113</v>
      </c>
      <c r="J1554" s="11"/>
      <c r="K1554" s="11" t="s">
        <v>122</v>
      </c>
      <c r="L1554" s="11"/>
      <c r="M1554" s="11"/>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4"/>
    </row>
    <row r="1555" spans="1:35" ht="12.5" hidden="1" x14ac:dyDescent="0.25">
      <c r="A1555" s="9">
        <v>154</v>
      </c>
      <c r="B1555" s="10" t="s">
        <v>83</v>
      </c>
      <c r="C1555" s="10" t="s">
        <v>15</v>
      </c>
      <c r="D1555" s="10" t="s">
        <v>16</v>
      </c>
      <c r="E1555" s="11" t="s">
        <v>169</v>
      </c>
      <c r="F1555" s="11" t="s">
        <v>17</v>
      </c>
      <c r="G1555" s="10" t="s">
        <v>24</v>
      </c>
      <c r="H1555" s="11" t="s">
        <v>19</v>
      </c>
      <c r="I1555" s="11" t="s">
        <v>113</v>
      </c>
      <c r="J1555" s="11"/>
      <c r="K1555" s="11" t="s">
        <v>122</v>
      </c>
      <c r="L1555" s="11"/>
      <c r="M1555" s="11"/>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4"/>
    </row>
    <row r="1556" spans="1:35" ht="12.5" hidden="1" x14ac:dyDescent="0.25">
      <c r="A1556" s="9">
        <v>155</v>
      </c>
      <c r="B1556" s="10" t="s">
        <v>83</v>
      </c>
      <c r="C1556" s="10" t="s">
        <v>15</v>
      </c>
      <c r="D1556" s="10" t="s">
        <v>16</v>
      </c>
      <c r="E1556" s="11" t="s">
        <v>169</v>
      </c>
      <c r="F1556" s="11" t="s">
        <v>17</v>
      </c>
      <c r="G1556" s="10" t="s">
        <v>24</v>
      </c>
      <c r="H1556" s="11" t="s">
        <v>19</v>
      </c>
      <c r="I1556" s="11" t="s">
        <v>113</v>
      </c>
      <c r="J1556" s="11"/>
      <c r="K1556" s="11" t="s">
        <v>122</v>
      </c>
      <c r="L1556" s="11"/>
      <c r="M1556" s="11"/>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4"/>
    </row>
    <row r="1557" spans="1:35" ht="12.5" hidden="1" x14ac:dyDescent="0.25">
      <c r="A1557" s="9">
        <v>156</v>
      </c>
      <c r="B1557" s="10" t="s">
        <v>83</v>
      </c>
      <c r="C1557" s="10" t="s">
        <v>15</v>
      </c>
      <c r="D1557" s="10" t="s">
        <v>16</v>
      </c>
      <c r="E1557" s="11" t="s">
        <v>169</v>
      </c>
      <c r="F1557" s="11" t="s">
        <v>17</v>
      </c>
      <c r="G1557" s="10" t="s">
        <v>24</v>
      </c>
      <c r="H1557" s="11" t="s">
        <v>19</v>
      </c>
      <c r="I1557" s="11" t="s">
        <v>113</v>
      </c>
      <c r="J1557" s="11"/>
      <c r="K1557" s="11" t="s">
        <v>122</v>
      </c>
      <c r="L1557" s="11"/>
      <c r="M1557" s="11"/>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4"/>
    </row>
    <row r="1558" spans="1:35" ht="12.5" hidden="1" x14ac:dyDescent="0.25">
      <c r="A1558" s="9">
        <v>157</v>
      </c>
      <c r="B1558" s="10" t="s">
        <v>83</v>
      </c>
      <c r="C1558" s="10" t="s">
        <v>15</v>
      </c>
      <c r="D1558" s="10" t="s">
        <v>16</v>
      </c>
      <c r="E1558" s="11" t="s">
        <v>169</v>
      </c>
      <c r="F1558" s="11" t="s">
        <v>17</v>
      </c>
      <c r="G1558" s="10" t="s">
        <v>24</v>
      </c>
      <c r="H1558" s="11" t="s">
        <v>19</v>
      </c>
      <c r="I1558" s="11" t="s">
        <v>113</v>
      </c>
      <c r="J1558" s="11"/>
      <c r="K1558" s="11" t="s">
        <v>122</v>
      </c>
      <c r="L1558" s="11"/>
      <c r="M1558" s="11"/>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4"/>
    </row>
    <row r="1559" spans="1:35" ht="12.5" hidden="1" x14ac:dyDescent="0.25">
      <c r="A1559" s="9">
        <v>158</v>
      </c>
      <c r="B1559" s="10" t="s">
        <v>83</v>
      </c>
      <c r="C1559" s="10" t="s">
        <v>15</v>
      </c>
      <c r="D1559" s="10" t="s">
        <v>16</v>
      </c>
      <c r="E1559" s="11" t="s">
        <v>171</v>
      </c>
      <c r="F1559" s="11" t="s">
        <v>17</v>
      </c>
      <c r="G1559" s="10" t="s">
        <v>18</v>
      </c>
      <c r="H1559" s="11" t="s">
        <v>19</v>
      </c>
      <c r="I1559" s="11" t="s">
        <v>113</v>
      </c>
      <c r="J1559" s="11"/>
      <c r="K1559" s="11" t="s">
        <v>121</v>
      </c>
      <c r="L1559" s="11"/>
      <c r="M1559" s="11"/>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4"/>
    </row>
    <row r="1560" spans="1:35" ht="12.5" hidden="1" x14ac:dyDescent="0.25">
      <c r="A1560" s="9">
        <v>159</v>
      </c>
      <c r="B1560" s="10" t="s">
        <v>83</v>
      </c>
      <c r="C1560" s="10" t="s">
        <v>15</v>
      </c>
      <c r="D1560" s="10" t="s">
        <v>16</v>
      </c>
      <c r="E1560" s="11" t="s">
        <v>171</v>
      </c>
      <c r="F1560" s="11" t="s">
        <v>17</v>
      </c>
      <c r="G1560" s="10" t="s">
        <v>18</v>
      </c>
      <c r="H1560" s="11" t="s">
        <v>19</v>
      </c>
      <c r="I1560" s="11" t="s">
        <v>113</v>
      </c>
      <c r="J1560" s="11"/>
      <c r="K1560" s="11" t="s">
        <v>121</v>
      </c>
      <c r="L1560" s="11"/>
      <c r="M1560" s="11"/>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4"/>
    </row>
    <row r="1561" spans="1:35" ht="12.5" hidden="1" x14ac:dyDescent="0.25">
      <c r="A1561" s="9">
        <v>160</v>
      </c>
      <c r="B1561" s="10" t="s">
        <v>83</v>
      </c>
      <c r="C1561" s="10" t="s">
        <v>15</v>
      </c>
      <c r="D1561" s="10" t="s">
        <v>16</v>
      </c>
      <c r="E1561" s="11" t="s">
        <v>171</v>
      </c>
      <c r="F1561" s="11" t="s">
        <v>17</v>
      </c>
      <c r="G1561" s="10" t="s">
        <v>18</v>
      </c>
      <c r="H1561" s="11" t="s">
        <v>19</v>
      </c>
      <c r="I1561" s="11" t="s">
        <v>113</v>
      </c>
      <c r="J1561" s="11"/>
      <c r="K1561" s="11" t="s">
        <v>121</v>
      </c>
      <c r="L1561" s="11"/>
      <c r="M1561" s="11"/>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4"/>
    </row>
    <row r="1562" spans="1:35" ht="12.5" hidden="1" x14ac:dyDescent="0.25">
      <c r="A1562" s="9">
        <v>161</v>
      </c>
      <c r="B1562" s="10" t="s">
        <v>83</v>
      </c>
      <c r="C1562" s="10" t="s">
        <v>15</v>
      </c>
      <c r="D1562" s="10" t="s">
        <v>16</v>
      </c>
      <c r="E1562" s="11" t="s">
        <v>171</v>
      </c>
      <c r="F1562" s="11" t="s">
        <v>17</v>
      </c>
      <c r="G1562" s="10" t="s">
        <v>24</v>
      </c>
      <c r="H1562" s="11" t="s">
        <v>19</v>
      </c>
      <c r="I1562" s="11" t="s">
        <v>113</v>
      </c>
      <c r="J1562" s="11"/>
      <c r="K1562" s="11" t="s">
        <v>121</v>
      </c>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4"/>
    </row>
    <row r="1563" spans="1:35" ht="12.5" hidden="1" x14ac:dyDescent="0.25">
      <c r="A1563" s="9">
        <v>162</v>
      </c>
      <c r="B1563" s="10" t="s">
        <v>83</v>
      </c>
      <c r="C1563" s="10" t="s">
        <v>15</v>
      </c>
      <c r="D1563" s="10" t="s">
        <v>37</v>
      </c>
      <c r="E1563" s="11" t="s">
        <v>168</v>
      </c>
      <c r="F1563" s="11" t="s">
        <v>17</v>
      </c>
      <c r="G1563" s="10" t="s">
        <v>18</v>
      </c>
      <c r="H1563" s="11" t="s">
        <v>19</v>
      </c>
      <c r="I1563" s="11" t="s">
        <v>113</v>
      </c>
      <c r="J1563" s="11"/>
      <c r="K1563" s="11" t="s">
        <v>120</v>
      </c>
      <c r="L1563" s="11"/>
      <c r="M1563" s="11"/>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4"/>
    </row>
    <row r="1564" spans="1:35" ht="12.5" hidden="1" x14ac:dyDescent="0.25">
      <c r="A1564" s="9">
        <v>163</v>
      </c>
      <c r="B1564" s="10" t="s">
        <v>83</v>
      </c>
      <c r="C1564" s="10" t="s">
        <v>15</v>
      </c>
      <c r="D1564" s="10" t="s">
        <v>37</v>
      </c>
      <c r="E1564" s="11" t="s">
        <v>168</v>
      </c>
      <c r="F1564" s="11" t="s">
        <v>17</v>
      </c>
      <c r="G1564" s="10" t="s">
        <v>18</v>
      </c>
      <c r="H1564" s="11" t="s">
        <v>19</v>
      </c>
      <c r="I1564" s="11" t="s">
        <v>113</v>
      </c>
      <c r="J1564" s="11"/>
      <c r="K1564" s="11" t="s">
        <v>120</v>
      </c>
      <c r="L1564" s="11"/>
      <c r="M1564" s="11"/>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4"/>
    </row>
    <row r="1565" spans="1:35" ht="12.5" hidden="1" x14ac:dyDescent="0.25">
      <c r="A1565" s="9">
        <v>164</v>
      </c>
      <c r="B1565" s="10" t="s">
        <v>83</v>
      </c>
      <c r="C1565" s="10" t="s">
        <v>15</v>
      </c>
      <c r="D1565" s="10" t="s">
        <v>37</v>
      </c>
      <c r="E1565" s="11" t="s">
        <v>168</v>
      </c>
      <c r="F1565" s="11" t="s">
        <v>17</v>
      </c>
      <c r="G1565" s="10" t="s">
        <v>24</v>
      </c>
      <c r="H1565" s="11" t="s">
        <v>19</v>
      </c>
      <c r="I1565" s="11" t="s">
        <v>113</v>
      </c>
      <c r="J1565" s="11"/>
      <c r="K1565" s="11" t="s">
        <v>120</v>
      </c>
      <c r="L1565" s="11"/>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4"/>
    </row>
    <row r="1566" spans="1:35" ht="12.5" hidden="1" x14ac:dyDescent="0.25">
      <c r="A1566" s="9">
        <v>165</v>
      </c>
      <c r="B1566" s="10" t="s">
        <v>83</v>
      </c>
      <c r="C1566" s="10" t="s">
        <v>15</v>
      </c>
      <c r="D1566" s="10" t="s">
        <v>37</v>
      </c>
      <c r="E1566" s="11" t="s">
        <v>168</v>
      </c>
      <c r="F1566" s="11" t="s">
        <v>17</v>
      </c>
      <c r="G1566" s="10" t="s">
        <v>24</v>
      </c>
      <c r="H1566" s="11" t="s">
        <v>19</v>
      </c>
      <c r="I1566" s="11" t="s">
        <v>113</v>
      </c>
      <c r="J1566" s="11"/>
      <c r="K1566" s="11" t="s">
        <v>120</v>
      </c>
      <c r="L1566" s="11"/>
      <c r="M1566" s="11"/>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4"/>
    </row>
    <row r="1567" spans="1:35" ht="12.5" hidden="1" x14ac:dyDescent="0.25">
      <c r="A1567" s="9">
        <v>166</v>
      </c>
      <c r="B1567" s="10" t="s">
        <v>83</v>
      </c>
      <c r="C1567" s="10" t="s">
        <v>15</v>
      </c>
      <c r="D1567" s="10" t="s">
        <v>37</v>
      </c>
      <c r="E1567" s="11" t="s">
        <v>169</v>
      </c>
      <c r="F1567" s="11" t="s">
        <v>17</v>
      </c>
      <c r="G1567" s="10" t="s">
        <v>24</v>
      </c>
      <c r="H1567" s="11" t="s">
        <v>19</v>
      </c>
      <c r="I1567" s="11" t="s">
        <v>113</v>
      </c>
      <c r="J1567" s="11"/>
      <c r="K1567" s="11" t="s">
        <v>122</v>
      </c>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4"/>
    </row>
    <row r="1568" spans="1:35" ht="12.5" hidden="1" x14ac:dyDescent="0.25">
      <c r="A1568" s="9">
        <v>167</v>
      </c>
      <c r="B1568" s="10" t="s">
        <v>83</v>
      </c>
      <c r="C1568" s="10" t="s">
        <v>15</v>
      </c>
      <c r="D1568" s="10" t="s">
        <v>37</v>
      </c>
      <c r="E1568" s="11" t="s">
        <v>169</v>
      </c>
      <c r="F1568" s="11" t="s">
        <v>17</v>
      </c>
      <c r="G1568" s="10" t="s">
        <v>18</v>
      </c>
      <c r="H1568" s="11" t="s">
        <v>19</v>
      </c>
      <c r="I1568" s="11" t="s">
        <v>113</v>
      </c>
      <c r="J1568" s="11"/>
      <c r="K1568" s="11" t="s">
        <v>122</v>
      </c>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4"/>
    </row>
    <row r="1569" spans="1:35" ht="12.5" hidden="1" x14ac:dyDescent="0.25">
      <c r="A1569" s="9">
        <v>168</v>
      </c>
      <c r="B1569" s="10" t="s">
        <v>83</v>
      </c>
      <c r="C1569" s="10" t="s">
        <v>15</v>
      </c>
      <c r="D1569" s="10" t="s">
        <v>37</v>
      </c>
      <c r="E1569" s="11" t="s">
        <v>169</v>
      </c>
      <c r="F1569" s="11" t="s">
        <v>17</v>
      </c>
      <c r="G1569" s="10" t="s">
        <v>18</v>
      </c>
      <c r="H1569" s="11" t="s">
        <v>19</v>
      </c>
      <c r="I1569" s="11" t="s">
        <v>113</v>
      </c>
      <c r="J1569" s="11"/>
      <c r="K1569" s="11" t="s">
        <v>122</v>
      </c>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4"/>
    </row>
    <row r="1570" spans="1:35" ht="12.5" hidden="1" x14ac:dyDescent="0.25">
      <c r="A1570" s="9">
        <v>169</v>
      </c>
      <c r="B1570" s="10" t="s">
        <v>83</v>
      </c>
      <c r="C1570" s="10" t="s">
        <v>15</v>
      </c>
      <c r="D1570" s="10" t="s">
        <v>37</v>
      </c>
      <c r="E1570" s="11" t="s">
        <v>169</v>
      </c>
      <c r="F1570" s="11" t="s">
        <v>17</v>
      </c>
      <c r="G1570" s="10" t="s">
        <v>18</v>
      </c>
      <c r="H1570" s="11" t="s">
        <v>19</v>
      </c>
      <c r="I1570" s="11" t="s">
        <v>113</v>
      </c>
      <c r="J1570" s="11"/>
      <c r="K1570" s="11" t="s">
        <v>122</v>
      </c>
      <c r="L1570" s="11"/>
      <c r="M1570" s="11"/>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4"/>
    </row>
    <row r="1571" spans="1:35" ht="12.5" hidden="1" x14ac:dyDescent="0.25">
      <c r="A1571" s="9">
        <v>170</v>
      </c>
      <c r="B1571" s="10" t="s">
        <v>83</v>
      </c>
      <c r="C1571" s="10" t="s">
        <v>15</v>
      </c>
      <c r="D1571" s="10" t="s">
        <v>37</v>
      </c>
      <c r="E1571" s="11" t="s">
        <v>169</v>
      </c>
      <c r="F1571" s="11" t="s">
        <v>17</v>
      </c>
      <c r="G1571" s="10" t="s">
        <v>18</v>
      </c>
      <c r="H1571" s="11" t="s">
        <v>19</v>
      </c>
      <c r="I1571" s="11" t="s">
        <v>113</v>
      </c>
      <c r="J1571" s="11"/>
      <c r="K1571" s="11" t="s">
        <v>122</v>
      </c>
      <c r="L1571" s="11"/>
      <c r="M1571" s="11"/>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4"/>
    </row>
    <row r="1572" spans="1:35" ht="12.5" hidden="1" x14ac:dyDescent="0.25">
      <c r="A1572" s="9">
        <v>171</v>
      </c>
      <c r="B1572" s="10" t="s">
        <v>83</v>
      </c>
      <c r="C1572" s="10" t="s">
        <v>15</v>
      </c>
      <c r="D1572" s="10" t="s">
        <v>37</v>
      </c>
      <c r="E1572" s="11" t="s">
        <v>169</v>
      </c>
      <c r="F1572" s="11" t="s">
        <v>17</v>
      </c>
      <c r="G1572" s="10" t="s">
        <v>24</v>
      </c>
      <c r="H1572" s="11" t="s">
        <v>19</v>
      </c>
      <c r="I1572" s="11" t="s">
        <v>113</v>
      </c>
      <c r="J1572" s="11"/>
      <c r="K1572" s="11" t="s">
        <v>122</v>
      </c>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4"/>
    </row>
    <row r="1573" spans="1:35" ht="12.5" hidden="1" x14ac:dyDescent="0.25">
      <c r="A1573" s="9">
        <v>172</v>
      </c>
      <c r="B1573" s="10" t="s">
        <v>83</v>
      </c>
      <c r="C1573" s="10" t="s">
        <v>15</v>
      </c>
      <c r="D1573" s="10" t="s">
        <v>37</v>
      </c>
      <c r="E1573" s="11" t="s">
        <v>169</v>
      </c>
      <c r="F1573" s="11" t="s">
        <v>17</v>
      </c>
      <c r="G1573" s="10" t="s">
        <v>24</v>
      </c>
      <c r="H1573" s="11" t="s">
        <v>19</v>
      </c>
      <c r="I1573" s="11" t="s">
        <v>113</v>
      </c>
      <c r="J1573" s="11"/>
      <c r="K1573" s="11" t="s">
        <v>122</v>
      </c>
      <c r="L1573" s="11"/>
      <c r="M1573" s="11"/>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4"/>
    </row>
    <row r="1574" spans="1:35" ht="12.5" hidden="1" x14ac:dyDescent="0.25">
      <c r="A1574" s="9">
        <v>173</v>
      </c>
      <c r="B1574" s="10" t="s">
        <v>83</v>
      </c>
      <c r="C1574" s="10" t="s">
        <v>15</v>
      </c>
      <c r="D1574" s="10" t="s">
        <v>37</v>
      </c>
      <c r="E1574" s="11" t="s">
        <v>169</v>
      </c>
      <c r="F1574" s="11" t="s">
        <v>17</v>
      </c>
      <c r="G1574" s="10" t="s">
        <v>18</v>
      </c>
      <c r="H1574" s="11" t="s">
        <v>19</v>
      </c>
      <c r="I1574" s="11" t="s">
        <v>113</v>
      </c>
      <c r="J1574" s="11"/>
      <c r="K1574" s="11" t="s">
        <v>122</v>
      </c>
      <c r="L1574" s="11"/>
      <c r="M1574" s="11"/>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4"/>
    </row>
    <row r="1575" spans="1:35" ht="12.5" hidden="1" x14ac:dyDescent="0.25">
      <c r="A1575" s="9">
        <v>174</v>
      </c>
      <c r="B1575" s="10" t="s">
        <v>83</v>
      </c>
      <c r="C1575" s="10" t="s">
        <v>15</v>
      </c>
      <c r="D1575" s="10" t="s">
        <v>37</v>
      </c>
      <c r="E1575" s="11" t="s">
        <v>171</v>
      </c>
      <c r="F1575" s="11" t="s">
        <v>17</v>
      </c>
      <c r="G1575" s="10" t="s">
        <v>18</v>
      </c>
      <c r="H1575" s="11" t="s">
        <v>19</v>
      </c>
      <c r="I1575" s="11" t="s">
        <v>113</v>
      </c>
      <c r="J1575" s="11"/>
      <c r="K1575" s="11" t="s">
        <v>121</v>
      </c>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4"/>
    </row>
    <row r="1576" spans="1:35" ht="12.5" hidden="1" x14ac:dyDescent="0.25">
      <c r="A1576" s="9">
        <v>175</v>
      </c>
      <c r="B1576" s="10" t="s">
        <v>83</v>
      </c>
      <c r="C1576" s="10" t="s">
        <v>15</v>
      </c>
      <c r="D1576" s="10" t="s">
        <v>37</v>
      </c>
      <c r="E1576" s="11" t="s">
        <v>171</v>
      </c>
      <c r="F1576" s="11" t="s">
        <v>17</v>
      </c>
      <c r="G1576" s="10" t="s">
        <v>18</v>
      </c>
      <c r="H1576" s="11" t="s">
        <v>19</v>
      </c>
      <c r="I1576" s="11" t="s">
        <v>113</v>
      </c>
      <c r="J1576" s="11"/>
      <c r="K1576" s="11" t="s">
        <v>121</v>
      </c>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4"/>
    </row>
    <row r="1577" spans="1:35" ht="12.5" hidden="1" x14ac:dyDescent="0.25">
      <c r="A1577" s="9">
        <v>176</v>
      </c>
      <c r="B1577" s="10" t="s">
        <v>83</v>
      </c>
      <c r="C1577" s="10" t="s">
        <v>15</v>
      </c>
      <c r="D1577" s="10" t="s">
        <v>37</v>
      </c>
      <c r="E1577" s="11" t="s">
        <v>171</v>
      </c>
      <c r="F1577" s="11" t="s">
        <v>17</v>
      </c>
      <c r="G1577" s="10" t="s">
        <v>18</v>
      </c>
      <c r="H1577" s="11" t="s">
        <v>19</v>
      </c>
      <c r="I1577" s="11" t="s">
        <v>113</v>
      </c>
      <c r="J1577" s="11"/>
      <c r="K1577" s="11" t="s">
        <v>121</v>
      </c>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4"/>
    </row>
    <row r="1578" spans="1:35" ht="12.5" hidden="1" x14ac:dyDescent="0.25">
      <c r="A1578" s="9">
        <v>177</v>
      </c>
      <c r="B1578" s="10" t="s">
        <v>14</v>
      </c>
      <c r="C1578" s="10" t="s">
        <v>15</v>
      </c>
      <c r="D1578" s="10" t="s">
        <v>45</v>
      </c>
      <c r="E1578" s="11" t="s">
        <v>32</v>
      </c>
      <c r="F1578" s="11" t="s">
        <v>17</v>
      </c>
      <c r="G1578" s="10" t="s">
        <v>18</v>
      </c>
      <c r="H1578" s="11" t="s">
        <v>19</v>
      </c>
      <c r="I1578" s="11" t="s">
        <v>113</v>
      </c>
      <c r="J1578" s="11"/>
      <c r="K1578" s="11" t="s">
        <v>123</v>
      </c>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4"/>
    </row>
    <row r="1579" spans="1:35" ht="12.5" hidden="1" x14ac:dyDescent="0.25">
      <c r="A1579" s="9">
        <v>178</v>
      </c>
      <c r="B1579" s="10" t="s">
        <v>14</v>
      </c>
      <c r="C1579" s="10" t="s">
        <v>15</v>
      </c>
      <c r="D1579" s="10" t="s">
        <v>16</v>
      </c>
      <c r="E1579" s="11" t="s">
        <v>32</v>
      </c>
      <c r="F1579" s="11" t="s">
        <v>17</v>
      </c>
      <c r="G1579" s="10" t="s">
        <v>24</v>
      </c>
      <c r="H1579" s="11" t="s">
        <v>19</v>
      </c>
      <c r="I1579" s="11" t="s">
        <v>113</v>
      </c>
      <c r="J1579" s="11"/>
      <c r="K1579" s="11" t="s">
        <v>123</v>
      </c>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4"/>
    </row>
    <row r="1580" spans="1:35" ht="12.5" hidden="1" x14ac:dyDescent="0.25">
      <c r="A1580" s="9">
        <v>179</v>
      </c>
      <c r="B1580" s="10" t="s">
        <v>14</v>
      </c>
      <c r="C1580" s="10" t="s">
        <v>15</v>
      </c>
      <c r="D1580" s="10" t="s">
        <v>16</v>
      </c>
      <c r="E1580" s="11" t="s">
        <v>32</v>
      </c>
      <c r="F1580" s="11" t="s">
        <v>17</v>
      </c>
      <c r="G1580" s="10" t="s">
        <v>24</v>
      </c>
      <c r="H1580" s="11" t="s">
        <v>23</v>
      </c>
      <c r="I1580" s="11" t="s">
        <v>113</v>
      </c>
      <c r="J1580" s="11"/>
      <c r="K1580" s="11" t="s">
        <v>123</v>
      </c>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4"/>
    </row>
    <row r="1581" spans="1:35" ht="12.5" hidden="1" x14ac:dyDescent="0.25">
      <c r="A1581" s="9">
        <v>180</v>
      </c>
      <c r="B1581" s="10" t="s">
        <v>14</v>
      </c>
      <c r="C1581" s="10" t="s">
        <v>15</v>
      </c>
      <c r="D1581" s="10" t="s">
        <v>16</v>
      </c>
      <c r="E1581" s="11" t="s">
        <v>32</v>
      </c>
      <c r="F1581" s="11" t="s">
        <v>17</v>
      </c>
      <c r="G1581" s="10" t="s">
        <v>18</v>
      </c>
      <c r="H1581" s="11" t="s">
        <v>23</v>
      </c>
      <c r="I1581" s="11" t="s">
        <v>113</v>
      </c>
      <c r="J1581" s="11"/>
      <c r="K1581" s="11" t="s">
        <v>123</v>
      </c>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4"/>
    </row>
    <row r="1582" spans="1:35" ht="12.5" hidden="1" x14ac:dyDescent="0.25">
      <c r="A1582" s="9">
        <v>181</v>
      </c>
      <c r="B1582" s="10" t="s">
        <v>14</v>
      </c>
      <c r="C1582" s="10" t="s">
        <v>15</v>
      </c>
      <c r="D1582" s="10" t="s">
        <v>37</v>
      </c>
      <c r="E1582" s="11" t="s">
        <v>32</v>
      </c>
      <c r="F1582" s="11" t="s">
        <v>17</v>
      </c>
      <c r="G1582" s="10" t="s">
        <v>24</v>
      </c>
      <c r="H1582" s="11" t="s">
        <v>23</v>
      </c>
      <c r="I1582" s="11" t="s">
        <v>113</v>
      </c>
      <c r="J1582" s="11"/>
      <c r="K1582" s="11" t="s">
        <v>123</v>
      </c>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4"/>
    </row>
    <row r="1583" spans="1:35" ht="12.5" hidden="1" x14ac:dyDescent="0.25">
      <c r="A1583" s="9">
        <v>182</v>
      </c>
      <c r="B1583" s="10" t="s">
        <v>14</v>
      </c>
      <c r="C1583" s="10" t="s">
        <v>15</v>
      </c>
      <c r="D1583" s="10" t="s">
        <v>37</v>
      </c>
      <c r="E1583" s="11" t="s">
        <v>32</v>
      </c>
      <c r="F1583" s="11" t="s">
        <v>17</v>
      </c>
      <c r="G1583" s="10" t="s">
        <v>18</v>
      </c>
      <c r="H1583" s="11" t="s">
        <v>23</v>
      </c>
      <c r="I1583" s="11" t="s">
        <v>113</v>
      </c>
      <c r="J1583" s="11"/>
      <c r="K1583" s="11" t="s">
        <v>123</v>
      </c>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4"/>
    </row>
    <row r="1584" spans="1:35" ht="12.5" hidden="1" x14ac:dyDescent="0.25">
      <c r="A1584" s="9">
        <v>183</v>
      </c>
      <c r="B1584" s="10" t="s">
        <v>14</v>
      </c>
      <c r="C1584" s="10" t="s">
        <v>15</v>
      </c>
      <c r="D1584" s="10" t="s">
        <v>45</v>
      </c>
      <c r="E1584" s="11" t="s">
        <v>39</v>
      </c>
      <c r="F1584" s="11" t="s">
        <v>17</v>
      </c>
      <c r="G1584" s="10" t="s">
        <v>18</v>
      </c>
      <c r="H1584" s="11" t="s">
        <v>23</v>
      </c>
      <c r="I1584" s="11" t="s">
        <v>113</v>
      </c>
      <c r="J1584" s="11"/>
      <c r="K1584" s="11" t="s">
        <v>124</v>
      </c>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4"/>
    </row>
    <row r="1585" spans="1:35" ht="12.5" hidden="1" x14ac:dyDescent="0.25">
      <c r="A1585" s="9">
        <v>184</v>
      </c>
      <c r="B1585" s="10" t="s">
        <v>14</v>
      </c>
      <c r="C1585" s="10" t="s">
        <v>15</v>
      </c>
      <c r="D1585" s="10" t="s">
        <v>37</v>
      </c>
      <c r="E1585" s="11" t="s">
        <v>39</v>
      </c>
      <c r="F1585" s="11" t="s">
        <v>17</v>
      </c>
      <c r="G1585" s="10" t="s">
        <v>24</v>
      </c>
      <c r="H1585" s="11" t="s">
        <v>23</v>
      </c>
      <c r="I1585" s="11" t="s">
        <v>113</v>
      </c>
      <c r="J1585" s="11"/>
      <c r="K1585" s="11" t="s">
        <v>124</v>
      </c>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4"/>
    </row>
    <row r="1586" spans="1:35" ht="12.5" hidden="1" x14ac:dyDescent="0.25">
      <c r="A1586" s="9">
        <v>185</v>
      </c>
      <c r="B1586" s="10" t="s">
        <v>14</v>
      </c>
      <c r="C1586" s="10" t="s">
        <v>15</v>
      </c>
      <c r="D1586" s="10" t="s">
        <v>45</v>
      </c>
      <c r="E1586" s="11" t="s">
        <v>29</v>
      </c>
      <c r="F1586" s="11" t="s">
        <v>17</v>
      </c>
      <c r="G1586" s="10" t="s">
        <v>24</v>
      </c>
      <c r="H1586" s="11" t="s">
        <v>25</v>
      </c>
      <c r="I1586" s="11" t="s">
        <v>113</v>
      </c>
      <c r="J1586" s="11"/>
      <c r="K1586" s="11" t="s">
        <v>125</v>
      </c>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4"/>
    </row>
    <row r="1587" spans="1:35" ht="12.5" hidden="1" x14ac:dyDescent="0.25">
      <c r="A1587" s="9">
        <v>186</v>
      </c>
      <c r="B1587" s="10" t="s">
        <v>14</v>
      </c>
      <c r="C1587" s="10" t="s">
        <v>15</v>
      </c>
      <c r="D1587" s="10" t="s">
        <v>45</v>
      </c>
      <c r="E1587" s="11" t="s">
        <v>29</v>
      </c>
      <c r="F1587" s="11" t="s">
        <v>17</v>
      </c>
      <c r="G1587" s="10" t="s">
        <v>18</v>
      </c>
      <c r="H1587" s="11" t="s">
        <v>23</v>
      </c>
      <c r="I1587" s="11" t="s">
        <v>113</v>
      </c>
      <c r="J1587" s="11"/>
      <c r="K1587" s="11" t="s">
        <v>125</v>
      </c>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4"/>
    </row>
    <row r="1588" spans="1:35" ht="12.5" hidden="1" x14ac:dyDescent="0.25">
      <c r="A1588" s="9">
        <v>187</v>
      </c>
      <c r="B1588" s="10" t="s">
        <v>14</v>
      </c>
      <c r="C1588" s="10" t="s">
        <v>15</v>
      </c>
      <c r="D1588" s="10" t="s">
        <v>45</v>
      </c>
      <c r="E1588" s="11" t="s">
        <v>29</v>
      </c>
      <c r="F1588" s="11" t="s">
        <v>17</v>
      </c>
      <c r="G1588" s="10" t="s">
        <v>24</v>
      </c>
      <c r="H1588" s="11" t="s">
        <v>23</v>
      </c>
      <c r="I1588" s="11" t="s">
        <v>113</v>
      </c>
      <c r="J1588" s="11"/>
      <c r="K1588" s="11" t="s">
        <v>125</v>
      </c>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4"/>
    </row>
    <row r="1589" spans="1:35" ht="12.5" hidden="1" x14ac:dyDescent="0.25">
      <c r="A1589" s="9">
        <v>188</v>
      </c>
      <c r="B1589" s="10" t="s">
        <v>14</v>
      </c>
      <c r="C1589" s="10" t="s">
        <v>15</v>
      </c>
      <c r="D1589" s="10" t="s">
        <v>45</v>
      </c>
      <c r="E1589" s="11" t="s">
        <v>29</v>
      </c>
      <c r="F1589" s="11" t="s">
        <v>17</v>
      </c>
      <c r="G1589" s="10" t="s">
        <v>18</v>
      </c>
      <c r="H1589" s="11" t="s">
        <v>23</v>
      </c>
      <c r="I1589" s="11" t="s">
        <v>113</v>
      </c>
      <c r="J1589" s="11"/>
      <c r="K1589" s="11" t="s">
        <v>125</v>
      </c>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4"/>
    </row>
    <row r="1590" spans="1:35" ht="12.5" hidden="1" x14ac:dyDescent="0.25">
      <c r="A1590" s="9">
        <v>189</v>
      </c>
      <c r="B1590" s="10" t="s">
        <v>14</v>
      </c>
      <c r="C1590" s="10" t="s">
        <v>15</v>
      </c>
      <c r="D1590" s="10" t="s">
        <v>45</v>
      </c>
      <c r="E1590" s="11" t="s">
        <v>29</v>
      </c>
      <c r="F1590" s="11" t="s">
        <v>17</v>
      </c>
      <c r="G1590" s="10" t="s">
        <v>18</v>
      </c>
      <c r="H1590" s="11" t="s">
        <v>23</v>
      </c>
      <c r="I1590" s="11" t="s">
        <v>113</v>
      </c>
      <c r="J1590" s="11"/>
      <c r="K1590" s="11" t="s">
        <v>125</v>
      </c>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4"/>
    </row>
    <row r="1591" spans="1:35" ht="12.5" hidden="1" x14ac:dyDescent="0.25">
      <c r="A1591" s="9">
        <v>190</v>
      </c>
      <c r="B1591" s="10" t="s">
        <v>14</v>
      </c>
      <c r="C1591" s="10" t="s">
        <v>15</v>
      </c>
      <c r="D1591" s="10" t="s">
        <v>45</v>
      </c>
      <c r="E1591" s="11" t="s">
        <v>29</v>
      </c>
      <c r="F1591" s="11" t="s">
        <v>17</v>
      </c>
      <c r="G1591" s="10" t="s">
        <v>18</v>
      </c>
      <c r="H1591" s="11" t="s">
        <v>23</v>
      </c>
      <c r="I1591" s="11" t="s">
        <v>113</v>
      </c>
      <c r="J1591" s="11"/>
      <c r="K1591" s="11" t="s">
        <v>125</v>
      </c>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4"/>
    </row>
    <row r="1592" spans="1:35" ht="12.5" hidden="1" x14ac:dyDescent="0.25">
      <c r="A1592" s="9">
        <v>191</v>
      </c>
      <c r="B1592" s="10" t="s">
        <v>14</v>
      </c>
      <c r="C1592" s="10" t="s">
        <v>15</v>
      </c>
      <c r="D1592" s="10" t="s">
        <v>45</v>
      </c>
      <c r="E1592" s="11" t="s">
        <v>29</v>
      </c>
      <c r="F1592" s="11" t="s">
        <v>17</v>
      </c>
      <c r="G1592" s="10" t="s">
        <v>18</v>
      </c>
      <c r="H1592" s="11" t="s">
        <v>23</v>
      </c>
      <c r="I1592" s="11" t="s">
        <v>113</v>
      </c>
      <c r="J1592" s="11"/>
      <c r="K1592" s="11" t="s">
        <v>125</v>
      </c>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4"/>
    </row>
    <row r="1593" spans="1:35" ht="12.5" hidden="1" x14ac:dyDescent="0.25">
      <c r="A1593" s="9">
        <v>192</v>
      </c>
      <c r="B1593" s="10" t="s">
        <v>14</v>
      </c>
      <c r="C1593" s="10" t="s">
        <v>15</v>
      </c>
      <c r="D1593" s="10" t="s">
        <v>45</v>
      </c>
      <c r="E1593" s="11" t="s">
        <v>29</v>
      </c>
      <c r="F1593" s="11" t="s">
        <v>17</v>
      </c>
      <c r="G1593" s="10" t="s">
        <v>24</v>
      </c>
      <c r="H1593" s="11" t="s">
        <v>23</v>
      </c>
      <c r="I1593" s="11" t="s">
        <v>113</v>
      </c>
      <c r="J1593" s="11"/>
      <c r="K1593" s="11" t="s">
        <v>125</v>
      </c>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4"/>
    </row>
    <row r="1594" spans="1:35" ht="12.5" hidden="1" x14ac:dyDescent="0.25">
      <c r="A1594" s="9">
        <v>193</v>
      </c>
      <c r="B1594" s="10" t="s">
        <v>14</v>
      </c>
      <c r="C1594" s="10" t="s">
        <v>15</v>
      </c>
      <c r="D1594" s="10" t="s">
        <v>45</v>
      </c>
      <c r="E1594" s="11" t="s">
        <v>29</v>
      </c>
      <c r="F1594" s="11" t="s">
        <v>17</v>
      </c>
      <c r="G1594" s="10" t="s">
        <v>24</v>
      </c>
      <c r="H1594" s="11" t="s">
        <v>23</v>
      </c>
      <c r="I1594" s="11" t="s">
        <v>113</v>
      </c>
      <c r="J1594" s="11"/>
      <c r="K1594" s="11" t="s">
        <v>125</v>
      </c>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4"/>
    </row>
    <row r="1595" spans="1:35" ht="12.5" hidden="1" x14ac:dyDescent="0.25">
      <c r="A1595" s="9">
        <v>194</v>
      </c>
      <c r="B1595" s="10" t="s">
        <v>14</v>
      </c>
      <c r="C1595" s="10" t="s">
        <v>15</v>
      </c>
      <c r="D1595" s="10" t="s">
        <v>45</v>
      </c>
      <c r="E1595" s="11" t="s">
        <v>29</v>
      </c>
      <c r="F1595" s="11" t="s">
        <v>17</v>
      </c>
      <c r="G1595" s="10" t="s">
        <v>18</v>
      </c>
      <c r="H1595" s="11" t="s">
        <v>23</v>
      </c>
      <c r="I1595" s="11" t="s">
        <v>113</v>
      </c>
      <c r="J1595" s="11"/>
      <c r="K1595" s="11" t="s">
        <v>125</v>
      </c>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4"/>
    </row>
    <row r="1596" spans="1:35" ht="12.5" hidden="1" x14ac:dyDescent="0.25">
      <c r="A1596" s="9">
        <v>195</v>
      </c>
      <c r="B1596" s="10" t="s">
        <v>14</v>
      </c>
      <c r="C1596" s="10" t="s">
        <v>15</v>
      </c>
      <c r="D1596" s="10" t="s">
        <v>45</v>
      </c>
      <c r="E1596" s="11" t="s">
        <v>29</v>
      </c>
      <c r="F1596" s="11" t="s">
        <v>17</v>
      </c>
      <c r="G1596" s="10" t="s">
        <v>18</v>
      </c>
      <c r="H1596" s="11" t="s">
        <v>23</v>
      </c>
      <c r="I1596" s="11" t="s">
        <v>113</v>
      </c>
      <c r="J1596" s="11"/>
      <c r="K1596" s="11" t="s">
        <v>125</v>
      </c>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4"/>
    </row>
    <row r="1597" spans="1:35" ht="12.5" hidden="1" x14ac:dyDescent="0.25">
      <c r="A1597" s="9">
        <v>196</v>
      </c>
      <c r="B1597" s="10" t="s">
        <v>14</v>
      </c>
      <c r="C1597" s="10" t="s">
        <v>15</v>
      </c>
      <c r="D1597" s="10" t="s">
        <v>45</v>
      </c>
      <c r="E1597" s="11" t="s">
        <v>29</v>
      </c>
      <c r="F1597" s="11" t="s">
        <v>17</v>
      </c>
      <c r="G1597" s="10" t="s">
        <v>18</v>
      </c>
      <c r="H1597" s="11" t="s">
        <v>19</v>
      </c>
      <c r="I1597" s="11" t="s">
        <v>113</v>
      </c>
      <c r="J1597" s="11"/>
      <c r="K1597" s="11" t="s">
        <v>125</v>
      </c>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4"/>
    </row>
    <row r="1598" spans="1:35" ht="12.5" hidden="1" x14ac:dyDescent="0.25">
      <c r="A1598" s="9">
        <v>197</v>
      </c>
      <c r="B1598" s="10" t="s">
        <v>14</v>
      </c>
      <c r="C1598" s="10" t="s">
        <v>15</v>
      </c>
      <c r="D1598" s="10" t="s">
        <v>45</v>
      </c>
      <c r="E1598" s="11" t="s">
        <v>29</v>
      </c>
      <c r="F1598" s="11" t="s">
        <v>17</v>
      </c>
      <c r="G1598" s="10" t="s">
        <v>18</v>
      </c>
      <c r="H1598" s="11" t="s">
        <v>19</v>
      </c>
      <c r="I1598" s="11" t="s">
        <v>113</v>
      </c>
      <c r="J1598" s="11"/>
      <c r="K1598" s="11" t="s">
        <v>125</v>
      </c>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4"/>
    </row>
    <row r="1599" spans="1:35" ht="12.5" hidden="1" x14ac:dyDescent="0.25">
      <c r="A1599" s="9">
        <v>198</v>
      </c>
      <c r="B1599" s="10" t="s">
        <v>14</v>
      </c>
      <c r="C1599" s="10" t="s">
        <v>15</v>
      </c>
      <c r="D1599" s="10" t="s">
        <v>45</v>
      </c>
      <c r="E1599" s="11" t="s">
        <v>29</v>
      </c>
      <c r="F1599" s="11" t="s">
        <v>17</v>
      </c>
      <c r="G1599" s="10" t="s">
        <v>24</v>
      </c>
      <c r="H1599" s="11" t="s">
        <v>19</v>
      </c>
      <c r="I1599" s="11" t="s">
        <v>113</v>
      </c>
      <c r="J1599" s="11"/>
      <c r="K1599" s="11" t="s">
        <v>125</v>
      </c>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4"/>
    </row>
    <row r="1600" spans="1:35" ht="12.5" hidden="1" x14ac:dyDescent="0.25">
      <c r="A1600" s="9">
        <v>199</v>
      </c>
      <c r="B1600" s="10" t="s">
        <v>14</v>
      </c>
      <c r="C1600" s="10" t="s">
        <v>15</v>
      </c>
      <c r="D1600" s="10" t="s">
        <v>16</v>
      </c>
      <c r="E1600" s="11" t="s">
        <v>29</v>
      </c>
      <c r="F1600" s="11" t="s">
        <v>17</v>
      </c>
      <c r="G1600" s="10" t="s">
        <v>24</v>
      </c>
      <c r="H1600" s="11" t="s">
        <v>23</v>
      </c>
      <c r="I1600" s="11" t="s">
        <v>113</v>
      </c>
      <c r="J1600" s="11"/>
      <c r="K1600" s="11" t="s">
        <v>125</v>
      </c>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4"/>
    </row>
    <row r="1601" spans="1:35" ht="12.5" hidden="1" x14ac:dyDescent="0.25">
      <c r="A1601" s="9">
        <v>200</v>
      </c>
      <c r="B1601" s="10" t="s">
        <v>14</v>
      </c>
      <c r="C1601" s="10" t="s">
        <v>15</v>
      </c>
      <c r="D1601" s="10" t="s">
        <v>16</v>
      </c>
      <c r="E1601" s="11" t="s">
        <v>29</v>
      </c>
      <c r="F1601" s="11" t="s">
        <v>17</v>
      </c>
      <c r="G1601" s="10" t="s">
        <v>18</v>
      </c>
      <c r="H1601" s="11" t="s">
        <v>23</v>
      </c>
      <c r="I1601" s="11" t="s">
        <v>113</v>
      </c>
      <c r="J1601" s="11"/>
      <c r="K1601" s="11" t="s">
        <v>125</v>
      </c>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4"/>
    </row>
    <row r="1602" spans="1:35" ht="12.5" hidden="1" x14ac:dyDescent="0.25">
      <c r="A1602" s="9">
        <v>201</v>
      </c>
      <c r="B1602" s="10" t="s">
        <v>14</v>
      </c>
      <c r="C1602" s="10" t="s">
        <v>15</v>
      </c>
      <c r="D1602" s="10" t="s">
        <v>16</v>
      </c>
      <c r="E1602" s="11" t="s">
        <v>29</v>
      </c>
      <c r="F1602" s="11" t="s">
        <v>17</v>
      </c>
      <c r="G1602" s="10" t="s">
        <v>24</v>
      </c>
      <c r="H1602" s="11" t="s">
        <v>19</v>
      </c>
      <c r="I1602" s="11" t="s">
        <v>113</v>
      </c>
      <c r="J1602" s="11"/>
      <c r="K1602" s="11" t="s">
        <v>125</v>
      </c>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4"/>
    </row>
    <row r="1603" spans="1:35" ht="12.5" hidden="1" x14ac:dyDescent="0.25">
      <c r="A1603" s="9">
        <v>202</v>
      </c>
      <c r="B1603" s="10" t="s">
        <v>14</v>
      </c>
      <c r="C1603" s="10" t="s">
        <v>15</v>
      </c>
      <c r="D1603" s="10" t="s">
        <v>16</v>
      </c>
      <c r="E1603" s="11" t="s">
        <v>29</v>
      </c>
      <c r="F1603" s="11" t="s">
        <v>17</v>
      </c>
      <c r="G1603" s="10" t="s">
        <v>18</v>
      </c>
      <c r="H1603" s="11" t="s">
        <v>19</v>
      </c>
      <c r="I1603" s="11" t="s">
        <v>113</v>
      </c>
      <c r="J1603" s="11"/>
      <c r="K1603" s="11" t="s">
        <v>125</v>
      </c>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4"/>
    </row>
    <row r="1604" spans="1:35" ht="12.5" hidden="1" x14ac:dyDescent="0.25">
      <c r="A1604" s="9">
        <v>203</v>
      </c>
      <c r="B1604" s="10" t="s">
        <v>14</v>
      </c>
      <c r="C1604" s="10" t="s">
        <v>15</v>
      </c>
      <c r="D1604" s="10" t="s">
        <v>16</v>
      </c>
      <c r="E1604" s="11" t="s">
        <v>29</v>
      </c>
      <c r="F1604" s="11" t="s">
        <v>17</v>
      </c>
      <c r="G1604" s="10" t="s">
        <v>18</v>
      </c>
      <c r="H1604" s="11" t="s">
        <v>19</v>
      </c>
      <c r="I1604" s="11" t="s">
        <v>113</v>
      </c>
      <c r="J1604" s="11"/>
      <c r="K1604" s="11" t="s">
        <v>125</v>
      </c>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4"/>
    </row>
    <row r="1605" spans="1:35" ht="12.5" hidden="1" x14ac:dyDescent="0.25">
      <c r="A1605" s="9">
        <v>204</v>
      </c>
      <c r="B1605" s="10" t="s">
        <v>14</v>
      </c>
      <c r="C1605" s="10" t="s">
        <v>15</v>
      </c>
      <c r="D1605" s="10" t="s">
        <v>16</v>
      </c>
      <c r="E1605" s="11" t="s">
        <v>29</v>
      </c>
      <c r="F1605" s="11" t="s">
        <v>17</v>
      </c>
      <c r="G1605" s="10" t="s">
        <v>18</v>
      </c>
      <c r="H1605" s="11" t="s">
        <v>19</v>
      </c>
      <c r="I1605" s="11" t="s">
        <v>113</v>
      </c>
      <c r="J1605" s="11"/>
      <c r="K1605" s="11" t="s">
        <v>125</v>
      </c>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4"/>
    </row>
    <row r="1606" spans="1:35" ht="12.5" hidden="1" x14ac:dyDescent="0.25">
      <c r="A1606" s="9">
        <v>205</v>
      </c>
      <c r="B1606" s="10" t="s">
        <v>14</v>
      </c>
      <c r="C1606" s="10" t="s">
        <v>15</v>
      </c>
      <c r="D1606" s="10" t="s">
        <v>16</v>
      </c>
      <c r="E1606" s="11" t="s">
        <v>29</v>
      </c>
      <c r="F1606" s="11" t="s">
        <v>17</v>
      </c>
      <c r="G1606" s="10" t="s">
        <v>24</v>
      </c>
      <c r="H1606" s="11" t="s">
        <v>19</v>
      </c>
      <c r="I1606" s="11" t="s">
        <v>113</v>
      </c>
      <c r="J1606" s="11"/>
      <c r="K1606" s="11" t="s">
        <v>125</v>
      </c>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4"/>
    </row>
    <row r="1607" spans="1:35" ht="12.5" hidden="1" x14ac:dyDescent="0.25">
      <c r="A1607" s="9">
        <v>206</v>
      </c>
      <c r="B1607" s="10" t="s">
        <v>14</v>
      </c>
      <c r="C1607" s="10" t="s">
        <v>15</v>
      </c>
      <c r="D1607" s="10" t="s">
        <v>16</v>
      </c>
      <c r="E1607" s="11" t="s">
        <v>29</v>
      </c>
      <c r="F1607" s="11" t="s">
        <v>17</v>
      </c>
      <c r="G1607" s="10" t="s">
        <v>24</v>
      </c>
      <c r="H1607" s="11" t="s">
        <v>19</v>
      </c>
      <c r="I1607" s="11" t="s">
        <v>113</v>
      </c>
      <c r="J1607" s="11"/>
      <c r="K1607" s="11" t="s">
        <v>125</v>
      </c>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4"/>
    </row>
    <row r="1608" spans="1:35" ht="12.5" hidden="1" x14ac:dyDescent="0.25">
      <c r="A1608" s="9">
        <v>207</v>
      </c>
      <c r="B1608" s="10" t="s">
        <v>14</v>
      </c>
      <c r="C1608" s="10" t="s">
        <v>15</v>
      </c>
      <c r="D1608" s="10" t="s">
        <v>16</v>
      </c>
      <c r="E1608" s="11" t="s">
        <v>29</v>
      </c>
      <c r="F1608" s="11" t="s">
        <v>17</v>
      </c>
      <c r="G1608" s="10" t="s">
        <v>24</v>
      </c>
      <c r="H1608" s="11" t="s">
        <v>19</v>
      </c>
      <c r="I1608" s="11" t="s">
        <v>113</v>
      </c>
      <c r="J1608" s="11"/>
      <c r="K1608" s="11" t="s">
        <v>125</v>
      </c>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4"/>
    </row>
    <row r="1609" spans="1:35" ht="12.5" hidden="1" x14ac:dyDescent="0.25">
      <c r="A1609" s="9">
        <v>208</v>
      </c>
      <c r="B1609" s="10" t="s">
        <v>14</v>
      </c>
      <c r="C1609" s="10" t="s">
        <v>15</v>
      </c>
      <c r="D1609" s="10" t="s">
        <v>16</v>
      </c>
      <c r="E1609" s="11" t="s">
        <v>29</v>
      </c>
      <c r="F1609" s="11" t="s">
        <v>17</v>
      </c>
      <c r="G1609" s="10" t="s">
        <v>24</v>
      </c>
      <c r="H1609" s="11" t="s">
        <v>19</v>
      </c>
      <c r="I1609" s="11" t="s">
        <v>113</v>
      </c>
      <c r="J1609" s="11"/>
      <c r="K1609" s="11" t="s">
        <v>125</v>
      </c>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4"/>
    </row>
    <row r="1610" spans="1:35" ht="12.5" hidden="1" x14ac:dyDescent="0.25">
      <c r="A1610" s="9">
        <v>209</v>
      </c>
      <c r="B1610" s="10" t="s">
        <v>14</v>
      </c>
      <c r="C1610" s="10" t="s">
        <v>15</v>
      </c>
      <c r="D1610" s="10" t="s">
        <v>16</v>
      </c>
      <c r="E1610" s="11" t="s">
        <v>29</v>
      </c>
      <c r="F1610" s="11" t="s">
        <v>17</v>
      </c>
      <c r="G1610" s="10" t="s">
        <v>18</v>
      </c>
      <c r="H1610" s="11" t="s">
        <v>19</v>
      </c>
      <c r="I1610" s="11" t="s">
        <v>113</v>
      </c>
      <c r="J1610" s="11"/>
      <c r="K1610" s="11" t="s">
        <v>125</v>
      </c>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4"/>
    </row>
    <row r="1611" spans="1:35" ht="12.5" hidden="1" x14ac:dyDescent="0.25">
      <c r="A1611" s="9">
        <v>210</v>
      </c>
      <c r="B1611" s="10" t="s">
        <v>14</v>
      </c>
      <c r="C1611" s="10" t="s">
        <v>15</v>
      </c>
      <c r="D1611" s="10" t="s">
        <v>16</v>
      </c>
      <c r="E1611" s="11" t="s">
        <v>29</v>
      </c>
      <c r="F1611" s="11" t="s">
        <v>17</v>
      </c>
      <c r="G1611" s="10" t="s">
        <v>18</v>
      </c>
      <c r="H1611" s="11" t="s">
        <v>19</v>
      </c>
      <c r="I1611" s="11" t="s">
        <v>113</v>
      </c>
      <c r="J1611" s="11"/>
      <c r="K1611" s="11" t="s">
        <v>125</v>
      </c>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4"/>
    </row>
    <row r="1612" spans="1:35" ht="12.5" hidden="1" x14ac:dyDescent="0.25">
      <c r="A1612" s="9">
        <v>211</v>
      </c>
      <c r="B1612" s="10" t="s">
        <v>14</v>
      </c>
      <c r="C1612" s="10" t="s">
        <v>15</v>
      </c>
      <c r="D1612" s="10" t="s">
        <v>16</v>
      </c>
      <c r="E1612" s="11" t="s">
        <v>29</v>
      </c>
      <c r="F1612" s="11" t="s">
        <v>17</v>
      </c>
      <c r="G1612" s="10" t="s">
        <v>18</v>
      </c>
      <c r="H1612" s="11" t="s">
        <v>23</v>
      </c>
      <c r="I1612" s="11" t="s">
        <v>113</v>
      </c>
      <c r="J1612" s="11"/>
      <c r="K1612" s="11" t="s">
        <v>125</v>
      </c>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4"/>
    </row>
    <row r="1613" spans="1:35" ht="12.5" hidden="1" x14ac:dyDescent="0.25">
      <c r="A1613" s="9">
        <v>212</v>
      </c>
      <c r="B1613" s="10" t="s">
        <v>14</v>
      </c>
      <c r="C1613" s="10" t="s">
        <v>15</v>
      </c>
      <c r="D1613" s="10" t="s">
        <v>37</v>
      </c>
      <c r="E1613" s="11" t="s">
        <v>29</v>
      </c>
      <c r="F1613" s="11" t="s">
        <v>17</v>
      </c>
      <c r="G1613" s="10" t="s">
        <v>18</v>
      </c>
      <c r="H1613" s="11" t="s">
        <v>23</v>
      </c>
      <c r="I1613" s="11" t="s">
        <v>113</v>
      </c>
      <c r="J1613" s="11"/>
      <c r="K1613" s="11" t="s">
        <v>125</v>
      </c>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4"/>
    </row>
    <row r="1614" spans="1:35" ht="12.5" hidden="1" x14ac:dyDescent="0.25">
      <c r="A1614" s="9">
        <v>213</v>
      </c>
      <c r="B1614" s="10" t="s">
        <v>14</v>
      </c>
      <c r="C1614" s="10" t="s">
        <v>15</v>
      </c>
      <c r="D1614" s="10" t="s">
        <v>37</v>
      </c>
      <c r="E1614" s="11" t="s">
        <v>29</v>
      </c>
      <c r="F1614" s="11" t="s">
        <v>17</v>
      </c>
      <c r="G1614" s="10" t="s">
        <v>24</v>
      </c>
      <c r="H1614" s="11" t="s">
        <v>23</v>
      </c>
      <c r="I1614" s="11" t="s">
        <v>113</v>
      </c>
      <c r="J1614" s="11"/>
      <c r="K1614" s="11" t="s">
        <v>125</v>
      </c>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4"/>
    </row>
    <row r="1615" spans="1:35" ht="12.5" hidden="1" x14ac:dyDescent="0.25">
      <c r="A1615" s="9">
        <v>214</v>
      </c>
      <c r="B1615" s="10" t="s">
        <v>14</v>
      </c>
      <c r="C1615" s="10" t="s">
        <v>15</v>
      </c>
      <c r="D1615" s="10" t="s">
        <v>37</v>
      </c>
      <c r="E1615" s="11" t="s">
        <v>29</v>
      </c>
      <c r="F1615" s="11" t="s">
        <v>17</v>
      </c>
      <c r="G1615" s="10" t="s">
        <v>18</v>
      </c>
      <c r="H1615" s="11" t="s">
        <v>23</v>
      </c>
      <c r="I1615" s="11" t="s">
        <v>113</v>
      </c>
      <c r="J1615" s="11"/>
      <c r="K1615" s="11" t="s">
        <v>125</v>
      </c>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4"/>
    </row>
    <row r="1616" spans="1:35" ht="12.5" hidden="1" x14ac:dyDescent="0.25">
      <c r="A1616" s="9">
        <v>215</v>
      </c>
      <c r="B1616" s="10" t="s">
        <v>14</v>
      </c>
      <c r="C1616" s="10" t="s">
        <v>15</v>
      </c>
      <c r="D1616" s="10" t="s">
        <v>37</v>
      </c>
      <c r="E1616" s="11" t="s">
        <v>29</v>
      </c>
      <c r="F1616" s="11" t="s">
        <v>17</v>
      </c>
      <c r="G1616" s="10" t="s">
        <v>18</v>
      </c>
      <c r="H1616" s="11" t="s">
        <v>19</v>
      </c>
      <c r="I1616" s="11" t="s">
        <v>113</v>
      </c>
      <c r="J1616" s="11"/>
      <c r="K1616" s="11" t="s">
        <v>125</v>
      </c>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4"/>
    </row>
    <row r="1617" spans="1:35" ht="12.5" hidden="1" x14ac:dyDescent="0.25">
      <c r="A1617" s="9">
        <v>216</v>
      </c>
      <c r="B1617" s="10" t="s">
        <v>14</v>
      </c>
      <c r="C1617" s="10" t="s">
        <v>15</v>
      </c>
      <c r="D1617" s="10" t="s">
        <v>37</v>
      </c>
      <c r="E1617" s="11" t="s">
        <v>29</v>
      </c>
      <c r="F1617" s="11" t="s">
        <v>17</v>
      </c>
      <c r="G1617" s="10" t="s">
        <v>18</v>
      </c>
      <c r="H1617" s="11" t="s">
        <v>23</v>
      </c>
      <c r="I1617" s="11" t="s">
        <v>113</v>
      </c>
      <c r="J1617" s="11"/>
      <c r="K1617" s="11" t="s">
        <v>125</v>
      </c>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4"/>
    </row>
    <row r="1618" spans="1:35" ht="12.5" hidden="1" x14ac:dyDescent="0.25">
      <c r="A1618" s="9">
        <v>217</v>
      </c>
      <c r="B1618" s="10" t="s">
        <v>14</v>
      </c>
      <c r="C1618" s="10" t="s">
        <v>15</v>
      </c>
      <c r="D1618" s="10" t="s">
        <v>37</v>
      </c>
      <c r="E1618" s="11" t="s">
        <v>29</v>
      </c>
      <c r="F1618" s="11" t="s">
        <v>17</v>
      </c>
      <c r="G1618" s="10" t="s">
        <v>24</v>
      </c>
      <c r="H1618" s="11" t="s">
        <v>23</v>
      </c>
      <c r="I1618" s="11" t="s">
        <v>113</v>
      </c>
      <c r="J1618" s="11"/>
      <c r="K1618" s="11" t="s">
        <v>125</v>
      </c>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4"/>
    </row>
    <row r="1619" spans="1:35" ht="12.5" hidden="1" x14ac:dyDescent="0.25">
      <c r="A1619" s="9">
        <v>218</v>
      </c>
      <c r="B1619" s="10" t="s">
        <v>14</v>
      </c>
      <c r="C1619" s="10" t="s">
        <v>15</v>
      </c>
      <c r="D1619" s="10" t="s">
        <v>37</v>
      </c>
      <c r="E1619" s="11" t="s">
        <v>29</v>
      </c>
      <c r="F1619" s="11" t="s">
        <v>17</v>
      </c>
      <c r="G1619" s="10" t="s">
        <v>24</v>
      </c>
      <c r="H1619" s="11" t="s">
        <v>23</v>
      </c>
      <c r="I1619" s="11" t="s">
        <v>113</v>
      </c>
      <c r="J1619" s="11"/>
      <c r="K1619" s="11" t="s">
        <v>125</v>
      </c>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4"/>
    </row>
    <row r="1620" spans="1:35" ht="12.5" hidden="1" x14ac:dyDescent="0.25">
      <c r="A1620" s="9">
        <v>219</v>
      </c>
      <c r="B1620" s="10" t="s">
        <v>14</v>
      </c>
      <c r="C1620" s="10" t="s">
        <v>15</v>
      </c>
      <c r="D1620" s="10" t="s">
        <v>37</v>
      </c>
      <c r="E1620" s="11" t="s">
        <v>29</v>
      </c>
      <c r="F1620" s="11" t="s">
        <v>17</v>
      </c>
      <c r="G1620" s="10" t="s">
        <v>24</v>
      </c>
      <c r="H1620" s="11" t="s">
        <v>23</v>
      </c>
      <c r="I1620" s="11" t="s">
        <v>113</v>
      </c>
      <c r="J1620" s="11"/>
      <c r="K1620" s="11" t="s">
        <v>125</v>
      </c>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4"/>
    </row>
    <row r="1621" spans="1:35" ht="12.5" hidden="1" x14ac:dyDescent="0.25">
      <c r="A1621" s="9">
        <v>220</v>
      </c>
      <c r="B1621" s="10" t="s">
        <v>14</v>
      </c>
      <c r="C1621" s="10" t="s">
        <v>15</v>
      </c>
      <c r="D1621" s="10" t="s">
        <v>37</v>
      </c>
      <c r="E1621" s="11" t="s">
        <v>29</v>
      </c>
      <c r="F1621" s="11" t="s">
        <v>17</v>
      </c>
      <c r="G1621" s="10" t="s">
        <v>24</v>
      </c>
      <c r="H1621" s="11" t="s">
        <v>25</v>
      </c>
      <c r="I1621" s="11" t="s">
        <v>113</v>
      </c>
      <c r="J1621" s="11"/>
      <c r="K1621" s="11" t="s">
        <v>125</v>
      </c>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4"/>
    </row>
    <row r="1622" spans="1:35" ht="12.5" hidden="1" x14ac:dyDescent="0.25">
      <c r="A1622" s="9">
        <v>221</v>
      </c>
      <c r="B1622" s="10" t="s">
        <v>14</v>
      </c>
      <c r="C1622" s="10" t="s">
        <v>15</v>
      </c>
      <c r="D1622" s="10" t="s">
        <v>37</v>
      </c>
      <c r="E1622" s="11" t="s">
        <v>29</v>
      </c>
      <c r="F1622" s="11" t="s">
        <v>17</v>
      </c>
      <c r="G1622" s="10" t="s">
        <v>18</v>
      </c>
      <c r="H1622" s="11" t="s">
        <v>25</v>
      </c>
      <c r="I1622" s="11" t="s">
        <v>113</v>
      </c>
      <c r="J1622" s="11"/>
      <c r="K1622" s="11" t="s">
        <v>125</v>
      </c>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4"/>
    </row>
    <row r="1623" spans="1:35" ht="12.5" hidden="1" x14ac:dyDescent="0.25">
      <c r="A1623" s="9">
        <v>222</v>
      </c>
      <c r="B1623" s="10" t="s">
        <v>14</v>
      </c>
      <c r="C1623" s="10" t="s">
        <v>15</v>
      </c>
      <c r="D1623" s="10" t="s">
        <v>37</v>
      </c>
      <c r="E1623" s="11" t="s">
        <v>29</v>
      </c>
      <c r="F1623" s="11" t="s">
        <v>17</v>
      </c>
      <c r="G1623" s="10" t="s">
        <v>18</v>
      </c>
      <c r="H1623" s="11" t="s">
        <v>23</v>
      </c>
      <c r="I1623" s="11" t="s">
        <v>113</v>
      </c>
      <c r="J1623" s="11"/>
      <c r="K1623" s="11" t="s">
        <v>125</v>
      </c>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4"/>
    </row>
    <row r="1624" spans="1:35" ht="12.5" hidden="1" x14ac:dyDescent="0.25">
      <c r="A1624" s="9">
        <v>223</v>
      </c>
      <c r="B1624" s="10" t="s">
        <v>14</v>
      </c>
      <c r="C1624" s="10" t="s">
        <v>15</v>
      </c>
      <c r="D1624" s="10" t="s">
        <v>37</v>
      </c>
      <c r="E1624" s="11" t="s">
        <v>29</v>
      </c>
      <c r="F1624" s="11" t="s">
        <v>17</v>
      </c>
      <c r="G1624" s="10" t="s">
        <v>24</v>
      </c>
      <c r="H1624" s="11" t="s">
        <v>23</v>
      </c>
      <c r="I1624" s="11" t="s">
        <v>113</v>
      </c>
      <c r="J1624" s="11"/>
      <c r="K1624" s="11" t="s">
        <v>125</v>
      </c>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4"/>
    </row>
    <row r="1625" spans="1:35" ht="12.5" hidden="1" x14ac:dyDescent="0.25">
      <c r="A1625" s="9">
        <v>224</v>
      </c>
      <c r="B1625" s="10" t="s">
        <v>14</v>
      </c>
      <c r="C1625" s="10" t="s">
        <v>15</v>
      </c>
      <c r="D1625" s="10" t="s">
        <v>37</v>
      </c>
      <c r="E1625" s="11" t="s">
        <v>29</v>
      </c>
      <c r="F1625" s="11" t="s">
        <v>17</v>
      </c>
      <c r="G1625" s="10" t="s">
        <v>24</v>
      </c>
      <c r="H1625" s="11" t="s">
        <v>23</v>
      </c>
      <c r="I1625" s="11" t="s">
        <v>113</v>
      </c>
      <c r="J1625" s="11"/>
      <c r="K1625" s="11" t="s">
        <v>125</v>
      </c>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4"/>
    </row>
    <row r="1626" spans="1:35" ht="12.5" hidden="1" x14ac:dyDescent="0.25">
      <c r="A1626" s="9">
        <v>225</v>
      </c>
      <c r="B1626" s="10" t="s">
        <v>14</v>
      </c>
      <c r="C1626" s="10" t="s">
        <v>15</v>
      </c>
      <c r="D1626" s="10" t="s">
        <v>37</v>
      </c>
      <c r="E1626" s="11" t="s">
        <v>29</v>
      </c>
      <c r="F1626" s="11" t="s">
        <v>17</v>
      </c>
      <c r="G1626" s="10" t="s">
        <v>18</v>
      </c>
      <c r="H1626" s="11" t="s">
        <v>23</v>
      </c>
      <c r="I1626" s="11" t="s">
        <v>113</v>
      </c>
      <c r="J1626" s="11"/>
      <c r="K1626" s="11" t="s">
        <v>125</v>
      </c>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4"/>
    </row>
    <row r="1627" spans="1:35" ht="12.5" hidden="1" x14ac:dyDescent="0.25">
      <c r="A1627" s="9">
        <v>226</v>
      </c>
      <c r="B1627" s="10" t="s">
        <v>14</v>
      </c>
      <c r="C1627" s="10" t="s">
        <v>15</v>
      </c>
      <c r="D1627" s="10" t="s">
        <v>37</v>
      </c>
      <c r="E1627" s="11" t="s">
        <v>29</v>
      </c>
      <c r="F1627" s="11" t="s">
        <v>17</v>
      </c>
      <c r="G1627" s="10" t="s">
        <v>18</v>
      </c>
      <c r="H1627" s="11" t="s">
        <v>25</v>
      </c>
      <c r="I1627" s="11" t="s">
        <v>113</v>
      </c>
      <c r="J1627" s="11"/>
      <c r="K1627" s="11" t="s">
        <v>125</v>
      </c>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4"/>
    </row>
    <row r="1628" spans="1:35" ht="12.5" hidden="1" x14ac:dyDescent="0.25">
      <c r="A1628" s="9">
        <v>227</v>
      </c>
      <c r="B1628" s="10" t="s">
        <v>14</v>
      </c>
      <c r="C1628" s="10" t="s">
        <v>15</v>
      </c>
      <c r="D1628" s="10" t="s">
        <v>45</v>
      </c>
      <c r="E1628" s="11" t="s">
        <v>30</v>
      </c>
      <c r="F1628" s="11" t="s">
        <v>17</v>
      </c>
      <c r="G1628" s="10" t="s">
        <v>18</v>
      </c>
      <c r="H1628" s="11" t="s">
        <v>19</v>
      </c>
      <c r="I1628" s="11" t="s">
        <v>113</v>
      </c>
      <c r="J1628" s="11"/>
      <c r="K1628" s="11" t="s">
        <v>126</v>
      </c>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4"/>
    </row>
    <row r="1629" spans="1:35" ht="12.5" hidden="1" x14ac:dyDescent="0.25">
      <c r="A1629" s="9">
        <v>228</v>
      </c>
      <c r="B1629" s="10" t="s">
        <v>14</v>
      </c>
      <c r="C1629" s="10" t="s">
        <v>15</v>
      </c>
      <c r="D1629" s="10" t="s">
        <v>45</v>
      </c>
      <c r="E1629" s="11" t="s">
        <v>30</v>
      </c>
      <c r="F1629" s="11" t="s">
        <v>17</v>
      </c>
      <c r="G1629" s="10" t="s">
        <v>18</v>
      </c>
      <c r="H1629" s="11" t="s">
        <v>25</v>
      </c>
      <c r="I1629" s="11" t="s">
        <v>113</v>
      </c>
      <c r="J1629" s="11"/>
      <c r="K1629" s="11" t="s">
        <v>126</v>
      </c>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4"/>
    </row>
    <row r="1630" spans="1:35" ht="12.5" hidden="1" x14ac:dyDescent="0.25">
      <c r="A1630" s="9">
        <v>229</v>
      </c>
      <c r="B1630" s="10" t="s">
        <v>14</v>
      </c>
      <c r="C1630" s="10" t="s">
        <v>15</v>
      </c>
      <c r="D1630" s="10" t="s">
        <v>45</v>
      </c>
      <c r="E1630" s="11" t="s">
        <v>30</v>
      </c>
      <c r="F1630" s="11" t="s">
        <v>17</v>
      </c>
      <c r="G1630" s="10" t="s">
        <v>24</v>
      </c>
      <c r="H1630" s="11" t="s">
        <v>23</v>
      </c>
      <c r="I1630" s="11" t="s">
        <v>113</v>
      </c>
      <c r="J1630" s="11"/>
      <c r="K1630" s="11" t="s">
        <v>126</v>
      </c>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4"/>
    </row>
    <row r="1631" spans="1:35" ht="12.5" hidden="1" x14ac:dyDescent="0.25">
      <c r="A1631" s="9">
        <v>230</v>
      </c>
      <c r="B1631" s="10" t="s">
        <v>14</v>
      </c>
      <c r="C1631" s="10" t="s">
        <v>15</v>
      </c>
      <c r="D1631" s="10" t="s">
        <v>45</v>
      </c>
      <c r="E1631" s="11" t="s">
        <v>30</v>
      </c>
      <c r="F1631" s="11" t="s">
        <v>17</v>
      </c>
      <c r="G1631" s="10" t="s">
        <v>24</v>
      </c>
      <c r="H1631" s="11" t="s">
        <v>25</v>
      </c>
      <c r="I1631" s="11" t="s">
        <v>113</v>
      </c>
      <c r="J1631" s="11"/>
      <c r="K1631" s="11" t="s">
        <v>126</v>
      </c>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4"/>
    </row>
    <row r="1632" spans="1:35" ht="12.5" hidden="1" x14ac:dyDescent="0.25">
      <c r="A1632" s="9">
        <v>231</v>
      </c>
      <c r="B1632" s="10" t="s">
        <v>14</v>
      </c>
      <c r="C1632" s="10" t="s">
        <v>15</v>
      </c>
      <c r="D1632" s="10" t="s">
        <v>45</v>
      </c>
      <c r="E1632" s="11" t="s">
        <v>30</v>
      </c>
      <c r="F1632" s="11" t="s">
        <v>17</v>
      </c>
      <c r="G1632" s="10" t="s">
        <v>24</v>
      </c>
      <c r="H1632" s="11" t="s">
        <v>23</v>
      </c>
      <c r="I1632" s="11" t="s">
        <v>113</v>
      </c>
      <c r="J1632" s="11"/>
      <c r="K1632" s="11" t="s">
        <v>126</v>
      </c>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4"/>
    </row>
    <row r="1633" spans="1:35" ht="12.5" hidden="1" x14ac:dyDescent="0.25">
      <c r="A1633" s="9">
        <v>232</v>
      </c>
      <c r="B1633" s="10" t="s">
        <v>14</v>
      </c>
      <c r="C1633" s="10" t="s">
        <v>15</v>
      </c>
      <c r="D1633" s="10" t="s">
        <v>45</v>
      </c>
      <c r="E1633" s="11" t="s">
        <v>30</v>
      </c>
      <c r="F1633" s="11" t="s">
        <v>17</v>
      </c>
      <c r="G1633" s="10" t="s">
        <v>18</v>
      </c>
      <c r="H1633" s="11" t="s">
        <v>19</v>
      </c>
      <c r="I1633" s="11" t="s">
        <v>113</v>
      </c>
      <c r="J1633" s="11"/>
      <c r="K1633" s="11" t="s">
        <v>126</v>
      </c>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4"/>
    </row>
    <row r="1634" spans="1:35" ht="12.5" hidden="1" x14ac:dyDescent="0.25">
      <c r="A1634" s="9">
        <v>233</v>
      </c>
      <c r="B1634" s="10" t="s">
        <v>14</v>
      </c>
      <c r="C1634" s="10" t="s">
        <v>15</v>
      </c>
      <c r="D1634" s="10" t="s">
        <v>45</v>
      </c>
      <c r="E1634" s="11" t="s">
        <v>30</v>
      </c>
      <c r="F1634" s="11" t="s">
        <v>17</v>
      </c>
      <c r="G1634" s="10" t="s">
        <v>18</v>
      </c>
      <c r="H1634" s="11" t="s">
        <v>23</v>
      </c>
      <c r="I1634" s="11" t="s">
        <v>113</v>
      </c>
      <c r="J1634" s="11"/>
      <c r="K1634" s="11" t="s">
        <v>126</v>
      </c>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4"/>
    </row>
    <row r="1635" spans="1:35" ht="12.5" hidden="1" x14ac:dyDescent="0.25">
      <c r="A1635" s="9">
        <v>234</v>
      </c>
      <c r="B1635" s="10" t="s">
        <v>14</v>
      </c>
      <c r="C1635" s="10" t="s">
        <v>15</v>
      </c>
      <c r="D1635" s="10" t="s">
        <v>45</v>
      </c>
      <c r="E1635" s="11" t="s">
        <v>30</v>
      </c>
      <c r="F1635" s="11" t="s">
        <v>17</v>
      </c>
      <c r="G1635" s="10" t="s">
        <v>24</v>
      </c>
      <c r="H1635" s="11" t="s">
        <v>19</v>
      </c>
      <c r="I1635" s="11" t="s">
        <v>113</v>
      </c>
      <c r="J1635" s="11"/>
      <c r="K1635" s="11" t="s">
        <v>126</v>
      </c>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4"/>
    </row>
    <row r="1636" spans="1:35" ht="12.5" hidden="1" x14ac:dyDescent="0.25">
      <c r="A1636" s="9">
        <v>235</v>
      </c>
      <c r="B1636" s="10" t="s">
        <v>14</v>
      </c>
      <c r="C1636" s="10" t="s">
        <v>15</v>
      </c>
      <c r="D1636" s="10" t="s">
        <v>45</v>
      </c>
      <c r="E1636" s="11" t="s">
        <v>30</v>
      </c>
      <c r="F1636" s="11" t="s">
        <v>17</v>
      </c>
      <c r="G1636" s="10" t="s">
        <v>24</v>
      </c>
      <c r="H1636" s="11" t="s">
        <v>25</v>
      </c>
      <c r="I1636" s="11" t="s">
        <v>113</v>
      </c>
      <c r="J1636" s="11"/>
      <c r="K1636" s="11" t="s">
        <v>126</v>
      </c>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4"/>
    </row>
    <row r="1637" spans="1:35" ht="12.5" hidden="1" x14ac:dyDescent="0.25">
      <c r="A1637" s="9">
        <v>236</v>
      </c>
      <c r="B1637" s="10" t="s">
        <v>14</v>
      </c>
      <c r="C1637" s="10" t="s">
        <v>15</v>
      </c>
      <c r="D1637" s="10" t="s">
        <v>45</v>
      </c>
      <c r="E1637" s="11" t="s">
        <v>30</v>
      </c>
      <c r="F1637" s="11" t="s">
        <v>17</v>
      </c>
      <c r="G1637" s="10" t="s">
        <v>24</v>
      </c>
      <c r="H1637" s="11" t="s">
        <v>19</v>
      </c>
      <c r="I1637" s="11" t="s">
        <v>113</v>
      </c>
      <c r="J1637" s="11"/>
      <c r="K1637" s="11" t="s">
        <v>126</v>
      </c>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4"/>
    </row>
    <row r="1638" spans="1:35" ht="12.5" hidden="1" x14ac:dyDescent="0.25">
      <c r="A1638" s="9">
        <v>237</v>
      </c>
      <c r="B1638" s="10" t="s">
        <v>14</v>
      </c>
      <c r="C1638" s="10" t="s">
        <v>15</v>
      </c>
      <c r="D1638" s="10" t="s">
        <v>45</v>
      </c>
      <c r="E1638" s="11" t="s">
        <v>30</v>
      </c>
      <c r="F1638" s="11" t="s">
        <v>17</v>
      </c>
      <c r="G1638" s="10" t="s">
        <v>18</v>
      </c>
      <c r="H1638" s="11" t="s">
        <v>19</v>
      </c>
      <c r="I1638" s="11" t="s">
        <v>113</v>
      </c>
      <c r="J1638" s="11"/>
      <c r="K1638" s="11" t="s">
        <v>126</v>
      </c>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4"/>
    </row>
    <row r="1639" spans="1:35" ht="12.5" hidden="1" x14ac:dyDescent="0.25">
      <c r="A1639" s="9">
        <v>238</v>
      </c>
      <c r="B1639" s="10" t="s">
        <v>14</v>
      </c>
      <c r="C1639" s="10" t="s">
        <v>15</v>
      </c>
      <c r="D1639" s="10" t="s">
        <v>45</v>
      </c>
      <c r="E1639" s="11" t="s">
        <v>30</v>
      </c>
      <c r="F1639" s="11" t="s">
        <v>17</v>
      </c>
      <c r="G1639" s="10" t="s">
        <v>18</v>
      </c>
      <c r="H1639" s="11" t="s">
        <v>19</v>
      </c>
      <c r="I1639" s="11" t="s">
        <v>113</v>
      </c>
      <c r="J1639" s="11"/>
      <c r="K1639" s="11" t="s">
        <v>126</v>
      </c>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4"/>
    </row>
    <row r="1640" spans="1:35" ht="12.5" hidden="1" x14ac:dyDescent="0.25">
      <c r="A1640" s="9">
        <v>239</v>
      </c>
      <c r="B1640" s="10" t="s">
        <v>14</v>
      </c>
      <c r="C1640" s="10" t="s">
        <v>15</v>
      </c>
      <c r="D1640" s="10" t="s">
        <v>45</v>
      </c>
      <c r="E1640" s="11" t="s">
        <v>30</v>
      </c>
      <c r="F1640" s="11" t="s">
        <v>17</v>
      </c>
      <c r="G1640" s="10" t="s">
        <v>24</v>
      </c>
      <c r="H1640" s="11" t="s">
        <v>19</v>
      </c>
      <c r="I1640" s="11" t="s">
        <v>113</v>
      </c>
      <c r="J1640" s="11"/>
      <c r="K1640" s="11" t="s">
        <v>126</v>
      </c>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4"/>
    </row>
    <row r="1641" spans="1:35" ht="12.5" hidden="1" x14ac:dyDescent="0.25">
      <c r="A1641" s="9">
        <v>240</v>
      </c>
      <c r="B1641" s="10" t="s">
        <v>14</v>
      </c>
      <c r="C1641" s="10" t="s">
        <v>15</v>
      </c>
      <c r="D1641" s="10" t="s">
        <v>45</v>
      </c>
      <c r="E1641" s="11" t="s">
        <v>30</v>
      </c>
      <c r="F1641" s="11" t="s">
        <v>17</v>
      </c>
      <c r="G1641" s="10" t="s">
        <v>24</v>
      </c>
      <c r="H1641" s="11" t="s">
        <v>23</v>
      </c>
      <c r="I1641" s="11" t="s">
        <v>113</v>
      </c>
      <c r="J1641" s="11"/>
      <c r="K1641" s="11" t="s">
        <v>126</v>
      </c>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4"/>
    </row>
    <row r="1642" spans="1:35" ht="12.5" hidden="1" x14ac:dyDescent="0.25">
      <c r="A1642" s="9">
        <v>241</v>
      </c>
      <c r="B1642" s="10" t="s">
        <v>14</v>
      </c>
      <c r="C1642" s="10" t="s">
        <v>15</v>
      </c>
      <c r="D1642" s="10" t="s">
        <v>45</v>
      </c>
      <c r="E1642" s="11" t="s">
        <v>30</v>
      </c>
      <c r="F1642" s="11" t="s">
        <v>17</v>
      </c>
      <c r="G1642" s="10" t="s">
        <v>18</v>
      </c>
      <c r="H1642" s="11" t="s">
        <v>23</v>
      </c>
      <c r="I1642" s="11" t="s">
        <v>113</v>
      </c>
      <c r="J1642" s="11"/>
      <c r="K1642" s="11" t="s">
        <v>126</v>
      </c>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4"/>
    </row>
    <row r="1643" spans="1:35" ht="12.5" hidden="1" x14ac:dyDescent="0.25">
      <c r="A1643" s="9">
        <v>242</v>
      </c>
      <c r="B1643" s="10" t="s">
        <v>14</v>
      </c>
      <c r="C1643" s="10" t="s">
        <v>15</v>
      </c>
      <c r="D1643" s="10" t="s">
        <v>45</v>
      </c>
      <c r="E1643" s="11" t="s">
        <v>30</v>
      </c>
      <c r="F1643" s="11" t="s">
        <v>17</v>
      </c>
      <c r="G1643" s="10" t="s">
        <v>18</v>
      </c>
      <c r="H1643" s="11" t="s">
        <v>19</v>
      </c>
      <c r="I1643" s="11" t="s">
        <v>113</v>
      </c>
      <c r="J1643" s="11"/>
      <c r="K1643" s="11" t="s">
        <v>126</v>
      </c>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4"/>
    </row>
    <row r="1644" spans="1:35" ht="12.5" hidden="1" x14ac:dyDescent="0.25">
      <c r="A1644" s="9">
        <v>243</v>
      </c>
      <c r="B1644" s="10" t="s">
        <v>14</v>
      </c>
      <c r="C1644" s="10" t="s">
        <v>15</v>
      </c>
      <c r="D1644" s="10" t="s">
        <v>45</v>
      </c>
      <c r="E1644" s="11" t="s">
        <v>30</v>
      </c>
      <c r="F1644" s="11" t="s">
        <v>17</v>
      </c>
      <c r="G1644" s="10" t="s">
        <v>18</v>
      </c>
      <c r="H1644" s="11" t="s">
        <v>25</v>
      </c>
      <c r="I1644" s="11" t="s">
        <v>113</v>
      </c>
      <c r="J1644" s="11"/>
      <c r="K1644" s="11" t="s">
        <v>126</v>
      </c>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4"/>
    </row>
    <row r="1645" spans="1:35" ht="12.5" hidden="1" x14ac:dyDescent="0.25">
      <c r="A1645" s="9">
        <v>244</v>
      </c>
      <c r="B1645" s="10" t="s">
        <v>14</v>
      </c>
      <c r="C1645" s="10" t="s">
        <v>15</v>
      </c>
      <c r="D1645" s="10" t="s">
        <v>45</v>
      </c>
      <c r="E1645" s="11" t="s">
        <v>30</v>
      </c>
      <c r="F1645" s="11" t="s">
        <v>17</v>
      </c>
      <c r="G1645" s="10" t="s">
        <v>18</v>
      </c>
      <c r="H1645" s="11" t="s">
        <v>23</v>
      </c>
      <c r="I1645" s="11" t="s">
        <v>113</v>
      </c>
      <c r="J1645" s="11"/>
      <c r="K1645" s="11" t="s">
        <v>126</v>
      </c>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4"/>
    </row>
    <row r="1646" spans="1:35" ht="12.5" hidden="1" x14ac:dyDescent="0.25">
      <c r="A1646" s="9">
        <v>245</v>
      </c>
      <c r="B1646" s="10" t="s">
        <v>14</v>
      </c>
      <c r="C1646" s="10" t="s">
        <v>15</v>
      </c>
      <c r="D1646" s="10" t="s">
        <v>45</v>
      </c>
      <c r="E1646" s="11" t="s">
        <v>30</v>
      </c>
      <c r="F1646" s="11" t="s">
        <v>17</v>
      </c>
      <c r="G1646" s="10" t="s">
        <v>24</v>
      </c>
      <c r="H1646" s="11" t="s">
        <v>23</v>
      </c>
      <c r="I1646" s="11" t="s">
        <v>113</v>
      </c>
      <c r="J1646" s="11"/>
      <c r="K1646" s="11" t="s">
        <v>126</v>
      </c>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4"/>
    </row>
    <row r="1647" spans="1:35" ht="12.5" hidden="1" x14ac:dyDescent="0.25">
      <c r="A1647" s="9">
        <v>246</v>
      </c>
      <c r="B1647" s="10" t="s">
        <v>14</v>
      </c>
      <c r="C1647" s="10" t="s">
        <v>15</v>
      </c>
      <c r="D1647" s="10" t="s">
        <v>45</v>
      </c>
      <c r="E1647" s="11" t="s">
        <v>30</v>
      </c>
      <c r="F1647" s="11" t="s">
        <v>17</v>
      </c>
      <c r="G1647" s="10" t="s">
        <v>18</v>
      </c>
      <c r="H1647" s="11" t="s">
        <v>19</v>
      </c>
      <c r="I1647" s="11" t="s">
        <v>113</v>
      </c>
      <c r="J1647" s="11"/>
      <c r="K1647" s="11" t="s">
        <v>126</v>
      </c>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4"/>
    </row>
    <row r="1648" spans="1:35" ht="12.5" hidden="1" x14ac:dyDescent="0.25">
      <c r="A1648" s="9">
        <v>247</v>
      </c>
      <c r="B1648" s="10" t="s">
        <v>14</v>
      </c>
      <c r="C1648" s="10" t="s">
        <v>15</v>
      </c>
      <c r="D1648" s="10" t="s">
        <v>45</v>
      </c>
      <c r="E1648" s="11" t="s">
        <v>30</v>
      </c>
      <c r="F1648" s="11" t="s">
        <v>17</v>
      </c>
      <c r="G1648" s="10" t="s">
        <v>24</v>
      </c>
      <c r="H1648" s="11" t="s">
        <v>25</v>
      </c>
      <c r="I1648" s="11" t="s">
        <v>113</v>
      </c>
      <c r="J1648" s="11"/>
      <c r="K1648" s="11" t="s">
        <v>126</v>
      </c>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4"/>
    </row>
    <row r="1649" spans="1:35" ht="12.5" hidden="1" x14ac:dyDescent="0.25">
      <c r="A1649" s="9">
        <v>248</v>
      </c>
      <c r="B1649" s="10" t="s">
        <v>14</v>
      </c>
      <c r="C1649" s="10" t="s">
        <v>15</v>
      </c>
      <c r="D1649" s="10" t="s">
        <v>45</v>
      </c>
      <c r="E1649" s="11" t="s">
        <v>30</v>
      </c>
      <c r="F1649" s="11" t="s">
        <v>17</v>
      </c>
      <c r="G1649" s="10" t="s">
        <v>18</v>
      </c>
      <c r="H1649" s="11" t="s">
        <v>19</v>
      </c>
      <c r="I1649" s="11" t="s">
        <v>113</v>
      </c>
      <c r="J1649" s="11"/>
      <c r="K1649" s="11" t="s">
        <v>126</v>
      </c>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4"/>
    </row>
    <row r="1650" spans="1:35" ht="12.5" hidden="1" x14ac:dyDescent="0.25">
      <c r="A1650" s="9">
        <v>249</v>
      </c>
      <c r="B1650" s="10" t="s">
        <v>14</v>
      </c>
      <c r="C1650" s="10" t="s">
        <v>15</v>
      </c>
      <c r="D1650" s="10" t="s">
        <v>45</v>
      </c>
      <c r="E1650" s="11" t="s">
        <v>30</v>
      </c>
      <c r="F1650" s="11" t="s">
        <v>17</v>
      </c>
      <c r="G1650" s="10" t="s">
        <v>18</v>
      </c>
      <c r="H1650" s="11" t="s">
        <v>19</v>
      </c>
      <c r="I1650" s="11" t="s">
        <v>113</v>
      </c>
      <c r="J1650" s="11"/>
      <c r="K1650" s="11" t="s">
        <v>126</v>
      </c>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4"/>
    </row>
    <row r="1651" spans="1:35" ht="12.5" hidden="1" x14ac:dyDescent="0.25">
      <c r="A1651" s="9">
        <v>250</v>
      </c>
      <c r="B1651" s="10" t="s">
        <v>14</v>
      </c>
      <c r="C1651" s="10" t="s">
        <v>15</v>
      </c>
      <c r="D1651" s="10" t="s">
        <v>45</v>
      </c>
      <c r="E1651" s="11" t="s">
        <v>30</v>
      </c>
      <c r="F1651" s="11" t="s">
        <v>17</v>
      </c>
      <c r="G1651" s="10" t="s">
        <v>24</v>
      </c>
      <c r="H1651" s="11" t="s">
        <v>25</v>
      </c>
      <c r="I1651" s="11" t="s">
        <v>113</v>
      </c>
      <c r="J1651" s="11"/>
      <c r="K1651" s="11" t="s">
        <v>126</v>
      </c>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4"/>
    </row>
    <row r="1652" spans="1:35" ht="12.5" hidden="1" x14ac:dyDescent="0.25">
      <c r="A1652" s="9">
        <v>251</v>
      </c>
      <c r="B1652" s="10" t="s">
        <v>14</v>
      </c>
      <c r="C1652" s="10" t="s">
        <v>15</v>
      </c>
      <c r="D1652" s="10" t="s">
        <v>45</v>
      </c>
      <c r="E1652" s="11" t="s">
        <v>30</v>
      </c>
      <c r="F1652" s="11" t="s">
        <v>17</v>
      </c>
      <c r="G1652" s="10" t="s">
        <v>24</v>
      </c>
      <c r="H1652" s="11" t="s">
        <v>23</v>
      </c>
      <c r="I1652" s="11" t="s">
        <v>113</v>
      </c>
      <c r="J1652" s="11"/>
      <c r="K1652" s="11" t="s">
        <v>126</v>
      </c>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4"/>
    </row>
    <row r="1653" spans="1:35" ht="12.5" hidden="1" x14ac:dyDescent="0.25">
      <c r="A1653" s="9">
        <v>252</v>
      </c>
      <c r="B1653" s="10" t="s">
        <v>14</v>
      </c>
      <c r="C1653" s="10" t="s">
        <v>15</v>
      </c>
      <c r="D1653" s="10" t="s">
        <v>45</v>
      </c>
      <c r="E1653" s="11" t="s">
        <v>30</v>
      </c>
      <c r="F1653" s="11" t="s">
        <v>17</v>
      </c>
      <c r="G1653" s="10" t="s">
        <v>18</v>
      </c>
      <c r="H1653" s="11" t="s">
        <v>23</v>
      </c>
      <c r="I1653" s="11" t="s">
        <v>113</v>
      </c>
      <c r="J1653" s="11"/>
      <c r="K1653" s="11" t="s">
        <v>126</v>
      </c>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4"/>
    </row>
    <row r="1654" spans="1:35" ht="12.5" hidden="1" x14ac:dyDescent="0.25">
      <c r="A1654" s="9">
        <v>253</v>
      </c>
      <c r="B1654" s="10" t="s">
        <v>14</v>
      </c>
      <c r="C1654" s="10" t="s">
        <v>15</v>
      </c>
      <c r="D1654" s="10" t="s">
        <v>45</v>
      </c>
      <c r="E1654" s="11" t="s">
        <v>30</v>
      </c>
      <c r="F1654" s="11" t="s">
        <v>17</v>
      </c>
      <c r="G1654" s="10" t="s">
        <v>18</v>
      </c>
      <c r="H1654" s="11" t="s">
        <v>19</v>
      </c>
      <c r="I1654" s="11" t="s">
        <v>113</v>
      </c>
      <c r="J1654" s="11"/>
      <c r="K1654" s="11" t="s">
        <v>126</v>
      </c>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4"/>
    </row>
    <row r="1655" spans="1:35" ht="12.5" hidden="1" x14ac:dyDescent="0.25">
      <c r="A1655" s="9">
        <v>254</v>
      </c>
      <c r="B1655" s="10" t="s">
        <v>14</v>
      </c>
      <c r="C1655" s="10" t="s">
        <v>15</v>
      </c>
      <c r="D1655" s="10" t="s">
        <v>45</v>
      </c>
      <c r="E1655" s="11" t="s">
        <v>30</v>
      </c>
      <c r="F1655" s="11" t="s">
        <v>17</v>
      </c>
      <c r="G1655" s="10" t="s">
        <v>24</v>
      </c>
      <c r="H1655" s="11" t="s">
        <v>25</v>
      </c>
      <c r="I1655" s="11" t="s">
        <v>113</v>
      </c>
      <c r="J1655" s="11"/>
      <c r="K1655" s="11" t="s">
        <v>126</v>
      </c>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4"/>
    </row>
    <row r="1656" spans="1:35" ht="12.5" hidden="1" x14ac:dyDescent="0.25">
      <c r="A1656" s="9">
        <v>255</v>
      </c>
      <c r="B1656" s="10" t="s">
        <v>14</v>
      </c>
      <c r="C1656" s="10" t="s">
        <v>15</v>
      </c>
      <c r="D1656" s="10" t="s">
        <v>45</v>
      </c>
      <c r="E1656" s="11" t="s">
        <v>30</v>
      </c>
      <c r="F1656" s="11" t="s">
        <v>17</v>
      </c>
      <c r="G1656" s="10" t="s">
        <v>24</v>
      </c>
      <c r="H1656" s="11" t="s">
        <v>23</v>
      </c>
      <c r="I1656" s="11" t="s">
        <v>113</v>
      </c>
      <c r="J1656" s="11"/>
      <c r="K1656" s="11" t="s">
        <v>126</v>
      </c>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4"/>
    </row>
    <row r="1657" spans="1:35" ht="12.5" hidden="1" x14ac:dyDescent="0.25">
      <c r="A1657" s="9">
        <v>256</v>
      </c>
      <c r="B1657" s="10" t="s">
        <v>14</v>
      </c>
      <c r="C1657" s="10" t="s">
        <v>15</v>
      </c>
      <c r="D1657" s="10" t="s">
        <v>45</v>
      </c>
      <c r="E1657" s="11" t="s">
        <v>30</v>
      </c>
      <c r="F1657" s="11" t="s">
        <v>17</v>
      </c>
      <c r="G1657" s="10" t="s">
        <v>24</v>
      </c>
      <c r="H1657" s="11" t="s">
        <v>25</v>
      </c>
      <c r="I1657" s="11" t="s">
        <v>113</v>
      </c>
      <c r="J1657" s="11"/>
      <c r="K1657" s="11" t="s">
        <v>126</v>
      </c>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4"/>
    </row>
    <row r="1658" spans="1:35" ht="12.5" hidden="1" x14ac:dyDescent="0.25">
      <c r="A1658" s="9">
        <v>257</v>
      </c>
      <c r="B1658" s="10" t="s">
        <v>14</v>
      </c>
      <c r="C1658" s="10" t="s">
        <v>15</v>
      </c>
      <c r="D1658" s="10" t="s">
        <v>45</v>
      </c>
      <c r="E1658" s="11" t="s">
        <v>30</v>
      </c>
      <c r="F1658" s="11" t="s">
        <v>17</v>
      </c>
      <c r="G1658" s="10" t="s">
        <v>24</v>
      </c>
      <c r="H1658" s="11" t="s">
        <v>23</v>
      </c>
      <c r="I1658" s="11" t="s">
        <v>113</v>
      </c>
      <c r="J1658" s="11"/>
      <c r="K1658" s="11" t="s">
        <v>126</v>
      </c>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4"/>
    </row>
    <row r="1659" spans="1:35" ht="12.5" hidden="1" x14ac:dyDescent="0.25">
      <c r="A1659" s="9">
        <v>258</v>
      </c>
      <c r="B1659" s="10" t="s">
        <v>14</v>
      </c>
      <c r="C1659" s="10" t="s">
        <v>15</v>
      </c>
      <c r="D1659" s="10" t="s">
        <v>45</v>
      </c>
      <c r="E1659" s="11" t="s">
        <v>30</v>
      </c>
      <c r="F1659" s="11" t="s">
        <v>17</v>
      </c>
      <c r="G1659" s="10" t="s">
        <v>24</v>
      </c>
      <c r="H1659" s="11" t="s">
        <v>23</v>
      </c>
      <c r="I1659" s="11" t="s">
        <v>113</v>
      </c>
      <c r="J1659" s="11"/>
      <c r="K1659" s="11" t="s">
        <v>126</v>
      </c>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4"/>
    </row>
    <row r="1660" spans="1:35" ht="12.5" hidden="1" x14ac:dyDescent="0.25">
      <c r="A1660" s="9">
        <v>259</v>
      </c>
      <c r="B1660" s="10" t="s">
        <v>14</v>
      </c>
      <c r="C1660" s="10" t="s">
        <v>15</v>
      </c>
      <c r="D1660" s="10" t="s">
        <v>45</v>
      </c>
      <c r="E1660" s="11" t="s">
        <v>30</v>
      </c>
      <c r="F1660" s="11" t="s">
        <v>17</v>
      </c>
      <c r="G1660" s="10" t="s">
        <v>18</v>
      </c>
      <c r="H1660" s="11" t="s">
        <v>23</v>
      </c>
      <c r="I1660" s="11" t="s">
        <v>113</v>
      </c>
      <c r="J1660" s="11"/>
      <c r="K1660" s="11" t="s">
        <v>126</v>
      </c>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4"/>
    </row>
    <row r="1661" spans="1:35" ht="12.5" hidden="1" x14ac:dyDescent="0.25">
      <c r="A1661" s="9">
        <v>260</v>
      </c>
      <c r="B1661" s="10" t="s">
        <v>14</v>
      </c>
      <c r="C1661" s="10" t="s">
        <v>15</v>
      </c>
      <c r="D1661" s="10" t="s">
        <v>45</v>
      </c>
      <c r="E1661" s="11" t="s">
        <v>30</v>
      </c>
      <c r="F1661" s="11" t="s">
        <v>17</v>
      </c>
      <c r="G1661" s="10" t="s">
        <v>18</v>
      </c>
      <c r="H1661" s="11" t="s">
        <v>23</v>
      </c>
      <c r="I1661" s="11" t="s">
        <v>113</v>
      </c>
      <c r="J1661" s="11"/>
      <c r="K1661" s="11" t="s">
        <v>126</v>
      </c>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4"/>
    </row>
    <row r="1662" spans="1:35" ht="12.5" hidden="1" x14ac:dyDescent="0.25">
      <c r="A1662" s="9">
        <v>261</v>
      </c>
      <c r="B1662" s="10" t="s">
        <v>14</v>
      </c>
      <c r="C1662" s="10" t="s">
        <v>15</v>
      </c>
      <c r="D1662" s="10" t="s">
        <v>45</v>
      </c>
      <c r="E1662" s="11" t="s">
        <v>30</v>
      </c>
      <c r="F1662" s="11" t="s">
        <v>17</v>
      </c>
      <c r="G1662" s="10" t="s">
        <v>18</v>
      </c>
      <c r="H1662" s="11" t="s">
        <v>19</v>
      </c>
      <c r="I1662" s="11" t="s">
        <v>113</v>
      </c>
      <c r="J1662" s="11"/>
      <c r="K1662" s="11" t="s">
        <v>126</v>
      </c>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4"/>
    </row>
    <row r="1663" spans="1:35" ht="12.5" hidden="1" x14ac:dyDescent="0.25">
      <c r="A1663" s="9">
        <v>262</v>
      </c>
      <c r="B1663" s="10" t="s">
        <v>14</v>
      </c>
      <c r="C1663" s="10" t="s">
        <v>15</v>
      </c>
      <c r="D1663" s="10" t="s">
        <v>45</v>
      </c>
      <c r="E1663" s="11" t="s">
        <v>30</v>
      </c>
      <c r="F1663" s="11" t="s">
        <v>17</v>
      </c>
      <c r="G1663" s="10" t="s">
        <v>24</v>
      </c>
      <c r="H1663" s="11" t="s">
        <v>19</v>
      </c>
      <c r="I1663" s="11" t="s">
        <v>113</v>
      </c>
      <c r="J1663" s="11"/>
      <c r="K1663" s="11" t="s">
        <v>126</v>
      </c>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4"/>
    </row>
    <row r="1664" spans="1:35" ht="12.5" hidden="1" x14ac:dyDescent="0.25">
      <c r="A1664" s="9">
        <v>263</v>
      </c>
      <c r="B1664" s="10" t="s">
        <v>14</v>
      </c>
      <c r="C1664" s="10" t="s">
        <v>15</v>
      </c>
      <c r="D1664" s="10" t="s">
        <v>45</v>
      </c>
      <c r="E1664" s="11" t="s">
        <v>30</v>
      </c>
      <c r="F1664" s="11" t="s">
        <v>17</v>
      </c>
      <c r="G1664" s="10" t="s">
        <v>24</v>
      </c>
      <c r="H1664" s="11" t="s">
        <v>23</v>
      </c>
      <c r="I1664" s="11" t="s">
        <v>113</v>
      </c>
      <c r="J1664" s="11"/>
      <c r="K1664" s="11" t="s">
        <v>126</v>
      </c>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4"/>
    </row>
    <row r="1665" spans="1:35" ht="12.5" hidden="1" x14ac:dyDescent="0.25">
      <c r="A1665" s="9">
        <v>264</v>
      </c>
      <c r="B1665" s="10" t="s">
        <v>14</v>
      </c>
      <c r="C1665" s="10" t="s">
        <v>15</v>
      </c>
      <c r="D1665" s="10" t="s">
        <v>45</v>
      </c>
      <c r="E1665" s="11" t="s">
        <v>30</v>
      </c>
      <c r="F1665" s="11" t="s">
        <v>17</v>
      </c>
      <c r="G1665" s="10" t="s">
        <v>24</v>
      </c>
      <c r="H1665" s="11" t="s">
        <v>23</v>
      </c>
      <c r="I1665" s="11" t="s">
        <v>113</v>
      </c>
      <c r="J1665" s="11"/>
      <c r="K1665" s="11" t="s">
        <v>126</v>
      </c>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4"/>
    </row>
    <row r="1666" spans="1:35" ht="12.5" hidden="1" x14ac:dyDescent="0.25">
      <c r="A1666" s="9">
        <v>265</v>
      </c>
      <c r="B1666" s="10" t="s">
        <v>14</v>
      </c>
      <c r="C1666" s="10" t="s">
        <v>15</v>
      </c>
      <c r="D1666" s="10" t="s">
        <v>45</v>
      </c>
      <c r="E1666" s="11" t="s">
        <v>30</v>
      </c>
      <c r="F1666" s="11" t="s">
        <v>17</v>
      </c>
      <c r="G1666" s="10" t="s">
        <v>24</v>
      </c>
      <c r="H1666" s="11" t="s">
        <v>23</v>
      </c>
      <c r="I1666" s="11" t="s">
        <v>113</v>
      </c>
      <c r="J1666" s="11"/>
      <c r="K1666" s="11" t="s">
        <v>126</v>
      </c>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4"/>
    </row>
    <row r="1667" spans="1:35" ht="12.5" hidden="1" x14ac:dyDescent="0.25">
      <c r="A1667" s="9">
        <v>266</v>
      </c>
      <c r="B1667" s="10" t="s">
        <v>14</v>
      </c>
      <c r="C1667" s="10" t="s">
        <v>15</v>
      </c>
      <c r="D1667" s="10" t="s">
        <v>45</v>
      </c>
      <c r="E1667" s="11" t="s">
        <v>30</v>
      </c>
      <c r="F1667" s="11" t="s">
        <v>17</v>
      </c>
      <c r="G1667" s="10" t="s">
        <v>24</v>
      </c>
      <c r="H1667" s="11" t="s">
        <v>19</v>
      </c>
      <c r="I1667" s="11" t="s">
        <v>113</v>
      </c>
      <c r="J1667" s="11"/>
      <c r="K1667" s="11" t="s">
        <v>126</v>
      </c>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4"/>
    </row>
    <row r="1668" spans="1:35" ht="12.5" hidden="1" x14ac:dyDescent="0.25">
      <c r="A1668" s="9">
        <v>267</v>
      </c>
      <c r="B1668" s="10" t="s">
        <v>14</v>
      </c>
      <c r="C1668" s="10" t="s">
        <v>15</v>
      </c>
      <c r="D1668" s="10" t="s">
        <v>45</v>
      </c>
      <c r="E1668" s="11" t="s">
        <v>30</v>
      </c>
      <c r="F1668" s="11" t="s">
        <v>17</v>
      </c>
      <c r="G1668" s="10" t="s">
        <v>18</v>
      </c>
      <c r="H1668" s="11" t="s">
        <v>19</v>
      </c>
      <c r="I1668" s="11" t="s">
        <v>113</v>
      </c>
      <c r="J1668" s="11"/>
      <c r="K1668" s="11" t="s">
        <v>126</v>
      </c>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4"/>
    </row>
    <row r="1669" spans="1:35" ht="12.5" hidden="1" x14ac:dyDescent="0.25">
      <c r="A1669" s="9">
        <v>268</v>
      </c>
      <c r="B1669" s="10" t="s">
        <v>14</v>
      </c>
      <c r="C1669" s="10" t="s">
        <v>15</v>
      </c>
      <c r="D1669" s="10" t="s">
        <v>45</v>
      </c>
      <c r="E1669" s="11" t="s">
        <v>30</v>
      </c>
      <c r="F1669" s="11" t="s">
        <v>17</v>
      </c>
      <c r="G1669" s="10" t="s">
        <v>18</v>
      </c>
      <c r="H1669" s="11" t="s">
        <v>23</v>
      </c>
      <c r="I1669" s="11" t="s">
        <v>113</v>
      </c>
      <c r="J1669" s="11"/>
      <c r="K1669" s="11" t="s">
        <v>126</v>
      </c>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4"/>
    </row>
    <row r="1670" spans="1:35" ht="12.5" hidden="1" x14ac:dyDescent="0.25">
      <c r="A1670" s="9">
        <v>269</v>
      </c>
      <c r="B1670" s="10" t="s">
        <v>14</v>
      </c>
      <c r="C1670" s="10" t="s">
        <v>15</v>
      </c>
      <c r="D1670" s="10" t="s">
        <v>45</v>
      </c>
      <c r="E1670" s="11" t="s">
        <v>30</v>
      </c>
      <c r="F1670" s="11" t="s">
        <v>17</v>
      </c>
      <c r="G1670" s="10" t="s">
        <v>18</v>
      </c>
      <c r="H1670" s="11" t="s">
        <v>23</v>
      </c>
      <c r="I1670" s="11" t="s">
        <v>113</v>
      </c>
      <c r="J1670" s="11"/>
      <c r="K1670" s="11" t="s">
        <v>126</v>
      </c>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4"/>
    </row>
    <row r="1671" spans="1:35" ht="12.5" hidden="1" x14ac:dyDescent="0.25">
      <c r="A1671" s="9">
        <v>270</v>
      </c>
      <c r="B1671" s="10" t="s">
        <v>14</v>
      </c>
      <c r="C1671" s="10" t="s">
        <v>15</v>
      </c>
      <c r="D1671" s="10" t="s">
        <v>45</v>
      </c>
      <c r="E1671" s="11" t="s">
        <v>30</v>
      </c>
      <c r="F1671" s="11" t="s">
        <v>17</v>
      </c>
      <c r="G1671" s="10" t="s">
        <v>24</v>
      </c>
      <c r="H1671" s="11" t="s">
        <v>23</v>
      </c>
      <c r="I1671" s="11" t="s">
        <v>113</v>
      </c>
      <c r="J1671" s="11"/>
      <c r="K1671" s="11" t="s">
        <v>126</v>
      </c>
      <c r="L1671" s="11"/>
      <c r="M1671" s="11"/>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4"/>
    </row>
    <row r="1672" spans="1:35" ht="12.5" hidden="1" x14ac:dyDescent="0.25">
      <c r="A1672" s="9">
        <v>271</v>
      </c>
      <c r="B1672" s="10" t="s">
        <v>14</v>
      </c>
      <c r="C1672" s="10" t="s">
        <v>15</v>
      </c>
      <c r="D1672" s="10" t="s">
        <v>45</v>
      </c>
      <c r="E1672" s="11" t="s">
        <v>30</v>
      </c>
      <c r="F1672" s="11" t="s">
        <v>17</v>
      </c>
      <c r="G1672" s="10" t="s">
        <v>18</v>
      </c>
      <c r="H1672" s="11" t="s">
        <v>23</v>
      </c>
      <c r="I1672" s="11" t="s">
        <v>113</v>
      </c>
      <c r="J1672" s="11"/>
      <c r="K1672" s="11" t="s">
        <v>126</v>
      </c>
      <c r="L1672" s="11"/>
      <c r="M1672" s="11"/>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4"/>
    </row>
    <row r="1673" spans="1:35" ht="12.5" hidden="1" x14ac:dyDescent="0.25">
      <c r="A1673" s="9">
        <v>272</v>
      </c>
      <c r="B1673" s="10" t="s">
        <v>14</v>
      </c>
      <c r="C1673" s="10" t="s">
        <v>15</v>
      </c>
      <c r="D1673" s="10" t="s">
        <v>45</v>
      </c>
      <c r="E1673" s="11" t="s">
        <v>30</v>
      </c>
      <c r="F1673" s="11" t="s">
        <v>17</v>
      </c>
      <c r="G1673" s="10" t="s">
        <v>18</v>
      </c>
      <c r="H1673" s="11" t="s">
        <v>23</v>
      </c>
      <c r="I1673" s="11" t="s">
        <v>113</v>
      </c>
      <c r="J1673" s="11"/>
      <c r="K1673" s="11" t="s">
        <v>126</v>
      </c>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4"/>
    </row>
    <row r="1674" spans="1:35" ht="12.5" hidden="1" x14ac:dyDescent="0.25">
      <c r="A1674" s="9">
        <v>273</v>
      </c>
      <c r="B1674" s="10" t="s">
        <v>14</v>
      </c>
      <c r="C1674" s="10" t="s">
        <v>15</v>
      </c>
      <c r="D1674" s="10" t="s">
        <v>45</v>
      </c>
      <c r="E1674" s="11" t="s">
        <v>30</v>
      </c>
      <c r="F1674" s="11" t="s">
        <v>17</v>
      </c>
      <c r="G1674" s="10" t="s">
        <v>24</v>
      </c>
      <c r="H1674" s="11" t="s">
        <v>19</v>
      </c>
      <c r="I1674" s="11" t="s">
        <v>113</v>
      </c>
      <c r="J1674" s="11"/>
      <c r="K1674" s="11" t="s">
        <v>126</v>
      </c>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4"/>
    </row>
    <row r="1675" spans="1:35" ht="12.5" hidden="1" x14ac:dyDescent="0.25">
      <c r="A1675" s="9">
        <v>274</v>
      </c>
      <c r="B1675" s="10" t="s">
        <v>14</v>
      </c>
      <c r="C1675" s="10" t="s">
        <v>15</v>
      </c>
      <c r="D1675" s="10" t="s">
        <v>45</v>
      </c>
      <c r="E1675" s="11" t="s">
        <v>30</v>
      </c>
      <c r="F1675" s="11" t="s">
        <v>17</v>
      </c>
      <c r="G1675" s="10" t="s">
        <v>18</v>
      </c>
      <c r="H1675" s="11" t="s">
        <v>19</v>
      </c>
      <c r="I1675" s="11" t="s">
        <v>113</v>
      </c>
      <c r="J1675" s="11"/>
      <c r="K1675" s="11" t="s">
        <v>126</v>
      </c>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4"/>
    </row>
    <row r="1676" spans="1:35" ht="12.5" hidden="1" x14ac:dyDescent="0.25">
      <c r="A1676" s="9">
        <v>275</v>
      </c>
      <c r="B1676" s="10" t="s">
        <v>14</v>
      </c>
      <c r="C1676" s="10" t="s">
        <v>15</v>
      </c>
      <c r="D1676" s="10" t="s">
        <v>45</v>
      </c>
      <c r="E1676" s="11" t="s">
        <v>30</v>
      </c>
      <c r="F1676" s="11" t="s">
        <v>17</v>
      </c>
      <c r="G1676" s="10" t="s">
        <v>24</v>
      </c>
      <c r="H1676" s="11" t="s">
        <v>23</v>
      </c>
      <c r="I1676" s="11" t="s">
        <v>113</v>
      </c>
      <c r="J1676" s="11"/>
      <c r="K1676" s="11" t="s">
        <v>126</v>
      </c>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4"/>
    </row>
    <row r="1677" spans="1:35" ht="12.5" hidden="1" x14ac:dyDescent="0.25">
      <c r="A1677" s="9">
        <v>276</v>
      </c>
      <c r="B1677" s="10" t="s">
        <v>14</v>
      </c>
      <c r="C1677" s="10" t="s">
        <v>15</v>
      </c>
      <c r="D1677" s="10" t="s">
        <v>45</v>
      </c>
      <c r="E1677" s="11" t="s">
        <v>30</v>
      </c>
      <c r="F1677" s="11" t="s">
        <v>17</v>
      </c>
      <c r="G1677" s="10" t="s">
        <v>24</v>
      </c>
      <c r="H1677" s="11" t="s">
        <v>19</v>
      </c>
      <c r="I1677" s="11" t="s">
        <v>113</v>
      </c>
      <c r="J1677" s="11"/>
      <c r="K1677" s="11" t="s">
        <v>126</v>
      </c>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4"/>
    </row>
    <row r="1678" spans="1:35" ht="12.5" hidden="1" x14ac:dyDescent="0.25">
      <c r="A1678" s="9">
        <v>277</v>
      </c>
      <c r="B1678" s="10" t="s">
        <v>14</v>
      </c>
      <c r="C1678" s="10" t="s">
        <v>15</v>
      </c>
      <c r="D1678" s="10" t="s">
        <v>45</v>
      </c>
      <c r="E1678" s="11" t="s">
        <v>30</v>
      </c>
      <c r="F1678" s="11" t="s">
        <v>17</v>
      </c>
      <c r="G1678" s="10" t="s">
        <v>18</v>
      </c>
      <c r="H1678" s="11" t="s">
        <v>23</v>
      </c>
      <c r="I1678" s="11" t="s">
        <v>113</v>
      </c>
      <c r="J1678" s="11"/>
      <c r="K1678" s="11" t="s">
        <v>126</v>
      </c>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4"/>
    </row>
    <row r="1679" spans="1:35" ht="12.5" hidden="1" x14ac:dyDescent="0.25">
      <c r="A1679" s="9">
        <v>278</v>
      </c>
      <c r="B1679" s="10" t="s">
        <v>14</v>
      </c>
      <c r="C1679" s="10" t="s">
        <v>15</v>
      </c>
      <c r="D1679" s="10" t="s">
        <v>45</v>
      </c>
      <c r="E1679" s="11" t="s">
        <v>30</v>
      </c>
      <c r="F1679" s="11" t="s">
        <v>17</v>
      </c>
      <c r="G1679" s="10" t="s">
        <v>18</v>
      </c>
      <c r="H1679" s="11" t="s">
        <v>23</v>
      </c>
      <c r="I1679" s="11" t="s">
        <v>113</v>
      </c>
      <c r="J1679" s="11"/>
      <c r="K1679" s="11" t="s">
        <v>126</v>
      </c>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4"/>
    </row>
    <row r="1680" spans="1:35" ht="12.5" hidden="1" x14ac:dyDescent="0.25">
      <c r="A1680" s="9">
        <v>279</v>
      </c>
      <c r="B1680" s="10" t="s">
        <v>14</v>
      </c>
      <c r="C1680" s="10" t="s">
        <v>15</v>
      </c>
      <c r="D1680" s="10" t="s">
        <v>45</v>
      </c>
      <c r="E1680" s="11" t="s">
        <v>30</v>
      </c>
      <c r="F1680" s="11" t="s">
        <v>17</v>
      </c>
      <c r="G1680" s="10" t="s">
        <v>18</v>
      </c>
      <c r="H1680" s="11" t="s">
        <v>25</v>
      </c>
      <c r="I1680" s="11" t="s">
        <v>113</v>
      </c>
      <c r="J1680" s="11"/>
      <c r="K1680" s="11" t="s">
        <v>126</v>
      </c>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4"/>
    </row>
    <row r="1681" spans="1:35" ht="12.5" hidden="1" x14ac:dyDescent="0.25">
      <c r="A1681" s="9">
        <v>280</v>
      </c>
      <c r="B1681" s="10" t="s">
        <v>14</v>
      </c>
      <c r="C1681" s="10" t="s">
        <v>15</v>
      </c>
      <c r="D1681" s="10" t="s">
        <v>45</v>
      </c>
      <c r="E1681" s="11" t="s">
        <v>30</v>
      </c>
      <c r="F1681" s="11" t="s">
        <v>17</v>
      </c>
      <c r="G1681" s="10" t="s">
        <v>24</v>
      </c>
      <c r="H1681" s="11" t="s">
        <v>25</v>
      </c>
      <c r="I1681" s="11" t="s">
        <v>113</v>
      </c>
      <c r="J1681" s="11"/>
      <c r="K1681" s="11" t="s">
        <v>126</v>
      </c>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4"/>
    </row>
    <row r="1682" spans="1:35" ht="12.5" hidden="1" x14ac:dyDescent="0.25">
      <c r="A1682" s="9">
        <v>281</v>
      </c>
      <c r="B1682" s="10" t="s">
        <v>14</v>
      </c>
      <c r="C1682" s="10" t="s">
        <v>15</v>
      </c>
      <c r="D1682" s="10" t="s">
        <v>45</v>
      </c>
      <c r="E1682" s="11" t="s">
        <v>30</v>
      </c>
      <c r="F1682" s="11" t="s">
        <v>17</v>
      </c>
      <c r="G1682" s="10" t="s">
        <v>18</v>
      </c>
      <c r="H1682" s="11" t="s">
        <v>25</v>
      </c>
      <c r="I1682" s="11" t="s">
        <v>113</v>
      </c>
      <c r="J1682" s="11"/>
      <c r="K1682" s="11" t="s">
        <v>126</v>
      </c>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4"/>
    </row>
    <row r="1683" spans="1:35" ht="12.5" hidden="1" x14ac:dyDescent="0.25">
      <c r="A1683" s="9">
        <v>282</v>
      </c>
      <c r="B1683" s="10" t="s">
        <v>14</v>
      </c>
      <c r="C1683" s="10" t="s">
        <v>15</v>
      </c>
      <c r="D1683" s="10" t="s">
        <v>45</v>
      </c>
      <c r="E1683" s="11" t="s">
        <v>30</v>
      </c>
      <c r="F1683" s="11" t="s">
        <v>17</v>
      </c>
      <c r="G1683" s="10" t="s">
        <v>18</v>
      </c>
      <c r="H1683" s="11" t="s">
        <v>19</v>
      </c>
      <c r="I1683" s="11" t="s">
        <v>113</v>
      </c>
      <c r="J1683" s="11"/>
      <c r="K1683" s="11" t="s">
        <v>126</v>
      </c>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4"/>
    </row>
    <row r="1684" spans="1:35" ht="12.5" hidden="1" x14ac:dyDescent="0.25">
      <c r="A1684" s="9">
        <v>283</v>
      </c>
      <c r="B1684" s="10" t="s">
        <v>14</v>
      </c>
      <c r="C1684" s="10" t="s">
        <v>15</v>
      </c>
      <c r="D1684" s="10" t="s">
        <v>45</v>
      </c>
      <c r="E1684" s="11" t="s">
        <v>30</v>
      </c>
      <c r="F1684" s="11" t="s">
        <v>17</v>
      </c>
      <c r="G1684" s="10" t="s">
        <v>24</v>
      </c>
      <c r="H1684" s="11" t="s">
        <v>23</v>
      </c>
      <c r="I1684" s="11" t="s">
        <v>113</v>
      </c>
      <c r="J1684" s="11"/>
      <c r="K1684" s="11" t="s">
        <v>126</v>
      </c>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4"/>
    </row>
    <row r="1685" spans="1:35" ht="12.5" hidden="1" x14ac:dyDescent="0.25">
      <c r="A1685" s="9">
        <v>284</v>
      </c>
      <c r="B1685" s="10" t="s">
        <v>14</v>
      </c>
      <c r="C1685" s="10" t="s">
        <v>15</v>
      </c>
      <c r="D1685" s="10" t="s">
        <v>16</v>
      </c>
      <c r="E1685" s="11" t="s">
        <v>30</v>
      </c>
      <c r="F1685" s="11" t="s">
        <v>17</v>
      </c>
      <c r="G1685" s="10" t="s">
        <v>24</v>
      </c>
      <c r="H1685" s="11" t="s">
        <v>23</v>
      </c>
      <c r="I1685" s="11" t="s">
        <v>113</v>
      </c>
      <c r="J1685" s="11"/>
      <c r="K1685" s="11" t="s">
        <v>126</v>
      </c>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4"/>
    </row>
    <row r="1686" spans="1:35" ht="12.5" hidden="1" x14ac:dyDescent="0.25">
      <c r="A1686" s="9">
        <v>285</v>
      </c>
      <c r="B1686" s="10" t="s">
        <v>14</v>
      </c>
      <c r="C1686" s="10" t="s">
        <v>15</v>
      </c>
      <c r="D1686" s="10" t="s">
        <v>16</v>
      </c>
      <c r="E1686" s="11" t="s">
        <v>30</v>
      </c>
      <c r="F1686" s="11" t="s">
        <v>17</v>
      </c>
      <c r="G1686" s="10" t="s">
        <v>18</v>
      </c>
      <c r="H1686" s="11" t="s">
        <v>23</v>
      </c>
      <c r="I1686" s="11" t="s">
        <v>113</v>
      </c>
      <c r="J1686" s="11"/>
      <c r="K1686" s="11" t="s">
        <v>126</v>
      </c>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4"/>
    </row>
    <row r="1687" spans="1:35" ht="12.5" hidden="1" x14ac:dyDescent="0.25">
      <c r="A1687" s="9">
        <v>286</v>
      </c>
      <c r="B1687" s="10" t="s">
        <v>14</v>
      </c>
      <c r="C1687" s="10" t="s">
        <v>15</v>
      </c>
      <c r="D1687" s="10" t="s">
        <v>16</v>
      </c>
      <c r="E1687" s="11" t="s">
        <v>30</v>
      </c>
      <c r="F1687" s="11" t="s">
        <v>17</v>
      </c>
      <c r="G1687" s="10" t="s">
        <v>24</v>
      </c>
      <c r="H1687" s="11" t="s">
        <v>19</v>
      </c>
      <c r="I1687" s="11" t="s">
        <v>113</v>
      </c>
      <c r="J1687" s="11"/>
      <c r="K1687" s="11" t="s">
        <v>126</v>
      </c>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4"/>
    </row>
    <row r="1688" spans="1:35" ht="12.5" hidden="1" x14ac:dyDescent="0.25">
      <c r="A1688" s="9">
        <v>287</v>
      </c>
      <c r="B1688" s="10" t="s">
        <v>14</v>
      </c>
      <c r="C1688" s="10" t="s">
        <v>15</v>
      </c>
      <c r="D1688" s="10" t="s">
        <v>16</v>
      </c>
      <c r="E1688" s="11" t="s">
        <v>30</v>
      </c>
      <c r="F1688" s="11" t="s">
        <v>17</v>
      </c>
      <c r="G1688" s="10" t="s">
        <v>24</v>
      </c>
      <c r="H1688" s="11" t="s">
        <v>19</v>
      </c>
      <c r="I1688" s="11" t="s">
        <v>113</v>
      </c>
      <c r="J1688" s="11"/>
      <c r="K1688" s="11" t="s">
        <v>126</v>
      </c>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4"/>
    </row>
    <row r="1689" spans="1:35" ht="12.5" hidden="1" x14ac:dyDescent="0.25">
      <c r="A1689" s="9">
        <v>288</v>
      </c>
      <c r="B1689" s="10" t="s">
        <v>14</v>
      </c>
      <c r="C1689" s="10" t="s">
        <v>15</v>
      </c>
      <c r="D1689" s="10" t="s">
        <v>16</v>
      </c>
      <c r="E1689" s="11" t="s">
        <v>30</v>
      </c>
      <c r="F1689" s="11" t="s">
        <v>17</v>
      </c>
      <c r="G1689" s="10" t="s">
        <v>24</v>
      </c>
      <c r="H1689" s="11" t="s">
        <v>23</v>
      </c>
      <c r="I1689" s="11" t="s">
        <v>113</v>
      </c>
      <c r="J1689" s="11"/>
      <c r="K1689" s="11" t="s">
        <v>126</v>
      </c>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4"/>
    </row>
    <row r="1690" spans="1:35" ht="12.5" hidden="1" x14ac:dyDescent="0.25">
      <c r="A1690" s="9">
        <v>289</v>
      </c>
      <c r="B1690" s="10" t="s">
        <v>14</v>
      </c>
      <c r="C1690" s="10" t="s">
        <v>15</v>
      </c>
      <c r="D1690" s="10" t="s">
        <v>16</v>
      </c>
      <c r="E1690" s="11" t="s">
        <v>30</v>
      </c>
      <c r="F1690" s="11" t="s">
        <v>17</v>
      </c>
      <c r="G1690" s="10" t="s">
        <v>24</v>
      </c>
      <c r="H1690" s="11" t="s">
        <v>19</v>
      </c>
      <c r="I1690" s="11" t="s">
        <v>113</v>
      </c>
      <c r="J1690" s="11"/>
      <c r="K1690" s="11" t="s">
        <v>126</v>
      </c>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4"/>
    </row>
    <row r="1691" spans="1:35" ht="12.5" hidden="1" x14ac:dyDescent="0.25">
      <c r="A1691" s="9">
        <v>290</v>
      </c>
      <c r="B1691" s="10" t="s">
        <v>14</v>
      </c>
      <c r="C1691" s="10" t="s">
        <v>15</v>
      </c>
      <c r="D1691" s="10" t="s">
        <v>16</v>
      </c>
      <c r="E1691" s="11" t="s">
        <v>30</v>
      </c>
      <c r="F1691" s="11" t="s">
        <v>17</v>
      </c>
      <c r="G1691" s="10" t="s">
        <v>24</v>
      </c>
      <c r="H1691" s="11" t="s">
        <v>19</v>
      </c>
      <c r="I1691" s="11" t="s">
        <v>113</v>
      </c>
      <c r="J1691" s="11"/>
      <c r="K1691" s="11" t="s">
        <v>126</v>
      </c>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4"/>
    </row>
    <row r="1692" spans="1:35" ht="12.5" hidden="1" x14ac:dyDescent="0.25">
      <c r="A1692" s="9">
        <v>291</v>
      </c>
      <c r="B1692" s="10" t="s">
        <v>14</v>
      </c>
      <c r="C1692" s="10" t="s">
        <v>15</v>
      </c>
      <c r="D1692" s="10" t="s">
        <v>16</v>
      </c>
      <c r="E1692" s="11" t="s">
        <v>30</v>
      </c>
      <c r="F1692" s="11" t="s">
        <v>17</v>
      </c>
      <c r="G1692" s="10" t="s">
        <v>18</v>
      </c>
      <c r="H1692" s="11" t="s">
        <v>19</v>
      </c>
      <c r="I1692" s="11" t="s">
        <v>113</v>
      </c>
      <c r="J1692" s="11"/>
      <c r="K1692" s="11" t="s">
        <v>126</v>
      </c>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4"/>
    </row>
    <row r="1693" spans="1:35" ht="12.5" hidden="1" x14ac:dyDescent="0.25">
      <c r="A1693" s="9">
        <v>292</v>
      </c>
      <c r="B1693" s="10" t="s">
        <v>14</v>
      </c>
      <c r="C1693" s="10" t="s">
        <v>15</v>
      </c>
      <c r="D1693" s="10" t="s">
        <v>16</v>
      </c>
      <c r="E1693" s="11" t="s">
        <v>30</v>
      </c>
      <c r="F1693" s="11" t="s">
        <v>17</v>
      </c>
      <c r="G1693" s="10" t="s">
        <v>18</v>
      </c>
      <c r="H1693" s="11" t="s">
        <v>23</v>
      </c>
      <c r="I1693" s="11" t="s">
        <v>113</v>
      </c>
      <c r="J1693" s="11"/>
      <c r="K1693" s="11" t="s">
        <v>126</v>
      </c>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4"/>
    </row>
    <row r="1694" spans="1:35" ht="12.5" hidden="1" x14ac:dyDescent="0.25">
      <c r="A1694" s="9">
        <v>293</v>
      </c>
      <c r="B1694" s="10" t="s">
        <v>14</v>
      </c>
      <c r="C1694" s="10" t="s">
        <v>15</v>
      </c>
      <c r="D1694" s="10" t="s">
        <v>16</v>
      </c>
      <c r="E1694" s="11" t="s">
        <v>30</v>
      </c>
      <c r="F1694" s="11" t="s">
        <v>17</v>
      </c>
      <c r="G1694" s="10" t="s">
        <v>24</v>
      </c>
      <c r="H1694" s="11" t="s">
        <v>19</v>
      </c>
      <c r="I1694" s="11" t="s">
        <v>113</v>
      </c>
      <c r="J1694" s="11"/>
      <c r="K1694" s="11" t="s">
        <v>126</v>
      </c>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4"/>
    </row>
    <row r="1695" spans="1:35" ht="12.5" hidden="1" x14ac:dyDescent="0.25">
      <c r="A1695" s="9">
        <v>294</v>
      </c>
      <c r="B1695" s="10" t="s">
        <v>14</v>
      </c>
      <c r="C1695" s="10" t="s">
        <v>15</v>
      </c>
      <c r="D1695" s="10" t="s">
        <v>16</v>
      </c>
      <c r="E1695" s="11" t="s">
        <v>30</v>
      </c>
      <c r="F1695" s="11" t="s">
        <v>17</v>
      </c>
      <c r="G1695" s="10" t="s">
        <v>18</v>
      </c>
      <c r="H1695" s="11" t="s">
        <v>19</v>
      </c>
      <c r="I1695" s="11" t="s">
        <v>113</v>
      </c>
      <c r="J1695" s="11"/>
      <c r="K1695" s="11" t="s">
        <v>126</v>
      </c>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4"/>
    </row>
    <row r="1696" spans="1:35" ht="12.5" hidden="1" x14ac:dyDescent="0.25">
      <c r="A1696" s="9">
        <v>295</v>
      </c>
      <c r="B1696" s="10" t="s">
        <v>14</v>
      </c>
      <c r="C1696" s="10" t="s">
        <v>15</v>
      </c>
      <c r="D1696" s="10" t="s">
        <v>16</v>
      </c>
      <c r="E1696" s="11" t="s">
        <v>30</v>
      </c>
      <c r="F1696" s="11" t="s">
        <v>17</v>
      </c>
      <c r="G1696" s="10" t="s">
        <v>24</v>
      </c>
      <c r="H1696" s="11" t="s">
        <v>25</v>
      </c>
      <c r="I1696" s="11" t="s">
        <v>113</v>
      </c>
      <c r="J1696" s="11"/>
      <c r="K1696" s="11" t="s">
        <v>126</v>
      </c>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4"/>
    </row>
    <row r="1697" spans="1:35" ht="12.5" hidden="1" x14ac:dyDescent="0.25">
      <c r="A1697" s="9">
        <v>296</v>
      </c>
      <c r="B1697" s="10" t="s">
        <v>14</v>
      </c>
      <c r="C1697" s="10" t="s">
        <v>15</v>
      </c>
      <c r="D1697" s="10" t="s">
        <v>16</v>
      </c>
      <c r="E1697" s="11" t="s">
        <v>30</v>
      </c>
      <c r="F1697" s="11" t="s">
        <v>17</v>
      </c>
      <c r="G1697" s="10" t="s">
        <v>24</v>
      </c>
      <c r="H1697" s="11" t="s">
        <v>23</v>
      </c>
      <c r="I1697" s="11" t="s">
        <v>113</v>
      </c>
      <c r="J1697" s="11"/>
      <c r="K1697" s="11" t="s">
        <v>126</v>
      </c>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4"/>
    </row>
    <row r="1698" spans="1:35" ht="12.5" hidden="1" x14ac:dyDescent="0.25">
      <c r="A1698" s="9">
        <v>297</v>
      </c>
      <c r="B1698" s="10" t="s">
        <v>14</v>
      </c>
      <c r="C1698" s="10" t="s">
        <v>15</v>
      </c>
      <c r="D1698" s="10" t="s">
        <v>16</v>
      </c>
      <c r="E1698" s="11" t="s">
        <v>30</v>
      </c>
      <c r="F1698" s="11" t="s">
        <v>17</v>
      </c>
      <c r="G1698" s="10" t="s">
        <v>24</v>
      </c>
      <c r="H1698" s="11" t="s">
        <v>23</v>
      </c>
      <c r="I1698" s="11" t="s">
        <v>113</v>
      </c>
      <c r="J1698" s="11"/>
      <c r="K1698" s="11" t="s">
        <v>126</v>
      </c>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4"/>
    </row>
    <row r="1699" spans="1:35" ht="12.5" hidden="1" x14ac:dyDescent="0.25">
      <c r="A1699" s="9">
        <v>298</v>
      </c>
      <c r="B1699" s="10" t="s">
        <v>14</v>
      </c>
      <c r="C1699" s="10" t="s">
        <v>15</v>
      </c>
      <c r="D1699" s="10" t="s">
        <v>16</v>
      </c>
      <c r="E1699" s="11" t="s">
        <v>30</v>
      </c>
      <c r="F1699" s="11" t="s">
        <v>17</v>
      </c>
      <c r="G1699" s="10" t="s">
        <v>24</v>
      </c>
      <c r="H1699" s="11" t="s">
        <v>23</v>
      </c>
      <c r="I1699" s="11" t="s">
        <v>113</v>
      </c>
      <c r="J1699" s="11"/>
      <c r="K1699" s="11" t="s">
        <v>126</v>
      </c>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4"/>
    </row>
    <row r="1700" spans="1:35" ht="12.5" hidden="1" x14ac:dyDescent="0.25">
      <c r="A1700" s="9">
        <v>299</v>
      </c>
      <c r="B1700" s="10" t="s">
        <v>14</v>
      </c>
      <c r="C1700" s="10" t="s">
        <v>15</v>
      </c>
      <c r="D1700" s="10" t="s">
        <v>16</v>
      </c>
      <c r="E1700" s="11" t="s">
        <v>30</v>
      </c>
      <c r="F1700" s="11" t="s">
        <v>17</v>
      </c>
      <c r="G1700" s="10" t="s">
        <v>24</v>
      </c>
      <c r="H1700" s="11" t="s">
        <v>23</v>
      </c>
      <c r="I1700" s="11" t="s">
        <v>113</v>
      </c>
      <c r="J1700" s="11"/>
      <c r="K1700" s="11" t="s">
        <v>126</v>
      </c>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4"/>
    </row>
    <row r="1701" spans="1:35" ht="12.5" hidden="1" x14ac:dyDescent="0.25">
      <c r="A1701" s="9">
        <v>300</v>
      </c>
      <c r="B1701" s="10" t="s">
        <v>14</v>
      </c>
      <c r="C1701" s="10" t="s">
        <v>15</v>
      </c>
      <c r="D1701" s="10" t="s">
        <v>16</v>
      </c>
      <c r="E1701" s="11" t="s">
        <v>30</v>
      </c>
      <c r="F1701" s="11" t="s">
        <v>17</v>
      </c>
      <c r="G1701" s="10" t="s">
        <v>24</v>
      </c>
      <c r="H1701" s="11" t="s">
        <v>19</v>
      </c>
      <c r="I1701" s="11" t="s">
        <v>113</v>
      </c>
      <c r="J1701" s="11"/>
      <c r="K1701" s="11" t="s">
        <v>126</v>
      </c>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4"/>
    </row>
    <row r="1702" spans="1:35" ht="12.5" hidden="1" x14ac:dyDescent="0.25">
      <c r="A1702" s="9">
        <v>301</v>
      </c>
      <c r="B1702" s="10" t="s">
        <v>14</v>
      </c>
      <c r="C1702" s="10" t="s">
        <v>15</v>
      </c>
      <c r="D1702" s="10" t="s">
        <v>16</v>
      </c>
      <c r="E1702" s="11" t="s">
        <v>30</v>
      </c>
      <c r="F1702" s="11" t="s">
        <v>17</v>
      </c>
      <c r="G1702" s="10" t="s">
        <v>24</v>
      </c>
      <c r="H1702" s="11" t="s">
        <v>19</v>
      </c>
      <c r="I1702" s="11" t="s">
        <v>113</v>
      </c>
      <c r="J1702" s="11"/>
      <c r="K1702" s="11" t="s">
        <v>126</v>
      </c>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4"/>
    </row>
    <row r="1703" spans="1:35" ht="12.5" hidden="1" x14ac:dyDescent="0.25">
      <c r="A1703" s="9">
        <v>302</v>
      </c>
      <c r="B1703" s="10" t="s">
        <v>14</v>
      </c>
      <c r="C1703" s="10" t="s">
        <v>15</v>
      </c>
      <c r="D1703" s="10" t="s">
        <v>16</v>
      </c>
      <c r="E1703" s="11" t="s">
        <v>30</v>
      </c>
      <c r="F1703" s="11" t="s">
        <v>17</v>
      </c>
      <c r="G1703" s="10" t="s">
        <v>24</v>
      </c>
      <c r="H1703" s="11" t="s">
        <v>23</v>
      </c>
      <c r="I1703" s="11" t="s">
        <v>113</v>
      </c>
      <c r="J1703" s="11"/>
      <c r="K1703" s="11" t="s">
        <v>126</v>
      </c>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4"/>
    </row>
    <row r="1704" spans="1:35" ht="12.5" hidden="1" x14ac:dyDescent="0.25">
      <c r="A1704" s="9">
        <v>303</v>
      </c>
      <c r="B1704" s="10" t="s">
        <v>14</v>
      </c>
      <c r="C1704" s="10" t="s">
        <v>15</v>
      </c>
      <c r="D1704" s="10" t="s">
        <v>16</v>
      </c>
      <c r="E1704" s="11" t="s">
        <v>30</v>
      </c>
      <c r="F1704" s="11" t="s">
        <v>17</v>
      </c>
      <c r="G1704" s="10" t="s">
        <v>24</v>
      </c>
      <c r="H1704" s="11" t="s">
        <v>19</v>
      </c>
      <c r="I1704" s="11" t="s">
        <v>113</v>
      </c>
      <c r="J1704" s="11"/>
      <c r="K1704" s="11" t="s">
        <v>126</v>
      </c>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4"/>
    </row>
    <row r="1705" spans="1:35" ht="12.5" hidden="1" x14ac:dyDescent="0.25">
      <c r="A1705" s="9">
        <v>304</v>
      </c>
      <c r="B1705" s="10" t="s">
        <v>14</v>
      </c>
      <c r="C1705" s="10" t="s">
        <v>15</v>
      </c>
      <c r="D1705" s="10" t="s">
        <v>16</v>
      </c>
      <c r="E1705" s="11" t="s">
        <v>30</v>
      </c>
      <c r="F1705" s="11" t="s">
        <v>17</v>
      </c>
      <c r="G1705" s="10" t="s">
        <v>18</v>
      </c>
      <c r="H1705" s="11" t="s">
        <v>23</v>
      </c>
      <c r="I1705" s="11" t="s">
        <v>113</v>
      </c>
      <c r="J1705" s="11"/>
      <c r="K1705" s="11" t="s">
        <v>126</v>
      </c>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4"/>
    </row>
    <row r="1706" spans="1:35" ht="12.5" hidden="1" x14ac:dyDescent="0.25">
      <c r="A1706" s="9">
        <v>305</v>
      </c>
      <c r="B1706" s="10" t="s">
        <v>14</v>
      </c>
      <c r="C1706" s="10" t="s">
        <v>15</v>
      </c>
      <c r="D1706" s="10" t="s">
        <v>16</v>
      </c>
      <c r="E1706" s="11" t="s">
        <v>30</v>
      </c>
      <c r="F1706" s="11" t="s">
        <v>17</v>
      </c>
      <c r="G1706" s="10" t="s">
        <v>18</v>
      </c>
      <c r="H1706" s="11" t="s">
        <v>25</v>
      </c>
      <c r="I1706" s="11" t="s">
        <v>113</v>
      </c>
      <c r="J1706" s="11"/>
      <c r="K1706" s="11" t="s">
        <v>126</v>
      </c>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4"/>
    </row>
    <row r="1707" spans="1:35" ht="12.5" hidden="1" x14ac:dyDescent="0.25">
      <c r="A1707" s="9">
        <v>306</v>
      </c>
      <c r="B1707" s="10" t="s">
        <v>14</v>
      </c>
      <c r="C1707" s="10" t="s">
        <v>15</v>
      </c>
      <c r="D1707" s="10" t="s">
        <v>16</v>
      </c>
      <c r="E1707" s="11" t="s">
        <v>30</v>
      </c>
      <c r="F1707" s="11" t="s">
        <v>17</v>
      </c>
      <c r="G1707" s="10" t="s">
        <v>24</v>
      </c>
      <c r="H1707" s="11" t="s">
        <v>23</v>
      </c>
      <c r="I1707" s="11" t="s">
        <v>113</v>
      </c>
      <c r="J1707" s="11"/>
      <c r="K1707" s="11" t="s">
        <v>126</v>
      </c>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4"/>
    </row>
    <row r="1708" spans="1:35" ht="12.5" hidden="1" x14ac:dyDescent="0.25">
      <c r="A1708" s="9">
        <v>307</v>
      </c>
      <c r="B1708" s="10" t="s">
        <v>14</v>
      </c>
      <c r="C1708" s="10" t="s">
        <v>15</v>
      </c>
      <c r="D1708" s="10" t="s">
        <v>16</v>
      </c>
      <c r="E1708" s="11" t="s">
        <v>30</v>
      </c>
      <c r="F1708" s="11" t="s">
        <v>17</v>
      </c>
      <c r="G1708" s="10" t="s">
        <v>24</v>
      </c>
      <c r="H1708" s="11" t="s">
        <v>19</v>
      </c>
      <c r="I1708" s="11" t="s">
        <v>113</v>
      </c>
      <c r="J1708" s="11"/>
      <c r="K1708" s="11" t="s">
        <v>126</v>
      </c>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4"/>
    </row>
    <row r="1709" spans="1:35" ht="12.5" hidden="1" x14ac:dyDescent="0.25">
      <c r="A1709" s="9">
        <v>308</v>
      </c>
      <c r="B1709" s="10" t="s">
        <v>14</v>
      </c>
      <c r="C1709" s="10" t="s">
        <v>15</v>
      </c>
      <c r="D1709" s="10" t="s">
        <v>16</v>
      </c>
      <c r="E1709" s="11" t="s">
        <v>30</v>
      </c>
      <c r="F1709" s="11" t="s">
        <v>17</v>
      </c>
      <c r="G1709" s="10" t="s">
        <v>24</v>
      </c>
      <c r="H1709" s="11" t="s">
        <v>23</v>
      </c>
      <c r="I1709" s="11" t="s">
        <v>113</v>
      </c>
      <c r="J1709" s="11"/>
      <c r="K1709" s="11" t="s">
        <v>126</v>
      </c>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4"/>
    </row>
    <row r="1710" spans="1:35" ht="12.5" hidden="1" x14ac:dyDescent="0.25">
      <c r="A1710" s="9">
        <v>309</v>
      </c>
      <c r="B1710" s="10" t="s">
        <v>14</v>
      </c>
      <c r="C1710" s="10" t="s">
        <v>15</v>
      </c>
      <c r="D1710" s="10" t="s">
        <v>16</v>
      </c>
      <c r="E1710" s="11" t="s">
        <v>30</v>
      </c>
      <c r="F1710" s="11" t="s">
        <v>17</v>
      </c>
      <c r="G1710" s="10" t="s">
        <v>24</v>
      </c>
      <c r="H1710" s="11" t="s">
        <v>19</v>
      </c>
      <c r="I1710" s="11" t="s">
        <v>113</v>
      </c>
      <c r="J1710" s="11"/>
      <c r="K1710" s="11" t="s">
        <v>126</v>
      </c>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4"/>
    </row>
    <row r="1711" spans="1:35" ht="12.5" hidden="1" x14ac:dyDescent="0.25">
      <c r="A1711" s="9">
        <v>310</v>
      </c>
      <c r="B1711" s="10" t="s">
        <v>14</v>
      </c>
      <c r="C1711" s="10" t="s">
        <v>15</v>
      </c>
      <c r="D1711" s="10" t="s">
        <v>16</v>
      </c>
      <c r="E1711" s="11" t="s">
        <v>30</v>
      </c>
      <c r="F1711" s="11" t="s">
        <v>17</v>
      </c>
      <c r="G1711" s="10" t="s">
        <v>24</v>
      </c>
      <c r="H1711" s="11" t="s">
        <v>23</v>
      </c>
      <c r="I1711" s="11" t="s">
        <v>113</v>
      </c>
      <c r="J1711" s="11"/>
      <c r="K1711" s="11" t="s">
        <v>126</v>
      </c>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4"/>
    </row>
    <row r="1712" spans="1:35" ht="12.5" hidden="1" x14ac:dyDescent="0.25">
      <c r="A1712" s="9">
        <v>311</v>
      </c>
      <c r="B1712" s="10" t="s">
        <v>14</v>
      </c>
      <c r="C1712" s="10" t="s">
        <v>15</v>
      </c>
      <c r="D1712" s="10" t="s">
        <v>16</v>
      </c>
      <c r="E1712" s="11" t="s">
        <v>30</v>
      </c>
      <c r="F1712" s="11" t="s">
        <v>17</v>
      </c>
      <c r="G1712" s="10" t="s">
        <v>18</v>
      </c>
      <c r="H1712" s="11" t="s">
        <v>19</v>
      </c>
      <c r="I1712" s="11" t="s">
        <v>113</v>
      </c>
      <c r="J1712" s="11"/>
      <c r="K1712" s="11" t="s">
        <v>126</v>
      </c>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4"/>
    </row>
    <row r="1713" spans="1:35" ht="12.5" hidden="1" x14ac:dyDescent="0.25">
      <c r="A1713" s="9">
        <v>312</v>
      </c>
      <c r="B1713" s="10" t="s">
        <v>14</v>
      </c>
      <c r="C1713" s="10" t="s">
        <v>15</v>
      </c>
      <c r="D1713" s="10" t="s">
        <v>16</v>
      </c>
      <c r="E1713" s="11" t="s">
        <v>30</v>
      </c>
      <c r="F1713" s="11" t="s">
        <v>17</v>
      </c>
      <c r="G1713" s="10" t="s">
        <v>24</v>
      </c>
      <c r="H1713" s="11" t="s">
        <v>25</v>
      </c>
      <c r="I1713" s="11" t="s">
        <v>113</v>
      </c>
      <c r="J1713" s="11"/>
      <c r="K1713" s="11" t="s">
        <v>126</v>
      </c>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4"/>
    </row>
    <row r="1714" spans="1:35" ht="12.5" hidden="1" x14ac:dyDescent="0.25">
      <c r="A1714" s="9">
        <v>313</v>
      </c>
      <c r="B1714" s="10" t="s">
        <v>14</v>
      </c>
      <c r="C1714" s="10" t="s">
        <v>15</v>
      </c>
      <c r="D1714" s="10" t="s">
        <v>16</v>
      </c>
      <c r="E1714" s="11" t="s">
        <v>30</v>
      </c>
      <c r="F1714" s="11" t="s">
        <v>17</v>
      </c>
      <c r="G1714" s="10" t="s">
        <v>18</v>
      </c>
      <c r="H1714" s="11" t="s">
        <v>23</v>
      </c>
      <c r="I1714" s="11" t="s">
        <v>113</v>
      </c>
      <c r="J1714" s="11"/>
      <c r="K1714" s="11" t="s">
        <v>126</v>
      </c>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4"/>
    </row>
    <row r="1715" spans="1:35" ht="12.5" hidden="1" x14ac:dyDescent="0.25">
      <c r="A1715" s="9">
        <v>314</v>
      </c>
      <c r="B1715" s="10" t="s">
        <v>14</v>
      </c>
      <c r="C1715" s="10" t="s">
        <v>15</v>
      </c>
      <c r="D1715" s="10" t="s">
        <v>16</v>
      </c>
      <c r="E1715" s="11" t="s">
        <v>30</v>
      </c>
      <c r="F1715" s="11" t="s">
        <v>17</v>
      </c>
      <c r="G1715" s="10" t="s">
        <v>24</v>
      </c>
      <c r="H1715" s="11" t="s">
        <v>19</v>
      </c>
      <c r="I1715" s="11" t="s">
        <v>113</v>
      </c>
      <c r="J1715" s="11"/>
      <c r="K1715" s="11" t="s">
        <v>126</v>
      </c>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4"/>
    </row>
    <row r="1716" spans="1:35" ht="12.5" hidden="1" x14ac:dyDescent="0.25">
      <c r="A1716" s="9">
        <v>315</v>
      </c>
      <c r="B1716" s="10" t="s">
        <v>14</v>
      </c>
      <c r="C1716" s="10" t="s">
        <v>15</v>
      </c>
      <c r="D1716" s="10" t="s">
        <v>16</v>
      </c>
      <c r="E1716" s="11" t="s">
        <v>30</v>
      </c>
      <c r="F1716" s="11" t="s">
        <v>17</v>
      </c>
      <c r="G1716" s="10" t="s">
        <v>18</v>
      </c>
      <c r="H1716" s="11" t="s">
        <v>19</v>
      </c>
      <c r="I1716" s="11" t="s">
        <v>113</v>
      </c>
      <c r="J1716" s="11"/>
      <c r="K1716" s="11" t="s">
        <v>126</v>
      </c>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4"/>
    </row>
    <row r="1717" spans="1:35" ht="12.5" hidden="1" x14ac:dyDescent="0.25">
      <c r="A1717" s="9">
        <v>316</v>
      </c>
      <c r="B1717" s="10" t="s">
        <v>14</v>
      </c>
      <c r="C1717" s="10" t="s">
        <v>15</v>
      </c>
      <c r="D1717" s="10" t="s">
        <v>16</v>
      </c>
      <c r="E1717" s="11" t="s">
        <v>30</v>
      </c>
      <c r="F1717" s="11" t="s">
        <v>17</v>
      </c>
      <c r="G1717" s="10" t="s">
        <v>18</v>
      </c>
      <c r="H1717" s="11" t="s">
        <v>19</v>
      </c>
      <c r="I1717" s="11" t="s">
        <v>113</v>
      </c>
      <c r="J1717" s="11"/>
      <c r="K1717" s="11" t="s">
        <v>126</v>
      </c>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4"/>
    </row>
    <row r="1718" spans="1:35" ht="12.5" hidden="1" x14ac:dyDescent="0.25">
      <c r="A1718" s="9">
        <v>317</v>
      </c>
      <c r="B1718" s="10" t="s">
        <v>14</v>
      </c>
      <c r="C1718" s="10" t="s">
        <v>15</v>
      </c>
      <c r="D1718" s="10" t="s">
        <v>16</v>
      </c>
      <c r="E1718" s="11" t="s">
        <v>30</v>
      </c>
      <c r="F1718" s="11" t="s">
        <v>17</v>
      </c>
      <c r="G1718" s="10" t="s">
        <v>24</v>
      </c>
      <c r="H1718" s="11" t="s">
        <v>19</v>
      </c>
      <c r="I1718" s="11" t="s">
        <v>113</v>
      </c>
      <c r="J1718" s="11"/>
      <c r="K1718" s="11" t="s">
        <v>126</v>
      </c>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4"/>
    </row>
    <row r="1719" spans="1:35" ht="12.5" hidden="1" x14ac:dyDescent="0.25">
      <c r="A1719" s="9">
        <v>318</v>
      </c>
      <c r="B1719" s="10" t="s">
        <v>14</v>
      </c>
      <c r="C1719" s="10" t="s">
        <v>15</v>
      </c>
      <c r="D1719" s="10" t="s">
        <v>16</v>
      </c>
      <c r="E1719" s="11" t="s">
        <v>30</v>
      </c>
      <c r="F1719" s="11" t="s">
        <v>17</v>
      </c>
      <c r="G1719" s="10" t="s">
        <v>18</v>
      </c>
      <c r="H1719" s="11" t="s">
        <v>23</v>
      </c>
      <c r="I1719" s="11" t="s">
        <v>113</v>
      </c>
      <c r="J1719" s="11"/>
      <c r="K1719" s="11" t="s">
        <v>126</v>
      </c>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4"/>
    </row>
    <row r="1720" spans="1:35" ht="12.5" hidden="1" x14ac:dyDescent="0.25">
      <c r="A1720" s="9">
        <v>319</v>
      </c>
      <c r="B1720" s="10" t="s">
        <v>14</v>
      </c>
      <c r="C1720" s="10" t="s">
        <v>15</v>
      </c>
      <c r="D1720" s="10" t="s">
        <v>16</v>
      </c>
      <c r="E1720" s="11" t="s">
        <v>30</v>
      </c>
      <c r="F1720" s="11" t="s">
        <v>17</v>
      </c>
      <c r="G1720" s="10" t="s">
        <v>24</v>
      </c>
      <c r="H1720" s="11" t="s">
        <v>19</v>
      </c>
      <c r="I1720" s="11" t="s">
        <v>113</v>
      </c>
      <c r="J1720" s="11"/>
      <c r="K1720" s="11" t="s">
        <v>126</v>
      </c>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4"/>
    </row>
    <row r="1721" spans="1:35" ht="12.5" hidden="1" x14ac:dyDescent="0.25">
      <c r="A1721" s="9">
        <v>320</v>
      </c>
      <c r="B1721" s="10" t="s">
        <v>14</v>
      </c>
      <c r="C1721" s="10" t="s">
        <v>15</v>
      </c>
      <c r="D1721" s="10" t="s">
        <v>16</v>
      </c>
      <c r="E1721" s="11" t="s">
        <v>30</v>
      </c>
      <c r="F1721" s="11" t="s">
        <v>17</v>
      </c>
      <c r="G1721" s="10" t="s">
        <v>18</v>
      </c>
      <c r="H1721" s="11" t="s">
        <v>19</v>
      </c>
      <c r="I1721" s="11" t="s">
        <v>113</v>
      </c>
      <c r="J1721" s="11"/>
      <c r="K1721" s="11" t="s">
        <v>126</v>
      </c>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4"/>
    </row>
    <row r="1722" spans="1:35" ht="12.5" hidden="1" x14ac:dyDescent="0.25">
      <c r="A1722" s="9">
        <v>321</v>
      </c>
      <c r="B1722" s="10" t="s">
        <v>14</v>
      </c>
      <c r="C1722" s="10" t="s">
        <v>15</v>
      </c>
      <c r="D1722" s="10" t="s">
        <v>16</v>
      </c>
      <c r="E1722" s="11" t="s">
        <v>30</v>
      </c>
      <c r="F1722" s="11" t="s">
        <v>17</v>
      </c>
      <c r="G1722" s="10" t="s">
        <v>24</v>
      </c>
      <c r="H1722" s="11" t="s">
        <v>23</v>
      </c>
      <c r="I1722" s="11" t="s">
        <v>113</v>
      </c>
      <c r="J1722" s="11"/>
      <c r="K1722" s="11" t="s">
        <v>126</v>
      </c>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4"/>
    </row>
    <row r="1723" spans="1:35" ht="12.5" hidden="1" x14ac:dyDescent="0.25">
      <c r="A1723" s="9">
        <v>322</v>
      </c>
      <c r="B1723" s="10" t="s">
        <v>14</v>
      </c>
      <c r="C1723" s="10" t="s">
        <v>15</v>
      </c>
      <c r="D1723" s="10" t="s">
        <v>16</v>
      </c>
      <c r="E1723" s="11" t="s">
        <v>30</v>
      </c>
      <c r="F1723" s="11" t="s">
        <v>17</v>
      </c>
      <c r="G1723" s="10" t="s">
        <v>18</v>
      </c>
      <c r="H1723" s="11" t="s">
        <v>19</v>
      </c>
      <c r="I1723" s="11" t="s">
        <v>113</v>
      </c>
      <c r="J1723" s="11"/>
      <c r="K1723" s="11" t="s">
        <v>126</v>
      </c>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4"/>
    </row>
    <row r="1724" spans="1:35" ht="12.5" hidden="1" x14ac:dyDescent="0.25">
      <c r="A1724" s="9">
        <v>323</v>
      </c>
      <c r="B1724" s="10" t="s">
        <v>14</v>
      </c>
      <c r="C1724" s="10" t="s">
        <v>15</v>
      </c>
      <c r="D1724" s="10" t="s">
        <v>16</v>
      </c>
      <c r="E1724" s="11" t="s">
        <v>30</v>
      </c>
      <c r="F1724" s="11" t="s">
        <v>17</v>
      </c>
      <c r="G1724" s="10" t="s">
        <v>18</v>
      </c>
      <c r="H1724" s="11" t="s">
        <v>19</v>
      </c>
      <c r="I1724" s="11" t="s">
        <v>113</v>
      </c>
      <c r="J1724" s="11"/>
      <c r="K1724" s="11" t="s">
        <v>126</v>
      </c>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4"/>
    </row>
    <row r="1725" spans="1:35" ht="12.5" hidden="1" x14ac:dyDescent="0.25">
      <c r="A1725" s="9">
        <v>324</v>
      </c>
      <c r="B1725" s="10" t="s">
        <v>14</v>
      </c>
      <c r="C1725" s="10" t="s">
        <v>15</v>
      </c>
      <c r="D1725" s="10" t="s">
        <v>16</v>
      </c>
      <c r="E1725" s="11" t="s">
        <v>30</v>
      </c>
      <c r="F1725" s="11" t="s">
        <v>17</v>
      </c>
      <c r="G1725" s="10" t="s">
        <v>18</v>
      </c>
      <c r="H1725" s="11" t="s">
        <v>25</v>
      </c>
      <c r="I1725" s="11" t="s">
        <v>113</v>
      </c>
      <c r="J1725" s="11"/>
      <c r="K1725" s="11" t="s">
        <v>126</v>
      </c>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4"/>
    </row>
    <row r="1726" spans="1:35" ht="12.5" hidden="1" x14ac:dyDescent="0.25">
      <c r="A1726" s="9">
        <v>325</v>
      </c>
      <c r="B1726" s="10" t="s">
        <v>14</v>
      </c>
      <c r="C1726" s="10" t="s">
        <v>15</v>
      </c>
      <c r="D1726" s="10" t="s">
        <v>16</v>
      </c>
      <c r="E1726" s="11" t="s">
        <v>30</v>
      </c>
      <c r="F1726" s="11" t="s">
        <v>17</v>
      </c>
      <c r="G1726" s="10" t="s">
        <v>24</v>
      </c>
      <c r="H1726" s="11" t="s">
        <v>19</v>
      </c>
      <c r="I1726" s="11" t="s">
        <v>113</v>
      </c>
      <c r="J1726" s="11"/>
      <c r="K1726" s="11" t="s">
        <v>126</v>
      </c>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4"/>
    </row>
    <row r="1727" spans="1:35" ht="12.5" hidden="1" x14ac:dyDescent="0.25">
      <c r="A1727" s="9">
        <v>326</v>
      </c>
      <c r="B1727" s="10" t="s">
        <v>14</v>
      </c>
      <c r="C1727" s="10" t="s">
        <v>15</v>
      </c>
      <c r="D1727" s="10" t="s">
        <v>16</v>
      </c>
      <c r="E1727" s="11" t="s">
        <v>30</v>
      </c>
      <c r="F1727" s="11" t="s">
        <v>17</v>
      </c>
      <c r="G1727" s="10" t="s">
        <v>24</v>
      </c>
      <c r="H1727" s="11" t="s">
        <v>19</v>
      </c>
      <c r="I1727" s="11" t="s">
        <v>113</v>
      </c>
      <c r="J1727" s="11"/>
      <c r="K1727" s="11" t="s">
        <v>126</v>
      </c>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4"/>
    </row>
    <row r="1728" spans="1:35" ht="12.5" hidden="1" x14ac:dyDescent="0.25">
      <c r="A1728" s="9">
        <v>327</v>
      </c>
      <c r="B1728" s="10" t="s">
        <v>14</v>
      </c>
      <c r="C1728" s="10" t="s">
        <v>15</v>
      </c>
      <c r="D1728" s="10" t="s">
        <v>16</v>
      </c>
      <c r="E1728" s="11" t="s">
        <v>30</v>
      </c>
      <c r="F1728" s="11" t="s">
        <v>17</v>
      </c>
      <c r="G1728" s="10" t="s">
        <v>24</v>
      </c>
      <c r="H1728" s="11" t="s">
        <v>19</v>
      </c>
      <c r="I1728" s="11" t="s">
        <v>113</v>
      </c>
      <c r="J1728" s="11"/>
      <c r="K1728" s="11" t="s">
        <v>126</v>
      </c>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4"/>
    </row>
    <row r="1729" spans="1:35" ht="12.5" hidden="1" x14ac:dyDescent="0.25">
      <c r="A1729" s="9">
        <v>328</v>
      </c>
      <c r="B1729" s="10" t="s">
        <v>14</v>
      </c>
      <c r="C1729" s="10" t="s">
        <v>15</v>
      </c>
      <c r="D1729" s="10" t="s">
        <v>16</v>
      </c>
      <c r="E1729" s="11" t="s">
        <v>30</v>
      </c>
      <c r="F1729" s="11" t="s">
        <v>17</v>
      </c>
      <c r="G1729" s="10" t="s">
        <v>18</v>
      </c>
      <c r="H1729" s="11" t="s">
        <v>25</v>
      </c>
      <c r="I1729" s="11" t="s">
        <v>113</v>
      </c>
      <c r="J1729" s="11"/>
      <c r="K1729" s="11" t="s">
        <v>126</v>
      </c>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4"/>
    </row>
    <row r="1730" spans="1:35" ht="12.5" hidden="1" x14ac:dyDescent="0.25">
      <c r="A1730" s="9">
        <v>329</v>
      </c>
      <c r="B1730" s="10" t="s">
        <v>14</v>
      </c>
      <c r="C1730" s="10" t="s">
        <v>15</v>
      </c>
      <c r="D1730" s="10" t="s">
        <v>16</v>
      </c>
      <c r="E1730" s="11" t="s">
        <v>30</v>
      </c>
      <c r="F1730" s="11" t="s">
        <v>17</v>
      </c>
      <c r="G1730" s="10" t="s">
        <v>18</v>
      </c>
      <c r="H1730" s="11" t="s">
        <v>19</v>
      </c>
      <c r="I1730" s="11" t="s">
        <v>113</v>
      </c>
      <c r="J1730" s="11"/>
      <c r="K1730" s="11" t="s">
        <v>126</v>
      </c>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4"/>
    </row>
    <row r="1731" spans="1:35" ht="12.5" hidden="1" x14ac:dyDescent="0.25">
      <c r="A1731" s="9">
        <v>330</v>
      </c>
      <c r="B1731" s="10" t="s">
        <v>14</v>
      </c>
      <c r="C1731" s="10" t="s">
        <v>15</v>
      </c>
      <c r="D1731" s="10" t="s">
        <v>16</v>
      </c>
      <c r="E1731" s="11" t="s">
        <v>30</v>
      </c>
      <c r="F1731" s="11" t="s">
        <v>17</v>
      </c>
      <c r="G1731" s="10" t="s">
        <v>18</v>
      </c>
      <c r="H1731" s="11" t="s">
        <v>19</v>
      </c>
      <c r="I1731" s="11" t="s">
        <v>113</v>
      </c>
      <c r="J1731" s="11"/>
      <c r="K1731" s="11" t="s">
        <v>126</v>
      </c>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4"/>
    </row>
    <row r="1732" spans="1:35" ht="12.5" hidden="1" x14ac:dyDescent="0.25">
      <c r="A1732" s="9">
        <v>331</v>
      </c>
      <c r="B1732" s="10" t="s">
        <v>14</v>
      </c>
      <c r="C1732" s="10" t="s">
        <v>15</v>
      </c>
      <c r="D1732" s="10" t="s">
        <v>16</v>
      </c>
      <c r="E1732" s="11" t="s">
        <v>30</v>
      </c>
      <c r="F1732" s="11" t="s">
        <v>17</v>
      </c>
      <c r="G1732" s="10" t="s">
        <v>18</v>
      </c>
      <c r="H1732" s="11" t="s">
        <v>19</v>
      </c>
      <c r="I1732" s="11" t="s">
        <v>113</v>
      </c>
      <c r="J1732" s="11"/>
      <c r="K1732" s="11" t="s">
        <v>126</v>
      </c>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4"/>
    </row>
    <row r="1733" spans="1:35" ht="12.5" hidden="1" x14ac:dyDescent="0.25">
      <c r="A1733" s="9">
        <v>332</v>
      </c>
      <c r="B1733" s="10" t="s">
        <v>14</v>
      </c>
      <c r="C1733" s="10" t="s">
        <v>15</v>
      </c>
      <c r="D1733" s="10" t="s">
        <v>16</v>
      </c>
      <c r="E1733" s="11" t="s">
        <v>30</v>
      </c>
      <c r="F1733" s="11" t="s">
        <v>17</v>
      </c>
      <c r="G1733" s="10" t="s">
        <v>18</v>
      </c>
      <c r="H1733" s="11" t="s">
        <v>19</v>
      </c>
      <c r="I1733" s="11" t="s">
        <v>113</v>
      </c>
      <c r="J1733" s="11"/>
      <c r="K1733" s="11" t="s">
        <v>126</v>
      </c>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4"/>
    </row>
    <row r="1734" spans="1:35" ht="12.5" hidden="1" x14ac:dyDescent="0.25">
      <c r="A1734" s="9">
        <v>333</v>
      </c>
      <c r="B1734" s="10" t="s">
        <v>14</v>
      </c>
      <c r="C1734" s="10" t="s">
        <v>15</v>
      </c>
      <c r="D1734" s="10" t="s">
        <v>16</v>
      </c>
      <c r="E1734" s="11" t="s">
        <v>30</v>
      </c>
      <c r="F1734" s="11" t="s">
        <v>17</v>
      </c>
      <c r="G1734" s="10" t="s">
        <v>18</v>
      </c>
      <c r="H1734" s="11" t="s">
        <v>19</v>
      </c>
      <c r="I1734" s="11" t="s">
        <v>113</v>
      </c>
      <c r="J1734" s="11"/>
      <c r="K1734" s="11" t="s">
        <v>126</v>
      </c>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4"/>
    </row>
    <row r="1735" spans="1:35" ht="12.5" hidden="1" x14ac:dyDescent="0.25">
      <c r="A1735" s="9">
        <v>334</v>
      </c>
      <c r="B1735" s="10" t="s">
        <v>14</v>
      </c>
      <c r="C1735" s="10" t="s">
        <v>15</v>
      </c>
      <c r="D1735" s="10" t="s">
        <v>16</v>
      </c>
      <c r="E1735" s="11" t="s">
        <v>30</v>
      </c>
      <c r="F1735" s="11" t="s">
        <v>17</v>
      </c>
      <c r="G1735" s="10" t="s">
        <v>24</v>
      </c>
      <c r="H1735" s="11" t="s">
        <v>19</v>
      </c>
      <c r="I1735" s="11" t="s">
        <v>113</v>
      </c>
      <c r="J1735" s="11"/>
      <c r="K1735" s="11" t="s">
        <v>126</v>
      </c>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4"/>
    </row>
    <row r="1736" spans="1:35" ht="12.5" hidden="1" x14ac:dyDescent="0.25">
      <c r="A1736" s="9">
        <v>335</v>
      </c>
      <c r="B1736" s="10" t="s">
        <v>14</v>
      </c>
      <c r="C1736" s="10" t="s">
        <v>15</v>
      </c>
      <c r="D1736" s="10" t="s">
        <v>16</v>
      </c>
      <c r="E1736" s="11" t="s">
        <v>30</v>
      </c>
      <c r="F1736" s="11" t="s">
        <v>17</v>
      </c>
      <c r="G1736" s="10" t="s">
        <v>24</v>
      </c>
      <c r="H1736" s="11" t="s">
        <v>25</v>
      </c>
      <c r="I1736" s="11" t="s">
        <v>113</v>
      </c>
      <c r="J1736" s="11"/>
      <c r="K1736" s="11" t="s">
        <v>126</v>
      </c>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4"/>
    </row>
    <row r="1737" spans="1:35" ht="12.5" hidden="1" x14ac:dyDescent="0.25">
      <c r="A1737" s="9">
        <v>336</v>
      </c>
      <c r="B1737" s="10" t="s">
        <v>14</v>
      </c>
      <c r="C1737" s="10" t="s">
        <v>15</v>
      </c>
      <c r="D1737" s="10" t="s">
        <v>16</v>
      </c>
      <c r="E1737" s="11" t="s">
        <v>30</v>
      </c>
      <c r="F1737" s="11" t="s">
        <v>17</v>
      </c>
      <c r="G1737" s="10" t="s">
        <v>24</v>
      </c>
      <c r="H1737" s="11" t="s">
        <v>19</v>
      </c>
      <c r="I1737" s="11" t="s">
        <v>113</v>
      </c>
      <c r="J1737" s="11"/>
      <c r="K1737" s="11" t="s">
        <v>126</v>
      </c>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4"/>
    </row>
    <row r="1738" spans="1:35" ht="12.5" hidden="1" x14ac:dyDescent="0.25">
      <c r="A1738" s="9">
        <v>337</v>
      </c>
      <c r="B1738" s="10" t="s">
        <v>14</v>
      </c>
      <c r="C1738" s="10" t="s">
        <v>15</v>
      </c>
      <c r="D1738" s="10" t="s">
        <v>16</v>
      </c>
      <c r="E1738" s="11" t="s">
        <v>30</v>
      </c>
      <c r="F1738" s="11" t="s">
        <v>17</v>
      </c>
      <c r="G1738" s="10" t="s">
        <v>18</v>
      </c>
      <c r="H1738" s="11" t="s">
        <v>19</v>
      </c>
      <c r="I1738" s="11" t="s">
        <v>113</v>
      </c>
      <c r="J1738" s="11"/>
      <c r="K1738" s="11" t="s">
        <v>126</v>
      </c>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4"/>
    </row>
    <row r="1739" spans="1:35" ht="12.5" hidden="1" x14ac:dyDescent="0.25">
      <c r="A1739" s="9">
        <v>338</v>
      </c>
      <c r="B1739" s="10" t="s">
        <v>14</v>
      </c>
      <c r="C1739" s="10" t="s">
        <v>15</v>
      </c>
      <c r="D1739" s="10" t="s">
        <v>16</v>
      </c>
      <c r="E1739" s="11" t="s">
        <v>30</v>
      </c>
      <c r="F1739" s="11" t="s">
        <v>17</v>
      </c>
      <c r="G1739" s="10" t="s">
        <v>18</v>
      </c>
      <c r="H1739" s="11" t="s">
        <v>19</v>
      </c>
      <c r="I1739" s="11" t="s">
        <v>113</v>
      </c>
      <c r="J1739" s="11"/>
      <c r="K1739" s="11" t="s">
        <v>126</v>
      </c>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4"/>
    </row>
    <row r="1740" spans="1:35" ht="12.5" hidden="1" x14ac:dyDescent="0.25">
      <c r="A1740" s="9">
        <v>339</v>
      </c>
      <c r="B1740" s="10" t="s">
        <v>14</v>
      </c>
      <c r="C1740" s="10" t="s">
        <v>15</v>
      </c>
      <c r="D1740" s="10" t="s">
        <v>16</v>
      </c>
      <c r="E1740" s="11" t="s">
        <v>30</v>
      </c>
      <c r="F1740" s="11" t="s">
        <v>17</v>
      </c>
      <c r="G1740" s="10" t="s">
        <v>18</v>
      </c>
      <c r="H1740" s="11" t="s">
        <v>19</v>
      </c>
      <c r="I1740" s="11" t="s">
        <v>113</v>
      </c>
      <c r="J1740" s="11"/>
      <c r="K1740" s="11" t="s">
        <v>126</v>
      </c>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4"/>
    </row>
    <row r="1741" spans="1:35" ht="12.5" hidden="1" x14ac:dyDescent="0.25">
      <c r="A1741" s="9">
        <v>340</v>
      </c>
      <c r="B1741" s="10" t="s">
        <v>14</v>
      </c>
      <c r="C1741" s="10" t="s">
        <v>15</v>
      </c>
      <c r="D1741" s="10" t="s">
        <v>16</v>
      </c>
      <c r="E1741" s="11" t="s">
        <v>30</v>
      </c>
      <c r="F1741" s="11" t="s">
        <v>17</v>
      </c>
      <c r="G1741" s="10" t="s">
        <v>24</v>
      </c>
      <c r="H1741" s="11" t="s">
        <v>19</v>
      </c>
      <c r="I1741" s="11" t="s">
        <v>113</v>
      </c>
      <c r="J1741" s="11"/>
      <c r="K1741" s="11" t="s">
        <v>126</v>
      </c>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4"/>
    </row>
    <row r="1742" spans="1:35" ht="12.5" hidden="1" x14ac:dyDescent="0.25">
      <c r="A1742" s="9">
        <v>341</v>
      </c>
      <c r="B1742" s="10" t="s">
        <v>14</v>
      </c>
      <c r="C1742" s="10" t="s">
        <v>15</v>
      </c>
      <c r="D1742" s="10" t="s">
        <v>16</v>
      </c>
      <c r="E1742" s="11" t="s">
        <v>30</v>
      </c>
      <c r="F1742" s="11" t="s">
        <v>17</v>
      </c>
      <c r="G1742" s="10" t="s">
        <v>24</v>
      </c>
      <c r="H1742" s="11" t="s">
        <v>19</v>
      </c>
      <c r="I1742" s="11" t="s">
        <v>113</v>
      </c>
      <c r="J1742" s="11"/>
      <c r="K1742" s="11" t="s">
        <v>126</v>
      </c>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4"/>
    </row>
    <row r="1743" spans="1:35" ht="12.5" hidden="1" x14ac:dyDescent="0.25">
      <c r="A1743" s="9">
        <v>342</v>
      </c>
      <c r="B1743" s="10" t="s">
        <v>14</v>
      </c>
      <c r="C1743" s="10" t="s">
        <v>15</v>
      </c>
      <c r="D1743" s="10" t="s">
        <v>16</v>
      </c>
      <c r="E1743" s="11" t="s">
        <v>30</v>
      </c>
      <c r="F1743" s="11" t="s">
        <v>17</v>
      </c>
      <c r="G1743" s="10" t="s">
        <v>18</v>
      </c>
      <c r="H1743" s="11" t="s">
        <v>19</v>
      </c>
      <c r="I1743" s="11" t="s">
        <v>113</v>
      </c>
      <c r="J1743" s="11"/>
      <c r="K1743" s="11" t="s">
        <v>126</v>
      </c>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4"/>
    </row>
    <row r="1744" spans="1:35" ht="12.5" hidden="1" x14ac:dyDescent="0.25">
      <c r="A1744" s="9">
        <v>343</v>
      </c>
      <c r="B1744" s="10" t="s">
        <v>14</v>
      </c>
      <c r="C1744" s="10" t="s">
        <v>15</v>
      </c>
      <c r="D1744" s="10" t="s">
        <v>16</v>
      </c>
      <c r="E1744" s="11" t="s">
        <v>30</v>
      </c>
      <c r="F1744" s="11" t="s">
        <v>17</v>
      </c>
      <c r="G1744" s="10" t="s">
        <v>18</v>
      </c>
      <c r="H1744" s="11" t="s">
        <v>19</v>
      </c>
      <c r="I1744" s="11" t="s">
        <v>113</v>
      </c>
      <c r="J1744" s="11"/>
      <c r="K1744" s="11" t="s">
        <v>126</v>
      </c>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4"/>
    </row>
    <row r="1745" spans="1:35" ht="12.5" hidden="1" x14ac:dyDescent="0.25">
      <c r="A1745" s="9">
        <v>344</v>
      </c>
      <c r="B1745" s="10" t="s">
        <v>14</v>
      </c>
      <c r="C1745" s="10" t="s">
        <v>15</v>
      </c>
      <c r="D1745" s="10" t="s">
        <v>16</v>
      </c>
      <c r="E1745" s="11" t="s">
        <v>30</v>
      </c>
      <c r="F1745" s="11" t="s">
        <v>17</v>
      </c>
      <c r="G1745" s="10" t="s">
        <v>24</v>
      </c>
      <c r="H1745" s="11" t="s">
        <v>19</v>
      </c>
      <c r="I1745" s="11" t="s">
        <v>113</v>
      </c>
      <c r="J1745" s="11"/>
      <c r="K1745" s="11" t="s">
        <v>126</v>
      </c>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4"/>
    </row>
    <row r="1746" spans="1:35" ht="12.5" hidden="1" x14ac:dyDescent="0.25">
      <c r="A1746" s="9">
        <v>345</v>
      </c>
      <c r="B1746" s="10" t="s">
        <v>14</v>
      </c>
      <c r="C1746" s="10" t="s">
        <v>15</v>
      </c>
      <c r="D1746" s="10" t="s">
        <v>16</v>
      </c>
      <c r="E1746" s="11" t="s">
        <v>30</v>
      </c>
      <c r="F1746" s="11" t="s">
        <v>17</v>
      </c>
      <c r="G1746" s="10" t="s">
        <v>18</v>
      </c>
      <c r="H1746" s="11" t="s">
        <v>19</v>
      </c>
      <c r="I1746" s="11" t="s">
        <v>113</v>
      </c>
      <c r="J1746" s="11"/>
      <c r="K1746" s="11" t="s">
        <v>126</v>
      </c>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4"/>
    </row>
    <row r="1747" spans="1:35" ht="12.5" hidden="1" x14ac:dyDescent="0.25">
      <c r="A1747" s="9">
        <v>346</v>
      </c>
      <c r="B1747" s="10" t="s">
        <v>14</v>
      </c>
      <c r="C1747" s="10" t="s">
        <v>15</v>
      </c>
      <c r="D1747" s="10" t="s">
        <v>16</v>
      </c>
      <c r="E1747" s="11" t="s">
        <v>30</v>
      </c>
      <c r="F1747" s="11" t="s">
        <v>17</v>
      </c>
      <c r="G1747" s="10" t="s">
        <v>24</v>
      </c>
      <c r="H1747" s="11" t="s">
        <v>19</v>
      </c>
      <c r="I1747" s="11" t="s">
        <v>113</v>
      </c>
      <c r="J1747" s="11"/>
      <c r="K1747" s="11" t="s">
        <v>126</v>
      </c>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4"/>
    </row>
    <row r="1748" spans="1:35" ht="12.5" hidden="1" x14ac:dyDescent="0.25">
      <c r="A1748" s="9">
        <v>347</v>
      </c>
      <c r="B1748" s="10" t="s">
        <v>14</v>
      </c>
      <c r="C1748" s="10" t="s">
        <v>15</v>
      </c>
      <c r="D1748" s="10" t="s">
        <v>16</v>
      </c>
      <c r="E1748" s="11" t="s">
        <v>30</v>
      </c>
      <c r="F1748" s="11" t="s">
        <v>17</v>
      </c>
      <c r="G1748" s="10" t="s">
        <v>24</v>
      </c>
      <c r="H1748" s="11" t="s">
        <v>19</v>
      </c>
      <c r="I1748" s="11" t="s">
        <v>113</v>
      </c>
      <c r="J1748" s="11"/>
      <c r="K1748" s="11" t="s">
        <v>126</v>
      </c>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4"/>
    </row>
    <row r="1749" spans="1:35" ht="12.5" hidden="1" x14ac:dyDescent="0.25">
      <c r="A1749" s="9">
        <v>348</v>
      </c>
      <c r="B1749" s="10" t="s">
        <v>14</v>
      </c>
      <c r="C1749" s="10" t="s">
        <v>15</v>
      </c>
      <c r="D1749" s="10" t="s">
        <v>16</v>
      </c>
      <c r="E1749" s="11" t="s">
        <v>30</v>
      </c>
      <c r="F1749" s="11" t="s">
        <v>17</v>
      </c>
      <c r="G1749" s="10" t="s">
        <v>24</v>
      </c>
      <c r="H1749" s="11" t="s">
        <v>19</v>
      </c>
      <c r="I1749" s="11" t="s">
        <v>113</v>
      </c>
      <c r="J1749" s="11"/>
      <c r="K1749" s="11" t="s">
        <v>126</v>
      </c>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4"/>
    </row>
    <row r="1750" spans="1:35" ht="12.5" hidden="1" x14ac:dyDescent="0.25">
      <c r="A1750" s="9">
        <v>349</v>
      </c>
      <c r="B1750" s="10" t="s">
        <v>14</v>
      </c>
      <c r="C1750" s="10" t="s">
        <v>15</v>
      </c>
      <c r="D1750" s="10" t="s">
        <v>16</v>
      </c>
      <c r="E1750" s="11" t="s">
        <v>30</v>
      </c>
      <c r="F1750" s="11" t="s">
        <v>17</v>
      </c>
      <c r="G1750" s="10" t="s">
        <v>24</v>
      </c>
      <c r="H1750" s="11" t="s">
        <v>19</v>
      </c>
      <c r="I1750" s="11" t="s">
        <v>113</v>
      </c>
      <c r="J1750" s="11"/>
      <c r="K1750" s="11" t="s">
        <v>126</v>
      </c>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4"/>
    </row>
    <row r="1751" spans="1:35" ht="12.5" hidden="1" x14ac:dyDescent="0.25">
      <c r="A1751" s="9">
        <v>350</v>
      </c>
      <c r="B1751" s="10" t="s">
        <v>14</v>
      </c>
      <c r="C1751" s="10" t="s">
        <v>15</v>
      </c>
      <c r="D1751" s="10" t="s">
        <v>16</v>
      </c>
      <c r="E1751" s="11" t="s">
        <v>30</v>
      </c>
      <c r="F1751" s="11" t="s">
        <v>17</v>
      </c>
      <c r="G1751" s="10" t="s">
        <v>18</v>
      </c>
      <c r="H1751" s="11" t="s">
        <v>19</v>
      </c>
      <c r="I1751" s="11" t="s">
        <v>113</v>
      </c>
      <c r="J1751" s="11"/>
      <c r="K1751" s="11" t="s">
        <v>126</v>
      </c>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4"/>
    </row>
    <row r="1752" spans="1:35" ht="12.5" hidden="1" x14ac:dyDescent="0.25">
      <c r="A1752" s="9">
        <v>351</v>
      </c>
      <c r="B1752" s="10" t="s">
        <v>14</v>
      </c>
      <c r="C1752" s="10" t="s">
        <v>15</v>
      </c>
      <c r="D1752" s="10" t="s">
        <v>16</v>
      </c>
      <c r="E1752" s="11" t="s">
        <v>30</v>
      </c>
      <c r="F1752" s="11" t="s">
        <v>17</v>
      </c>
      <c r="G1752" s="10" t="s">
        <v>24</v>
      </c>
      <c r="H1752" s="11" t="s">
        <v>19</v>
      </c>
      <c r="I1752" s="11" t="s">
        <v>113</v>
      </c>
      <c r="J1752" s="11"/>
      <c r="K1752" s="11" t="s">
        <v>126</v>
      </c>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4"/>
    </row>
    <row r="1753" spans="1:35" ht="12.5" hidden="1" x14ac:dyDescent="0.25">
      <c r="A1753" s="9">
        <v>352</v>
      </c>
      <c r="B1753" s="10" t="s">
        <v>14</v>
      </c>
      <c r="C1753" s="10" t="s">
        <v>15</v>
      </c>
      <c r="D1753" s="10" t="s">
        <v>16</v>
      </c>
      <c r="E1753" s="11" t="s">
        <v>30</v>
      </c>
      <c r="F1753" s="11" t="s">
        <v>17</v>
      </c>
      <c r="G1753" s="10" t="s">
        <v>18</v>
      </c>
      <c r="H1753" s="11" t="s">
        <v>19</v>
      </c>
      <c r="I1753" s="11" t="s">
        <v>113</v>
      </c>
      <c r="J1753" s="11"/>
      <c r="K1753" s="11" t="s">
        <v>126</v>
      </c>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4"/>
    </row>
    <row r="1754" spans="1:35" ht="12.5" hidden="1" x14ac:dyDescent="0.25">
      <c r="A1754" s="9">
        <v>353</v>
      </c>
      <c r="B1754" s="10" t="s">
        <v>14</v>
      </c>
      <c r="C1754" s="10" t="s">
        <v>15</v>
      </c>
      <c r="D1754" s="10" t="s">
        <v>16</v>
      </c>
      <c r="E1754" s="11" t="s">
        <v>30</v>
      </c>
      <c r="F1754" s="11" t="s">
        <v>17</v>
      </c>
      <c r="G1754" s="10" t="s">
        <v>24</v>
      </c>
      <c r="H1754" s="11" t="s">
        <v>19</v>
      </c>
      <c r="I1754" s="11" t="s">
        <v>113</v>
      </c>
      <c r="J1754" s="11"/>
      <c r="K1754" s="11" t="s">
        <v>126</v>
      </c>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4"/>
    </row>
    <row r="1755" spans="1:35" ht="12.5" hidden="1" x14ac:dyDescent="0.25">
      <c r="A1755" s="9">
        <v>354</v>
      </c>
      <c r="B1755" s="10" t="s">
        <v>14</v>
      </c>
      <c r="C1755" s="10" t="s">
        <v>15</v>
      </c>
      <c r="D1755" s="10" t="s">
        <v>16</v>
      </c>
      <c r="E1755" s="11" t="s">
        <v>30</v>
      </c>
      <c r="F1755" s="11" t="s">
        <v>17</v>
      </c>
      <c r="G1755" s="10" t="s">
        <v>24</v>
      </c>
      <c r="H1755" s="11" t="s">
        <v>19</v>
      </c>
      <c r="I1755" s="11" t="s">
        <v>113</v>
      </c>
      <c r="J1755" s="11"/>
      <c r="K1755" s="11" t="s">
        <v>126</v>
      </c>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4"/>
    </row>
    <row r="1756" spans="1:35" ht="12.5" hidden="1" x14ac:dyDescent="0.25">
      <c r="A1756" s="9">
        <v>355</v>
      </c>
      <c r="B1756" s="10" t="s">
        <v>14</v>
      </c>
      <c r="C1756" s="10" t="s">
        <v>15</v>
      </c>
      <c r="D1756" s="10" t="s">
        <v>16</v>
      </c>
      <c r="E1756" s="11" t="s">
        <v>30</v>
      </c>
      <c r="F1756" s="11" t="s">
        <v>17</v>
      </c>
      <c r="G1756" s="10" t="s">
        <v>24</v>
      </c>
      <c r="H1756" s="11" t="s">
        <v>19</v>
      </c>
      <c r="I1756" s="11" t="s">
        <v>113</v>
      </c>
      <c r="J1756" s="11"/>
      <c r="K1756" s="11" t="s">
        <v>126</v>
      </c>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4"/>
    </row>
    <row r="1757" spans="1:35" ht="12.5" hidden="1" x14ac:dyDescent="0.25">
      <c r="A1757" s="9">
        <v>356</v>
      </c>
      <c r="B1757" s="10" t="s">
        <v>14</v>
      </c>
      <c r="C1757" s="10" t="s">
        <v>15</v>
      </c>
      <c r="D1757" s="10" t="s">
        <v>16</v>
      </c>
      <c r="E1757" s="11" t="s">
        <v>30</v>
      </c>
      <c r="F1757" s="11" t="s">
        <v>17</v>
      </c>
      <c r="G1757" s="10" t="s">
        <v>24</v>
      </c>
      <c r="H1757" s="11" t="s">
        <v>19</v>
      </c>
      <c r="I1757" s="11" t="s">
        <v>113</v>
      </c>
      <c r="J1757" s="11"/>
      <c r="K1757" s="11" t="s">
        <v>126</v>
      </c>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4"/>
    </row>
    <row r="1758" spans="1:35" ht="12.5" hidden="1" x14ac:dyDescent="0.25">
      <c r="A1758" s="9">
        <v>357</v>
      </c>
      <c r="B1758" s="10" t="s">
        <v>14</v>
      </c>
      <c r="C1758" s="10" t="s">
        <v>15</v>
      </c>
      <c r="D1758" s="10" t="s">
        <v>16</v>
      </c>
      <c r="E1758" s="11" t="s">
        <v>30</v>
      </c>
      <c r="F1758" s="11" t="s">
        <v>17</v>
      </c>
      <c r="G1758" s="10" t="s">
        <v>18</v>
      </c>
      <c r="H1758" s="11" t="s">
        <v>19</v>
      </c>
      <c r="I1758" s="11" t="s">
        <v>113</v>
      </c>
      <c r="J1758" s="11"/>
      <c r="K1758" s="11" t="s">
        <v>126</v>
      </c>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4"/>
    </row>
    <row r="1759" spans="1:35" ht="12.5" hidden="1" x14ac:dyDescent="0.25">
      <c r="A1759" s="9">
        <v>358</v>
      </c>
      <c r="B1759" s="10" t="s">
        <v>14</v>
      </c>
      <c r="C1759" s="10" t="s">
        <v>15</v>
      </c>
      <c r="D1759" s="10" t="s">
        <v>16</v>
      </c>
      <c r="E1759" s="11" t="s">
        <v>30</v>
      </c>
      <c r="F1759" s="11" t="s">
        <v>17</v>
      </c>
      <c r="G1759" s="10" t="s">
        <v>18</v>
      </c>
      <c r="H1759" s="11" t="s">
        <v>19</v>
      </c>
      <c r="I1759" s="11" t="s">
        <v>113</v>
      </c>
      <c r="J1759" s="11"/>
      <c r="K1759" s="11" t="s">
        <v>126</v>
      </c>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4"/>
    </row>
    <row r="1760" spans="1:35" ht="12.5" hidden="1" x14ac:dyDescent="0.25">
      <c r="A1760" s="9">
        <v>359</v>
      </c>
      <c r="B1760" s="10" t="s">
        <v>14</v>
      </c>
      <c r="C1760" s="10" t="s">
        <v>15</v>
      </c>
      <c r="D1760" s="10" t="s">
        <v>16</v>
      </c>
      <c r="E1760" s="11" t="s">
        <v>30</v>
      </c>
      <c r="F1760" s="11" t="s">
        <v>17</v>
      </c>
      <c r="G1760" s="10" t="s">
        <v>24</v>
      </c>
      <c r="H1760" s="11" t="s">
        <v>19</v>
      </c>
      <c r="I1760" s="11" t="s">
        <v>113</v>
      </c>
      <c r="J1760" s="11"/>
      <c r="K1760" s="11" t="s">
        <v>126</v>
      </c>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4"/>
    </row>
    <row r="1761" spans="1:35" ht="12.5" hidden="1" x14ac:dyDescent="0.25">
      <c r="A1761" s="9">
        <v>360</v>
      </c>
      <c r="B1761" s="10" t="s">
        <v>14</v>
      </c>
      <c r="C1761" s="10" t="s">
        <v>15</v>
      </c>
      <c r="D1761" s="10" t="s">
        <v>16</v>
      </c>
      <c r="E1761" s="11" t="s">
        <v>30</v>
      </c>
      <c r="F1761" s="11" t="s">
        <v>17</v>
      </c>
      <c r="G1761" s="10" t="s">
        <v>24</v>
      </c>
      <c r="H1761" s="11" t="s">
        <v>19</v>
      </c>
      <c r="I1761" s="11" t="s">
        <v>113</v>
      </c>
      <c r="J1761" s="11"/>
      <c r="K1761" s="11" t="s">
        <v>126</v>
      </c>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4"/>
    </row>
    <row r="1762" spans="1:35" ht="12.5" hidden="1" x14ac:dyDescent="0.25">
      <c r="A1762" s="9">
        <v>361</v>
      </c>
      <c r="B1762" s="10" t="s">
        <v>14</v>
      </c>
      <c r="C1762" s="10" t="s">
        <v>15</v>
      </c>
      <c r="D1762" s="10" t="s">
        <v>16</v>
      </c>
      <c r="E1762" s="11" t="s">
        <v>30</v>
      </c>
      <c r="F1762" s="11" t="s">
        <v>17</v>
      </c>
      <c r="G1762" s="10" t="s">
        <v>18</v>
      </c>
      <c r="H1762" s="11" t="s">
        <v>19</v>
      </c>
      <c r="I1762" s="11" t="s">
        <v>113</v>
      </c>
      <c r="J1762" s="11"/>
      <c r="K1762" s="11" t="s">
        <v>126</v>
      </c>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4"/>
    </row>
    <row r="1763" spans="1:35" ht="12.5" hidden="1" x14ac:dyDescent="0.25">
      <c r="A1763" s="9">
        <v>362</v>
      </c>
      <c r="B1763" s="10" t="s">
        <v>14</v>
      </c>
      <c r="C1763" s="10" t="s">
        <v>15</v>
      </c>
      <c r="D1763" s="10" t="s">
        <v>16</v>
      </c>
      <c r="E1763" s="11" t="s">
        <v>30</v>
      </c>
      <c r="F1763" s="11" t="s">
        <v>17</v>
      </c>
      <c r="G1763" s="10" t="s">
        <v>18</v>
      </c>
      <c r="H1763" s="11" t="s">
        <v>19</v>
      </c>
      <c r="I1763" s="11" t="s">
        <v>113</v>
      </c>
      <c r="J1763" s="11"/>
      <c r="K1763" s="11" t="s">
        <v>126</v>
      </c>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4"/>
    </row>
    <row r="1764" spans="1:35" ht="12.5" hidden="1" x14ac:dyDescent="0.25">
      <c r="A1764" s="9">
        <v>363</v>
      </c>
      <c r="B1764" s="10" t="s">
        <v>14</v>
      </c>
      <c r="C1764" s="10" t="s">
        <v>15</v>
      </c>
      <c r="D1764" s="10" t="s">
        <v>16</v>
      </c>
      <c r="E1764" s="11" t="s">
        <v>30</v>
      </c>
      <c r="F1764" s="11" t="s">
        <v>17</v>
      </c>
      <c r="G1764" s="10" t="s">
        <v>24</v>
      </c>
      <c r="H1764" s="11" t="s">
        <v>19</v>
      </c>
      <c r="I1764" s="11" t="s">
        <v>113</v>
      </c>
      <c r="J1764" s="11"/>
      <c r="K1764" s="11" t="s">
        <v>126</v>
      </c>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4"/>
    </row>
    <row r="1765" spans="1:35" ht="12.5" hidden="1" x14ac:dyDescent="0.25">
      <c r="A1765" s="9">
        <v>364</v>
      </c>
      <c r="B1765" s="10" t="s">
        <v>14</v>
      </c>
      <c r="C1765" s="10" t="s">
        <v>15</v>
      </c>
      <c r="D1765" s="10" t="s">
        <v>37</v>
      </c>
      <c r="E1765" s="11" t="s">
        <v>30</v>
      </c>
      <c r="F1765" s="11" t="s">
        <v>17</v>
      </c>
      <c r="G1765" s="10" t="s">
        <v>24</v>
      </c>
      <c r="H1765" s="11" t="s">
        <v>19</v>
      </c>
      <c r="I1765" s="11" t="s">
        <v>113</v>
      </c>
      <c r="J1765" s="11"/>
      <c r="K1765" s="11" t="s">
        <v>126</v>
      </c>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4"/>
    </row>
    <row r="1766" spans="1:35" ht="12.5" hidden="1" x14ac:dyDescent="0.25">
      <c r="A1766" s="9">
        <v>365</v>
      </c>
      <c r="B1766" s="10" t="s">
        <v>14</v>
      </c>
      <c r="C1766" s="10" t="s">
        <v>15</v>
      </c>
      <c r="D1766" s="10" t="s">
        <v>37</v>
      </c>
      <c r="E1766" s="11" t="s">
        <v>30</v>
      </c>
      <c r="F1766" s="11" t="s">
        <v>17</v>
      </c>
      <c r="G1766" s="10" t="s">
        <v>24</v>
      </c>
      <c r="H1766" s="11" t="s">
        <v>23</v>
      </c>
      <c r="I1766" s="11" t="s">
        <v>113</v>
      </c>
      <c r="J1766" s="11"/>
      <c r="K1766" s="11" t="s">
        <v>126</v>
      </c>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4"/>
    </row>
    <row r="1767" spans="1:35" ht="12.5" hidden="1" x14ac:dyDescent="0.25">
      <c r="A1767" s="9">
        <v>366</v>
      </c>
      <c r="B1767" s="10" t="s">
        <v>14</v>
      </c>
      <c r="C1767" s="10" t="s">
        <v>15</v>
      </c>
      <c r="D1767" s="10" t="s">
        <v>37</v>
      </c>
      <c r="E1767" s="11" t="s">
        <v>30</v>
      </c>
      <c r="F1767" s="11" t="s">
        <v>17</v>
      </c>
      <c r="G1767" s="10" t="s">
        <v>24</v>
      </c>
      <c r="H1767" s="11" t="s">
        <v>23</v>
      </c>
      <c r="I1767" s="11" t="s">
        <v>113</v>
      </c>
      <c r="J1767" s="11"/>
      <c r="K1767" s="11" t="s">
        <v>126</v>
      </c>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4"/>
    </row>
    <row r="1768" spans="1:35" ht="12.5" hidden="1" x14ac:dyDescent="0.25">
      <c r="A1768" s="9">
        <v>367</v>
      </c>
      <c r="B1768" s="10" t="s">
        <v>14</v>
      </c>
      <c r="C1768" s="10" t="s">
        <v>15</v>
      </c>
      <c r="D1768" s="10" t="s">
        <v>37</v>
      </c>
      <c r="E1768" s="11" t="s">
        <v>30</v>
      </c>
      <c r="F1768" s="11" t="s">
        <v>17</v>
      </c>
      <c r="G1768" s="10" t="s">
        <v>24</v>
      </c>
      <c r="H1768" s="11" t="s">
        <v>23</v>
      </c>
      <c r="I1768" s="11" t="s">
        <v>113</v>
      </c>
      <c r="J1768" s="11"/>
      <c r="K1768" s="11" t="s">
        <v>126</v>
      </c>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4"/>
    </row>
    <row r="1769" spans="1:35" ht="12.5" hidden="1" x14ac:dyDescent="0.25">
      <c r="A1769" s="9">
        <v>368</v>
      </c>
      <c r="B1769" s="10" t="s">
        <v>14</v>
      </c>
      <c r="C1769" s="10" t="s">
        <v>15</v>
      </c>
      <c r="D1769" s="10" t="s">
        <v>37</v>
      </c>
      <c r="E1769" s="11" t="s">
        <v>30</v>
      </c>
      <c r="F1769" s="11" t="s">
        <v>17</v>
      </c>
      <c r="G1769" s="10" t="s">
        <v>18</v>
      </c>
      <c r="H1769" s="11" t="s">
        <v>23</v>
      </c>
      <c r="I1769" s="11" t="s">
        <v>113</v>
      </c>
      <c r="J1769" s="11"/>
      <c r="K1769" s="11" t="s">
        <v>126</v>
      </c>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4"/>
    </row>
    <row r="1770" spans="1:35" ht="12.5" hidden="1" x14ac:dyDescent="0.25">
      <c r="A1770" s="9">
        <v>369</v>
      </c>
      <c r="B1770" s="10" t="s">
        <v>14</v>
      </c>
      <c r="C1770" s="10" t="s">
        <v>15</v>
      </c>
      <c r="D1770" s="10" t="s">
        <v>37</v>
      </c>
      <c r="E1770" s="11" t="s">
        <v>30</v>
      </c>
      <c r="F1770" s="11" t="s">
        <v>17</v>
      </c>
      <c r="G1770" s="10" t="s">
        <v>18</v>
      </c>
      <c r="H1770" s="11" t="s">
        <v>23</v>
      </c>
      <c r="I1770" s="11" t="s">
        <v>113</v>
      </c>
      <c r="J1770" s="11"/>
      <c r="K1770" s="11" t="s">
        <v>126</v>
      </c>
      <c r="L1770" s="11"/>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4"/>
    </row>
    <row r="1771" spans="1:35" ht="12.5" hidden="1" x14ac:dyDescent="0.25">
      <c r="A1771" s="9">
        <v>370</v>
      </c>
      <c r="B1771" s="10" t="s">
        <v>14</v>
      </c>
      <c r="C1771" s="10" t="s">
        <v>15</v>
      </c>
      <c r="D1771" s="10" t="s">
        <v>37</v>
      </c>
      <c r="E1771" s="11" t="s">
        <v>30</v>
      </c>
      <c r="F1771" s="11" t="s">
        <v>17</v>
      </c>
      <c r="G1771" s="10" t="s">
        <v>18</v>
      </c>
      <c r="H1771" s="11" t="s">
        <v>25</v>
      </c>
      <c r="I1771" s="11" t="s">
        <v>113</v>
      </c>
      <c r="J1771" s="11"/>
      <c r="K1771" s="11" t="s">
        <v>126</v>
      </c>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4"/>
    </row>
    <row r="1772" spans="1:35" ht="12.5" hidden="1" x14ac:dyDescent="0.25">
      <c r="A1772" s="9">
        <v>371</v>
      </c>
      <c r="B1772" s="10" t="s">
        <v>14</v>
      </c>
      <c r="C1772" s="10" t="s">
        <v>15</v>
      </c>
      <c r="D1772" s="10" t="s">
        <v>37</v>
      </c>
      <c r="E1772" s="11" t="s">
        <v>30</v>
      </c>
      <c r="F1772" s="11" t="s">
        <v>17</v>
      </c>
      <c r="G1772" s="10" t="s">
        <v>18</v>
      </c>
      <c r="H1772" s="11" t="s">
        <v>25</v>
      </c>
      <c r="I1772" s="11" t="s">
        <v>113</v>
      </c>
      <c r="J1772" s="11"/>
      <c r="K1772" s="11" t="s">
        <v>126</v>
      </c>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4"/>
    </row>
    <row r="1773" spans="1:35" ht="12.5" hidden="1" x14ac:dyDescent="0.25">
      <c r="A1773" s="9">
        <v>372</v>
      </c>
      <c r="B1773" s="10" t="s">
        <v>14</v>
      </c>
      <c r="C1773" s="10" t="s">
        <v>15</v>
      </c>
      <c r="D1773" s="10" t="s">
        <v>37</v>
      </c>
      <c r="E1773" s="11" t="s">
        <v>30</v>
      </c>
      <c r="F1773" s="11" t="s">
        <v>17</v>
      </c>
      <c r="G1773" s="10" t="s">
        <v>18</v>
      </c>
      <c r="H1773" s="11" t="s">
        <v>23</v>
      </c>
      <c r="I1773" s="11" t="s">
        <v>113</v>
      </c>
      <c r="J1773" s="11"/>
      <c r="K1773" s="11" t="s">
        <v>126</v>
      </c>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4"/>
    </row>
    <row r="1774" spans="1:35" ht="12.5" hidden="1" x14ac:dyDescent="0.25">
      <c r="A1774" s="9">
        <v>373</v>
      </c>
      <c r="B1774" s="10" t="s">
        <v>14</v>
      </c>
      <c r="C1774" s="10" t="s">
        <v>15</v>
      </c>
      <c r="D1774" s="10" t="s">
        <v>37</v>
      </c>
      <c r="E1774" s="11" t="s">
        <v>30</v>
      </c>
      <c r="F1774" s="11" t="s">
        <v>17</v>
      </c>
      <c r="G1774" s="10" t="s">
        <v>18</v>
      </c>
      <c r="H1774" s="11" t="s">
        <v>25</v>
      </c>
      <c r="I1774" s="11" t="s">
        <v>113</v>
      </c>
      <c r="J1774" s="11"/>
      <c r="K1774" s="11" t="s">
        <v>126</v>
      </c>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4"/>
    </row>
    <row r="1775" spans="1:35" ht="12.5" hidden="1" x14ac:dyDescent="0.25">
      <c r="A1775" s="9">
        <v>374</v>
      </c>
      <c r="B1775" s="10" t="s">
        <v>14</v>
      </c>
      <c r="C1775" s="10" t="s">
        <v>15</v>
      </c>
      <c r="D1775" s="10" t="s">
        <v>37</v>
      </c>
      <c r="E1775" s="11" t="s">
        <v>30</v>
      </c>
      <c r="F1775" s="11" t="s">
        <v>17</v>
      </c>
      <c r="G1775" s="10" t="s">
        <v>24</v>
      </c>
      <c r="H1775" s="11" t="s">
        <v>25</v>
      </c>
      <c r="I1775" s="11" t="s">
        <v>113</v>
      </c>
      <c r="J1775" s="11"/>
      <c r="K1775" s="11" t="s">
        <v>126</v>
      </c>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4"/>
    </row>
    <row r="1776" spans="1:35" ht="12.5" hidden="1" x14ac:dyDescent="0.25">
      <c r="A1776" s="9">
        <v>375</v>
      </c>
      <c r="B1776" s="10" t="s">
        <v>14</v>
      </c>
      <c r="C1776" s="10" t="s">
        <v>15</v>
      </c>
      <c r="D1776" s="10" t="s">
        <v>37</v>
      </c>
      <c r="E1776" s="11" t="s">
        <v>30</v>
      </c>
      <c r="F1776" s="11" t="s">
        <v>17</v>
      </c>
      <c r="G1776" s="10" t="s">
        <v>24</v>
      </c>
      <c r="H1776" s="11" t="s">
        <v>25</v>
      </c>
      <c r="I1776" s="11" t="s">
        <v>113</v>
      </c>
      <c r="J1776" s="11"/>
      <c r="K1776" s="11" t="s">
        <v>126</v>
      </c>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4"/>
    </row>
    <row r="1777" spans="1:35" ht="12.5" hidden="1" x14ac:dyDescent="0.25">
      <c r="A1777" s="9">
        <v>376</v>
      </c>
      <c r="B1777" s="10" t="s">
        <v>14</v>
      </c>
      <c r="C1777" s="10" t="s">
        <v>15</v>
      </c>
      <c r="D1777" s="10" t="s">
        <v>37</v>
      </c>
      <c r="E1777" s="11" t="s">
        <v>30</v>
      </c>
      <c r="F1777" s="11" t="s">
        <v>17</v>
      </c>
      <c r="G1777" s="10" t="s">
        <v>18</v>
      </c>
      <c r="H1777" s="11" t="s">
        <v>23</v>
      </c>
      <c r="I1777" s="11" t="s">
        <v>113</v>
      </c>
      <c r="J1777" s="11"/>
      <c r="K1777" s="11" t="s">
        <v>126</v>
      </c>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4"/>
    </row>
    <row r="1778" spans="1:35" ht="12.5" hidden="1" x14ac:dyDescent="0.25">
      <c r="A1778" s="9">
        <v>377</v>
      </c>
      <c r="B1778" s="10" t="s">
        <v>14</v>
      </c>
      <c r="C1778" s="10" t="s">
        <v>15</v>
      </c>
      <c r="D1778" s="10" t="s">
        <v>37</v>
      </c>
      <c r="E1778" s="11" t="s">
        <v>30</v>
      </c>
      <c r="F1778" s="11" t="s">
        <v>17</v>
      </c>
      <c r="G1778" s="10" t="s">
        <v>18</v>
      </c>
      <c r="H1778" s="11" t="s">
        <v>23</v>
      </c>
      <c r="I1778" s="11" t="s">
        <v>113</v>
      </c>
      <c r="J1778" s="11"/>
      <c r="K1778" s="11" t="s">
        <v>126</v>
      </c>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4"/>
    </row>
    <row r="1779" spans="1:35" ht="12.5" hidden="1" x14ac:dyDescent="0.25">
      <c r="A1779" s="9">
        <v>378</v>
      </c>
      <c r="B1779" s="10" t="s">
        <v>14</v>
      </c>
      <c r="C1779" s="10" t="s">
        <v>15</v>
      </c>
      <c r="D1779" s="10" t="s">
        <v>37</v>
      </c>
      <c r="E1779" s="11" t="s">
        <v>30</v>
      </c>
      <c r="F1779" s="11" t="s">
        <v>17</v>
      </c>
      <c r="G1779" s="10" t="s">
        <v>24</v>
      </c>
      <c r="H1779" s="11" t="s">
        <v>25</v>
      </c>
      <c r="I1779" s="11" t="s">
        <v>113</v>
      </c>
      <c r="J1779" s="11"/>
      <c r="K1779" s="11" t="s">
        <v>126</v>
      </c>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4"/>
    </row>
    <row r="1780" spans="1:35" ht="12.5" hidden="1" x14ac:dyDescent="0.25">
      <c r="A1780" s="9">
        <v>379</v>
      </c>
      <c r="B1780" s="10" t="s">
        <v>14</v>
      </c>
      <c r="C1780" s="10" t="s">
        <v>15</v>
      </c>
      <c r="D1780" s="10" t="s">
        <v>37</v>
      </c>
      <c r="E1780" s="11" t="s">
        <v>30</v>
      </c>
      <c r="F1780" s="11" t="s">
        <v>17</v>
      </c>
      <c r="G1780" s="10" t="s">
        <v>18</v>
      </c>
      <c r="H1780" s="11" t="s">
        <v>25</v>
      </c>
      <c r="I1780" s="11" t="s">
        <v>113</v>
      </c>
      <c r="J1780" s="11"/>
      <c r="K1780" s="11" t="s">
        <v>126</v>
      </c>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4"/>
    </row>
    <row r="1781" spans="1:35" ht="12.5" hidden="1" x14ac:dyDescent="0.25">
      <c r="A1781" s="9">
        <v>380</v>
      </c>
      <c r="B1781" s="10" t="s">
        <v>14</v>
      </c>
      <c r="C1781" s="10" t="s">
        <v>15</v>
      </c>
      <c r="D1781" s="10" t="s">
        <v>37</v>
      </c>
      <c r="E1781" s="11" t="s">
        <v>30</v>
      </c>
      <c r="F1781" s="11" t="s">
        <v>17</v>
      </c>
      <c r="G1781" s="10" t="s">
        <v>18</v>
      </c>
      <c r="H1781" s="11" t="s">
        <v>25</v>
      </c>
      <c r="I1781" s="11" t="s">
        <v>113</v>
      </c>
      <c r="J1781" s="11"/>
      <c r="K1781" s="11" t="s">
        <v>126</v>
      </c>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4"/>
    </row>
    <row r="1782" spans="1:35" ht="12.5" hidden="1" x14ac:dyDescent="0.25">
      <c r="A1782" s="9">
        <v>381</v>
      </c>
      <c r="B1782" s="10" t="s">
        <v>14</v>
      </c>
      <c r="C1782" s="10" t="s">
        <v>15</v>
      </c>
      <c r="D1782" s="10" t="s">
        <v>37</v>
      </c>
      <c r="E1782" s="11" t="s">
        <v>30</v>
      </c>
      <c r="F1782" s="11" t="s">
        <v>17</v>
      </c>
      <c r="G1782" s="10" t="s">
        <v>24</v>
      </c>
      <c r="H1782" s="11" t="s">
        <v>25</v>
      </c>
      <c r="I1782" s="11" t="s">
        <v>113</v>
      </c>
      <c r="J1782" s="11"/>
      <c r="K1782" s="11" t="s">
        <v>126</v>
      </c>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4"/>
    </row>
    <row r="1783" spans="1:35" ht="12.5" hidden="1" x14ac:dyDescent="0.25">
      <c r="A1783" s="9">
        <v>382</v>
      </c>
      <c r="B1783" s="10" t="s">
        <v>14</v>
      </c>
      <c r="C1783" s="10" t="s">
        <v>15</v>
      </c>
      <c r="D1783" s="10" t="s">
        <v>37</v>
      </c>
      <c r="E1783" s="11" t="s">
        <v>30</v>
      </c>
      <c r="F1783" s="11" t="s">
        <v>17</v>
      </c>
      <c r="G1783" s="10" t="s">
        <v>24</v>
      </c>
      <c r="H1783" s="11" t="s">
        <v>25</v>
      </c>
      <c r="I1783" s="11" t="s">
        <v>113</v>
      </c>
      <c r="J1783" s="11"/>
      <c r="K1783" s="11" t="s">
        <v>126</v>
      </c>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4"/>
    </row>
    <row r="1784" spans="1:35" ht="12.5" hidden="1" x14ac:dyDescent="0.25">
      <c r="A1784" s="9">
        <v>383</v>
      </c>
      <c r="B1784" s="10" t="s">
        <v>14</v>
      </c>
      <c r="C1784" s="10" t="s">
        <v>15</v>
      </c>
      <c r="D1784" s="10" t="s">
        <v>37</v>
      </c>
      <c r="E1784" s="11" t="s">
        <v>30</v>
      </c>
      <c r="F1784" s="11" t="s">
        <v>17</v>
      </c>
      <c r="G1784" s="10" t="s">
        <v>18</v>
      </c>
      <c r="H1784" s="11" t="s">
        <v>25</v>
      </c>
      <c r="I1784" s="11" t="s">
        <v>113</v>
      </c>
      <c r="J1784" s="11"/>
      <c r="K1784" s="11" t="s">
        <v>126</v>
      </c>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4"/>
    </row>
    <row r="1785" spans="1:35" ht="12.5" hidden="1" x14ac:dyDescent="0.25">
      <c r="A1785" s="9">
        <v>384</v>
      </c>
      <c r="B1785" s="10" t="s">
        <v>14</v>
      </c>
      <c r="C1785" s="10" t="s">
        <v>15</v>
      </c>
      <c r="D1785" s="10" t="s">
        <v>37</v>
      </c>
      <c r="E1785" s="11" t="s">
        <v>30</v>
      </c>
      <c r="F1785" s="11" t="s">
        <v>17</v>
      </c>
      <c r="G1785" s="10" t="s">
        <v>24</v>
      </c>
      <c r="H1785" s="11" t="s">
        <v>25</v>
      </c>
      <c r="I1785" s="11" t="s">
        <v>113</v>
      </c>
      <c r="J1785" s="11"/>
      <c r="K1785" s="11" t="s">
        <v>126</v>
      </c>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4"/>
    </row>
    <row r="1786" spans="1:35" ht="12.5" hidden="1" x14ac:dyDescent="0.25">
      <c r="A1786" s="9">
        <v>385</v>
      </c>
      <c r="B1786" s="10" t="s">
        <v>14</v>
      </c>
      <c r="C1786" s="10" t="s">
        <v>15</v>
      </c>
      <c r="D1786" s="10" t="s">
        <v>37</v>
      </c>
      <c r="E1786" s="11" t="s">
        <v>30</v>
      </c>
      <c r="F1786" s="11" t="s">
        <v>17</v>
      </c>
      <c r="G1786" s="10" t="s">
        <v>18</v>
      </c>
      <c r="H1786" s="11" t="s">
        <v>25</v>
      </c>
      <c r="I1786" s="11" t="s">
        <v>113</v>
      </c>
      <c r="J1786" s="11"/>
      <c r="K1786" s="11" t="s">
        <v>126</v>
      </c>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4"/>
    </row>
    <row r="1787" spans="1:35" ht="12.5" hidden="1" x14ac:dyDescent="0.25">
      <c r="A1787" s="9">
        <v>386</v>
      </c>
      <c r="B1787" s="10" t="s">
        <v>14</v>
      </c>
      <c r="C1787" s="10" t="s">
        <v>15</v>
      </c>
      <c r="D1787" s="10" t="s">
        <v>37</v>
      </c>
      <c r="E1787" s="11" t="s">
        <v>30</v>
      </c>
      <c r="F1787" s="11" t="s">
        <v>17</v>
      </c>
      <c r="G1787" s="10" t="s">
        <v>24</v>
      </c>
      <c r="H1787" s="11" t="s">
        <v>25</v>
      </c>
      <c r="I1787" s="11" t="s">
        <v>113</v>
      </c>
      <c r="J1787" s="11"/>
      <c r="K1787" s="11" t="s">
        <v>126</v>
      </c>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4"/>
    </row>
    <row r="1788" spans="1:35" ht="12.5" hidden="1" x14ac:dyDescent="0.25">
      <c r="A1788" s="9">
        <v>387</v>
      </c>
      <c r="B1788" s="10" t="s">
        <v>14</v>
      </c>
      <c r="C1788" s="10" t="s">
        <v>15</v>
      </c>
      <c r="D1788" s="10" t="s">
        <v>37</v>
      </c>
      <c r="E1788" s="11" t="s">
        <v>30</v>
      </c>
      <c r="F1788" s="11" t="s">
        <v>17</v>
      </c>
      <c r="G1788" s="10" t="s">
        <v>24</v>
      </c>
      <c r="H1788" s="11" t="s">
        <v>25</v>
      </c>
      <c r="I1788" s="11" t="s">
        <v>113</v>
      </c>
      <c r="J1788" s="11"/>
      <c r="K1788" s="11" t="s">
        <v>126</v>
      </c>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4"/>
    </row>
    <row r="1789" spans="1:35" ht="12.5" hidden="1" x14ac:dyDescent="0.25">
      <c r="A1789" s="9">
        <v>388</v>
      </c>
      <c r="B1789" s="10" t="s">
        <v>14</v>
      </c>
      <c r="C1789" s="10" t="s">
        <v>15</v>
      </c>
      <c r="D1789" s="10" t="s">
        <v>45</v>
      </c>
      <c r="E1789" s="11" t="s">
        <v>36</v>
      </c>
      <c r="F1789" s="11" t="s">
        <v>17</v>
      </c>
      <c r="G1789" s="10" t="s">
        <v>24</v>
      </c>
      <c r="H1789" s="11" t="s">
        <v>25</v>
      </c>
      <c r="I1789" s="11" t="s">
        <v>113</v>
      </c>
      <c r="J1789" s="11"/>
      <c r="K1789" s="11" t="s">
        <v>127</v>
      </c>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4"/>
    </row>
    <row r="1790" spans="1:35" ht="12.5" hidden="1" x14ac:dyDescent="0.25">
      <c r="A1790" s="9">
        <v>389</v>
      </c>
      <c r="B1790" s="10" t="s">
        <v>14</v>
      </c>
      <c r="C1790" s="10" t="s">
        <v>15</v>
      </c>
      <c r="D1790" s="10" t="s">
        <v>45</v>
      </c>
      <c r="E1790" s="11" t="s">
        <v>36</v>
      </c>
      <c r="F1790" s="11" t="s">
        <v>17</v>
      </c>
      <c r="G1790" s="10" t="s">
        <v>18</v>
      </c>
      <c r="H1790" s="11" t="s">
        <v>23</v>
      </c>
      <c r="I1790" s="11" t="s">
        <v>113</v>
      </c>
      <c r="J1790" s="11"/>
      <c r="K1790" s="11" t="s">
        <v>127</v>
      </c>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4"/>
    </row>
    <row r="1791" spans="1:35" ht="12.5" hidden="1" x14ac:dyDescent="0.25">
      <c r="A1791" s="9">
        <v>390</v>
      </c>
      <c r="B1791" s="10" t="s">
        <v>14</v>
      </c>
      <c r="C1791" s="10" t="s">
        <v>15</v>
      </c>
      <c r="D1791" s="10" t="s">
        <v>45</v>
      </c>
      <c r="E1791" s="11" t="s">
        <v>36</v>
      </c>
      <c r="F1791" s="11" t="s">
        <v>17</v>
      </c>
      <c r="G1791" s="10" t="s">
        <v>18</v>
      </c>
      <c r="H1791" s="11" t="s">
        <v>19</v>
      </c>
      <c r="I1791" s="11" t="s">
        <v>113</v>
      </c>
      <c r="J1791" s="11"/>
      <c r="K1791" s="11" t="s">
        <v>127</v>
      </c>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4"/>
    </row>
    <row r="1792" spans="1:35" ht="12.5" hidden="1" x14ac:dyDescent="0.25">
      <c r="A1792" s="9">
        <v>391</v>
      </c>
      <c r="B1792" s="10" t="s">
        <v>14</v>
      </c>
      <c r="C1792" s="10" t="s">
        <v>15</v>
      </c>
      <c r="D1792" s="10" t="s">
        <v>45</v>
      </c>
      <c r="E1792" s="11" t="s">
        <v>36</v>
      </c>
      <c r="F1792" s="11" t="s">
        <v>17</v>
      </c>
      <c r="G1792" s="10" t="s">
        <v>18</v>
      </c>
      <c r="H1792" s="11" t="s">
        <v>19</v>
      </c>
      <c r="I1792" s="11" t="s">
        <v>113</v>
      </c>
      <c r="J1792" s="11"/>
      <c r="K1792" s="11" t="s">
        <v>127</v>
      </c>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4"/>
    </row>
    <row r="1793" spans="1:35" ht="12.5" hidden="1" x14ac:dyDescent="0.25">
      <c r="A1793" s="9">
        <v>392</v>
      </c>
      <c r="B1793" s="10" t="s">
        <v>14</v>
      </c>
      <c r="C1793" s="10" t="s">
        <v>15</v>
      </c>
      <c r="D1793" s="10" t="s">
        <v>45</v>
      </c>
      <c r="E1793" s="11" t="s">
        <v>36</v>
      </c>
      <c r="F1793" s="11" t="s">
        <v>17</v>
      </c>
      <c r="G1793" s="10" t="s">
        <v>18</v>
      </c>
      <c r="H1793" s="11" t="s">
        <v>19</v>
      </c>
      <c r="I1793" s="11" t="s">
        <v>113</v>
      </c>
      <c r="J1793" s="11"/>
      <c r="K1793" s="11" t="s">
        <v>127</v>
      </c>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4"/>
    </row>
    <row r="1794" spans="1:35" ht="12.5" hidden="1" x14ac:dyDescent="0.25">
      <c r="A1794" s="9">
        <v>393</v>
      </c>
      <c r="B1794" s="10" t="s">
        <v>14</v>
      </c>
      <c r="C1794" s="10" t="s">
        <v>15</v>
      </c>
      <c r="D1794" s="10" t="s">
        <v>45</v>
      </c>
      <c r="E1794" s="11" t="s">
        <v>36</v>
      </c>
      <c r="F1794" s="11" t="s">
        <v>17</v>
      </c>
      <c r="G1794" s="10" t="s">
        <v>18</v>
      </c>
      <c r="H1794" s="11" t="s">
        <v>23</v>
      </c>
      <c r="I1794" s="11" t="s">
        <v>113</v>
      </c>
      <c r="J1794" s="11"/>
      <c r="K1794" s="11" t="s">
        <v>127</v>
      </c>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4"/>
    </row>
    <row r="1795" spans="1:35" ht="12.5" hidden="1" x14ac:dyDescent="0.25">
      <c r="A1795" s="9">
        <v>394</v>
      </c>
      <c r="B1795" s="10" t="s">
        <v>14</v>
      </c>
      <c r="C1795" s="10" t="s">
        <v>15</v>
      </c>
      <c r="D1795" s="10" t="s">
        <v>45</v>
      </c>
      <c r="E1795" s="11" t="s">
        <v>36</v>
      </c>
      <c r="F1795" s="11" t="s">
        <v>17</v>
      </c>
      <c r="G1795" s="10" t="s">
        <v>24</v>
      </c>
      <c r="H1795" s="11" t="s">
        <v>23</v>
      </c>
      <c r="I1795" s="11" t="s">
        <v>113</v>
      </c>
      <c r="J1795" s="11"/>
      <c r="K1795" s="11" t="s">
        <v>127</v>
      </c>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4"/>
    </row>
    <row r="1796" spans="1:35" ht="12.5" hidden="1" x14ac:dyDescent="0.25">
      <c r="A1796" s="9">
        <v>395</v>
      </c>
      <c r="B1796" s="10" t="s">
        <v>14</v>
      </c>
      <c r="C1796" s="10" t="s">
        <v>15</v>
      </c>
      <c r="D1796" s="10" t="s">
        <v>45</v>
      </c>
      <c r="E1796" s="11" t="s">
        <v>36</v>
      </c>
      <c r="F1796" s="11" t="s">
        <v>17</v>
      </c>
      <c r="G1796" s="10" t="s">
        <v>24</v>
      </c>
      <c r="H1796" s="11" t="s">
        <v>23</v>
      </c>
      <c r="I1796" s="11" t="s">
        <v>113</v>
      </c>
      <c r="J1796" s="11"/>
      <c r="K1796" s="11" t="s">
        <v>127</v>
      </c>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4"/>
    </row>
    <row r="1797" spans="1:35" ht="12.5" hidden="1" x14ac:dyDescent="0.25">
      <c r="A1797" s="9">
        <v>396</v>
      </c>
      <c r="B1797" s="10" t="s">
        <v>14</v>
      </c>
      <c r="C1797" s="10" t="s">
        <v>15</v>
      </c>
      <c r="D1797" s="10" t="s">
        <v>45</v>
      </c>
      <c r="E1797" s="11" t="s">
        <v>36</v>
      </c>
      <c r="F1797" s="11" t="s">
        <v>17</v>
      </c>
      <c r="G1797" s="10" t="s">
        <v>24</v>
      </c>
      <c r="H1797" s="11" t="s">
        <v>23</v>
      </c>
      <c r="I1797" s="11" t="s">
        <v>113</v>
      </c>
      <c r="J1797" s="11"/>
      <c r="K1797" s="11" t="s">
        <v>127</v>
      </c>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4"/>
    </row>
    <row r="1798" spans="1:35" ht="12.5" hidden="1" x14ac:dyDescent="0.25">
      <c r="A1798" s="9">
        <v>397</v>
      </c>
      <c r="B1798" s="10" t="s">
        <v>14</v>
      </c>
      <c r="C1798" s="10" t="s">
        <v>15</v>
      </c>
      <c r="D1798" s="10" t="s">
        <v>45</v>
      </c>
      <c r="E1798" s="11" t="s">
        <v>36</v>
      </c>
      <c r="F1798" s="11" t="s">
        <v>17</v>
      </c>
      <c r="G1798" s="10" t="s">
        <v>18</v>
      </c>
      <c r="H1798" s="11" t="s">
        <v>23</v>
      </c>
      <c r="I1798" s="11" t="s">
        <v>113</v>
      </c>
      <c r="J1798" s="11"/>
      <c r="K1798" s="11" t="s">
        <v>127</v>
      </c>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4"/>
    </row>
    <row r="1799" spans="1:35" ht="12.5" hidden="1" x14ac:dyDescent="0.25">
      <c r="A1799" s="9">
        <v>398</v>
      </c>
      <c r="B1799" s="10" t="s">
        <v>14</v>
      </c>
      <c r="C1799" s="10" t="s">
        <v>15</v>
      </c>
      <c r="D1799" s="10" t="s">
        <v>45</v>
      </c>
      <c r="E1799" s="11" t="s">
        <v>36</v>
      </c>
      <c r="F1799" s="11" t="s">
        <v>17</v>
      </c>
      <c r="G1799" s="10" t="s">
        <v>24</v>
      </c>
      <c r="H1799" s="11" t="s">
        <v>19</v>
      </c>
      <c r="I1799" s="11" t="s">
        <v>113</v>
      </c>
      <c r="J1799" s="11"/>
      <c r="K1799" s="11" t="s">
        <v>127</v>
      </c>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4"/>
    </row>
    <row r="1800" spans="1:35" ht="12.5" hidden="1" x14ac:dyDescent="0.25">
      <c r="A1800" s="9">
        <v>399</v>
      </c>
      <c r="B1800" s="10" t="s">
        <v>14</v>
      </c>
      <c r="C1800" s="10" t="s">
        <v>15</v>
      </c>
      <c r="D1800" s="10" t="s">
        <v>45</v>
      </c>
      <c r="E1800" s="11" t="s">
        <v>36</v>
      </c>
      <c r="F1800" s="11" t="s">
        <v>17</v>
      </c>
      <c r="G1800" s="10" t="s">
        <v>18</v>
      </c>
      <c r="H1800" s="11" t="s">
        <v>19</v>
      </c>
      <c r="I1800" s="11" t="s">
        <v>113</v>
      </c>
      <c r="J1800" s="11"/>
      <c r="K1800" s="11" t="s">
        <v>127</v>
      </c>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4"/>
    </row>
    <row r="1801" spans="1:35" ht="12.5" hidden="1" x14ac:dyDescent="0.25">
      <c r="A1801" s="9">
        <v>400</v>
      </c>
      <c r="B1801" s="10" t="s">
        <v>14</v>
      </c>
      <c r="C1801" s="10" t="s">
        <v>15</v>
      </c>
      <c r="D1801" s="10" t="s">
        <v>45</v>
      </c>
      <c r="E1801" s="11" t="s">
        <v>36</v>
      </c>
      <c r="F1801" s="11" t="s">
        <v>17</v>
      </c>
      <c r="G1801" s="10" t="s">
        <v>24</v>
      </c>
      <c r="H1801" s="11" t="s">
        <v>23</v>
      </c>
      <c r="I1801" s="11" t="s">
        <v>113</v>
      </c>
      <c r="J1801" s="11"/>
      <c r="K1801" s="11" t="s">
        <v>127</v>
      </c>
      <c r="L1801" s="11"/>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4"/>
    </row>
    <row r="1802" spans="1:35" ht="12.5" hidden="1" x14ac:dyDescent="0.25">
      <c r="A1802" s="9">
        <v>401</v>
      </c>
      <c r="B1802" s="10" t="s">
        <v>14</v>
      </c>
      <c r="C1802" s="10" t="s">
        <v>15</v>
      </c>
      <c r="D1802" s="10" t="s">
        <v>45</v>
      </c>
      <c r="E1802" s="11" t="s">
        <v>36</v>
      </c>
      <c r="F1802" s="11" t="s">
        <v>17</v>
      </c>
      <c r="G1802" s="10" t="s">
        <v>24</v>
      </c>
      <c r="H1802" s="11" t="s">
        <v>25</v>
      </c>
      <c r="I1802" s="11" t="s">
        <v>113</v>
      </c>
      <c r="J1802" s="11"/>
      <c r="K1802" s="11" t="s">
        <v>127</v>
      </c>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4"/>
    </row>
    <row r="1803" spans="1:35" ht="12.5" hidden="1" x14ac:dyDescent="0.25">
      <c r="A1803" s="9">
        <v>402</v>
      </c>
      <c r="B1803" s="10" t="s">
        <v>14</v>
      </c>
      <c r="C1803" s="10" t="s">
        <v>15</v>
      </c>
      <c r="D1803" s="10" t="s">
        <v>16</v>
      </c>
      <c r="E1803" s="11" t="s">
        <v>36</v>
      </c>
      <c r="F1803" s="11" t="s">
        <v>17</v>
      </c>
      <c r="G1803" s="10" t="s">
        <v>18</v>
      </c>
      <c r="H1803" s="11" t="s">
        <v>19</v>
      </c>
      <c r="I1803" s="11" t="s">
        <v>113</v>
      </c>
      <c r="J1803" s="11"/>
      <c r="K1803" s="11" t="s">
        <v>127</v>
      </c>
      <c r="L1803" s="11"/>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4"/>
    </row>
    <row r="1804" spans="1:35" ht="12.5" hidden="1" x14ac:dyDescent="0.25">
      <c r="A1804" s="9">
        <v>403</v>
      </c>
      <c r="B1804" s="10" t="s">
        <v>14</v>
      </c>
      <c r="C1804" s="10" t="s">
        <v>15</v>
      </c>
      <c r="D1804" s="10" t="s">
        <v>16</v>
      </c>
      <c r="E1804" s="11" t="s">
        <v>36</v>
      </c>
      <c r="F1804" s="11" t="s">
        <v>17</v>
      </c>
      <c r="G1804" s="10" t="s">
        <v>24</v>
      </c>
      <c r="H1804" s="11" t="s">
        <v>19</v>
      </c>
      <c r="I1804" s="11" t="s">
        <v>113</v>
      </c>
      <c r="J1804" s="11"/>
      <c r="K1804" s="11" t="s">
        <v>127</v>
      </c>
      <c r="L1804" s="11"/>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4"/>
    </row>
    <row r="1805" spans="1:35" ht="12.5" hidden="1" x14ac:dyDescent="0.25">
      <c r="A1805" s="9">
        <v>404</v>
      </c>
      <c r="B1805" s="10" t="s">
        <v>14</v>
      </c>
      <c r="C1805" s="10" t="s">
        <v>15</v>
      </c>
      <c r="D1805" s="10" t="s">
        <v>16</v>
      </c>
      <c r="E1805" s="11" t="s">
        <v>36</v>
      </c>
      <c r="F1805" s="11" t="s">
        <v>17</v>
      </c>
      <c r="G1805" s="10" t="s">
        <v>24</v>
      </c>
      <c r="H1805" s="11" t="s">
        <v>19</v>
      </c>
      <c r="I1805" s="11" t="s">
        <v>113</v>
      </c>
      <c r="J1805" s="11"/>
      <c r="K1805" s="11" t="s">
        <v>127</v>
      </c>
      <c r="L1805" s="11"/>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4"/>
    </row>
    <row r="1806" spans="1:35" ht="12.5" hidden="1" x14ac:dyDescent="0.25">
      <c r="A1806" s="9">
        <v>405</v>
      </c>
      <c r="B1806" s="10" t="s">
        <v>14</v>
      </c>
      <c r="C1806" s="10" t="s">
        <v>15</v>
      </c>
      <c r="D1806" s="10" t="s">
        <v>16</v>
      </c>
      <c r="E1806" s="11" t="s">
        <v>36</v>
      </c>
      <c r="F1806" s="11" t="s">
        <v>17</v>
      </c>
      <c r="G1806" s="10" t="s">
        <v>18</v>
      </c>
      <c r="H1806" s="11" t="s">
        <v>19</v>
      </c>
      <c r="I1806" s="11" t="s">
        <v>113</v>
      </c>
      <c r="J1806" s="11"/>
      <c r="K1806" s="11" t="s">
        <v>127</v>
      </c>
      <c r="L1806" s="11"/>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4"/>
    </row>
    <row r="1807" spans="1:35" ht="12.5" hidden="1" x14ac:dyDescent="0.25">
      <c r="A1807" s="9">
        <v>406</v>
      </c>
      <c r="B1807" s="10" t="s">
        <v>14</v>
      </c>
      <c r="C1807" s="10" t="s">
        <v>15</v>
      </c>
      <c r="D1807" s="10" t="s">
        <v>16</v>
      </c>
      <c r="E1807" s="11" t="s">
        <v>36</v>
      </c>
      <c r="F1807" s="11" t="s">
        <v>17</v>
      </c>
      <c r="G1807" s="10" t="s">
        <v>18</v>
      </c>
      <c r="H1807" s="11" t="s">
        <v>19</v>
      </c>
      <c r="I1807" s="11" t="s">
        <v>113</v>
      </c>
      <c r="J1807" s="11"/>
      <c r="K1807" s="11" t="s">
        <v>127</v>
      </c>
      <c r="L1807" s="11"/>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4"/>
    </row>
    <row r="1808" spans="1:35" ht="12.5" hidden="1" x14ac:dyDescent="0.25">
      <c r="A1808" s="9">
        <v>407</v>
      </c>
      <c r="B1808" s="10" t="s">
        <v>14</v>
      </c>
      <c r="C1808" s="10" t="s">
        <v>15</v>
      </c>
      <c r="D1808" s="10" t="s">
        <v>16</v>
      </c>
      <c r="E1808" s="11" t="s">
        <v>36</v>
      </c>
      <c r="F1808" s="11" t="s">
        <v>17</v>
      </c>
      <c r="G1808" s="10" t="s">
        <v>24</v>
      </c>
      <c r="H1808" s="11" t="s">
        <v>19</v>
      </c>
      <c r="I1808" s="11" t="s">
        <v>113</v>
      </c>
      <c r="J1808" s="11"/>
      <c r="K1808" s="11" t="s">
        <v>127</v>
      </c>
      <c r="L1808" s="11"/>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4"/>
    </row>
    <row r="1809" spans="1:35" ht="12.5" hidden="1" x14ac:dyDescent="0.25">
      <c r="A1809" s="9">
        <v>408</v>
      </c>
      <c r="B1809" s="10" t="s">
        <v>14</v>
      </c>
      <c r="C1809" s="10" t="s">
        <v>15</v>
      </c>
      <c r="D1809" s="10" t="s">
        <v>16</v>
      </c>
      <c r="E1809" s="11" t="s">
        <v>36</v>
      </c>
      <c r="F1809" s="11" t="s">
        <v>17</v>
      </c>
      <c r="G1809" s="10" t="s">
        <v>18</v>
      </c>
      <c r="H1809" s="11" t="s">
        <v>19</v>
      </c>
      <c r="I1809" s="11" t="s">
        <v>113</v>
      </c>
      <c r="J1809" s="11"/>
      <c r="K1809" s="11" t="s">
        <v>127</v>
      </c>
      <c r="L1809" s="11"/>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4"/>
    </row>
    <row r="1810" spans="1:35" ht="12.5" hidden="1" x14ac:dyDescent="0.25">
      <c r="A1810" s="9">
        <v>409</v>
      </c>
      <c r="B1810" s="10" t="s">
        <v>14</v>
      </c>
      <c r="C1810" s="10" t="s">
        <v>15</v>
      </c>
      <c r="D1810" s="10" t="s">
        <v>16</v>
      </c>
      <c r="E1810" s="11" t="s">
        <v>36</v>
      </c>
      <c r="F1810" s="11" t="s">
        <v>17</v>
      </c>
      <c r="G1810" s="10" t="s">
        <v>24</v>
      </c>
      <c r="H1810" s="11" t="s">
        <v>19</v>
      </c>
      <c r="I1810" s="11" t="s">
        <v>113</v>
      </c>
      <c r="J1810" s="11"/>
      <c r="K1810" s="11" t="s">
        <v>127</v>
      </c>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4"/>
    </row>
    <row r="1811" spans="1:35" ht="12.5" hidden="1" x14ac:dyDescent="0.25">
      <c r="A1811" s="9">
        <v>410</v>
      </c>
      <c r="B1811" s="10" t="s">
        <v>14</v>
      </c>
      <c r="C1811" s="10" t="s">
        <v>15</v>
      </c>
      <c r="D1811" s="10" t="s">
        <v>16</v>
      </c>
      <c r="E1811" s="11" t="s">
        <v>36</v>
      </c>
      <c r="F1811" s="11" t="s">
        <v>17</v>
      </c>
      <c r="G1811" s="10" t="s">
        <v>18</v>
      </c>
      <c r="H1811" s="11" t="s">
        <v>19</v>
      </c>
      <c r="I1811" s="11" t="s">
        <v>113</v>
      </c>
      <c r="J1811" s="11"/>
      <c r="K1811" s="11" t="s">
        <v>127</v>
      </c>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4"/>
    </row>
    <row r="1812" spans="1:35" ht="12.5" hidden="1" x14ac:dyDescent="0.25">
      <c r="A1812" s="9">
        <v>411</v>
      </c>
      <c r="B1812" s="10" t="s">
        <v>14</v>
      </c>
      <c r="C1812" s="10" t="s">
        <v>15</v>
      </c>
      <c r="D1812" s="10" t="s">
        <v>16</v>
      </c>
      <c r="E1812" s="11" t="s">
        <v>36</v>
      </c>
      <c r="F1812" s="11" t="s">
        <v>17</v>
      </c>
      <c r="G1812" s="10" t="s">
        <v>24</v>
      </c>
      <c r="H1812" s="11" t="s">
        <v>19</v>
      </c>
      <c r="I1812" s="11" t="s">
        <v>113</v>
      </c>
      <c r="J1812" s="11"/>
      <c r="K1812" s="11" t="s">
        <v>127</v>
      </c>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4"/>
    </row>
    <row r="1813" spans="1:35" ht="12.5" hidden="1" x14ac:dyDescent="0.25">
      <c r="A1813" s="9">
        <v>412</v>
      </c>
      <c r="B1813" s="10" t="s">
        <v>14</v>
      </c>
      <c r="C1813" s="10" t="s">
        <v>15</v>
      </c>
      <c r="D1813" s="10" t="s">
        <v>16</v>
      </c>
      <c r="E1813" s="11" t="s">
        <v>36</v>
      </c>
      <c r="F1813" s="11" t="s">
        <v>17</v>
      </c>
      <c r="G1813" s="10" t="s">
        <v>18</v>
      </c>
      <c r="H1813" s="11" t="s">
        <v>19</v>
      </c>
      <c r="I1813" s="11" t="s">
        <v>113</v>
      </c>
      <c r="J1813" s="11"/>
      <c r="K1813" s="11" t="s">
        <v>127</v>
      </c>
      <c r="L1813" s="11"/>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4"/>
    </row>
    <row r="1814" spans="1:35" ht="12.5" hidden="1" x14ac:dyDescent="0.25">
      <c r="A1814" s="9">
        <v>413</v>
      </c>
      <c r="B1814" s="10" t="s">
        <v>14</v>
      </c>
      <c r="C1814" s="10" t="s">
        <v>15</v>
      </c>
      <c r="D1814" s="10" t="s">
        <v>16</v>
      </c>
      <c r="E1814" s="11" t="s">
        <v>36</v>
      </c>
      <c r="F1814" s="11" t="s">
        <v>17</v>
      </c>
      <c r="G1814" s="10" t="s">
        <v>24</v>
      </c>
      <c r="H1814" s="11" t="s">
        <v>19</v>
      </c>
      <c r="I1814" s="11" t="s">
        <v>113</v>
      </c>
      <c r="J1814" s="11"/>
      <c r="K1814" s="11" t="s">
        <v>127</v>
      </c>
      <c r="L1814" s="11"/>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4"/>
    </row>
    <row r="1815" spans="1:35" ht="12.5" hidden="1" x14ac:dyDescent="0.25">
      <c r="A1815" s="9">
        <v>414</v>
      </c>
      <c r="B1815" s="10" t="s">
        <v>14</v>
      </c>
      <c r="C1815" s="10" t="s">
        <v>15</v>
      </c>
      <c r="D1815" s="10" t="s">
        <v>16</v>
      </c>
      <c r="E1815" s="11" t="s">
        <v>36</v>
      </c>
      <c r="F1815" s="11" t="s">
        <v>17</v>
      </c>
      <c r="G1815" s="10" t="s">
        <v>18</v>
      </c>
      <c r="H1815" s="11" t="s">
        <v>19</v>
      </c>
      <c r="I1815" s="11" t="s">
        <v>113</v>
      </c>
      <c r="J1815" s="11"/>
      <c r="K1815" s="11" t="s">
        <v>127</v>
      </c>
      <c r="L1815" s="11"/>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4"/>
    </row>
    <row r="1816" spans="1:35" ht="12.5" hidden="1" x14ac:dyDescent="0.25">
      <c r="A1816" s="9">
        <v>415</v>
      </c>
      <c r="B1816" s="10" t="s">
        <v>14</v>
      </c>
      <c r="C1816" s="10" t="s">
        <v>15</v>
      </c>
      <c r="D1816" s="10" t="s">
        <v>16</v>
      </c>
      <c r="E1816" s="11" t="s">
        <v>36</v>
      </c>
      <c r="F1816" s="11" t="s">
        <v>17</v>
      </c>
      <c r="G1816" s="10" t="s">
        <v>24</v>
      </c>
      <c r="H1816" s="11" t="s">
        <v>19</v>
      </c>
      <c r="I1816" s="11" t="s">
        <v>113</v>
      </c>
      <c r="J1816" s="11"/>
      <c r="K1816" s="11" t="s">
        <v>127</v>
      </c>
      <c r="L1816" s="11"/>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4"/>
    </row>
    <row r="1817" spans="1:35" ht="12.5" hidden="1" x14ac:dyDescent="0.25">
      <c r="A1817" s="9">
        <v>416</v>
      </c>
      <c r="B1817" s="10" t="s">
        <v>14</v>
      </c>
      <c r="C1817" s="10" t="s">
        <v>15</v>
      </c>
      <c r="D1817" s="10" t="s">
        <v>16</v>
      </c>
      <c r="E1817" s="11" t="s">
        <v>36</v>
      </c>
      <c r="F1817" s="11" t="s">
        <v>17</v>
      </c>
      <c r="G1817" s="10" t="s">
        <v>18</v>
      </c>
      <c r="H1817" s="11" t="s">
        <v>19</v>
      </c>
      <c r="I1817" s="11" t="s">
        <v>113</v>
      </c>
      <c r="J1817" s="11"/>
      <c r="K1817" s="11" t="s">
        <v>127</v>
      </c>
      <c r="L1817" s="11"/>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4"/>
    </row>
    <row r="1818" spans="1:35" ht="12.5" hidden="1" x14ac:dyDescent="0.25">
      <c r="A1818" s="9">
        <v>417</v>
      </c>
      <c r="B1818" s="10" t="s">
        <v>14</v>
      </c>
      <c r="C1818" s="10" t="s">
        <v>15</v>
      </c>
      <c r="D1818" s="10" t="s">
        <v>16</v>
      </c>
      <c r="E1818" s="11" t="s">
        <v>36</v>
      </c>
      <c r="F1818" s="11" t="s">
        <v>17</v>
      </c>
      <c r="G1818" s="10" t="s">
        <v>24</v>
      </c>
      <c r="H1818" s="11" t="s">
        <v>19</v>
      </c>
      <c r="I1818" s="11" t="s">
        <v>113</v>
      </c>
      <c r="J1818" s="11"/>
      <c r="K1818" s="11" t="s">
        <v>127</v>
      </c>
      <c r="L1818" s="11"/>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4"/>
    </row>
    <row r="1819" spans="1:35" ht="12.5" hidden="1" x14ac:dyDescent="0.25">
      <c r="A1819" s="9">
        <v>418</v>
      </c>
      <c r="B1819" s="10" t="s">
        <v>14</v>
      </c>
      <c r="C1819" s="10" t="s">
        <v>15</v>
      </c>
      <c r="D1819" s="10" t="s">
        <v>16</v>
      </c>
      <c r="E1819" s="11" t="s">
        <v>36</v>
      </c>
      <c r="F1819" s="11" t="s">
        <v>17</v>
      </c>
      <c r="G1819" s="10" t="s">
        <v>24</v>
      </c>
      <c r="H1819" s="11" t="s">
        <v>19</v>
      </c>
      <c r="I1819" s="11" t="s">
        <v>113</v>
      </c>
      <c r="J1819" s="11"/>
      <c r="K1819" s="11" t="s">
        <v>127</v>
      </c>
      <c r="L1819" s="11"/>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4"/>
    </row>
    <row r="1820" spans="1:35" ht="12.5" hidden="1" x14ac:dyDescent="0.25">
      <c r="A1820" s="9">
        <v>419</v>
      </c>
      <c r="B1820" s="10" t="s">
        <v>14</v>
      </c>
      <c r="C1820" s="10" t="s">
        <v>15</v>
      </c>
      <c r="D1820" s="10" t="s">
        <v>16</v>
      </c>
      <c r="E1820" s="11" t="s">
        <v>36</v>
      </c>
      <c r="F1820" s="11" t="s">
        <v>17</v>
      </c>
      <c r="G1820" s="10" t="s">
        <v>24</v>
      </c>
      <c r="H1820" s="11" t="s">
        <v>19</v>
      </c>
      <c r="I1820" s="11" t="s">
        <v>113</v>
      </c>
      <c r="J1820" s="11"/>
      <c r="K1820" s="11" t="s">
        <v>127</v>
      </c>
      <c r="L1820" s="11"/>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4"/>
    </row>
    <row r="1821" spans="1:35" ht="12.5" hidden="1" x14ac:dyDescent="0.25">
      <c r="A1821" s="9">
        <v>420</v>
      </c>
      <c r="B1821" s="10" t="s">
        <v>14</v>
      </c>
      <c r="C1821" s="10" t="s">
        <v>15</v>
      </c>
      <c r="D1821" s="10" t="s">
        <v>16</v>
      </c>
      <c r="E1821" s="11" t="s">
        <v>36</v>
      </c>
      <c r="F1821" s="11" t="s">
        <v>17</v>
      </c>
      <c r="G1821" s="10" t="s">
        <v>24</v>
      </c>
      <c r="H1821" s="11" t="s">
        <v>19</v>
      </c>
      <c r="I1821" s="11" t="s">
        <v>113</v>
      </c>
      <c r="J1821" s="11"/>
      <c r="K1821" s="11" t="s">
        <v>127</v>
      </c>
      <c r="L1821" s="11"/>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4"/>
    </row>
    <row r="1822" spans="1:35" ht="12.5" hidden="1" x14ac:dyDescent="0.25">
      <c r="A1822" s="9">
        <v>421</v>
      </c>
      <c r="B1822" s="10" t="s">
        <v>14</v>
      </c>
      <c r="C1822" s="10" t="s">
        <v>15</v>
      </c>
      <c r="D1822" s="10" t="s">
        <v>16</v>
      </c>
      <c r="E1822" s="11" t="s">
        <v>36</v>
      </c>
      <c r="F1822" s="11" t="s">
        <v>17</v>
      </c>
      <c r="G1822" s="10" t="s">
        <v>18</v>
      </c>
      <c r="H1822" s="11" t="s">
        <v>19</v>
      </c>
      <c r="I1822" s="11" t="s">
        <v>113</v>
      </c>
      <c r="J1822" s="11"/>
      <c r="K1822" s="11" t="s">
        <v>127</v>
      </c>
      <c r="L1822" s="11"/>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4"/>
    </row>
    <row r="1823" spans="1:35" ht="12.5" hidden="1" x14ac:dyDescent="0.25">
      <c r="A1823" s="9">
        <v>422</v>
      </c>
      <c r="B1823" s="10" t="s">
        <v>14</v>
      </c>
      <c r="C1823" s="10" t="s">
        <v>15</v>
      </c>
      <c r="D1823" s="10" t="s">
        <v>16</v>
      </c>
      <c r="E1823" s="11" t="s">
        <v>36</v>
      </c>
      <c r="F1823" s="11" t="s">
        <v>17</v>
      </c>
      <c r="G1823" s="10" t="s">
        <v>24</v>
      </c>
      <c r="H1823" s="11" t="s">
        <v>19</v>
      </c>
      <c r="I1823" s="11" t="s">
        <v>113</v>
      </c>
      <c r="J1823" s="11"/>
      <c r="K1823" s="11" t="s">
        <v>127</v>
      </c>
      <c r="L1823" s="11"/>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4"/>
    </row>
    <row r="1824" spans="1:35" ht="12.5" hidden="1" x14ac:dyDescent="0.25">
      <c r="A1824" s="9">
        <v>423</v>
      </c>
      <c r="B1824" s="10" t="s">
        <v>14</v>
      </c>
      <c r="C1824" s="10" t="s">
        <v>15</v>
      </c>
      <c r="D1824" s="10" t="s">
        <v>16</v>
      </c>
      <c r="E1824" s="11" t="s">
        <v>36</v>
      </c>
      <c r="F1824" s="11" t="s">
        <v>17</v>
      </c>
      <c r="G1824" s="10" t="s">
        <v>18</v>
      </c>
      <c r="H1824" s="11" t="s">
        <v>19</v>
      </c>
      <c r="I1824" s="11" t="s">
        <v>113</v>
      </c>
      <c r="J1824" s="11"/>
      <c r="K1824" s="11" t="s">
        <v>127</v>
      </c>
      <c r="L1824" s="11"/>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4"/>
    </row>
    <row r="1825" spans="1:35" ht="12.5" hidden="1" x14ac:dyDescent="0.25">
      <c r="A1825" s="9">
        <v>424</v>
      </c>
      <c r="B1825" s="10" t="s">
        <v>14</v>
      </c>
      <c r="C1825" s="10" t="s">
        <v>15</v>
      </c>
      <c r="D1825" s="10" t="s">
        <v>16</v>
      </c>
      <c r="E1825" s="11" t="s">
        <v>36</v>
      </c>
      <c r="F1825" s="11" t="s">
        <v>17</v>
      </c>
      <c r="G1825" s="10" t="s">
        <v>18</v>
      </c>
      <c r="H1825" s="11" t="s">
        <v>19</v>
      </c>
      <c r="I1825" s="11" t="s">
        <v>113</v>
      </c>
      <c r="J1825" s="11"/>
      <c r="K1825" s="11" t="s">
        <v>127</v>
      </c>
      <c r="L1825" s="11"/>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4"/>
    </row>
    <row r="1826" spans="1:35" ht="12.5" hidden="1" x14ac:dyDescent="0.25">
      <c r="A1826" s="9">
        <v>425</v>
      </c>
      <c r="B1826" s="10" t="s">
        <v>14</v>
      </c>
      <c r="C1826" s="10" t="s">
        <v>15</v>
      </c>
      <c r="D1826" s="10" t="s">
        <v>16</v>
      </c>
      <c r="E1826" s="11" t="s">
        <v>36</v>
      </c>
      <c r="F1826" s="11" t="s">
        <v>17</v>
      </c>
      <c r="G1826" s="10" t="s">
        <v>24</v>
      </c>
      <c r="H1826" s="11" t="s">
        <v>19</v>
      </c>
      <c r="I1826" s="11" t="s">
        <v>113</v>
      </c>
      <c r="J1826" s="11"/>
      <c r="K1826" s="11" t="s">
        <v>127</v>
      </c>
      <c r="L1826" s="11"/>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4"/>
    </row>
    <row r="1827" spans="1:35" ht="12.5" hidden="1" x14ac:dyDescent="0.25">
      <c r="A1827" s="9">
        <v>426</v>
      </c>
      <c r="B1827" s="10" t="s">
        <v>14</v>
      </c>
      <c r="C1827" s="10" t="s">
        <v>15</v>
      </c>
      <c r="D1827" s="10" t="s">
        <v>16</v>
      </c>
      <c r="E1827" s="11" t="s">
        <v>36</v>
      </c>
      <c r="F1827" s="11" t="s">
        <v>17</v>
      </c>
      <c r="G1827" s="10" t="s">
        <v>18</v>
      </c>
      <c r="H1827" s="11" t="s">
        <v>19</v>
      </c>
      <c r="I1827" s="11" t="s">
        <v>113</v>
      </c>
      <c r="J1827" s="11"/>
      <c r="K1827" s="11" t="s">
        <v>127</v>
      </c>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4"/>
    </row>
    <row r="1828" spans="1:35" ht="12.5" hidden="1" x14ac:dyDescent="0.25">
      <c r="A1828" s="9">
        <v>427</v>
      </c>
      <c r="B1828" s="10" t="s">
        <v>14</v>
      </c>
      <c r="C1828" s="10" t="s">
        <v>15</v>
      </c>
      <c r="D1828" s="10" t="s">
        <v>16</v>
      </c>
      <c r="E1828" s="11" t="s">
        <v>36</v>
      </c>
      <c r="F1828" s="11" t="s">
        <v>17</v>
      </c>
      <c r="G1828" s="10" t="s">
        <v>18</v>
      </c>
      <c r="H1828" s="11" t="s">
        <v>19</v>
      </c>
      <c r="I1828" s="11" t="s">
        <v>113</v>
      </c>
      <c r="J1828" s="11"/>
      <c r="K1828" s="11" t="s">
        <v>127</v>
      </c>
      <c r="L1828" s="11"/>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4"/>
    </row>
    <row r="1829" spans="1:35" ht="12.5" hidden="1" x14ac:dyDescent="0.25">
      <c r="A1829" s="9">
        <v>428</v>
      </c>
      <c r="B1829" s="10" t="s">
        <v>14</v>
      </c>
      <c r="C1829" s="10" t="s">
        <v>15</v>
      </c>
      <c r="D1829" s="10" t="s">
        <v>16</v>
      </c>
      <c r="E1829" s="11" t="s">
        <v>36</v>
      </c>
      <c r="F1829" s="11" t="s">
        <v>17</v>
      </c>
      <c r="G1829" s="10" t="s">
        <v>24</v>
      </c>
      <c r="H1829" s="11" t="s">
        <v>23</v>
      </c>
      <c r="I1829" s="11" t="s">
        <v>113</v>
      </c>
      <c r="J1829" s="11"/>
      <c r="K1829" s="11" t="s">
        <v>127</v>
      </c>
      <c r="L1829" s="11"/>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4"/>
    </row>
    <row r="1830" spans="1:35" ht="12.5" hidden="1" x14ac:dyDescent="0.25">
      <c r="A1830" s="9">
        <v>429</v>
      </c>
      <c r="B1830" s="10" t="s">
        <v>14</v>
      </c>
      <c r="C1830" s="10" t="s">
        <v>15</v>
      </c>
      <c r="D1830" s="10" t="s">
        <v>16</v>
      </c>
      <c r="E1830" s="11" t="s">
        <v>36</v>
      </c>
      <c r="F1830" s="11" t="s">
        <v>17</v>
      </c>
      <c r="G1830" s="10" t="s">
        <v>18</v>
      </c>
      <c r="H1830" s="11" t="s">
        <v>19</v>
      </c>
      <c r="I1830" s="11" t="s">
        <v>113</v>
      </c>
      <c r="J1830" s="11"/>
      <c r="K1830" s="11" t="s">
        <v>127</v>
      </c>
      <c r="L1830" s="11"/>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4"/>
    </row>
    <row r="1831" spans="1:35" ht="12.5" hidden="1" x14ac:dyDescent="0.25">
      <c r="A1831" s="9">
        <v>430</v>
      </c>
      <c r="B1831" s="10" t="s">
        <v>14</v>
      </c>
      <c r="C1831" s="10" t="s">
        <v>15</v>
      </c>
      <c r="D1831" s="10" t="s">
        <v>37</v>
      </c>
      <c r="E1831" s="11" t="s">
        <v>36</v>
      </c>
      <c r="F1831" s="11" t="s">
        <v>17</v>
      </c>
      <c r="G1831" s="10" t="s">
        <v>24</v>
      </c>
      <c r="H1831" s="11" t="s">
        <v>23</v>
      </c>
      <c r="I1831" s="11" t="s">
        <v>113</v>
      </c>
      <c r="J1831" s="11"/>
      <c r="K1831" s="11" t="s">
        <v>127</v>
      </c>
      <c r="L1831" s="11"/>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4"/>
    </row>
    <row r="1832" spans="1:35" ht="12.5" hidden="1" x14ac:dyDescent="0.25">
      <c r="A1832" s="9">
        <v>431</v>
      </c>
      <c r="B1832" s="10" t="s">
        <v>14</v>
      </c>
      <c r="C1832" s="10" t="s">
        <v>15</v>
      </c>
      <c r="D1832" s="10" t="s">
        <v>37</v>
      </c>
      <c r="E1832" s="11" t="s">
        <v>36</v>
      </c>
      <c r="F1832" s="11" t="s">
        <v>17</v>
      </c>
      <c r="G1832" s="10" t="s">
        <v>18</v>
      </c>
      <c r="H1832" s="11" t="s">
        <v>23</v>
      </c>
      <c r="I1832" s="11" t="s">
        <v>113</v>
      </c>
      <c r="J1832" s="11"/>
      <c r="K1832" s="11" t="s">
        <v>127</v>
      </c>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4"/>
    </row>
    <row r="1833" spans="1:35" ht="12.5" hidden="1" x14ac:dyDescent="0.25">
      <c r="A1833" s="9">
        <v>432</v>
      </c>
      <c r="B1833" s="10" t="s">
        <v>14</v>
      </c>
      <c r="C1833" s="10" t="s">
        <v>15</v>
      </c>
      <c r="D1833" s="10" t="s">
        <v>37</v>
      </c>
      <c r="E1833" s="11" t="s">
        <v>36</v>
      </c>
      <c r="F1833" s="11" t="s">
        <v>17</v>
      </c>
      <c r="G1833" s="10" t="s">
        <v>24</v>
      </c>
      <c r="H1833" s="11" t="s">
        <v>23</v>
      </c>
      <c r="I1833" s="11" t="s">
        <v>113</v>
      </c>
      <c r="J1833" s="11"/>
      <c r="K1833" s="11" t="s">
        <v>127</v>
      </c>
      <c r="L1833" s="11"/>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4"/>
    </row>
    <row r="1834" spans="1:35" ht="12.5" hidden="1" x14ac:dyDescent="0.25">
      <c r="A1834" s="9">
        <v>433</v>
      </c>
      <c r="B1834" s="10" t="s">
        <v>14</v>
      </c>
      <c r="C1834" s="10" t="s">
        <v>15</v>
      </c>
      <c r="D1834" s="10" t="s">
        <v>37</v>
      </c>
      <c r="E1834" s="11" t="s">
        <v>36</v>
      </c>
      <c r="F1834" s="11" t="s">
        <v>17</v>
      </c>
      <c r="G1834" s="10" t="s">
        <v>24</v>
      </c>
      <c r="H1834" s="11" t="s">
        <v>25</v>
      </c>
      <c r="I1834" s="11" t="s">
        <v>113</v>
      </c>
      <c r="J1834" s="11"/>
      <c r="K1834" s="11" t="s">
        <v>127</v>
      </c>
      <c r="L1834" s="11"/>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4"/>
    </row>
    <row r="1835" spans="1:35" ht="12.5" hidden="1" x14ac:dyDescent="0.25">
      <c r="A1835" s="9">
        <v>434</v>
      </c>
      <c r="B1835" s="10" t="s">
        <v>14</v>
      </c>
      <c r="C1835" s="10" t="s">
        <v>15</v>
      </c>
      <c r="D1835" s="10" t="s">
        <v>37</v>
      </c>
      <c r="E1835" s="11" t="s">
        <v>36</v>
      </c>
      <c r="F1835" s="11" t="s">
        <v>17</v>
      </c>
      <c r="G1835" s="10" t="s">
        <v>24</v>
      </c>
      <c r="H1835" s="11" t="s">
        <v>25</v>
      </c>
      <c r="I1835" s="11" t="s">
        <v>113</v>
      </c>
      <c r="J1835" s="11"/>
      <c r="K1835" s="11" t="s">
        <v>127</v>
      </c>
      <c r="L1835" s="11"/>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4"/>
    </row>
    <row r="1836" spans="1:35" ht="12.5" hidden="1" x14ac:dyDescent="0.25">
      <c r="A1836" s="9">
        <v>435</v>
      </c>
      <c r="B1836" s="10" t="s">
        <v>14</v>
      </c>
      <c r="C1836" s="10" t="s">
        <v>15</v>
      </c>
      <c r="D1836" s="10" t="s">
        <v>37</v>
      </c>
      <c r="E1836" s="11" t="s">
        <v>36</v>
      </c>
      <c r="F1836" s="11" t="s">
        <v>17</v>
      </c>
      <c r="G1836" s="10" t="s">
        <v>18</v>
      </c>
      <c r="H1836" s="11" t="s">
        <v>19</v>
      </c>
      <c r="I1836" s="11" t="s">
        <v>113</v>
      </c>
      <c r="J1836" s="11"/>
      <c r="K1836" s="11" t="s">
        <v>127</v>
      </c>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4"/>
    </row>
    <row r="1837" spans="1:35" ht="12.5" hidden="1" x14ac:dyDescent="0.25">
      <c r="A1837" s="9">
        <v>436</v>
      </c>
      <c r="B1837" s="10" t="s">
        <v>14</v>
      </c>
      <c r="C1837" s="10" t="s">
        <v>15</v>
      </c>
      <c r="D1837" s="10" t="s">
        <v>37</v>
      </c>
      <c r="E1837" s="11" t="s">
        <v>36</v>
      </c>
      <c r="F1837" s="11" t="s">
        <v>17</v>
      </c>
      <c r="G1837" s="10" t="s">
        <v>24</v>
      </c>
      <c r="H1837" s="11" t="s">
        <v>23</v>
      </c>
      <c r="I1837" s="11" t="s">
        <v>113</v>
      </c>
      <c r="J1837" s="11"/>
      <c r="K1837" s="11" t="s">
        <v>127</v>
      </c>
      <c r="L1837" s="11"/>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4"/>
    </row>
    <row r="1838" spans="1:35" ht="12.5" hidden="1" x14ac:dyDescent="0.25">
      <c r="A1838" s="9">
        <v>437</v>
      </c>
      <c r="B1838" s="10" t="s">
        <v>14</v>
      </c>
      <c r="C1838" s="10" t="s">
        <v>15</v>
      </c>
      <c r="D1838" s="10" t="s">
        <v>37</v>
      </c>
      <c r="E1838" s="11" t="s">
        <v>36</v>
      </c>
      <c r="F1838" s="11" t="s">
        <v>17</v>
      </c>
      <c r="G1838" s="10" t="s">
        <v>18</v>
      </c>
      <c r="H1838" s="11" t="s">
        <v>23</v>
      </c>
      <c r="I1838" s="11" t="s">
        <v>113</v>
      </c>
      <c r="J1838" s="11"/>
      <c r="K1838" s="11" t="s">
        <v>127</v>
      </c>
      <c r="L1838" s="11"/>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4"/>
    </row>
    <row r="1839" spans="1:35" ht="12.5" hidden="1" x14ac:dyDescent="0.25">
      <c r="A1839" s="9">
        <v>438</v>
      </c>
      <c r="B1839" s="10" t="s">
        <v>14</v>
      </c>
      <c r="C1839" s="10" t="s">
        <v>15</v>
      </c>
      <c r="D1839" s="10" t="s">
        <v>37</v>
      </c>
      <c r="E1839" s="11" t="s">
        <v>36</v>
      </c>
      <c r="F1839" s="11" t="s">
        <v>17</v>
      </c>
      <c r="G1839" s="10" t="s">
        <v>18</v>
      </c>
      <c r="H1839" s="11" t="s">
        <v>19</v>
      </c>
      <c r="I1839" s="11" t="s">
        <v>113</v>
      </c>
      <c r="J1839" s="11"/>
      <c r="K1839" s="11" t="s">
        <v>127</v>
      </c>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4"/>
    </row>
    <row r="1840" spans="1:35" ht="12.5" hidden="1" x14ac:dyDescent="0.25">
      <c r="A1840" s="9">
        <v>439</v>
      </c>
      <c r="B1840" s="10" t="s">
        <v>14</v>
      </c>
      <c r="C1840" s="10" t="s">
        <v>15</v>
      </c>
      <c r="D1840" s="10" t="s">
        <v>37</v>
      </c>
      <c r="E1840" s="11" t="s">
        <v>36</v>
      </c>
      <c r="F1840" s="11" t="s">
        <v>17</v>
      </c>
      <c r="G1840" s="10" t="s">
        <v>24</v>
      </c>
      <c r="H1840" s="11" t="s">
        <v>19</v>
      </c>
      <c r="I1840" s="11" t="s">
        <v>113</v>
      </c>
      <c r="J1840" s="11"/>
      <c r="K1840" s="11" t="s">
        <v>127</v>
      </c>
      <c r="L1840" s="11"/>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4"/>
    </row>
    <row r="1841" spans="1:35" ht="12.5" hidden="1" x14ac:dyDescent="0.25">
      <c r="A1841" s="9">
        <v>440</v>
      </c>
      <c r="B1841" s="10" t="s">
        <v>14</v>
      </c>
      <c r="C1841" s="10" t="s">
        <v>15</v>
      </c>
      <c r="D1841" s="10" t="s">
        <v>37</v>
      </c>
      <c r="E1841" s="11" t="s">
        <v>36</v>
      </c>
      <c r="F1841" s="11" t="s">
        <v>17</v>
      </c>
      <c r="G1841" s="10" t="s">
        <v>18</v>
      </c>
      <c r="H1841" s="11" t="s">
        <v>19</v>
      </c>
      <c r="I1841" s="11" t="s">
        <v>113</v>
      </c>
      <c r="J1841" s="11"/>
      <c r="K1841" s="11" t="s">
        <v>127</v>
      </c>
      <c r="L1841" s="11"/>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4"/>
    </row>
    <row r="1842" spans="1:35" ht="12.5" hidden="1" x14ac:dyDescent="0.25">
      <c r="A1842" s="9">
        <v>441</v>
      </c>
      <c r="B1842" s="10" t="s">
        <v>14</v>
      </c>
      <c r="C1842" s="10" t="s">
        <v>15</v>
      </c>
      <c r="D1842" s="10" t="s">
        <v>37</v>
      </c>
      <c r="E1842" s="11" t="s">
        <v>36</v>
      </c>
      <c r="F1842" s="11" t="s">
        <v>17</v>
      </c>
      <c r="G1842" s="10" t="s">
        <v>18</v>
      </c>
      <c r="H1842" s="11" t="s">
        <v>23</v>
      </c>
      <c r="I1842" s="11" t="s">
        <v>113</v>
      </c>
      <c r="J1842" s="11"/>
      <c r="K1842" s="11" t="s">
        <v>127</v>
      </c>
      <c r="L1842" s="11"/>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4"/>
    </row>
    <row r="1843" spans="1:35" ht="12.5" hidden="1" x14ac:dyDescent="0.25">
      <c r="A1843" s="9">
        <v>442</v>
      </c>
      <c r="B1843" s="10" t="s">
        <v>14</v>
      </c>
      <c r="C1843" s="10" t="s">
        <v>15</v>
      </c>
      <c r="D1843" s="10" t="s">
        <v>37</v>
      </c>
      <c r="E1843" s="11" t="s">
        <v>36</v>
      </c>
      <c r="F1843" s="11" t="s">
        <v>17</v>
      </c>
      <c r="G1843" s="10" t="s">
        <v>18</v>
      </c>
      <c r="H1843" s="11" t="s">
        <v>23</v>
      </c>
      <c r="I1843" s="11" t="s">
        <v>113</v>
      </c>
      <c r="J1843" s="11"/>
      <c r="K1843" s="11" t="s">
        <v>127</v>
      </c>
      <c r="L1843" s="11"/>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4"/>
    </row>
    <row r="1844" spans="1:35" ht="12.5" hidden="1" x14ac:dyDescent="0.25">
      <c r="A1844" s="9">
        <v>443</v>
      </c>
      <c r="B1844" s="10" t="s">
        <v>14</v>
      </c>
      <c r="C1844" s="10" t="s">
        <v>15</v>
      </c>
      <c r="D1844" s="10" t="s">
        <v>37</v>
      </c>
      <c r="E1844" s="11" t="s">
        <v>36</v>
      </c>
      <c r="F1844" s="11" t="s">
        <v>17</v>
      </c>
      <c r="G1844" s="10" t="s">
        <v>24</v>
      </c>
      <c r="H1844" s="11" t="s">
        <v>23</v>
      </c>
      <c r="I1844" s="11" t="s">
        <v>113</v>
      </c>
      <c r="J1844" s="11"/>
      <c r="K1844" s="11" t="s">
        <v>127</v>
      </c>
      <c r="L1844" s="11"/>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4"/>
    </row>
    <row r="1845" spans="1:35" ht="12.5" hidden="1" x14ac:dyDescent="0.25">
      <c r="A1845" s="9">
        <v>444</v>
      </c>
      <c r="B1845" s="10" t="s">
        <v>14</v>
      </c>
      <c r="C1845" s="10" t="s">
        <v>15</v>
      </c>
      <c r="D1845" s="10" t="s">
        <v>37</v>
      </c>
      <c r="E1845" s="11" t="s">
        <v>36</v>
      </c>
      <c r="F1845" s="11" t="s">
        <v>17</v>
      </c>
      <c r="G1845" s="10" t="s">
        <v>24</v>
      </c>
      <c r="H1845" s="11" t="s">
        <v>23</v>
      </c>
      <c r="I1845" s="11" t="s">
        <v>113</v>
      </c>
      <c r="J1845" s="11"/>
      <c r="K1845" s="11" t="s">
        <v>127</v>
      </c>
      <c r="L1845" s="11"/>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4"/>
    </row>
    <row r="1846" spans="1:35" ht="12.5" hidden="1" x14ac:dyDescent="0.25">
      <c r="A1846" s="9">
        <v>445</v>
      </c>
      <c r="B1846" s="10" t="s">
        <v>14</v>
      </c>
      <c r="C1846" s="10" t="s">
        <v>15</v>
      </c>
      <c r="D1846" s="10" t="s">
        <v>37</v>
      </c>
      <c r="E1846" s="11" t="s">
        <v>36</v>
      </c>
      <c r="F1846" s="11" t="s">
        <v>17</v>
      </c>
      <c r="G1846" s="10" t="s">
        <v>18</v>
      </c>
      <c r="H1846" s="11" t="s">
        <v>19</v>
      </c>
      <c r="I1846" s="11" t="s">
        <v>113</v>
      </c>
      <c r="J1846" s="11"/>
      <c r="K1846" s="11" t="s">
        <v>127</v>
      </c>
      <c r="L1846" s="11"/>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4"/>
    </row>
    <row r="1847" spans="1:35" ht="12.5" hidden="1" x14ac:dyDescent="0.25">
      <c r="A1847" s="9">
        <v>446</v>
      </c>
      <c r="B1847" s="10" t="s">
        <v>14</v>
      </c>
      <c r="C1847" s="10" t="s">
        <v>15</v>
      </c>
      <c r="D1847" s="10" t="s">
        <v>37</v>
      </c>
      <c r="E1847" s="11" t="s">
        <v>36</v>
      </c>
      <c r="F1847" s="11" t="s">
        <v>17</v>
      </c>
      <c r="G1847" s="10" t="s">
        <v>18</v>
      </c>
      <c r="H1847" s="11" t="s">
        <v>23</v>
      </c>
      <c r="I1847" s="11" t="s">
        <v>113</v>
      </c>
      <c r="J1847" s="11"/>
      <c r="K1847" s="11" t="s">
        <v>127</v>
      </c>
      <c r="L1847" s="11"/>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4"/>
    </row>
    <row r="1848" spans="1:35" ht="12.5" hidden="1" x14ac:dyDescent="0.25">
      <c r="A1848" s="9">
        <v>447</v>
      </c>
      <c r="B1848" s="10" t="s">
        <v>14</v>
      </c>
      <c r="C1848" s="10" t="s">
        <v>15</v>
      </c>
      <c r="D1848" s="10" t="s">
        <v>37</v>
      </c>
      <c r="E1848" s="11" t="s">
        <v>36</v>
      </c>
      <c r="F1848" s="11" t="s">
        <v>17</v>
      </c>
      <c r="G1848" s="10" t="s">
        <v>18</v>
      </c>
      <c r="H1848" s="11" t="s">
        <v>19</v>
      </c>
      <c r="I1848" s="11" t="s">
        <v>113</v>
      </c>
      <c r="J1848" s="11"/>
      <c r="K1848" s="11" t="s">
        <v>127</v>
      </c>
      <c r="L1848" s="11"/>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4"/>
    </row>
    <row r="1849" spans="1:35" ht="12.5" hidden="1" x14ac:dyDescent="0.25">
      <c r="A1849" s="9">
        <v>448</v>
      </c>
      <c r="B1849" s="10" t="s">
        <v>14</v>
      </c>
      <c r="C1849" s="10" t="s">
        <v>15</v>
      </c>
      <c r="D1849" s="10" t="s">
        <v>37</v>
      </c>
      <c r="E1849" s="11" t="s">
        <v>36</v>
      </c>
      <c r="F1849" s="11" t="s">
        <v>17</v>
      </c>
      <c r="G1849" s="10" t="s">
        <v>24</v>
      </c>
      <c r="H1849" s="11" t="s">
        <v>23</v>
      </c>
      <c r="I1849" s="11" t="s">
        <v>113</v>
      </c>
      <c r="J1849" s="11"/>
      <c r="K1849" s="11" t="s">
        <v>127</v>
      </c>
      <c r="L1849" s="11"/>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4"/>
    </row>
    <row r="1850" spans="1:35" ht="12.5" hidden="1" x14ac:dyDescent="0.25">
      <c r="A1850" s="9">
        <v>449</v>
      </c>
      <c r="B1850" s="10" t="s">
        <v>14</v>
      </c>
      <c r="C1850" s="10" t="s">
        <v>15</v>
      </c>
      <c r="D1850" s="10" t="s">
        <v>37</v>
      </c>
      <c r="E1850" s="11" t="s">
        <v>36</v>
      </c>
      <c r="F1850" s="11" t="s">
        <v>17</v>
      </c>
      <c r="G1850" s="10" t="s">
        <v>18</v>
      </c>
      <c r="H1850" s="11" t="s">
        <v>23</v>
      </c>
      <c r="I1850" s="11" t="s">
        <v>113</v>
      </c>
      <c r="J1850" s="11"/>
      <c r="K1850" s="11" t="s">
        <v>127</v>
      </c>
      <c r="L1850" s="11"/>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4"/>
    </row>
    <row r="1851" spans="1:35" ht="12.5" hidden="1" x14ac:dyDescent="0.25">
      <c r="A1851" s="9">
        <v>450</v>
      </c>
      <c r="B1851" s="10" t="s">
        <v>14</v>
      </c>
      <c r="C1851" s="10" t="s">
        <v>15</v>
      </c>
      <c r="D1851" s="10" t="s">
        <v>37</v>
      </c>
      <c r="E1851" s="11" t="s">
        <v>36</v>
      </c>
      <c r="F1851" s="11" t="s">
        <v>17</v>
      </c>
      <c r="G1851" s="10" t="s">
        <v>24</v>
      </c>
      <c r="H1851" s="11" t="s">
        <v>23</v>
      </c>
      <c r="I1851" s="11" t="s">
        <v>113</v>
      </c>
      <c r="J1851" s="11"/>
      <c r="K1851" s="11" t="s">
        <v>127</v>
      </c>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4"/>
    </row>
    <row r="1852" spans="1:35" ht="12.5" hidden="1" x14ac:dyDescent="0.25">
      <c r="A1852" s="9">
        <v>451</v>
      </c>
      <c r="B1852" s="10" t="s">
        <v>14</v>
      </c>
      <c r="C1852" s="10" t="s">
        <v>15</v>
      </c>
      <c r="D1852" s="10" t="s">
        <v>37</v>
      </c>
      <c r="E1852" s="11" t="s">
        <v>36</v>
      </c>
      <c r="F1852" s="11" t="s">
        <v>17</v>
      </c>
      <c r="G1852" s="10" t="s">
        <v>18</v>
      </c>
      <c r="H1852" s="11" t="s">
        <v>23</v>
      </c>
      <c r="I1852" s="11" t="s">
        <v>113</v>
      </c>
      <c r="J1852" s="11"/>
      <c r="K1852" s="11" t="s">
        <v>127</v>
      </c>
      <c r="L1852" s="11"/>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4"/>
    </row>
    <row r="1853" spans="1:35" ht="12.5" hidden="1" x14ac:dyDescent="0.25">
      <c r="A1853" s="9">
        <v>452</v>
      </c>
      <c r="B1853" s="10" t="s">
        <v>14</v>
      </c>
      <c r="C1853" s="10" t="s">
        <v>15</v>
      </c>
      <c r="D1853" s="10" t="s">
        <v>37</v>
      </c>
      <c r="E1853" s="11" t="s">
        <v>36</v>
      </c>
      <c r="F1853" s="11" t="s">
        <v>17</v>
      </c>
      <c r="G1853" s="10" t="s">
        <v>24</v>
      </c>
      <c r="H1853" s="11" t="s">
        <v>25</v>
      </c>
      <c r="I1853" s="11" t="s">
        <v>113</v>
      </c>
      <c r="J1853" s="11"/>
      <c r="K1853" s="11" t="s">
        <v>127</v>
      </c>
      <c r="L1853" s="11"/>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4"/>
    </row>
    <row r="1854" spans="1:35" ht="12.5" hidden="1" x14ac:dyDescent="0.25">
      <c r="A1854" s="9">
        <v>453</v>
      </c>
      <c r="B1854" s="10" t="s">
        <v>14</v>
      </c>
      <c r="C1854" s="10" t="s">
        <v>15</v>
      </c>
      <c r="D1854" s="10" t="s">
        <v>37</v>
      </c>
      <c r="E1854" s="11" t="s">
        <v>36</v>
      </c>
      <c r="F1854" s="11" t="s">
        <v>17</v>
      </c>
      <c r="G1854" s="10" t="s">
        <v>18</v>
      </c>
      <c r="H1854" s="11" t="s">
        <v>23</v>
      </c>
      <c r="I1854" s="11" t="s">
        <v>113</v>
      </c>
      <c r="J1854" s="11"/>
      <c r="K1854" s="11" t="s">
        <v>127</v>
      </c>
      <c r="L1854" s="11"/>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4"/>
    </row>
    <row r="1855" spans="1:35" ht="12.5" hidden="1" x14ac:dyDescent="0.25">
      <c r="A1855" s="9">
        <v>454</v>
      </c>
      <c r="B1855" s="10" t="s">
        <v>14</v>
      </c>
      <c r="C1855" s="10" t="s">
        <v>15</v>
      </c>
      <c r="D1855" s="10" t="s">
        <v>37</v>
      </c>
      <c r="E1855" s="11" t="s">
        <v>36</v>
      </c>
      <c r="F1855" s="11" t="s">
        <v>17</v>
      </c>
      <c r="G1855" s="10" t="s">
        <v>18</v>
      </c>
      <c r="H1855" s="11" t="s">
        <v>19</v>
      </c>
      <c r="I1855" s="11" t="s">
        <v>113</v>
      </c>
      <c r="J1855" s="11"/>
      <c r="K1855" s="11" t="s">
        <v>127</v>
      </c>
      <c r="L1855" s="11"/>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4"/>
    </row>
    <row r="1856" spans="1:35" ht="12.5" hidden="1" x14ac:dyDescent="0.25">
      <c r="A1856" s="9">
        <v>455</v>
      </c>
      <c r="B1856" s="10" t="s">
        <v>14</v>
      </c>
      <c r="C1856" s="10" t="s">
        <v>15</v>
      </c>
      <c r="D1856" s="10" t="s">
        <v>37</v>
      </c>
      <c r="E1856" s="11" t="s">
        <v>36</v>
      </c>
      <c r="F1856" s="11" t="s">
        <v>17</v>
      </c>
      <c r="G1856" s="10" t="s">
        <v>18</v>
      </c>
      <c r="H1856" s="11" t="s">
        <v>19</v>
      </c>
      <c r="I1856" s="11" t="s">
        <v>113</v>
      </c>
      <c r="J1856" s="11"/>
      <c r="K1856" s="11" t="s">
        <v>127</v>
      </c>
      <c r="L1856" s="11"/>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4"/>
    </row>
    <row r="1857" spans="1:35" ht="12.5" hidden="1" x14ac:dyDescent="0.25">
      <c r="A1857" s="9">
        <v>456</v>
      </c>
      <c r="B1857" s="10" t="s">
        <v>14</v>
      </c>
      <c r="C1857" s="10" t="s">
        <v>15</v>
      </c>
      <c r="D1857" s="10" t="s">
        <v>37</v>
      </c>
      <c r="E1857" s="11" t="s">
        <v>36</v>
      </c>
      <c r="F1857" s="11" t="s">
        <v>17</v>
      </c>
      <c r="G1857" s="10" t="s">
        <v>18</v>
      </c>
      <c r="H1857" s="11" t="s">
        <v>23</v>
      </c>
      <c r="I1857" s="11" t="s">
        <v>113</v>
      </c>
      <c r="J1857" s="11"/>
      <c r="K1857" s="11" t="s">
        <v>127</v>
      </c>
      <c r="L1857" s="11"/>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4"/>
    </row>
    <row r="1858" spans="1:35" ht="12.5" hidden="1" x14ac:dyDescent="0.25">
      <c r="A1858" s="9">
        <v>457</v>
      </c>
      <c r="B1858" s="10" t="s">
        <v>14</v>
      </c>
      <c r="C1858" s="10" t="s">
        <v>15</v>
      </c>
      <c r="D1858" s="10" t="s">
        <v>37</v>
      </c>
      <c r="E1858" s="11" t="s">
        <v>36</v>
      </c>
      <c r="F1858" s="11" t="s">
        <v>17</v>
      </c>
      <c r="G1858" s="10" t="s">
        <v>18</v>
      </c>
      <c r="H1858" s="11" t="s">
        <v>19</v>
      </c>
      <c r="I1858" s="11" t="s">
        <v>113</v>
      </c>
      <c r="J1858" s="11"/>
      <c r="K1858" s="11" t="s">
        <v>127</v>
      </c>
      <c r="L1858" s="11"/>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4"/>
    </row>
    <row r="1859" spans="1:35" ht="12.5" hidden="1" x14ac:dyDescent="0.25">
      <c r="A1859" s="9">
        <v>458</v>
      </c>
      <c r="B1859" s="10" t="s">
        <v>14</v>
      </c>
      <c r="C1859" s="10" t="s">
        <v>15</v>
      </c>
      <c r="D1859" s="10" t="s">
        <v>37</v>
      </c>
      <c r="E1859" s="11" t="s">
        <v>36</v>
      </c>
      <c r="F1859" s="11" t="s">
        <v>17</v>
      </c>
      <c r="G1859" s="10" t="s">
        <v>24</v>
      </c>
      <c r="H1859" s="11" t="s">
        <v>23</v>
      </c>
      <c r="I1859" s="11" t="s">
        <v>113</v>
      </c>
      <c r="J1859" s="11"/>
      <c r="K1859" s="11" t="s">
        <v>127</v>
      </c>
      <c r="L1859" s="11"/>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4"/>
    </row>
    <row r="1860" spans="1:35" ht="12.5" hidden="1" x14ac:dyDescent="0.25">
      <c r="A1860" s="9">
        <v>459</v>
      </c>
      <c r="B1860" s="10" t="s">
        <v>14</v>
      </c>
      <c r="C1860" s="10" t="s">
        <v>15</v>
      </c>
      <c r="D1860" s="10" t="s">
        <v>37</v>
      </c>
      <c r="E1860" s="11" t="s">
        <v>36</v>
      </c>
      <c r="F1860" s="11" t="s">
        <v>17</v>
      </c>
      <c r="G1860" s="10" t="s">
        <v>18</v>
      </c>
      <c r="H1860" s="11" t="s">
        <v>23</v>
      </c>
      <c r="I1860" s="11" t="s">
        <v>113</v>
      </c>
      <c r="J1860" s="11"/>
      <c r="K1860" s="11" t="s">
        <v>127</v>
      </c>
      <c r="L1860" s="11"/>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4"/>
    </row>
    <row r="1861" spans="1:35" ht="12.5" hidden="1" x14ac:dyDescent="0.25">
      <c r="A1861" s="9">
        <v>460</v>
      </c>
      <c r="B1861" s="10" t="s">
        <v>14</v>
      </c>
      <c r="C1861" s="10" t="s">
        <v>15</v>
      </c>
      <c r="D1861" s="10" t="s">
        <v>45</v>
      </c>
      <c r="E1861" s="11" t="s">
        <v>34</v>
      </c>
      <c r="F1861" s="11" t="s">
        <v>17</v>
      </c>
      <c r="G1861" s="10" t="s">
        <v>18</v>
      </c>
      <c r="H1861" s="11" t="s">
        <v>25</v>
      </c>
      <c r="I1861" s="11" t="s">
        <v>113</v>
      </c>
      <c r="J1861" s="11"/>
      <c r="K1861" s="11" t="s">
        <v>128</v>
      </c>
      <c r="L1861" s="11"/>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4"/>
    </row>
    <row r="1862" spans="1:35" ht="12.5" hidden="1" x14ac:dyDescent="0.25">
      <c r="A1862" s="9">
        <v>461</v>
      </c>
      <c r="B1862" s="10" t="s">
        <v>14</v>
      </c>
      <c r="C1862" s="10" t="s">
        <v>15</v>
      </c>
      <c r="D1862" s="10" t="s">
        <v>16</v>
      </c>
      <c r="E1862" s="11" t="s">
        <v>34</v>
      </c>
      <c r="F1862" s="11" t="s">
        <v>17</v>
      </c>
      <c r="G1862" s="10" t="s">
        <v>18</v>
      </c>
      <c r="H1862" s="11" t="s">
        <v>23</v>
      </c>
      <c r="I1862" s="11" t="s">
        <v>113</v>
      </c>
      <c r="J1862" s="11"/>
      <c r="K1862" s="11" t="s">
        <v>128</v>
      </c>
      <c r="L1862" s="11"/>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4"/>
    </row>
    <row r="1863" spans="1:35" ht="12.5" hidden="1" x14ac:dyDescent="0.25">
      <c r="A1863" s="9">
        <v>462</v>
      </c>
      <c r="B1863" s="10" t="s">
        <v>14</v>
      </c>
      <c r="C1863" s="10" t="s">
        <v>15</v>
      </c>
      <c r="D1863" s="10" t="s">
        <v>37</v>
      </c>
      <c r="E1863" s="11" t="s">
        <v>34</v>
      </c>
      <c r="F1863" s="11" t="s">
        <v>17</v>
      </c>
      <c r="G1863" s="10" t="s">
        <v>24</v>
      </c>
      <c r="H1863" s="11" t="s">
        <v>23</v>
      </c>
      <c r="I1863" s="11" t="s">
        <v>113</v>
      </c>
      <c r="J1863" s="11"/>
      <c r="K1863" s="11" t="s">
        <v>128</v>
      </c>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4"/>
    </row>
    <row r="1864" spans="1:35" ht="12.5" hidden="1" x14ac:dyDescent="0.25">
      <c r="A1864" s="9">
        <v>463</v>
      </c>
      <c r="B1864" s="10" t="s">
        <v>14</v>
      </c>
      <c r="C1864" s="10" t="s">
        <v>15</v>
      </c>
      <c r="D1864" s="10" t="s">
        <v>37</v>
      </c>
      <c r="E1864" s="11" t="s">
        <v>34</v>
      </c>
      <c r="F1864" s="11" t="s">
        <v>17</v>
      </c>
      <c r="G1864" s="10" t="s">
        <v>18</v>
      </c>
      <c r="H1864" s="11" t="s">
        <v>19</v>
      </c>
      <c r="I1864" s="11" t="s">
        <v>113</v>
      </c>
      <c r="J1864" s="11"/>
      <c r="K1864" s="11" t="s">
        <v>128</v>
      </c>
      <c r="L1864" s="11"/>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4"/>
    </row>
    <row r="1865" spans="1:35" ht="12.5" hidden="1" x14ac:dyDescent="0.25">
      <c r="A1865" s="9">
        <v>464</v>
      </c>
      <c r="B1865" s="10" t="s">
        <v>14</v>
      </c>
      <c r="C1865" s="10" t="s">
        <v>15</v>
      </c>
      <c r="D1865" s="10" t="s">
        <v>37</v>
      </c>
      <c r="E1865" s="11" t="s">
        <v>26</v>
      </c>
      <c r="F1865" s="11" t="s">
        <v>17</v>
      </c>
      <c r="G1865" s="10" t="s">
        <v>18</v>
      </c>
      <c r="H1865" s="11" t="s">
        <v>23</v>
      </c>
      <c r="I1865" s="11" t="s">
        <v>113</v>
      </c>
      <c r="J1865" s="11"/>
      <c r="K1865" s="11" t="s">
        <v>129</v>
      </c>
      <c r="L1865" s="11"/>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4"/>
    </row>
    <row r="1866" spans="1:35" ht="12.5" hidden="1" x14ac:dyDescent="0.25">
      <c r="A1866" s="9">
        <v>465</v>
      </c>
      <c r="B1866" s="10" t="s">
        <v>14</v>
      </c>
      <c r="C1866" s="10" t="s">
        <v>15</v>
      </c>
      <c r="D1866" s="10" t="s">
        <v>37</v>
      </c>
      <c r="E1866" s="11" t="s">
        <v>26</v>
      </c>
      <c r="F1866" s="11" t="s">
        <v>17</v>
      </c>
      <c r="G1866" s="10" t="s">
        <v>18</v>
      </c>
      <c r="H1866" s="11" t="s">
        <v>19</v>
      </c>
      <c r="I1866" s="11" t="s">
        <v>113</v>
      </c>
      <c r="J1866" s="11"/>
      <c r="K1866" s="11" t="s">
        <v>129</v>
      </c>
      <c r="L1866" s="11"/>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4"/>
    </row>
    <row r="1867" spans="1:35" ht="12.5" hidden="1" x14ac:dyDescent="0.25">
      <c r="A1867" s="9">
        <v>466</v>
      </c>
      <c r="B1867" s="10" t="s">
        <v>14</v>
      </c>
      <c r="C1867" s="10" t="s">
        <v>15</v>
      </c>
      <c r="D1867" s="10" t="s">
        <v>37</v>
      </c>
      <c r="E1867" s="11" t="s">
        <v>26</v>
      </c>
      <c r="F1867" s="11" t="s">
        <v>17</v>
      </c>
      <c r="G1867" s="10" t="s">
        <v>18</v>
      </c>
      <c r="H1867" s="11" t="s">
        <v>23</v>
      </c>
      <c r="I1867" s="11" t="s">
        <v>113</v>
      </c>
      <c r="J1867" s="11"/>
      <c r="K1867" s="11" t="s">
        <v>129</v>
      </c>
      <c r="L1867" s="11"/>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4"/>
    </row>
    <row r="1868" spans="1:35" ht="12.5" hidden="1" x14ac:dyDescent="0.25">
      <c r="A1868" s="9">
        <v>467</v>
      </c>
      <c r="B1868" s="10" t="s">
        <v>14</v>
      </c>
      <c r="C1868" s="10" t="s">
        <v>15</v>
      </c>
      <c r="D1868" s="10" t="s">
        <v>37</v>
      </c>
      <c r="E1868" s="11" t="s">
        <v>26</v>
      </c>
      <c r="F1868" s="11" t="s">
        <v>17</v>
      </c>
      <c r="G1868" s="10" t="s">
        <v>18</v>
      </c>
      <c r="H1868" s="11" t="s">
        <v>19</v>
      </c>
      <c r="I1868" s="11" t="s">
        <v>113</v>
      </c>
      <c r="J1868" s="11"/>
      <c r="K1868" s="11" t="s">
        <v>129</v>
      </c>
      <c r="L1868" s="11"/>
      <c r="M1868" s="11"/>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4"/>
    </row>
    <row r="1869" spans="1:35" ht="12.5" hidden="1" x14ac:dyDescent="0.25">
      <c r="A1869" s="9">
        <v>468</v>
      </c>
      <c r="B1869" s="10" t="s">
        <v>14</v>
      </c>
      <c r="C1869" s="10" t="s">
        <v>15</v>
      </c>
      <c r="D1869" s="10" t="s">
        <v>37</v>
      </c>
      <c r="E1869" s="11" t="s">
        <v>26</v>
      </c>
      <c r="F1869" s="11" t="s">
        <v>17</v>
      </c>
      <c r="G1869" s="10" t="s">
        <v>24</v>
      </c>
      <c r="H1869" s="11" t="s">
        <v>19</v>
      </c>
      <c r="I1869" s="11" t="s">
        <v>113</v>
      </c>
      <c r="J1869" s="11"/>
      <c r="K1869" s="11" t="s">
        <v>129</v>
      </c>
      <c r="L1869" s="11"/>
      <c r="M1869" s="11"/>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4"/>
    </row>
    <row r="1870" spans="1:35" ht="12.5" hidden="1" x14ac:dyDescent="0.25">
      <c r="A1870" s="9">
        <v>469</v>
      </c>
      <c r="B1870" s="10" t="s">
        <v>14</v>
      </c>
      <c r="C1870" s="10" t="s">
        <v>15</v>
      </c>
      <c r="D1870" s="10" t="s">
        <v>37</v>
      </c>
      <c r="E1870" s="11" t="s">
        <v>26</v>
      </c>
      <c r="F1870" s="11" t="s">
        <v>17</v>
      </c>
      <c r="G1870" s="10" t="s">
        <v>24</v>
      </c>
      <c r="H1870" s="11" t="s">
        <v>19</v>
      </c>
      <c r="I1870" s="11" t="s">
        <v>113</v>
      </c>
      <c r="J1870" s="11"/>
      <c r="K1870" s="11" t="s">
        <v>129</v>
      </c>
      <c r="L1870" s="11"/>
      <c r="M1870" s="11"/>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4"/>
    </row>
    <row r="1871" spans="1:35" ht="12.5" hidden="1" x14ac:dyDescent="0.25">
      <c r="A1871" s="9">
        <v>470</v>
      </c>
      <c r="B1871" s="10" t="s">
        <v>14</v>
      </c>
      <c r="C1871" s="10" t="s">
        <v>15</v>
      </c>
      <c r="D1871" s="10" t="s">
        <v>37</v>
      </c>
      <c r="E1871" s="11" t="s">
        <v>26</v>
      </c>
      <c r="F1871" s="11" t="s">
        <v>17</v>
      </c>
      <c r="G1871" s="10" t="s">
        <v>18</v>
      </c>
      <c r="H1871" s="11" t="s">
        <v>19</v>
      </c>
      <c r="I1871" s="11" t="s">
        <v>113</v>
      </c>
      <c r="J1871" s="11"/>
      <c r="K1871" s="11" t="s">
        <v>129</v>
      </c>
      <c r="L1871" s="11"/>
      <c r="M1871" s="11"/>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4"/>
    </row>
    <row r="1872" spans="1:35" ht="12.5" hidden="1" x14ac:dyDescent="0.25">
      <c r="A1872" s="9">
        <v>471</v>
      </c>
      <c r="B1872" s="10" t="s">
        <v>14</v>
      </c>
      <c r="C1872" s="10" t="s">
        <v>15</v>
      </c>
      <c r="D1872" s="10" t="s">
        <v>37</v>
      </c>
      <c r="E1872" s="11" t="s">
        <v>26</v>
      </c>
      <c r="F1872" s="11" t="s">
        <v>17</v>
      </c>
      <c r="G1872" s="10" t="s">
        <v>18</v>
      </c>
      <c r="H1872" s="11" t="s">
        <v>23</v>
      </c>
      <c r="I1872" s="11" t="s">
        <v>113</v>
      </c>
      <c r="J1872" s="11"/>
      <c r="K1872" s="11" t="s">
        <v>129</v>
      </c>
      <c r="L1872" s="11"/>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4"/>
    </row>
    <row r="1873" spans="1:35" ht="12.5" hidden="1" x14ac:dyDescent="0.25">
      <c r="A1873" s="9">
        <v>472</v>
      </c>
      <c r="B1873" s="10" t="s">
        <v>14</v>
      </c>
      <c r="C1873" s="10" t="s">
        <v>15</v>
      </c>
      <c r="D1873" s="10" t="s">
        <v>37</v>
      </c>
      <c r="E1873" s="11" t="s">
        <v>26</v>
      </c>
      <c r="F1873" s="11" t="s">
        <v>17</v>
      </c>
      <c r="G1873" s="10" t="s">
        <v>18</v>
      </c>
      <c r="H1873" s="11" t="s">
        <v>19</v>
      </c>
      <c r="I1873" s="11" t="s">
        <v>113</v>
      </c>
      <c r="J1873" s="11"/>
      <c r="K1873" s="11" t="s">
        <v>129</v>
      </c>
      <c r="L1873" s="11"/>
      <c r="M1873" s="11"/>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4"/>
    </row>
    <row r="1874" spans="1:35" ht="12.5" hidden="1" x14ac:dyDescent="0.25">
      <c r="A1874" s="9">
        <v>473</v>
      </c>
      <c r="B1874" s="10" t="s">
        <v>14</v>
      </c>
      <c r="C1874" s="10" t="s">
        <v>15</v>
      </c>
      <c r="D1874" s="10" t="s">
        <v>37</v>
      </c>
      <c r="E1874" s="11" t="s">
        <v>26</v>
      </c>
      <c r="F1874" s="11" t="s">
        <v>17</v>
      </c>
      <c r="G1874" s="10" t="s">
        <v>24</v>
      </c>
      <c r="H1874" s="11" t="s">
        <v>19</v>
      </c>
      <c r="I1874" s="11" t="s">
        <v>113</v>
      </c>
      <c r="J1874" s="11"/>
      <c r="K1874" s="11" t="s">
        <v>129</v>
      </c>
      <c r="L1874" s="11"/>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4"/>
    </row>
    <row r="1875" spans="1:35" ht="12.5" hidden="1" x14ac:dyDescent="0.25">
      <c r="A1875" s="9">
        <v>474</v>
      </c>
      <c r="B1875" s="10" t="s">
        <v>14</v>
      </c>
      <c r="C1875" s="10" t="s">
        <v>15</v>
      </c>
      <c r="D1875" s="10" t="s">
        <v>37</v>
      </c>
      <c r="E1875" s="11" t="s">
        <v>26</v>
      </c>
      <c r="F1875" s="11" t="s">
        <v>17</v>
      </c>
      <c r="G1875" s="10" t="s">
        <v>18</v>
      </c>
      <c r="H1875" s="11" t="s">
        <v>23</v>
      </c>
      <c r="I1875" s="11" t="s">
        <v>113</v>
      </c>
      <c r="J1875" s="11"/>
      <c r="K1875" s="11" t="s">
        <v>129</v>
      </c>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4"/>
    </row>
    <row r="1876" spans="1:35" ht="12.5" hidden="1" x14ac:dyDescent="0.25">
      <c r="A1876" s="9">
        <v>475</v>
      </c>
      <c r="B1876" s="10" t="s">
        <v>14</v>
      </c>
      <c r="C1876" s="10" t="s">
        <v>15</v>
      </c>
      <c r="D1876" s="10" t="s">
        <v>37</v>
      </c>
      <c r="E1876" s="11" t="s">
        <v>26</v>
      </c>
      <c r="F1876" s="11" t="s">
        <v>17</v>
      </c>
      <c r="G1876" s="10" t="s">
        <v>24</v>
      </c>
      <c r="H1876" s="11" t="s">
        <v>23</v>
      </c>
      <c r="I1876" s="11" t="s">
        <v>113</v>
      </c>
      <c r="J1876" s="11"/>
      <c r="K1876" s="11" t="s">
        <v>129</v>
      </c>
      <c r="L1876" s="11"/>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4"/>
    </row>
    <row r="1877" spans="1:35" ht="12.5" hidden="1" x14ac:dyDescent="0.25">
      <c r="A1877" s="9">
        <v>476</v>
      </c>
      <c r="B1877" s="10" t="s">
        <v>14</v>
      </c>
      <c r="C1877" s="10" t="s">
        <v>15</v>
      </c>
      <c r="D1877" s="10" t="s">
        <v>37</v>
      </c>
      <c r="E1877" s="11" t="s">
        <v>26</v>
      </c>
      <c r="F1877" s="11" t="s">
        <v>17</v>
      </c>
      <c r="G1877" s="10" t="s">
        <v>24</v>
      </c>
      <c r="H1877" s="11" t="s">
        <v>23</v>
      </c>
      <c r="I1877" s="11" t="s">
        <v>113</v>
      </c>
      <c r="J1877" s="11"/>
      <c r="K1877" s="11" t="s">
        <v>129</v>
      </c>
      <c r="L1877" s="11"/>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4"/>
    </row>
    <row r="1878" spans="1:35" ht="12.5" hidden="1" x14ac:dyDescent="0.25">
      <c r="A1878" s="9">
        <v>477</v>
      </c>
      <c r="B1878" s="10" t="s">
        <v>14</v>
      </c>
      <c r="C1878" s="10" t="s">
        <v>15</v>
      </c>
      <c r="D1878" s="10" t="s">
        <v>37</v>
      </c>
      <c r="E1878" s="11" t="s">
        <v>26</v>
      </c>
      <c r="F1878" s="11" t="s">
        <v>17</v>
      </c>
      <c r="G1878" s="10" t="s">
        <v>24</v>
      </c>
      <c r="H1878" s="11" t="s">
        <v>19</v>
      </c>
      <c r="I1878" s="11" t="s">
        <v>113</v>
      </c>
      <c r="J1878" s="11"/>
      <c r="K1878" s="11" t="s">
        <v>129</v>
      </c>
      <c r="L1878" s="11"/>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4"/>
    </row>
    <row r="1879" spans="1:35" ht="12.5" hidden="1" x14ac:dyDescent="0.25">
      <c r="A1879" s="9">
        <v>478</v>
      </c>
      <c r="B1879" s="10" t="s">
        <v>14</v>
      </c>
      <c r="C1879" s="10" t="s">
        <v>15</v>
      </c>
      <c r="D1879" s="10" t="s">
        <v>37</v>
      </c>
      <c r="E1879" s="11" t="s">
        <v>26</v>
      </c>
      <c r="F1879" s="11" t="s">
        <v>17</v>
      </c>
      <c r="G1879" s="10" t="s">
        <v>18</v>
      </c>
      <c r="H1879" s="11" t="s">
        <v>23</v>
      </c>
      <c r="I1879" s="11" t="s">
        <v>113</v>
      </c>
      <c r="J1879" s="11"/>
      <c r="K1879" s="11" t="s">
        <v>129</v>
      </c>
      <c r="L1879" s="11"/>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4"/>
    </row>
    <row r="1880" spans="1:35" ht="12.5" hidden="1" x14ac:dyDescent="0.25">
      <c r="A1880" s="9">
        <v>479</v>
      </c>
      <c r="B1880" s="10" t="s">
        <v>14</v>
      </c>
      <c r="C1880" s="10" t="s">
        <v>15</v>
      </c>
      <c r="D1880" s="10" t="s">
        <v>37</v>
      </c>
      <c r="E1880" s="11" t="s">
        <v>26</v>
      </c>
      <c r="F1880" s="11" t="s">
        <v>17</v>
      </c>
      <c r="G1880" s="10" t="s">
        <v>24</v>
      </c>
      <c r="H1880" s="11" t="s">
        <v>23</v>
      </c>
      <c r="I1880" s="11" t="s">
        <v>113</v>
      </c>
      <c r="J1880" s="11"/>
      <c r="K1880" s="11" t="s">
        <v>129</v>
      </c>
      <c r="L1880" s="11"/>
      <c r="M1880" s="11"/>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4"/>
    </row>
    <row r="1881" spans="1:35" ht="12.5" hidden="1" x14ac:dyDescent="0.25">
      <c r="A1881" s="9">
        <v>480</v>
      </c>
      <c r="B1881" s="10" t="s">
        <v>14</v>
      </c>
      <c r="C1881" s="10" t="s">
        <v>15</v>
      </c>
      <c r="D1881" s="10" t="s">
        <v>37</v>
      </c>
      <c r="E1881" s="11" t="s">
        <v>26</v>
      </c>
      <c r="F1881" s="11" t="s">
        <v>17</v>
      </c>
      <c r="G1881" s="10" t="s">
        <v>24</v>
      </c>
      <c r="H1881" s="11" t="s">
        <v>23</v>
      </c>
      <c r="I1881" s="11" t="s">
        <v>113</v>
      </c>
      <c r="J1881" s="11"/>
      <c r="K1881" s="11" t="s">
        <v>129</v>
      </c>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4"/>
    </row>
    <row r="1882" spans="1:35" ht="12.5" hidden="1" x14ac:dyDescent="0.25">
      <c r="A1882" s="9">
        <v>481</v>
      </c>
      <c r="B1882" s="10" t="s">
        <v>14</v>
      </c>
      <c r="C1882" s="10" t="s">
        <v>15</v>
      </c>
      <c r="D1882" s="10" t="s">
        <v>37</v>
      </c>
      <c r="E1882" s="11" t="s">
        <v>26</v>
      </c>
      <c r="F1882" s="11" t="s">
        <v>17</v>
      </c>
      <c r="G1882" s="10" t="s">
        <v>18</v>
      </c>
      <c r="H1882" s="11" t="s">
        <v>19</v>
      </c>
      <c r="I1882" s="11" t="s">
        <v>113</v>
      </c>
      <c r="J1882" s="11"/>
      <c r="K1882" s="11" t="s">
        <v>129</v>
      </c>
      <c r="L1882" s="11"/>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4"/>
    </row>
    <row r="1883" spans="1:35" ht="12.5" hidden="1" x14ac:dyDescent="0.25">
      <c r="A1883" s="9">
        <v>482</v>
      </c>
      <c r="B1883" s="10" t="s">
        <v>14</v>
      </c>
      <c r="C1883" s="10" t="s">
        <v>15</v>
      </c>
      <c r="D1883" s="10" t="s">
        <v>37</v>
      </c>
      <c r="E1883" s="11" t="s">
        <v>26</v>
      </c>
      <c r="F1883" s="11" t="s">
        <v>17</v>
      </c>
      <c r="G1883" s="10" t="s">
        <v>18</v>
      </c>
      <c r="H1883" s="11" t="s">
        <v>19</v>
      </c>
      <c r="I1883" s="11" t="s">
        <v>113</v>
      </c>
      <c r="J1883" s="11"/>
      <c r="K1883" s="11" t="s">
        <v>129</v>
      </c>
      <c r="L1883" s="11"/>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4"/>
    </row>
    <row r="1884" spans="1:35" ht="12.5" hidden="1" x14ac:dyDescent="0.25">
      <c r="A1884" s="9">
        <v>483</v>
      </c>
      <c r="B1884" s="10" t="s">
        <v>14</v>
      </c>
      <c r="C1884" s="10" t="s">
        <v>15</v>
      </c>
      <c r="D1884" s="10" t="s">
        <v>45</v>
      </c>
      <c r="E1884" s="11" t="s">
        <v>26</v>
      </c>
      <c r="F1884" s="11" t="s">
        <v>17</v>
      </c>
      <c r="G1884" s="10" t="s">
        <v>18</v>
      </c>
      <c r="H1884" s="11" t="s">
        <v>19</v>
      </c>
      <c r="I1884" s="11" t="s">
        <v>113</v>
      </c>
      <c r="J1884" s="11"/>
      <c r="K1884" s="11" t="s">
        <v>129</v>
      </c>
      <c r="L1884" s="11"/>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4"/>
    </row>
    <row r="1885" spans="1:35" ht="12.5" hidden="1" x14ac:dyDescent="0.25">
      <c r="A1885" s="9">
        <v>484</v>
      </c>
      <c r="B1885" s="10" t="s">
        <v>14</v>
      </c>
      <c r="C1885" s="10" t="s">
        <v>15</v>
      </c>
      <c r="D1885" s="10" t="s">
        <v>45</v>
      </c>
      <c r="E1885" s="11" t="s">
        <v>26</v>
      </c>
      <c r="F1885" s="11" t="s">
        <v>17</v>
      </c>
      <c r="G1885" s="10" t="s">
        <v>24</v>
      </c>
      <c r="H1885" s="11" t="s">
        <v>19</v>
      </c>
      <c r="I1885" s="11" t="s">
        <v>113</v>
      </c>
      <c r="J1885" s="11"/>
      <c r="K1885" s="11" t="s">
        <v>129</v>
      </c>
      <c r="L1885" s="11"/>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4"/>
    </row>
    <row r="1886" spans="1:35" ht="12.5" hidden="1" x14ac:dyDescent="0.25">
      <c r="A1886" s="9">
        <v>485</v>
      </c>
      <c r="B1886" s="10" t="s">
        <v>14</v>
      </c>
      <c r="C1886" s="10" t="s">
        <v>15</v>
      </c>
      <c r="D1886" s="10" t="s">
        <v>45</v>
      </c>
      <c r="E1886" s="11" t="s">
        <v>26</v>
      </c>
      <c r="F1886" s="11" t="s">
        <v>17</v>
      </c>
      <c r="G1886" s="10" t="s">
        <v>24</v>
      </c>
      <c r="H1886" s="11" t="s">
        <v>19</v>
      </c>
      <c r="I1886" s="11" t="s">
        <v>113</v>
      </c>
      <c r="J1886" s="11"/>
      <c r="K1886" s="11" t="s">
        <v>129</v>
      </c>
      <c r="L1886" s="11"/>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4"/>
    </row>
    <row r="1887" spans="1:35" ht="12.5" hidden="1" x14ac:dyDescent="0.25">
      <c r="A1887" s="9">
        <v>486</v>
      </c>
      <c r="B1887" s="10" t="s">
        <v>14</v>
      </c>
      <c r="C1887" s="10" t="s">
        <v>15</v>
      </c>
      <c r="D1887" s="10" t="s">
        <v>45</v>
      </c>
      <c r="E1887" s="11" t="s">
        <v>26</v>
      </c>
      <c r="F1887" s="11" t="s">
        <v>17</v>
      </c>
      <c r="G1887" s="10" t="s">
        <v>24</v>
      </c>
      <c r="H1887" s="11" t="s">
        <v>19</v>
      </c>
      <c r="I1887" s="11" t="s">
        <v>113</v>
      </c>
      <c r="J1887" s="11"/>
      <c r="K1887" s="11" t="s">
        <v>129</v>
      </c>
      <c r="L1887" s="11"/>
      <c r="M1887" s="11"/>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4"/>
    </row>
    <row r="1888" spans="1:35" ht="12.5" hidden="1" x14ac:dyDescent="0.25">
      <c r="A1888" s="9">
        <v>487</v>
      </c>
      <c r="B1888" s="10" t="s">
        <v>14</v>
      </c>
      <c r="C1888" s="10" t="s">
        <v>15</v>
      </c>
      <c r="D1888" s="10" t="s">
        <v>45</v>
      </c>
      <c r="E1888" s="11" t="s">
        <v>26</v>
      </c>
      <c r="F1888" s="11" t="s">
        <v>17</v>
      </c>
      <c r="G1888" s="10" t="s">
        <v>18</v>
      </c>
      <c r="H1888" s="11" t="s">
        <v>19</v>
      </c>
      <c r="I1888" s="11" t="s">
        <v>113</v>
      </c>
      <c r="J1888" s="11"/>
      <c r="K1888" s="11" t="s">
        <v>129</v>
      </c>
      <c r="L1888" s="11"/>
      <c r="M1888" s="11"/>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4"/>
    </row>
    <row r="1889" spans="1:35" ht="12.5" hidden="1" x14ac:dyDescent="0.25">
      <c r="A1889" s="9">
        <v>488</v>
      </c>
      <c r="B1889" s="10" t="s">
        <v>14</v>
      </c>
      <c r="C1889" s="10" t="s">
        <v>15</v>
      </c>
      <c r="D1889" s="10" t="s">
        <v>45</v>
      </c>
      <c r="E1889" s="11" t="s">
        <v>26</v>
      </c>
      <c r="F1889" s="11" t="s">
        <v>17</v>
      </c>
      <c r="G1889" s="10" t="s">
        <v>18</v>
      </c>
      <c r="H1889" s="11" t="s">
        <v>19</v>
      </c>
      <c r="I1889" s="11" t="s">
        <v>113</v>
      </c>
      <c r="J1889" s="11"/>
      <c r="K1889" s="11" t="s">
        <v>129</v>
      </c>
      <c r="L1889" s="11"/>
      <c r="M1889" s="11"/>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4"/>
    </row>
    <row r="1890" spans="1:35" ht="12.5" hidden="1" x14ac:dyDescent="0.25">
      <c r="A1890" s="9">
        <v>489</v>
      </c>
      <c r="B1890" s="10" t="s">
        <v>14</v>
      </c>
      <c r="C1890" s="10" t="s">
        <v>15</v>
      </c>
      <c r="D1890" s="10" t="s">
        <v>45</v>
      </c>
      <c r="E1890" s="11" t="s">
        <v>26</v>
      </c>
      <c r="F1890" s="11" t="s">
        <v>17</v>
      </c>
      <c r="G1890" s="10" t="s">
        <v>18</v>
      </c>
      <c r="H1890" s="11" t="s">
        <v>23</v>
      </c>
      <c r="I1890" s="11" t="s">
        <v>113</v>
      </c>
      <c r="J1890" s="11"/>
      <c r="K1890" s="11" t="s">
        <v>129</v>
      </c>
      <c r="L1890" s="11"/>
      <c r="M1890" s="11"/>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4"/>
    </row>
    <row r="1891" spans="1:35" ht="12.5" hidden="1" x14ac:dyDescent="0.25">
      <c r="A1891" s="9">
        <v>490</v>
      </c>
      <c r="B1891" s="10" t="s">
        <v>14</v>
      </c>
      <c r="C1891" s="10" t="s">
        <v>15</v>
      </c>
      <c r="D1891" s="10" t="s">
        <v>45</v>
      </c>
      <c r="E1891" s="11" t="s">
        <v>26</v>
      </c>
      <c r="F1891" s="11" t="s">
        <v>17</v>
      </c>
      <c r="G1891" s="10" t="s">
        <v>24</v>
      </c>
      <c r="H1891" s="11" t="s">
        <v>23</v>
      </c>
      <c r="I1891" s="11" t="s">
        <v>113</v>
      </c>
      <c r="J1891" s="11"/>
      <c r="K1891" s="11" t="s">
        <v>129</v>
      </c>
      <c r="L1891" s="11"/>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4"/>
    </row>
    <row r="1892" spans="1:35" ht="12.5" hidden="1" x14ac:dyDescent="0.25">
      <c r="A1892" s="9">
        <v>491</v>
      </c>
      <c r="B1892" s="10" t="s">
        <v>14</v>
      </c>
      <c r="C1892" s="10" t="s">
        <v>15</v>
      </c>
      <c r="D1892" s="10" t="s">
        <v>45</v>
      </c>
      <c r="E1892" s="11" t="s">
        <v>26</v>
      </c>
      <c r="F1892" s="11" t="s">
        <v>17</v>
      </c>
      <c r="G1892" s="10" t="s">
        <v>18</v>
      </c>
      <c r="H1892" s="11" t="s">
        <v>23</v>
      </c>
      <c r="I1892" s="11" t="s">
        <v>113</v>
      </c>
      <c r="J1892" s="11"/>
      <c r="K1892" s="11" t="s">
        <v>129</v>
      </c>
      <c r="L1892" s="11"/>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4"/>
    </row>
    <row r="1893" spans="1:35" ht="12.5" hidden="1" x14ac:dyDescent="0.25">
      <c r="A1893" s="9">
        <v>492</v>
      </c>
      <c r="B1893" s="10" t="s">
        <v>14</v>
      </c>
      <c r="C1893" s="10" t="s">
        <v>15</v>
      </c>
      <c r="D1893" s="10" t="s">
        <v>45</v>
      </c>
      <c r="E1893" s="11" t="s">
        <v>21</v>
      </c>
      <c r="F1893" s="11" t="s">
        <v>17</v>
      </c>
      <c r="G1893" s="10" t="s">
        <v>18</v>
      </c>
      <c r="H1893" s="11" t="s">
        <v>19</v>
      </c>
      <c r="I1893" s="11" t="s">
        <v>113</v>
      </c>
      <c r="J1893" s="11"/>
      <c r="K1893" s="11" t="s">
        <v>130</v>
      </c>
      <c r="L1893" s="11"/>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4"/>
    </row>
    <row r="1894" spans="1:35" ht="12.5" hidden="1" x14ac:dyDescent="0.25">
      <c r="A1894" s="9">
        <v>493</v>
      </c>
      <c r="B1894" s="10" t="s">
        <v>14</v>
      </c>
      <c r="C1894" s="10" t="s">
        <v>15</v>
      </c>
      <c r="D1894" s="10" t="s">
        <v>45</v>
      </c>
      <c r="E1894" s="11" t="s">
        <v>21</v>
      </c>
      <c r="F1894" s="11" t="s">
        <v>17</v>
      </c>
      <c r="G1894" s="10" t="s">
        <v>24</v>
      </c>
      <c r="H1894" s="11" t="s">
        <v>23</v>
      </c>
      <c r="I1894" s="11" t="s">
        <v>113</v>
      </c>
      <c r="J1894" s="11"/>
      <c r="K1894" s="11" t="s">
        <v>130</v>
      </c>
      <c r="L1894" s="11"/>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4"/>
    </row>
    <row r="1895" spans="1:35" ht="12.5" hidden="1" x14ac:dyDescent="0.25">
      <c r="A1895" s="9">
        <v>494</v>
      </c>
      <c r="B1895" s="10" t="s">
        <v>14</v>
      </c>
      <c r="C1895" s="10" t="s">
        <v>15</v>
      </c>
      <c r="D1895" s="10" t="s">
        <v>45</v>
      </c>
      <c r="E1895" s="11" t="s">
        <v>21</v>
      </c>
      <c r="F1895" s="11" t="s">
        <v>17</v>
      </c>
      <c r="G1895" s="10" t="s">
        <v>18</v>
      </c>
      <c r="H1895" s="11" t="s">
        <v>23</v>
      </c>
      <c r="I1895" s="11" t="s">
        <v>113</v>
      </c>
      <c r="J1895" s="11"/>
      <c r="K1895" s="11" t="s">
        <v>130</v>
      </c>
      <c r="L1895" s="11"/>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4"/>
    </row>
    <row r="1896" spans="1:35" ht="12.5" hidden="1" x14ac:dyDescent="0.25">
      <c r="A1896" s="9">
        <v>495</v>
      </c>
      <c r="B1896" s="10" t="s">
        <v>14</v>
      </c>
      <c r="C1896" s="10" t="s">
        <v>15</v>
      </c>
      <c r="D1896" s="10" t="s">
        <v>45</v>
      </c>
      <c r="E1896" s="11" t="s">
        <v>21</v>
      </c>
      <c r="F1896" s="11" t="s">
        <v>17</v>
      </c>
      <c r="G1896" s="10" t="s">
        <v>24</v>
      </c>
      <c r="H1896" s="11" t="s">
        <v>23</v>
      </c>
      <c r="I1896" s="11" t="s">
        <v>113</v>
      </c>
      <c r="J1896" s="11"/>
      <c r="K1896" s="11" t="s">
        <v>130</v>
      </c>
      <c r="L1896" s="11"/>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4"/>
    </row>
    <row r="1897" spans="1:35" ht="12.5" hidden="1" x14ac:dyDescent="0.25">
      <c r="A1897" s="9">
        <v>496</v>
      </c>
      <c r="B1897" s="10" t="s">
        <v>14</v>
      </c>
      <c r="C1897" s="10" t="s">
        <v>15</v>
      </c>
      <c r="D1897" s="10" t="s">
        <v>45</v>
      </c>
      <c r="E1897" s="11" t="s">
        <v>21</v>
      </c>
      <c r="F1897" s="11" t="s">
        <v>17</v>
      </c>
      <c r="G1897" s="10" t="s">
        <v>24</v>
      </c>
      <c r="H1897" s="11" t="s">
        <v>23</v>
      </c>
      <c r="I1897" s="11" t="s">
        <v>113</v>
      </c>
      <c r="J1897" s="11"/>
      <c r="K1897" s="11" t="s">
        <v>130</v>
      </c>
      <c r="L1897" s="11"/>
      <c r="M1897" s="11"/>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4"/>
    </row>
    <row r="1898" spans="1:35" ht="12.5" hidden="1" x14ac:dyDescent="0.25">
      <c r="A1898" s="9">
        <v>497</v>
      </c>
      <c r="B1898" s="10" t="s">
        <v>14</v>
      </c>
      <c r="C1898" s="10" t="s">
        <v>15</v>
      </c>
      <c r="D1898" s="10" t="s">
        <v>45</v>
      </c>
      <c r="E1898" s="11" t="s">
        <v>21</v>
      </c>
      <c r="F1898" s="11" t="s">
        <v>17</v>
      </c>
      <c r="G1898" s="10" t="s">
        <v>24</v>
      </c>
      <c r="H1898" s="11" t="s">
        <v>25</v>
      </c>
      <c r="I1898" s="11" t="s">
        <v>113</v>
      </c>
      <c r="J1898" s="11"/>
      <c r="K1898" s="11" t="s">
        <v>130</v>
      </c>
      <c r="L1898" s="11"/>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4"/>
    </row>
    <row r="1899" spans="1:35" ht="12.5" hidden="1" x14ac:dyDescent="0.25">
      <c r="A1899" s="9">
        <v>498</v>
      </c>
      <c r="B1899" s="10" t="s">
        <v>14</v>
      </c>
      <c r="C1899" s="10" t="s">
        <v>15</v>
      </c>
      <c r="D1899" s="10" t="s">
        <v>45</v>
      </c>
      <c r="E1899" s="11" t="s">
        <v>21</v>
      </c>
      <c r="F1899" s="11" t="s">
        <v>17</v>
      </c>
      <c r="G1899" s="10" t="s">
        <v>24</v>
      </c>
      <c r="H1899" s="11" t="s">
        <v>23</v>
      </c>
      <c r="I1899" s="11" t="s">
        <v>113</v>
      </c>
      <c r="J1899" s="11"/>
      <c r="K1899" s="11" t="s">
        <v>130</v>
      </c>
      <c r="L1899" s="11"/>
      <c r="M1899" s="11"/>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4"/>
    </row>
    <row r="1900" spans="1:35" ht="12.5" hidden="1" x14ac:dyDescent="0.25">
      <c r="A1900" s="9">
        <v>499</v>
      </c>
      <c r="B1900" s="10" t="s">
        <v>14</v>
      </c>
      <c r="C1900" s="10" t="s">
        <v>15</v>
      </c>
      <c r="D1900" s="10" t="s">
        <v>45</v>
      </c>
      <c r="E1900" s="11" t="s">
        <v>21</v>
      </c>
      <c r="F1900" s="11" t="s">
        <v>17</v>
      </c>
      <c r="G1900" s="10" t="s">
        <v>18</v>
      </c>
      <c r="H1900" s="11" t="s">
        <v>19</v>
      </c>
      <c r="I1900" s="11" t="s">
        <v>113</v>
      </c>
      <c r="J1900" s="11"/>
      <c r="K1900" s="11" t="s">
        <v>130</v>
      </c>
      <c r="L1900" s="11"/>
      <c r="M1900" s="11"/>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4"/>
    </row>
    <row r="1901" spans="1:35" ht="12.5" hidden="1" x14ac:dyDescent="0.25">
      <c r="A1901" s="9">
        <v>500</v>
      </c>
      <c r="B1901" s="10" t="s">
        <v>14</v>
      </c>
      <c r="C1901" s="10" t="s">
        <v>15</v>
      </c>
      <c r="D1901" s="10" t="s">
        <v>45</v>
      </c>
      <c r="E1901" s="11" t="s">
        <v>21</v>
      </c>
      <c r="F1901" s="11" t="s">
        <v>17</v>
      </c>
      <c r="G1901" s="10" t="s">
        <v>24</v>
      </c>
      <c r="H1901" s="11" t="s">
        <v>23</v>
      </c>
      <c r="I1901" s="11" t="s">
        <v>113</v>
      </c>
      <c r="J1901" s="11"/>
      <c r="K1901" s="11" t="s">
        <v>130</v>
      </c>
      <c r="L1901" s="11"/>
      <c r="M1901" s="11"/>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4"/>
    </row>
    <row r="1902" spans="1:35" ht="12.5" hidden="1" x14ac:dyDescent="0.25">
      <c r="A1902" s="9">
        <v>501</v>
      </c>
      <c r="B1902" s="10" t="s">
        <v>14</v>
      </c>
      <c r="C1902" s="10" t="s">
        <v>15</v>
      </c>
      <c r="D1902" s="10" t="s">
        <v>45</v>
      </c>
      <c r="E1902" s="11" t="s">
        <v>21</v>
      </c>
      <c r="F1902" s="11" t="s">
        <v>17</v>
      </c>
      <c r="G1902" s="10" t="s">
        <v>24</v>
      </c>
      <c r="H1902" s="11" t="s">
        <v>23</v>
      </c>
      <c r="I1902" s="11" t="s">
        <v>113</v>
      </c>
      <c r="J1902" s="11"/>
      <c r="K1902" s="11" t="s">
        <v>130</v>
      </c>
      <c r="L1902" s="11"/>
      <c r="M1902" s="11"/>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4"/>
    </row>
    <row r="1903" spans="1:35" ht="12.5" hidden="1" x14ac:dyDescent="0.25">
      <c r="A1903" s="9">
        <v>502</v>
      </c>
      <c r="B1903" s="10" t="s">
        <v>14</v>
      </c>
      <c r="C1903" s="10" t="s">
        <v>15</v>
      </c>
      <c r="D1903" s="10" t="s">
        <v>45</v>
      </c>
      <c r="E1903" s="11" t="s">
        <v>21</v>
      </c>
      <c r="F1903" s="11" t="s">
        <v>17</v>
      </c>
      <c r="G1903" s="10" t="s">
        <v>18</v>
      </c>
      <c r="H1903" s="11" t="s">
        <v>23</v>
      </c>
      <c r="I1903" s="11" t="s">
        <v>113</v>
      </c>
      <c r="J1903" s="11"/>
      <c r="K1903" s="11" t="s">
        <v>130</v>
      </c>
      <c r="L1903" s="11"/>
      <c r="M1903" s="11"/>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4"/>
    </row>
    <row r="1904" spans="1:35" ht="12.5" hidden="1" x14ac:dyDescent="0.25">
      <c r="A1904" s="9">
        <v>503</v>
      </c>
      <c r="B1904" s="10" t="s">
        <v>14</v>
      </c>
      <c r="C1904" s="10" t="s">
        <v>15</v>
      </c>
      <c r="D1904" s="10" t="s">
        <v>45</v>
      </c>
      <c r="E1904" s="11" t="s">
        <v>21</v>
      </c>
      <c r="F1904" s="11" t="s">
        <v>17</v>
      </c>
      <c r="G1904" s="10" t="s">
        <v>18</v>
      </c>
      <c r="H1904" s="11" t="s">
        <v>23</v>
      </c>
      <c r="I1904" s="11" t="s">
        <v>113</v>
      </c>
      <c r="J1904" s="11"/>
      <c r="K1904" s="11" t="s">
        <v>130</v>
      </c>
      <c r="L1904" s="11"/>
      <c r="M1904" s="11"/>
      <c r="N1904" s="11"/>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4"/>
    </row>
    <row r="1905" spans="1:35" ht="12.5" hidden="1" x14ac:dyDescent="0.25">
      <c r="A1905" s="9">
        <v>504</v>
      </c>
      <c r="B1905" s="10" t="s">
        <v>14</v>
      </c>
      <c r="C1905" s="10" t="s">
        <v>15</v>
      </c>
      <c r="D1905" s="10" t="s">
        <v>45</v>
      </c>
      <c r="E1905" s="11" t="s">
        <v>21</v>
      </c>
      <c r="F1905" s="11" t="s">
        <v>17</v>
      </c>
      <c r="G1905" s="10" t="s">
        <v>24</v>
      </c>
      <c r="H1905" s="11" t="s">
        <v>19</v>
      </c>
      <c r="I1905" s="11" t="s">
        <v>113</v>
      </c>
      <c r="J1905" s="11"/>
      <c r="K1905" s="11" t="s">
        <v>130</v>
      </c>
      <c r="L1905" s="11"/>
      <c r="M1905" s="11"/>
      <c r="N1905" s="11"/>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4"/>
    </row>
    <row r="1906" spans="1:35" ht="12.5" hidden="1" x14ac:dyDescent="0.25">
      <c r="A1906" s="9">
        <v>505</v>
      </c>
      <c r="B1906" s="10" t="s">
        <v>14</v>
      </c>
      <c r="C1906" s="10" t="s">
        <v>15</v>
      </c>
      <c r="D1906" s="10" t="s">
        <v>45</v>
      </c>
      <c r="E1906" s="11" t="s">
        <v>21</v>
      </c>
      <c r="F1906" s="11" t="s">
        <v>17</v>
      </c>
      <c r="G1906" s="10" t="s">
        <v>24</v>
      </c>
      <c r="H1906" s="11" t="s">
        <v>23</v>
      </c>
      <c r="I1906" s="11" t="s">
        <v>113</v>
      </c>
      <c r="J1906" s="11"/>
      <c r="K1906" s="11" t="s">
        <v>130</v>
      </c>
      <c r="L1906" s="11"/>
      <c r="M1906" s="11"/>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4"/>
    </row>
    <row r="1907" spans="1:35" ht="12.5" hidden="1" x14ac:dyDescent="0.25">
      <c r="A1907" s="9">
        <v>506</v>
      </c>
      <c r="B1907" s="10" t="s">
        <v>14</v>
      </c>
      <c r="C1907" s="10" t="s">
        <v>15</v>
      </c>
      <c r="D1907" s="10" t="s">
        <v>45</v>
      </c>
      <c r="E1907" s="11" t="s">
        <v>21</v>
      </c>
      <c r="F1907" s="11" t="s">
        <v>17</v>
      </c>
      <c r="G1907" s="10" t="s">
        <v>18</v>
      </c>
      <c r="H1907" s="11" t="s">
        <v>23</v>
      </c>
      <c r="I1907" s="11" t="s">
        <v>113</v>
      </c>
      <c r="J1907" s="11"/>
      <c r="K1907" s="11" t="s">
        <v>130</v>
      </c>
      <c r="L1907" s="11"/>
      <c r="M1907" s="11"/>
      <c r="N1907" s="11"/>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4"/>
    </row>
    <row r="1908" spans="1:35" ht="12.5" hidden="1" x14ac:dyDescent="0.25">
      <c r="A1908" s="9">
        <v>507</v>
      </c>
      <c r="B1908" s="10" t="s">
        <v>14</v>
      </c>
      <c r="C1908" s="10" t="s">
        <v>15</v>
      </c>
      <c r="D1908" s="10" t="s">
        <v>45</v>
      </c>
      <c r="E1908" s="11" t="s">
        <v>21</v>
      </c>
      <c r="F1908" s="11" t="s">
        <v>17</v>
      </c>
      <c r="G1908" s="10" t="s">
        <v>24</v>
      </c>
      <c r="H1908" s="11" t="s">
        <v>19</v>
      </c>
      <c r="I1908" s="11" t="s">
        <v>113</v>
      </c>
      <c r="J1908" s="11"/>
      <c r="K1908" s="11" t="s">
        <v>130</v>
      </c>
      <c r="L1908" s="11"/>
      <c r="M1908" s="11"/>
      <c r="N1908" s="11"/>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4"/>
    </row>
    <row r="1909" spans="1:35" ht="12.5" hidden="1" x14ac:dyDescent="0.25">
      <c r="A1909" s="9">
        <v>508</v>
      </c>
      <c r="B1909" s="10" t="s">
        <v>14</v>
      </c>
      <c r="C1909" s="10" t="s">
        <v>15</v>
      </c>
      <c r="D1909" s="10" t="s">
        <v>45</v>
      </c>
      <c r="E1909" s="11" t="s">
        <v>21</v>
      </c>
      <c r="F1909" s="11" t="s">
        <v>17</v>
      </c>
      <c r="G1909" s="10" t="s">
        <v>24</v>
      </c>
      <c r="H1909" s="11" t="s">
        <v>23</v>
      </c>
      <c r="I1909" s="11" t="s">
        <v>113</v>
      </c>
      <c r="J1909" s="11"/>
      <c r="K1909" s="11" t="s">
        <v>130</v>
      </c>
      <c r="L1909" s="11"/>
      <c r="M1909" s="11"/>
      <c r="N1909" s="11"/>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4"/>
    </row>
    <row r="1910" spans="1:35" ht="12.5" hidden="1" x14ac:dyDescent="0.25">
      <c r="A1910" s="9">
        <v>509</v>
      </c>
      <c r="B1910" s="10" t="s">
        <v>14</v>
      </c>
      <c r="C1910" s="10" t="s">
        <v>15</v>
      </c>
      <c r="D1910" s="10" t="s">
        <v>45</v>
      </c>
      <c r="E1910" s="11" t="s">
        <v>21</v>
      </c>
      <c r="F1910" s="11" t="s">
        <v>17</v>
      </c>
      <c r="G1910" s="10" t="s">
        <v>24</v>
      </c>
      <c r="H1910" s="11" t="s">
        <v>19</v>
      </c>
      <c r="I1910" s="11" t="s">
        <v>113</v>
      </c>
      <c r="J1910" s="11"/>
      <c r="K1910" s="11" t="s">
        <v>130</v>
      </c>
      <c r="L1910" s="11"/>
      <c r="M1910" s="11"/>
      <c r="N1910" s="11"/>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4"/>
    </row>
    <row r="1911" spans="1:35" ht="12.5" hidden="1" x14ac:dyDescent="0.25">
      <c r="A1911" s="9">
        <v>510</v>
      </c>
      <c r="B1911" s="10" t="s">
        <v>14</v>
      </c>
      <c r="C1911" s="10" t="s">
        <v>15</v>
      </c>
      <c r="D1911" s="10" t="s">
        <v>45</v>
      </c>
      <c r="E1911" s="11" t="s">
        <v>21</v>
      </c>
      <c r="F1911" s="11" t="s">
        <v>17</v>
      </c>
      <c r="G1911" s="10" t="s">
        <v>24</v>
      </c>
      <c r="H1911" s="11" t="s">
        <v>23</v>
      </c>
      <c r="I1911" s="11" t="s">
        <v>113</v>
      </c>
      <c r="J1911" s="11"/>
      <c r="K1911" s="11" t="s">
        <v>130</v>
      </c>
      <c r="L1911" s="11"/>
      <c r="M1911" s="11"/>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4"/>
    </row>
    <row r="1912" spans="1:35" ht="12.5" hidden="1" x14ac:dyDescent="0.25">
      <c r="A1912" s="9">
        <v>511</v>
      </c>
      <c r="B1912" s="10" t="s">
        <v>14</v>
      </c>
      <c r="C1912" s="10" t="s">
        <v>15</v>
      </c>
      <c r="D1912" s="10" t="s">
        <v>45</v>
      </c>
      <c r="E1912" s="11" t="s">
        <v>21</v>
      </c>
      <c r="F1912" s="11" t="s">
        <v>17</v>
      </c>
      <c r="G1912" s="10" t="s">
        <v>18</v>
      </c>
      <c r="H1912" s="11" t="s">
        <v>19</v>
      </c>
      <c r="I1912" s="11" t="s">
        <v>113</v>
      </c>
      <c r="J1912" s="11"/>
      <c r="K1912" s="11" t="s">
        <v>130</v>
      </c>
      <c r="L1912" s="11"/>
      <c r="M1912" s="11"/>
      <c r="N1912" s="11"/>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4"/>
    </row>
    <row r="1913" spans="1:35" ht="12.5" hidden="1" x14ac:dyDescent="0.25">
      <c r="A1913" s="9">
        <v>512</v>
      </c>
      <c r="B1913" s="10" t="s">
        <v>14</v>
      </c>
      <c r="C1913" s="10" t="s">
        <v>15</v>
      </c>
      <c r="D1913" s="10" t="s">
        <v>45</v>
      </c>
      <c r="E1913" s="11" t="s">
        <v>21</v>
      </c>
      <c r="F1913" s="11" t="s">
        <v>17</v>
      </c>
      <c r="G1913" s="10" t="s">
        <v>24</v>
      </c>
      <c r="H1913" s="11" t="s">
        <v>23</v>
      </c>
      <c r="I1913" s="11" t="s">
        <v>113</v>
      </c>
      <c r="J1913" s="11"/>
      <c r="K1913" s="11" t="s">
        <v>130</v>
      </c>
      <c r="L1913" s="11"/>
      <c r="M1913" s="11"/>
      <c r="N1913" s="11"/>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4"/>
    </row>
    <row r="1914" spans="1:35" ht="12.5" hidden="1" x14ac:dyDescent="0.25">
      <c r="A1914" s="9">
        <v>513</v>
      </c>
      <c r="B1914" s="10" t="s">
        <v>14</v>
      </c>
      <c r="C1914" s="10" t="s">
        <v>15</v>
      </c>
      <c r="D1914" s="10" t="s">
        <v>45</v>
      </c>
      <c r="E1914" s="11" t="s">
        <v>21</v>
      </c>
      <c r="F1914" s="11" t="s">
        <v>17</v>
      </c>
      <c r="G1914" s="10" t="s">
        <v>18</v>
      </c>
      <c r="H1914" s="11" t="s">
        <v>19</v>
      </c>
      <c r="I1914" s="11" t="s">
        <v>113</v>
      </c>
      <c r="J1914" s="11"/>
      <c r="K1914" s="11" t="s">
        <v>130</v>
      </c>
      <c r="L1914" s="11"/>
      <c r="M1914" s="11"/>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4"/>
    </row>
    <row r="1915" spans="1:35" ht="12.5" hidden="1" x14ac:dyDescent="0.25">
      <c r="A1915" s="9">
        <v>514</v>
      </c>
      <c r="B1915" s="10" t="s">
        <v>14</v>
      </c>
      <c r="C1915" s="10" t="s">
        <v>15</v>
      </c>
      <c r="D1915" s="10" t="s">
        <v>45</v>
      </c>
      <c r="E1915" s="11" t="s">
        <v>21</v>
      </c>
      <c r="F1915" s="11" t="s">
        <v>17</v>
      </c>
      <c r="G1915" s="10" t="s">
        <v>24</v>
      </c>
      <c r="H1915" s="11" t="s">
        <v>19</v>
      </c>
      <c r="I1915" s="11" t="s">
        <v>113</v>
      </c>
      <c r="J1915" s="11"/>
      <c r="K1915" s="11" t="s">
        <v>130</v>
      </c>
      <c r="L1915" s="11"/>
      <c r="M1915" s="11"/>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4"/>
    </row>
    <row r="1916" spans="1:35" ht="12.5" hidden="1" x14ac:dyDescent="0.25">
      <c r="A1916" s="9">
        <v>515</v>
      </c>
      <c r="B1916" s="10" t="s">
        <v>14</v>
      </c>
      <c r="C1916" s="10" t="s">
        <v>15</v>
      </c>
      <c r="D1916" s="10" t="s">
        <v>45</v>
      </c>
      <c r="E1916" s="11" t="s">
        <v>21</v>
      </c>
      <c r="F1916" s="11" t="s">
        <v>17</v>
      </c>
      <c r="G1916" s="10" t="s">
        <v>18</v>
      </c>
      <c r="H1916" s="11" t="s">
        <v>23</v>
      </c>
      <c r="I1916" s="11" t="s">
        <v>113</v>
      </c>
      <c r="J1916" s="11"/>
      <c r="K1916" s="11" t="s">
        <v>130</v>
      </c>
      <c r="L1916" s="11"/>
      <c r="M1916" s="11"/>
      <c r="N1916" s="11"/>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4"/>
    </row>
    <row r="1917" spans="1:35" ht="12.5" hidden="1" x14ac:dyDescent="0.25">
      <c r="A1917" s="9">
        <v>516</v>
      </c>
      <c r="B1917" s="10" t="s">
        <v>14</v>
      </c>
      <c r="C1917" s="10" t="s">
        <v>15</v>
      </c>
      <c r="D1917" s="10" t="s">
        <v>45</v>
      </c>
      <c r="E1917" s="11" t="s">
        <v>21</v>
      </c>
      <c r="F1917" s="11" t="s">
        <v>17</v>
      </c>
      <c r="G1917" s="10" t="s">
        <v>18</v>
      </c>
      <c r="H1917" s="11" t="s">
        <v>19</v>
      </c>
      <c r="I1917" s="11" t="s">
        <v>113</v>
      </c>
      <c r="J1917" s="11"/>
      <c r="K1917" s="11" t="s">
        <v>130</v>
      </c>
      <c r="L1917" s="11"/>
      <c r="M1917" s="11"/>
      <c r="N1917" s="11"/>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4"/>
    </row>
    <row r="1918" spans="1:35" ht="12.5" hidden="1" x14ac:dyDescent="0.25">
      <c r="A1918" s="9">
        <v>517</v>
      </c>
      <c r="B1918" s="10" t="s">
        <v>14</v>
      </c>
      <c r="C1918" s="10" t="s">
        <v>15</v>
      </c>
      <c r="D1918" s="10" t="s">
        <v>45</v>
      </c>
      <c r="E1918" s="11" t="s">
        <v>21</v>
      </c>
      <c r="F1918" s="11" t="s">
        <v>17</v>
      </c>
      <c r="G1918" s="10" t="s">
        <v>24</v>
      </c>
      <c r="H1918" s="11" t="s">
        <v>23</v>
      </c>
      <c r="I1918" s="11" t="s">
        <v>113</v>
      </c>
      <c r="J1918" s="11"/>
      <c r="K1918" s="11" t="s">
        <v>130</v>
      </c>
      <c r="L1918" s="11"/>
      <c r="M1918" s="11"/>
      <c r="N1918" s="11"/>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4"/>
    </row>
    <row r="1919" spans="1:35" ht="12.5" hidden="1" x14ac:dyDescent="0.25">
      <c r="A1919" s="9">
        <v>518</v>
      </c>
      <c r="B1919" s="10" t="s">
        <v>14</v>
      </c>
      <c r="C1919" s="10" t="s">
        <v>15</v>
      </c>
      <c r="D1919" s="10" t="s">
        <v>45</v>
      </c>
      <c r="E1919" s="11" t="s">
        <v>21</v>
      </c>
      <c r="F1919" s="11" t="s">
        <v>17</v>
      </c>
      <c r="G1919" s="10" t="s">
        <v>24</v>
      </c>
      <c r="H1919" s="11" t="s">
        <v>19</v>
      </c>
      <c r="I1919" s="11" t="s">
        <v>113</v>
      </c>
      <c r="J1919" s="11"/>
      <c r="K1919" s="11" t="s">
        <v>130</v>
      </c>
      <c r="L1919" s="11"/>
      <c r="M1919" s="11"/>
      <c r="N1919" s="11"/>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4"/>
    </row>
    <row r="1920" spans="1:35" ht="12.5" hidden="1" x14ac:dyDescent="0.25">
      <c r="A1920" s="9">
        <v>519</v>
      </c>
      <c r="B1920" s="10" t="s">
        <v>14</v>
      </c>
      <c r="C1920" s="10" t="s">
        <v>15</v>
      </c>
      <c r="D1920" s="10" t="s">
        <v>45</v>
      </c>
      <c r="E1920" s="11" t="s">
        <v>21</v>
      </c>
      <c r="F1920" s="11" t="s">
        <v>17</v>
      </c>
      <c r="G1920" s="10" t="s">
        <v>24</v>
      </c>
      <c r="H1920" s="11" t="s">
        <v>19</v>
      </c>
      <c r="I1920" s="11" t="s">
        <v>113</v>
      </c>
      <c r="J1920" s="11"/>
      <c r="K1920" s="11" t="s">
        <v>130</v>
      </c>
      <c r="L1920" s="11"/>
      <c r="M1920" s="11"/>
      <c r="N1920" s="11"/>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4"/>
    </row>
    <row r="1921" spans="1:35" ht="12.5" hidden="1" x14ac:dyDescent="0.25">
      <c r="A1921" s="9">
        <v>520</v>
      </c>
      <c r="B1921" s="10" t="s">
        <v>14</v>
      </c>
      <c r="C1921" s="10" t="s">
        <v>15</v>
      </c>
      <c r="D1921" s="10" t="s">
        <v>45</v>
      </c>
      <c r="E1921" s="11" t="s">
        <v>21</v>
      </c>
      <c r="F1921" s="11" t="s">
        <v>17</v>
      </c>
      <c r="G1921" s="10" t="s">
        <v>18</v>
      </c>
      <c r="H1921" s="11" t="s">
        <v>19</v>
      </c>
      <c r="I1921" s="11" t="s">
        <v>113</v>
      </c>
      <c r="J1921" s="11"/>
      <c r="K1921" s="11" t="s">
        <v>130</v>
      </c>
      <c r="L1921" s="11"/>
      <c r="M1921" s="11"/>
      <c r="N1921" s="11"/>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4"/>
    </row>
    <row r="1922" spans="1:35" ht="12.5" hidden="1" x14ac:dyDescent="0.25">
      <c r="A1922" s="9">
        <v>521</v>
      </c>
      <c r="B1922" s="10" t="s">
        <v>14</v>
      </c>
      <c r="C1922" s="10" t="s">
        <v>15</v>
      </c>
      <c r="D1922" s="10" t="s">
        <v>45</v>
      </c>
      <c r="E1922" s="11" t="s">
        <v>21</v>
      </c>
      <c r="F1922" s="11" t="s">
        <v>17</v>
      </c>
      <c r="G1922" s="10" t="s">
        <v>18</v>
      </c>
      <c r="H1922" s="11" t="s">
        <v>19</v>
      </c>
      <c r="I1922" s="11" t="s">
        <v>113</v>
      </c>
      <c r="J1922" s="11"/>
      <c r="K1922" s="11" t="s">
        <v>130</v>
      </c>
      <c r="L1922" s="11"/>
      <c r="M1922" s="11"/>
      <c r="N1922" s="11"/>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4"/>
    </row>
    <row r="1923" spans="1:35" ht="12.5" hidden="1" x14ac:dyDescent="0.25">
      <c r="A1923" s="9">
        <v>522</v>
      </c>
      <c r="B1923" s="10" t="s">
        <v>14</v>
      </c>
      <c r="C1923" s="10" t="s">
        <v>15</v>
      </c>
      <c r="D1923" s="10" t="s">
        <v>45</v>
      </c>
      <c r="E1923" s="11" t="s">
        <v>21</v>
      </c>
      <c r="F1923" s="11" t="s">
        <v>17</v>
      </c>
      <c r="G1923" s="10" t="s">
        <v>18</v>
      </c>
      <c r="H1923" s="11" t="s">
        <v>19</v>
      </c>
      <c r="I1923" s="11" t="s">
        <v>113</v>
      </c>
      <c r="J1923" s="11"/>
      <c r="K1923" s="11" t="s">
        <v>130</v>
      </c>
      <c r="L1923" s="11"/>
      <c r="M1923" s="11"/>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4"/>
    </row>
    <row r="1924" spans="1:35" ht="12.5" hidden="1" x14ac:dyDescent="0.25">
      <c r="A1924" s="9">
        <v>523</v>
      </c>
      <c r="B1924" s="10" t="s">
        <v>14</v>
      </c>
      <c r="C1924" s="10" t="s">
        <v>15</v>
      </c>
      <c r="D1924" s="10" t="s">
        <v>45</v>
      </c>
      <c r="E1924" s="11" t="s">
        <v>21</v>
      </c>
      <c r="F1924" s="11" t="s">
        <v>17</v>
      </c>
      <c r="G1924" s="10" t="s">
        <v>24</v>
      </c>
      <c r="H1924" s="11" t="s">
        <v>23</v>
      </c>
      <c r="I1924" s="11" t="s">
        <v>113</v>
      </c>
      <c r="J1924" s="11"/>
      <c r="K1924" s="11" t="s">
        <v>130</v>
      </c>
      <c r="L1924" s="11"/>
      <c r="M1924" s="11"/>
      <c r="N1924" s="11"/>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4"/>
    </row>
    <row r="1925" spans="1:35" ht="12.5" hidden="1" x14ac:dyDescent="0.25">
      <c r="A1925" s="9">
        <v>524</v>
      </c>
      <c r="B1925" s="10" t="s">
        <v>14</v>
      </c>
      <c r="C1925" s="10" t="s">
        <v>15</v>
      </c>
      <c r="D1925" s="10" t="s">
        <v>45</v>
      </c>
      <c r="E1925" s="11" t="s">
        <v>21</v>
      </c>
      <c r="F1925" s="11" t="s">
        <v>17</v>
      </c>
      <c r="G1925" s="10" t="s">
        <v>18</v>
      </c>
      <c r="H1925" s="11" t="s">
        <v>19</v>
      </c>
      <c r="I1925" s="11" t="s">
        <v>113</v>
      </c>
      <c r="J1925" s="11"/>
      <c r="K1925" s="11" t="s">
        <v>130</v>
      </c>
      <c r="L1925" s="11"/>
      <c r="M1925" s="11"/>
      <c r="N1925" s="11"/>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4"/>
    </row>
    <row r="1926" spans="1:35" ht="12.5" hidden="1" x14ac:dyDescent="0.25">
      <c r="A1926" s="9">
        <v>525</v>
      </c>
      <c r="B1926" s="10" t="s">
        <v>14</v>
      </c>
      <c r="C1926" s="10" t="s">
        <v>15</v>
      </c>
      <c r="D1926" s="10" t="s">
        <v>45</v>
      </c>
      <c r="E1926" s="11" t="s">
        <v>21</v>
      </c>
      <c r="F1926" s="11" t="s">
        <v>17</v>
      </c>
      <c r="G1926" s="10" t="s">
        <v>18</v>
      </c>
      <c r="H1926" s="11" t="s">
        <v>19</v>
      </c>
      <c r="I1926" s="11" t="s">
        <v>113</v>
      </c>
      <c r="J1926" s="11"/>
      <c r="K1926" s="11" t="s">
        <v>130</v>
      </c>
      <c r="L1926" s="11"/>
      <c r="M1926" s="11"/>
      <c r="N1926" s="11"/>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4"/>
    </row>
    <row r="1927" spans="1:35" ht="12.5" hidden="1" x14ac:dyDescent="0.25">
      <c r="A1927" s="9">
        <v>526</v>
      </c>
      <c r="B1927" s="10" t="s">
        <v>14</v>
      </c>
      <c r="C1927" s="10" t="s">
        <v>15</v>
      </c>
      <c r="D1927" s="10" t="s">
        <v>45</v>
      </c>
      <c r="E1927" s="11" t="s">
        <v>21</v>
      </c>
      <c r="F1927" s="11" t="s">
        <v>17</v>
      </c>
      <c r="G1927" s="10" t="s">
        <v>24</v>
      </c>
      <c r="H1927" s="11" t="s">
        <v>19</v>
      </c>
      <c r="I1927" s="11" t="s">
        <v>113</v>
      </c>
      <c r="J1927" s="11"/>
      <c r="K1927" s="11" t="s">
        <v>130</v>
      </c>
      <c r="L1927" s="11"/>
      <c r="M1927" s="11"/>
      <c r="N1927" s="11"/>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4"/>
    </row>
    <row r="1928" spans="1:35" ht="12.5" hidden="1" x14ac:dyDescent="0.25">
      <c r="A1928" s="9">
        <v>527</v>
      </c>
      <c r="B1928" s="10" t="s">
        <v>14</v>
      </c>
      <c r="C1928" s="10" t="s">
        <v>15</v>
      </c>
      <c r="D1928" s="10" t="s">
        <v>45</v>
      </c>
      <c r="E1928" s="11" t="s">
        <v>21</v>
      </c>
      <c r="F1928" s="11" t="s">
        <v>17</v>
      </c>
      <c r="G1928" s="10" t="s">
        <v>24</v>
      </c>
      <c r="H1928" s="11" t="s">
        <v>19</v>
      </c>
      <c r="I1928" s="11" t="s">
        <v>113</v>
      </c>
      <c r="J1928" s="11"/>
      <c r="K1928" s="11" t="s">
        <v>130</v>
      </c>
      <c r="L1928" s="11"/>
      <c r="M1928" s="11"/>
      <c r="N1928" s="11"/>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4"/>
    </row>
    <row r="1929" spans="1:35" ht="12.5" hidden="1" x14ac:dyDescent="0.25">
      <c r="A1929" s="9">
        <v>528</v>
      </c>
      <c r="B1929" s="10" t="s">
        <v>14</v>
      </c>
      <c r="C1929" s="10" t="s">
        <v>15</v>
      </c>
      <c r="D1929" s="10" t="s">
        <v>45</v>
      </c>
      <c r="E1929" s="11" t="s">
        <v>21</v>
      </c>
      <c r="F1929" s="11" t="s">
        <v>17</v>
      </c>
      <c r="G1929" s="10" t="s">
        <v>18</v>
      </c>
      <c r="H1929" s="11" t="s">
        <v>19</v>
      </c>
      <c r="I1929" s="11" t="s">
        <v>113</v>
      </c>
      <c r="J1929" s="11"/>
      <c r="K1929" s="11" t="s">
        <v>130</v>
      </c>
      <c r="L1929" s="11"/>
      <c r="M1929" s="11"/>
      <c r="N1929" s="11"/>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4"/>
    </row>
    <row r="1930" spans="1:35" ht="12.5" hidden="1" x14ac:dyDescent="0.25">
      <c r="A1930" s="9">
        <v>529</v>
      </c>
      <c r="B1930" s="10" t="s">
        <v>14</v>
      </c>
      <c r="C1930" s="10" t="s">
        <v>15</v>
      </c>
      <c r="D1930" s="10" t="s">
        <v>45</v>
      </c>
      <c r="E1930" s="11" t="s">
        <v>21</v>
      </c>
      <c r="F1930" s="11" t="s">
        <v>17</v>
      </c>
      <c r="G1930" s="10" t="s">
        <v>24</v>
      </c>
      <c r="H1930" s="11" t="s">
        <v>23</v>
      </c>
      <c r="I1930" s="11" t="s">
        <v>113</v>
      </c>
      <c r="J1930" s="11"/>
      <c r="K1930" s="11" t="s">
        <v>130</v>
      </c>
      <c r="L1930" s="11"/>
      <c r="M1930" s="11"/>
      <c r="N1930" s="11"/>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4"/>
    </row>
    <row r="1931" spans="1:35" ht="12.5" hidden="1" x14ac:dyDescent="0.25">
      <c r="A1931" s="9">
        <v>530</v>
      </c>
      <c r="B1931" s="10" t="s">
        <v>14</v>
      </c>
      <c r="C1931" s="10" t="s">
        <v>15</v>
      </c>
      <c r="D1931" s="10" t="s">
        <v>45</v>
      </c>
      <c r="E1931" s="11" t="s">
        <v>21</v>
      </c>
      <c r="F1931" s="11" t="s">
        <v>17</v>
      </c>
      <c r="G1931" s="10" t="s">
        <v>24</v>
      </c>
      <c r="H1931" s="11" t="s">
        <v>19</v>
      </c>
      <c r="I1931" s="11" t="s">
        <v>113</v>
      </c>
      <c r="J1931" s="11"/>
      <c r="K1931" s="11" t="s">
        <v>130</v>
      </c>
      <c r="L1931" s="11"/>
      <c r="M1931" s="11"/>
      <c r="N1931" s="11"/>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4"/>
    </row>
    <row r="1932" spans="1:35" ht="12.5" hidden="1" x14ac:dyDescent="0.25">
      <c r="A1932" s="9">
        <v>531</v>
      </c>
      <c r="B1932" s="10" t="s">
        <v>14</v>
      </c>
      <c r="C1932" s="10" t="s">
        <v>15</v>
      </c>
      <c r="D1932" s="10" t="s">
        <v>45</v>
      </c>
      <c r="E1932" s="11" t="s">
        <v>21</v>
      </c>
      <c r="F1932" s="11" t="s">
        <v>17</v>
      </c>
      <c r="G1932" s="10" t="s">
        <v>24</v>
      </c>
      <c r="H1932" s="11" t="s">
        <v>23</v>
      </c>
      <c r="I1932" s="11" t="s">
        <v>113</v>
      </c>
      <c r="J1932" s="11"/>
      <c r="K1932" s="11" t="s">
        <v>130</v>
      </c>
      <c r="L1932" s="11"/>
      <c r="M1932" s="11"/>
      <c r="N1932" s="11"/>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4"/>
    </row>
    <row r="1933" spans="1:35" ht="12.5" hidden="1" x14ac:dyDescent="0.25">
      <c r="A1933" s="9">
        <v>532</v>
      </c>
      <c r="B1933" s="10" t="s">
        <v>14</v>
      </c>
      <c r="C1933" s="10" t="s">
        <v>15</v>
      </c>
      <c r="D1933" s="10" t="s">
        <v>45</v>
      </c>
      <c r="E1933" s="11" t="s">
        <v>21</v>
      </c>
      <c r="F1933" s="11" t="s">
        <v>17</v>
      </c>
      <c r="G1933" s="10" t="s">
        <v>24</v>
      </c>
      <c r="H1933" s="11" t="s">
        <v>19</v>
      </c>
      <c r="I1933" s="11" t="s">
        <v>113</v>
      </c>
      <c r="J1933" s="11"/>
      <c r="K1933" s="11" t="s">
        <v>130</v>
      </c>
      <c r="L1933" s="11"/>
      <c r="M1933" s="11"/>
      <c r="N1933" s="11"/>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4"/>
    </row>
    <row r="1934" spans="1:35" ht="12.5" hidden="1" x14ac:dyDescent="0.25">
      <c r="A1934" s="9">
        <v>533</v>
      </c>
      <c r="B1934" s="10" t="s">
        <v>14</v>
      </c>
      <c r="C1934" s="10" t="s">
        <v>15</v>
      </c>
      <c r="D1934" s="10" t="s">
        <v>45</v>
      </c>
      <c r="E1934" s="11" t="s">
        <v>21</v>
      </c>
      <c r="F1934" s="11" t="s">
        <v>17</v>
      </c>
      <c r="G1934" s="10" t="s">
        <v>24</v>
      </c>
      <c r="H1934" s="11" t="s">
        <v>23</v>
      </c>
      <c r="I1934" s="11" t="s">
        <v>113</v>
      </c>
      <c r="J1934" s="11"/>
      <c r="K1934" s="11" t="s">
        <v>130</v>
      </c>
      <c r="L1934" s="11"/>
      <c r="M1934" s="11"/>
      <c r="N1934" s="11"/>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4"/>
    </row>
    <row r="1935" spans="1:35" ht="12.5" hidden="1" x14ac:dyDescent="0.25">
      <c r="A1935" s="9">
        <v>534</v>
      </c>
      <c r="B1935" s="10" t="s">
        <v>14</v>
      </c>
      <c r="C1935" s="10" t="s">
        <v>15</v>
      </c>
      <c r="D1935" s="10" t="s">
        <v>45</v>
      </c>
      <c r="E1935" s="11" t="s">
        <v>21</v>
      </c>
      <c r="F1935" s="11" t="s">
        <v>17</v>
      </c>
      <c r="G1935" s="10" t="s">
        <v>24</v>
      </c>
      <c r="H1935" s="11" t="s">
        <v>19</v>
      </c>
      <c r="I1935" s="11" t="s">
        <v>113</v>
      </c>
      <c r="J1935" s="11"/>
      <c r="K1935" s="11" t="s">
        <v>130</v>
      </c>
      <c r="L1935" s="11"/>
      <c r="M1935" s="11"/>
      <c r="N1935" s="11"/>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4"/>
    </row>
    <row r="1936" spans="1:35" ht="12.5" hidden="1" x14ac:dyDescent="0.25">
      <c r="A1936" s="9">
        <v>535</v>
      </c>
      <c r="B1936" s="10" t="s">
        <v>14</v>
      </c>
      <c r="C1936" s="10" t="s">
        <v>15</v>
      </c>
      <c r="D1936" s="10" t="s">
        <v>45</v>
      </c>
      <c r="E1936" s="11" t="s">
        <v>21</v>
      </c>
      <c r="F1936" s="11" t="s">
        <v>17</v>
      </c>
      <c r="G1936" s="10" t="s">
        <v>24</v>
      </c>
      <c r="H1936" s="11" t="s">
        <v>19</v>
      </c>
      <c r="I1936" s="11" t="s">
        <v>113</v>
      </c>
      <c r="J1936" s="11"/>
      <c r="K1936" s="11" t="s">
        <v>130</v>
      </c>
      <c r="L1936" s="11"/>
      <c r="M1936" s="11"/>
      <c r="N1936" s="11"/>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4"/>
    </row>
    <row r="1937" spans="1:35" ht="12.5" hidden="1" x14ac:dyDescent="0.25">
      <c r="A1937" s="9">
        <v>536</v>
      </c>
      <c r="B1937" s="10" t="s">
        <v>14</v>
      </c>
      <c r="C1937" s="10" t="s">
        <v>15</v>
      </c>
      <c r="D1937" s="10" t="s">
        <v>45</v>
      </c>
      <c r="E1937" s="11" t="s">
        <v>21</v>
      </c>
      <c r="F1937" s="11" t="s">
        <v>17</v>
      </c>
      <c r="G1937" s="10" t="s">
        <v>24</v>
      </c>
      <c r="H1937" s="11" t="s">
        <v>19</v>
      </c>
      <c r="I1937" s="11" t="s">
        <v>113</v>
      </c>
      <c r="J1937" s="11"/>
      <c r="K1937" s="11" t="s">
        <v>130</v>
      </c>
      <c r="L1937" s="11"/>
      <c r="M1937" s="11"/>
      <c r="N1937" s="11"/>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4"/>
    </row>
    <row r="1938" spans="1:35" ht="12.5" hidden="1" x14ac:dyDescent="0.25">
      <c r="A1938" s="9">
        <v>537</v>
      </c>
      <c r="B1938" s="10" t="s">
        <v>14</v>
      </c>
      <c r="C1938" s="10" t="s">
        <v>15</v>
      </c>
      <c r="D1938" s="10" t="s">
        <v>45</v>
      </c>
      <c r="E1938" s="11" t="s">
        <v>21</v>
      </c>
      <c r="F1938" s="11" t="s">
        <v>17</v>
      </c>
      <c r="G1938" s="10" t="s">
        <v>24</v>
      </c>
      <c r="H1938" s="11" t="s">
        <v>19</v>
      </c>
      <c r="I1938" s="11" t="s">
        <v>113</v>
      </c>
      <c r="J1938" s="11"/>
      <c r="K1938" s="11" t="s">
        <v>130</v>
      </c>
      <c r="L1938" s="11"/>
      <c r="M1938" s="11"/>
      <c r="N1938" s="11"/>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4"/>
    </row>
    <row r="1939" spans="1:35" ht="12.5" hidden="1" x14ac:dyDescent="0.25">
      <c r="A1939" s="9">
        <v>538</v>
      </c>
      <c r="B1939" s="10" t="s">
        <v>14</v>
      </c>
      <c r="C1939" s="10" t="s">
        <v>15</v>
      </c>
      <c r="D1939" s="10" t="s">
        <v>45</v>
      </c>
      <c r="E1939" s="11" t="s">
        <v>21</v>
      </c>
      <c r="F1939" s="11" t="s">
        <v>17</v>
      </c>
      <c r="G1939" s="10" t="s">
        <v>24</v>
      </c>
      <c r="H1939" s="11" t="s">
        <v>19</v>
      </c>
      <c r="I1939" s="11" t="s">
        <v>113</v>
      </c>
      <c r="J1939" s="11"/>
      <c r="K1939" s="11" t="s">
        <v>130</v>
      </c>
      <c r="L1939" s="11"/>
      <c r="M1939" s="11"/>
      <c r="N1939" s="11"/>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4"/>
    </row>
    <row r="1940" spans="1:35" ht="12.5" hidden="1" x14ac:dyDescent="0.25">
      <c r="A1940" s="9">
        <v>539</v>
      </c>
      <c r="B1940" s="10" t="s">
        <v>14</v>
      </c>
      <c r="C1940" s="10" t="s">
        <v>15</v>
      </c>
      <c r="D1940" s="10" t="s">
        <v>45</v>
      </c>
      <c r="E1940" s="11" t="s">
        <v>21</v>
      </c>
      <c r="F1940" s="11" t="s">
        <v>17</v>
      </c>
      <c r="G1940" s="10" t="s">
        <v>18</v>
      </c>
      <c r="H1940" s="11" t="s">
        <v>19</v>
      </c>
      <c r="I1940" s="11" t="s">
        <v>113</v>
      </c>
      <c r="J1940" s="11"/>
      <c r="K1940" s="11" t="s">
        <v>130</v>
      </c>
      <c r="L1940" s="11"/>
      <c r="M1940" s="11"/>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4"/>
    </row>
    <row r="1941" spans="1:35" ht="12.5" hidden="1" x14ac:dyDescent="0.25">
      <c r="A1941" s="9">
        <v>540</v>
      </c>
      <c r="B1941" s="10" t="s">
        <v>14</v>
      </c>
      <c r="C1941" s="10" t="s">
        <v>15</v>
      </c>
      <c r="D1941" s="10" t="s">
        <v>45</v>
      </c>
      <c r="E1941" s="11" t="s">
        <v>21</v>
      </c>
      <c r="F1941" s="11" t="s">
        <v>17</v>
      </c>
      <c r="G1941" s="10" t="s">
        <v>18</v>
      </c>
      <c r="H1941" s="11" t="s">
        <v>19</v>
      </c>
      <c r="I1941" s="11" t="s">
        <v>113</v>
      </c>
      <c r="J1941" s="11"/>
      <c r="K1941" s="11" t="s">
        <v>130</v>
      </c>
      <c r="L1941" s="11"/>
      <c r="M1941" s="11"/>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4"/>
    </row>
    <row r="1942" spans="1:35" ht="12.5" hidden="1" x14ac:dyDescent="0.25">
      <c r="A1942" s="9">
        <v>541</v>
      </c>
      <c r="B1942" s="10" t="s">
        <v>14</v>
      </c>
      <c r="C1942" s="10" t="s">
        <v>15</v>
      </c>
      <c r="D1942" s="10" t="s">
        <v>45</v>
      </c>
      <c r="E1942" s="11" t="s">
        <v>21</v>
      </c>
      <c r="F1942" s="11" t="s">
        <v>17</v>
      </c>
      <c r="G1942" s="10" t="s">
        <v>18</v>
      </c>
      <c r="H1942" s="11" t="s">
        <v>23</v>
      </c>
      <c r="I1942" s="11" t="s">
        <v>113</v>
      </c>
      <c r="J1942" s="11"/>
      <c r="K1942" s="11" t="s">
        <v>130</v>
      </c>
      <c r="L1942" s="11"/>
      <c r="M1942" s="11"/>
      <c r="N1942" s="11"/>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4"/>
    </row>
    <row r="1943" spans="1:35" ht="12.5" hidden="1" x14ac:dyDescent="0.25">
      <c r="A1943" s="9">
        <v>542</v>
      </c>
      <c r="B1943" s="10" t="s">
        <v>14</v>
      </c>
      <c r="C1943" s="10" t="s">
        <v>15</v>
      </c>
      <c r="D1943" s="10" t="s">
        <v>45</v>
      </c>
      <c r="E1943" s="11" t="s">
        <v>21</v>
      </c>
      <c r="F1943" s="11" t="s">
        <v>17</v>
      </c>
      <c r="G1943" s="10" t="s">
        <v>24</v>
      </c>
      <c r="H1943" s="11" t="s">
        <v>19</v>
      </c>
      <c r="I1943" s="11" t="s">
        <v>113</v>
      </c>
      <c r="J1943" s="11"/>
      <c r="K1943" s="11" t="s">
        <v>130</v>
      </c>
      <c r="L1943" s="11"/>
      <c r="M1943" s="11"/>
      <c r="N1943" s="11"/>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4"/>
    </row>
    <row r="1944" spans="1:35" ht="12.5" hidden="1" x14ac:dyDescent="0.25">
      <c r="A1944" s="9">
        <v>543</v>
      </c>
      <c r="B1944" s="10" t="s">
        <v>14</v>
      </c>
      <c r="C1944" s="10" t="s">
        <v>15</v>
      </c>
      <c r="D1944" s="10" t="s">
        <v>45</v>
      </c>
      <c r="E1944" s="11" t="s">
        <v>21</v>
      </c>
      <c r="F1944" s="11" t="s">
        <v>17</v>
      </c>
      <c r="G1944" s="10" t="s">
        <v>18</v>
      </c>
      <c r="H1944" s="11" t="s">
        <v>19</v>
      </c>
      <c r="I1944" s="11" t="s">
        <v>113</v>
      </c>
      <c r="J1944" s="11"/>
      <c r="K1944" s="11" t="s">
        <v>130</v>
      </c>
      <c r="L1944" s="11"/>
      <c r="M1944" s="11"/>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4"/>
    </row>
    <row r="1945" spans="1:35" ht="12.5" hidden="1" x14ac:dyDescent="0.25">
      <c r="A1945" s="9">
        <v>544</v>
      </c>
      <c r="B1945" s="10" t="s">
        <v>14</v>
      </c>
      <c r="C1945" s="10" t="s">
        <v>15</v>
      </c>
      <c r="D1945" s="10" t="s">
        <v>45</v>
      </c>
      <c r="E1945" s="11" t="s">
        <v>21</v>
      </c>
      <c r="F1945" s="11" t="s">
        <v>17</v>
      </c>
      <c r="G1945" s="10" t="s">
        <v>18</v>
      </c>
      <c r="H1945" s="11" t="s">
        <v>19</v>
      </c>
      <c r="I1945" s="11" t="s">
        <v>113</v>
      </c>
      <c r="J1945" s="11"/>
      <c r="K1945" s="11" t="s">
        <v>130</v>
      </c>
      <c r="L1945" s="11"/>
      <c r="M1945" s="11"/>
      <c r="N1945" s="11"/>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4"/>
    </row>
    <row r="1946" spans="1:35" ht="12.5" hidden="1" x14ac:dyDescent="0.25">
      <c r="A1946" s="9">
        <v>545</v>
      </c>
      <c r="B1946" s="10" t="s">
        <v>14</v>
      </c>
      <c r="C1946" s="10" t="s">
        <v>15</v>
      </c>
      <c r="D1946" s="10" t="s">
        <v>45</v>
      </c>
      <c r="E1946" s="11" t="s">
        <v>21</v>
      </c>
      <c r="F1946" s="11" t="s">
        <v>17</v>
      </c>
      <c r="G1946" s="10" t="s">
        <v>18</v>
      </c>
      <c r="H1946" s="11" t="s">
        <v>19</v>
      </c>
      <c r="I1946" s="11" t="s">
        <v>113</v>
      </c>
      <c r="J1946" s="11"/>
      <c r="K1946" s="11" t="s">
        <v>130</v>
      </c>
      <c r="L1946" s="11"/>
      <c r="M1946" s="11"/>
      <c r="N1946" s="11"/>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4"/>
    </row>
    <row r="1947" spans="1:35" ht="12.5" hidden="1" x14ac:dyDescent="0.25">
      <c r="A1947" s="9">
        <v>546</v>
      </c>
      <c r="B1947" s="10" t="s">
        <v>14</v>
      </c>
      <c r="C1947" s="10" t="s">
        <v>15</v>
      </c>
      <c r="D1947" s="10" t="s">
        <v>45</v>
      </c>
      <c r="E1947" s="11" t="s">
        <v>21</v>
      </c>
      <c r="F1947" s="11" t="s">
        <v>17</v>
      </c>
      <c r="G1947" s="10" t="s">
        <v>18</v>
      </c>
      <c r="H1947" s="11" t="s">
        <v>19</v>
      </c>
      <c r="I1947" s="11" t="s">
        <v>113</v>
      </c>
      <c r="J1947" s="11"/>
      <c r="K1947" s="11" t="s">
        <v>130</v>
      </c>
      <c r="L1947" s="11"/>
      <c r="M1947" s="11"/>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4"/>
    </row>
    <row r="1948" spans="1:35" ht="12.5" hidden="1" x14ac:dyDescent="0.25">
      <c r="A1948" s="9">
        <v>547</v>
      </c>
      <c r="B1948" s="10" t="s">
        <v>14</v>
      </c>
      <c r="C1948" s="10" t="s">
        <v>15</v>
      </c>
      <c r="D1948" s="10" t="s">
        <v>37</v>
      </c>
      <c r="E1948" s="11" t="s">
        <v>35</v>
      </c>
      <c r="F1948" s="11" t="s">
        <v>17</v>
      </c>
      <c r="G1948" s="10" t="s">
        <v>24</v>
      </c>
      <c r="H1948" s="11" t="s">
        <v>19</v>
      </c>
      <c r="I1948" s="11" t="s">
        <v>113</v>
      </c>
      <c r="J1948" s="11"/>
      <c r="K1948" s="11" t="s">
        <v>131</v>
      </c>
      <c r="L1948" s="11"/>
      <c r="M1948" s="11"/>
      <c r="N1948" s="11"/>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4"/>
    </row>
    <row r="1949" spans="1:35" ht="12.5" hidden="1" x14ac:dyDescent="0.25">
      <c r="A1949" s="9">
        <v>548</v>
      </c>
      <c r="B1949" s="10" t="s">
        <v>14</v>
      </c>
      <c r="C1949" s="10" t="s">
        <v>15</v>
      </c>
      <c r="D1949" s="10" t="s">
        <v>37</v>
      </c>
      <c r="E1949" s="11" t="s">
        <v>35</v>
      </c>
      <c r="F1949" s="11" t="s">
        <v>17</v>
      </c>
      <c r="G1949" s="10" t="s">
        <v>24</v>
      </c>
      <c r="H1949" s="11" t="s">
        <v>23</v>
      </c>
      <c r="I1949" s="11" t="s">
        <v>113</v>
      </c>
      <c r="J1949" s="11"/>
      <c r="K1949" s="11" t="s">
        <v>131</v>
      </c>
      <c r="L1949" s="11"/>
      <c r="M1949" s="11"/>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4"/>
    </row>
    <row r="1950" spans="1:35" ht="12.5" hidden="1" x14ac:dyDescent="0.25">
      <c r="A1950" s="9">
        <v>549</v>
      </c>
      <c r="B1950" s="10" t="s">
        <v>14</v>
      </c>
      <c r="C1950" s="10" t="s">
        <v>15</v>
      </c>
      <c r="D1950" s="10" t="s">
        <v>37</v>
      </c>
      <c r="E1950" s="11" t="s">
        <v>35</v>
      </c>
      <c r="F1950" s="11" t="s">
        <v>17</v>
      </c>
      <c r="G1950" s="10" t="s">
        <v>18</v>
      </c>
      <c r="H1950" s="11" t="s">
        <v>23</v>
      </c>
      <c r="I1950" s="11" t="s">
        <v>113</v>
      </c>
      <c r="J1950" s="11"/>
      <c r="K1950" s="11" t="s">
        <v>131</v>
      </c>
      <c r="L1950" s="11"/>
      <c r="M1950" s="11"/>
      <c r="N1950" s="11"/>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4"/>
    </row>
    <row r="1951" spans="1:35" ht="12.5" hidden="1" x14ac:dyDescent="0.25">
      <c r="A1951" s="9">
        <v>550</v>
      </c>
      <c r="B1951" s="10" t="s">
        <v>14</v>
      </c>
      <c r="C1951" s="10" t="s">
        <v>15</v>
      </c>
      <c r="D1951" s="10" t="s">
        <v>37</v>
      </c>
      <c r="E1951" s="11" t="s">
        <v>40</v>
      </c>
      <c r="F1951" s="11" t="s">
        <v>17</v>
      </c>
      <c r="G1951" s="10" t="s">
        <v>18</v>
      </c>
      <c r="H1951" s="11" t="s">
        <v>23</v>
      </c>
      <c r="I1951" s="11" t="s">
        <v>113</v>
      </c>
      <c r="J1951" s="11"/>
      <c r="K1951" s="11" t="s">
        <v>132</v>
      </c>
      <c r="L1951" s="11"/>
      <c r="M1951" s="11"/>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4"/>
    </row>
    <row r="1952" spans="1:35" ht="12.5" hidden="1" x14ac:dyDescent="0.25">
      <c r="A1952" s="9">
        <v>551</v>
      </c>
      <c r="B1952" s="10" t="s">
        <v>14</v>
      </c>
      <c r="C1952" s="10" t="s">
        <v>15</v>
      </c>
      <c r="D1952" s="10" t="s">
        <v>45</v>
      </c>
      <c r="E1952" s="11" t="s">
        <v>38</v>
      </c>
      <c r="F1952" s="11" t="s">
        <v>17</v>
      </c>
      <c r="G1952" s="10" t="s">
        <v>18</v>
      </c>
      <c r="H1952" s="11" t="s">
        <v>23</v>
      </c>
      <c r="I1952" s="11" t="s">
        <v>113</v>
      </c>
      <c r="J1952" s="11"/>
      <c r="K1952" s="11" t="s">
        <v>133</v>
      </c>
      <c r="L1952" s="11"/>
      <c r="M1952" s="11"/>
      <c r="N1952" s="11"/>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4"/>
    </row>
    <row r="1953" spans="1:35" ht="12.5" hidden="1" x14ac:dyDescent="0.25">
      <c r="A1953" s="9">
        <v>552</v>
      </c>
      <c r="B1953" s="10" t="s">
        <v>14</v>
      </c>
      <c r="C1953" s="10" t="s">
        <v>15</v>
      </c>
      <c r="D1953" s="10" t="s">
        <v>45</v>
      </c>
      <c r="E1953" s="11" t="s">
        <v>38</v>
      </c>
      <c r="F1953" s="11" t="s">
        <v>17</v>
      </c>
      <c r="G1953" s="10" t="s">
        <v>18</v>
      </c>
      <c r="H1953" s="11" t="s">
        <v>23</v>
      </c>
      <c r="I1953" s="11" t="s">
        <v>113</v>
      </c>
      <c r="J1953" s="11"/>
      <c r="K1953" s="11" t="s">
        <v>133</v>
      </c>
      <c r="L1953" s="11"/>
      <c r="M1953" s="11"/>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4"/>
    </row>
    <row r="1954" spans="1:35" ht="12.5" hidden="1" x14ac:dyDescent="0.25">
      <c r="A1954" s="9">
        <v>553</v>
      </c>
      <c r="B1954" s="10" t="s">
        <v>14</v>
      </c>
      <c r="C1954" s="10" t="s">
        <v>15</v>
      </c>
      <c r="D1954" s="10" t="s">
        <v>45</v>
      </c>
      <c r="E1954" s="11" t="s">
        <v>38</v>
      </c>
      <c r="F1954" s="11" t="s">
        <v>17</v>
      </c>
      <c r="G1954" s="10" t="s">
        <v>24</v>
      </c>
      <c r="H1954" s="11" t="s">
        <v>23</v>
      </c>
      <c r="I1954" s="11" t="s">
        <v>113</v>
      </c>
      <c r="J1954" s="11"/>
      <c r="K1954" s="11" t="s">
        <v>133</v>
      </c>
      <c r="L1954" s="11"/>
      <c r="M1954" s="11"/>
      <c r="N1954" s="11"/>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4"/>
    </row>
    <row r="1955" spans="1:35" ht="12.5" hidden="1" x14ac:dyDescent="0.25">
      <c r="A1955" s="9">
        <v>554</v>
      </c>
      <c r="B1955" s="10" t="s">
        <v>14</v>
      </c>
      <c r="C1955" s="10" t="s">
        <v>15</v>
      </c>
      <c r="D1955" s="10" t="s">
        <v>45</v>
      </c>
      <c r="E1955" s="11" t="s">
        <v>38</v>
      </c>
      <c r="F1955" s="11" t="s">
        <v>17</v>
      </c>
      <c r="G1955" s="10" t="s">
        <v>18</v>
      </c>
      <c r="H1955" s="11" t="s">
        <v>23</v>
      </c>
      <c r="I1955" s="11" t="s">
        <v>113</v>
      </c>
      <c r="J1955" s="11"/>
      <c r="K1955" s="11" t="s">
        <v>133</v>
      </c>
      <c r="L1955" s="11"/>
      <c r="M1955" s="11"/>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4"/>
    </row>
    <row r="1956" spans="1:35" ht="12.5" hidden="1" x14ac:dyDescent="0.25">
      <c r="A1956" s="9">
        <v>555</v>
      </c>
      <c r="B1956" s="10" t="s">
        <v>14</v>
      </c>
      <c r="C1956" s="10" t="s">
        <v>15</v>
      </c>
      <c r="D1956" s="10" t="s">
        <v>45</v>
      </c>
      <c r="E1956" s="11" t="s">
        <v>38</v>
      </c>
      <c r="F1956" s="11" t="s">
        <v>17</v>
      </c>
      <c r="G1956" s="10" t="s">
        <v>24</v>
      </c>
      <c r="H1956" s="11" t="s">
        <v>23</v>
      </c>
      <c r="I1956" s="11" t="s">
        <v>113</v>
      </c>
      <c r="J1956" s="11"/>
      <c r="K1956" s="11" t="s">
        <v>133</v>
      </c>
      <c r="L1956" s="11"/>
      <c r="M1956" s="11"/>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4"/>
    </row>
    <row r="1957" spans="1:35" ht="12.5" hidden="1" x14ac:dyDescent="0.25">
      <c r="A1957" s="9">
        <v>556</v>
      </c>
      <c r="B1957" s="10" t="s">
        <v>14</v>
      </c>
      <c r="C1957" s="10" t="s">
        <v>15</v>
      </c>
      <c r="D1957" s="10" t="s">
        <v>45</v>
      </c>
      <c r="E1957" s="11" t="s">
        <v>38</v>
      </c>
      <c r="F1957" s="11" t="s">
        <v>17</v>
      </c>
      <c r="G1957" s="10" t="s">
        <v>24</v>
      </c>
      <c r="H1957" s="11" t="s">
        <v>19</v>
      </c>
      <c r="I1957" s="11" t="s">
        <v>113</v>
      </c>
      <c r="J1957" s="11"/>
      <c r="K1957" s="11" t="s">
        <v>133</v>
      </c>
      <c r="L1957" s="11"/>
      <c r="M1957" s="11"/>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4"/>
    </row>
    <row r="1958" spans="1:35" ht="12.5" hidden="1" x14ac:dyDescent="0.25">
      <c r="A1958" s="9">
        <v>557</v>
      </c>
      <c r="B1958" s="10" t="s">
        <v>14</v>
      </c>
      <c r="C1958" s="10" t="s">
        <v>15</v>
      </c>
      <c r="D1958" s="10" t="s">
        <v>45</v>
      </c>
      <c r="E1958" s="11" t="s">
        <v>38</v>
      </c>
      <c r="F1958" s="11" t="s">
        <v>17</v>
      </c>
      <c r="G1958" s="10" t="s">
        <v>24</v>
      </c>
      <c r="H1958" s="11" t="s">
        <v>23</v>
      </c>
      <c r="I1958" s="11" t="s">
        <v>113</v>
      </c>
      <c r="J1958" s="11"/>
      <c r="K1958" s="11" t="s">
        <v>133</v>
      </c>
      <c r="L1958" s="11"/>
      <c r="M1958" s="11"/>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4"/>
    </row>
    <row r="1959" spans="1:35" ht="12.5" hidden="1" x14ac:dyDescent="0.25">
      <c r="A1959" s="9">
        <v>558</v>
      </c>
      <c r="B1959" s="10" t="s">
        <v>14</v>
      </c>
      <c r="C1959" s="10" t="s">
        <v>15</v>
      </c>
      <c r="D1959" s="10" t="s">
        <v>45</v>
      </c>
      <c r="E1959" s="11" t="s">
        <v>33</v>
      </c>
      <c r="F1959" s="11" t="s">
        <v>17</v>
      </c>
      <c r="G1959" s="10" t="s">
        <v>24</v>
      </c>
      <c r="H1959" s="11" t="s">
        <v>23</v>
      </c>
      <c r="I1959" s="11" t="s">
        <v>113</v>
      </c>
      <c r="J1959" s="11"/>
      <c r="K1959" s="11" t="s">
        <v>134</v>
      </c>
      <c r="L1959" s="11"/>
      <c r="M1959" s="11"/>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4"/>
    </row>
    <row r="1960" spans="1:35" ht="12.5" hidden="1" x14ac:dyDescent="0.25">
      <c r="A1960" s="9">
        <v>559</v>
      </c>
      <c r="B1960" s="10" t="s">
        <v>14</v>
      </c>
      <c r="C1960" s="10" t="s">
        <v>15</v>
      </c>
      <c r="D1960" s="10" t="s">
        <v>45</v>
      </c>
      <c r="E1960" s="11" t="s">
        <v>33</v>
      </c>
      <c r="F1960" s="11" t="s">
        <v>17</v>
      </c>
      <c r="G1960" s="10" t="s">
        <v>24</v>
      </c>
      <c r="H1960" s="11" t="s">
        <v>23</v>
      </c>
      <c r="I1960" s="11" t="s">
        <v>113</v>
      </c>
      <c r="J1960" s="11"/>
      <c r="K1960" s="11" t="s">
        <v>134</v>
      </c>
      <c r="L1960" s="11"/>
      <c r="M1960" s="11"/>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4"/>
    </row>
    <row r="1961" spans="1:35" ht="12.5" hidden="1" x14ac:dyDescent="0.25">
      <c r="A1961" s="9">
        <v>560</v>
      </c>
      <c r="B1961" s="10" t="s">
        <v>14</v>
      </c>
      <c r="C1961" s="10" t="s">
        <v>15</v>
      </c>
      <c r="D1961" s="10" t="s">
        <v>16</v>
      </c>
      <c r="E1961" s="11" t="s">
        <v>33</v>
      </c>
      <c r="F1961" s="11" t="s">
        <v>17</v>
      </c>
      <c r="G1961" s="10" t="s">
        <v>18</v>
      </c>
      <c r="H1961" s="11" t="s">
        <v>23</v>
      </c>
      <c r="I1961" s="11" t="s">
        <v>113</v>
      </c>
      <c r="J1961" s="11"/>
      <c r="K1961" s="11" t="s">
        <v>134</v>
      </c>
      <c r="L1961" s="11"/>
      <c r="M1961" s="11"/>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4"/>
    </row>
    <row r="1962" spans="1:35" ht="12.5" hidden="1" x14ac:dyDescent="0.25">
      <c r="A1962" s="9">
        <v>561</v>
      </c>
      <c r="B1962" s="10" t="s">
        <v>14</v>
      </c>
      <c r="C1962" s="10" t="s">
        <v>15</v>
      </c>
      <c r="D1962" s="10" t="s">
        <v>16</v>
      </c>
      <c r="E1962" s="11" t="s">
        <v>33</v>
      </c>
      <c r="F1962" s="11" t="s">
        <v>17</v>
      </c>
      <c r="G1962" s="10" t="s">
        <v>18</v>
      </c>
      <c r="H1962" s="11" t="s">
        <v>19</v>
      </c>
      <c r="I1962" s="11" t="s">
        <v>113</v>
      </c>
      <c r="J1962" s="11"/>
      <c r="K1962" s="11" t="s">
        <v>134</v>
      </c>
      <c r="L1962" s="11"/>
      <c r="M1962" s="11"/>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4"/>
    </row>
    <row r="1963" spans="1:35" ht="12.5" hidden="1" x14ac:dyDescent="0.25">
      <c r="A1963" s="9">
        <v>562</v>
      </c>
      <c r="B1963" s="10" t="s">
        <v>14</v>
      </c>
      <c r="C1963" s="10" t="s">
        <v>15</v>
      </c>
      <c r="D1963" s="10" t="s">
        <v>16</v>
      </c>
      <c r="E1963" s="11" t="s">
        <v>33</v>
      </c>
      <c r="F1963" s="11" t="s">
        <v>17</v>
      </c>
      <c r="G1963" s="10" t="s">
        <v>18</v>
      </c>
      <c r="H1963" s="11" t="s">
        <v>19</v>
      </c>
      <c r="I1963" s="11" t="s">
        <v>113</v>
      </c>
      <c r="J1963" s="11"/>
      <c r="K1963" s="11" t="s">
        <v>134</v>
      </c>
      <c r="L1963" s="11"/>
      <c r="M1963" s="11"/>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4"/>
    </row>
    <row r="1964" spans="1:35" ht="12.5" hidden="1" x14ac:dyDescent="0.25">
      <c r="A1964" s="9">
        <v>563</v>
      </c>
      <c r="B1964" s="10" t="s">
        <v>14</v>
      </c>
      <c r="C1964" s="10" t="s">
        <v>15</v>
      </c>
      <c r="D1964" s="10" t="s">
        <v>16</v>
      </c>
      <c r="E1964" s="11" t="s">
        <v>33</v>
      </c>
      <c r="F1964" s="11" t="s">
        <v>17</v>
      </c>
      <c r="G1964" s="10" t="s">
        <v>18</v>
      </c>
      <c r="H1964" s="11" t="s">
        <v>19</v>
      </c>
      <c r="I1964" s="11" t="s">
        <v>113</v>
      </c>
      <c r="J1964" s="11"/>
      <c r="K1964" s="11" t="s">
        <v>134</v>
      </c>
      <c r="L1964" s="11"/>
      <c r="M1964" s="11"/>
      <c r="N1964" s="11"/>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4"/>
    </row>
    <row r="1965" spans="1:35" ht="12.5" hidden="1" x14ac:dyDescent="0.25">
      <c r="A1965" s="9">
        <v>564</v>
      </c>
      <c r="B1965" s="10" t="s">
        <v>14</v>
      </c>
      <c r="C1965" s="10" t="s">
        <v>15</v>
      </c>
      <c r="D1965" s="10" t="s">
        <v>16</v>
      </c>
      <c r="E1965" s="11" t="s">
        <v>33</v>
      </c>
      <c r="F1965" s="11" t="s">
        <v>17</v>
      </c>
      <c r="G1965" s="10" t="s">
        <v>18</v>
      </c>
      <c r="H1965" s="11" t="s">
        <v>23</v>
      </c>
      <c r="I1965" s="11" t="s">
        <v>113</v>
      </c>
      <c r="J1965" s="11"/>
      <c r="K1965" s="11" t="s">
        <v>134</v>
      </c>
      <c r="L1965" s="11"/>
      <c r="M1965" s="11"/>
      <c r="N1965" s="11"/>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4"/>
    </row>
    <row r="1966" spans="1:35" ht="12.5" hidden="1" x14ac:dyDescent="0.25">
      <c r="A1966" s="9">
        <v>565</v>
      </c>
      <c r="B1966" s="10" t="s">
        <v>14</v>
      </c>
      <c r="C1966" s="10" t="s">
        <v>15</v>
      </c>
      <c r="D1966" s="10" t="s">
        <v>16</v>
      </c>
      <c r="E1966" s="11" t="s">
        <v>33</v>
      </c>
      <c r="F1966" s="11" t="s">
        <v>17</v>
      </c>
      <c r="G1966" s="10" t="s">
        <v>18</v>
      </c>
      <c r="H1966" s="11" t="s">
        <v>23</v>
      </c>
      <c r="I1966" s="11" t="s">
        <v>113</v>
      </c>
      <c r="J1966" s="11"/>
      <c r="K1966" s="11" t="s">
        <v>134</v>
      </c>
      <c r="L1966" s="11"/>
      <c r="M1966" s="11"/>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4"/>
    </row>
    <row r="1967" spans="1:35" ht="12.5" hidden="1" x14ac:dyDescent="0.25">
      <c r="A1967" s="9">
        <v>566</v>
      </c>
      <c r="B1967" s="10" t="s">
        <v>14</v>
      </c>
      <c r="C1967" s="10" t="s">
        <v>15</v>
      </c>
      <c r="D1967" s="10" t="s">
        <v>37</v>
      </c>
      <c r="E1967" s="11" t="s">
        <v>33</v>
      </c>
      <c r="F1967" s="11" t="s">
        <v>17</v>
      </c>
      <c r="G1967" s="10" t="s">
        <v>18</v>
      </c>
      <c r="H1967" s="11" t="s">
        <v>23</v>
      </c>
      <c r="I1967" s="11" t="s">
        <v>113</v>
      </c>
      <c r="J1967" s="11"/>
      <c r="K1967" s="11" t="s">
        <v>134</v>
      </c>
      <c r="L1967" s="11"/>
      <c r="M1967" s="11"/>
      <c r="N1967" s="11"/>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4"/>
    </row>
    <row r="1968" spans="1:35" ht="12.5" hidden="1" x14ac:dyDescent="0.25">
      <c r="A1968" s="9">
        <v>567</v>
      </c>
      <c r="B1968" s="10" t="s">
        <v>14</v>
      </c>
      <c r="C1968" s="10" t="s">
        <v>15</v>
      </c>
      <c r="D1968" s="10" t="s">
        <v>37</v>
      </c>
      <c r="E1968" s="11" t="s">
        <v>33</v>
      </c>
      <c r="F1968" s="11" t="s">
        <v>17</v>
      </c>
      <c r="G1968" s="10" t="s">
        <v>18</v>
      </c>
      <c r="H1968" s="11" t="s">
        <v>23</v>
      </c>
      <c r="I1968" s="11" t="s">
        <v>113</v>
      </c>
      <c r="J1968" s="11"/>
      <c r="K1968" s="11" t="s">
        <v>134</v>
      </c>
      <c r="L1968" s="11"/>
      <c r="M1968" s="11"/>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4"/>
    </row>
    <row r="1969" spans="1:35" ht="12.5" hidden="1" x14ac:dyDescent="0.25">
      <c r="A1969" s="9">
        <v>568</v>
      </c>
      <c r="B1969" s="10" t="s">
        <v>14</v>
      </c>
      <c r="C1969" s="10" t="s">
        <v>15</v>
      </c>
      <c r="D1969" s="10" t="s">
        <v>37</v>
      </c>
      <c r="E1969" s="11" t="s">
        <v>33</v>
      </c>
      <c r="F1969" s="11" t="s">
        <v>17</v>
      </c>
      <c r="G1969" s="10" t="s">
        <v>18</v>
      </c>
      <c r="H1969" s="11" t="s">
        <v>23</v>
      </c>
      <c r="I1969" s="11" t="s">
        <v>113</v>
      </c>
      <c r="J1969" s="11"/>
      <c r="K1969" s="11" t="s">
        <v>134</v>
      </c>
      <c r="L1969" s="11"/>
      <c r="M1969" s="11"/>
      <c r="N1969" s="11"/>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4"/>
    </row>
    <row r="1970" spans="1:35" ht="12.5" hidden="1" x14ac:dyDescent="0.25">
      <c r="A1970" s="9">
        <v>569</v>
      </c>
      <c r="B1970" s="10" t="s">
        <v>14</v>
      </c>
      <c r="C1970" s="10" t="s">
        <v>15</v>
      </c>
      <c r="D1970" s="10" t="s">
        <v>37</v>
      </c>
      <c r="E1970" s="11" t="s">
        <v>33</v>
      </c>
      <c r="F1970" s="11" t="s">
        <v>17</v>
      </c>
      <c r="G1970" s="10" t="s">
        <v>18</v>
      </c>
      <c r="H1970" s="11" t="s">
        <v>23</v>
      </c>
      <c r="I1970" s="11" t="s">
        <v>113</v>
      </c>
      <c r="J1970" s="11"/>
      <c r="K1970" s="11" t="s">
        <v>134</v>
      </c>
      <c r="L1970" s="11"/>
      <c r="M1970" s="11"/>
      <c r="N1970" s="11"/>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4"/>
    </row>
    <row r="1971" spans="1:35" ht="12.5" hidden="1" x14ac:dyDescent="0.25">
      <c r="A1971" s="9">
        <v>570</v>
      </c>
      <c r="B1971" s="10" t="s">
        <v>14</v>
      </c>
      <c r="C1971" s="10" t="s">
        <v>15</v>
      </c>
      <c r="D1971" s="10" t="s">
        <v>37</v>
      </c>
      <c r="E1971" s="11" t="s">
        <v>33</v>
      </c>
      <c r="F1971" s="11" t="s">
        <v>17</v>
      </c>
      <c r="G1971" s="10" t="s">
        <v>24</v>
      </c>
      <c r="H1971" s="11" t="s">
        <v>23</v>
      </c>
      <c r="I1971" s="11" t="s">
        <v>113</v>
      </c>
      <c r="J1971" s="11"/>
      <c r="K1971" s="11" t="s">
        <v>134</v>
      </c>
      <c r="L1971" s="11"/>
      <c r="M1971" s="11"/>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4"/>
    </row>
    <row r="1972" spans="1:35" ht="12.5" hidden="1" x14ac:dyDescent="0.25">
      <c r="A1972" s="9">
        <v>571</v>
      </c>
      <c r="B1972" s="10" t="s">
        <v>14</v>
      </c>
      <c r="C1972" s="10" t="s">
        <v>15</v>
      </c>
      <c r="D1972" s="10" t="s">
        <v>45</v>
      </c>
      <c r="E1972" s="11" t="s">
        <v>28</v>
      </c>
      <c r="F1972" s="11" t="s">
        <v>17</v>
      </c>
      <c r="G1972" s="10" t="s">
        <v>18</v>
      </c>
      <c r="H1972" s="11" t="s">
        <v>19</v>
      </c>
      <c r="I1972" s="11" t="s">
        <v>113</v>
      </c>
      <c r="J1972" s="11"/>
      <c r="K1972" s="11" t="s">
        <v>135</v>
      </c>
      <c r="L1972" s="11"/>
      <c r="M1972" s="11"/>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4"/>
    </row>
    <row r="1973" spans="1:35" ht="12.5" hidden="1" x14ac:dyDescent="0.25">
      <c r="A1973" s="9">
        <v>572</v>
      </c>
      <c r="B1973" s="10" t="s">
        <v>14</v>
      </c>
      <c r="C1973" s="10" t="s">
        <v>15</v>
      </c>
      <c r="D1973" s="10" t="s">
        <v>45</v>
      </c>
      <c r="E1973" s="11" t="s">
        <v>28</v>
      </c>
      <c r="F1973" s="11" t="s">
        <v>17</v>
      </c>
      <c r="G1973" s="10" t="s">
        <v>24</v>
      </c>
      <c r="H1973" s="11" t="s">
        <v>23</v>
      </c>
      <c r="I1973" s="11" t="s">
        <v>113</v>
      </c>
      <c r="J1973" s="11"/>
      <c r="K1973" s="11" t="s">
        <v>135</v>
      </c>
      <c r="L1973" s="11"/>
      <c r="M1973" s="11"/>
      <c r="N1973" s="11"/>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4"/>
    </row>
    <row r="1974" spans="1:35" ht="12.5" hidden="1" x14ac:dyDescent="0.25">
      <c r="A1974" s="9">
        <v>573</v>
      </c>
      <c r="B1974" s="10" t="s">
        <v>14</v>
      </c>
      <c r="C1974" s="10" t="s">
        <v>15</v>
      </c>
      <c r="D1974" s="10" t="s">
        <v>45</v>
      </c>
      <c r="E1974" s="11" t="s">
        <v>28</v>
      </c>
      <c r="F1974" s="11" t="s">
        <v>17</v>
      </c>
      <c r="G1974" s="10" t="s">
        <v>24</v>
      </c>
      <c r="H1974" s="11" t="s">
        <v>19</v>
      </c>
      <c r="I1974" s="11" t="s">
        <v>113</v>
      </c>
      <c r="J1974" s="11"/>
      <c r="K1974" s="11" t="s">
        <v>135</v>
      </c>
      <c r="L1974" s="11"/>
      <c r="M1974" s="11"/>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4"/>
    </row>
    <row r="1975" spans="1:35" ht="12.5" hidden="1" x14ac:dyDescent="0.25">
      <c r="A1975" s="9">
        <v>574</v>
      </c>
      <c r="B1975" s="10" t="s">
        <v>14</v>
      </c>
      <c r="C1975" s="10" t="s">
        <v>15</v>
      </c>
      <c r="D1975" s="10" t="s">
        <v>45</v>
      </c>
      <c r="E1975" s="11" t="s">
        <v>28</v>
      </c>
      <c r="F1975" s="11" t="s">
        <v>17</v>
      </c>
      <c r="G1975" s="10" t="s">
        <v>18</v>
      </c>
      <c r="H1975" s="11" t="s">
        <v>23</v>
      </c>
      <c r="I1975" s="11" t="s">
        <v>113</v>
      </c>
      <c r="J1975" s="11"/>
      <c r="K1975" s="11" t="s">
        <v>135</v>
      </c>
      <c r="L1975" s="11"/>
      <c r="M1975" s="11"/>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4"/>
    </row>
    <row r="1976" spans="1:35" ht="12.5" hidden="1" x14ac:dyDescent="0.25">
      <c r="A1976" s="9">
        <v>575</v>
      </c>
      <c r="B1976" s="10" t="s">
        <v>14</v>
      </c>
      <c r="C1976" s="10" t="s">
        <v>15</v>
      </c>
      <c r="D1976" s="10" t="s">
        <v>16</v>
      </c>
      <c r="E1976" s="11" t="s">
        <v>28</v>
      </c>
      <c r="F1976" s="11" t="s">
        <v>17</v>
      </c>
      <c r="G1976" s="10" t="s">
        <v>18</v>
      </c>
      <c r="H1976" s="11" t="s">
        <v>23</v>
      </c>
      <c r="I1976" s="11" t="s">
        <v>113</v>
      </c>
      <c r="J1976" s="11"/>
      <c r="K1976" s="11" t="s">
        <v>135</v>
      </c>
      <c r="L1976" s="11"/>
      <c r="M1976" s="11"/>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4"/>
    </row>
    <row r="1977" spans="1:35" ht="12.5" hidden="1" x14ac:dyDescent="0.25">
      <c r="A1977" s="9">
        <v>576</v>
      </c>
      <c r="B1977" s="10" t="s">
        <v>14</v>
      </c>
      <c r="C1977" s="10" t="s">
        <v>15</v>
      </c>
      <c r="D1977" s="10" t="s">
        <v>16</v>
      </c>
      <c r="E1977" s="11" t="s">
        <v>28</v>
      </c>
      <c r="F1977" s="11" t="s">
        <v>17</v>
      </c>
      <c r="G1977" s="10" t="s">
        <v>18</v>
      </c>
      <c r="H1977" s="11" t="s">
        <v>19</v>
      </c>
      <c r="I1977" s="11" t="s">
        <v>113</v>
      </c>
      <c r="J1977" s="11"/>
      <c r="K1977" s="11" t="s">
        <v>135</v>
      </c>
      <c r="L1977" s="11"/>
      <c r="M1977" s="11"/>
      <c r="N1977" s="11"/>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4"/>
    </row>
    <row r="1978" spans="1:35" ht="12.5" hidden="1" x14ac:dyDescent="0.25">
      <c r="A1978" s="9">
        <v>577</v>
      </c>
      <c r="B1978" s="10" t="s">
        <v>14</v>
      </c>
      <c r="C1978" s="10" t="s">
        <v>15</v>
      </c>
      <c r="D1978" s="10" t="s">
        <v>16</v>
      </c>
      <c r="E1978" s="11" t="s">
        <v>28</v>
      </c>
      <c r="F1978" s="11" t="s">
        <v>17</v>
      </c>
      <c r="G1978" s="10" t="s">
        <v>24</v>
      </c>
      <c r="H1978" s="11" t="s">
        <v>19</v>
      </c>
      <c r="I1978" s="11" t="s">
        <v>113</v>
      </c>
      <c r="J1978" s="11"/>
      <c r="K1978" s="11" t="s">
        <v>135</v>
      </c>
      <c r="L1978" s="11"/>
      <c r="M1978" s="11"/>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4"/>
    </row>
    <row r="1979" spans="1:35" ht="12.5" hidden="1" x14ac:dyDescent="0.25">
      <c r="A1979" s="9">
        <v>578</v>
      </c>
      <c r="B1979" s="10" t="s">
        <v>14</v>
      </c>
      <c r="C1979" s="10" t="s">
        <v>15</v>
      </c>
      <c r="D1979" s="10" t="s">
        <v>16</v>
      </c>
      <c r="E1979" s="11" t="s">
        <v>28</v>
      </c>
      <c r="F1979" s="11" t="s">
        <v>17</v>
      </c>
      <c r="G1979" s="10" t="s">
        <v>18</v>
      </c>
      <c r="H1979" s="11" t="s">
        <v>19</v>
      </c>
      <c r="I1979" s="11" t="s">
        <v>113</v>
      </c>
      <c r="J1979" s="11"/>
      <c r="K1979" s="11" t="s">
        <v>135</v>
      </c>
      <c r="L1979" s="11"/>
      <c r="M1979" s="11"/>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4"/>
    </row>
    <row r="1980" spans="1:35" ht="12.5" hidden="1" x14ac:dyDescent="0.25">
      <c r="A1980" s="9">
        <v>579</v>
      </c>
      <c r="B1980" s="10" t="s">
        <v>14</v>
      </c>
      <c r="C1980" s="10" t="s">
        <v>15</v>
      </c>
      <c r="D1980" s="10" t="s">
        <v>16</v>
      </c>
      <c r="E1980" s="11" t="s">
        <v>28</v>
      </c>
      <c r="F1980" s="11" t="s">
        <v>17</v>
      </c>
      <c r="G1980" s="10" t="s">
        <v>24</v>
      </c>
      <c r="H1980" s="11" t="s">
        <v>25</v>
      </c>
      <c r="I1980" s="11" t="s">
        <v>113</v>
      </c>
      <c r="J1980" s="11"/>
      <c r="K1980" s="11" t="s">
        <v>135</v>
      </c>
      <c r="L1980" s="11"/>
      <c r="M1980" s="11"/>
      <c r="N1980" s="11"/>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4"/>
    </row>
    <row r="1981" spans="1:35" ht="12.5" hidden="1" x14ac:dyDescent="0.25">
      <c r="A1981" s="9">
        <v>580</v>
      </c>
      <c r="B1981" s="10" t="s">
        <v>14</v>
      </c>
      <c r="C1981" s="10" t="s">
        <v>15</v>
      </c>
      <c r="D1981" s="10" t="s">
        <v>16</v>
      </c>
      <c r="E1981" s="11" t="s">
        <v>28</v>
      </c>
      <c r="F1981" s="11" t="s">
        <v>17</v>
      </c>
      <c r="G1981" s="10" t="s">
        <v>18</v>
      </c>
      <c r="H1981" s="11" t="s">
        <v>23</v>
      </c>
      <c r="I1981" s="11" t="s">
        <v>113</v>
      </c>
      <c r="J1981" s="11"/>
      <c r="K1981" s="11" t="s">
        <v>135</v>
      </c>
      <c r="L1981" s="11"/>
      <c r="M1981" s="11"/>
      <c r="N1981" s="11"/>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4"/>
    </row>
    <row r="1982" spans="1:35" ht="12.5" hidden="1" x14ac:dyDescent="0.25">
      <c r="A1982" s="9">
        <v>581</v>
      </c>
      <c r="B1982" s="10" t="s">
        <v>14</v>
      </c>
      <c r="C1982" s="10" t="s">
        <v>15</v>
      </c>
      <c r="D1982" s="10" t="s">
        <v>16</v>
      </c>
      <c r="E1982" s="11" t="s">
        <v>28</v>
      </c>
      <c r="F1982" s="11" t="s">
        <v>17</v>
      </c>
      <c r="G1982" s="10" t="s">
        <v>18</v>
      </c>
      <c r="H1982" s="11" t="s">
        <v>23</v>
      </c>
      <c r="I1982" s="11" t="s">
        <v>113</v>
      </c>
      <c r="J1982" s="11"/>
      <c r="K1982" s="11" t="s">
        <v>135</v>
      </c>
      <c r="L1982" s="11"/>
      <c r="M1982" s="11"/>
      <c r="N1982" s="11"/>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4"/>
    </row>
    <row r="1983" spans="1:35" ht="12.5" hidden="1" x14ac:dyDescent="0.25">
      <c r="A1983" s="9">
        <v>582</v>
      </c>
      <c r="B1983" s="10" t="s">
        <v>14</v>
      </c>
      <c r="C1983" s="10" t="s">
        <v>15</v>
      </c>
      <c r="D1983" s="10" t="s">
        <v>37</v>
      </c>
      <c r="E1983" s="11" t="s">
        <v>28</v>
      </c>
      <c r="F1983" s="11" t="s">
        <v>17</v>
      </c>
      <c r="G1983" s="10" t="s">
        <v>18</v>
      </c>
      <c r="H1983" s="11" t="s">
        <v>19</v>
      </c>
      <c r="I1983" s="11" t="s">
        <v>113</v>
      </c>
      <c r="J1983" s="11"/>
      <c r="K1983" s="11" t="s">
        <v>135</v>
      </c>
      <c r="L1983" s="11"/>
      <c r="M1983" s="11"/>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4"/>
    </row>
    <row r="1984" spans="1:35" ht="12.5" hidden="1" x14ac:dyDescent="0.25">
      <c r="A1984" s="9">
        <v>583</v>
      </c>
      <c r="B1984" s="10" t="s">
        <v>14</v>
      </c>
      <c r="C1984" s="10" t="s">
        <v>15</v>
      </c>
      <c r="D1984" s="10" t="s">
        <v>37</v>
      </c>
      <c r="E1984" s="11" t="s">
        <v>28</v>
      </c>
      <c r="F1984" s="11" t="s">
        <v>17</v>
      </c>
      <c r="G1984" s="10" t="s">
        <v>18</v>
      </c>
      <c r="H1984" s="11" t="s">
        <v>23</v>
      </c>
      <c r="I1984" s="11" t="s">
        <v>113</v>
      </c>
      <c r="J1984" s="11"/>
      <c r="K1984" s="11" t="s">
        <v>135</v>
      </c>
      <c r="L1984" s="11"/>
      <c r="M1984" s="11"/>
      <c r="N1984" s="11"/>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4"/>
    </row>
    <row r="1985" spans="1:35" ht="12.5" hidden="1" x14ac:dyDescent="0.25">
      <c r="A1985" s="9">
        <v>584</v>
      </c>
      <c r="B1985" s="10" t="s">
        <v>14</v>
      </c>
      <c r="C1985" s="10" t="s">
        <v>15</v>
      </c>
      <c r="D1985" s="10" t="s">
        <v>37</v>
      </c>
      <c r="E1985" s="11" t="s">
        <v>28</v>
      </c>
      <c r="F1985" s="11" t="s">
        <v>17</v>
      </c>
      <c r="G1985" s="10" t="s">
        <v>18</v>
      </c>
      <c r="H1985" s="11" t="s">
        <v>23</v>
      </c>
      <c r="I1985" s="11" t="s">
        <v>113</v>
      </c>
      <c r="J1985" s="11"/>
      <c r="K1985" s="11" t="s">
        <v>135</v>
      </c>
      <c r="L1985" s="11"/>
      <c r="M1985" s="11"/>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4"/>
    </row>
    <row r="1986" spans="1:35" ht="12.5" hidden="1" x14ac:dyDescent="0.25">
      <c r="A1986" s="9">
        <v>585</v>
      </c>
      <c r="B1986" s="10" t="s">
        <v>14</v>
      </c>
      <c r="C1986" s="10" t="s">
        <v>15</v>
      </c>
      <c r="D1986" s="10" t="s">
        <v>37</v>
      </c>
      <c r="E1986" s="11" t="s">
        <v>28</v>
      </c>
      <c r="F1986" s="11" t="s">
        <v>17</v>
      </c>
      <c r="G1986" s="10" t="s">
        <v>24</v>
      </c>
      <c r="H1986" s="11" t="s">
        <v>23</v>
      </c>
      <c r="I1986" s="11" t="s">
        <v>113</v>
      </c>
      <c r="J1986" s="11"/>
      <c r="K1986" s="11" t="s">
        <v>135</v>
      </c>
      <c r="L1986" s="11"/>
      <c r="M1986" s="11"/>
      <c r="N1986" s="11"/>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4"/>
    </row>
    <row r="1987" spans="1:35" ht="12.5" hidden="1" x14ac:dyDescent="0.25">
      <c r="A1987" s="9">
        <v>586</v>
      </c>
      <c r="B1987" s="10" t="s">
        <v>14</v>
      </c>
      <c r="C1987" s="10" t="s">
        <v>15</v>
      </c>
      <c r="D1987" s="10" t="s">
        <v>37</v>
      </c>
      <c r="E1987" s="11" t="s">
        <v>28</v>
      </c>
      <c r="F1987" s="11" t="s">
        <v>17</v>
      </c>
      <c r="G1987" s="10" t="s">
        <v>24</v>
      </c>
      <c r="H1987" s="11" t="s">
        <v>23</v>
      </c>
      <c r="I1987" s="11" t="s">
        <v>113</v>
      </c>
      <c r="J1987" s="11"/>
      <c r="K1987" s="11" t="s">
        <v>135</v>
      </c>
      <c r="L1987" s="11"/>
      <c r="M1987" s="11"/>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4"/>
    </row>
    <row r="1988" spans="1:35" ht="12.5" hidden="1" x14ac:dyDescent="0.25">
      <c r="A1988" s="9">
        <v>587</v>
      </c>
      <c r="B1988" s="10" t="s">
        <v>14</v>
      </c>
      <c r="C1988" s="10" t="s">
        <v>15</v>
      </c>
      <c r="D1988" s="10" t="s">
        <v>37</v>
      </c>
      <c r="E1988" s="11" t="s">
        <v>28</v>
      </c>
      <c r="F1988" s="11" t="s">
        <v>17</v>
      </c>
      <c r="G1988" s="10" t="s">
        <v>18</v>
      </c>
      <c r="H1988" s="11" t="s">
        <v>23</v>
      </c>
      <c r="I1988" s="11" t="s">
        <v>113</v>
      </c>
      <c r="J1988" s="11"/>
      <c r="K1988" s="11" t="s">
        <v>135</v>
      </c>
      <c r="L1988" s="11"/>
      <c r="M1988" s="11"/>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4"/>
    </row>
    <row r="1989" spans="1:35" ht="12.5" hidden="1" x14ac:dyDescent="0.25">
      <c r="A1989" s="9">
        <v>588</v>
      </c>
      <c r="B1989" s="10" t="s">
        <v>14</v>
      </c>
      <c r="C1989" s="10" t="s">
        <v>15</v>
      </c>
      <c r="D1989" s="10" t="s">
        <v>37</v>
      </c>
      <c r="E1989" s="11" t="s">
        <v>28</v>
      </c>
      <c r="F1989" s="11" t="s">
        <v>17</v>
      </c>
      <c r="G1989" s="10" t="s">
        <v>24</v>
      </c>
      <c r="H1989" s="11" t="s">
        <v>19</v>
      </c>
      <c r="I1989" s="11" t="s">
        <v>113</v>
      </c>
      <c r="J1989" s="11"/>
      <c r="K1989" s="11" t="s">
        <v>135</v>
      </c>
      <c r="L1989" s="11"/>
      <c r="M1989" s="11"/>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4"/>
    </row>
    <row r="1990" spans="1:35" ht="12.5" hidden="1" x14ac:dyDescent="0.25">
      <c r="A1990" s="9">
        <v>589</v>
      </c>
      <c r="B1990" s="10" t="s">
        <v>14</v>
      </c>
      <c r="C1990" s="10" t="s">
        <v>15</v>
      </c>
      <c r="D1990" s="10" t="s">
        <v>37</v>
      </c>
      <c r="E1990" s="11" t="s">
        <v>28</v>
      </c>
      <c r="F1990" s="11" t="s">
        <v>17</v>
      </c>
      <c r="G1990" s="10" t="s">
        <v>24</v>
      </c>
      <c r="H1990" s="11" t="s">
        <v>19</v>
      </c>
      <c r="I1990" s="11" t="s">
        <v>113</v>
      </c>
      <c r="J1990" s="11"/>
      <c r="K1990" s="11" t="s">
        <v>135</v>
      </c>
      <c r="L1990" s="11"/>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4"/>
    </row>
    <row r="1991" spans="1:35" ht="12.5" hidden="1" x14ac:dyDescent="0.25">
      <c r="A1991" s="9">
        <v>590</v>
      </c>
      <c r="B1991" s="10" t="s">
        <v>14</v>
      </c>
      <c r="C1991" s="10" t="s">
        <v>15</v>
      </c>
      <c r="D1991" s="10" t="s">
        <v>45</v>
      </c>
      <c r="E1991" s="11" t="s">
        <v>27</v>
      </c>
      <c r="F1991" s="11" t="s">
        <v>17</v>
      </c>
      <c r="G1991" s="10" t="s">
        <v>18</v>
      </c>
      <c r="H1991" s="11" t="s">
        <v>19</v>
      </c>
      <c r="I1991" s="11" t="s">
        <v>113</v>
      </c>
      <c r="J1991" s="11"/>
      <c r="K1991" s="11" t="s">
        <v>136</v>
      </c>
      <c r="L1991" s="11"/>
      <c r="M1991" s="11"/>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4"/>
    </row>
    <row r="1992" spans="1:35" ht="12.5" hidden="1" x14ac:dyDescent="0.25">
      <c r="A1992" s="9">
        <v>591</v>
      </c>
      <c r="B1992" s="10" t="s">
        <v>14</v>
      </c>
      <c r="C1992" s="10" t="s">
        <v>15</v>
      </c>
      <c r="D1992" s="10" t="s">
        <v>45</v>
      </c>
      <c r="E1992" s="11" t="s">
        <v>27</v>
      </c>
      <c r="F1992" s="11" t="s">
        <v>17</v>
      </c>
      <c r="G1992" s="10" t="s">
        <v>24</v>
      </c>
      <c r="H1992" s="11" t="s">
        <v>23</v>
      </c>
      <c r="I1992" s="11" t="s">
        <v>113</v>
      </c>
      <c r="J1992" s="11"/>
      <c r="K1992" s="11" t="s">
        <v>136</v>
      </c>
      <c r="L1992" s="11"/>
      <c r="M1992" s="11"/>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4"/>
    </row>
    <row r="1993" spans="1:35" ht="12.5" hidden="1" x14ac:dyDescent="0.25">
      <c r="A1993" s="9">
        <v>592</v>
      </c>
      <c r="B1993" s="10" t="s">
        <v>14</v>
      </c>
      <c r="C1993" s="10" t="s">
        <v>15</v>
      </c>
      <c r="D1993" s="10" t="s">
        <v>45</v>
      </c>
      <c r="E1993" s="11" t="s">
        <v>27</v>
      </c>
      <c r="F1993" s="11" t="s">
        <v>17</v>
      </c>
      <c r="G1993" s="10" t="s">
        <v>18</v>
      </c>
      <c r="H1993" s="11" t="s">
        <v>23</v>
      </c>
      <c r="I1993" s="11" t="s">
        <v>113</v>
      </c>
      <c r="J1993" s="11"/>
      <c r="K1993" s="11" t="s">
        <v>136</v>
      </c>
      <c r="L1993" s="11"/>
      <c r="M1993" s="11"/>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4"/>
    </row>
    <row r="1994" spans="1:35" ht="12.5" hidden="1" x14ac:dyDescent="0.25">
      <c r="A1994" s="9">
        <v>593</v>
      </c>
      <c r="B1994" s="10" t="s">
        <v>14</v>
      </c>
      <c r="C1994" s="10" t="s">
        <v>15</v>
      </c>
      <c r="D1994" s="10" t="s">
        <v>45</v>
      </c>
      <c r="E1994" s="11" t="s">
        <v>27</v>
      </c>
      <c r="F1994" s="11" t="s">
        <v>17</v>
      </c>
      <c r="G1994" s="10" t="s">
        <v>24</v>
      </c>
      <c r="H1994" s="11" t="s">
        <v>19</v>
      </c>
      <c r="I1994" s="11" t="s">
        <v>113</v>
      </c>
      <c r="J1994" s="11"/>
      <c r="K1994" s="11" t="s">
        <v>136</v>
      </c>
      <c r="L1994" s="11"/>
      <c r="M1994" s="11"/>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4"/>
    </row>
    <row r="1995" spans="1:35" ht="12.5" hidden="1" x14ac:dyDescent="0.25">
      <c r="A1995" s="9">
        <v>594</v>
      </c>
      <c r="B1995" s="10" t="s">
        <v>14</v>
      </c>
      <c r="C1995" s="10" t="s">
        <v>15</v>
      </c>
      <c r="D1995" s="10" t="s">
        <v>45</v>
      </c>
      <c r="E1995" s="11" t="s">
        <v>27</v>
      </c>
      <c r="F1995" s="11" t="s">
        <v>17</v>
      </c>
      <c r="G1995" s="10" t="s">
        <v>18</v>
      </c>
      <c r="H1995" s="11" t="s">
        <v>19</v>
      </c>
      <c r="I1995" s="11" t="s">
        <v>113</v>
      </c>
      <c r="J1995" s="11"/>
      <c r="K1995" s="11" t="s">
        <v>136</v>
      </c>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4"/>
    </row>
    <row r="1996" spans="1:35" ht="12.5" hidden="1" x14ac:dyDescent="0.25">
      <c r="A1996" s="9">
        <v>595</v>
      </c>
      <c r="B1996" s="10" t="s">
        <v>14</v>
      </c>
      <c r="C1996" s="10" t="s">
        <v>15</v>
      </c>
      <c r="D1996" s="10" t="s">
        <v>45</v>
      </c>
      <c r="E1996" s="11" t="s">
        <v>27</v>
      </c>
      <c r="F1996" s="11" t="s">
        <v>17</v>
      </c>
      <c r="G1996" s="10" t="s">
        <v>18</v>
      </c>
      <c r="H1996" s="11" t="s">
        <v>19</v>
      </c>
      <c r="I1996" s="11" t="s">
        <v>113</v>
      </c>
      <c r="J1996" s="11"/>
      <c r="K1996" s="11" t="s">
        <v>136</v>
      </c>
      <c r="L1996" s="11"/>
      <c r="M1996" s="11"/>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4"/>
    </row>
    <row r="1997" spans="1:35" ht="12.5" hidden="1" x14ac:dyDescent="0.25">
      <c r="A1997" s="9">
        <v>596</v>
      </c>
      <c r="B1997" s="10" t="s">
        <v>14</v>
      </c>
      <c r="C1997" s="10" t="s">
        <v>15</v>
      </c>
      <c r="D1997" s="10" t="s">
        <v>45</v>
      </c>
      <c r="E1997" s="11" t="s">
        <v>27</v>
      </c>
      <c r="F1997" s="11" t="s">
        <v>17</v>
      </c>
      <c r="G1997" s="10" t="s">
        <v>24</v>
      </c>
      <c r="H1997" s="11" t="s">
        <v>23</v>
      </c>
      <c r="I1997" s="11" t="s">
        <v>113</v>
      </c>
      <c r="J1997" s="11"/>
      <c r="K1997" s="11" t="s">
        <v>136</v>
      </c>
      <c r="L1997" s="11"/>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4"/>
    </row>
    <row r="1998" spans="1:35" ht="12.5" hidden="1" x14ac:dyDescent="0.25">
      <c r="A1998" s="9">
        <v>597</v>
      </c>
      <c r="B1998" s="10" t="s">
        <v>14</v>
      </c>
      <c r="C1998" s="10" t="s">
        <v>15</v>
      </c>
      <c r="D1998" s="10" t="s">
        <v>45</v>
      </c>
      <c r="E1998" s="11" t="s">
        <v>27</v>
      </c>
      <c r="F1998" s="11" t="s">
        <v>17</v>
      </c>
      <c r="G1998" s="10" t="s">
        <v>18</v>
      </c>
      <c r="H1998" s="11" t="s">
        <v>19</v>
      </c>
      <c r="I1998" s="11" t="s">
        <v>113</v>
      </c>
      <c r="J1998" s="11"/>
      <c r="K1998" s="11" t="s">
        <v>136</v>
      </c>
      <c r="L1998" s="11"/>
      <c r="M1998" s="11"/>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4"/>
    </row>
    <row r="1999" spans="1:35" ht="12.5" hidden="1" x14ac:dyDescent="0.25">
      <c r="A1999" s="9">
        <v>598</v>
      </c>
      <c r="B1999" s="10" t="s">
        <v>14</v>
      </c>
      <c r="C1999" s="10" t="s">
        <v>15</v>
      </c>
      <c r="D1999" s="10" t="s">
        <v>45</v>
      </c>
      <c r="E1999" s="11" t="s">
        <v>27</v>
      </c>
      <c r="F1999" s="11" t="s">
        <v>17</v>
      </c>
      <c r="G1999" s="10" t="s">
        <v>24</v>
      </c>
      <c r="H1999" s="11" t="s">
        <v>23</v>
      </c>
      <c r="I1999" s="11" t="s">
        <v>113</v>
      </c>
      <c r="J1999" s="11"/>
      <c r="K1999" s="11" t="s">
        <v>136</v>
      </c>
      <c r="L1999" s="11"/>
      <c r="M1999" s="11"/>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4"/>
    </row>
    <row r="2000" spans="1:35" ht="12.5" hidden="1" x14ac:dyDescent="0.25">
      <c r="A2000" s="9">
        <v>599</v>
      </c>
      <c r="B2000" s="10" t="s">
        <v>14</v>
      </c>
      <c r="C2000" s="10" t="s">
        <v>15</v>
      </c>
      <c r="D2000" s="10" t="s">
        <v>37</v>
      </c>
      <c r="E2000" s="11" t="s">
        <v>27</v>
      </c>
      <c r="F2000" s="11" t="s">
        <v>17</v>
      </c>
      <c r="G2000" s="10" t="s">
        <v>24</v>
      </c>
      <c r="H2000" s="11" t="s">
        <v>25</v>
      </c>
      <c r="I2000" s="11" t="s">
        <v>113</v>
      </c>
      <c r="J2000" s="11"/>
      <c r="K2000" s="11" t="s">
        <v>136</v>
      </c>
      <c r="L2000" s="11"/>
      <c r="M2000" s="11"/>
      <c r="N2000" s="11"/>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4"/>
    </row>
    <row r="2001" spans="1:35" ht="12.5" hidden="1" x14ac:dyDescent="0.25">
      <c r="A2001" s="9">
        <v>600</v>
      </c>
      <c r="B2001" s="10" t="s">
        <v>14</v>
      </c>
      <c r="C2001" s="10" t="s">
        <v>15</v>
      </c>
      <c r="D2001" s="10" t="s">
        <v>37</v>
      </c>
      <c r="E2001" s="11" t="s">
        <v>27</v>
      </c>
      <c r="F2001" s="11" t="s">
        <v>17</v>
      </c>
      <c r="G2001" s="10" t="s">
        <v>24</v>
      </c>
      <c r="H2001" s="11" t="s">
        <v>23</v>
      </c>
      <c r="I2001" s="11" t="s">
        <v>113</v>
      </c>
      <c r="J2001" s="11"/>
      <c r="K2001" s="11" t="s">
        <v>136</v>
      </c>
      <c r="L2001" s="11"/>
      <c r="M2001" s="11"/>
      <c r="N2001" s="11"/>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4"/>
    </row>
    <row r="2002" spans="1:35" ht="12.5" hidden="1" x14ac:dyDescent="0.25">
      <c r="A2002" s="9">
        <v>601</v>
      </c>
      <c r="B2002" s="10" t="s">
        <v>14</v>
      </c>
      <c r="C2002" s="10" t="s">
        <v>15</v>
      </c>
      <c r="D2002" s="10" t="s">
        <v>37</v>
      </c>
      <c r="E2002" s="11" t="s">
        <v>27</v>
      </c>
      <c r="F2002" s="11" t="s">
        <v>17</v>
      </c>
      <c r="G2002" s="10" t="s">
        <v>24</v>
      </c>
      <c r="H2002" s="11" t="s">
        <v>19</v>
      </c>
      <c r="I2002" s="11" t="s">
        <v>113</v>
      </c>
      <c r="J2002" s="11"/>
      <c r="K2002" s="11" t="s">
        <v>136</v>
      </c>
      <c r="L2002" s="11"/>
      <c r="M2002" s="11"/>
      <c r="N2002" s="11"/>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4"/>
    </row>
    <row r="2003" spans="1:35" ht="12.5" hidden="1" x14ac:dyDescent="0.25">
      <c r="A2003" s="9">
        <v>602</v>
      </c>
      <c r="B2003" s="10" t="s">
        <v>14</v>
      </c>
      <c r="C2003" s="10" t="s">
        <v>15</v>
      </c>
      <c r="D2003" s="10" t="s">
        <v>37</v>
      </c>
      <c r="E2003" s="11" t="s">
        <v>27</v>
      </c>
      <c r="F2003" s="11" t="s">
        <v>17</v>
      </c>
      <c r="G2003" s="10" t="s">
        <v>24</v>
      </c>
      <c r="H2003" s="11" t="s">
        <v>23</v>
      </c>
      <c r="I2003" s="11" t="s">
        <v>113</v>
      </c>
      <c r="J2003" s="11"/>
      <c r="K2003" s="11" t="s">
        <v>136</v>
      </c>
      <c r="L2003" s="11"/>
      <c r="M2003" s="11"/>
      <c r="N2003" s="11"/>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4"/>
    </row>
    <row r="2004" spans="1:35" ht="12.5" hidden="1" x14ac:dyDescent="0.25">
      <c r="A2004" s="9">
        <v>603</v>
      </c>
      <c r="B2004" s="10" t="s">
        <v>14</v>
      </c>
      <c r="C2004" s="10" t="s">
        <v>15</v>
      </c>
      <c r="D2004" s="10" t="s">
        <v>37</v>
      </c>
      <c r="E2004" s="11" t="s">
        <v>27</v>
      </c>
      <c r="F2004" s="11" t="s">
        <v>17</v>
      </c>
      <c r="G2004" s="10" t="s">
        <v>18</v>
      </c>
      <c r="H2004" s="11" t="s">
        <v>19</v>
      </c>
      <c r="I2004" s="11" t="s">
        <v>113</v>
      </c>
      <c r="J2004" s="11"/>
      <c r="K2004" s="11" t="s">
        <v>136</v>
      </c>
      <c r="L2004" s="11"/>
      <c r="M2004" s="11"/>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4"/>
    </row>
    <row r="2005" spans="1:35" ht="12.5" hidden="1" x14ac:dyDescent="0.25">
      <c r="A2005" s="9">
        <v>604</v>
      </c>
      <c r="B2005" s="10" t="s">
        <v>14</v>
      </c>
      <c r="C2005" s="10" t="s">
        <v>15</v>
      </c>
      <c r="D2005" s="10" t="s">
        <v>37</v>
      </c>
      <c r="E2005" s="11" t="s">
        <v>27</v>
      </c>
      <c r="F2005" s="11" t="s">
        <v>17</v>
      </c>
      <c r="G2005" s="10" t="s">
        <v>24</v>
      </c>
      <c r="H2005" s="11" t="s">
        <v>25</v>
      </c>
      <c r="I2005" s="11" t="s">
        <v>113</v>
      </c>
      <c r="J2005" s="11"/>
      <c r="K2005" s="11" t="s">
        <v>136</v>
      </c>
      <c r="L2005" s="11"/>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4"/>
    </row>
    <row r="2006" spans="1:35" ht="12.5" hidden="1" x14ac:dyDescent="0.25">
      <c r="A2006" s="9">
        <v>605</v>
      </c>
      <c r="B2006" s="10" t="s">
        <v>14</v>
      </c>
      <c r="C2006" s="10" t="s">
        <v>15</v>
      </c>
      <c r="D2006" s="10" t="s">
        <v>37</v>
      </c>
      <c r="E2006" s="11" t="s">
        <v>27</v>
      </c>
      <c r="F2006" s="11" t="s">
        <v>17</v>
      </c>
      <c r="G2006" s="10" t="s">
        <v>18</v>
      </c>
      <c r="H2006" s="11" t="s">
        <v>23</v>
      </c>
      <c r="I2006" s="11" t="s">
        <v>113</v>
      </c>
      <c r="J2006" s="11"/>
      <c r="K2006" s="11" t="s">
        <v>136</v>
      </c>
      <c r="L2006" s="11"/>
      <c r="M2006" s="11"/>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4"/>
    </row>
    <row r="2007" spans="1:35" ht="12.5" hidden="1" x14ac:dyDescent="0.25">
      <c r="A2007" s="9">
        <v>606</v>
      </c>
      <c r="B2007" s="10" t="s">
        <v>14</v>
      </c>
      <c r="C2007" s="10" t="s">
        <v>15</v>
      </c>
      <c r="D2007" s="10" t="s">
        <v>37</v>
      </c>
      <c r="E2007" s="11" t="s">
        <v>27</v>
      </c>
      <c r="F2007" s="11" t="s">
        <v>17</v>
      </c>
      <c r="G2007" s="10" t="s">
        <v>24</v>
      </c>
      <c r="H2007" s="11" t="s">
        <v>23</v>
      </c>
      <c r="I2007" s="11" t="s">
        <v>113</v>
      </c>
      <c r="J2007" s="11"/>
      <c r="K2007" s="11" t="s">
        <v>136</v>
      </c>
      <c r="L2007" s="11"/>
      <c r="M2007" s="11"/>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4"/>
    </row>
    <row r="2008" spans="1:35" ht="12.5" hidden="1" x14ac:dyDescent="0.25">
      <c r="A2008" s="9">
        <v>607</v>
      </c>
      <c r="B2008" s="10" t="s">
        <v>14</v>
      </c>
      <c r="C2008" s="10" t="s">
        <v>15</v>
      </c>
      <c r="D2008" s="10" t="s">
        <v>37</v>
      </c>
      <c r="E2008" s="11" t="s">
        <v>27</v>
      </c>
      <c r="F2008" s="11" t="s">
        <v>17</v>
      </c>
      <c r="G2008" s="10" t="s">
        <v>18</v>
      </c>
      <c r="H2008" s="11" t="s">
        <v>19</v>
      </c>
      <c r="I2008" s="11" t="s">
        <v>113</v>
      </c>
      <c r="J2008" s="11"/>
      <c r="K2008" s="11" t="s">
        <v>136</v>
      </c>
      <c r="L2008" s="11"/>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4"/>
    </row>
    <row r="2009" spans="1:35" ht="12.5" hidden="1" x14ac:dyDescent="0.25">
      <c r="A2009" s="9">
        <v>608</v>
      </c>
      <c r="B2009" s="10" t="s">
        <v>14</v>
      </c>
      <c r="C2009" s="10" t="s">
        <v>15</v>
      </c>
      <c r="D2009" s="10" t="s">
        <v>37</v>
      </c>
      <c r="E2009" s="11" t="s">
        <v>27</v>
      </c>
      <c r="F2009" s="11" t="s">
        <v>17</v>
      </c>
      <c r="G2009" s="10" t="s">
        <v>24</v>
      </c>
      <c r="H2009" s="11" t="s">
        <v>23</v>
      </c>
      <c r="I2009" s="11" t="s">
        <v>113</v>
      </c>
      <c r="J2009" s="11"/>
      <c r="K2009" s="11" t="s">
        <v>136</v>
      </c>
      <c r="L2009" s="11"/>
      <c r="M2009" s="11"/>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4"/>
    </row>
    <row r="2010" spans="1:35" ht="12.5" hidden="1" x14ac:dyDescent="0.25">
      <c r="A2010" s="9">
        <v>609</v>
      </c>
      <c r="B2010" s="10" t="s">
        <v>14</v>
      </c>
      <c r="C2010" s="10" t="s">
        <v>15</v>
      </c>
      <c r="D2010" s="10" t="s">
        <v>37</v>
      </c>
      <c r="E2010" s="11" t="s">
        <v>27</v>
      </c>
      <c r="F2010" s="11" t="s">
        <v>17</v>
      </c>
      <c r="G2010" s="10" t="s">
        <v>18</v>
      </c>
      <c r="H2010" s="11" t="s">
        <v>23</v>
      </c>
      <c r="I2010" s="11" t="s">
        <v>113</v>
      </c>
      <c r="J2010" s="11"/>
      <c r="K2010" s="11" t="s">
        <v>136</v>
      </c>
      <c r="L2010" s="11"/>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4"/>
    </row>
    <row r="2011" spans="1:35" ht="12.5" hidden="1" x14ac:dyDescent="0.25">
      <c r="A2011" s="9">
        <v>610</v>
      </c>
      <c r="B2011" s="10" t="s">
        <v>14</v>
      </c>
      <c r="C2011" s="10" t="s">
        <v>15</v>
      </c>
      <c r="D2011" s="10" t="s">
        <v>37</v>
      </c>
      <c r="E2011" s="11" t="s">
        <v>27</v>
      </c>
      <c r="F2011" s="11" t="s">
        <v>17</v>
      </c>
      <c r="G2011" s="10" t="s">
        <v>18</v>
      </c>
      <c r="H2011" s="11" t="s">
        <v>23</v>
      </c>
      <c r="I2011" s="11" t="s">
        <v>113</v>
      </c>
      <c r="J2011" s="11"/>
      <c r="K2011" s="11" t="s">
        <v>136</v>
      </c>
      <c r="L2011" s="11"/>
      <c r="M2011" s="11"/>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4"/>
    </row>
    <row r="2012" spans="1:35" ht="12.5" hidden="1" x14ac:dyDescent="0.25">
      <c r="A2012" s="9">
        <v>611</v>
      </c>
      <c r="B2012" s="10" t="s">
        <v>14</v>
      </c>
      <c r="C2012" s="10" t="s">
        <v>15</v>
      </c>
      <c r="D2012" s="10" t="s">
        <v>37</v>
      </c>
      <c r="E2012" s="11" t="s">
        <v>27</v>
      </c>
      <c r="F2012" s="11" t="s">
        <v>17</v>
      </c>
      <c r="G2012" s="10" t="s">
        <v>18</v>
      </c>
      <c r="H2012" s="11" t="s">
        <v>19</v>
      </c>
      <c r="I2012" s="11" t="s">
        <v>113</v>
      </c>
      <c r="J2012" s="11"/>
      <c r="K2012" s="11" t="s">
        <v>136</v>
      </c>
      <c r="L2012" s="11"/>
      <c r="M2012" s="11"/>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4"/>
    </row>
    <row r="2013" spans="1:35" ht="12.5" hidden="1" x14ac:dyDescent="0.25">
      <c r="A2013" s="9">
        <v>612</v>
      </c>
      <c r="B2013" s="10" t="s">
        <v>14</v>
      </c>
      <c r="C2013" s="10" t="s">
        <v>15</v>
      </c>
      <c r="D2013" s="10" t="s">
        <v>37</v>
      </c>
      <c r="E2013" s="11" t="s">
        <v>27</v>
      </c>
      <c r="F2013" s="11" t="s">
        <v>17</v>
      </c>
      <c r="G2013" s="10" t="s">
        <v>18</v>
      </c>
      <c r="H2013" s="11" t="s">
        <v>23</v>
      </c>
      <c r="I2013" s="11" t="s">
        <v>113</v>
      </c>
      <c r="J2013" s="11"/>
      <c r="K2013" s="11" t="s">
        <v>136</v>
      </c>
      <c r="L2013" s="11"/>
      <c r="M2013" s="11"/>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4"/>
    </row>
    <row r="2014" spans="1:35" ht="12.5" hidden="1" x14ac:dyDescent="0.25">
      <c r="A2014" s="9">
        <v>613</v>
      </c>
      <c r="B2014" s="10" t="s">
        <v>14</v>
      </c>
      <c r="C2014" s="10" t="s">
        <v>15</v>
      </c>
      <c r="D2014" s="10" t="s">
        <v>37</v>
      </c>
      <c r="E2014" s="11" t="s">
        <v>27</v>
      </c>
      <c r="F2014" s="11" t="s">
        <v>17</v>
      </c>
      <c r="G2014" s="10" t="s">
        <v>24</v>
      </c>
      <c r="H2014" s="11" t="s">
        <v>23</v>
      </c>
      <c r="I2014" s="11" t="s">
        <v>113</v>
      </c>
      <c r="J2014" s="11"/>
      <c r="K2014" s="11" t="s">
        <v>136</v>
      </c>
      <c r="L2014" s="11"/>
      <c r="M2014" s="11"/>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4"/>
    </row>
    <row r="2015" spans="1:35" ht="12.5" hidden="1" x14ac:dyDescent="0.25">
      <c r="A2015" s="9">
        <v>614</v>
      </c>
      <c r="B2015" s="10" t="s">
        <v>14</v>
      </c>
      <c r="C2015" s="10" t="s">
        <v>15</v>
      </c>
      <c r="D2015" s="10" t="s">
        <v>37</v>
      </c>
      <c r="E2015" s="11" t="s">
        <v>27</v>
      </c>
      <c r="F2015" s="11" t="s">
        <v>17</v>
      </c>
      <c r="G2015" s="10" t="s">
        <v>24</v>
      </c>
      <c r="H2015" s="11" t="s">
        <v>23</v>
      </c>
      <c r="I2015" s="11" t="s">
        <v>113</v>
      </c>
      <c r="J2015" s="11"/>
      <c r="K2015" s="11" t="s">
        <v>136</v>
      </c>
      <c r="L2015" s="11"/>
      <c r="M2015" s="11"/>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4"/>
    </row>
    <row r="2016" spans="1:35" ht="12.5" hidden="1" x14ac:dyDescent="0.25">
      <c r="A2016" s="9">
        <v>615</v>
      </c>
      <c r="B2016" s="10" t="s">
        <v>14</v>
      </c>
      <c r="C2016" s="10" t="s">
        <v>15</v>
      </c>
      <c r="D2016" s="10" t="s">
        <v>37</v>
      </c>
      <c r="E2016" s="11" t="s">
        <v>27</v>
      </c>
      <c r="F2016" s="11" t="s">
        <v>17</v>
      </c>
      <c r="G2016" s="10" t="s">
        <v>18</v>
      </c>
      <c r="H2016" s="11" t="s">
        <v>23</v>
      </c>
      <c r="I2016" s="11" t="s">
        <v>113</v>
      </c>
      <c r="J2016" s="11"/>
      <c r="K2016" s="11" t="s">
        <v>136</v>
      </c>
      <c r="L2016" s="11"/>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4"/>
    </row>
    <row r="2017" spans="1:35" ht="12.5" hidden="1" x14ac:dyDescent="0.25">
      <c r="A2017" s="9">
        <v>616</v>
      </c>
      <c r="B2017" s="10" t="s">
        <v>14</v>
      </c>
      <c r="C2017" s="10" t="s">
        <v>15</v>
      </c>
      <c r="D2017" s="10" t="s">
        <v>37</v>
      </c>
      <c r="E2017" s="11" t="s">
        <v>27</v>
      </c>
      <c r="F2017" s="11" t="s">
        <v>17</v>
      </c>
      <c r="G2017" s="10" t="s">
        <v>18</v>
      </c>
      <c r="H2017" s="11" t="s">
        <v>23</v>
      </c>
      <c r="I2017" s="11" t="s">
        <v>113</v>
      </c>
      <c r="J2017" s="11"/>
      <c r="K2017" s="11" t="s">
        <v>136</v>
      </c>
      <c r="L2017" s="11"/>
      <c r="M2017" s="11"/>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4"/>
    </row>
    <row r="2018" spans="1:35" ht="12.5" hidden="1" x14ac:dyDescent="0.25">
      <c r="A2018" s="9">
        <v>617</v>
      </c>
      <c r="B2018" s="10" t="s">
        <v>14</v>
      </c>
      <c r="C2018" s="10" t="s">
        <v>15</v>
      </c>
      <c r="D2018" s="10" t="s">
        <v>37</v>
      </c>
      <c r="E2018" s="11" t="s">
        <v>27</v>
      </c>
      <c r="F2018" s="11" t="s">
        <v>17</v>
      </c>
      <c r="G2018" s="10" t="s">
        <v>24</v>
      </c>
      <c r="H2018" s="11" t="s">
        <v>23</v>
      </c>
      <c r="I2018" s="11" t="s">
        <v>113</v>
      </c>
      <c r="J2018" s="11"/>
      <c r="K2018" s="11" t="s">
        <v>136</v>
      </c>
      <c r="L2018" s="11"/>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4"/>
    </row>
    <row r="2019" spans="1:35" ht="12.5" hidden="1" x14ac:dyDescent="0.25">
      <c r="A2019" s="9">
        <v>618</v>
      </c>
      <c r="B2019" s="10" t="s">
        <v>14</v>
      </c>
      <c r="C2019" s="10" t="s">
        <v>15</v>
      </c>
      <c r="D2019" s="10" t="s">
        <v>37</v>
      </c>
      <c r="E2019" s="11" t="s">
        <v>27</v>
      </c>
      <c r="F2019" s="11" t="s">
        <v>17</v>
      </c>
      <c r="G2019" s="10" t="s">
        <v>18</v>
      </c>
      <c r="H2019" s="11" t="s">
        <v>23</v>
      </c>
      <c r="I2019" s="11" t="s">
        <v>113</v>
      </c>
      <c r="J2019" s="11"/>
      <c r="K2019" s="11" t="s">
        <v>136</v>
      </c>
      <c r="L2019" s="11"/>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4"/>
    </row>
    <row r="2020" spans="1:35" ht="12.5" hidden="1" x14ac:dyDescent="0.25">
      <c r="A2020" s="9">
        <v>619</v>
      </c>
      <c r="B2020" s="10" t="s">
        <v>14</v>
      </c>
      <c r="C2020" s="10" t="s">
        <v>15</v>
      </c>
      <c r="D2020" s="10" t="s">
        <v>37</v>
      </c>
      <c r="E2020" s="11" t="s">
        <v>27</v>
      </c>
      <c r="F2020" s="11" t="s">
        <v>17</v>
      </c>
      <c r="G2020" s="10" t="s">
        <v>24</v>
      </c>
      <c r="H2020" s="11" t="s">
        <v>19</v>
      </c>
      <c r="I2020" s="11" t="s">
        <v>113</v>
      </c>
      <c r="J2020" s="11"/>
      <c r="K2020" s="11" t="s">
        <v>136</v>
      </c>
      <c r="L2020" s="11"/>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4"/>
    </row>
    <row r="2021" spans="1:35" ht="12.5" hidden="1" x14ac:dyDescent="0.25">
      <c r="A2021" s="9">
        <v>620</v>
      </c>
      <c r="B2021" s="10" t="s">
        <v>14</v>
      </c>
      <c r="C2021" s="10" t="s">
        <v>15</v>
      </c>
      <c r="D2021" s="10" t="s">
        <v>37</v>
      </c>
      <c r="E2021" s="11" t="s">
        <v>27</v>
      </c>
      <c r="F2021" s="11" t="s">
        <v>17</v>
      </c>
      <c r="G2021" s="10" t="s">
        <v>24</v>
      </c>
      <c r="H2021" s="11" t="s">
        <v>19</v>
      </c>
      <c r="I2021" s="11" t="s">
        <v>113</v>
      </c>
      <c r="J2021" s="11"/>
      <c r="K2021" s="11" t="s">
        <v>136</v>
      </c>
      <c r="L2021" s="11"/>
      <c r="M2021" s="11"/>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4"/>
    </row>
    <row r="2022" spans="1:35" ht="12.5" hidden="1" x14ac:dyDescent="0.25">
      <c r="A2022" s="9">
        <v>621</v>
      </c>
      <c r="B2022" s="10" t="s">
        <v>14</v>
      </c>
      <c r="C2022" s="10" t="s">
        <v>15</v>
      </c>
      <c r="D2022" s="10" t="s">
        <v>37</v>
      </c>
      <c r="E2022" s="11" t="s">
        <v>27</v>
      </c>
      <c r="F2022" s="11" t="s">
        <v>17</v>
      </c>
      <c r="G2022" s="10" t="s">
        <v>24</v>
      </c>
      <c r="H2022" s="11" t="s">
        <v>19</v>
      </c>
      <c r="I2022" s="11" t="s">
        <v>113</v>
      </c>
      <c r="J2022" s="11"/>
      <c r="K2022" s="11" t="s">
        <v>136</v>
      </c>
      <c r="L2022" s="11"/>
      <c r="M2022" s="11"/>
      <c r="N2022" s="11"/>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4"/>
    </row>
    <row r="2023" spans="1:35" ht="12.5" hidden="1" x14ac:dyDescent="0.25">
      <c r="A2023" s="9">
        <v>622</v>
      </c>
      <c r="B2023" s="10" t="s">
        <v>60</v>
      </c>
      <c r="C2023" s="10" t="s">
        <v>15</v>
      </c>
      <c r="D2023" s="10" t="s">
        <v>45</v>
      </c>
      <c r="E2023" s="11" t="s">
        <v>94</v>
      </c>
      <c r="F2023" s="11" t="s">
        <v>17</v>
      </c>
      <c r="G2023" s="10" t="s">
        <v>18</v>
      </c>
      <c r="H2023" s="11" t="s">
        <v>23</v>
      </c>
      <c r="I2023" s="11" t="s">
        <v>113</v>
      </c>
      <c r="J2023" s="11"/>
      <c r="K2023" s="11" t="s">
        <v>94</v>
      </c>
      <c r="L2023" s="11"/>
      <c r="M2023" s="11"/>
      <c r="N2023" s="11"/>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4"/>
    </row>
    <row r="2024" spans="1:35" ht="12.5" hidden="1" x14ac:dyDescent="0.25">
      <c r="A2024" s="9">
        <v>623</v>
      </c>
      <c r="B2024" s="10" t="s">
        <v>60</v>
      </c>
      <c r="C2024" s="10" t="s">
        <v>15</v>
      </c>
      <c r="D2024" s="10" t="s">
        <v>45</v>
      </c>
      <c r="E2024" s="11" t="s">
        <v>94</v>
      </c>
      <c r="F2024" s="11" t="s">
        <v>17</v>
      </c>
      <c r="G2024" s="10" t="s">
        <v>24</v>
      </c>
      <c r="H2024" s="11" t="s">
        <v>25</v>
      </c>
      <c r="I2024" s="11" t="s">
        <v>113</v>
      </c>
      <c r="J2024" s="11"/>
      <c r="K2024" s="11" t="s">
        <v>94</v>
      </c>
      <c r="L2024" s="11"/>
      <c r="M2024" s="11"/>
      <c r="N2024" s="11"/>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4"/>
    </row>
    <row r="2025" spans="1:35" ht="12.5" hidden="1" x14ac:dyDescent="0.25">
      <c r="A2025" s="9">
        <v>624</v>
      </c>
      <c r="B2025" s="10" t="s">
        <v>60</v>
      </c>
      <c r="C2025" s="10" t="s">
        <v>15</v>
      </c>
      <c r="D2025" s="10" t="s">
        <v>45</v>
      </c>
      <c r="E2025" s="11" t="s">
        <v>94</v>
      </c>
      <c r="F2025" s="11" t="s">
        <v>17</v>
      </c>
      <c r="G2025" s="10" t="s">
        <v>18</v>
      </c>
      <c r="H2025" s="11" t="s">
        <v>19</v>
      </c>
      <c r="I2025" s="11" t="s">
        <v>113</v>
      </c>
      <c r="J2025" s="11"/>
      <c r="K2025" s="11" t="s">
        <v>94</v>
      </c>
      <c r="L2025" s="11"/>
      <c r="M2025" s="11"/>
      <c r="N2025" s="11"/>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4"/>
    </row>
    <row r="2026" spans="1:35" ht="12.5" hidden="1" x14ac:dyDescent="0.25">
      <c r="A2026" s="9">
        <v>625</v>
      </c>
      <c r="B2026" s="10" t="s">
        <v>60</v>
      </c>
      <c r="C2026" s="10" t="s">
        <v>15</v>
      </c>
      <c r="D2026" s="10" t="s">
        <v>45</v>
      </c>
      <c r="E2026" s="11" t="s">
        <v>94</v>
      </c>
      <c r="F2026" s="11" t="s">
        <v>17</v>
      </c>
      <c r="G2026" s="10" t="s">
        <v>18</v>
      </c>
      <c r="H2026" s="11" t="s">
        <v>25</v>
      </c>
      <c r="I2026" s="11" t="s">
        <v>113</v>
      </c>
      <c r="J2026" s="11"/>
      <c r="K2026" s="11" t="s">
        <v>94</v>
      </c>
      <c r="L2026" s="11"/>
      <c r="M2026" s="11"/>
      <c r="N2026" s="11"/>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4"/>
    </row>
    <row r="2027" spans="1:35" ht="12.5" hidden="1" x14ac:dyDescent="0.25">
      <c r="A2027" s="9">
        <v>626</v>
      </c>
      <c r="B2027" s="10" t="s">
        <v>60</v>
      </c>
      <c r="C2027" s="10" t="s">
        <v>15</v>
      </c>
      <c r="D2027" s="10" t="s">
        <v>45</v>
      </c>
      <c r="E2027" s="11" t="s">
        <v>94</v>
      </c>
      <c r="F2027" s="11" t="s">
        <v>17</v>
      </c>
      <c r="G2027" s="10" t="s">
        <v>18</v>
      </c>
      <c r="H2027" s="11" t="s">
        <v>19</v>
      </c>
      <c r="I2027" s="11" t="s">
        <v>113</v>
      </c>
      <c r="J2027" s="11"/>
      <c r="K2027" s="11" t="s">
        <v>94</v>
      </c>
      <c r="L2027" s="11"/>
      <c r="M2027" s="11"/>
      <c r="N2027" s="11"/>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4"/>
    </row>
    <row r="2028" spans="1:35" ht="12.5" hidden="1" x14ac:dyDescent="0.25">
      <c r="A2028" s="9">
        <v>627</v>
      </c>
      <c r="B2028" s="10" t="s">
        <v>60</v>
      </c>
      <c r="C2028" s="10" t="s">
        <v>15</v>
      </c>
      <c r="D2028" s="10" t="s">
        <v>45</v>
      </c>
      <c r="E2028" s="11" t="s">
        <v>94</v>
      </c>
      <c r="F2028" s="11" t="s">
        <v>17</v>
      </c>
      <c r="G2028" s="10" t="s">
        <v>24</v>
      </c>
      <c r="H2028" s="11" t="s">
        <v>23</v>
      </c>
      <c r="I2028" s="11" t="s">
        <v>113</v>
      </c>
      <c r="J2028" s="11"/>
      <c r="K2028" s="11" t="s">
        <v>137</v>
      </c>
      <c r="L2028" s="11"/>
      <c r="M2028" s="11"/>
      <c r="N2028" s="11"/>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4"/>
    </row>
    <row r="2029" spans="1:35" ht="12.5" hidden="1" x14ac:dyDescent="0.25">
      <c r="A2029" s="9">
        <v>628</v>
      </c>
      <c r="B2029" s="10" t="s">
        <v>60</v>
      </c>
      <c r="C2029" s="10" t="s">
        <v>15</v>
      </c>
      <c r="D2029" s="10" t="s">
        <v>45</v>
      </c>
      <c r="E2029" s="11" t="s">
        <v>94</v>
      </c>
      <c r="F2029" s="11" t="s">
        <v>17</v>
      </c>
      <c r="G2029" s="10" t="s">
        <v>18</v>
      </c>
      <c r="H2029" s="11" t="s">
        <v>23</v>
      </c>
      <c r="I2029" s="11" t="s">
        <v>113</v>
      </c>
      <c r="J2029" s="11"/>
      <c r="K2029" s="11" t="s">
        <v>94</v>
      </c>
      <c r="L2029" s="11"/>
      <c r="M2029" s="11"/>
      <c r="N2029" s="11"/>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4"/>
    </row>
    <row r="2030" spans="1:35" ht="12.5" hidden="1" x14ac:dyDescent="0.25">
      <c r="A2030" s="9">
        <v>629</v>
      </c>
      <c r="B2030" s="10" t="s">
        <v>60</v>
      </c>
      <c r="C2030" s="10" t="s">
        <v>15</v>
      </c>
      <c r="D2030" s="10" t="s">
        <v>45</v>
      </c>
      <c r="E2030" s="11" t="s">
        <v>94</v>
      </c>
      <c r="F2030" s="11" t="s">
        <v>17</v>
      </c>
      <c r="G2030" s="10" t="s">
        <v>24</v>
      </c>
      <c r="H2030" s="11" t="s">
        <v>23</v>
      </c>
      <c r="I2030" s="11" t="s">
        <v>113</v>
      </c>
      <c r="J2030" s="11"/>
      <c r="K2030" s="11" t="s">
        <v>94</v>
      </c>
      <c r="L2030" s="11"/>
      <c r="M2030" s="11"/>
      <c r="N2030" s="11"/>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4"/>
    </row>
    <row r="2031" spans="1:35" ht="12.5" hidden="1" x14ac:dyDescent="0.25">
      <c r="A2031" s="9">
        <v>630</v>
      </c>
      <c r="B2031" s="10" t="s">
        <v>60</v>
      </c>
      <c r="C2031" s="10" t="s">
        <v>15</v>
      </c>
      <c r="D2031" s="10" t="s">
        <v>16</v>
      </c>
      <c r="E2031" s="11" t="s">
        <v>94</v>
      </c>
      <c r="F2031" s="11" t="s">
        <v>17</v>
      </c>
      <c r="G2031" s="10" t="s">
        <v>18</v>
      </c>
      <c r="H2031" s="11" t="s">
        <v>25</v>
      </c>
      <c r="I2031" s="11" t="s">
        <v>113</v>
      </c>
      <c r="J2031" s="11"/>
      <c r="K2031" s="11" t="s">
        <v>94</v>
      </c>
      <c r="L2031" s="11"/>
      <c r="M2031" s="11"/>
      <c r="N2031" s="11"/>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4"/>
    </row>
    <row r="2032" spans="1:35" ht="12.5" hidden="1" x14ac:dyDescent="0.25">
      <c r="A2032" s="9">
        <v>631</v>
      </c>
      <c r="B2032" s="10" t="s">
        <v>60</v>
      </c>
      <c r="C2032" s="10" t="s">
        <v>15</v>
      </c>
      <c r="D2032" s="10" t="s">
        <v>16</v>
      </c>
      <c r="E2032" s="11" t="s">
        <v>94</v>
      </c>
      <c r="F2032" s="11" t="s">
        <v>17</v>
      </c>
      <c r="G2032" s="10" t="s">
        <v>18</v>
      </c>
      <c r="H2032" s="11" t="s">
        <v>19</v>
      </c>
      <c r="I2032" s="11" t="s">
        <v>113</v>
      </c>
      <c r="J2032" s="11"/>
      <c r="K2032" s="11" t="s">
        <v>94</v>
      </c>
      <c r="L2032" s="11"/>
      <c r="M2032" s="11"/>
      <c r="N2032" s="11"/>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4"/>
    </row>
    <row r="2033" spans="1:35" ht="12.5" hidden="1" x14ac:dyDescent="0.25">
      <c r="A2033" s="9">
        <v>632</v>
      </c>
      <c r="B2033" s="10" t="s">
        <v>60</v>
      </c>
      <c r="C2033" s="10" t="s">
        <v>15</v>
      </c>
      <c r="D2033" s="10" t="s">
        <v>16</v>
      </c>
      <c r="E2033" s="11" t="s">
        <v>94</v>
      </c>
      <c r="F2033" s="11" t="s">
        <v>17</v>
      </c>
      <c r="G2033" s="10" t="s">
        <v>18</v>
      </c>
      <c r="H2033" s="11" t="s">
        <v>23</v>
      </c>
      <c r="I2033" s="11" t="s">
        <v>113</v>
      </c>
      <c r="J2033" s="11"/>
      <c r="K2033" s="11" t="s">
        <v>94</v>
      </c>
      <c r="L2033" s="11"/>
      <c r="M2033" s="11"/>
      <c r="N2033" s="11"/>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4"/>
    </row>
    <row r="2034" spans="1:35" ht="12.5" hidden="1" x14ac:dyDescent="0.25">
      <c r="A2034" s="9">
        <v>633</v>
      </c>
      <c r="B2034" s="10" t="s">
        <v>60</v>
      </c>
      <c r="C2034" s="10" t="s">
        <v>15</v>
      </c>
      <c r="D2034" s="10" t="s">
        <v>16</v>
      </c>
      <c r="E2034" s="11" t="s">
        <v>94</v>
      </c>
      <c r="F2034" s="11" t="s">
        <v>17</v>
      </c>
      <c r="G2034" s="10" t="s">
        <v>18</v>
      </c>
      <c r="H2034" s="11" t="s">
        <v>19</v>
      </c>
      <c r="I2034" s="11" t="s">
        <v>113</v>
      </c>
      <c r="J2034" s="11"/>
      <c r="K2034" s="11" t="s">
        <v>94</v>
      </c>
      <c r="L2034" s="11"/>
      <c r="M2034" s="11"/>
      <c r="N2034" s="11"/>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4"/>
    </row>
    <row r="2035" spans="1:35" ht="12.5" hidden="1" x14ac:dyDescent="0.25">
      <c r="A2035" s="9">
        <v>634</v>
      </c>
      <c r="B2035" s="10" t="s">
        <v>60</v>
      </c>
      <c r="C2035" s="10" t="s">
        <v>15</v>
      </c>
      <c r="D2035" s="10" t="s">
        <v>16</v>
      </c>
      <c r="E2035" s="11" t="s">
        <v>94</v>
      </c>
      <c r="F2035" s="11" t="s">
        <v>17</v>
      </c>
      <c r="G2035" s="10" t="s">
        <v>18</v>
      </c>
      <c r="H2035" s="11" t="s">
        <v>19</v>
      </c>
      <c r="I2035" s="11" t="s">
        <v>113</v>
      </c>
      <c r="J2035" s="11"/>
      <c r="K2035" s="11" t="s">
        <v>94</v>
      </c>
      <c r="L2035" s="11"/>
      <c r="M2035" s="11"/>
      <c r="N2035" s="11"/>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4"/>
    </row>
    <row r="2036" spans="1:35" ht="12.5" hidden="1" x14ac:dyDescent="0.25">
      <c r="A2036" s="9">
        <v>635</v>
      </c>
      <c r="B2036" s="10" t="s">
        <v>60</v>
      </c>
      <c r="C2036" s="10" t="s">
        <v>15</v>
      </c>
      <c r="D2036" s="10" t="s">
        <v>16</v>
      </c>
      <c r="E2036" s="11" t="s">
        <v>94</v>
      </c>
      <c r="F2036" s="11" t="s">
        <v>17</v>
      </c>
      <c r="G2036" s="10" t="s">
        <v>18</v>
      </c>
      <c r="H2036" s="11" t="s">
        <v>23</v>
      </c>
      <c r="I2036" s="11" t="s">
        <v>113</v>
      </c>
      <c r="J2036" s="11"/>
      <c r="K2036" s="11" t="s">
        <v>94</v>
      </c>
      <c r="L2036" s="11"/>
      <c r="M2036" s="11"/>
      <c r="N2036" s="11"/>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4"/>
    </row>
    <row r="2037" spans="1:35" ht="12.5" hidden="1" x14ac:dyDescent="0.25">
      <c r="A2037" s="9">
        <v>636</v>
      </c>
      <c r="B2037" s="10" t="s">
        <v>60</v>
      </c>
      <c r="C2037" s="10" t="s">
        <v>15</v>
      </c>
      <c r="D2037" s="10" t="s">
        <v>16</v>
      </c>
      <c r="E2037" s="11" t="s">
        <v>94</v>
      </c>
      <c r="F2037" s="11" t="s">
        <v>17</v>
      </c>
      <c r="G2037" s="10" t="s">
        <v>18</v>
      </c>
      <c r="H2037" s="11" t="s">
        <v>19</v>
      </c>
      <c r="I2037" s="11" t="s">
        <v>113</v>
      </c>
      <c r="J2037" s="11"/>
      <c r="K2037" s="11" t="s">
        <v>94</v>
      </c>
      <c r="L2037" s="11"/>
      <c r="M2037" s="11"/>
      <c r="N2037" s="11"/>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4"/>
    </row>
    <row r="2038" spans="1:35" ht="12.5" hidden="1" x14ac:dyDescent="0.25">
      <c r="A2038" s="9">
        <v>637</v>
      </c>
      <c r="B2038" s="10" t="s">
        <v>60</v>
      </c>
      <c r="C2038" s="10" t="s">
        <v>15</v>
      </c>
      <c r="D2038" s="10" t="s">
        <v>37</v>
      </c>
      <c r="E2038" s="11" t="s">
        <v>94</v>
      </c>
      <c r="F2038" s="11" t="s">
        <v>17</v>
      </c>
      <c r="G2038" s="10" t="s">
        <v>18</v>
      </c>
      <c r="H2038" s="11" t="s">
        <v>19</v>
      </c>
      <c r="I2038" s="11" t="s">
        <v>113</v>
      </c>
      <c r="J2038" s="11"/>
      <c r="K2038" s="11" t="s">
        <v>94</v>
      </c>
      <c r="L2038" s="11"/>
      <c r="M2038" s="11"/>
      <c r="N2038" s="11"/>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4"/>
    </row>
    <row r="2039" spans="1:35" ht="12.5" hidden="1" x14ac:dyDescent="0.25">
      <c r="A2039" s="9">
        <v>638</v>
      </c>
      <c r="B2039" s="10" t="s">
        <v>60</v>
      </c>
      <c r="C2039" s="10" t="s">
        <v>15</v>
      </c>
      <c r="D2039" s="10" t="s">
        <v>37</v>
      </c>
      <c r="E2039" s="11" t="s">
        <v>94</v>
      </c>
      <c r="F2039" s="11" t="s">
        <v>17</v>
      </c>
      <c r="G2039" s="10" t="s">
        <v>18</v>
      </c>
      <c r="H2039" s="11" t="s">
        <v>25</v>
      </c>
      <c r="I2039" s="11" t="s">
        <v>113</v>
      </c>
      <c r="J2039" s="11"/>
      <c r="K2039" s="11" t="s">
        <v>94</v>
      </c>
      <c r="L2039" s="11"/>
      <c r="M2039" s="11"/>
      <c r="N2039" s="11"/>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4"/>
    </row>
    <row r="2040" spans="1:35" ht="12.5" hidden="1" x14ac:dyDescent="0.25">
      <c r="A2040" s="9">
        <v>639</v>
      </c>
      <c r="B2040" s="10" t="s">
        <v>60</v>
      </c>
      <c r="C2040" s="10" t="s">
        <v>15</v>
      </c>
      <c r="D2040" s="10" t="s">
        <v>37</v>
      </c>
      <c r="E2040" s="11" t="s">
        <v>94</v>
      </c>
      <c r="F2040" s="11" t="s">
        <v>17</v>
      </c>
      <c r="G2040" s="10" t="s">
        <v>24</v>
      </c>
      <c r="H2040" s="11" t="s">
        <v>19</v>
      </c>
      <c r="I2040" s="11" t="s">
        <v>113</v>
      </c>
      <c r="J2040" s="11"/>
      <c r="K2040" s="11" t="s">
        <v>94</v>
      </c>
      <c r="L2040" s="11"/>
      <c r="M2040" s="11"/>
      <c r="N2040" s="11"/>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4"/>
    </row>
    <row r="2041" spans="1:35" ht="12.5" hidden="1" x14ac:dyDescent="0.25">
      <c r="A2041" s="9">
        <v>640</v>
      </c>
      <c r="B2041" s="10" t="s">
        <v>60</v>
      </c>
      <c r="C2041" s="10" t="s">
        <v>15</v>
      </c>
      <c r="D2041" s="10" t="s">
        <v>37</v>
      </c>
      <c r="E2041" s="11" t="s">
        <v>94</v>
      </c>
      <c r="F2041" s="11" t="s">
        <v>17</v>
      </c>
      <c r="G2041" s="10" t="s">
        <v>18</v>
      </c>
      <c r="H2041" s="11" t="s">
        <v>19</v>
      </c>
      <c r="I2041" s="11" t="s">
        <v>113</v>
      </c>
      <c r="J2041" s="11"/>
      <c r="K2041" s="11" t="s">
        <v>94</v>
      </c>
      <c r="L2041" s="11"/>
      <c r="M2041" s="11"/>
      <c r="N2041" s="11"/>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4"/>
    </row>
    <row r="2042" spans="1:35" ht="12.5" hidden="1" x14ac:dyDescent="0.25">
      <c r="A2042" s="9">
        <v>641</v>
      </c>
      <c r="B2042" s="10" t="s">
        <v>60</v>
      </c>
      <c r="C2042" s="10" t="s">
        <v>15</v>
      </c>
      <c r="D2042" s="10" t="s">
        <v>37</v>
      </c>
      <c r="E2042" s="11" t="s">
        <v>94</v>
      </c>
      <c r="F2042" s="11" t="s">
        <v>17</v>
      </c>
      <c r="G2042" s="10" t="s">
        <v>18</v>
      </c>
      <c r="H2042" s="11" t="s">
        <v>23</v>
      </c>
      <c r="I2042" s="11" t="s">
        <v>113</v>
      </c>
      <c r="J2042" s="11"/>
      <c r="K2042" s="11" t="s">
        <v>94</v>
      </c>
      <c r="L2042" s="11"/>
      <c r="M2042" s="11"/>
      <c r="N2042" s="11"/>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4"/>
    </row>
    <row r="2043" spans="1:35" ht="12.5" hidden="1" x14ac:dyDescent="0.25">
      <c r="A2043" s="9">
        <v>642</v>
      </c>
      <c r="B2043" s="10" t="s">
        <v>60</v>
      </c>
      <c r="C2043" s="10" t="s">
        <v>15</v>
      </c>
      <c r="D2043" s="10" t="s">
        <v>16</v>
      </c>
      <c r="E2043" s="11" t="s">
        <v>138</v>
      </c>
      <c r="F2043" s="11" t="s">
        <v>17</v>
      </c>
      <c r="G2043" s="10" t="s">
        <v>18</v>
      </c>
      <c r="H2043" s="11" t="s">
        <v>23</v>
      </c>
      <c r="I2043" s="11" t="s">
        <v>113</v>
      </c>
      <c r="J2043" s="11"/>
      <c r="K2043" s="11" t="s">
        <v>138</v>
      </c>
      <c r="L2043" s="11"/>
      <c r="M2043" s="11"/>
      <c r="N2043" s="11"/>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4"/>
    </row>
    <row r="2044" spans="1:35" ht="12.5" hidden="1" x14ac:dyDescent="0.25">
      <c r="A2044" s="9">
        <v>643</v>
      </c>
      <c r="B2044" s="10" t="s">
        <v>60</v>
      </c>
      <c r="C2044" s="10" t="s">
        <v>15</v>
      </c>
      <c r="D2044" s="10" t="s">
        <v>37</v>
      </c>
      <c r="E2044" s="11" t="s">
        <v>138</v>
      </c>
      <c r="F2044" s="11" t="s">
        <v>17</v>
      </c>
      <c r="G2044" s="10" t="s">
        <v>18</v>
      </c>
      <c r="H2044" s="11" t="s">
        <v>25</v>
      </c>
      <c r="I2044" s="11" t="s">
        <v>113</v>
      </c>
      <c r="J2044" s="11"/>
      <c r="K2044" s="11" t="s">
        <v>138</v>
      </c>
      <c r="L2044" s="11"/>
      <c r="M2044" s="11"/>
      <c r="N2044" s="11"/>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4"/>
    </row>
    <row r="2045" spans="1:35" ht="12.5" hidden="1" x14ac:dyDescent="0.25">
      <c r="A2045" s="9">
        <v>644</v>
      </c>
      <c r="B2045" s="10" t="s">
        <v>60</v>
      </c>
      <c r="C2045" s="10" t="s">
        <v>15</v>
      </c>
      <c r="D2045" s="10" t="s">
        <v>37</v>
      </c>
      <c r="E2045" s="11" t="s">
        <v>138</v>
      </c>
      <c r="F2045" s="11" t="s">
        <v>17</v>
      </c>
      <c r="G2045" s="10" t="s">
        <v>24</v>
      </c>
      <c r="H2045" s="11" t="s">
        <v>23</v>
      </c>
      <c r="I2045" s="11" t="s">
        <v>113</v>
      </c>
      <c r="J2045" s="11"/>
      <c r="K2045" s="11" t="s">
        <v>138</v>
      </c>
      <c r="L2045" s="11"/>
      <c r="M2045" s="11"/>
      <c r="N2045" s="11"/>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4"/>
    </row>
    <row r="2046" spans="1:35" ht="12.5" hidden="1" x14ac:dyDescent="0.25">
      <c r="A2046" s="9">
        <v>645</v>
      </c>
      <c r="B2046" s="10" t="s">
        <v>60</v>
      </c>
      <c r="C2046" s="10" t="s">
        <v>15</v>
      </c>
      <c r="D2046" s="10" t="s">
        <v>37</v>
      </c>
      <c r="E2046" s="11" t="s">
        <v>138</v>
      </c>
      <c r="F2046" s="11" t="s">
        <v>17</v>
      </c>
      <c r="G2046" s="10" t="s">
        <v>18</v>
      </c>
      <c r="H2046" s="11" t="s">
        <v>23</v>
      </c>
      <c r="I2046" s="11" t="s">
        <v>113</v>
      </c>
      <c r="J2046" s="11"/>
      <c r="K2046" s="11" t="s">
        <v>138</v>
      </c>
      <c r="L2046" s="11"/>
      <c r="M2046" s="11"/>
      <c r="N2046" s="11"/>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4"/>
    </row>
    <row r="2047" spans="1:35" ht="12.5" hidden="1" x14ac:dyDescent="0.25">
      <c r="A2047" s="9">
        <v>646</v>
      </c>
      <c r="B2047" s="10" t="s">
        <v>60</v>
      </c>
      <c r="C2047" s="10" t="s">
        <v>41</v>
      </c>
      <c r="D2047" s="10" t="s">
        <v>42</v>
      </c>
      <c r="E2047" s="11" t="s">
        <v>65</v>
      </c>
      <c r="F2047" s="11" t="s">
        <v>17</v>
      </c>
      <c r="G2047" s="10" t="s">
        <v>24</v>
      </c>
      <c r="H2047" s="11" t="s">
        <v>19</v>
      </c>
      <c r="I2047" s="11" t="s">
        <v>113</v>
      </c>
      <c r="J2047" s="11"/>
      <c r="K2047" s="11" t="s">
        <v>139</v>
      </c>
      <c r="L2047" s="11"/>
      <c r="M2047" s="11"/>
      <c r="N2047" s="11"/>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4"/>
    </row>
    <row r="2048" spans="1:35" ht="12.5" hidden="1" x14ac:dyDescent="0.25">
      <c r="A2048" s="9">
        <v>647</v>
      </c>
      <c r="B2048" s="10" t="s">
        <v>60</v>
      </c>
      <c r="C2048" s="10" t="s">
        <v>41</v>
      </c>
      <c r="D2048" s="10" t="s">
        <v>42</v>
      </c>
      <c r="E2048" s="11" t="s">
        <v>65</v>
      </c>
      <c r="F2048" s="11" t="s">
        <v>17</v>
      </c>
      <c r="G2048" s="10" t="s">
        <v>18</v>
      </c>
      <c r="H2048" s="11" t="s">
        <v>19</v>
      </c>
      <c r="I2048" s="11" t="s">
        <v>113</v>
      </c>
      <c r="J2048" s="11"/>
      <c r="K2048" s="11" t="s">
        <v>139</v>
      </c>
      <c r="L2048" s="11"/>
      <c r="M2048" s="11"/>
      <c r="N2048" s="11"/>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4"/>
    </row>
    <row r="2049" spans="1:35" ht="12.5" hidden="1" x14ac:dyDescent="0.25">
      <c r="A2049" s="9">
        <v>648</v>
      </c>
      <c r="B2049" s="10" t="s">
        <v>60</v>
      </c>
      <c r="C2049" s="10" t="s">
        <v>41</v>
      </c>
      <c r="D2049" s="10" t="s">
        <v>42</v>
      </c>
      <c r="E2049" s="11" t="s">
        <v>65</v>
      </c>
      <c r="F2049" s="11" t="s">
        <v>17</v>
      </c>
      <c r="G2049" s="10" t="s">
        <v>24</v>
      </c>
      <c r="H2049" s="11" t="s">
        <v>23</v>
      </c>
      <c r="I2049" s="11" t="s">
        <v>113</v>
      </c>
      <c r="J2049" s="11"/>
      <c r="K2049" s="11" t="s">
        <v>139</v>
      </c>
      <c r="L2049" s="11"/>
      <c r="M2049" s="11"/>
      <c r="N2049" s="11"/>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4"/>
    </row>
    <row r="2050" spans="1:35" ht="12.5" hidden="1" x14ac:dyDescent="0.25">
      <c r="A2050" s="9">
        <v>649</v>
      </c>
      <c r="B2050" s="10" t="s">
        <v>60</v>
      </c>
      <c r="C2050" s="10" t="s">
        <v>41</v>
      </c>
      <c r="D2050" s="10" t="s">
        <v>42</v>
      </c>
      <c r="E2050" s="11" t="s">
        <v>65</v>
      </c>
      <c r="F2050" s="11" t="s">
        <v>17</v>
      </c>
      <c r="G2050" s="10" t="s">
        <v>18</v>
      </c>
      <c r="H2050" s="11" t="s">
        <v>23</v>
      </c>
      <c r="I2050" s="11" t="s">
        <v>113</v>
      </c>
      <c r="J2050" s="11"/>
      <c r="K2050" s="11" t="s">
        <v>139</v>
      </c>
      <c r="L2050" s="11"/>
      <c r="M2050" s="11"/>
      <c r="N2050" s="11"/>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4"/>
    </row>
    <row r="2051" spans="1:35" ht="12.5" hidden="1" x14ac:dyDescent="0.25">
      <c r="A2051" s="9">
        <v>650</v>
      </c>
      <c r="B2051" s="10" t="s">
        <v>60</v>
      </c>
      <c r="C2051" s="10" t="s">
        <v>41</v>
      </c>
      <c r="D2051" s="10" t="s">
        <v>42</v>
      </c>
      <c r="E2051" s="11" t="s">
        <v>65</v>
      </c>
      <c r="F2051" s="11" t="s">
        <v>17</v>
      </c>
      <c r="G2051" s="10" t="s">
        <v>18</v>
      </c>
      <c r="H2051" s="11" t="s">
        <v>19</v>
      </c>
      <c r="I2051" s="11" t="s">
        <v>113</v>
      </c>
      <c r="J2051" s="11"/>
      <c r="K2051" s="11" t="s">
        <v>139</v>
      </c>
      <c r="L2051" s="11"/>
      <c r="M2051" s="11"/>
      <c r="N2051" s="11"/>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4"/>
    </row>
    <row r="2052" spans="1:35" ht="12.5" hidden="1" x14ac:dyDescent="0.25">
      <c r="A2052" s="9">
        <v>651</v>
      </c>
      <c r="B2052" s="10" t="s">
        <v>60</v>
      </c>
      <c r="C2052" s="10" t="s">
        <v>41</v>
      </c>
      <c r="D2052" s="10" t="s">
        <v>42</v>
      </c>
      <c r="E2052" s="11" t="s">
        <v>65</v>
      </c>
      <c r="F2052" s="11" t="s">
        <v>17</v>
      </c>
      <c r="G2052" s="10" t="s">
        <v>18</v>
      </c>
      <c r="H2052" s="11" t="s">
        <v>19</v>
      </c>
      <c r="I2052" s="11" t="s">
        <v>113</v>
      </c>
      <c r="J2052" s="11"/>
      <c r="K2052" s="11" t="s">
        <v>139</v>
      </c>
      <c r="L2052" s="11"/>
      <c r="M2052" s="11"/>
      <c r="N2052" s="11"/>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4"/>
    </row>
    <row r="2053" spans="1:35" ht="12.5" hidden="1" x14ac:dyDescent="0.25">
      <c r="A2053" s="9">
        <v>652</v>
      </c>
      <c r="B2053" s="10" t="s">
        <v>60</v>
      </c>
      <c r="C2053" s="10" t="s">
        <v>41</v>
      </c>
      <c r="D2053" s="10" t="s">
        <v>42</v>
      </c>
      <c r="E2053" s="11" t="s">
        <v>65</v>
      </c>
      <c r="F2053" s="11" t="s">
        <v>17</v>
      </c>
      <c r="G2053" s="10" t="s">
        <v>24</v>
      </c>
      <c r="H2053" s="11" t="s">
        <v>25</v>
      </c>
      <c r="I2053" s="11" t="s">
        <v>113</v>
      </c>
      <c r="J2053" s="11"/>
      <c r="K2053" s="11" t="s">
        <v>139</v>
      </c>
      <c r="L2053" s="11"/>
      <c r="M2053" s="11"/>
      <c r="N2053" s="11"/>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4"/>
    </row>
    <row r="2054" spans="1:35" ht="12.5" hidden="1" x14ac:dyDescent="0.25">
      <c r="A2054" s="9">
        <v>653</v>
      </c>
      <c r="B2054" s="10" t="s">
        <v>60</v>
      </c>
      <c r="C2054" s="10" t="s">
        <v>41</v>
      </c>
      <c r="D2054" s="10" t="s">
        <v>42</v>
      </c>
      <c r="E2054" s="11" t="s">
        <v>65</v>
      </c>
      <c r="F2054" s="11" t="s">
        <v>17</v>
      </c>
      <c r="G2054" s="10" t="s">
        <v>24</v>
      </c>
      <c r="H2054" s="11" t="s">
        <v>19</v>
      </c>
      <c r="I2054" s="11" t="s">
        <v>113</v>
      </c>
      <c r="J2054" s="11"/>
      <c r="K2054" s="11" t="s">
        <v>139</v>
      </c>
      <c r="L2054" s="11"/>
      <c r="M2054" s="11"/>
      <c r="N2054" s="11"/>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4"/>
    </row>
    <row r="2055" spans="1:35" ht="12.5" hidden="1" x14ac:dyDescent="0.25">
      <c r="A2055" s="9">
        <v>654</v>
      </c>
      <c r="B2055" s="10" t="s">
        <v>60</v>
      </c>
      <c r="C2055" s="10" t="s">
        <v>41</v>
      </c>
      <c r="D2055" s="10" t="s">
        <v>42</v>
      </c>
      <c r="E2055" s="11" t="s">
        <v>65</v>
      </c>
      <c r="F2055" s="11" t="s">
        <v>17</v>
      </c>
      <c r="G2055" s="10" t="s">
        <v>18</v>
      </c>
      <c r="H2055" s="11" t="s">
        <v>19</v>
      </c>
      <c r="I2055" s="11" t="s">
        <v>113</v>
      </c>
      <c r="J2055" s="11"/>
      <c r="K2055" s="11" t="s">
        <v>139</v>
      </c>
      <c r="L2055" s="11"/>
      <c r="M2055" s="11"/>
      <c r="N2055" s="11"/>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4"/>
    </row>
    <row r="2056" spans="1:35" ht="12.5" hidden="1" x14ac:dyDescent="0.25">
      <c r="A2056" s="9">
        <v>655</v>
      </c>
      <c r="B2056" s="10" t="s">
        <v>60</v>
      </c>
      <c r="C2056" s="10" t="s">
        <v>41</v>
      </c>
      <c r="D2056" s="10" t="s">
        <v>42</v>
      </c>
      <c r="E2056" s="11" t="s">
        <v>65</v>
      </c>
      <c r="F2056" s="11" t="s">
        <v>17</v>
      </c>
      <c r="G2056" s="10" t="s">
        <v>18</v>
      </c>
      <c r="H2056" s="11" t="s">
        <v>19</v>
      </c>
      <c r="I2056" s="11" t="s">
        <v>113</v>
      </c>
      <c r="J2056" s="11"/>
      <c r="K2056" s="11" t="s">
        <v>139</v>
      </c>
      <c r="L2056" s="11"/>
      <c r="M2056" s="11"/>
      <c r="N2056" s="11"/>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4"/>
    </row>
    <row r="2057" spans="1:35" ht="12.5" hidden="1" x14ac:dyDescent="0.25">
      <c r="A2057" s="9">
        <v>656</v>
      </c>
      <c r="B2057" s="10" t="s">
        <v>60</v>
      </c>
      <c r="C2057" s="10" t="s">
        <v>41</v>
      </c>
      <c r="D2057" s="10" t="s">
        <v>42</v>
      </c>
      <c r="E2057" s="11" t="s">
        <v>65</v>
      </c>
      <c r="F2057" s="11" t="s">
        <v>17</v>
      </c>
      <c r="G2057" s="10" t="s">
        <v>24</v>
      </c>
      <c r="H2057" s="11" t="s">
        <v>19</v>
      </c>
      <c r="I2057" s="11" t="s">
        <v>113</v>
      </c>
      <c r="J2057" s="11"/>
      <c r="K2057" s="11" t="s">
        <v>139</v>
      </c>
      <c r="L2057" s="11"/>
      <c r="M2057" s="11"/>
      <c r="N2057" s="11"/>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4"/>
    </row>
    <row r="2058" spans="1:35" ht="12.5" hidden="1" x14ac:dyDescent="0.25">
      <c r="A2058" s="9">
        <v>657</v>
      </c>
      <c r="B2058" s="10" t="s">
        <v>60</v>
      </c>
      <c r="C2058" s="10" t="s">
        <v>41</v>
      </c>
      <c r="D2058" s="10" t="s">
        <v>42</v>
      </c>
      <c r="E2058" s="11" t="s">
        <v>65</v>
      </c>
      <c r="F2058" s="11" t="s">
        <v>17</v>
      </c>
      <c r="G2058" s="10" t="s">
        <v>18</v>
      </c>
      <c r="H2058" s="11" t="s">
        <v>25</v>
      </c>
      <c r="I2058" s="11" t="s">
        <v>113</v>
      </c>
      <c r="J2058" s="11"/>
      <c r="K2058" s="11" t="s">
        <v>139</v>
      </c>
      <c r="L2058" s="11"/>
      <c r="M2058" s="11"/>
      <c r="N2058" s="11"/>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4"/>
    </row>
    <row r="2059" spans="1:35" ht="12.5" hidden="1" x14ac:dyDescent="0.25">
      <c r="A2059" s="9">
        <v>658</v>
      </c>
      <c r="B2059" s="10" t="s">
        <v>60</v>
      </c>
      <c r="C2059" s="10" t="s">
        <v>41</v>
      </c>
      <c r="D2059" s="10" t="s">
        <v>42</v>
      </c>
      <c r="E2059" s="11" t="s">
        <v>65</v>
      </c>
      <c r="F2059" s="11" t="s">
        <v>17</v>
      </c>
      <c r="G2059" s="10" t="s">
        <v>18</v>
      </c>
      <c r="H2059" s="11" t="s">
        <v>19</v>
      </c>
      <c r="I2059" s="11" t="s">
        <v>113</v>
      </c>
      <c r="J2059" s="11"/>
      <c r="K2059" s="11" t="s">
        <v>139</v>
      </c>
      <c r="L2059" s="11"/>
      <c r="M2059" s="11"/>
      <c r="N2059" s="11"/>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4"/>
    </row>
    <row r="2060" spans="1:35" ht="12.5" hidden="1" x14ac:dyDescent="0.25">
      <c r="A2060" s="9">
        <v>659</v>
      </c>
      <c r="B2060" s="10" t="s">
        <v>60</v>
      </c>
      <c r="C2060" s="10" t="s">
        <v>41</v>
      </c>
      <c r="D2060" s="10" t="s">
        <v>42</v>
      </c>
      <c r="E2060" s="11" t="s">
        <v>65</v>
      </c>
      <c r="F2060" s="11" t="s">
        <v>17</v>
      </c>
      <c r="G2060" s="10" t="s">
        <v>18</v>
      </c>
      <c r="H2060" s="11" t="s">
        <v>19</v>
      </c>
      <c r="I2060" s="11" t="s">
        <v>113</v>
      </c>
      <c r="J2060" s="11"/>
      <c r="K2060" s="11" t="s">
        <v>139</v>
      </c>
      <c r="L2060" s="11"/>
      <c r="M2060" s="11"/>
      <c r="N2060" s="11"/>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4"/>
    </row>
    <row r="2061" spans="1:35" ht="12.5" hidden="1" x14ac:dyDescent="0.25">
      <c r="A2061" s="9">
        <v>660</v>
      </c>
      <c r="B2061" s="10" t="s">
        <v>60</v>
      </c>
      <c r="C2061" s="10" t="s">
        <v>41</v>
      </c>
      <c r="D2061" s="10" t="s">
        <v>42</v>
      </c>
      <c r="E2061" s="11" t="s">
        <v>65</v>
      </c>
      <c r="F2061" s="11" t="s">
        <v>17</v>
      </c>
      <c r="G2061" s="10" t="s">
        <v>18</v>
      </c>
      <c r="H2061" s="11" t="s">
        <v>19</v>
      </c>
      <c r="I2061" s="11" t="s">
        <v>113</v>
      </c>
      <c r="J2061" s="11"/>
      <c r="K2061" s="11" t="s">
        <v>139</v>
      </c>
      <c r="L2061" s="11"/>
      <c r="M2061" s="11"/>
      <c r="N2061" s="11"/>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4"/>
    </row>
    <row r="2062" spans="1:35" ht="12.5" hidden="1" x14ac:dyDescent="0.25">
      <c r="A2062" s="9">
        <v>661</v>
      </c>
      <c r="B2062" s="10" t="s">
        <v>60</v>
      </c>
      <c r="C2062" s="10" t="s">
        <v>41</v>
      </c>
      <c r="D2062" s="10" t="s">
        <v>42</v>
      </c>
      <c r="E2062" s="11" t="s">
        <v>65</v>
      </c>
      <c r="F2062" s="11" t="s">
        <v>17</v>
      </c>
      <c r="G2062" s="10" t="s">
        <v>18</v>
      </c>
      <c r="H2062" s="11" t="s">
        <v>23</v>
      </c>
      <c r="I2062" s="11" t="s">
        <v>113</v>
      </c>
      <c r="J2062" s="11"/>
      <c r="K2062" s="11" t="s">
        <v>139</v>
      </c>
      <c r="L2062" s="11"/>
      <c r="M2062" s="11"/>
      <c r="N2062" s="11"/>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4"/>
    </row>
    <row r="2063" spans="1:35" ht="12.5" hidden="1" x14ac:dyDescent="0.25">
      <c r="A2063" s="9">
        <v>662</v>
      </c>
      <c r="B2063" s="10" t="s">
        <v>60</v>
      </c>
      <c r="C2063" s="10" t="s">
        <v>41</v>
      </c>
      <c r="D2063" s="10" t="s">
        <v>42</v>
      </c>
      <c r="E2063" s="11" t="s">
        <v>65</v>
      </c>
      <c r="F2063" s="11" t="s">
        <v>17</v>
      </c>
      <c r="G2063" s="10" t="s">
        <v>18</v>
      </c>
      <c r="H2063" s="11" t="s">
        <v>19</v>
      </c>
      <c r="I2063" s="11" t="s">
        <v>113</v>
      </c>
      <c r="J2063" s="11"/>
      <c r="K2063" s="11" t="s">
        <v>139</v>
      </c>
      <c r="L2063" s="11"/>
      <c r="M2063" s="11"/>
      <c r="N2063" s="11"/>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4"/>
    </row>
    <row r="2064" spans="1:35" ht="12.5" hidden="1" x14ac:dyDescent="0.25">
      <c r="A2064" s="9">
        <v>663</v>
      </c>
      <c r="B2064" s="10" t="s">
        <v>60</v>
      </c>
      <c r="C2064" s="10" t="s">
        <v>41</v>
      </c>
      <c r="D2064" s="10" t="s">
        <v>42</v>
      </c>
      <c r="E2064" s="11" t="s">
        <v>65</v>
      </c>
      <c r="F2064" s="11" t="s">
        <v>17</v>
      </c>
      <c r="G2064" s="10" t="s">
        <v>18</v>
      </c>
      <c r="H2064" s="11" t="s">
        <v>19</v>
      </c>
      <c r="I2064" s="11" t="s">
        <v>113</v>
      </c>
      <c r="J2064" s="11"/>
      <c r="K2064" s="11" t="s">
        <v>139</v>
      </c>
      <c r="L2064" s="11"/>
      <c r="M2064" s="11"/>
      <c r="N2064" s="11"/>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4"/>
    </row>
    <row r="2065" spans="1:35" ht="12.5" hidden="1" x14ac:dyDescent="0.25">
      <c r="A2065" s="9">
        <v>664</v>
      </c>
      <c r="B2065" s="10" t="s">
        <v>60</v>
      </c>
      <c r="C2065" s="10" t="s">
        <v>41</v>
      </c>
      <c r="D2065" s="10" t="s">
        <v>42</v>
      </c>
      <c r="E2065" s="11" t="s">
        <v>65</v>
      </c>
      <c r="F2065" s="11" t="s">
        <v>17</v>
      </c>
      <c r="G2065" s="10" t="s">
        <v>18</v>
      </c>
      <c r="H2065" s="11" t="s">
        <v>19</v>
      </c>
      <c r="I2065" s="11" t="s">
        <v>113</v>
      </c>
      <c r="J2065" s="11"/>
      <c r="K2065" s="11" t="s">
        <v>139</v>
      </c>
      <c r="L2065" s="11"/>
      <c r="M2065" s="11"/>
      <c r="N2065" s="11"/>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4"/>
    </row>
    <row r="2066" spans="1:35" ht="12.5" hidden="1" x14ac:dyDescent="0.25">
      <c r="A2066" s="9">
        <v>665</v>
      </c>
      <c r="B2066" s="10" t="s">
        <v>60</v>
      </c>
      <c r="C2066" s="10" t="s">
        <v>41</v>
      </c>
      <c r="D2066" s="10" t="s">
        <v>42</v>
      </c>
      <c r="E2066" s="11" t="s">
        <v>65</v>
      </c>
      <c r="F2066" s="11" t="s">
        <v>17</v>
      </c>
      <c r="G2066" s="10" t="s">
        <v>18</v>
      </c>
      <c r="H2066" s="11" t="s">
        <v>19</v>
      </c>
      <c r="I2066" s="11" t="s">
        <v>113</v>
      </c>
      <c r="J2066" s="11"/>
      <c r="K2066" s="11" t="s">
        <v>139</v>
      </c>
      <c r="L2066" s="11"/>
      <c r="M2066" s="11"/>
      <c r="N2066" s="11"/>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4"/>
    </row>
    <row r="2067" spans="1:35" ht="12.5" hidden="1" x14ac:dyDescent="0.25">
      <c r="A2067" s="9">
        <v>666</v>
      </c>
      <c r="B2067" s="10" t="s">
        <v>60</v>
      </c>
      <c r="C2067" s="10" t="s">
        <v>41</v>
      </c>
      <c r="D2067" s="10" t="s">
        <v>42</v>
      </c>
      <c r="E2067" s="11" t="s">
        <v>65</v>
      </c>
      <c r="F2067" s="11" t="s">
        <v>17</v>
      </c>
      <c r="G2067" s="10" t="s">
        <v>18</v>
      </c>
      <c r="H2067" s="11" t="s">
        <v>19</v>
      </c>
      <c r="I2067" s="11" t="s">
        <v>113</v>
      </c>
      <c r="J2067" s="11"/>
      <c r="K2067" s="11" t="s">
        <v>139</v>
      </c>
      <c r="L2067" s="11"/>
      <c r="M2067" s="11"/>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4"/>
    </row>
    <row r="2068" spans="1:35" ht="12.5" hidden="1" x14ac:dyDescent="0.25">
      <c r="A2068" s="9">
        <v>667</v>
      </c>
      <c r="B2068" s="10" t="s">
        <v>60</v>
      </c>
      <c r="C2068" s="10" t="s">
        <v>41</v>
      </c>
      <c r="D2068" s="10" t="s">
        <v>42</v>
      </c>
      <c r="E2068" s="11" t="s">
        <v>65</v>
      </c>
      <c r="F2068" s="11" t="s">
        <v>17</v>
      </c>
      <c r="G2068" s="10" t="s">
        <v>18</v>
      </c>
      <c r="H2068" s="11" t="s">
        <v>19</v>
      </c>
      <c r="I2068" s="11" t="s">
        <v>113</v>
      </c>
      <c r="J2068" s="11"/>
      <c r="K2068" s="11" t="s">
        <v>139</v>
      </c>
      <c r="L2068" s="11"/>
      <c r="M2068" s="11"/>
      <c r="N2068" s="11"/>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4"/>
    </row>
    <row r="2069" spans="1:35" ht="12.5" hidden="1" x14ac:dyDescent="0.25">
      <c r="A2069" s="9">
        <v>668</v>
      </c>
      <c r="B2069" s="10" t="s">
        <v>60</v>
      </c>
      <c r="C2069" s="10" t="s">
        <v>41</v>
      </c>
      <c r="D2069" s="10" t="s">
        <v>42</v>
      </c>
      <c r="E2069" s="11" t="s">
        <v>65</v>
      </c>
      <c r="F2069" s="11" t="s">
        <v>17</v>
      </c>
      <c r="G2069" s="10" t="s">
        <v>18</v>
      </c>
      <c r="H2069" s="11" t="s">
        <v>19</v>
      </c>
      <c r="I2069" s="11" t="s">
        <v>113</v>
      </c>
      <c r="J2069" s="11"/>
      <c r="K2069" s="11" t="s">
        <v>139</v>
      </c>
      <c r="L2069" s="11"/>
      <c r="M2069" s="11"/>
      <c r="N2069" s="11"/>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4"/>
    </row>
    <row r="2070" spans="1:35" ht="12.5" hidden="1" x14ac:dyDescent="0.25">
      <c r="A2070" s="9">
        <v>669</v>
      </c>
      <c r="B2070" s="10" t="s">
        <v>60</v>
      </c>
      <c r="C2070" s="10" t="s">
        <v>41</v>
      </c>
      <c r="D2070" s="10" t="s">
        <v>42</v>
      </c>
      <c r="E2070" s="11" t="s">
        <v>65</v>
      </c>
      <c r="F2070" s="11" t="s">
        <v>17</v>
      </c>
      <c r="G2070" s="10" t="s">
        <v>18</v>
      </c>
      <c r="H2070" s="11" t="s">
        <v>19</v>
      </c>
      <c r="I2070" s="11" t="s">
        <v>113</v>
      </c>
      <c r="J2070" s="11"/>
      <c r="K2070" s="11" t="s">
        <v>139</v>
      </c>
      <c r="L2070" s="11"/>
      <c r="M2070" s="11"/>
      <c r="N2070" s="11"/>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4"/>
    </row>
    <row r="2071" spans="1:35" ht="12.5" hidden="1" x14ac:dyDescent="0.25">
      <c r="A2071" s="9">
        <v>670</v>
      </c>
      <c r="B2071" s="10" t="s">
        <v>60</v>
      </c>
      <c r="C2071" s="10" t="s">
        <v>41</v>
      </c>
      <c r="D2071" s="10" t="s">
        <v>42</v>
      </c>
      <c r="E2071" s="11" t="s">
        <v>65</v>
      </c>
      <c r="F2071" s="11" t="s">
        <v>17</v>
      </c>
      <c r="G2071" s="10" t="s">
        <v>24</v>
      </c>
      <c r="H2071" s="11" t="s">
        <v>19</v>
      </c>
      <c r="I2071" s="11" t="s">
        <v>113</v>
      </c>
      <c r="J2071" s="11"/>
      <c r="K2071" s="11" t="s">
        <v>139</v>
      </c>
      <c r="L2071" s="11"/>
      <c r="M2071" s="11"/>
      <c r="N2071" s="11"/>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4"/>
    </row>
    <row r="2072" spans="1:35" ht="12.5" hidden="1" x14ac:dyDescent="0.25">
      <c r="A2072" s="9">
        <v>671</v>
      </c>
      <c r="B2072" s="10" t="s">
        <v>60</v>
      </c>
      <c r="C2072" s="10" t="s">
        <v>41</v>
      </c>
      <c r="D2072" s="10" t="s">
        <v>42</v>
      </c>
      <c r="E2072" s="11" t="s">
        <v>65</v>
      </c>
      <c r="F2072" s="11" t="s">
        <v>17</v>
      </c>
      <c r="G2072" s="10" t="s">
        <v>18</v>
      </c>
      <c r="H2072" s="11" t="s">
        <v>19</v>
      </c>
      <c r="I2072" s="11" t="s">
        <v>113</v>
      </c>
      <c r="J2072" s="11"/>
      <c r="K2072" s="11" t="s">
        <v>139</v>
      </c>
      <c r="L2072" s="11"/>
      <c r="M2072" s="11"/>
      <c r="N2072" s="11"/>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4"/>
    </row>
    <row r="2073" spans="1:35" ht="12.5" hidden="1" x14ac:dyDescent="0.25">
      <c r="A2073" s="9">
        <v>672</v>
      </c>
      <c r="B2073" s="10" t="s">
        <v>60</v>
      </c>
      <c r="C2073" s="10" t="s">
        <v>41</v>
      </c>
      <c r="D2073" s="10" t="s">
        <v>42</v>
      </c>
      <c r="E2073" s="11" t="s">
        <v>65</v>
      </c>
      <c r="F2073" s="11" t="s">
        <v>17</v>
      </c>
      <c r="G2073" s="10" t="s">
        <v>18</v>
      </c>
      <c r="H2073" s="11" t="s">
        <v>19</v>
      </c>
      <c r="I2073" s="11" t="s">
        <v>113</v>
      </c>
      <c r="J2073" s="11"/>
      <c r="K2073" s="11" t="s">
        <v>139</v>
      </c>
      <c r="L2073" s="11"/>
      <c r="M2073" s="11"/>
      <c r="N2073" s="11"/>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4"/>
    </row>
    <row r="2074" spans="1:35" ht="12.5" hidden="1" x14ac:dyDescent="0.25">
      <c r="A2074" s="9">
        <v>673</v>
      </c>
      <c r="B2074" s="10" t="s">
        <v>60</v>
      </c>
      <c r="C2074" s="10" t="s">
        <v>41</v>
      </c>
      <c r="D2074" s="10" t="s">
        <v>42</v>
      </c>
      <c r="E2074" s="11" t="s">
        <v>65</v>
      </c>
      <c r="F2074" s="11" t="s">
        <v>17</v>
      </c>
      <c r="G2074" s="10" t="s">
        <v>24</v>
      </c>
      <c r="H2074" s="11" t="s">
        <v>19</v>
      </c>
      <c r="I2074" s="11" t="s">
        <v>113</v>
      </c>
      <c r="J2074" s="11"/>
      <c r="K2074" s="11" t="s">
        <v>139</v>
      </c>
      <c r="L2074" s="11"/>
      <c r="M2074" s="11"/>
      <c r="N2074" s="11"/>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4"/>
    </row>
    <row r="2075" spans="1:35" ht="12.5" hidden="1" x14ac:dyDescent="0.25">
      <c r="A2075" s="9">
        <v>674</v>
      </c>
      <c r="B2075" s="10" t="s">
        <v>60</v>
      </c>
      <c r="C2075" s="10" t="s">
        <v>41</v>
      </c>
      <c r="D2075" s="10" t="s">
        <v>42</v>
      </c>
      <c r="E2075" s="11" t="s">
        <v>65</v>
      </c>
      <c r="F2075" s="11" t="s">
        <v>17</v>
      </c>
      <c r="G2075" s="10" t="s">
        <v>24</v>
      </c>
      <c r="H2075" s="11" t="s">
        <v>23</v>
      </c>
      <c r="I2075" s="11" t="s">
        <v>113</v>
      </c>
      <c r="J2075" s="11"/>
      <c r="K2075" s="11" t="s">
        <v>139</v>
      </c>
      <c r="L2075" s="11"/>
      <c r="M2075" s="11"/>
      <c r="N2075" s="11"/>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4"/>
    </row>
    <row r="2076" spans="1:35" ht="12.5" hidden="1" x14ac:dyDescent="0.25">
      <c r="A2076" s="9">
        <v>675</v>
      </c>
      <c r="B2076" s="10" t="s">
        <v>60</v>
      </c>
      <c r="C2076" s="10" t="s">
        <v>41</v>
      </c>
      <c r="D2076" s="10" t="s">
        <v>42</v>
      </c>
      <c r="E2076" s="11" t="s">
        <v>65</v>
      </c>
      <c r="F2076" s="11" t="s">
        <v>17</v>
      </c>
      <c r="G2076" s="10" t="s">
        <v>18</v>
      </c>
      <c r="H2076" s="11" t="s">
        <v>19</v>
      </c>
      <c r="I2076" s="11" t="s">
        <v>113</v>
      </c>
      <c r="J2076" s="11"/>
      <c r="K2076" s="11" t="s">
        <v>139</v>
      </c>
      <c r="L2076" s="11"/>
      <c r="M2076" s="11"/>
      <c r="N2076" s="11"/>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4"/>
    </row>
    <row r="2077" spans="1:35" ht="12.5" hidden="1" x14ac:dyDescent="0.25">
      <c r="A2077" s="9">
        <v>676</v>
      </c>
      <c r="B2077" s="10" t="s">
        <v>60</v>
      </c>
      <c r="C2077" s="10" t="s">
        <v>41</v>
      </c>
      <c r="D2077" s="10" t="s">
        <v>42</v>
      </c>
      <c r="E2077" s="11" t="s">
        <v>65</v>
      </c>
      <c r="F2077" s="11" t="s">
        <v>17</v>
      </c>
      <c r="G2077" s="10" t="s">
        <v>24</v>
      </c>
      <c r="H2077" s="11" t="s">
        <v>23</v>
      </c>
      <c r="I2077" s="11" t="s">
        <v>113</v>
      </c>
      <c r="J2077" s="11"/>
      <c r="K2077" s="11" t="s">
        <v>139</v>
      </c>
      <c r="L2077" s="11"/>
      <c r="M2077" s="11"/>
      <c r="N2077" s="11"/>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4"/>
    </row>
    <row r="2078" spans="1:35" ht="12.5" hidden="1" x14ac:dyDescent="0.25">
      <c r="A2078" s="9">
        <v>677</v>
      </c>
      <c r="B2078" s="10" t="s">
        <v>60</v>
      </c>
      <c r="C2078" s="10" t="s">
        <v>41</v>
      </c>
      <c r="D2078" s="10" t="s">
        <v>42</v>
      </c>
      <c r="E2078" s="11" t="s">
        <v>65</v>
      </c>
      <c r="F2078" s="11" t="s">
        <v>17</v>
      </c>
      <c r="G2078" s="10" t="s">
        <v>24</v>
      </c>
      <c r="H2078" s="11" t="s">
        <v>19</v>
      </c>
      <c r="I2078" s="11" t="s">
        <v>113</v>
      </c>
      <c r="J2078" s="11"/>
      <c r="K2078" s="11" t="s">
        <v>139</v>
      </c>
      <c r="L2078" s="11"/>
      <c r="M2078" s="11"/>
      <c r="N2078" s="11"/>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4"/>
    </row>
    <row r="2079" spans="1:35" ht="12.5" hidden="1" x14ac:dyDescent="0.25">
      <c r="A2079" s="9">
        <v>678</v>
      </c>
      <c r="B2079" s="10" t="s">
        <v>60</v>
      </c>
      <c r="C2079" s="10" t="s">
        <v>41</v>
      </c>
      <c r="D2079" s="10" t="s">
        <v>42</v>
      </c>
      <c r="E2079" s="11" t="s">
        <v>65</v>
      </c>
      <c r="F2079" s="11" t="s">
        <v>17</v>
      </c>
      <c r="G2079" s="10" t="s">
        <v>24</v>
      </c>
      <c r="H2079" s="11" t="s">
        <v>19</v>
      </c>
      <c r="I2079" s="11" t="s">
        <v>113</v>
      </c>
      <c r="J2079" s="11"/>
      <c r="K2079" s="11" t="s">
        <v>139</v>
      </c>
      <c r="L2079" s="11"/>
      <c r="M2079" s="11"/>
      <c r="N2079" s="11"/>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4"/>
    </row>
    <row r="2080" spans="1:35" ht="12.5" hidden="1" x14ac:dyDescent="0.25">
      <c r="A2080" s="9">
        <v>679</v>
      </c>
      <c r="B2080" s="10" t="s">
        <v>60</v>
      </c>
      <c r="C2080" s="10" t="s">
        <v>41</v>
      </c>
      <c r="D2080" s="10" t="s">
        <v>42</v>
      </c>
      <c r="E2080" s="11" t="s">
        <v>65</v>
      </c>
      <c r="F2080" s="11" t="s">
        <v>17</v>
      </c>
      <c r="G2080" s="10" t="s">
        <v>18</v>
      </c>
      <c r="H2080" s="11" t="s">
        <v>19</v>
      </c>
      <c r="I2080" s="11" t="s">
        <v>113</v>
      </c>
      <c r="J2080" s="11"/>
      <c r="K2080" s="11" t="s">
        <v>139</v>
      </c>
      <c r="L2080" s="11"/>
      <c r="M2080" s="11"/>
      <c r="N2080" s="11"/>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4"/>
    </row>
    <row r="2081" spans="1:35" ht="12.5" hidden="1" x14ac:dyDescent="0.25">
      <c r="A2081" s="9">
        <v>680</v>
      </c>
      <c r="B2081" s="10" t="s">
        <v>60</v>
      </c>
      <c r="C2081" s="10" t="s">
        <v>41</v>
      </c>
      <c r="D2081" s="10" t="s">
        <v>42</v>
      </c>
      <c r="E2081" s="11" t="s">
        <v>65</v>
      </c>
      <c r="F2081" s="11" t="s">
        <v>17</v>
      </c>
      <c r="G2081" s="10" t="s">
        <v>24</v>
      </c>
      <c r="H2081" s="11" t="s">
        <v>19</v>
      </c>
      <c r="I2081" s="11" t="s">
        <v>113</v>
      </c>
      <c r="J2081" s="11"/>
      <c r="K2081" s="11" t="s">
        <v>139</v>
      </c>
      <c r="L2081" s="11"/>
      <c r="M2081" s="11"/>
      <c r="N2081" s="11"/>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4"/>
    </row>
    <row r="2082" spans="1:35" ht="12.5" hidden="1" x14ac:dyDescent="0.25">
      <c r="A2082" s="9">
        <v>681</v>
      </c>
      <c r="B2082" s="10" t="s">
        <v>60</v>
      </c>
      <c r="C2082" s="10" t="s">
        <v>41</v>
      </c>
      <c r="D2082" s="10" t="s">
        <v>42</v>
      </c>
      <c r="E2082" s="11" t="s">
        <v>65</v>
      </c>
      <c r="F2082" s="11" t="s">
        <v>17</v>
      </c>
      <c r="G2082" s="10" t="s">
        <v>24</v>
      </c>
      <c r="H2082" s="11" t="s">
        <v>19</v>
      </c>
      <c r="I2082" s="11" t="s">
        <v>113</v>
      </c>
      <c r="J2082" s="11"/>
      <c r="K2082" s="11" t="s">
        <v>139</v>
      </c>
      <c r="L2082" s="11"/>
      <c r="M2082" s="11"/>
      <c r="N2082" s="11"/>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4"/>
    </row>
    <row r="2083" spans="1:35" ht="12.5" hidden="1" x14ac:dyDescent="0.25">
      <c r="A2083" s="9">
        <v>682</v>
      </c>
      <c r="B2083" s="10" t="s">
        <v>60</v>
      </c>
      <c r="C2083" s="10" t="s">
        <v>41</v>
      </c>
      <c r="D2083" s="10" t="s">
        <v>42</v>
      </c>
      <c r="E2083" s="11" t="s">
        <v>65</v>
      </c>
      <c r="F2083" s="11" t="s">
        <v>17</v>
      </c>
      <c r="G2083" s="10" t="s">
        <v>24</v>
      </c>
      <c r="H2083" s="11" t="s">
        <v>19</v>
      </c>
      <c r="I2083" s="11" t="s">
        <v>113</v>
      </c>
      <c r="J2083" s="11"/>
      <c r="K2083" s="11" t="s">
        <v>139</v>
      </c>
      <c r="L2083" s="11"/>
      <c r="M2083" s="11"/>
      <c r="N2083" s="11"/>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4"/>
    </row>
    <row r="2084" spans="1:35" ht="12.5" hidden="1" x14ac:dyDescent="0.25">
      <c r="A2084" s="9">
        <v>683</v>
      </c>
      <c r="B2084" s="10" t="s">
        <v>60</v>
      </c>
      <c r="C2084" s="10" t="s">
        <v>41</v>
      </c>
      <c r="D2084" s="10" t="s">
        <v>42</v>
      </c>
      <c r="E2084" s="11" t="s">
        <v>65</v>
      </c>
      <c r="F2084" s="11" t="s">
        <v>17</v>
      </c>
      <c r="G2084" s="10" t="s">
        <v>24</v>
      </c>
      <c r="H2084" s="11" t="s">
        <v>19</v>
      </c>
      <c r="I2084" s="11" t="s">
        <v>113</v>
      </c>
      <c r="J2084" s="11"/>
      <c r="K2084" s="11" t="s">
        <v>139</v>
      </c>
      <c r="L2084" s="11"/>
      <c r="M2084" s="11"/>
      <c r="N2084" s="11"/>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4"/>
    </row>
    <row r="2085" spans="1:35" ht="12.5" hidden="1" x14ac:dyDescent="0.25">
      <c r="A2085" s="9">
        <v>684</v>
      </c>
      <c r="B2085" s="10" t="s">
        <v>60</v>
      </c>
      <c r="C2085" s="10" t="s">
        <v>41</v>
      </c>
      <c r="D2085" s="10" t="s">
        <v>42</v>
      </c>
      <c r="E2085" s="11" t="s">
        <v>65</v>
      </c>
      <c r="F2085" s="11" t="s">
        <v>17</v>
      </c>
      <c r="G2085" s="10" t="s">
        <v>24</v>
      </c>
      <c r="H2085" s="11" t="s">
        <v>19</v>
      </c>
      <c r="I2085" s="11" t="s">
        <v>113</v>
      </c>
      <c r="J2085" s="11"/>
      <c r="K2085" s="11" t="s">
        <v>139</v>
      </c>
      <c r="L2085" s="11"/>
      <c r="M2085" s="11"/>
      <c r="N2085" s="11"/>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4"/>
    </row>
    <row r="2086" spans="1:35" ht="12.5" hidden="1" x14ac:dyDescent="0.25">
      <c r="A2086" s="9">
        <v>685</v>
      </c>
      <c r="B2086" s="10" t="s">
        <v>60</v>
      </c>
      <c r="C2086" s="10" t="s">
        <v>41</v>
      </c>
      <c r="D2086" s="10" t="s">
        <v>42</v>
      </c>
      <c r="E2086" s="11" t="s">
        <v>65</v>
      </c>
      <c r="F2086" s="11" t="s">
        <v>17</v>
      </c>
      <c r="G2086" s="10" t="s">
        <v>24</v>
      </c>
      <c r="H2086" s="11" t="s">
        <v>19</v>
      </c>
      <c r="I2086" s="11" t="s">
        <v>113</v>
      </c>
      <c r="J2086" s="11"/>
      <c r="K2086" s="11" t="s">
        <v>139</v>
      </c>
      <c r="L2086" s="11"/>
      <c r="M2086" s="11"/>
      <c r="N2086" s="11"/>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4"/>
    </row>
    <row r="2087" spans="1:35" ht="12.5" hidden="1" x14ac:dyDescent="0.25">
      <c r="A2087" s="9">
        <v>686</v>
      </c>
      <c r="B2087" s="10" t="s">
        <v>60</v>
      </c>
      <c r="C2087" s="10" t="s">
        <v>41</v>
      </c>
      <c r="D2087" s="10" t="s">
        <v>43</v>
      </c>
      <c r="E2087" s="11" t="s">
        <v>65</v>
      </c>
      <c r="F2087" s="11" t="s">
        <v>17</v>
      </c>
      <c r="G2087" s="10" t="s">
        <v>18</v>
      </c>
      <c r="H2087" s="11" t="s">
        <v>23</v>
      </c>
      <c r="I2087" s="11" t="s">
        <v>113</v>
      </c>
      <c r="J2087" s="11"/>
      <c r="K2087" s="11" t="s">
        <v>139</v>
      </c>
      <c r="L2087" s="11"/>
      <c r="M2087" s="11"/>
      <c r="N2087" s="11"/>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4"/>
    </row>
    <row r="2088" spans="1:35" ht="12.5" hidden="1" x14ac:dyDescent="0.25">
      <c r="A2088" s="9">
        <v>687</v>
      </c>
      <c r="B2088" s="10" t="s">
        <v>60</v>
      </c>
      <c r="C2088" s="10" t="s">
        <v>41</v>
      </c>
      <c r="D2088" s="10" t="s">
        <v>43</v>
      </c>
      <c r="E2088" s="11" t="s">
        <v>65</v>
      </c>
      <c r="F2088" s="11" t="s">
        <v>17</v>
      </c>
      <c r="G2088" s="10" t="s">
        <v>18</v>
      </c>
      <c r="H2088" s="11" t="s">
        <v>23</v>
      </c>
      <c r="I2088" s="11" t="s">
        <v>113</v>
      </c>
      <c r="J2088" s="11"/>
      <c r="K2088" s="11" t="s">
        <v>139</v>
      </c>
      <c r="L2088" s="11"/>
      <c r="M2088" s="11"/>
      <c r="N2088" s="11"/>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4"/>
    </row>
    <row r="2089" spans="1:35" ht="12.5" hidden="1" x14ac:dyDescent="0.25">
      <c r="A2089" s="9">
        <v>688</v>
      </c>
      <c r="B2089" s="10" t="s">
        <v>60</v>
      </c>
      <c r="C2089" s="10" t="s">
        <v>41</v>
      </c>
      <c r="D2089" s="10" t="s">
        <v>43</v>
      </c>
      <c r="E2089" s="11" t="s">
        <v>65</v>
      </c>
      <c r="F2089" s="11" t="s">
        <v>17</v>
      </c>
      <c r="G2089" s="10" t="s">
        <v>24</v>
      </c>
      <c r="H2089" s="11" t="s">
        <v>25</v>
      </c>
      <c r="I2089" s="11" t="s">
        <v>113</v>
      </c>
      <c r="J2089" s="11"/>
      <c r="K2089" s="11" t="s">
        <v>139</v>
      </c>
      <c r="L2089" s="11"/>
      <c r="M2089" s="11"/>
      <c r="N2089" s="11"/>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4"/>
    </row>
    <row r="2090" spans="1:35" ht="12.5" hidden="1" x14ac:dyDescent="0.25">
      <c r="A2090" s="9">
        <v>689</v>
      </c>
      <c r="B2090" s="10" t="s">
        <v>60</v>
      </c>
      <c r="C2090" s="10" t="s">
        <v>41</v>
      </c>
      <c r="D2090" s="10" t="s">
        <v>43</v>
      </c>
      <c r="E2090" s="11" t="s">
        <v>65</v>
      </c>
      <c r="F2090" s="11" t="s">
        <v>17</v>
      </c>
      <c r="G2090" s="10" t="s">
        <v>18</v>
      </c>
      <c r="H2090" s="11" t="s">
        <v>23</v>
      </c>
      <c r="I2090" s="11" t="s">
        <v>113</v>
      </c>
      <c r="J2090" s="11"/>
      <c r="K2090" s="11" t="s">
        <v>139</v>
      </c>
      <c r="L2090" s="11"/>
      <c r="M2090" s="11"/>
      <c r="N2090" s="11"/>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4"/>
    </row>
    <row r="2091" spans="1:35" ht="12.5" hidden="1" x14ac:dyDescent="0.25">
      <c r="A2091" s="9">
        <v>690</v>
      </c>
      <c r="B2091" s="10" t="s">
        <v>60</v>
      </c>
      <c r="C2091" s="10" t="s">
        <v>41</v>
      </c>
      <c r="D2091" s="10" t="s">
        <v>43</v>
      </c>
      <c r="E2091" s="11" t="s">
        <v>65</v>
      </c>
      <c r="F2091" s="11" t="s">
        <v>17</v>
      </c>
      <c r="G2091" s="10" t="s">
        <v>24</v>
      </c>
      <c r="H2091" s="11" t="s">
        <v>23</v>
      </c>
      <c r="I2091" s="11" t="s">
        <v>113</v>
      </c>
      <c r="J2091" s="11"/>
      <c r="K2091" s="11" t="s">
        <v>139</v>
      </c>
      <c r="L2091" s="11"/>
      <c r="M2091" s="11"/>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4"/>
    </row>
    <row r="2092" spans="1:35" ht="12.5" hidden="1" x14ac:dyDescent="0.25">
      <c r="A2092" s="9">
        <v>691</v>
      </c>
      <c r="B2092" s="10" t="s">
        <v>60</v>
      </c>
      <c r="C2092" s="10" t="s">
        <v>41</v>
      </c>
      <c r="D2092" s="10" t="s">
        <v>43</v>
      </c>
      <c r="E2092" s="11" t="s">
        <v>65</v>
      </c>
      <c r="F2092" s="11" t="s">
        <v>17</v>
      </c>
      <c r="G2092" s="10" t="s">
        <v>24</v>
      </c>
      <c r="H2092" s="11" t="s">
        <v>23</v>
      </c>
      <c r="I2092" s="11" t="s">
        <v>113</v>
      </c>
      <c r="J2092" s="11"/>
      <c r="K2092" s="11" t="s">
        <v>139</v>
      </c>
      <c r="L2092" s="11"/>
      <c r="M2092" s="11"/>
      <c r="N2092" s="11"/>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4"/>
    </row>
    <row r="2093" spans="1:35" ht="12.5" hidden="1" x14ac:dyDescent="0.25">
      <c r="A2093" s="9">
        <v>692</v>
      </c>
      <c r="B2093" s="10" t="s">
        <v>60</v>
      </c>
      <c r="C2093" s="10" t="s">
        <v>41</v>
      </c>
      <c r="D2093" s="10" t="s">
        <v>43</v>
      </c>
      <c r="E2093" s="11" t="s">
        <v>65</v>
      </c>
      <c r="F2093" s="11" t="s">
        <v>17</v>
      </c>
      <c r="G2093" s="10" t="s">
        <v>24</v>
      </c>
      <c r="H2093" s="11" t="s">
        <v>25</v>
      </c>
      <c r="I2093" s="11" t="s">
        <v>113</v>
      </c>
      <c r="J2093" s="11"/>
      <c r="K2093" s="11" t="s">
        <v>139</v>
      </c>
      <c r="L2093" s="11"/>
      <c r="M2093" s="11"/>
      <c r="N2093" s="11"/>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4"/>
    </row>
    <row r="2094" spans="1:35" ht="12.5" hidden="1" x14ac:dyDescent="0.25">
      <c r="A2094" s="9">
        <v>693</v>
      </c>
      <c r="B2094" s="10" t="s">
        <v>60</v>
      </c>
      <c r="C2094" s="10" t="s">
        <v>41</v>
      </c>
      <c r="D2094" s="10" t="s">
        <v>43</v>
      </c>
      <c r="E2094" s="11" t="s">
        <v>65</v>
      </c>
      <c r="F2094" s="11" t="s">
        <v>17</v>
      </c>
      <c r="G2094" s="10" t="s">
        <v>24</v>
      </c>
      <c r="H2094" s="11" t="s">
        <v>23</v>
      </c>
      <c r="I2094" s="11" t="s">
        <v>113</v>
      </c>
      <c r="J2094" s="11"/>
      <c r="K2094" s="11" t="s">
        <v>139</v>
      </c>
      <c r="L2094" s="11"/>
      <c r="M2094" s="11"/>
      <c r="N2094" s="11"/>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4"/>
    </row>
    <row r="2095" spans="1:35" ht="12.5" hidden="1" x14ac:dyDescent="0.25">
      <c r="A2095" s="9">
        <v>694</v>
      </c>
      <c r="B2095" s="10" t="s">
        <v>60</v>
      </c>
      <c r="C2095" s="10" t="s">
        <v>41</v>
      </c>
      <c r="D2095" s="10" t="s">
        <v>43</v>
      </c>
      <c r="E2095" s="11" t="s">
        <v>65</v>
      </c>
      <c r="F2095" s="11" t="s">
        <v>17</v>
      </c>
      <c r="G2095" s="10" t="s">
        <v>18</v>
      </c>
      <c r="H2095" s="11" t="s">
        <v>19</v>
      </c>
      <c r="I2095" s="11" t="s">
        <v>113</v>
      </c>
      <c r="J2095" s="11"/>
      <c r="K2095" s="11" t="s">
        <v>139</v>
      </c>
      <c r="L2095" s="11"/>
      <c r="M2095" s="11"/>
      <c r="N2095" s="11"/>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4"/>
    </row>
    <row r="2096" spans="1:35" ht="12.5" hidden="1" x14ac:dyDescent="0.25">
      <c r="A2096" s="9">
        <v>695</v>
      </c>
      <c r="B2096" s="10" t="s">
        <v>60</v>
      </c>
      <c r="C2096" s="10" t="s">
        <v>41</v>
      </c>
      <c r="D2096" s="10" t="s">
        <v>43</v>
      </c>
      <c r="E2096" s="11" t="s">
        <v>65</v>
      </c>
      <c r="F2096" s="11" t="s">
        <v>17</v>
      </c>
      <c r="G2096" s="10" t="s">
        <v>24</v>
      </c>
      <c r="H2096" s="11" t="s">
        <v>19</v>
      </c>
      <c r="I2096" s="11" t="s">
        <v>113</v>
      </c>
      <c r="J2096" s="11"/>
      <c r="K2096" s="11" t="s">
        <v>139</v>
      </c>
      <c r="L2096" s="11"/>
      <c r="M2096" s="11"/>
      <c r="N2096" s="11"/>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4"/>
    </row>
    <row r="2097" spans="1:35" ht="12.5" hidden="1" x14ac:dyDescent="0.25">
      <c r="A2097" s="9">
        <v>696</v>
      </c>
      <c r="B2097" s="10" t="s">
        <v>60</v>
      </c>
      <c r="C2097" s="10" t="s">
        <v>41</v>
      </c>
      <c r="D2097" s="10" t="s">
        <v>43</v>
      </c>
      <c r="E2097" s="11" t="s">
        <v>65</v>
      </c>
      <c r="F2097" s="11" t="s">
        <v>17</v>
      </c>
      <c r="G2097" s="10" t="s">
        <v>18</v>
      </c>
      <c r="H2097" s="11" t="s">
        <v>19</v>
      </c>
      <c r="I2097" s="11" t="s">
        <v>113</v>
      </c>
      <c r="J2097" s="11"/>
      <c r="K2097" s="11" t="s">
        <v>139</v>
      </c>
      <c r="L2097" s="11"/>
      <c r="M2097" s="11"/>
      <c r="N2097" s="11"/>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4"/>
    </row>
    <row r="2098" spans="1:35" ht="12.5" hidden="1" x14ac:dyDescent="0.25">
      <c r="A2098" s="9">
        <v>697</v>
      </c>
      <c r="B2098" s="10" t="s">
        <v>60</v>
      </c>
      <c r="C2098" s="10" t="s">
        <v>41</v>
      </c>
      <c r="D2098" s="10" t="s">
        <v>43</v>
      </c>
      <c r="E2098" s="11" t="s">
        <v>65</v>
      </c>
      <c r="F2098" s="11" t="s">
        <v>17</v>
      </c>
      <c r="G2098" s="10" t="s">
        <v>18</v>
      </c>
      <c r="H2098" s="11" t="s">
        <v>23</v>
      </c>
      <c r="I2098" s="11" t="s">
        <v>113</v>
      </c>
      <c r="J2098" s="11"/>
      <c r="K2098" s="11" t="s">
        <v>139</v>
      </c>
      <c r="L2098" s="11"/>
      <c r="M2098" s="11"/>
      <c r="N2098" s="11"/>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4"/>
    </row>
    <row r="2099" spans="1:35" ht="12.5" hidden="1" x14ac:dyDescent="0.25">
      <c r="A2099" s="9">
        <v>698</v>
      </c>
      <c r="B2099" s="10" t="s">
        <v>60</v>
      </c>
      <c r="C2099" s="10" t="s">
        <v>41</v>
      </c>
      <c r="D2099" s="10" t="s">
        <v>43</v>
      </c>
      <c r="E2099" s="11" t="s">
        <v>65</v>
      </c>
      <c r="F2099" s="11" t="s">
        <v>17</v>
      </c>
      <c r="G2099" s="10" t="s">
        <v>18</v>
      </c>
      <c r="H2099" s="11" t="s">
        <v>19</v>
      </c>
      <c r="I2099" s="11" t="s">
        <v>113</v>
      </c>
      <c r="J2099" s="11"/>
      <c r="K2099" s="11" t="s">
        <v>139</v>
      </c>
      <c r="L2099" s="11"/>
      <c r="M2099" s="11"/>
      <c r="N2099" s="11"/>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4"/>
    </row>
    <row r="2100" spans="1:35" ht="12.5" hidden="1" x14ac:dyDescent="0.25">
      <c r="A2100" s="9">
        <v>699</v>
      </c>
      <c r="B2100" s="10" t="s">
        <v>60</v>
      </c>
      <c r="C2100" s="10" t="s">
        <v>41</v>
      </c>
      <c r="D2100" s="10" t="s">
        <v>43</v>
      </c>
      <c r="E2100" s="11" t="s">
        <v>65</v>
      </c>
      <c r="F2100" s="11" t="s">
        <v>17</v>
      </c>
      <c r="G2100" s="10" t="s">
        <v>18</v>
      </c>
      <c r="H2100" s="11" t="s">
        <v>19</v>
      </c>
      <c r="I2100" s="11" t="s">
        <v>113</v>
      </c>
      <c r="J2100" s="11"/>
      <c r="K2100" s="11" t="s">
        <v>139</v>
      </c>
      <c r="L2100" s="11"/>
      <c r="M2100" s="11"/>
      <c r="N2100" s="11"/>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4"/>
    </row>
    <row r="2101" spans="1:35" ht="12.5" hidden="1" x14ac:dyDescent="0.25">
      <c r="A2101" s="9">
        <v>700</v>
      </c>
      <c r="B2101" s="10" t="s">
        <v>60</v>
      </c>
      <c r="C2101" s="10" t="s">
        <v>41</v>
      </c>
      <c r="D2101" s="10" t="s">
        <v>43</v>
      </c>
      <c r="E2101" s="11" t="s">
        <v>65</v>
      </c>
      <c r="F2101" s="11" t="s">
        <v>17</v>
      </c>
      <c r="G2101" s="10" t="s">
        <v>24</v>
      </c>
      <c r="H2101" s="11" t="s">
        <v>19</v>
      </c>
      <c r="I2101" s="11" t="s">
        <v>113</v>
      </c>
      <c r="J2101" s="11"/>
      <c r="K2101" s="11" t="s">
        <v>139</v>
      </c>
      <c r="L2101" s="11"/>
      <c r="M2101" s="11"/>
      <c r="N2101" s="11"/>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4"/>
    </row>
    <row r="2102" spans="1:35" ht="12.5" hidden="1" x14ac:dyDescent="0.25">
      <c r="A2102" s="9">
        <v>701</v>
      </c>
      <c r="B2102" s="10" t="s">
        <v>60</v>
      </c>
      <c r="C2102" s="10" t="s">
        <v>41</v>
      </c>
      <c r="D2102" s="10" t="s">
        <v>43</v>
      </c>
      <c r="E2102" s="11" t="s">
        <v>65</v>
      </c>
      <c r="F2102" s="11" t="s">
        <v>17</v>
      </c>
      <c r="G2102" s="10" t="s">
        <v>18</v>
      </c>
      <c r="H2102" s="11" t="s">
        <v>19</v>
      </c>
      <c r="I2102" s="11" t="s">
        <v>113</v>
      </c>
      <c r="J2102" s="11"/>
      <c r="K2102" s="11" t="s">
        <v>139</v>
      </c>
      <c r="L2102" s="11"/>
      <c r="M2102" s="11"/>
      <c r="N2102" s="11"/>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4"/>
    </row>
    <row r="2103" spans="1:35" ht="12.5" hidden="1" x14ac:dyDescent="0.25">
      <c r="A2103" s="9">
        <v>702</v>
      </c>
      <c r="B2103" s="10" t="s">
        <v>60</v>
      </c>
      <c r="C2103" s="10" t="s">
        <v>41</v>
      </c>
      <c r="D2103" s="10" t="s">
        <v>43</v>
      </c>
      <c r="E2103" s="11" t="s">
        <v>65</v>
      </c>
      <c r="F2103" s="11" t="s">
        <v>17</v>
      </c>
      <c r="G2103" s="10" t="s">
        <v>24</v>
      </c>
      <c r="H2103" s="11" t="s">
        <v>19</v>
      </c>
      <c r="I2103" s="11" t="s">
        <v>113</v>
      </c>
      <c r="J2103" s="11"/>
      <c r="K2103" s="11" t="s">
        <v>139</v>
      </c>
      <c r="L2103" s="11"/>
      <c r="M2103" s="11"/>
      <c r="N2103" s="11"/>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4"/>
    </row>
    <row r="2104" spans="1:35" ht="12.5" hidden="1" x14ac:dyDescent="0.25">
      <c r="A2104" s="9">
        <v>703</v>
      </c>
      <c r="B2104" s="10" t="s">
        <v>60</v>
      </c>
      <c r="C2104" s="10" t="s">
        <v>41</v>
      </c>
      <c r="D2104" s="10" t="s">
        <v>43</v>
      </c>
      <c r="E2104" s="11" t="s">
        <v>65</v>
      </c>
      <c r="F2104" s="11" t="s">
        <v>17</v>
      </c>
      <c r="G2104" s="10" t="s">
        <v>18</v>
      </c>
      <c r="H2104" s="11" t="s">
        <v>19</v>
      </c>
      <c r="I2104" s="11" t="s">
        <v>113</v>
      </c>
      <c r="J2104" s="11"/>
      <c r="K2104" s="11" t="s">
        <v>139</v>
      </c>
      <c r="L2104" s="11"/>
      <c r="M2104" s="11"/>
      <c r="N2104" s="11"/>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4"/>
    </row>
    <row r="2105" spans="1:35" ht="12.5" hidden="1" x14ac:dyDescent="0.25">
      <c r="A2105" s="9">
        <v>704</v>
      </c>
      <c r="B2105" s="10" t="s">
        <v>60</v>
      </c>
      <c r="C2105" s="10" t="s">
        <v>41</v>
      </c>
      <c r="D2105" s="10" t="s">
        <v>43</v>
      </c>
      <c r="E2105" s="11" t="s">
        <v>65</v>
      </c>
      <c r="F2105" s="11" t="s">
        <v>17</v>
      </c>
      <c r="G2105" s="10" t="s">
        <v>18</v>
      </c>
      <c r="H2105" s="11" t="s">
        <v>19</v>
      </c>
      <c r="I2105" s="11" t="s">
        <v>113</v>
      </c>
      <c r="J2105" s="11"/>
      <c r="K2105" s="11" t="s">
        <v>139</v>
      </c>
      <c r="L2105" s="11"/>
      <c r="M2105" s="11"/>
      <c r="N2105" s="11"/>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4"/>
    </row>
    <row r="2106" spans="1:35" ht="12.5" hidden="1" x14ac:dyDescent="0.25">
      <c r="A2106" s="9">
        <v>705</v>
      </c>
      <c r="B2106" s="10" t="s">
        <v>60</v>
      </c>
      <c r="C2106" s="10" t="s">
        <v>41</v>
      </c>
      <c r="D2106" s="10" t="s">
        <v>43</v>
      </c>
      <c r="E2106" s="11" t="s">
        <v>65</v>
      </c>
      <c r="F2106" s="11" t="s">
        <v>17</v>
      </c>
      <c r="G2106" s="10" t="s">
        <v>24</v>
      </c>
      <c r="H2106" s="11" t="s">
        <v>23</v>
      </c>
      <c r="I2106" s="11" t="s">
        <v>113</v>
      </c>
      <c r="J2106" s="11"/>
      <c r="K2106" s="11" t="s">
        <v>139</v>
      </c>
      <c r="L2106" s="11"/>
      <c r="M2106" s="11"/>
      <c r="N2106" s="11"/>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4"/>
    </row>
    <row r="2107" spans="1:35" ht="12.5" hidden="1" x14ac:dyDescent="0.25">
      <c r="A2107" s="9">
        <v>706</v>
      </c>
      <c r="B2107" s="10" t="s">
        <v>60</v>
      </c>
      <c r="C2107" s="10" t="s">
        <v>41</v>
      </c>
      <c r="D2107" s="10" t="s">
        <v>43</v>
      </c>
      <c r="E2107" s="11" t="s">
        <v>65</v>
      </c>
      <c r="F2107" s="11" t="s">
        <v>17</v>
      </c>
      <c r="G2107" s="10" t="s">
        <v>18</v>
      </c>
      <c r="H2107" s="11" t="s">
        <v>19</v>
      </c>
      <c r="I2107" s="11" t="s">
        <v>113</v>
      </c>
      <c r="J2107" s="11"/>
      <c r="K2107" s="11" t="s">
        <v>139</v>
      </c>
      <c r="L2107" s="11"/>
      <c r="M2107" s="11"/>
      <c r="N2107" s="11"/>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4"/>
    </row>
    <row r="2108" spans="1:35" ht="12.5" hidden="1" x14ac:dyDescent="0.25">
      <c r="A2108" s="9">
        <v>707</v>
      </c>
      <c r="B2108" s="10" t="s">
        <v>60</v>
      </c>
      <c r="C2108" s="10" t="s">
        <v>41</v>
      </c>
      <c r="D2108" s="10" t="s">
        <v>43</v>
      </c>
      <c r="E2108" s="11" t="s">
        <v>65</v>
      </c>
      <c r="F2108" s="11" t="s">
        <v>17</v>
      </c>
      <c r="G2108" s="10" t="s">
        <v>18</v>
      </c>
      <c r="H2108" s="11" t="s">
        <v>19</v>
      </c>
      <c r="I2108" s="11" t="s">
        <v>113</v>
      </c>
      <c r="J2108" s="11"/>
      <c r="K2108" s="11" t="s">
        <v>139</v>
      </c>
      <c r="L2108" s="11"/>
      <c r="M2108" s="11"/>
      <c r="N2108" s="11"/>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4"/>
    </row>
    <row r="2109" spans="1:35" ht="12.5" hidden="1" x14ac:dyDescent="0.25">
      <c r="A2109" s="9">
        <v>708</v>
      </c>
      <c r="B2109" s="10" t="s">
        <v>60</v>
      </c>
      <c r="C2109" s="10" t="s">
        <v>41</v>
      </c>
      <c r="D2109" s="10" t="s">
        <v>43</v>
      </c>
      <c r="E2109" s="11" t="s">
        <v>65</v>
      </c>
      <c r="F2109" s="11" t="s">
        <v>17</v>
      </c>
      <c r="G2109" s="10" t="s">
        <v>18</v>
      </c>
      <c r="H2109" s="11" t="s">
        <v>19</v>
      </c>
      <c r="I2109" s="11" t="s">
        <v>113</v>
      </c>
      <c r="J2109" s="11"/>
      <c r="K2109" s="11" t="s">
        <v>139</v>
      </c>
      <c r="L2109" s="11"/>
      <c r="M2109" s="11"/>
      <c r="N2109" s="11"/>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4"/>
    </row>
    <row r="2110" spans="1:35" ht="12.5" hidden="1" x14ac:dyDescent="0.25">
      <c r="A2110" s="9">
        <v>709</v>
      </c>
      <c r="B2110" s="10" t="s">
        <v>60</v>
      </c>
      <c r="C2110" s="10" t="s">
        <v>15</v>
      </c>
      <c r="D2110" s="10" t="s">
        <v>45</v>
      </c>
      <c r="E2110" s="11" t="s">
        <v>140</v>
      </c>
      <c r="F2110" s="11" t="s">
        <v>17</v>
      </c>
      <c r="G2110" s="10" t="s">
        <v>18</v>
      </c>
      <c r="H2110" s="11" t="s">
        <v>19</v>
      </c>
      <c r="I2110" s="11" t="s">
        <v>113</v>
      </c>
      <c r="J2110" s="11"/>
      <c r="K2110" s="11" t="s">
        <v>140</v>
      </c>
      <c r="L2110" s="11"/>
      <c r="M2110" s="11"/>
      <c r="N2110" s="11"/>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4"/>
    </row>
    <row r="2111" spans="1:35" ht="12.5" hidden="1" x14ac:dyDescent="0.25">
      <c r="A2111" s="9">
        <v>710</v>
      </c>
      <c r="B2111" s="10" t="s">
        <v>60</v>
      </c>
      <c r="C2111" s="10" t="s">
        <v>15</v>
      </c>
      <c r="D2111" s="10" t="s">
        <v>45</v>
      </c>
      <c r="E2111" s="11" t="s">
        <v>140</v>
      </c>
      <c r="F2111" s="11" t="s">
        <v>17</v>
      </c>
      <c r="G2111" s="10" t="s">
        <v>24</v>
      </c>
      <c r="H2111" s="11" t="s">
        <v>23</v>
      </c>
      <c r="I2111" s="11" t="s">
        <v>113</v>
      </c>
      <c r="J2111" s="11"/>
      <c r="K2111" s="11" t="s">
        <v>140</v>
      </c>
      <c r="L2111" s="11"/>
      <c r="M2111" s="11"/>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4"/>
    </row>
    <row r="2112" spans="1:35" ht="12.5" hidden="1" x14ac:dyDescent="0.25">
      <c r="A2112" s="9">
        <v>711</v>
      </c>
      <c r="B2112" s="10" t="s">
        <v>60</v>
      </c>
      <c r="C2112" s="10" t="s">
        <v>15</v>
      </c>
      <c r="D2112" s="10" t="s">
        <v>45</v>
      </c>
      <c r="E2112" s="11" t="s">
        <v>140</v>
      </c>
      <c r="F2112" s="11" t="s">
        <v>17</v>
      </c>
      <c r="G2112" s="10" t="s">
        <v>24</v>
      </c>
      <c r="H2112" s="11" t="s">
        <v>19</v>
      </c>
      <c r="I2112" s="11" t="s">
        <v>113</v>
      </c>
      <c r="J2112" s="11"/>
      <c r="K2112" s="11" t="s">
        <v>140</v>
      </c>
      <c r="L2112" s="11"/>
      <c r="M2112" s="11"/>
      <c r="N2112" s="11"/>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4"/>
    </row>
    <row r="2113" spans="1:35" ht="12.5" hidden="1" x14ac:dyDescent="0.25">
      <c r="A2113" s="9">
        <v>712</v>
      </c>
      <c r="B2113" s="10" t="s">
        <v>60</v>
      </c>
      <c r="C2113" s="10" t="s">
        <v>15</v>
      </c>
      <c r="D2113" s="10" t="s">
        <v>45</v>
      </c>
      <c r="E2113" s="11" t="s">
        <v>140</v>
      </c>
      <c r="F2113" s="11" t="s">
        <v>17</v>
      </c>
      <c r="G2113" s="10" t="s">
        <v>24</v>
      </c>
      <c r="H2113" s="11" t="s">
        <v>19</v>
      </c>
      <c r="I2113" s="11" t="s">
        <v>113</v>
      </c>
      <c r="J2113" s="11"/>
      <c r="K2113" s="11" t="s">
        <v>140</v>
      </c>
      <c r="L2113" s="11"/>
      <c r="M2113" s="11"/>
      <c r="N2113" s="11"/>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4"/>
    </row>
    <row r="2114" spans="1:35" ht="12.5" hidden="1" x14ac:dyDescent="0.25">
      <c r="A2114" s="9">
        <v>713</v>
      </c>
      <c r="B2114" s="10" t="s">
        <v>60</v>
      </c>
      <c r="C2114" s="10" t="s">
        <v>15</v>
      </c>
      <c r="D2114" s="10" t="s">
        <v>16</v>
      </c>
      <c r="E2114" s="11" t="s">
        <v>140</v>
      </c>
      <c r="F2114" s="11" t="s">
        <v>17</v>
      </c>
      <c r="G2114" s="10" t="s">
        <v>24</v>
      </c>
      <c r="H2114" s="11" t="s">
        <v>23</v>
      </c>
      <c r="I2114" s="11" t="s">
        <v>113</v>
      </c>
      <c r="J2114" s="11"/>
      <c r="K2114" s="11" t="s">
        <v>140</v>
      </c>
      <c r="L2114" s="11"/>
      <c r="M2114" s="11"/>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4"/>
    </row>
    <row r="2115" spans="1:35" ht="12.5" hidden="1" x14ac:dyDescent="0.25">
      <c r="A2115" s="9">
        <v>714</v>
      </c>
      <c r="B2115" s="10" t="s">
        <v>60</v>
      </c>
      <c r="C2115" s="10" t="s">
        <v>15</v>
      </c>
      <c r="D2115" s="10" t="s">
        <v>16</v>
      </c>
      <c r="E2115" s="11" t="s">
        <v>140</v>
      </c>
      <c r="F2115" s="11" t="s">
        <v>17</v>
      </c>
      <c r="G2115" s="10" t="s">
        <v>18</v>
      </c>
      <c r="H2115" s="11" t="s">
        <v>23</v>
      </c>
      <c r="I2115" s="11" t="s">
        <v>113</v>
      </c>
      <c r="J2115" s="11"/>
      <c r="K2115" s="11" t="s">
        <v>140</v>
      </c>
      <c r="L2115" s="11"/>
      <c r="M2115" s="11"/>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4"/>
    </row>
    <row r="2116" spans="1:35" ht="12.5" hidden="1" x14ac:dyDescent="0.25">
      <c r="A2116" s="9">
        <v>715</v>
      </c>
      <c r="B2116" s="10" t="s">
        <v>60</v>
      </c>
      <c r="C2116" s="10" t="s">
        <v>15</v>
      </c>
      <c r="D2116" s="10" t="s">
        <v>16</v>
      </c>
      <c r="E2116" s="11" t="s">
        <v>140</v>
      </c>
      <c r="F2116" s="11" t="s">
        <v>17</v>
      </c>
      <c r="G2116" s="10" t="s">
        <v>18</v>
      </c>
      <c r="H2116" s="11" t="s">
        <v>23</v>
      </c>
      <c r="I2116" s="11" t="s">
        <v>113</v>
      </c>
      <c r="J2116" s="11"/>
      <c r="K2116" s="11" t="s">
        <v>140</v>
      </c>
      <c r="L2116" s="11"/>
      <c r="M2116" s="11"/>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4"/>
    </row>
    <row r="2117" spans="1:35" ht="12.5" hidden="1" x14ac:dyDescent="0.25">
      <c r="A2117" s="9">
        <v>716</v>
      </c>
      <c r="B2117" s="10" t="s">
        <v>60</v>
      </c>
      <c r="C2117" s="10" t="s">
        <v>15</v>
      </c>
      <c r="D2117" s="10" t="s">
        <v>16</v>
      </c>
      <c r="E2117" s="11" t="s">
        <v>140</v>
      </c>
      <c r="F2117" s="11" t="s">
        <v>17</v>
      </c>
      <c r="G2117" s="10" t="s">
        <v>24</v>
      </c>
      <c r="H2117" s="11" t="s">
        <v>19</v>
      </c>
      <c r="I2117" s="11" t="s">
        <v>113</v>
      </c>
      <c r="J2117" s="11"/>
      <c r="K2117" s="11" t="s">
        <v>140</v>
      </c>
      <c r="L2117" s="11"/>
      <c r="M2117" s="11"/>
      <c r="N2117" s="11"/>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4"/>
    </row>
    <row r="2118" spans="1:35" ht="12.5" hidden="1" x14ac:dyDescent="0.25">
      <c r="A2118" s="9">
        <v>717</v>
      </c>
      <c r="B2118" s="10" t="s">
        <v>60</v>
      </c>
      <c r="C2118" s="10" t="s">
        <v>15</v>
      </c>
      <c r="D2118" s="10" t="s">
        <v>16</v>
      </c>
      <c r="E2118" s="11" t="s">
        <v>140</v>
      </c>
      <c r="F2118" s="11" t="s">
        <v>17</v>
      </c>
      <c r="G2118" s="10" t="s">
        <v>18</v>
      </c>
      <c r="H2118" s="11" t="s">
        <v>19</v>
      </c>
      <c r="I2118" s="11" t="s">
        <v>113</v>
      </c>
      <c r="J2118" s="11"/>
      <c r="K2118" s="11" t="s">
        <v>140</v>
      </c>
      <c r="L2118" s="11"/>
      <c r="M2118" s="11"/>
      <c r="N2118" s="11"/>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4"/>
    </row>
    <row r="2119" spans="1:35" ht="12.5" hidden="1" x14ac:dyDescent="0.25">
      <c r="A2119" s="9">
        <v>718</v>
      </c>
      <c r="B2119" s="10" t="s">
        <v>60</v>
      </c>
      <c r="C2119" s="10" t="s">
        <v>15</v>
      </c>
      <c r="D2119" s="10" t="s">
        <v>16</v>
      </c>
      <c r="E2119" s="11" t="s">
        <v>140</v>
      </c>
      <c r="F2119" s="11" t="s">
        <v>17</v>
      </c>
      <c r="G2119" s="10" t="s">
        <v>18</v>
      </c>
      <c r="H2119" s="11" t="s">
        <v>23</v>
      </c>
      <c r="I2119" s="11" t="s">
        <v>113</v>
      </c>
      <c r="J2119" s="11"/>
      <c r="K2119" s="11" t="s">
        <v>140</v>
      </c>
      <c r="L2119" s="11"/>
      <c r="M2119" s="11"/>
      <c r="N2119" s="11"/>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4"/>
    </row>
    <row r="2120" spans="1:35" ht="12.5" hidden="1" x14ac:dyDescent="0.25">
      <c r="A2120" s="9">
        <v>719</v>
      </c>
      <c r="B2120" s="10" t="s">
        <v>60</v>
      </c>
      <c r="C2120" s="10" t="s">
        <v>15</v>
      </c>
      <c r="D2120" s="10" t="s">
        <v>16</v>
      </c>
      <c r="E2120" s="11" t="s">
        <v>140</v>
      </c>
      <c r="F2120" s="11" t="s">
        <v>17</v>
      </c>
      <c r="G2120" s="10" t="s">
        <v>24</v>
      </c>
      <c r="H2120" s="11" t="s">
        <v>23</v>
      </c>
      <c r="I2120" s="11" t="s">
        <v>113</v>
      </c>
      <c r="J2120" s="11"/>
      <c r="K2120" s="11" t="s">
        <v>140</v>
      </c>
      <c r="L2120" s="11"/>
      <c r="M2120" s="11"/>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4"/>
    </row>
    <row r="2121" spans="1:35" ht="12.5" hidden="1" x14ac:dyDescent="0.25">
      <c r="A2121" s="9">
        <v>720</v>
      </c>
      <c r="B2121" s="10" t="s">
        <v>60</v>
      </c>
      <c r="C2121" s="10" t="s">
        <v>15</v>
      </c>
      <c r="D2121" s="10" t="s">
        <v>16</v>
      </c>
      <c r="E2121" s="11" t="s">
        <v>140</v>
      </c>
      <c r="F2121" s="11" t="s">
        <v>17</v>
      </c>
      <c r="G2121" s="10" t="s">
        <v>24</v>
      </c>
      <c r="H2121" s="11" t="s">
        <v>19</v>
      </c>
      <c r="I2121" s="11" t="s">
        <v>113</v>
      </c>
      <c r="J2121" s="11"/>
      <c r="K2121" s="11" t="s">
        <v>140</v>
      </c>
      <c r="L2121" s="11"/>
      <c r="M2121" s="11"/>
      <c r="N2121" s="11"/>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4"/>
    </row>
    <row r="2122" spans="1:35" ht="12.5" hidden="1" x14ac:dyDescent="0.25">
      <c r="A2122" s="9">
        <v>721</v>
      </c>
      <c r="B2122" s="10" t="s">
        <v>60</v>
      </c>
      <c r="C2122" s="10" t="s">
        <v>15</v>
      </c>
      <c r="D2122" s="10" t="s">
        <v>37</v>
      </c>
      <c r="E2122" s="11" t="s">
        <v>140</v>
      </c>
      <c r="F2122" s="11" t="s">
        <v>17</v>
      </c>
      <c r="G2122" s="10" t="s">
        <v>24</v>
      </c>
      <c r="H2122" s="11" t="s">
        <v>19</v>
      </c>
      <c r="I2122" s="11" t="s">
        <v>113</v>
      </c>
      <c r="J2122" s="11"/>
      <c r="K2122" s="11" t="s">
        <v>140</v>
      </c>
      <c r="L2122" s="11"/>
      <c r="M2122" s="11"/>
      <c r="N2122" s="11"/>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4"/>
    </row>
    <row r="2123" spans="1:35" ht="12.5" hidden="1" x14ac:dyDescent="0.25">
      <c r="A2123" s="9">
        <v>722</v>
      </c>
      <c r="B2123" s="10" t="s">
        <v>60</v>
      </c>
      <c r="C2123" s="10" t="s">
        <v>15</v>
      </c>
      <c r="D2123" s="10" t="s">
        <v>37</v>
      </c>
      <c r="E2123" s="11" t="s">
        <v>140</v>
      </c>
      <c r="F2123" s="11" t="s">
        <v>17</v>
      </c>
      <c r="G2123" s="10" t="s">
        <v>18</v>
      </c>
      <c r="H2123" s="11" t="s">
        <v>23</v>
      </c>
      <c r="I2123" s="11" t="s">
        <v>113</v>
      </c>
      <c r="J2123" s="11"/>
      <c r="K2123" s="11" t="s">
        <v>140</v>
      </c>
      <c r="L2123" s="11"/>
      <c r="M2123" s="11"/>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4"/>
    </row>
    <row r="2124" spans="1:35" ht="12.5" hidden="1" x14ac:dyDescent="0.25">
      <c r="A2124" s="9">
        <v>723</v>
      </c>
      <c r="B2124" s="10" t="s">
        <v>60</v>
      </c>
      <c r="C2124" s="10" t="s">
        <v>15</v>
      </c>
      <c r="D2124" s="10" t="s">
        <v>37</v>
      </c>
      <c r="E2124" s="11" t="s">
        <v>140</v>
      </c>
      <c r="F2124" s="11" t="s">
        <v>17</v>
      </c>
      <c r="G2124" s="10" t="s">
        <v>18</v>
      </c>
      <c r="H2124" s="11" t="s">
        <v>23</v>
      </c>
      <c r="I2124" s="11" t="s">
        <v>113</v>
      </c>
      <c r="J2124" s="11"/>
      <c r="K2124" s="11" t="s">
        <v>140</v>
      </c>
      <c r="L2124" s="11"/>
      <c r="M2124" s="11"/>
      <c r="N2124" s="11"/>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4"/>
    </row>
    <row r="2125" spans="1:35" ht="12.5" hidden="1" x14ac:dyDescent="0.25">
      <c r="A2125" s="9">
        <v>724</v>
      </c>
      <c r="B2125" s="10" t="s">
        <v>60</v>
      </c>
      <c r="C2125" s="10" t="s">
        <v>15</v>
      </c>
      <c r="D2125" s="10" t="s">
        <v>37</v>
      </c>
      <c r="E2125" s="11" t="s">
        <v>140</v>
      </c>
      <c r="F2125" s="11" t="s">
        <v>17</v>
      </c>
      <c r="G2125" s="10" t="s">
        <v>18</v>
      </c>
      <c r="H2125" s="11" t="s">
        <v>19</v>
      </c>
      <c r="I2125" s="11" t="s">
        <v>113</v>
      </c>
      <c r="J2125" s="11"/>
      <c r="K2125" s="11" t="s">
        <v>140</v>
      </c>
      <c r="L2125" s="11"/>
      <c r="M2125" s="11"/>
      <c r="N2125" s="11"/>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4"/>
    </row>
    <row r="2126" spans="1:35" ht="12.5" hidden="1" x14ac:dyDescent="0.25">
      <c r="A2126" s="9">
        <v>725</v>
      </c>
      <c r="B2126" s="10" t="s">
        <v>60</v>
      </c>
      <c r="C2126" s="10" t="s">
        <v>15</v>
      </c>
      <c r="D2126" s="10" t="s">
        <v>37</v>
      </c>
      <c r="E2126" s="11" t="s">
        <v>140</v>
      </c>
      <c r="F2126" s="11" t="s">
        <v>17</v>
      </c>
      <c r="G2126" s="10" t="s">
        <v>18</v>
      </c>
      <c r="H2126" s="11" t="s">
        <v>19</v>
      </c>
      <c r="I2126" s="11" t="s">
        <v>113</v>
      </c>
      <c r="J2126" s="11"/>
      <c r="K2126" s="11" t="s">
        <v>140</v>
      </c>
      <c r="L2126" s="11"/>
      <c r="M2126" s="11"/>
      <c r="N2126" s="11"/>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4"/>
    </row>
    <row r="2127" spans="1:35" ht="12.5" hidden="1" x14ac:dyDescent="0.25">
      <c r="A2127" s="9">
        <v>726</v>
      </c>
      <c r="B2127" s="10" t="s">
        <v>60</v>
      </c>
      <c r="C2127" s="10" t="s">
        <v>15</v>
      </c>
      <c r="D2127" s="10" t="s">
        <v>37</v>
      </c>
      <c r="E2127" s="11" t="s">
        <v>140</v>
      </c>
      <c r="F2127" s="11" t="s">
        <v>17</v>
      </c>
      <c r="G2127" s="10" t="s">
        <v>18</v>
      </c>
      <c r="H2127" s="11" t="s">
        <v>19</v>
      </c>
      <c r="I2127" s="11" t="s">
        <v>113</v>
      </c>
      <c r="J2127" s="11"/>
      <c r="K2127" s="11" t="s">
        <v>140</v>
      </c>
      <c r="L2127" s="11"/>
      <c r="M2127" s="11"/>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4"/>
    </row>
    <row r="2128" spans="1:35" ht="12.5" hidden="1" x14ac:dyDescent="0.25">
      <c r="A2128" s="9">
        <v>727</v>
      </c>
      <c r="B2128" s="10" t="s">
        <v>60</v>
      </c>
      <c r="C2128" s="10" t="s">
        <v>15</v>
      </c>
      <c r="D2128" s="10" t="s">
        <v>37</v>
      </c>
      <c r="E2128" s="11" t="s">
        <v>140</v>
      </c>
      <c r="F2128" s="11" t="s">
        <v>17</v>
      </c>
      <c r="G2128" s="10" t="s">
        <v>18</v>
      </c>
      <c r="H2128" s="11" t="s">
        <v>19</v>
      </c>
      <c r="I2128" s="11" t="s">
        <v>113</v>
      </c>
      <c r="J2128" s="11"/>
      <c r="K2128" s="11" t="s">
        <v>140</v>
      </c>
      <c r="L2128" s="11"/>
      <c r="M2128" s="11"/>
      <c r="N2128" s="11"/>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4"/>
    </row>
    <row r="2129" spans="1:35" ht="12.5" hidden="1" x14ac:dyDescent="0.25">
      <c r="A2129" s="9">
        <v>728</v>
      </c>
      <c r="B2129" s="10" t="s">
        <v>60</v>
      </c>
      <c r="C2129" s="10" t="s">
        <v>15</v>
      </c>
      <c r="D2129" s="10" t="s">
        <v>37</v>
      </c>
      <c r="E2129" s="11" t="s">
        <v>140</v>
      </c>
      <c r="F2129" s="11" t="s">
        <v>17</v>
      </c>
      <c r="G2129" s="10" t="s">
        <v>18</v>
      </c>
      <c r="H2129" s="11" t="s">
        <v>19</v>
      </c>
      <c r="I2129" s="11" t="s">
        <v>113</v>
      </c>
      <c r="J2129" s="11"/>
      <c r="K2129" s="11" t="s">
        <v>140</v>
      </c>
      <c r="L2129" s="11"/>
      <c r="M2129" s="11"/>
      <c r="N2129" s="11"/>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4"/>
    </row>
    <row r="2130" spans="1:35" ht="12.5" hidden="1" x14ac:dyDescent="0.25">
      <c r="A2130" s="9">
        <v>729</v>
      </c>
      <c r="B2130" s="10" t="s">
        <v>60</v>
      </c>
      <c r="C2130" s="10" t="s">
        <v>15</v>
      </c>
      <c r="D2130" s="10" t="s">
        <v>37</v>
      </c>
      <c r="E2130" s="11" t="s">
        <v>140</v>
      </c>
      <c r="F2130" s="11" t="s">
        <v>17</v>
      </c>
      <c r="G2130" s="10" t="s">
        <v>24</v>
      </c>
      <c r="H2130" s="11" t="s">
        <v>19</v>
      </c>
      <c r="I2130" s="11" t="s">
        <v>113</v>
      </c>
      <c r="J2130" s="11"/>
      <c r="K2130" s="11" t="s">
        <v>140</v>
      </c>
      <c r="L2130" s="11"/>
      <c r="M2130" s="11"/>
      <c r="N2130" s="11"/>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4"/>
    </row>
    <row r="2131" spans="1:35" ht="12.5" hidden="1" x14ac:dyDescent="0.25">
      <c r="A2131" s="9">
        <v>730</v>
      </c>
      <c r="B2131" s="10" t="s">
        <v>60</v>
      </c>
      <c r="C2131" s="10" t="s">
        <v>15</v>
      </c>
      <c r="D2131" s="10" t="s">
        <v>45</v>
      </c>
      <c r="E2131" s="11" t="s">
        <v>91</v>
      </c>
      <c r="F2131" s="11" t="s">
        <v>17</v>
      </c>
      <c r="G2131" s="10" t="s">
        <v>18</v>
      </c>
      <c r="H2131" s="11" t="s">
        <v>19</v>
      </c>
      <c r="I2131" s="11" t="s">
        <v>113</v>
      </c>
      <c r="J2131" s="11"/>
      <c r="K2131" s="11" t="s">
        <v>91</v>
      </c>
      <c r="L2131" s="11"/>
      <c r="M2131" s="11"/>
      <c r="N2131" s="11"/>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4"/>
    </row>
    <row r="2132" spans="1:35" ht="12.5" hidden="1" x14ac:dyDescent="0.25">
      <c r="A2132" s="9">
        <v>731</v>
      </c>
      <c r="B2132" s="10" t="s">
        <v>60</v>
      </c>
      <c r="C2132" s="10" t="s">
        <v>15</v>
      </c>
      <c r="D2132" s="10" t="s">
        <v>45</v>
      </c>
      <c r="E2132" s="11" t="s">
        <v>91</v>
      </c>
      <c r="F2132" s="11" t="s">
        <v>17</v>
      </c>
      <c r="G2132" s="10" t="s">
        <v>18</v>
      </c>
      <c r="H2132" s="11" t="s">
        <v>23</v>
      </c>
      <c r="I2132" s="11" t="s">
        <v>113</v>
      </c>
      <c r="J2132" s="11"/>
      <c r="K2132" s="11" t="s">
        <v>91</v>
      </c>
      <c r="L2132" s="11"/>
      <c r="M2132" s="11"/>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4"/>
    </row>
    <row r="2133" spans="1:35" ht="12.5" hidden="1" x14ac:dyDescent="0.25">
      <c r="A2133" s="9">
        <v>732</v>
      </c>
      <c r="B2133" s="10" t="s">
        <v>60</v>
      </c>
      <c r="C2133" s="10" t="s">
        <v>15</v>
      </c>
      <c r="D2133" s="10" t="s">
        <v>45</v>
      </c>
      <c r="E2133" s="11" t="s">
        <v>91</v>
      </c>
      <c r="F2133" s="11" t="s">
        <v>17</v>
      </c>
      <c r="G2133" s="10" t="s">
        <v>18</v>
      </c>
      <c r="H2133" s="11" t="s">
        <v>19</v>
      </c>
      <c r="I2133" s="11" t="s">
        <v>113</v>
      </c>
      <c r="J2133" s="11"/>
      <c r="K2133" s="11" t="s">
        <v>91</v>
      </c>
      <c r="L2133" s="11"/>
      <c r="M2133" s="11"/>
      <c r="N2133" s="11"/>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4"/>
    </row>
    <row r="2134" spans="1:35" ht="12.5" hidden="1" x14ac:dyDescent="0.25">
      <c r="A2134" s="9">
        <v>733</v>
      </c>
      <c r="B2134" s="10" t="s">
        <v>60</v>
      </c>
      <c r="C2134" s="10" t="s">
        <v>15</v>
      </c>
      <c r="D2134" s="10" t="s">
        <v>45</v>
      </c>
      <c r="E2134" s="11" t="s">
        <v>91</v>
      </c>
      <c r="F2134" s="11" t="s">
        <v>17</v>
      </c>
      <c r="G2134" s="10" t="s">
        <v>24</v>
      </c>
      <c r="H2134" s="11" t="s">
        <v>19</v>
      </c>
      <c r="I2134" s="11" t="s">
        <v>113</v>
      </c>
      <c r="J2134" s="11"/>
      <c r="K2134" s="11" t="s">
        <v>91</v>
      </c>
      <c r="L2134" s="11"/>
      <c r="M2134" s="11"/>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4"/>
    </row>
    <row r="2135" spans="1:35" ht="12.5" hidden="1" x14ac:dyDescent="0.25">
      <c r="A2135" s="9">
        <v>734</v>
      </c>
      <c r="B2135" s="10" t="s">
        <v>60</v>
      </c>
      <c r="C2135" s="10" t="s">
        <v>15</v>
      </c>
      <c r="D2135" s="10" t="s">
        <v>45</v>
      </c>
      <c r="E2135" s="11" t="s">
        <v>91</v>
      </c>
      <c r="F2135" s="11" t="s">
        <v>17</v>
      </c>
      <c r="G2135" s="10" t="s">
        <v>18</v>
      </c>
      <c r="H2135" s="11" t="s">
        <v>19</v>
      </c>
      <c r="I2135" s="11" t="s">
        <v>113</v>
      </c>
      <c r="J2135" s="11"/>
      <c r="K2135" s="11" t="s">
        <v>91</v>
      </c>
      <c r="L2135" s="11"/>
      <c r="M2135" s="11"/>
      <c r="N2135" s="11"/>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4"/>
    </row>
    <row r="2136" spans="1:35" ht="12.5" hidden="1" x14ac:dyDescent="0.25">
      <c r="A2136" s="9">
        <v>735</v>
      </c>
      <c r="B2136" s="10" t="s">
        <v>60</v>
      </c>
      <c r="C2136" s="10" t="s">
        <v>15</v>
      </c>
      <c r="D2136" s="10" t="s">
        <v>45</v>
      </c>
      <c r="E2136" s="11" t="s">
        <v>91</v>
      </c>
      <c r="F2136" s="11" t="s">
        <v>17</v>
      </c>
      <c r="G2136" s="10" t="s">
        <v>24</v>
      </c>
      <c r="H2136" s="11" t="s">
        <v>19</v>
      </c>
      <c r="I2136" s="11" t="s">
        <v>113</v>
      </c>
      <c r="J2136" s="11"/>
      <c r="K2136" s="11" t="s">
        <v>91</v>
      </c>
      <c r="L2136" s="11"/>
      <c r="M2136" s="11"/>
      <c r="N2136" s="11"/>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4"/>
    </row>
    <row r="2137" spans="1:35" ht="12.5" hidden="1" x14ac:dyDescent="0.25">
      <c r="A2137" s="9">
        <v>736</v>
      </c>
      <c r="B2137" s="10" t="s">
        <v>60</v>
      </c>
      <c r="C2137" s="10" t="s">
        <v>15</v>
      </c>
      <c r="D2137" s="10" t="s">
        <v>45</v>
      </c>
      <c r="E2137" s="11" t="s">
        <v>91</v>
      </c>
      <c r="F2137" s="11" t="s">
        <v>17</v>
      </c>
      <c r="G2137" s="10" t="s">
        <v>24</v>
      </c>
      <c r="H2137" s="11" t="s">
        <v>19</v>
      </c>
      <c r="I2137" s="11" t="s">
        <v>113</v>
      </c>
      <c r="J2137" s="11"/>
      <c r="K2137" s="11" t="s">
        <v>91</v>
      </c>
      <c r="L2137" s="11"/>
      <c r="M2137" s="11"/>
      <c r="N2137" s="11"/>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4"/>
    </row>
    <row r="2138" spans="1:35" ht="12.5" hidden="1" x14ac:dyDescent="0.25">
      <c r="A2138" s="9">
        <v>737</v>
      </c>
      <c r="B2138" s="10" t="s">
        <v>60</v>
      </c>
      <c r="C2138" s="10" t="s">
        <v>15</v>
      </c>
      <c r="D2138" s="10" t="s">
        <v>45</v>
      </c>
      <c r="E2138" s="11" t="s">
        <v>91</v>
      </c>
      <c r="F2138" s="11" t="s">
        <v>17</v>
      </c>
      <c r="G2138" s="10" t="s">
        <v>18</v>
      </c>
      <c r="H2138" s="11" t="s">
        <v>19</v>
      </c>
      <c r="I2138" s="11" t="s">
        <v>113</v>
      </c>
      <c r="J2138" s="11"/>
      <c r="K2138" s="11" t="s">
        <v>91</v>
      </c>
      <c r="L2138" s="11"/>
      <c r="M2138" s="11"/>
      <c r="N2138" s="11"/>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4"/>
    </row>
    <row r="2139" spans="1:35" ht="12.5" hidden="1" x14ac:dyDescent="0.25">
      <c r="A2139" s="9">
        <v>738</v>
      </c>
      <c r="B2139" s="10" t="s">
        <v>60</v>
      </c>
      <c r="C2139" s="10" t="s">
        <v>15</v>
      </c>
      <c r="D2139" s="10" t="s">
        <v>45</v>
      </c>
      <c r="E2139" s="11" t="s">
        <v>91</v>
      </c>
      <c r="F2139" s="11" t="s">
        <v>17</v>
      </c>
      <c r="G2139" s="10" t="s">
        <v>18</v>
      </c>
      <c r="H2139" s="11" t="s">
        <v>19</v>
      </c>
      <c r="I2139" s="11" t="s">
        <v>113</v>
      </c>
      <c r="J2139" s="11"/>
      <c r="K2139" s="11" t="s">
        <v>91</v>
      </c>
      <c r="L2139" s="11"/>
      <c r="M2139" s="11"/>
      <c r="N2139" s="11"/>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4"/>
    </row>
    <row r="2140" spans="1:35" ht="12.5" hidden="1" x14ac:dyDescent="0.25">
      <c r="A2140" s="9">
        <v>739</v>
      </c>
      <c r="B2140" s="10" t="s">
        <v>60</v>
      </c>
      <c r="C2140" s="10" t="s">
        <v>15</v>
      </c>
      <c r="D2140" s="10" t="s">
        <v>45</v>
      </c>
      <c r="E2140" s="11" t="s">
        <v>91</v>
      </c>
      <c r="F2140" s="11" t="s">
        <v>17</v>
      </c>
      <c r="G2140" s="10" t="s">
        <v>24</v>
      </c>
      <c r="H2140" s="11" t="s">
        <v>19</v>
      </c>
      <c r="I2140" s="11" t="s">
        <v>113</v>
      </c>
      <c r="J2140" s="11"/>
      <c r="K2140" s="11" t="s">
        <v>91</v>
      </c>
      <c r="L2140" s="11"/>
      <c r="M2140" s="11"/>
      <c r="N2140" s="11"/>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4"/>
    </row>
    <row r="2141" spans="1:35" ht="12.5" hidden="1" x14ac:dyDescent="0.25">
      <c r="A2141" s="9">
        <v>740</v>
      </c>
      <c r="B2141" s="10" t="s">
        <v>60</v>
      </c>
      <c r="C2141" s="10" t="s">
        <v>15</v>
      </c>
      <c r="D2141" s="10" t="s">
        <v>45</v>
      </c>
      <c r="E2141" s="11" t="s">
        <v>91</v>
      </c>
      <c r="F2141" s="11" t="s">
        <v>17</v>
      </c>
      <c r="G2141" s="10" t="s">
        <v>18</v>
      </c>
      <c r="H2141" s="11" t="s">
        <v>19</v>
      </c>
      <c r="I2141" s="11" t="s">
        <v>113</v>
      </c>
      <c r="J2141" s="11"/>
      <c r="K2141" s="11" t="s">
        <v>91</v>
      </c>
      <c r="L2141" s="11"/>
      <c r="M2141" s="11"/>
      <c r="N2141" s="11"/>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4"/>
    </row>
    <row r="2142" spans="1:35" ht="12.5" hidden="1" x14ac:dyDescent="0.25">
      <c r="A2142" s="9">
        <v>741</v>
      </c>
      <c r="B2142" s="10" t="s">
        <v>60</v>
      </c>
      <c r="C2142" s="10" t="s">
        <v>15</v>
      </c>
      <c r="D2142" s="10" t="s">
        <v>45</v>
      </c>
      <c r="E2142" s="11" t="s">
        <v>91</v>
      </c>
      <c r="F2142" s="11" t="s">
        <v>17</v>
      </c>
      <c r="G2142" s="10" t="s">
        <v>24</v>
      </c>
      <c r="H2142" s="11" t="s">
        <v>19</v>
      </c>
      <c r="I2142" s="11" t="s">
        <v>113</v>
      </c>
      <c r="J2142" s="11"/>
      <c r="K2142" s="11" t="s">
        <v>91</v>
      </c>
      <c r="L2142" s="11"/>
      <c r="M2142" s="11"/>
      <c r="N2142" s="11"/>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4"/>
    </row>
    <row r="2143" spans="1:35" ht="12.5" hidden="1" x14ac:dyDescent="0.25">
      <c r="A2143" s="9">
        <v>742</v>
      </c>
      <c r="B2143" s="10" t="s">
        <v>60</v>
      </c>
      <c r="C2143" s="10" t="s">
        <v>15</v>
      </c>
      <c r="D2143" s="10" t="s">
        <v>45</v>
      </c>
      <c r="E2143" s="11" t="s">
        <v>91</v>
      </c>
      <c r="F2143" s="11" t="s">
        <v>17</v>
      </c>
      <c r="G2143" s="10" t="s">
        <v>18</v>
      </c>
      <c r="H2143" s="11" t="s">
        <v>19</v>
      </c>
      <c r="I2143" s="11" t="s">
        <v>113</v>
      </c>
      <c r="J2143" s="11"/>
      <c r="K2143" s="11" t="s">
        <v>91</v>
      </c>
      <c r="L2143" s="11"/>
      <c r="M2143" s="11"/>
      <c r="N2143" s="11"/>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4"/>
    </row>
    <row r="2144" spans="1:35" ht="12.5" hidden="1" x14ac:dyDescent="0.25">
      <c r="A2144" s="9">
        <v>743</v>
      </c>
      <c r="B2144" s="10" t="s">
        <v>60</v>
      </c>
      <c r="C2144" s="10" t="s">
        <v>15</v>
      </c>
      <c r="D2144" s="10" t="s">
        <v>45</v>
      </c>
      <c r="E2144" s="11" t="s">
        <v>91</v>
      </c>
      <c r="F2144" s="11" t="s">
        <v>17</v>
      </c>
      <c r="G2144" s="10" t="s">
        <v>18</v>
      </c>
      <c r="H2144" s="11" t="s">
        <v>19</v>
      </c>
      <c r="I2144" s="11" t="s">
        <v>113</v>
      </c>
      <c r="J2144" s="11"/>
      <c r="K2144" s="11" t="s">
        <v>91</v>
      </c>
      <c r="L2144" s="11"/>
      <c r="M2144" s="11"/>
      <c r="N2144" s="11"/>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4"/>
    </row>
    <row r="2145" spans="1:35" ht="12.5" hidden="1" x14ac:dyDescent="0.25">
      <c r="A2145" s="9">
        <v>744</v>
      </c>
      <c r="B2145" s="10" t="s">
        <v>60</v>
      </c>
      <c r="C2145" s="10" t="s">
        <v>15</v>
      </c>
      <c r="D2145" s="10" t="s">
        <v>45</v>
      </c>
      <c r="E2145" s="11" t="s">
        <v>91</v>
      </c>
      <c r="F2145" s="11" t="s">
        <v>17</v>
      </c>
      <c r="G2145" s="10" t="s">
        <v>24</v>
      </c>
      <c r="H2145" s="11" t="s">
        <v>19</v>
      </c>
      <c r="I2145" s="11" t="s">
        <v>113</v>
      </c>
      <c r="J2145" s="11"/>
      <c r="K2145" s="11" t="s">
        <v>91</v>
      </c>
      <c r="L2145" s="11"/>
      <c r="M2145" s="11"/>
      <c r="N2145" s="11"/>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4"/>
    </row>
    <row r="2146" spans="1:35" ht="12.5" hidden="1" x14ac:dyDescent="0.25">
      <c r="A2146" s="9">
        <v>745</v>
      </c>
      <c r="B2146" s="10" t="s">
        <v>60</v>
      </c>
      <c r="C2146" s="10" t="s">
        <v>15</v>
      </c>
      <c r="D2146" s="10" t="s">
        <v>45</v>
      </c>
      <c r="E2146" s="11" t="s">
        <v>91</v>
      </c>
      <c r="F2146" s="11" t="s">
        <v>17</v>
      </c>
      <c r="G2146" s="10" t="s">
        <v>24</v>
      </c>
      <c r="H2146" s="11" t="s">
        <v>19</v>
      </c>
      <c r="I2146" s="11" t="s">
        <v>113</v>
      </c>
      <c r="J2146" s="11"/>
      <c r="K2146" s="11" t="s">
        <v>91</v>
      </c>
      <c r="L2146" s="11"/>
      <c r="M2146" s="11"/>
      <c r="N2146" s="11"/>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4"/>
    </row>
    <row r="2147" spans="1:35" ht="12.5" hidden="1" x14ac:dyDescent="0.25">
      <c r="A2147" s="9">
        <v>746</v>
      </c>
      <c r="B2147" s="10" t="s">
        <v>60</v>
      </c>
      <c r="C2147" s="10" t="s">
        <v>15</v>
      </c>
      <c r="D2147" s="10" t="s">
        <v>45</v>
      </c>
      <c r="E2147" s="11" t="s">
        <v>91</v>
      </c>
      <c r="F2147" s="11" t="s">
        <v>17</v>
      </c>
      <c r="G2147" s="10" t="s">
        <v>24</v>
      </c>
      <c r="H2147" s="11" t="s">
        <v>19</v>
      </c>
      <c r="I2147" s="11" t="s">
        <v>113</v>
      </c>
      <c r="J2147" s="11"/>
      <c r="K2147" s="11" t="s">
        <v>91</v>
      </c>
      <c r="L2147" s="11"/>
      <c r="M2147" s="11"/>
      <c r="N2147" s="11"/>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4"/>
    </row>
    <row r="2148" spans="1:35" ht="12.5" hidden="1" x14ac:dyDescent="0.25">
      <c r="A2148" s="9">
        <v>747</v>
      </c>
      <c r="B2148" s="10" t="s">
        <v>60</v>
      </c>
      <c r="C2148" s="10" t="s">
        <v>15</v>
      </c>
      <c r="D2148" s="10" t="s">
        <v>45</v>
      </c>
      <c r="E2148" s="11" t="s">
        <v>91</v>
      </c>
      <c r="F2148" s="11" t="s">
        <v>17</v>
      </c>
      <c r="G2148" s="10" t="s">
        <v>18</v>
      </c>
      <c r="H2148" s="11" t="s">
        <v>19</v>
      </c>
      <c r="I2148" s="11" t="s">
        <v>113</v>
      </c>
      <c r="J2148" s="11"/>
      <c r="K2148" s="11" t="s">
        <v>91</v>
      </c>
      <c r="L2148" s="11"/>
      <c r="M2148" s="11"/>
      <c r="N2148" s="11"/>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4"/>
    </row>
    <row r="2149" spans="1:35" ht="12.5" hidden="1" x14ac:dyDescent="0.25">
      <c r="A2149" s="9">
        <v>748</v>
      </c>
      <c r="B2149" s="10" t="s">
        <v>60</v>
      </c>
      <c r="C2149" s="10" t="s">
        <v>15</v>
      </c>
      <c r="D2149" s="10" t="s">
        <v>45</v>
      </c>
      <c r="E2149" s="11" t="s">
        <v>91</v>
      </c>
      <c r="F2149" s="11" t="s">
        <v>17</v>
      </c>
      <c r="G2149" s="10" t="s">
        <v>18</v>
      </c>
      <c r="H2149" s="11" t="s">
        <v>19</v>
      </c>
      <c r="I2149" s="11" t="s">
        <v>113</v>
      </c>
      <c r="J2149" s="11"/>
      <c r="K2149" s="11" t="s">
        <v>91</v>
      </c>
      <c r="L2149" s="11"/>
      <c r="M2149" s="11"/>
      <c r="N2149" s="11"/>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4"/>
    </row>
    <row r="2150" spans="1:35" ht="12.5" hidden="1" x14ac:dyDescent="0.25">
      <c r="A2150" s="9">
        <v>749</v>
      </c>
      <c r="B2150" s="10" t="s">
        <v>60</v>
      </c>
      <c r="C2150" s="10" t="s">
        <v>15</v>
      </c>
      <c r="D2150" s="10" t="s">
        <v>45</v>
      </c>
      <c r="E2150" s="11" t="s">
        <v>91</v>
      </c>
      <c r="F2150" s="11" t="s">
        <v>17</v>
      </c>
      <c r="G2150" s="10" t="s">
        <v>18</v>
      </c>
      <c r="H2150" s="11" t="s">
        <v>19</v>
      </c>
      <c r="I2150" s="11" t="s">
        <v>113</v>
      </c>
      <c r="J2150" s="11"/>
      <c r="K2150" s="11" t="s">
        <v>91</v>
      </c>
      <c r="L2150" s="11"/>
      <c r="M2150" s="11"/>
      <c r="N2150" s="11"/>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4"/>
    </row>
    <row r="2151" spans="1:35" ht="12.5" hidden="1" x14ac:dyDescent="0.25">
      <c r="A2151" s="9">
        <v>750</v>
      </c>
      <c r="B2151" s="10" t="s">
        <v>60</v>
      </c>
      <c r="C2151" s="10" t="s">
        <v>15</v>
      </c>
      <c r="D2151" s="10" t="s">
        <v>45</v>
      </c>
      <c r="E2151" s="11" t="s">
        <v>91</v>
      </c>
      <c r="F2151" s="11" t="s">
        <v>17</v>
      </c>
      <c r="G2151" s="10" t="s">
        <v>24</v>
      </c>
      <c r="H2151" s="11" t="s">
        <v>23</v>
      </c>
      <c r="I2151" s="11" t="s">
        <v>113</v>
      </c>
      <c r="J2151" s="11"/>
      <c r="K2151" s="11" t="s">
        <v>91</v>
      </c>
      <c r="L2151" s="11"/>
      <c r="M2151" s="11"/>
      <c r="N2151" s="11"/>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4"/>
    </row>
    <row r="2152" spans="1:35" ht="12.5" hidden="1" x14ac:dyDescent="0.25">
      <c r="A2152" s="9">
        <v>751</v>
      </c>
      <c r="B2152" s="10" t="s">
        <v>60</v>
      </c>
      <c r="C2152" s="10" t="s">
        <v>15</v>
      </c>
      <c r="D2152" s="10" t="s">
        <v>45</v>
      </c>
      <c r="E2152" s="11" t="s">
        <v>91</v>
      </c>
      <c r="F2152" s="11" t="s">
        <v>17</v>
      </c>
      <c r="G2152" s="10" t="s">
        <v>18</v>
      </c>
      <c r="H2152" s="11" t="s">
        <v>19</v>
      </c>
      <c r="I2152" s="11" t="s">
        <v>113</v>
      </c>
      <c r="J2152" s="11"/>
      <c r="K2152" s="11" t="s">
        <v>91</v>
      </c>
      <c r="L2152" s="11"/>
      <c r="M2152" s="11"/>
      <c r="N2152" s="11"/>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4"/>
    </row>
    <row r="2153" spans="1:35" ht="12.5" hidden="1" x14ac:dyDescent="0.25">
      <c r="A2153" s="9">
        <v>752</v>
      </c>
      <c r="B2153" s="10" t="s">
        <v>60</v>
      </c>
      <c r="C2153" s="10" t="s">
        <v>15</v>
      </c>
      <c r="D2153" s="10" t="s">
        <v>16</v>
      </c>
      <c r="E2153" s="11" t="s">
        <v>91</v>
      </c>
      <c r="F2153" s="11" t="s">
        <v>17</v>
      </c>
      <c r="G2153" s="10" t="s">
        <v>24</v>
      </c>
      <c r="H2153" s="11" t="s">
        <v>19</v>
      </c>
      <c r="I2153" s="11" t="s">
        <v>113</v>
      </c>
      <c r="J2153" s="11"/>
      <c r="K2153" s="11" t="s">
        <v>91</v>
      </c>
      <c r="L2153" s="11"/>
      <c r="M2153" s="11"/>
      <c r="N2153" s="11"/>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4"/>
    </row>
    <row r="2154" spans="1:35" ht="12.5" hidden="1" x14ac:dyDescent="0.25">
      <c r="A2154" s="9">
        <v>753</v>
      </c>
      <c r="B2154" s="10" t="s">
        <v>60</v>
      </c>
      <c r="C2154" s="10" t="s">
        <v>15</v>
      </c>
      <c r="D2154" s="10" t="s">
        <v>16</v>
      </c>
      <c r="E2154" s="11" t="s">
        <v>91</v>
      </c>
      <c r="F2154" s="11" t="s">
        <v>17</v>
      </c>
      <c r="G2154" s="10" t="s">
        <v>24</v>
      </c>
      <c r="H2154" s="11" t="s">
        <v>19</v>
      </c>
      <c r="I2154" s="11" t="s">
        <v>113</v>
      </c>
      <c r="J2154" s="11"/>
      <c r="K2154" s="11" t="s">
        <v>91</v>
      </c>
      <c r="L2154" s="11"/>
      <c r="M2154" s="11"/>
      <c r="N2154" s="11"/>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4"/>
    </row>
    <row r="2155" spans="1:35" ht="12.5" hidden="1" x14ac:dyDescent="0.25">
      <c r="A2155" s="9">
        <v>754</v>
      </c>
      <c r="B2155" s="10" t="s">
        <v>60</v>
      </c>
      <c r="C2155" s="10" t="s">
        <v>15</v>
      </c>
      <c r="D2155" s="10" t="s">
        <v>16</v>
      </c>
      <c r="E2155" s="11" t="s">
        <v>91</v>
      </c>
      <c r="F2155" s="11" t="s">
        <v>17</v>
      </c>
      <c r="G2155" s="10" t="s">
        <v>24</v>
      </c>
      <c r="H2155" s="11" t="s">
        <v>19</v>
      </c>
      <c r="I2155" s="11" t="s">
        <v>113</v>
      </c>
      <c r="J2155" s="11"/>
      <c r="K2155" s="11" t="s">
        <v>91</v>
      </c>
      <c r="L2155" s="11"/>
      <c r="M2155" s="11"/>
      <c r="N2155" s="11"/>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4"/>
    </row>
    <row r="2156" spans="1:35" ht="12.5" hidden="1" x14ac:dyDescent="0.25">
      <c r="A2156" s="9">
        <v>755</v>
      </c>
      <c r="B2156" s="10" t="s">
        <v>60</v>
      </c>
      <c r="C2156" s="10" t="s">
        <v>15</v>
      </c>
      <c r="D2156" s="10" t="s">
        <v>16</v>
      </c>
      <c r="E2156" s="11" t="s">
        <v>91</v>
      </c>
      <c r="F2156" s="11" t="s">
        <v>17</v>
      </c>
      <c r="G2156" s="10" t="s">
        <v>18</v>
      </c>
      <c r="H2156" s="11" t="s">
        <v>19</v>
      </c>
      <c r="I2156" s="11" t="s">
        <v>113</v>
      </c>
      <c r="J2156" s="11"/>
      <c r="K2156" s="11" t="s">
        <v>91</v>
      </c>
      <c r="L2156" s="11"/>
      <c r="M2156" s="11"/>
      <c r="N2156" s="11"/>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4"/>
    </row>
    <row r="2157" spans="1:35" ht="12.5" hidden="1" x14ac:dyDescent="0.25">
      <c r="A2157" s="9">
        <v>756</v>
      </c>
      <c r="B2157" s="10" t="s">
        <v>60</v>
      </c>
      <c r="C2157" s="10" t="s">
        <v>15</v>
      </c>
      <c r="D2157" s="10" t="s">
        <v>16</v>
      </c>
      <c r="E2157" s="11" t="s">
        <v>91</v>
      </c>
      <c r="F2157" s="11" t="s">
        <v>17</v>
      </c>
      <c r="G2157" s="10" t="s">
        <v>18</v>
      </c>
      <c r="H2157" s="11" t="s">
        <v>19</v>
      </c>
      <c r="I2157" s="11" t="s">
        <v>113</v>
      </c>
      <c r="J2157" s="11"/>
      <c r="K2157" s="11" t="s">
        <v>91</v>
      </c>
      <c r="L2157" s="11"/>
      <c r="M2157" s="11"/>
      <c r="N2157" s="11"/>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4"/>
    </row>
    <row r="2158" spans="1:35" ht="12.5" hidden="1" x14ac:dyDescent="0.25">
      <c r="A2158" s="9">
        <v>757</v>
      </c>
      <c r="B2158" s="10" t="s">
        <v>60</v>
      </c>
      <c r="C2158" s="10" t="s">
        <v>15</v>
      </c>
      <c r="D2158" s="10" t="s">
        <v>16</v>
      </c>
      <c r="E2158" s="11" t="s">
        <v>91</v>
      </c>
      <c r="F2158" s="11" t="s">
        <v>17</v>
      </c>
      <c r="G2158" s="10" t="s">
        <v>24</v>
      </c>
      <c r="H2158" s="11" t="s">
        <v>19</v>
      </c>
      <c r="I2158" s="11" t="s">
        <v>113</v>
      </c>
      <c r="J2158" s="11"/>
      <c r="K2158" s="11" t="s">
        <v>91</v>
      </c>
      <c r="L2158" s="11"/>
      <c r="M2158" s="11"/>
      <c r="N2158" s="11"/>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4"/>
    </row>
    <row r="2159" spans="1:35" ht="12.5" hidden="1" x14ac:dyDescent="0.25">
      <c r="A2159" s="9">
        <v>758</v>
      </c>
      <c r="B2159" s="10" t="s">
        <v>60</v>
      </c>
      <c r="C2159" s="10" t="s">
        <v>15</v>
      </c>
      <c r="D2159" s="10" t="s">
        <v>16</v>
      </c>
      <c r="E2159" s="11" t="s">
        <v>91</v>
      </c>
      <c r="F2159" s="11" t="s">
        <v>17</v>
      </c>
      <c r="G2159" s="10" t="s">
        <v>18</v>
      </c>
      <c r="H2159" s="11" t="s">
        <v>23</v>
      </c>
      <c r="I2159" s="11" t="s">
        <v>113</v>
      </c>
      <c r="J2159" s="11"/>
      <c r="K2159" s="11" t="s">
        <v>91</v>
      </c>
      <c r="L2159" s="11"/>
      <c r="M2159" s="11"/>
      <c r="N2159" s="11"/>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4"/>
    </row>
    <row r="2160" spans="1:35" ht="12.5" hidden="1" x14ac:dyDescent="0.25">
      <c r="A2160" s="9">
        <v>759</v>
      </c>
      <c r="B2160" s="10" t="s">
        <v>60</v>
      </c>
      <c r="C2160" s="10" t="s">
        <v>15</v>
      </c>
      <c r="D2160" s="10" t="s">
        <v>16</v>
      </c>
      <c r="E2160" s="11" t="s">
        <v>91</v>
      </c>
      <c r="F2160" s="11" t="s">
        <v>17</v>
      </c>
      <c r="G2160" s="10" t="s">
        <v>18</v>
      </c>
      <c r="H2160" s="11" t="s">
        <v>19</v>
      </c>
      <c r="I2160" s="11" t="s">
        <v>113</v>
      </c>
      <c r="J2160" s="11"/>
      <c r="K2160" s="11" t="s">
        <v>91</v>
      </c>
      <c r="L2160" s="11"/>
      <c r="M2160" s="11"/>
      <c r="N2160" s="11"/>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4"/>
    </row>
    <row r="2161" spans="1:35" ht="12.5" hidden="1" x14ac:dyDescent="0.25">
      <c r="A2161" s="9">
        <v>760</v>
      </c>
      <c r="B2161" s="10" t="s">
        <v>60</v>
      </c>
      <c r="C2161" s="10" t="s">
        <v>15</v>
      </c>
      <c r="D2161" s="10" t="s">
        <v>16</v>
      </c>
      <c r="E2161" s="11" t="s">
        <v>91</v>
      </c>
      <c r="F2161" s="11" t="s">
        <v>17</v>
      </c>
      <c r="G2161" s="10" t="s">
        <v>18</v>
      </c>
      <c r="H2161" s="11" t="s">
        <v>19</v>
      </c>
      <c r="I2161" s="11" t="s">
        <v>113</v>
      </c>
      <c r="J2161" s="11"/>
      <c r="K2161" s="11" t="s">
        <v>91</v>
      </c>
      <c r="L2161" s="11"/>
      <c r="M2161" s="11"/>
      <c r="N2161" s="11"/>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4"/>
    </row>
    <row r="2162" spans="1:35" ht="12.5" hidden="1" x14ac:dyDescent="0.25">
      <c r="A2162" s="9">
        <v>761</v>
      </c>
      <c r="B2162" s="10" t="s">
        <v>60</v>
      </c>
      <c r="C2162" s="10" t="s">
        <v>15</v>
      </c>
      <c r="D2162" s="10" t="s">
        <v>16</v>
      </c>
      <c r="E2162" s="11" t="s">
        <v>91</v>
      </c>
      <c r="F2162" s="11" t="s">
        <v>17</v>
      </c>
      <c r="G2162" s="10" t="s">
        <v>24</v>
      </c>
      <c r="H2162" s="11" t="s">
        <v>19</v>
      </c>
      <c r="I2162" s="11" t="s">
        <v>113</v>
      </c>
      <c r="J2162" s="11"/>
      <c r="K2162" s="11" t="s">
        <v>91</v>
      </c>
      <c r="L2162" s="11"/>
      <c r="M2162" s="11"/>
      <c r="N2162" s="11"/>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4"/>
    </row>
    <row r="2163" spans="1:35" ht="12.5" hidden="1" x14ac:dyDescent="0.25">
      <c r="A2163" s="9">
        <v>762</v>
      </c>
      <c r="B2163" s="10" t="s">
        <v>60</v>
      </c>
      <c r="C2163" s="10" t="s">
        <v>15</v>
      </c>
      <c r="D2163" s="10" t="s">
        <v>16</v>
      </c>
      <c r="E2163" s="11" t="s">
        <v>91</v>
      </c>
      <c r="F2163" s="11" t="s">
        <v>17</v>
      </c>
      <c r="G2163" s="10" t="s">
        <v>24</v>
      </c>
      <c r="H2163" s="11" t="s">
        <v>19</v>
      </c>
      <c r="I2163" s="11" t="s">
        <v>113</v>
      </c>
      <c r="J2163" s="11"/>
      <c r="K2163" s="11" t="s">
        <v>91</v>
      </c>
      <c r="L2163" s="11"/>
      <c r="M2163" s="11"/>
      <c r="N2163" s="11"/>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4"/>
    </row>
    <row r="2164" spans="1:35" ht="12.5" hidden="1" x14ac:dyDescent="0.25">
      <c r="A2164" s="9">
        <v>763</v>
      </c>
      <c r="B2164" s="10" t="s">
        <v>60</v>
      </c>
      <c r="C2164" s="10" t="s">
        <v>15</v>
      </c>
      <c r="D2164" s="10" t="s">
        <v>16</v>
      </c>
      <c r="E2164" s="11" t="s">
        <v>91</v>
      </c>
      <c r="F2164" s="11" t="s">
        <v>17</v>
      </c>
      <c r="G2164" s="10" t="s">
        <v>18</v>
      </c>
      <c r="H2164" s="11" t="s">
        <v>19</v>
      </c>
      <c r="I2164" s="11" t="s">
        <v>113</v>
      </c>
      <c r="J2164" s="11"/>
      <c r="K2164" s="11" t="s">
        <v>91</v>
      </c>
      <c r="L2164" s="11"/>
      <c r="M2164" s="11"/>
      <c r="N2164" s="11"/>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4"/>
    </row>
    <row r="2165" spans="1:35" ht="12.5" hidden="1" x14ac:dyDescent="0.25">
      <c r="A2165" s="9">
        <v>764</v>
      </c>
      <c r="B2165" s="10" t="s">
        <v>60</v>
      </c>
      <c r="C2165" s="10" t="s">
        <v>15</v>
      </c>
      <c r="D2165" s="10" t="s">
        <v>16</v>
      </c>
      <c r="E2165" s="11" t="s">
        <v>91</v>
      </c>
      <c r="F2165" s="11" t="s">
        <v>17</v>
      </c>
      <c r="G2165" s="10" t="s">
        <v>24</v>
      </c>
      <c r="H2165" s="11" t="s">
        <v>19</v>
      </c>
      <c r="I2165" s="11" t="s">
        <v>113</v>
      </c>
      <c r="J2165" s="11"/>
      <c r="K2165" s="11" t="s">
        <v>91</v>
      </c>
      <c r="L2165" s="11"/>
      <c r="M2165" s="11"/>
      <c r="N2165" s="11"/>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4"/>
    </row>
    <row r="2166" spans="1:35" ht="12.5" hidden="1" x14ac:dyDescent="0.25">
      <c r="A2166" s="9">
        <v>765</v>
      </c>
      <c r="B2166" s="10" t="s">
        <v>60</v>
      </c>
      <c r="C2166" s="10" t="s">
        <v>15</v>
      </c>
      <c r="D2166" s="10" t="s">
        <v>37</v>
      </c>
      <c r="E2166" s="11" t="s">
        <v>91</v>
      </c>
      <c r="F2166" s="11" t="s">
        <v>17</v>
      </c>
      <c r="G2166" s="10" t="s">
        <v>24</v>
      </c>
      <c r="H2166" s="11" t="s">
        <v>19</v>
      </c>
      <c r="I2166" s="11" t="s">
        <v>113</v>
      </c>
      <c r="J2166" s="11"/>
      <c r="K2166" s="11" t="s">
        <v>91</v>
      </c>
      <c r="L2166" s="11"/>
      <c r="M2166" s="11"/>
      <c r="N2166" s="11"/>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4"/>
    </row>
    <row r="2167" spans="1:35" ht="12.5" hidden="1" x14ac:dyDescent="0.25">
      <c r="A2167" s="9">
        <v>766</v>
      </c>
      <c r="B2167" s="10" t="s">
        <v>60</v>
      </c>
      <c r="C2167" s="10" t="s">
        <v>15</v>
      </c>
      <c r="D2167" s="10" t="s">
        <v>37</v>
      </c>
      <c r="E2167" s="11" t="s">
        <v>91</v>
      </c>
      <c r="F2167" s="11" t="s">
        <v>17</v>
      </c>
      <c r="G2167" s="10" t="s">
        <v>24</v>
      </c>
      <c r="H2167" s="11" t="s">
        <v>19</v>
      </c>
      <c r="I2167" s="11" t="s">
        <v>113</v>
      </c>
      <c r="J2167" s="11"/>
      <c r="K2167" s="11" t="s">
        <v>91</v>
      </c>
      <c r="L2167" s="11"/>
      <c r="M2167" s="11"/>
      <c r="N2167" s="11"/>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4"/>
    </row>
    <row r="2168" spans="1:35" ht="12.5" hidden="1" x14ac:dyDescent="0.25">
      <c r="A2168" s="9">
        <v>767</v>
      </c>
      <c r="B2168" s="10" t="s">
        <v>60</v>
      </c>
      <c r="C2168" s="10" t="s">
        <v>15</v>
      </c>
      <c r="D2168" s="10" t="s">
        <v>37</v>
      </c>
      <c r="E2168" s="11" t="s">
        <v>91</v>
      </c>
      <c r="F2168" s="11" t="s">
        <v>17</v>
      </c>
      <c r="G2168" s="10" t="s">
        <v>18</v>
      </c>
      <c r="H2168" s="11" t="s">
        <v>19</v>
      </c>
      <c r="I2168" s="11" t="s">
        <v>113</v>
      </c>
      <c r="J2168" s="11"/>
      <c r="K2168" s="11" t="s">
        <v>91</v>
      </c>
      <c r="L2168" s="11"/>
      <c r="M2168" s="11"/>
      <c r="N2168" s="11"/>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4"/>
    </row>
    <row r="2169" spans="1:35" ht="12.5" hidden="1" x14ac:dyDescent="0.25">
      <c r="A2169" s="9">
        <v>768</v>
      </c>
      <c r="B2169" s="10" t="s">
        <v>60</v>
      </c>
      <c r="C2169" s="10" t="s">
        <v>15</v>
      </c>
      <c r="D2169" s="10" t="s">
        <v>37</v>
      </c>
      <c r="E2169" s="11" t="s">
        <v>91</v>
      </c>
      <c r="F2169" s="11" t="s">
        <v>17</v>
      </c>
      <c r="G2169" s="10" t="s">
        <v>24</v>
      </c>
      <c r="H2169" s="11" t="s">
        <v>19</v>
      </c>
      <c r="I2169" s="11" t="s">
        <v>113</v>
      </c>
      <c r="J2169" s="11"/>
      <c r="K2169" s="11" t="s">
        <v>91</v>
      </c>
      <c r="L2169" s="11"/>
      <c r="M2169" s="11"/>
      <c r="N2169" s="11"/>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4"/>
    </row>
    <row r="2170" spans="1:35" ht="12.5" hidden="1" x14ac:dyDescent="0.25">
      <c r="A2170" s="9">
        <v>769</v>
      </c>
      <c r="B2170" s="10" t="s">
        <v>60</v>
      </c>
      <c r="C2170" s="10" t="s">
        <v>15</v>
      </c>
      <c r="D2170" s="10" t="s">
        <v>37</v>
      </c>
      <c r="E2170" s="11" t="s">
        <v>91</v>
      </c>
      <c r="F2170" s="11" t="s">
        <v>17</v>
      </c>
      <c r="G2170" s="10" t="s">
        <v>24</v>
      </c>
      <c r="H2170" s="11" t="s">
        <v>19</v>
      </c>
      <c r="I2170" s="11" t="s">
        <v>113</v>
      </c>
      <c r="J2170" s="11"/>
      <c r="K2170" s="11" t="s">
        <v>91</v>
      </c>
      <c r="L2170" s="11"/>
      <c r="M2170" s="11"/>
      <c r="N2170" s="11"/>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4"/>
    </row>
    <row r="2171" spans="1:35" ht="12.5" hidden="1" x14ac:dyDescent="0.25">
      <c r="A2171" s="9">
        <v>770</v>
      </c>
      <c r="B2171" s="10" t="s">
        <v>60</v>
      </c>
      <c r="C2171" s="10" t="s">
        <v>15</v>
      </c>
      <c r="D2171" s="10" t="s">
        <v>37</v>
      </c>
      <c r="E2171" s="11" t="s">
        <v>91</v>
      </c>
      <c r="F2171" s="11" t="s">
        <v>17</v>
      </c>
      <c r="G2171" s="10" t="s">
        <v>24</v>
      </c>
      <c r="H2171" s="11" t="s">
        <v>19</v>
      </c>
      <c r="I2171" s="11" t="s">
        <v>113</v>
      </c>
      <c r="J2171" s="11"/>
      <c r="K2171" s="11" t="s">
        <v>91</v>
      </c>
      <c r="L2171" s="11"/>
      <c r="M2171" s="11"/>
      <c r="N2171" s="11"/>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4"/>
    </row>
    <row r="2172" spans="1:35" ht="12.5" hidden="1" x14ac:dyDescent="0.25">
      <c r="A2172" s="9">
        <v>771</v>
      </c>
      <c r="B2172" s="10" t="s">
        <v>60</v>
      </c>
      <c r="C2172" s="10" t="s">
        <v>15</v>
      </c>
      <c r="D2172" s="10" t="s">
        <v>37</v>
      </c>
      <c r="E2172" s="11" t="s">
        <v>91</v>
      </c>
      <c r="F2172" s="11" t="s">
        <v>17</v>
      </c>
      <c r="G2172" s="10" t="s">
        <v>24</v>
      </c>
      <c r="H2172" s="11" t="s">
        <v>19</v>
      </c>
      <c r="I2172" s="11" t="s">
        <v>113</v>
      </c>
      <c r="J2172" s="11"/>
      <c r="K2172" s="11" t="s">
        <v>91</v>
      </c>
      <c r="L2172" s="11"/>
      <c r="M2172" s="11"/>
      <c r="N2172" s="11"/>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4"/>
    </row>
    <row r="2173" spans="1:35" ht="12.5" hidden="1" x14ac:dyDescent="0.25">
      <c r="A2173" s="9">
        <v>772</v>
      </c>
      <c r="B2173" s="10" t="s">
        <v>60</v>
      </c>
      <c r="C2173" s="10" t="s">
        <v>15</v>
      </c>
      <c r="D2173" s="10" t="s">
        <v>37</v>
      </c>
      <c r="E2173" s="11" t="s">
        <v>91</v>
      </c>
      <c r="F2173" s="11" t="s">
        <v>17</v>
      </c>
      <c r="G2173" s="10" t="s">
        <v>24</v>
      </c>
      <c r="H2173" s="11" t="s">
        <v>19</v>
      </c>
      <c r="I2173" s="11" t="s">
        <v>113</v>
      </c>
      <c r="J2173" s="11"/>
      <c r="K2173" s="11" t="s">
        <v>91</v>
      </c>
      <c r="L2173" s="11"/>
      <c r="M2173" s="11"/>
      <c r="N2173" s="11"/>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4"/>
    </row>
    <row r="2174" spans="1:35" ht="12.5" hidden="1" x14ac:dyDescent="0.25">
      <c r="A2174" s="9">
        <v>773</v>
      </c>
      <c r="B2174" s="10" t="s">
        <v>60</v>
      </c>
      <c r="C2174" s="10" t="s">
        <v>15</v>
      </c>
      <c r="D2174" s="10" t="s">
        <v>37</v>
      </c>
      <c r="E2174" s="11" t="s">
        <v>91</v>
      </c>
      <c r="F2174" s="11" t="s">
        <v>17</v>
      </c>
      <c r="G2174" s="10" t="s">
        <v>18</v>
      </c>
      <c r="H2174" s="11" t="s">
        <v>19</v>
      </c>
      <c r="I2174" s="11" t="s">
        <v>113</v>
      </c>
      <c r="J2174" s="11"/>
      <c r="K2174" s="11" t="s">
        <v>91</v>
      </c>
      <c r="L2174" s="11"/>
      <c r="M2174" s="11"/>
      <c r="N2174" s="11"/>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4"/>
    </row>
    <row r="2175" spans="1:35" ht="12.5" hidden="1" x14ac:dyDescent="0.25">
      <c r="A2175" s="9">
        <v>774</v>
      </c>
      <c r="B2175" s="10" t="s">
        <v>60</v>
      </c>
      <c r="C2175" s="10" t="s">
        <v>15</v>
      </c>
      <c r="D2175" s="10" t="s">
        <v>37</v>
      </c>
      <c r="E2175" s="11" t="s">
        <v>91</v>
      </c>
      <c r="F2175" s="11" t="s">
        <v>17</v>
      </c>
      <c r="G2175" s="10" t="s">
        <v>18</v>
      </c>
      <c r="H2175" s="11" t="s">
        <v>19</v>
      </c>
      <c r="I2175" s="11" t="s">
        <v>113</v>
      </c>
      <c r="J2175" s="11"/>
      <c r="K2175" s="11" t="s">
        <v>91</v>
      </c>
      <c r="L2175" s="11"/>
      <c r="M2175" s="11"/>
      <c r="N2175" s="11"/>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4"/>
    </row>
    <row r="2176" spans="1:35" ht="12.5" hidden="1" x14ac:dyDescent="0.25">
      <c r="A2176" s="9">
        <v>775</v>
      </c>
      <c r="B2176" s="10" t="s">
        <v>60</v>
      </c>
      <c r="C2176" s="10" t="s">
        <v>15</v>
      </c>
      <c r="D2176" s="10" t="s">
        <v>37</v>
      </c>
      <c r="E2176" s="11" t="s">
        <v>91</v>
      </c>
      <c r="F2176" s="11" t="s">
        <v>17</v>
      </c>
      <c r="G2176" s="10" t="s">
        <v>18</v>
      </c>
      <c r="H2176" s="11" t="s">
        <v>19</v>
      </c>
      <c r="I2176" s="11" t="s">
        <v>113</v>
      </c>
      <c r="J2176" s="11"/>
      <c r="K2176" s="11" t="s">
        <v>91</v>
      </c>
      <c r="L2176" s="11"/>
      <c r="M2176" s="11"/>
      <c r="N2176" s="11"/>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4"/>
    </row>
    <row r="2177" spans="1:35" ht="12.5" hidden="1" x14ac:dyDescent="0.25">
      <c r="A2177" s="9">
        <v>776</v>
      </c>
      <c r="B2177" s="10" t="s">
        <v>60</v>
      </c>
      <c r="C2177" s="10" t="s">
        <v>15</v>
      </c>
      <c r="D2177" s="10" t="s">
        <v>37</v>
      </c>
      <c r="E2177" s="11" t="s">
        <v>91</v>
      </c>
      <c r="F2177" s="11" t="s">
        <v>17</v>
      </c>
      <c r="G2177" s="10" t="s">
        <v>18</v>
      </c>
      <c r="H2177" s="11" t="s">
        <v>19</v>
      </c>
      <c r="I2177" s="11" t="s">
        <v>113</v>
      </c>
      <c r="J2177" s="11"/>
      <c r="K2177" s="11" t="s">
        <v>91</v>
      </c>
      <c r="L2177" s="11"/>
      <c r="M2177" s="11"/>
      <c r="N2177" s="11"/>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4"/>
    </row>
    <row r="2178" spans="1:35" ht="12.5" hidden="1" x14ac:dyDescent="0.25">
      <c r="A2178" s="9">
        <v>777</v>
      </c>
      <c r="B2178" s="10" t="s">
        <v>60</v>
      </c>
      <c r="C2178" s="10" t="s">
        <v>15</v>
      </c>
      <c r="D2178" s="10" t="s">
        <v>37</v>
      </c>
      <c r="E2178" s="11" t="s">
        <v>91</v>
      </c>
      <c r="F2178" s="11" t="s">
        <v>17</v>
      </c>
      <c r="G2178" s="10" t="s">
        <v>18</v>
      </c>
      <c r="H2178" s="11" t="s">
        <v>19</v>
      </c>
      <c r="I2178" s="11" t="s">
        <v>113</v>
      </c>
      <c r="J2178" s="11"/>
      <c r="K2178" s="11" t="s">
        <v>91</v>
      </c>
      <c r="L2178" s="11"/>
      <c r="M2178" s="11"/>
      <c r="N2178" s="11"/>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4"/>
    </row>
    <row r="2179" spans="1:35" ht="12.5" hidden="1" x14ac:dyDescent="0.25">
      <c r="A2179" s="9">
        <v>778</v>
      </c>
      <c r="B2179" s="10" t="s">
        <v>60</v>
      </c>
      <c r="C2179" s="10" t="s">
        <v>15</v>
      </c>
      <c r="D2179" s="10" t="s">
        <v>37</v>
      </c>
      <c r="E2179" s="11" t="s">
        <v>91</v>
      </c>
      <c r="F2179" s="11" t="s">
        <v>17</v>
      </c>
      <c r="G2179" s="10" t="s">
        <v>18</v>
      </c>
      <c r="H2179" s="11" t="s">
        <v>19</v>
      </c>
      <c r="I2179" s="11" t="s">
        <v>113</v>
      </c>
      <c r="J2179" s="11"/>
      <c r="K2179" s="11" t="s">
        <v>91</v>
      </c>
      <c r="L2179" s="11"/>
      <c r="M2179" s="11"/>
      <c r="N2179" s="11"/>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4"/>
    </row>
    <row r="2180" spans="1:35" ht="12.5" hidden="1" x14ac:dyDescent="0.25">
      <c r="A2180" s="9">
        <v>779</v>
      </c>
      <c r="B2180" s="10" t="s">
        <v>60</v>
      </c>
      <c r="C2180" s="10" t="s">
        <v>15</v>
      </c>
      <c r="D2180" s="10" t="s">
        <v>37</v>
      </c>
      <c r="E2180" s="11" t="s">
        <v>91</v>
      </c>
      <c r="F2180" s="11" t="s">
        <v>17</v>
      </c>
      <c r="G2180" s="10" t="s">
        <v>18</v>
      </c>
      <c r="H2180" s="11" t="s">
        <v>19</v>
      </c>
      <c r="I2180" s="11" t="s">
        <v>113</v>
      </c>
      <c r="J2180" s="11"/>
      <c r="K2180" s="11" t="s">
        <v>91</v>
      </c>
      <c r="L2180" s="11"/>
      <c r="M2180" s="11"/>
      <c r="N2180" s="11"/>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4"/>
    </row>
    <row r="2181" spans="1:35" ht="12.5" hidden="1" x14ac:dyDescent="0.25">
      <c r="A2181" s="9">
        <v>780</v>
      </c>
      <c r="B2181" s="10" t="s">
        <v>60</v>
      </c>
      <c r="C2181" s="10" t="s">
        <v>15</v>
      </c>
      <c r="D2181" s="10" t="s">
        <v>37</v>
      </c>
      <c r="E2181" s="11" t="s">
        <v>91</v>
      </c>
      <c r="F2181" s="11" t="s">
        <v>17</v>
      </c>
      <c r="G2181" s="10" t="s">
        <v>18</v>
      </c>
      <c r="H2181" s="11" t="s">
        <v>19</v>
      </c>
      <c r="I2181" s="11" t="s">
        <v>113</v>
      </c>
      <c r="J2181" s="11"/>
      <c r="K2181" s="11" t="s">
        <v>91</v>
      </c>
      <c r="L2181" s="11"/>
      <c r="M2181" s="11"/>
      <c r="N2181" s="11"/>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4"/>
    </row>
    <row r="2182" spans="1:35" ht="12.5" hidden="1" x14ac:dyDescent="0.25">
      <c r="A2182" s="9">
        <v>781</v>
      </c>
      <c r="B2182" s="10" t="s">
        <v>60</v>
      </c>
      <c r="C2182" s="10" t="s">
        <v>15</v>
      </c>
      <c r="D2182" s="10" t="s">
        <v>37</v>
      </c>
      <c r="E2182" s="11" t="s">
        <v>91</v>
      </c>
      <c r="F2182" s="11" t="s">
        <v>17</v>
      </c>
      <c r="G2182" s="10" t="s">
        <v>24</v>
      </c>
      <c r="H2182" s="11" t="s">
        <v>19</v>
      </c>
      <c r="I2182" s="11" t="s">
        <v>113</v>
      </c>
      <c r="J2182" s="11"/>
      <c r="K2182" s="11" t="s">
        <v>91</v>
      </c>
      <c r="L2182" s="11"/>
      <c r="M2182" s="11"/>
      <c r="N2182" s="11"/>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4"/>
    </row>
    <row r="2183" spans="1:35" ht="12.5" hidden="1" x14ac:dyDescent="0.25">
      <c r="A2183" s="9">
        <v>782</v>
      </c>
      <c r="B2183" s="10" t="s">
        <v>60</v>
      </c>
      <c r="C2183" s="10" t="s">
        <v>15</v>
      </c>
      <c r="D2183" s="10" t="s">
        <v>37</v>
      </c>
      <c r="E2183" s="11" t="s">
        <v>91</v>
      </c>
      <c r="F2183" s="11" t="s">
        <v>17</v>
      </c>
      <c r="G2183" s="10" t="s">
        <v>18</v>
      </c>
      <c r="H2183" s="11" t="s">
        <v>23</v>
      </c>
      <c r="I2183" s="11" t="s">
        <v>113</v>
      </c>
      <c r="J2183" s="11"/>
      <c r="K2183" s="11" t="s">
        <v>91</v>
      </c>
      <c r="L2183" s="11"/>
      <c r="M2183" s="11"/>
      <c r="N2183" s="11"/>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4"/>
    </row>
    <row r="2184" spans="1:35" ht="12.5" hidden="1" x14ac:dyDescent="0.25">
      <c r="A2184" s="9">
        <v>783</v>
      </c>
      <c r="B2184" s="10" t="s">
        <v>60</v>
      </c>
      <c r="C2184" s="10" t="s">
        <v>41</v>
      </c>
      <c r="D2184" s="10" t="s">
        <v>42</v>
      </c>
      <c r="E2184" s="11" t="s">
        <v>91</v>
      </c>
      <c r="F2184" s="11" t="s">
        <v>17</v>
      </c>
      <c r="G2184" s="10" t="s">
        <v>18</v>
      </c>
      <c r="H2184" s="11" t="s">
        <v>23</v>
      </c>
      <c r="I2184" s="11" t="s">
        <v>113</v>
      </c>
      <c r="J2184" s="11"/>
      <c r="K2184" s="11" t="s">
        <v>91</v>
      </c>
      <c r="L2184" s="11"/>
      <c r="M2184" s="11"/>
      <c r="N2184" s="11"/>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4"/>
    </row>
    <row r="2185" spans="1:35" ht="12.5" hidden="1" x14ac:dyDescent="0.25">
      <c r="A2185" s="9">
        <v>784</v>
      </c>
      <c r="B2185" s="10" t="s">
        <v>60</v>
      </c>
      <c r="C2185" s="10" t="s">
        <v>41</v>
      </c>
      <c r="D2185" s="10" t="s">
        <v>42</v>
      </c>
      <c r="E2185" s="11" t="s">
        <v>91</v>
      </c>
      <c r="F2185" s="11" t="s">
        <v>17</v>
      </c>
      <c r="G2185" s="10" t="s">
        <v>18</v>
      </c>
      <c r="H2185" s="11" t="s">
        <v>23</v>
      </c>
      <c r="I2185" s="11" t="s">
        <v>113</v>
      </c>
      <c r="J2185" s="11"/>
      <c r="K2185" s="11" t="s">
        <v>91</v>
      </c>
      <c r="L2185" s="11"/>
      <c r="M2185" s="11"/>
      <c r="N2185" s="11"/>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4"/>
    </row>
    <row r="2186" spans="1:35" ht="12.5" hidden="1" x14ac:dyDescent="0.25">
      <c r="A2186" s="9">
        <v>785</v>
      </c>
      <c r="B2186" s="10" t="s">
        <v>60</v>
      </c>
      <c r="C2186" s="10" t="s">
        <v>41</v>
      </c>
      <c r="D2186" s="10" t="s">
        <v>42</v>
      </c>
      <c r="E2186" s="11" t="s">
        <v>91</v>
      </c>
      <c r="F2186" s="11" t="s">
        <v>17</v>
      </c>
      <c r="G2186" s="10" t="s">
        <v>24</v>
      </c>
      <c r="H2186" s="11" t="s">
        <v>19</v>
      </c>
      <c r="I2186" s="11" t="s">
        <v>113</v>
      </c>
      <c r="J2186" s="11"/>
      <c r="K2186" s="11" t="s">
        <v>91</v>
      </c>
      <c r="L2186" s="11"/>
      <c r="M2186" s="11"/>
      <c r="N2186" s="11"/>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4"/>
    </row>
    <row r="2187" spans="1:35" ht="12.5" hidden="1" x14ac:dyDescent="0.25">
      <c r="A2187" s="9">
        <v>786</v>
      </c>
      <c r="B2187" s="10" t="s">
        <v>60</v>
      </c>
      <c r="C2187" s="10" t="s">
        <v>41</v>
      </c>
      <c r="D2187" s="10" t="s">
        <v>42</v>
      </c>
      <c r="E2187" s="11" t="s">
        <v>91</v>
      </c>
      <c r="F2187" s="11" t="s">
        <v>17</v>
      </c>
      <c r="G2187" s="10" t="s">
        <v>24</v>
      </c>
      <c r="H2187" s="11" t="s">
        <v>19</v>
      </c>
      <c r="I2187" s="11" t="s">
        <v>113</v>
      </c>
      <c r="J2187" s="11"/>
      <c r="K2187" s="11" t="s">
        <v>91</v>
      </c>
      <c r="L2187" s="11"/>
      <c r="M2187" s="11"/>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4"/>
    </row>
    <row r="2188" spans="1:35" ht="12.5" hidden="1" x14ac:dyDescent="0.25">
      <c r="A2188" s="9">
        <v>787</v>
      </c>
      <c r="B2188" s="10" t="s">
        <v>60</v>
      </c>
      <c r="C2188" s="10" t="s">
        <v>41</v>
      </c>
      <c r="D2188" s="10" t="s">
        <v>42</v>
      </c>
      <c r="E2188" s="11" t="s">
        <v>91</v>
      </c>
      <c r="F2188" s="11" t="s">
        <v>17</v>
      </c>
      <c r="G2188" s="10" t="s">
        <v>24</v>
      </c>
      <c r="H2188" s="11" t="s">
        <v>23</v>
      </c>
      <c r="I2188" s="11" t="s">
        <v>113</v>
      </c>
      <c r="J2188" s="11"/>
      <c r="K2188" s="11" t="s">
        <v>91</v>
      </c>
      <c r="L2188" s="11"/>
      <c r="M2188" s="11"/>
      <c r="N2188" s="11"/>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4"/>
    </row>
    <row r="2189" spans="1:35" ht="12.5" hidden="1" x14ac:dyDescent="0.25">
      <c r="A2189" s="9">
        <v>788</v>
      </c>
      <c r="B2189" s="10" t="s">
        <v>60</v>
      </c>
      <c r="C2189" s="10" t="s">
        <v>41</v>
      </c>
      <c r="D2189" s="10" t="s">
        <v>42</v>
      </c>
      <c r="E2189" s="11" t="s">
        <v>91</v>
      </c>
      <c r="F2189" s="11" t="s">
        <v>17</v>
      </c>
      <c r="G2189" s="10" t="s">
        <v>24</v>
      </c>
      <c r="H2189" s="11" t="s">
        <v>23</v>
      </c>
      <c r="I2189" s="11" t="s">
        <v>113</v>
      </c>
      <c r="J2189" s="11"/>
      <c r="K2189" s="11" t="s">
        <v>91</v>
      </c>
      <c r="L2189" s="11"/>
      <c r="M2189" s="11"/>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4"/>
    </row>
    <row r="2190" spans="1:35" ht="12.5" hidden="1" x14ac:dyDescent="0.25">
      <c r="A2190" s="9">
        <v>789</v>
      </c>
      <c r="B2190" s="10" t="s">
        <v>60</v>
      </c>
      <c r="C2190" s="10" t="s">
        <v>41</v>
      </c>
      <c r="D2190" s="10" t="s">
        <v>42</v>
      </c>
      <c r="E2190" s="11" t="s">
        <v>91</v>
      </c>
      <c r="F2190" s="11" t="s">
        <v>17</v>
      </c>
      <c r="G2190" s="10" t="s">
        <v>24</v>
      </c>
      <c r="H2190" s="11" t="s">
        <v>19</v>
      </c>
      <c r="I2190" s="11" t="s">
        <v>113</v>
      </c>
      <c r="J2190" s="11"/>
      <c r="K2190" s="11" t="s">
        <v>91</v>
      </c>
      <c r="L2190" s="11"/>
      <c r="M2190" s="11"/>
      <c r="N2190" s="11"/>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4"/>
    </row>
    <row r="2191" spans="1:35" ht="12.5" hidden="1" x14ac:dyDescent="0.25">
      <c r="A2191" s="9">
        <v>790</v>
      </c>
      <c r="B2191" s="10" t="s">
        <v>60</v>
      </c>
      <c r="C2191" s="10" t="s">
        <v>41</v>
      </c>
      <c r="D2191" s="10" t="s">
        <v>42</v>
      </c>
      <c r="E2191" s="11" t="s">
        <v>91</v>
      </c>
      <c r="F2191" s="11" t="s">
        <v>17</v>
      </c>
      <c r="G2191" s="10" t="s">
        <v>18</v>
      </c>
      <c r="H2191" s="11" t="s">
        <v>19</v>
      </c>
      <c r="I2191" s="11" t="s">
        <v>113</v>
      </c>
      <c r="J2191" s="11"/>
      <c r="K2191" s="11" t="s">
        <v>91</v>
      </c>
      <c r="L2191" s="11"/>
      <c r="M2191" s="11"/>
      <c r="N2191" s="11"/>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4"/>
    </row>
    <row r="2192" spans="1:35" ht="12.5" hidden="1" x14ac:dyDescent="0.25">
      <c r="A2192" s="9">
        <v>791</v>
      </c>
      <c r="B2192" s="10" t="s">
        <v>60</v>
      </c>
      <c r="C2192" s="10" t="s">
        <v>41</v>
      </c>
      <c r="D2192" s="10" t="s">
        <v>42</v>
      </c>
      <c r="E2192" s="11" t="s">
        <v>91</v>
      </c>
      <c r="F2192" s="11" t="s">
        <v>17</v>
      </c>
      <c r="G2192" s="10" t="s">
        <v>24</v>
      </c>
      <c r="H2192" s="11" t="s">
        <v>19</v>
      </c>
      <c r="I2192" s="11" t="s">
        <v>113</v>
      </c>
      <c r="J2192" s="11"/>
      <c r="K2192" s="11" t="s">
        <v>91</v>
      </c>
      <c r="L2192" s="11"/>
      <c r="M2192" s="11"/>
      <c r="N2192" s="11"/>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4"/>
    </row>
    <row r="2193" spans="1:35" ht="12.5" hidden="1" x14ac:dyDescent="0.25">
      <c r="A2193" s="9">
        <v>792</v>
      </c>
      <c r="B2193" s="10" t="s">
        <v>60</v>
      </c>
      <c r="C2193" s="10" t="s">
        <v>41</v>
      </c>
      <c r="D2193" s="10" t="s">
        <v>42</v>
      </c>
      <c r="E2193" s="11" t="s">
        <v>91</v>
      </c>
      <c r="F2193" s="11" t="s">
        <v>17</v>
      </c>
      <c r="G2193" s="10" t="s">
        <v>18</v>
      </c>
      <c r="H2193" s="11" t="s">
        <v>19</v>
      </c>
      <c r="I2193" s="11" t="s">
        <v>113</v>
      </c>
      <c r="J2193" s="11"/>
      <c r="K2193" s="11" t="s">
        <v>91</v>
      </c>
      <c r="L2193" s="11"/>
      <c r="M2193" s="11"/>
      <c r="N2193" s="11"/>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4"/>
    </row>
    <row r="2194" spans="1:35" ht="12.5" hidden="1" x14ac:dyDescent="0.25">
      <c r="A2194" s="9">
        <v>793</v>
      </c>
      <c r="B2194" s="10" t="s">
        <v>60</v>
      </c>
      <c r="C2194" s="10" t="s">
        <v>41</v>
      </c>
      <c r="D2194" s="10" t="s">
        <v>42</v>
      </c>
      <c r="E2194" s="11" t="s">
        <v>91</v>
      </c>
      <c r="F2194" s="11" t="s">
        <v>17</v>
      </c>
      <c r="G2194" s="10" t="s">
        <v>18</v>
      </c>
      <c r="H2194" s="11" t="s">
        <v>19</v>
      </c>
      <c r="I2194" s="11" t="s">
        <v>113</v>
      </c>
      <c r="J2194" s="11"/>
      <c r="K2194" s="11" t="s">
        <v>91</v>
      </c>
      <c r="L2194" s="11"/>
      <c r="M2194" s="11"/>
      <c r="N2194" s="11"/>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4"/>
    </row>
    <row r="2195" spans="1:35" ht="12.5" hidden="1" x14ac:dyDescent="0.25">
      <c r="A2195" s="9">
        <v>794</v>
      </c>
      <c r="B2195" s="10" t="s">
        <v>60</v>
      </c>
      <c r="C2195" s="10" t="s">
        <v>41</v>
      </c>
      <c r="D2195" s="10" t="s">
        <v>42</v>
      </c>
      <c r="E2195" s="11" t="s">
        <v>91</v>
      </c>
      <c r="F2195" s="11" t="s">
        <v>17</v>
      </c>
      <c r="G2195" s="10" t="s">
        <v>24</v>
      </c>
      <c r="H2195" s="11" t="s">
        <v>19</v>
      </c>
      <c r="I2195" s="11" t="s">
        <v>113</v>
      </c>
      <c r="J2195" s="11"/>
      <c r="K2195" s="11" t="s">
        <v>91</v>
      </c>
      <c r="L2195" s="11"/>
      <c r="M2195" s="11"/>
      <c r="N2195" s="11"/>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4"/>
    </row>
    <row r="2196" spans="1:35" ht="12.5" hidden="1" x14ac:dyDescent="0.25">
      <c r="A2196" s="9">
        <v>795</v>
      </c>
      <c r="B2196" s="10" t="s">
        <v>60</v>
      </c>
      <c r="C2196" s="10" t="s">
        <v>41</v>
      </c>
      <c r="D2196" s="10" t="s">
        <v>42</v>
      </c>
      <c r="E2196" s="11" t="s">
        <v>91</v>
      </c>
      <c r="F2196" s="11" t="s">
        <v>17</v>
      </c>
      <c r="G2196" s="10" t="s">
        <v>18</v>
      </c>
      <c r="H2196" s="11" t="s">
        <v>19</v>
      </c>
      <c r="I2196" s="11" t="s">
        <v>113</v>
      </c>
      <c r="J2196" s="11"/>
      <c r="K2196" s="11" t="s">
        <v>91</v>
      </c>
      <c r="L2196" s="11"/>
      <c r="M2196" s="11"/>
      <c r="N2196" s="11"/>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4"/>
    </row>
    <row r="2197" spans="1:35" ht="12.5" hidden="1" x14ac:dyDescent="0.25">
      <c r="A2197" s="9">
        <v>796</v>
      </c>
      <c r="B2197" s="10" t="s">
        <v>60</v>
      </c>
      <c r="C2197" s="10" t="s">
        <v>41</v>
      </c>
      <c r="D2197" s="10" t="s">
        <v>42</v>
      </c>
      <c r="E2197" s="11" t="s">
        <v>91</v>
      </c>
      <c r="F2197" s="11" t="s">
        <v>17</v>
      </c>
      <c r="G2197" s="10" t="s">
        <v>18</v>
      </c>
      <c r="H2197" s="11" t="s">
        <v>19</v>
      </c>
      <c r="I2197" s="11" t="s">
        <v>113</v>
      </c>
      <c r="J2197" s="11"/>
      <c r="K2197" s="11" t="s">
        <v>91</v>
      </c>
      <c r="L2197" s="11"/>
      <c r="M2197" s="11"/>
      <c r="N2197" s="11"/>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4"/>
    </row>
    <row r="2198" spans="1:35" ht="12.5" hidden="1" x14ac:dyDescent="0.25">
      <c r="A2198" s="9">
        <v>797</v>
      </c>
      <c r="B2198" s="10" t="s">
        <v>60</v>
      </c>
      <c r="C2198" s="10" t="s">
        <v>41</v>
      </c>
      <c r="D2198" s="10" t="s">
        <v>43</v>
      </c>
      <c r="E2198" s="11" t="s">
        <v>91</v>
      </c>
      <c r="F2198" s="11" t="s">
        <v>17</v>
      </c>
      <c r="G2198" s="10" t="s">
        <v>18</v>
      </c>
      <c r="H2198" s="11" t="s">
        <v>19</v>
      </c>
      <c r="I2198" s="11" t="s">
        <v>113</v>
      </c>
      <c r="J2198" s="11"/>
      <c r="K2198" s="11" t="s">
        <v>91</v>
      </c>
      <c r="L2198" s="11"/>
      <c r="M2198" s="11"/>
      <c r="N2198" s="11"/>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4"/>
    </row>
    <row r="2199" spans="1:35" ht="12.5" hidden="1" x14ac:dyDescent="0.25">
      <c r="A2199" s="9">
        <v>798</v>
      </c>
      <c r="B2199" s="10" t="s">
        <v>60</v>
      </c>
      <c r="C2199" s="10" t="s">
        <v>41</v>
      </c>
      <c r="D2199" s="10" t="s">
        <v>43</v>
      </c>
      <c r="E2199" s="11" t="s">
        <v>91</v>
      </c>
      <c r="F2199" s="11" t="s">
        <v>17</v>
      </c>
      <c r="G2199" s="10" t="s">
        <v>24</v>
      </c>
      <c r="H2199" s="11" t="s">
        <v>19</v>
      </c>
      <c r="I2199" s="11" t="s">
        <v>113</v>
      </c>
      <c r="J2199" s="11"/>
      <c r="K2199" s="11" t="s">
        <v>91</v>
      </c>
      <c r="L2199" s="11"/>
      <c r="M2199" s="11"/>
      <c r="N2199" s="11"/>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4"/>
    </row>
    <row r="2200" spans="1:35" ht="12.5" hidden="1" x14ac:dyDescent="0.25">
      <c r="A2200" s="9">
        <v>799</v>
      </c>
      <c r="B2200" s="10" t="s">
        <v>60</v>
      </c>
      <c r="C2200" s="10" t="s">
        <v>41</v>
      </c>
      <c r="D2200" s="10" t="s">
        <v>43</v>
      </c>
      <c r="E2200" s="11" t="s">
        <v>91</v>
      </c>
      <c r="F2200" s="11" t="s">
        <v>17</v>
      </c>
      <c r="G2200" s="10" t="s">
        <v>24</v>
      </c>
      <c r="H2200" s="11" t="s">
        <v>19</v>
      </c>
      <c r="I2200" s="11" t="s">
        <v>113</v>
      </c>
      <c r="J2200" s="11"/>
      <c r="K2200" s="11" t="s">
        <v>91</v>
      </c>
      <c r="L2200" s="11"/>
      <c r="M2200" s="11"/>
      <c r="N2200" s="11"/>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4"/>
    </row>
    <row r="2201" spans="1:35" ht="12.5" hidden="1" x14ac:dyDescent="0.25">
      <c r="A2201" s="9">
        <v>800</v>
      </c>
      <c r="B2201" s="10" t="s">
        <v>60</v>
      </c>
      <c r="C2201" s="10" t="s">
        <v>41</v>
      </c>
      <c r="D2201" s="10" t="s">
        <v>43</v>
      </c>
      <c r="E2201" s="11" t="s">
        <v>91</v>
      </c>
      <c r="F2201" s="11" t="s">
        <v>17</v>
      </c>
      <c r="G2201" s="10" t="s">
        <v>24</v>
      </c>
      <c r="H2201" s="11" t="s">
        <v>19</v>
      </c>
      <c r="I2201" s="11" t="s">
        <v>113</v>
      </c>
      <c r="J2201" s="11"/>
      <c r="K2201" s="11" t="s">
        <v>91</v>
      </c>
      <c r="L2201" s="11"/>
      <c r="M2201" s="11"/>
      <c r="N2201" s="11"/>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4"/>
    </row>
    <row r="2202" spans="1:35" ht="12.5" hidden="1" x14ac:dyDescent="0.25">
      <c r="A2202" s="9">
        <v>801</v>
      </c>
      <c r="B2202" s="10" t="s">
        <v>60</v>
      </c>
      <c r="C2202" s="10" t="s">
        <v>41</v>
      </c>
      <c r="D2202" s="10" t="s">
        <v>43</v>
      </c>
      <c r="E2202" s="11" t="s">
        <v>91</v>
      </c>
      <c r="F2202" s="11" t="s">
        <v>17</v>
      </c>
      <c r="G2202" s="10" t="s">
        <v>18</v>
      </c>
      <c r="H2202" s="11" t="s">
        <v>19</v>
      </c>
      <c r="I2202" s="11" t="s">
        <v>113</v>
      </c>
      <c r="J2202" s="11"/>
      <c r="K2202" s="11" t="s">
        <v>91</v>
      </c>
      <c r="L2202" s="11"/>
      <c r="M2202" s="11"/>
      <c r="N2202" s="11"/>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4"/>
    </row>
    <row r="2203" spans="1:35" ht="12.5" hidden="1" x14ac:dyDescent="0.25">
      <c r="A2203" s="9">
        <v>802</v>
      </c>
      <c r="B2203" s="10" t="s">
        <v>60</v>
      </c>
      <c r="C2203" s="10" t="s">
        <v>41</v>
      </c>
      <c r="D2203" s="10" t="s">
        <v>43</v>
      </c>
      <c r="E2203" s="11" t="s">
        <v>91</v>
      </c>
      <c r="F2203" s="11" t="s">
        <v>17</v>
      </c>
      <c r="G2203" s="10" t="s">
        <v>24</v>
      </c>
      <c r="H2203" s="11" t="s">
        <v>19</v>
      </c>
      <c r="I2203" s="11" t="s">
        <v>113</v>
      </c>
      <c r="J2203" s="11"/>
      <c r="K2203" s="11" t="s">
        <v>91</v>
      </c>
      <c r="L2203" s="11"/>
      <c r="M2203" s="11"/>
      <c r="N2203" s="11"/>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4"/>
    </row>
    <row r="2204" spans="1:35" ht="12.5" hidden="1" x14ac:dyDescent="0.25">
      <c r="A2204" s="9">
        <v>803</v>
      </c>
      <c r="B2204" s="10" t="s">
        <v>60</v>
      </c>
      <c r="C2204" s="10" t="s">
        <v>41</v>
      </c>
      <c r="D2204" s="10" t="s">
        <v>43</v>
      </c>
      <c r="E2204" s="11" t="s">
        <v>91</v>
      </c>
      <c r="F2204" s="11" t="s">
        <v>17</v>
      </c>
      <c r="G2204" s="10" t="s">
        <v>18</v>
      </c>
      <c r="H2204" s="11" t="s">
        <v>19</v>
      </c>
      <c r="I2204" s="11" t="s">
        <v>113</v>
      </c>
      <c r="J2204" s="11"/>
      <c r="K2204" s="11" t="s">
        <v>91</v>
      </c>
      <c r="L2204" s="11"/>
      <c r="M2204" s="11"/>
      <c r="N2204" s="11"/>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4"/>
    </row>
    <row r="2205" spans="1:35" ht="12.5" hidden="1" x14ac:dyDescent="0.25">
      <c r="A2205" s="9">
        <v>804</v>
      </c>
      <c r="B2205" s="10" t="s">
        <v>60</v>
      </c>
      <c r="C2205" s="10" t="s">
        <v>41</v>
      </c>
      <c r="D2205" s="10" t="s">
        <v>43</v>
      </c>
      <c r="E2205" s="11" t="s">
        <v>91</v>
      </c>
      <c r="F2205" s="11" t="s">
        <v>17</v>
      </c>
      <c r="G2205" s="10" t="s">
        <v>18</v>
      </c>
      <c r="H2205" s="11" t="s">
        <v>19</v>
      </c>
      <c r="I2205" s="11" t="s">
        <v>113</v>
      </c>
      <c r="J2205" s="11"/>
      <c r="K2205" s="11" t="s">
        <v>91</v>
      </c>
      <c r="L2205" s="11"/>
      <c r="M2205" s="11"/>
      <c r="N2205" s="11"/>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4"/>
    </row>
    <row r="2206" spans="1:35" ht="12.5" hidden="1" x14ac:dyDescent="0.25">
      <c r="A2206" s="9">
        <v>805</v>
      </c>
      <c r="B2206" s="10" t="s">
        <v>60</v>
      </c>
      <c r="C2206" s="10" t="s">
        <v>41</v>
      </c>
      <c r="D2206" s="10" t="s">
        <v>43</v>
      </c>
      <c r="E2206" s="11" t="s">
        <v>91</v>
      </c>
      <c r="F2206" s="11" t="s">
        <v>17</v>
      </c>
      <c r="G2206" s="10" t="s">
        <v>24</v>
      </c>
      <c r="H2206" s="11" t="s">
        <v>19</v>
      </c>
      <c r="I2206" s="11" t="s">
        <v>113</v>
      </c>
      <c r="J2206" s="11"/>
      <c r="K2206" s="11" t="s">
        <v>91</v>
      </c>
      <c r="L2206" s="11"/>
      <c r="M2206" s="11"/>
      <c r="N2206" s="11"/>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4"/>
    </row>
    <row r="2207" spans="1:35" ht="12.5" hidden="1" x14ac:dyDescent="0.25">
      <c r="A2207" s="9">
        <v>806</v>
      </c>
      <c r="B2207" s="10" t="s">
        <v>60</v>
      </c>
      <c r="C2207" s="10" t="s">
        <v>41</v>
      </c>
      <c r="D2207" s="10" t="s">
        <v>43</v>
      </c>
      <c r="E2207" s="11" t="s">
        <v>91</v>
      </c>
      <c r="F2207" s="11" t="s">
        <v>17</v>
      </c>
      <c r="G2207" s="10" t="s">
        <v>24</v>
      </c>
      <c r="H2207" s="11" t="s">
        <v>19</v>
      </c>
      <c r="I2207" s="11" t="s">
        <v>113</v>
      </c>
      <c r="J2207" s="11"/>
      <c r="K2207" s="11" t="s">
        <v>91</v>
      </c>
      <c r="L2207" s="11"/>
      <c r="M2207" s="11"/>
      <c r="N2207" s="11"/>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4"/>
    </row>
    <row r="2208" spans="1:35" ht="12.5" hidden="1" x14ac:dyDescent="0.25">
      <c r="A2208" s="9">
        <v>807</v>
      </c>
      <c r="B2208" s="10" t="s">
        <v>60</v>
      </c>
      <c r="C2208" s="10" t="s">
        <v>41</v>
      </c>
      <c r="D2208" s="10" t="s">
        <v>43</v>
      </c>
      <c r="E2208" s="11" t="s">
        <v>91</v>
      </c>
      <c r="F2208" s="11" t="s">
        <v>17</v>
      </c>
      <c r="G2208" s="10" t="s">
        <v>24</v>
      </c>
      <c r="H2208" s="11" t="s">
        <v>19</v>
      </c>
      <c r="I2208" s="11" t="s">
        <v>113</v>
      </c>
      <c r="J2208" s="11"/>
      <c r="K2208" s="11" t="s">
        <v>91</v>
      </c>
      <c r="L2208" s="11"/>
      <c r="M2208" s="11"/>
      <c r="N2208" s="11"/>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4"/>
    </row>
    <row r="2209" spans="1:35" ht="12.5" hidden="1" x14ac:dyDescent="0.25">
      <c r="A2209" s="9">
        <v>808</v>
      </c>
      <c r="B2209" s="10" t="s">
        <v>60</v>
      </c>
      <c r="C2209" s="10" t="s">
        <v>41</v>
      </c>
      <c r="D2209" s="10" t="s">
        <v>43</v>
      </c>
      <c r="E2209" s="11" t="s">
        <v>91</v>
      </c>
      <c r="F2209" s="11" t="s">
        <v>17</v>
      </c>
      <c r="G2209" s="10" t="s">
        <v>24</v>
      </c>
      <c r="H2209" s="11" t="s">
        <v>19</v>
      </c>
      <c r="I2209" s="11" t="s">
        <v>113</v>
      </c>
      <c r="J2209" s="11"/>
      <c r="K2209" s="11" t="s">
        <v>91</v>
      </c>
      <c r="L2209" s="11"/>
      <c r="M2209" s="11"/>
      <c r="N2209" s="11"/>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4"/>
    </row>
    <row r="2210" spans="1:35" ht="12.5" hidden="1" x14ac:dyDescent="0.25">
      <c r="A2210" s="9">
        <v>809</v>
      </c>
      <c r="B2210" s="10" t="s">
        <v>60</v>
      </c>
      <c r="C2210" s="10" t="s">
        <v>41</v>
      </c>
      <c r="D2210" s="10" t="s">
        <v>43</v>
      </c>
      <c r="E2210" s="11" t="s">
        <v>91</v>
      </c>
      <c r="F2210" s="11" t="s">
        <v>17</v>
      </c>
      <c r="G2210" s="10" t="s">
        <v>18</v>
      </c>
      <c r="H2210" s="11" t="s">
        <v>19</v>
      </c>
      <c r="I2210" s="11" t="s">
        <v>113</v>
      </c>
      <c r="J2210" s="11"/>
      <c r="K2210" s="11" t="s">
        <v>91</v>
      </c>
      <c r="L2210" s="11"/>
      <c r="M2210" s="11"/>
      <c r="N2210" s="11"/>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4"/>
    </row>
    <row r="2211" spans="1:35" ht="12.5" hidden="1" x14ac:dyDescent="0.25">
      <c r="A2211" s="9">
        <v>810</v>
      </c>
      <c r="B2211" s="10" t="s">
        <v>60</v>
      </c>
      <c r="C2211" s="10" t="s">
        <v>41</v>
      </c>
      <c r="D2211" s="10" t="s">
        <v>43</v>
      </c>
      <c r="E2211" s="11" t="s">
        <v>91</v>
      </c>
      <c r="F2211" s="11" t="s">
        <v>17</v>
      </c>
      <c r="G2211" s="10" t="s">
        <v>24</v>
      </c>
      <c r="H2211" s="11" t="s">
        <v>19</v>
      </c>
      <c r="I2211" s="11" t="s">
        <v>113</v>
      </c>
      <c r="J2211" s="11"/>
      <c r="K2211" s="11" t="s">
        <v>91</v>
      </c>
      <c r="L2211" s="11"/>
      <c r="M2211" s="11"/>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4"/>
    </row>
    <row r="2212" spans="1:35" ht="12.5" hidden="1" x14ac:dyDescent="0.25">
      <c r="A2212" s="9">
        <v>811</v>
      </c>
      <c r="B2212" s="10" t="s">
        <v>60</v>
      </c>
      <c r="C2212" s="10" t="s">
        <v>41</v>
      </c>
      <c r="D2212" s="10" t="s">
        <v>43</v>
      </c>
      <c r="E2212" s="11" t="s">
        <v>91</v>
      </c>
      <c r="F2212" s="11" t="s">
        <v>17</v>
      </c>
      <c r="G2212" s="10" t="s">
        <v>24</v>
      </c>
      <c r="H2212" s="11" t="s">
        <v>19</v>
      </c>
      <c r="I2212" s="11" t="s">
        <v>113</v>
      </c>
      <c r="J2212" s="11"/>
      <c r="K2212" s="11" t="s">
        <v>91</v>
      </c>
      <c r="L2212" s="11"/>
      <c r="M2212" s="11"/>
      <c r="N2212" s="11"/>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4"/>
    </row>
    <row r="2213" spans="1:35" ht="12.5" hidden="1" x14ac:dyDescent="0.25">
      <c r="A2213" s="9">
        <v>812</v>
      </c>
      <c r="B2213" s="10" t="s">
        <v>60</v>
      </c>
      <c r="C2213" s="10" t="s">
        <v>15</v>
      </c>
      <c r="D2213" s="10" t="s">
        <v>45</v>
      </c>
      <c r="E2213" s="11" t="s">
        <v>160</v>
      </c>
      <c r="F2213" s="11" t="s">
        <v>17</v>
      </c>
      <c r="G2213" s="10" t="s">
        <v>18</v>
      </c>
      <c r="H2213" s="11" t="s">
        <v>19</v>
      </c>
      <c r="I2213" s="11" t="s">
        <v>113</v>
      </c>
      <c r="J2213" s="11"/>
      <c r="K2213" s="11" t="s">
        <v>93</v>
      </c>
      <c r="L2213" s="11"/>
      <c r="M2213" s="11"/>
      <c r="N2213" s="11"/>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4"/>
    </row>
    <row r="2214" spans="1:35" ht="12.5" hidden="1" x14ac:dyDescent="0.25">
      <c r="A2214" s="9">
        <v>813</v>
      </c>
      <c r="B2214" s="10" t="s">
        <v>60</v>
      </c>
      <c r="C2214" s="10" t="s">
        <v>15</v>
      </c>
      <c r="D2214" s="10" t="s">
        <v>45</v>
      </c>
      <c r="E2214" s="11" t="s">
        <v>160</v>
      </c>
      <c r="F2214" s="11" t="s">
        <v>17</v>
      </c>
      <c r="G2214" s="10" t="s">
        <v>18</v>
      </c>
      <c r="H2214" s="11" t="s">
        <v>19</v>
      </c>
      <c r="I2214" s="11" t="s">
        <v>113</v>
      </c>
      <c r="J2214" s="11"/>
      <c r="K2214" s="11" t="s">
        <v>93</v>
      </c>
      <c r="L2214" s="11"/>
      <c r="M2214" s="11"/>
      <c r="N2214" s="11"/>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4"/>
    </row>
    <row r="2215" spans="1:35" ht="12.5" hidden="1" x14ac:dyDescent="0.25">
      <c r="A2215" s="9">
        <v>814</v>
      </c>
      <c r="B2215" s="10" t="s">
        <v>60</v>
      </c>
      <c r="C2215" s="10" t="s">
        <v>15</v>
      </c>
      <c r="D2215" s="10" t="s">
        <v>45</v>
      </c>
      <c r="E2215" s="11" t="s">
        <v>160</v>
      </c>
      <c r="F2215" s="11" t="s">
        <v>17</v>
      </c>
      <c r="G2215" s="10" t="s">
        <v>18</v>
      </c>
      <c r="H2215" s="11" t="s">
        <v>19</v>
      </c>
      <c r="I2215" s="11" t="s">
        <v>113</v>
      </c>
      <c r="J2215" s="11"/>
      <c r="K2215" s="11" t="s">
        <v>93</v>
      </c>
      <c r="L2215" s="11"/>
      <c r="M2215" s="11"/>
      <c r="N2215" s="11"/>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4"/>
    </row>
    <row r="2216" spans="1:35" ht="12.5" hidden="1" x14ac:dyDescent="0.25">
      <c r="A2216" s="9">
        <v>815</v>
      </c>
      <c r="B2216" s="10" t="s">
        <v>60</v>
      </c>
      <c r="C2216" s="10" t="s">
        <v>15</v>
      </c>
      <c r="D2216" s="10" t="s">
        <v>45</v>
      </c>
      <c r="E2216" s="11" t="s">
        <v>160</v>
      </c>
      <c r="F2216" s="11" t="s">
        <v>17</v>
      </c>
      <c r="G2216" s="10" t="s">
        <v>18</v>
      </c>
      <c r="H2216" s="11" t="s">
        <v>23</v>
      </c>
      <c r="I2216" s="11" t="s">
        <v>113</v>
      </c>
      <c r="J2216" s="11"/>
      <c r="K2216" s="11" t="s">
        <v>93</v>
      </c>
      <c r="L2216" s="11"/>
      <c r="M2216" s="11"/>
      <c r="N2216" s="11"/>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4"/>
    </row>
    <row r="2217" spans="1:35" ht="12.5" hidden="1" x14ac:dyDescent="0.25">
      <c r="A2217" s="9">
        <v>816</v>
      </c>
      <c r="B2217" s="10" t="s">
        <v>60</v>
      </c>
      <c r="C2217" s="10" t="s">
        <v>15</v>
      </c>
      <c r="D2217" s="10" t="s">
        <v>16</v>
      </c>
      <c r="E2217" s="11" t="s">
        <v>160</v>
      </c>
      <c r="F2217" s="11" t="s">
        <v>17</v>
      </c>
      <c r="G2217" s="10" t="s">
        <v>18</v>
      </c>
      <c r="H2217" s="11" t="s">
        <v>19</v>
      </c>
      <c r="I2217" s="11" t="s">
        <v>113</v>
      </c>
      <c r="J2217" s="11"/>
      <c r="K2217" s="11" t="s">
        <v>93</v>
      </c>
      <c r="L2217" s="11"/>
      <c r="M2217" s="11"/>
      <c r="N2217" s="11"/>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4"/>
    </row>
    <row r="2218" spans="1:35" ht="12.5" hidden="1" x14ac:dyDescent="0.25">
      <c r="A2218" s="9">
        <v>817</v>
      </c>
      <c r="B2218" s="10" t="s">
        <v>60</v>
      </c>
      <c r="C2218" s="10" t="s">
        <v>15</v>
      </c>
      <c r="D2218" s="10" t="s">
        <v>16</v>
      </c>
      <c r="E2218" s="11" t="s">
        <v>160</v>
      </c>
      <c r="F2218" s="11" t="s">
        <v>17</v>
      </c>
      <c r="G2218" s="10" t="s">
        <v>24</v>
      </c>
      <c r="H2218" s="11" t="s">
        <v>19</v>
      </c>
      <c r="I2218" s="11" t="s">
        <v>113</v>
      </c>
      <c r="J2218" s="11"/>
      <c r="K2218" s="11" t="s">
        <v>93</v>
      </c>
      <c r="L2218" s="11"/>
      <c r="M2218" s="11"/>
      <c r="N2218" s="11"/>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4"/>
    </row>
    <row r="2219" spans="1:35" ht="12.5" hidden="1" x14ac:dyDescent="0.25">
      <c r="A2219" s="9">
        <v>818</v>
      </c>
      <c r="B2219" s="10" t="s">
        <v>60</v>
      </c>
      <c r="C2219" s="10" t="s">
        <v>15</v>
      </c>
      <c r="D2219" s="10" t="s">
        <v>16</v>
      </c>
      <c r="E2219" s="11" t="s">
        <v>160</v>
      </c>
      <c r="F2219" s="11" t="s">
        <v>17</v>
      </c>
      <c r="G2219" s="10" t="s">
        <v>18</v>
      </c>
      <c r="H2219" s="11" t="s">
        <v>19</v>
      </c>
      <c r="I2219" s="11" t="s">
        <v>113</v>
      </c>
      <c r="J2219" s="11"/>
      <c r="K2219" s="11" t="s">
        <v>93</v>
      </c>
      <c r="L2219" s="11"/>
      <c r="M2219" s="11"/>
      <c r="N2219" s="11"/>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4"/>
    </row>
    <row r="2220" spans="1:35" ht="12.5" hidden="1" x14ac:dyDescent="0.25">
      <c r="A2220" s="9">
        <v>819</v>
      </c>
      <c r="B2220" s="10" t="s">
        <v>60</v>
      </c>
      <c r="C2220" s="10" t="s">
        <v>15</v>
      </c>
      <c r="D2220" s="10" t="s">
        <v>16</v>
      </c>
      <c r="E2220" s="11" t="s">
        <v>160</v>
      </c>
      <c r="F2220" s="11" t="s">
        <v>17</v>
      </c>
      <c r="G2220" s="10" t="s">
        <v>18</v>
      </c>
      <c r="H2220" s="11" t="s">
        <v>19</v>
      </c>
      <c r="I2220" s="11" t="s">
        <v>113</v>
      </c>
      <c r="J2220" s="11"/>
      <c r="K2220" s="11" t="s">
        <v>93</v>
      </c>
      <c r="L2220" s="11"/>
      <c r="M2220" s="11"/>
      <c r="N2220" s="11"/>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4"/>
    </row>
    <row r="2221" spans="1:35" ht="12.5" hidden="1" x14ac:dyDescent="0.25">
      <c r="A2221" s="9">
        <v>820</v>
      </c>
      <c r="B2221" s="10" t="s">
        <v>60</v>
      </c>
      <c r="C2221" s="10" t="s">
        <v>15</v>
      </c>
      <c r="D2221" s="10" t="s">
        <v>16</v>
      </c>
      <c r="E2221" s="11" t="s">
        <v>160</v>
      </c>
      <c r="F2221" s="11" t="s">
        <v>17</v>
      </c>
      <c r="G2221" s="10" t="s">
        <v>24</v>
      </c>
      <c r="H2221" s="11" t="s">
        <v>19</v>
      </c>
      <c r="I2221" s="11" t="s">
        <v>113</v>
      </c>
      <c r="J2221" s="11"/>
      <c r="K2221" s="11" t="s">
        <v>93</v>
      </c>
      <c r="L2221" s="11"/>
      <c r="M2221" s="11"/>
      <c r="N2221" s="11"/>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4"/>
    </row>
    <row r="2222" spans="1:35" ht="12.5" hidden="1" x14ac:dyDescent="0.25">
      <c r="A2222" s="9">
        <v>821</v>
      </c>
      <c r="B2222" s="10" t="s">
        <v>60</v>
      </c>
      <c r="C2222" s="10" t="s">
        <v>15</v>
      </c>
      <c r="D2222" s="10" t="s">
        <v>16</v>
      </c>
      <c r="E2222" s="11" t="s">
        <v>160</v>
      </c>
      <c r="F2222" s="11" t="s">
        <v>17</v>
      </c>
      <c r="G2222" s="10" t="s">
        <v>18</v>
      </c>
      <c r="H2222" s="11" t="s">
        <v>19</v>
      </c>
      <c r="I2222" s="11" t="s">
        <v>113</v>
      </c>
      <c r="J2222" s="11"/>
      <c r="K2222" s="11" t="s">
        <v>93</v>
      </c>
      <c r="L2222" s="11"/>
      <c r="M2222" s="11"/>
      <c r="N2222" s="11"/>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4"/>
    </row>
    <row r="2223" spans="1:35" ht="12.5" hidden="1" x14ac:dyDescent="0.25">
      <c r="A2223" s="9">
        <v>822</v>
      </c>
      <c r="B2223" s="10" t="s">
        <v>60</v>
      </c>
      <c r="C2223" s="10" t="s">
        <v>15</v>
      </c>
      <c r="D2223" s="10" t="s">
        <v>16</v>
      </c>
      <c r="E2223" s="11" t="s">
        <v>160</v>
      </c>
      <c r="F2223" s="11" t="s">
        <v>17</v>
      </c>
      <c r="G2223" s="10" t="s">
        <v>18</v>
      </c>
      <c r="H2223" s="11" t="s">
        <v>19</v>
      </c>
      <c r="I2223" s="11" t="s">
        <v>113</v>
      </c>
      <c r="J2223" s="11"/>
      <c r="K2223" s="11" t="s">
        <v>93</v>
      </c>
      <c r="L2223" s="11"/>
      <c r="M2223" s="11"/>
      <c r="N2223" s="11"/>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4"/>
    </row>
    <row r="2224" spans="1:35" ht="12.5" hidden="1" x14ac:dyDescent="0.25">
      <c r="A2224" s="9">
        <v>823</v>
      </c>
      <c r="B2224" s="10" t="s">
        <v>60</v>
      </c>
      <c r="C2224" s="10" t="s">
        <v>15</v>
      </c>
      <c r="D2224" s="10" t="s">
        <v>16</v>
      </c>
      <c r="E2224" s="11" t="s">
        <v>160</v>
      </c>
      <c r="F2224" s="11" t="s">
        <v>17</v>
      </c>
      <c r="G2224" s="10" t="s">
        <v>18</v>
      </c>
      <c r="H2224" s="11" t="s">
        <v>19</v>
      </c>
      <c r="I2224" s="11" t="s">
        <v>113</v>
      </c>
      <c r="J2224" s="11"/>
      <c r="K2224" s="11" t="s">
        <v>93</v>
      </c>
      <c r="L2224" s="11"/>
      <c r="M2224" s="11"/>
      <c r="N2224" s="11"/>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4"/>
    </row>
    <row r="2225" spans="1:35" ht="12.5" hidden="1" x14ac:dyDescent="0.25">
      <c r="A2225" s="9">
        <v>824</v>
      </c>
      <c r="B2225" s="10" t="s">
        <v>60</v>
      </c>
      <c r="C2225" s="10" t="s">
        <v>15</v>
      </c>
      <c r="D2225" s="10" t="s">
        <v>37</v>
      </c>
      <c r="E2225" s="11" t="s">
        <v>160</v>
      </c>
      <c r="F2225" s="11" t="s">
        <v>17</v>
      </c>
      <c r="G2225" s="10" t="s">
        <v>24</v>
      </c>
      <c r="H2225" s="11" t="s">
        <v>19</v>
      </c>
      <c r="I2225" s="11" t="s">
        <v>113</v>
      </c>
      <c r="J2225" s="11"/>
      <c r="K2225" s="11" t="s">
        <v>93</v>
      </c>
      <c r="L2225" s="11"/>
      <c r="M2225" s="11"/>
      <c r="N2225" s="11"/>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4"/>
    </row>
    <row r="2226" spans="1:35" ht="12.5" hidden="1" x14ac:dyDescent="0.25">
      <c r="A2226" s="9">
        <v>825</v>
      </c>
      <c r="B2226" s="10" t="s">
        <v>60</v>
      </c>
      <c r="C2226" s="10" t="s">
        <v>15</v>
      </c>
      <c r="D2226" s="10" t="s">
        <v>37</v>
      </c>
      <c r="E2226" s="11" t="s">
        <v>160</v>
      </c>
      <c r="F2226" s="11" t="s">
        <v>17</v>
      </c>
      <c r="G2226" s="10" t="s">
        <v>24</v>
      </c>
      <c r="H2226" s="11" t="s">
        <v>23</v>
      </c>
      <c r="I2226" s="11" t="s">
        <v>113</v>
      </c>
      <c r="J2226" s="11"/>
      <c r="K2226" s="11" t="s">
        <v>93</v>
      </c>
      <c r="L2226" s="11"/>
      <c r="M2226" s="11"/>
      <c r="N2226" s="11"/>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4"/>
    </row>
    <row r="2227" spans="1:35" ht="12.5" hidden="1" x14ac:dyDescent="0.25">
      <c r="A2227" s="9">
        <v>826</v>
      </c>
      <c r="B2227" s="10" t="s">
        <v>60</v>
      </c>
      <c r="C2227" s="10" t="s">
        <v>15</v>
      </c>
      <c r="D2227" s="10" t="s">
        <v>37</v>
      </c>
      <c r="E2227" s="11" t="s">
        <v>160</v>
      </c>
      <c r="F2227" s="11" t="s">
        <v>17</v>
      </c>
      <c r="G2227" s="10" t="s">
        <v>24</v>
      </c>
      <c r="H2227" s="11" t="s">
        <v>23</v>
      </c>
      <c r="I2227" s="11" t="s">
        <v>113</v>
      </c>
      <c r="J2227" s="11"/>
      <c r="K2227" s="11" t="s">
        <v>93</v>
      </c>
      <c r="L2227" s="11"/>
      <c r="M2227" s="11"/>
      <c r="N2227" s="11"/>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4"/>
    </row>
    <row r="2228" spans="1:35" ht="12.5" hidden="1" x14ac:dyDescent="0.25">
      <c r="A2228" s="9">
        <v>827</v>
      </c>
      <c r="B2228" s="10" t="s">
        <v>60</v>
      </c>
      <c r="C2228" s="10" t="s">
        <v>15</v>
      </c>
      <c r="D2228" s="10" t="s">
        <v>37</v>
      </c>
      <c r="E2228" s="11" t="s">
        <v>160</v>
      </c>
      <c r="F2228" s="11" t="s">
        <v>17</v>
      </c>
      <c r="G2228" s="10" t="s">
        <v>18</v>
      </c>
      <c r="H2228" s="11" t="s">
        <v>19</v>
      </c>
      <c r="I2228" s="11" t="s">
        <v>113</v>
      </c>
      <c r="J2228" s="11"/>
      <c r="K2228" s="11" t="s">
        <v>93</v>
      </c>
      <c r="L2228" s="11"/>
      <c r="M2228" s="11"/>
      <c r="N2228" s="11"/>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4"/>
    </row>
    <row r="2229" spans="1:35" ht="12.5" hidden="1" x14ac:dyDescent="0.25">
      <c r="A2229" s="9">
        <v>828</v>
      </c>
      <c r="B2229" s="10" t="s">
        <v>60</v>
      </c>
      <c r="C2229" s="10" t="s">
        <v>15</v>
      </c>
      <c r="D2229" s="10" t="s">
        <v>37</v>
      </c>
      <c r="E2229" s="11" t="s">
        <v>160</v>
      </c>
      <c r="F2229" s="11" t="s">
        <v>17</v>
      </c>
      <c r="G2229" s="10" t="s">
        <v>24</v>
      </c>
      <c r="H2229" s="11" t="s">
        <v>19</v>
      </c>
      <c r="I2229" s="11" t="s">
        <v>113</v>
      </c>
      <c r="J2229" s="11"/>
      <c r="K2229" s="11" t="s">
        <v>93</v>
      </c>
      <c r="L2229" s="11"/>
      <c r="M2229" s="11"/>
      <c r="N2229" s="11"/>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4"/>
    </row>
    <row r="2230" spans="1:35" ht="12.5" hidden="1" x14ac:dyDescent="0.25">
      <c r="A2230" s="9">
        <v>829</v>
      </c>
      <c r="B2230" s="10" t="s">
        <v>60</v>
      </c>
      <c r="C2230" s="10" t="s">
        <v>41</v>
      </c>
      <c r="D2230" s="10" t="s">
        <v>42</v>
      </c>
      <c r="E2230" s="11" t="s">
        <v>160</v>
      </c>
      <c r="F2230" s="11" t="s">
        <v>17</v>
      </c>
      <c r="G2230" s="10" t="s">
        <v>18</v>
      </c>
      <c r="H2230" s="11" t="s">
        <v>23</v>
      </c>
      <c r="I2230" s="11" t="s">
        <v>113</v>
      </c>
      <c r="J2230" s="11"/>
      <c r="K2230" s="11" t="s">
        <v>93</v>
      </c>
      <c r="L2230" s="11"/>
      <c r="M2230" s="11"/>
      <c r="N2230" s="11"/>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4"/>
    </row>
    <row r="2231" spans="1:35" ht="12.5" hidden="1" x14ac:dyDescent="0.25">
      <c r="A2231" s="9">
        <v>830</v>
      </c>
      <c r="B2231" s="10" t="s">
        <v>60</v>
      </c>
      <c r="C2231" s="10" t="s">
        <v>41</v>
      </c>
      <c r="D2231" s="10" t="s">
        <v>42</v>
      </c>
      <c r="E2231" s="11" t="s">
        <v>160</v>
      </c>
      <c r="F2231" s="11" t="s">
        <v>17</v>
      </c>
      <c r="G2231" s="10" t="s">
        <v>24</v>
      </c>
      <c r="H2231" s="11" t="s">
        <v>23</v>
      </c>
      <c r="I2231" s="11" t="s">
        <v>113</v>
      </c>
      <c r="J2231" s="11"/>
      <c r="K2231" s="11" t="s">
        <v>93</v>
      </c>
      <c r="L2231" s="11"/>
      <c r="M2231" s="11"/>
      <c r="N2231" s="11"/>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4"/>
    </row>
    <row r="2232" spans="1:35" ht="12.5" hidden="1" x14ac:dyDescent="0.25">
      <c r="A2232" s="9">
        <v>831</v>
      </c>
      <c r="B2232" s="10" t="s">
        <v>60</v>
      </c>
      <c r="C2232" s="10" t="s">
        <v>41</v>
      </c>
      <c r="D2232" s="10" t="s">
        <v>42</v>
      </c>
      <c r="E2232" s="11" t="s">
        <v>160</v>
      </c>
      <c r="F2232" s="11" t="s">
        <v>17</v>
      </c>
      <c r="G2232" s="10" t="s">
        <v>24</v>
      </c>
      <c r="H2232" s="11" t="s">
        <v>23</v>
      </c>
      <c r="I2232" s="11" t="s">
        <v>113</v>
      </c>
      <c r="J2232" s="11"/>
      <c r="K2232" s="11" t="s">
        <v>93</v>
      </c>
      <c r="L2232" s="11"/>
      <c r="M2232" s="11"/>
      <c r="N2232" s="11"/>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4"/>
    </row>
    <row r="2233" spans="1:35" ht="12.5" hidden="1" x14ac:dyDescent="0.25">
      <c r="A2233" s="9">
        <v>832</v>
      </c>
      <c r="B2233" s="10" t="s">
        <v>60</v>
      </c>
      <c r="C2233" s="10" t="s">
        <v>41</v>
      </c>
      <c r="D2233" s="10" t="s">
        <v>42</v>
      </c>
      <c r="E2233" s="11" t="s">
        <v>160</v>
      </c>
      <c r="F2233" s="11" t="s">
        <v>17</v>
      </c>
      <c r="G2233" s="10" t="s">
        <v>18</v>
      </c>
      <c r="H2233" s="11" t="s">
        <v>23</v>
      </c>
      <c r="I2233" s="11" t="s">
        <v>113</v>
      </c>
      <c r="J2233" s="11"/>
      <c r="K2233" s="11" t="s">
        <v>93</v>
      </c>
      <c r="L2233" s="11"/>
      <c r="M2233" s="11"/>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4"/>
    </row>
    <row r="2234" spans="1:35" ht="12.5" hidden="1" x14ac:dyDescent="0.25">
      <c r="A2234" s="9">
        <v>833</v>
      </c>
      <c r="B2234" s="10" t="s">
        <v>60</v>
      </c>
      <c r="C2234" s="10" t="s">
        <v>41</v>
      </c>
      <c r="D2234" s="10" t="s">
        <v>42</v>
      </c>
      <c r="E2234" s="11" t="s">
        <v>160</v>
      </c>
      <c r="F2234" s="11" t="s">
        <v>17</v>
      </c>
      <c r="G2234" s="10" t="s">
        <v>18</v>
      </c>
      <c r="H2234" s="11" t="s">
        <v>19</v>
      </c>
      <c r="I2234" s="11" t="s">
        <v>113</v>
      </c>
      <c r="J2234" s="11"/>
      <c r="K2234" s="11" t="s">
        <v>93</v>
      </c>
      <c r="L2234" s="11"/>
      <c r="M2234" s="11"/>
      <c r="N2234" s="11"/>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4"/>
    </row>
    <row r="2235" spans="1:35" ht="12.5" hidden="1" x14ac:dyDescent="0.25">
      <c r="A2235" s="9">
        <v>834</v>
      </c>
      <c r="B2235" s="10" t="s">
        <v>60</v>
      </c>
      <c r="C2235" s="10" t="s">
        <v>41</v>
      </c>
      <c r="D2235" s="10" t="s">
        <v>42</v>
      </c>
      <c r="E2235" s="11" t="s">
        <v>160</v>
      </c>
      <c r="F2235" s="11" t="s">
        <v>17</v>
      </c>
      <c r="G2235" s="10" t="s">
        <v>24</v>
      </c>
      <c r="H2235" s="11" t="s">
        <v>23</v>
      </c>
      <c r="I2235" s="11" t="s">
        <v>113</v>
      </c>
      <c r="J2235" s="11"/>
      <c r="K2235" s="11" t="s">
        <v>93</v>
      </c>
      <c r="L2235" s="11"/>
      <c r="M2235" s="11"/>
      <c r="N2235" s="11"/>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4"/>
    </row>
    <row r="2236" spans="1:35" ht="12.5" hidden="1" x14ac:dyDescent="0.25">
      <c r="A2236" s="9">
        <v>835</v>
      </c>
      <c r="B2236" s="10" t="s">
        <v>60</v>
      </c>
      <c r="C2236" s="10" t="s">
        <v>41</v>
      </c>
      <c r="D2236" s="10" t="s">
        <v>42</v>
      </c>
      <c r="E2236" s="11" t="s">
        <v>160</v>
      </c>
      <c r="F2236" s="11" t="s">
        <v>17</v>
      </c>
      <c r="G2236" s="10" t="s">
        <v>18</v>
      </c>
      <c r="H2236" s="11" t="s">
        <v>19</v>
      </c>
      <c r="I2236" s="11" t="s">
        <v>113</v>
      </c>
      <c r="J2236" s="11"/>
      <c r="K2236" s="11" t="s">
        <v>93</v>
      </c>
      <c r="L2236" s="11"/>
      <c r="M2236" s="11"/>
      <c r="N2236" s="11"/>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4"/>
    </row>
    <row r="2237" spans="1:35" ht="12.5" hidden="1" x14ac:dyDescent="0.25">
      <c r="A2237" s="9">
        <v>836</v>
      </c>
      <c r="B2237" s="10" t="s">
        <v>60</v>
      </c>
      <c r="C2237" s="10" t="s">
        <v>41</v>
      </c>
      <c r="D2237" s="10" t="s">
        <v>42</v>
      </c>
      <c r="E2237" s="11" t="s">
        <v>160</v>
      </c>
      <c r="F2237" s="11" t="s">
        <v>17</v>
      </c>
      <c r="G2237" s="10" t="s">
        <v>24</v>
      </c>
      <c r="H2237" s="11" t="s">
        <v>23</v>
      </c>
      <c r="I2237" s="11" t="s">
        <v>113</v>
      </c>
      <c r="J2237" s="11"/>
      <c r="K2237" s="11" t="s">
        <v>93</v>
      </c>
      <c r="L2237" s="11"/>
      <c r="M2237" s="11"/>
      <c r="N2237" s="11"/>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4"/>
    </row>
    <row r="2238" spans="1:35" ht="12.5" hidden="1" x14ac:dyDescent="0.25">
      <c r="A2238" s="9">
        <v>837</v>
      </c>
      <c r="B2238" s="10" t="s">
        <v>60</v>
      </c>
      <c r="C2238" s="10" t="s">
        <v>41</v>
      </c>
      <c r="D2238" s="10" t="s">
        <v>42</v>
      </c>
      <c r="E2238" s="11" t="s">
        <v>160</v>
      </c>
      <c r="F2238" s="11" t="s">
        <v>17</v>
      </c>
      <c r="G2238" s="10" t="s">
        <v>24</v>
      </c>
      <c r="H2238" s="11" t="s">
        <v>23</v>
      </c>
      <c r="I2238" s="11" t="s">
        <v>113</v>
      </c>
      <c r="J2238" s="11"/>
      <c r="K2238" s="11" t="s">
        <v>93</v>
      </c>
      <c r="L2238" s="11"/>
      <c r="M2238" s="11"/>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4"/>
    </row>
    <row r="2239" spans="1:35" ht="12.5" hidden="1" x14ac:dyDescent="0.25">
      <c r="A2239" s="9">
        <v>838</v>
      </c>
      <c r="B2239" s="10" t="s">
        <v>60</v>
      </c>
      <c r="C2239" s="10" t="s">
        <v>41</v>
      </c>
      <c r="D2239" s="10" t="s">
        <v>43</v>
      </c>
      <c r="E2239" s="11" t="s">
        <v>160</v>
      </c>
      <c r="F2239" s="11" t="s">
        <v>17</v>
      </c>
      <c r="G2239" s="10" t="s">
        <v>24</v>
      </c>
      <c r="H2239" s="11" t="s">
        <v>23</v>
      </c>
      <c r="I2239" s="11" t="s">
        <v>113</v>
      </c>
      <c r="J2239" s="11"/>
      <c r="K2239" s="11" t="s">
        <v>93</v>
      </c>
      <c r="L2239" s="11"/>
      <c r="M2239" s="11"/>
      <c r="N2239" s="11"/>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4"/>
    </row>
    <row r="2240" spans="1:35" ht="12.5" hidden="1" x14ac:dyDescent="0.25">
      <c r="A2240" s="9">
        <v>839</v>
      </c>
      <c r="B2240" s="10" t="s">
        <v>60</v>
      </c>
      <c r="C2240" s="10" t="s">
        <v>41</v>
      </c>
      <c r="D2240" s="10" t="s">
        <v>43</v>
      </c>
      <c r="E2240" s="11" t="s">
        <v>160</v>
      </c>
      <c r="F2240" s="11" t="s">
        <v>17</v>
      </c>
      <c r="G2240" s="10" t="s">
        <v>18</v>
      </c>
      <c r="H2240" s="11" t="s">
        <v>23</v>
      </c>
      <c r="I2240" s="11" t="s">
        <v>113</v>
      </c>
      <c r="J2240" s="11"/>
      <c r="K2240" s="11" t="s">
        <v>93</v>
      </c>
      <c r="L2240" s="11"/>
      <c r="M2240" s="11"/>
      <c r="N2240" s="11"/>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4"/>
    </row>
    <row r="2241" spans="1:35" ht="12.5" hidden="1" x14ac:dyDescent="0.25">
      <c r="A2241" s="9">
        <v>840</v>
      </c>
      <c r="B2241" s="10" t="s">
        <v>60</v>
      </c>
      <c r="C2241" s="10" t="s">
        <v>41</v>
      </c>
      <c r="D2241" s="10" t="s">
        <v>43</v>
      </c>
      <c r="E2241" s="11" t="s">
        <v>160</v>
      </c>
      <c r="F2241" s="11" t="s">
        <v>17</v>
      </c>
      <c r="G2241" s="10" t="s">
        <v>18</v>
      </c>
      <c r="H2241" s="11" t="s">
        <v>19</v>
      </c>
      <c r="I2241" s="11" t="s">
        <v>113</v>
      </c>
      <c r="J2241" s="11"/>
      <c r="K2241" s="11" t="s">
        <v>93</v>
      </c>
      <c r="L2241" s="11"/>
      <c r="M2241" s="11"/>
      <c r="N2241" s="11"/>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4"/>
    </row>
    <row r="2242" spans="1:35" ht="12.5" hidden="1" x14ac:dyDescent="0.25">
      <c r="A2242" s="9">
        <v>841</v>
      </c>
      <c r="B2242" s="10" t="s">
        <v>60</v>
      </c>
      <c r="C2242" s="10" t="s">
        <v>41</v>
      </c>
      <c r="D2242" s="10" t="s">
        <v>43</v>
      </c>
      <c r="E2242" s="11" t="s">
        <v>160</v>
      </c>
      <c r="F2242" s="11" t="s">
        <v>17</v>
      </c>
      <c r="G2242" s="10" t="s">
        <v>24</v>
      </c>
      <c r="H2242" s="11" t="s">
        <v>19</v>
      </c>
      <c r="I2242" s="11" t="s">
        <v>113</v>
      </c>
      <c r="J2242" s="11"/>
      <c r="K2242" s="11" t="s">
        <v>93</v>
      </c>
      <c r="L2242" s="11"/>
      <c r="M2242" s="11"/>
      <c r="N2242" s="11"/>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4"/>
    </row>
    <row r="2243" spans="1:35" ht="12.5" hidden="1" x14ac:dyDescent="0.25">
      <c r="A2243" s="9">
        <v>842</v>
      </c>
      <c r="B2243" s="10" t="s">
        <v>60</v>
      </c>
      <c r="C2243" s="10" t="s">
        <v>41</v>
      </c>
      <c r="D2243" s="10" t="s">
        <v>43</v>
      </c>
      <c r="E2243" s="11" t="s">
        <v>160</v>
      </c>
      <c r="F2243" s="11" t="s">
        <v>17</v>
      </c>
      <c r="G2243" s="10" t="s">
        <v>24</v>
      </c>
      <c r="H2243" s="11" t="s">
        <v>23</v>
      </c>
      <c r="I2243" s="11" t="s">
        <v>113</v>
      </c>
      <c r="J2243" s="11"/>
      <c r="K2243" s="11" t="s">
        <v>93</v>
      </c>
      <c r="L2243" s="11"/>
      <c r="M2243" s="11"/>
      <c r="N2243" s="11"/>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4"/>
    </row>
    <row r="2244" spans="1:35" ht="12.5" hidden="1" x14ac:dyDescent="0.25">
      <c r="A2244" s="9">
        <v>843</v>
      </c>
      <c r="B2244" s="10" t="s">
        <v>60</v>
      </c>
      <c r="C2244" s="10" t="s">
        <v>15</v>
      </c>
      <c r="D2244" s="10" t="s">
        <v>45</v>
      </c>
      <c r="E2244" s="11" t="s">
        <v>92</v>
      </c>
      <c r="F2244" s="11" t="s">
        <v>17</v>
      </c>
      <c r="G2244" s="10" t="s">
        <v>24</v>
      </c>
      <c r="H2244" s="11" t="s">
        <v>23</v>
      </c>
      <c r="I2244" s="11" t="s">
        <v>113</v>
      </c>
      <c r="J2244" s="11"/>
      <c r="K2244" s="11" t="s">
        <v>92</v>
      </c>
      <c r="L2244" s="11"/>
      <c r="M2244" s="11"/>
      <c r="N2244" s="11"/>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4"/>
    </row>
    <row r="2245" spans="1:35" ht="12.5" hidden="1" x14ac:dyDescent="0.25">
      <c r="A2245" s="9">
        <v>844</v>
      </c>
      <c r="B2245" s="10" t="s">
        <v>60</v>
      </c>
      <c r="C2245" s="10" t="s">
        <v>15</v>
      </c>
      <c r="D2245" s="10" t="s">
        <v>45</v>
      </c>
      <c r="E2245" s="11" t="s">
        <v>92</v>
      </c>
      <c r="F2245" s="11" t="s">
        <v>17</v>
      </c>
      <c r="G2245" s="10" t="s">
        <v>24</v>
      </c>
      <c r="H2245" s="11" t="s">
        <v>23</v>
      </c>
      <c r="I2245" s="11" t="s">
        <v>113</v>
      </c>
      <c r="J2245" s="11"/>
      <c r="K2245" s="11" t="s">
        <v>92</v>
      </c>
      <c r="L2245" s="11"/>
      <c r="M2245" s="11"/>
      <c r="N2245" s="11"/>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4"/>
    </row>
    <row r="2246" spans="1:35" ht="12.5" hidden="1" x14ac:dyDescent="0.25">
      <c r="A2246" s="9">
        <v>845</v>
      </c>
      <c r="B2246" s="10" t="s">
        <v>60</v>
      </c>
      <c r="C2246" s="10" t="s">
        <v>15</v>
      </c>
      <c r="D2246" s="10" t="s">
        <v>45</v>
      </c>
      <c r="E2246" s="11" t="s">
        <v>92</v>
      </c>
      <c r="F2246" s="11" t="s">
        <v>17</v>
      </c>
      <c r="G2246" s="10" t="s">
        <v>24</v>
      </c>
      <c r="H2246" s="11" t="s">
        <v>19</v>
      </c>
      <c r="I2246" s="11" t="s">
        <v>113</v>
      </c>
      <c r="J2246" s="11"/>
      <c r="K2246" s="11" t="s">
        <v>92</v>
      </c>
      <c r="L2246" s="11"/>
      <c r="M2246" s="11"/>
      <c r="N2246" s="11"/>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4"/>
    </row>
    <row r="2247" spans="1:35" ht="12.5" hidden="1" x14ac:dyDescent="0.25">
      <c r="A2247" s="9">
        <v>846</v>
      </c>
      <c r="B2247" s="10" t="s">
        <v>60</v>
      </c>
      <c r="C2247" s="10" t="s">
        <v>15</v>
      </c>
      <c r="D2247" s="10" t="s">
        <v>45</v>
      </c>
      <c r="E2247" s="11" t="s">
        <v>92</v>
      </c>
      <c r="F2247" s="11" t="s">
        <v>17</v>
      </c>
      <c r="G2247" s="10" t="s">
        <v>18</v>
      </c>
      <c r="H2247" s="11" t="s">
        <v>19</v>
      </c>
      <c r="I2247" s="11" t="s">
        <v>113</v>
      </c>
      <c r="J2247" s="11"/>
      <c r="K2247" s="11" t="s">
        <v>92</v>
      </c>
      <c r="L2247" s="11"/>
      <c r="M2247" s="11"/>
      <c r="N2247" s="11"/>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4"/>
    </row>
    <row r="2248" spans="1:35" ht="12.5" hidden="1" x14ac:dyDescent="0.25">
      <c r="A2248" s="9">
        <v>847</v>
      </c>
      <c r="B2248" s="10" t="s">
        <v>60</v>
      </c>
      <c r="C2248" s="10" t="s">
        <v>15</v>
      </c>
      <c r="D2248" s="10" t="s">
        <v>45</v>
      </c>
      <c r="E2248" s="11" t="s">
        <v>92</v>
      </c>
      <c r="F2248" s="11" t="s">
        <v>17</v>
      </c>
      <c r="G2248" s="10" t="s">
        <v>24</v>
      </c>
      <c r="H2248" s="11" t="s">
        <v>19</v>
      </c>
      <c r="I2248" s="11" t="s">
        <v>113</v>
      </c>
      <c r="J2248" s="11"/>
      <c r="K2248" s="11" t="s">
        <v>92</v>
      </c>
      <c r="L2248" s="11"/>
      <c r="M2248" s="11"/>
      <c r="N2248" s="11"/>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4"/>
    </row>
    <row r="2249" spans="1:35" ht="12.5" hidden="1" x14ac:dyDescent="0.25">
      <c r="A2249" s="9">
        <v>848</v>
      </c>
      <c r="B2249" s="10" t="s">
        <v>60</v>
      </c>
      <c r="C2249" s="10" t="s">
        <v>15</v>
      </c>
      <c r="D2249" s="10" t="s">
        <v>45</v>
      </c>
      <c r="E2249" s="11" t="s">
        <v>92</v>
      </c>
      <c r="F2249" s="11" t="s">
        <v>17</v>
      </c>
      <c r="G2249" s="10" t="s">
        <v>24</v>
      </c>
      <c r="H2249" s="11" t="s">
        <v>23</v>
      </c>
      <c r="I2249" s="11" t="s">
        <v>113</v>
      </c>
      <c r="J2249" s="11"/>
      <c r="K2249" s="11" t="s">
        <v>92</v>
      </c>
      <c r="L2249" s="11"/>
      <c r="M2249" s="11"/>
      <c r="N2249" s="11"/>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4"/>
    </row>
    <row r="2250" spans="1:35" ht="12.5" hidden="1" x14ac:dyDescent="0.25">
      <c r="A2250" s="9">
        <v>849</v>
      </c>
      <c r="B2250" s="10" t="s">
        <v>60</v>
      </c>
      <c r="C2250" s="10" t="s">
        <v>15</v>
      </c>
      <c r="D2250" s="10" t="s">
        <v>45</v>
      </c>
      <c r="E2250" s="11" t="s">
        <v>92</v>
      </c>
      <c r="F2250" s="11" t="s">
        <v>17</v>
      </c>
      <c r="G2250" s="10" t="s">
        <v>18</v>
      </c>
      <c r="H2250" s="11" t="s">
        <v>19</v>
      </c>
      <c r="I2250" s="11" t="s">
        <v>113</v>
      </c>
      <c r="J2250" s="11"/>
      <c r="K2250" s="11" t="s">
        <v>92</v>
      </c>
      <c r="L2250" s="11"/>
      <c r="M2250" s="11"/>
      <c r="N2250" s="11"/>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4"/>
    </row>
    <row r="2251" spans="1:35" ht="12.5" hidden="1" x14ac:dyDescent="0.25">
      <c r="A2251" s="9">
        <v>850</v>
      </c>
      <c r="B2251" s="10" t="s">
        <v>60</v>
      </c>
      <c r="C2251" s="10" t="s">
        <v>15</v>
      </c>
      <c r="D2251" s="10" t="s">
        <v>45</v>
      </c>
      <c r="E2251" s="11" t="s">
        <v>92</v>
      </c>
      <c r="F2251" s="11" t="s">
        <v>17</v>
      </c>
      <c r="G2251" s="10" t="s">
        <v>18</v>
      </c>
      <c r="H2251" s="11" t="s">
        <v>19</v>
      </c>
      <c r="I2251" s="11" t="s">
        <v>113</v>
      </c>
      <c r="J2251" s="11"/>
      <c r="K2251" s="11" t="s">
        <v>92</v>
      </c>
      <c r="L2251" s="11"/>
      <c r="M2251" s="11"/>
      <c r="N2251" s="11"/>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4"/>
    </row>
    <row r="2252" spans="1:35" ht="12.5" hidden="1" x14ac:dyDescent="0.25">
      <c r="A2252" s="9">
        <v>851</v>
      </c>
      <c r="B2252" s="10" t="s">
        <v>60</v>
      </c>
      <c r="C2252" s="10" t="s">
        <v>15</v>
      </c>
      <c r="D2252" s="10" t="s">
        <v>45</v>
      </c>
      <c r="E2252" s="11" t="s">
        <v>92</v>
      </c>
      <c r="F2252" s="11" t="s">
        <v>17</v>
      </c>
      <c r="G2252" s="10" t="s">
        <v>18</v>
      </c>
      <c r="H2252" s="11" t="s">
        <v>23</v>
      </c>
      <c r="I2252" s="11" t="s">
        <v>113</v>
      </c>
      <c r="J2252" s="11"/>
      <c r="K2252" s="11" t="s">
        <v>92</v>
      </c>
      <c r="L2252" s="11"/>
      <c r="M2252" s="11"/>
      <c r="N2252" s="11"/>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4"/>
    </row>
    <row r="2253" spans="1:35" ht="12.5" hidden="1" x14ac:dyDescent="0.25">
      <c r="A2253" s="9">
        <v>852</v>
      </c>
      <c r="B2253" s="10" t="s">
        <v>60</v>
      </c>
      <c r="C2253" s="10" t="s">
        <v>15</v>
      </c>
      <c r="D2253" s="10" t="s">
        <v>45</v>
      </c>
      <c r="E2253" s="11" t="s">
        <v>92</v>
      </c>
      <c r="F2253" s="11" t="s">
        <v>17</v>
      </c>
      <c r="G2253" s="10" t="s">
        <v>18</v>
      </c>
      <c r="H2253" s="11" t="s">
        <v>23</v>
      </c>
      <c r="I2253" s="11" t="s">
        <v>113</v>
      </c>
      <c r="J2253" s="11"/>
      <c r="K2253" s="11" t="s">
        <v>92</v>
      </c>
      <c r="L2253" s="11"/>
      <c r="M2253" s="11"/>
      <c r="N2253" s="11"/>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4"/>
    </row>
    <row r="2254" spans="1:35" ht="12.5" hidden="1" x14ac:dyDescent="0.25">
      <c r="A2254" s="9">
        <v>853</v>
      </c>
      <c r="B2254" s="10" t="s">
        <v>60</v>
      </c>
      <c r="C2254" s="10" t="s">
        <v>15</v>
      </c>
      <c r="D2254" s="10" t="s">
        <v>45</v>
      </c>
      <c r="E2254" s="11" t="s">
        <v>92</v>
      </c>
      <c r="F2254" s="11" t="s">
        <v>17</v>
      </c>
      <c r="G2254" s="10" t="s">
        <v>24</v>
      </c>
      <c r="H2254" s="11" t="s">
        <v>19</v>
      </c>
      <c r="I2254" s="11" t="s">
        <v>113</v>
      </c>
      <c r="J2254" s="11"/>
      <c r="K2254" s="11" t="s">
        <v>92</v>
      </c>
      <c r="L2254" s="11"/>
      <c r="M2254" s="11"/>
      <c r="N2254" s="11"/>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4"/>
    </row>
    <row r="2255" spans="1:35" ht="12.5" hidden="1" x14ac:dyDescent="0.25">
      <c r="A2255" s="9">
        <v>854</v>
      </c>
      <c r="B2255" s="10" t="s">
        <v>60</v>
      </c>
      <c r="C2255" s="10" t="s">
        <v>15</v>
      </c>
      <c r="D2255" s="10" t="s">
        <v>45</v>
      </c>
      <c r="E2255" s="11" t="s">
        <v>92</v>
      </c>
      <c r="F2255" s="11" t="s">
        <v>17</v>
      </c>
      <c r="G2255" s="10" t="s">
        <v>18</v>
      </c>
      <c r="H2255" s="11" t="s">
        <v>19</v>
      </c>
      <c r="I2255" s="11" t="s">
        <v>113</v>
      </c>
      <c r="J2255" s="11"/>
      <c r="K2255" s="11" t="s">
        <v>92</v>
      </c>
      <c r="L2255" s="11"/>
      <c r="M2255" s="11"/>
      <c r="N2255" s="11"/>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4"/>
    </row>
    <row r="2256" spans="1:35" ht="12.5" hidden="1" x14ac:dyDescent="0.25">
      <c r="A2256" s="9">
        <v>855</v>
      </c>
      <c r="B2256" s="10" t="s">
        <v>60</v>
      </c>
      <c r="C2256" s="10" t="s">
        <v>15</v>
      </c>
      <c r="D2256" s="10" t="s">
        <v>45</v>
      </c>
      <c r="E2256" s="11" t="s">
        <v>92</v>
      </c>
      <c r="F2256" s="11" t="s">
        <v>17</v>
      </c>
      <c r="G2256" s="10" t="s">
        <v>24</v>
      </c>
      <c r="H2256" s="11" t="s">
        <v>19</v>
      </c>
      <c r="I2256" s="11" t="s">
        <v>113</v>
      </c>
      <c r="J2256" s="11"/>
      <c r="K2256" s="11" t="s">
        <v>92</v>
      </c>
      <c r="L2256" s="11"/>
      <c r="M2256" s="11"/>
      <c r="N2256" s="11"/>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4"/>
    </row>
    <row r="2257" spans="1:35" ht="12.5" hidden="1" x14ac:dyDescent="0.25">
      <c r="A2257" s="9">
        <v>856</v>
      </c>
      <c r="B2257" s="10" t="s">
        <v>60</v>
      </c>
      <c r="C2257" s="10" t="s">
        <v>15</v>
      </c>
      <c r="D2257" s="10" t="s">
        <v>45</v>
      </c>
      <c r="E2257" s="11" t="s">
        <v>92</v>
      </c>
      <c r="F2257" s="11" t="s">
        <v>17</v>
      </c>
      <c r="G2257" s="10" t="s">
        <v>18</v>
      </c>
      <c r="H2257" s="11" t="s">
        <v>19</v>
      </c>
      <c r="I2257" s="11" t="s">
        <v>113</v>
      </c>
      <c r="J2257" s="11"/>
      <c r="K2257" s="11" t="s">
        <v>92</v>
      </c>
      <c r="L2257" s="11"/>
      <c r="M2257" s="11"/>
      <c r="N2257" s="11"/>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4"/>
    </row>
    <row r="2258" spans="1:35" ht="12.5" hidden="1" x14ac:dyDescent="0.25">
      <c r="A2258" s="9">
        <v>857</v>
      </c>
      <c r="B2258" s="10" t="s">
        <v>60</v>
      </c>
      <c r="C2258" s="10" t="s">
        <v>15</v>
      </c>
      <c r="D2258" s="10" t="s">
        <v>16</v>
      </c>
      <c r="E2258" s="11" t="s">
        <v>92</v>
      </c>
      <c r="F2258" s="11" t="s">
        <v>17</v>
      </c>
      <c r="G2258" s="10" t="s">
        <v>24</v>
      </c>
      <c r="H2258" s="11" t="s">
        <v>19</v>
      </c>
      <c r="I2258" s="11" t="s">
        <v>113</v>
      </c>
      <c r="J2258" s="11"/>
      <c r="K2258" s="11" t="s">
        <v>92</v>
      </c>
      <c r="L2258" s="11"/>
      <c r="M2258" s="11"/>
      <c r="N2258" s="11"/>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4"/>
    </row>
    <row r="2259" spans="1:35" ht="12.5" hidden="1" x14ac:dyDescent="0.25">
      <c r="A2259" s="9">
        <v>858</v>
      </c>
      <c r="B2259" s="10" t="s">
        <v>60</v>
      </c>
      <c r="C2259" s="10" t="s">
        <v>15</v>
      </c>
      <c r="D2259" s="10" t="s">
        <v>16</v>
      </c>
      <c r="E2259" s="11" t="s">
        <v>92</v>
      </c>
      <c r="F2259" s="11" t="s">
        <v>17</v>
      </c>
      <c r="G2259" s="10" t="s">
        <v>18</v>
      </c>
      <c r="H2259" s="11" t="s">
        <v>19</v>
      </c>
      <c r="I2259" s="11" t="s">
        <v>113</v>
      </c>
      <c r="J2259" s="11"/>
      <c r="K2259" s="11" t="s">
        <v>92</v>
      </c>
      <c r="L2259" s="11"/>
      <c r="M2259" s="11"/>
      <c r="N2259" s="11"/>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4"/>
    </row>
    <row r="2260" spans="1:35" ht="12.5" hidden="1" x14ac:dyDescent="0.25">
      <c r="A2260" s="9">
        <v>859</v>
      </c>
      <c r="B2260" s="10" t="s">
        <v>60</v>
      </c>
      <c r="C2260" s="10" t="s">
        <v>15</v>
      </c>
      <c r="D2260" s="10" t="s">
        <v>16</v>
      </c>
      <c r="E2260" s="11" t="s">
        <v>92</v>
      </c>
      <c r="F2260" s="11" t="s">
        <v>17</v>
      </c>
      <c r="G2260" s="10" t="s">
        <v>18</v>
      </c>
      <c r="H2260" s="11" t="s">
        <v>19</v>
      </c>
      <c r="I2260" s="11" t="s">
        <v>113</v>
      </c>
      <c r="J2260" s="11"/>
      <c r="K2260" s="11" t="s">
        <v>92</v>
      </c>
      <c r="L2260" s="11"/>
      <c r="M2260" s="11"/>
      <c r="N2260" s="11"/>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4"/>
    </row>
    <row r="2261" spans="1:35" ht="12.5" hidden="1" x14ac:dyDescent="0.25">
      <c r="A2261" s="9">
        <v>860</v>
      </c>
      <c r="B2261" s="10" t="s">
        <v>60</v>
      </c>
      <c r="C2261" s="10" t="s">
        <v>15</v>
      </c>
      <c r="D2261" s="10" t="s">
        <v>16</v>
      </c>
      <c r="E2261" s="11" t="s">
        <v>92</v>
      </c>
      <c r="F2261" s="11" t="s">
        <v>17</v>
      </c>
      <c r="G2261" s="10" t="s">
        <v>18</v>
      </c>
      <c r="H2261" s="11" t="s">
        <v>19</v>
      </c>
      <c r="I2261" s="11" t="s">
        <v>113</v>
      </c>
      <c r="J2261" s="11"/>
      <c r="K2261" s="11" t="s">
        <v>92</v>
      </c>
      <c r="L2261" s="11"/>
      <c r="M2261" s="11"/>
      <c r="N2261" s="11"/>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4"/>
    </row>
    <row r="2262" spans="1:35" ht="12.5" hidden="1" x14ac:dyDescent="0.25">
      <c r="A2262" s="9">
        <v>861</v>
      </c>
      <c r="B2262" s="10" t="s">
        <v>60</v>
      </c>
      <c r="C2262" s="10" t="s">
        <v>15</v>
      </c>
      <c r="D2262" s="10" t="s">
        <v>16</v>
      </c>
      <c r="E2262" s="11" t="s">
        <v>92</v>
      </c>
      <c r="F2262" s="11" t="s">
        <v>17</v>
      </c>
      <c r="G2262" s="10" t="s">
        <v>24</v>
      </c>
      <c r="H2262" s="11" t="s">
        <v>19</v>
      </c>
      <c r="I2262" s="11" t="s">
        <v>113</v>
      </c>
      <c r="J2262" s="11"/>
      <c r="K2262" s="11" t="s">
        <v>92</v>
      </c>
      <c r="L2262" s="11"/>
      <c r="M2262" s="11"/>
      <c r="N2262" s="11"/>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4"/>
    </row>
    <row r="2263" spans="1:35" ht="12.5" hidden="1" x14ac:dyDescent="0.25">
      <c r="A2263" s="9">
        <v>862</v>
      </c>
      <c r="B2263" s="10" t="s">
        <v>60</v>
      </c>
      <c r="C2263" s="10" t="s">
        <v>15</v>
      </c>
      <c r="D2263" s="10" t="s">
        <v>16</v>
      </c>
      <c r="E2263" s="11" t="s">
        <v>92</v>
      </c>
      <c r="F2263" s="11" t="s">
        <v>17</v>
      </c>
      <c r="G2263" s="10" t="s">
        <v>24</v>
      </c>
      <c r="H2263" s="11" t="s">
        <v>19</v>
      </c>
      <c r="I2263" s="11" t="s">
        <v>113</v>
      </c>
      <c r="J2263" s="11"/>
      <c r="K2263" s="11" t="s">
        <v>92</v>
      </c>
      <c r="L2263" s="11"/>
      <c r="M2263" s="11"/>
      <c r="N2263" s="11"/>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4"/>
    </row>
    <row r="2264" spans="1:35" ht="12.5" hidden="1" x14ac:dyDescent="0.25">
      <c r="A2264" s="9">
        <v>863</v>
      </c>
      <c r="B2264" s="10" t="s">
        <v>60</v>
      </c>
      <c r="C2264" s="10" t="s">
        <v>15</v>
      </c>
      <c r="D2264" s="10" t="s">
        <v>16</v>
      </c>
      <c r="E2264" s="11" t="s">
        <v>92</v>
      </c>
      <c r="F2264" s="11" t="s">
        <v>17</v>
      </c>
      <c r="G2264" s="10" t="s">
        <v>24</v>
      </c>
      <c r="H2264" s="11" t="s">
        <v>19</v>
      </c>
      <c r="I2264" s="11" t="s">
        <v>113</v>
      </c>
      <c r="J2264" s="11"/>
      <c r="K2264" s="11" t="s">
        <v>92</v>
      </c>
      <c r="L2264" s="11"/>
      <c r="M2264" s="11"/>
      <c r="N2264" s="11"/>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4"/>
    </row>
    <row r="2265" spans="1:35" ht="12.5" hidden="1" x14ac:dyDescent="0.25">
      <c r="A2265" s="9">
        <v>864</v>
      </c>
      <c r="B2265" s="10" t="s">
        <v>60</v>
      </c>
      <c r="C2265" s="10" t="s">
        <v>15</v>
      </c>
      <c r="D2265" s="10" t="s">
        <v>16</v>
      </c>
      <c r="E2265" s="11" t="s">
        <v>92</v>
      </c>
      <c r="F2265" s="11" t="s">
        <v>17</v>
      </c>
      <c r="G2265" s="10" t="s">
        <v>24</v>
      </c>
      <c r="H2265" s="11" t="s">
        <v>19</v>
      </c>
      <c r="I2265" s="11" t="s">
        <v>113</v>
      </c>
      <c r="J2265" s="11"/>
      <c r="K2265" s="11" t="s">
        <v>92</v>
      </c>
      <c r="L2265" s="11"/>
      <c r="M2265" s="11"/>
      <c r="N2265" s="11"/>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4"/>
    </row>
    <row r="2266" spans="1:35" ht="12.5" hidden="1" x14ac:dyDescent="0.25">
      <c r="A2266" s="9">
        <v>865</v>
      </c>
      <c r="B2266" s="10" t="s">
        <v>60</v>
      </c>
      <c r="C2266" s="10" t="s">
        <v>15</v>
      </c>
      <c r="D2266" s="10" t="s">
        <v>16</v>
      </c>
      <c r="E2266" s="11" t="s">
        <v>92</v>
      </c>
      <c r="F2266" s="11" t="s">
        <v>17</v>
      </c>
      <c r="G2266" s="10" t="s">
        <v>24</v>
      </c>
      <c r="H2266" s="11" t="s">
        <v>19</v>
      </c>
      <c r="I2266" s="11" t="s">
        <v>113</v>
      </c>
      <c r="J2266" s="11"/>
      <c r="K2266" s="11" t="s">
        <v>92</v>
      </c>
      <c r="L2266" s="11"/>
      <c r="M2266" s="11"/>
      <c r="N2266" s="11"/>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4"/>
    </row>
    <row r="2267" spans="1:35" ht="12.5" hidden="1" x14ac:dyDescent="0.25">
      <c r="A2267" s="9">
        <v>866</v>
      </c>
      <c r="B2267" s="10" t="s">
        <v>60</v>
      </c>
      <c r="C2267" s="10" t="s">
        <v>15</v>
      </c>
      <c r="D2267" s="10" t="s">
        <v>16</v>
      </c>
      <c r="E2267" s="11" t="s">
        <v>92</v>
      </c>
      <c r="F2267" s="11" t="s">
        <v>17</v>
      </c>
      <c r="G2267" s="10" t="s">
        <v>24</v>
      </c>
      <c r="H2267" s="11" t="s">
        <v>19</v>
      </c>
      <c r="I2267" s="11" t="s">
        <v>113</v>
      </c>
      <c r="J2267" s="11"/>
      <c r="K2267" s="11" t="s">
        <v>92</v>
      </c>
      <c r="L2267" s="11"/>
      <c r="M2267" s="11"/>
      <c r="N2267" s="11"/>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4"/>
    </row>
    <row r="2268" spans="1:35" ht="12.5" hidden="1" x14ac:dyDescent="0.25">
      <c r="A2268" s="9">
        <v>867</v>
      </c>
      <c r="B2268" s="10" t="s">
        <v>60</v>
      </c>
      <c r="C2268" s="10" t="s">
        <v>15</v>
      </c>
      <c r="D2268" s="10" t="s">
        <v>16</v>
      </c>
      <c r="E2268" s="11" t="s">
        <v>92</v>
      </c>
      <c r="F2268" s="11" t="s">
        <v>17</v>
      </c>
      <c r="G2268" s="10" t="s">
        <v>24</v>
      </c>
      <c r="H2268" s="11" t="s">
        <v>19</v>
      </c>
      <c r="I2268" s="11" t="s">
        <v>113</v>
      </c>
      <c r="J2268" s="11"/>
      <c r="K2268" s="11" t="s">
        <v>92</v>
      </c>
      <c r="L2268" s="11"/>
      <c r="M2268" s="11"/>
      <c r="N2268" s="11"/>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4"/>
    </row>
    <row r="2269" spans="1:35" ht="12.5" hidden="1" x14ac:dyDescent="0.25">
      <c r="A2269" s="9">
        <v>868</v>
      </c>
      <c r="B2269" s="10" t="s">
        <v>60</v>
      </c>
      <c r="C2269" s="10" t="s">
        <v>15</v>
      </c>
      <c r="D2269" s="10" t="s">
        <v>16</v>
      </c>
      <c r="E2269" s="11" t="s">
        <v>92</v>
      </c>
      <c r="F2269" s="11" t="s">
        <v>17</v>
      </c>
      <c r="G2269" s="10" t="s">
        <v>24</v>
      </c>
      <c r="H2269" s="11" t="s">
        <v>19</v>
      </c>
      <c r="I2269" s="11" t="s">
        <v>113</v>
      </c>
      <c r="J2269" s="11"/>
      <c r="K2269" s="11" t="s">
        <v>92</v>
      </c>
      <c r="L2269" s="11"/>
      <c r="M2269" s="11"/>
      <c r="N2269" s="11"/>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4"/>
    </row>
    <row r="2270" spans="1:35" ht="12.5" hidden="1" x14ac:dyDescent="0.25">
      <c r="A2270" s="9">
        <v>869</v>
      </c>
      <c r="B2270" s="10" t="s">
        <v>60</v>
      </c>
      <c r="C2270" s="10" t="s">
        <v>15</v>
      </c>
      <c r="D2270" s="10" t="s">
        <v>16</v>
      </c>
      <c r="E2270" s="11" t="s">
        <v>92</v>
      </c>
      <c r="F2270" s="11" t="s">
        <v>17</v>
      </c>
      <c r="G2270" s="10" t="s">
        <v>18</v>
      </c>
      <c r="H2270" s="11" t="s">
        <v>19</v>
      </c>
      <c r="I2270" s="11" t="s">
        <v>113</v>
      </c>
      <c r="J2270" s="11"/>
      <c r="K2270" s="11" t="s">
        <v>92</v>
      </c>
      <c r="L2270" s="11"/>
      <c r="M2270" s="11"/>
      <c r="N2270" s="11"/>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4"/>
    </row>
    <row r="2271" spans="1:35" ht="12.5" hidden="1" x14ac:dyDescent="0.25">
      <c r="A2271" s="9">
        <v>870</v>
      </c>
      <c r="B2271" s="10" t="s">
        <v>60</v>
      </c>
      <c r="C2271" s="10" t="s">
        <v>15</v>
      </c>
      <c r="D2271" s="10" t="s">
        <v>16</v>
      </c>
      <c r="E2271" s="11" t="s">
        <v>92</v>
      </c>
      <c r="F2271" s="11" t="s">
        <v>17</v>
      </c>
      <c r="G2271" s="10" t="s">
        <v>18</v>
      </c>
      <c r="H2271" s="11" t="s">
        <v>19</v>
      </c>
      <c r="I2271" s="11" t="s">
        <v>113</v>
      </c>
      <c r="J2271" s="11"/>
      <c r="K2271" s="11" t="s">
        <v>92</v>
      </c>
      <c r="L2271" s="11"/>
      <c r="M2271" s="11"/>
      <c r="N2271" s="11"/>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4"/>
    </row>
    <row r="2272" spans="1:35" ht="12.5" hidden="1" x14ac:dyDescent="0.25">
      <c r="A2272" s="9">
        <v>871</v>
      </c>
      <c r="B2272" s="10" t="s">
        <v>60</v>
      </c>
      <c r="C2272" s="10" t="s">
        <v>15</v>
      </c>
      <c r="D2272" s="10" t="s">
        <v>16</v>
      </c>
      <c r="E2272" s="11" t="s">
        <v>92</v>
      </c>
      <c r="F2272" s="11" t="s">
        <v>17</v>
      </c>
      <c r="G2272" s="10" t="s">
        <v>24</v>
      </c>
      <c r="H2272" s="11" t="s">
        <v>19</v>
      </c>
      <c r="I2272" s="11" t="s">
        <v>113</v>
      </c>
      <c r="J2272" s="11"/>
      <c r="K2272" s="11" t="s">
        <v>92</v>
      </c>
      <c r="L2272" s="11"/>
      <c r="M2272" s="11"/>
      <c r="N2272" s="11"/>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4"/>
    </row>
    <row r="2273" spans="1:35" ht="12.5" hidden="1" x14ac:dyDescent="0.25">
      <c r="A2273" s="9">
        <v>872</v>
      </c>
      <c r="B2273" s="10" t="s">
        <v>60</v>
      </c>
      <c r="C2273" s="10" t="s">
        <v>15</v>
      </c>
      <c r="D2273" s="10" t="s">
        <v>16</v>
      </c>
      <c r="E2273" s="11" t="s">
        <v>92</v>
      </c>
      <c r="F2273" s="11" t="s">
        <v>17</v>
      </c>
      <c r="G2273" s="10" t="s">
        <v>18</v>
      </c>
      <c r="H2273" s="11" t="s">
        <v>19</v>
      </c>
      <c r="I2273" s="11" t="s">
        <v>113</v>
      </c>
      <c r="J2273" s="11"/>
      <c r="K2273" s="11" t="s">
        <v>92</v>
      </c>
      <c r="L2273" s="11"/>
      <c r="M2273" s="11"/>
      <c r="N2273" s="11"/>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4"/>
    </row>
    <row r="2274" spans="1:35" ht="12.5" hidden="1" x14ac:dyDescent="0.25">
      <c r="A2274" s="9">
        <v>873</v>
      </c>
      <c r="B2274" s="10" t="s">
        <v>60</v>
      </c>
      <c r="C2274" s="10" t="s">
        <v>15</v>
      </c>
      <c r="D2274" s="10" t="s">
        <v>37</v>
      </c>
      <c r="E2274" s="11" t="s">
        <v>92</v>
      </c>
      <c r="F2274" s="11" t="s">
        <v>17</v>
      </c>
      <c r="G2274" s="10" t="s">
        <v>18</v>
      </c>
      <c r="H2274" s="11" t="s">
        <v>19</v>
      </c>
      <c r="I2274" s="11" t="s">
        <v>113</v>
      </c>
      <c r="J2274" s="11"/>
      <c r="K2274" s="11" t="s">
        <v>92</v>
      </c>
      <c r="L2274" s="11"/>
      <c r="M2274" s="11"/>
      <c r="N2274" s="11"/>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4"/>
    </row>
    <row r="2275" spans="1:35" ht="12.5" hidden="1" x14ac:dyDescent="0.25">
      <c r="A2275" s="9">
        <v>874</v>
      </c>
      <c r="B2275" s="10" t="s">
        <v>60</v>
      </c>
      <c r="C2275" s="10" t="s">
        <v>15</v>
      </c>
      <c r="D2275" s="10" t="s">
        <v>37</v>
      </c>
      <c r="E2275" s="11" t="s">
        <v>92</v>
      </c>
      <c r="F2275" s="11" t="s">
        <v>17</v>
      </c>
      <c r="G2275" s="10" t="s">
        <v>24</v>
      </c>
      <c r="H2275" s="11" t="s">
        <v>19</v>
      </c>
      <c r="I2275" s="11" t="s">
        <v>113</v>
      </c>
      <c r="J2275" s="11"/>
      <c r="K2275" s="11" t="s">
        <v>92</v>
      </c>
      <c r="L2275" s="11"/>
      <c r="M2275" s="11"/>
      <c r="N2275" s="11"/>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4"/>
    </row>
    <row r="2276" spans="1:35" ht="12.5" hidden="1" x14ac:dyDescent="0.25">
      <c r="A2276" s="9">
        <v>875</v>
      </c>
      <c r="B2276" s="10" t="s">
        <v>60</v>
      </c>
      <c r="C2276" s="10" t="s">
        <v>15</v>
      </c>
      <c r="D2276" s="10" t="s">
        <v>37</v>
      </c>
      <c r="E2276" s="11" t="s">
        <v>92</v>
      </c>
      <c r="F2276" s="11" t="s">
        <v>17</v>
      </c>
      <c r="G2276" s="10" t="s">
        <v>18</v>
      </c>
      <c r="H2276" s="11" t="s">
        <v>19</v>
      </c>
      <c r="I2276" s="11" t="s">
        <v>113</v>
      </c>
      <c r="J2276" s="11"/>
      <c r="K2276" s="11" t="s">
        <v>92</v>
      </c>
      <c r="L2276" s="11"/>
      <c r="M2276" s="11"/>
      <c r="N2276" s="11"/>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4"/>
    </row>
    <row r="2277" spans="1:35" ht="12.5" hidden="1" x14ac:dyDescent="0.25">
      <c r="A2277" s="9">
        <v>876</v>
      </c>
      <c r="B2277" s="10" t="s">
        <v>60</v>
      </c>
      <c r="C2277" s="10" t="s">
        <v>15</v>
      </c>
      <c r="D2277" s="10" t="s">
        <v>37</v>
      </c>
      <c r="E2277" s="11" t="s">
        <v>92</v>
      </c>
      <c r="F2277" s="11" t="s">
        <v>17</v>
      </c>
      <c r="G2277" s="10" t="s">
        <v>18</v>
      </c>
      <c r="H2277" s="11" t="s">
        <v>19</v>
      </c>
      <c r="I2277" s="11" t="s">
        <v>113</v>
      </c>
      <c r="J2277" s="11"/>
      <c r="K2277" s="11" t="s">
        <v>92</v>
      </c>
      <c r="L2277" s="11"/>
      <c r="M2277" s="11"/>
      <c r="N2277" s="11"/>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4"/>
    </row>
    <row r="2278" spans="1:35" ht="12.5" hidden="1" x14ac:dyDescent="0.25">
      <c r="A2278" s="9">
        <v>877</v>
      </c>
      <c r="B2278" s="10" t="s">
        <v>60</v>
      </c>
      <c r="C2278" s="10" t="s">
        <v>15</v>
      </c>
      <c r="D2278" s="10" t="s">
        <v>37</v>
      </c>
      <c r="E2278" s="11" t="s">
        <v>92</v>
      </c>
      <c r="F2278" s="11" t="s">
        <v>17</v>
      </c>
      <c r="G2278" s="10" t="s">
        <v>18</v>
      </c>
      <c r="H2278" s="11" t="s">
        <v>19</v>
      </c>
      <c r="I2278" s="11" t="s">
        <v>113</v>
      </c>
      <c r="J2278" s="11"/>
      <c r="K2278" s="11" t="s">
        <v>92</v>
      </c>
      <c r="L2278" s="11"/>
      <c r="M2278" s="11"/>
      <c r="N2278" s="11"/>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4"/>
    </row>
    <row r="2279" spans="1:35" ht="12.5" hidden="1" x14ac:dyDescent="0.25">
      <c r="A2279" s="9">
        <v>878</v>
      </c>
      <c r="B2279" s="10" t="s">
        <v>60</v>
      </c>
      <c r="C2279" s="10" t="s">
        <v>15</v>
      </c>
      <c r="D2279" s="10" t="s">
        <v>37</v>
      </c>
      <c r="E2279" s="11" t="s">
        <v>92</v>
      </c>
      <c r="F2279" s="11" t="s">
        <v>17</v>
      </c>
      <c r="G2279" s="10" t="s">
        <v>24</v>
      </c>
      <c r="H2279" s="11" t="s">
        <v>19</v>
      </c>
      <c r="I2279" s="11" t="s">
        <v>113</v>
      </c>
      <c r="J2279" s="11"/>
      <c r="K2279" s="11" t="s">
        <v>92</v>
      </c>
      <c r="L2279" s="11"/>
      <c r="M2279" s="11"/>
      <c r="N2279" s="11"/>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4"/>
    </row>
    <row r="2280" spans="1:35" ht="12.5" hidden="1" x14ac:dyDescent="0.25">
      <c r="A2280" s="9">
        <v>879</v>
      </c>
      <c r="B2280" s="10" t="s">
        <v>60</v>
      </c>
      <c r="C2280" s="10" t="s">
        <v>15</v>
      </c>
      <c r="D2280" s="10" t="s">
        <v>37</v>
      </c>
      <c r="E2280" s="11" t="s">
        <v>92</v>
      </c>
      <c r="F2280" s="11" t="s">
        <v>17</v>
      </c>
      <c r="G2280" s="10" t="s">
        <v>24</v>
      </c>
      <c r="H2280" s="11" t="s">
        <v>19</v>
      </c>
      <c r="I2280" s="11" t="s">
        <v>113</v>
      </c>
      <c r="J2280" s="11"/>
      <c r="K2280" s="11" t="s">
        <v>92</v>
      </c>
      <c r="L2280" s="11"/>
      <c r="M2280" s="11"/>
      <c r="N2280" s="11"/>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4"/>
    </row>
    <row r="2281" spans="1:35" ht="12.5" hidden="1" x14ac:dyDescent="0.25">
      <c r="A2281" s="9">
        <v>880</v>
      </c>
      <c r="B2281" s="10" t="s">
        <v>60</v>
      </c>
      <c r="C2281" s="10" t="s">
        <v>15</v>
      </c>
      <c r="D2281" s="10" t="s">
        <v>37</v>
      </c>
      <c r="E2281" s="11" t="s">
        <v>92</v>
      </c>
      <c r="F2281" s="11" t="s">
        <v>17</v>
      </c>
      <c r="G2281" s="10" t="s">
        <v>24</v>
      </c>
      <c r="H2281" s="11" t="s">
        <v>19</v>
      </c>
      <c r="I2281" s="11" t="s">
        <v>113</v>
      </c>
      <c r="J2281" s="11"/>
      <c r="K2281" s="11" t="s">
        <v>92</v>
      </c>
      <c r="L2281" s="11"/>
      <c r="M2281" s="11"/>
      <c r="N2281" s="11"/>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4"/>
    </row>
    <row r="2282" spans="1:35" ht="12.5" hidden="1" x14ac:dyDescent="0.25">
      <c r="A2282" s="9">
        <v>881</v>
      </c>
      <c r="B2282" s="10" t="s">
        <v>60</v>
      </c>
      <c r="C2282" s="10" t="s">
        <v>15</v>
      </c>
      <c r="D2282" s="10" t="s">
        <v>37</v>
      </c>
      <c r="E2282" s="11" t="s">
        <v>92</v>
      </c>
      <c r="F2282" s="11" t="s">
        <v>17</v>
      </c>
      <c r="G2282" s="10" t="s">
        <v>18</v>
      </c>
      <c r="H2282" s="11" t="s">
        <v>19</v>
      </c>
      <c r="I2282" s="11" t="s">
        <v>113</v>
      </c>
      <c r="J2282" s="11"/>
      <c r="K2282" s="11" t="s">
        <v>92</v>
      </c>
      <c r="L2282" s="11"/>
      <c r="M2282" s="11"/>
      <c r="N2282" s="11"/>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4"/>
    </row>
    <row r="2283" spans="1:35" ht="12.5" hidden="1" x14ac:dyDescent="0.25">
      <c r="A2283" s="9">
        <v>882</v>
      </c>
      <c r="B2283" s="10" t="s">
        <v>60</v>
      </c>
      <c r="C2283" s="10" t="s">
        <v>15</v>
      </c>
      <c r="D2283" s="10" t="s">
        <v>37</v>
      </c>
      <c r="E2283" s="11" t="s">
        <v>92</v>
      </c>
      <c r="F2283" s="11" t="s">
        <v>17</v>
      </c>
      <c r="G2283" s="10" t="s">
        <v>18</v>
      </c>
      <c r="H2283" s="11" t="s">
        <v>19</v>
      </c>
      <c r="I2283" s="11" t="s">
        <v>113</v>
      </c>
      <c r="J2283" s="11"/>
      <c r="K2283" s="11" t="s">
        <v>92</v>
      </c>
      <c r="L2283" s="11"/>
      <c r="M2283" s="11"/>
      <c r="N2283" s="11"/>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4"/>
    </row>
    <row r="2284" spans="1:35" ht="12.5" hidden="1" x14ac:dyDescent="0.25">
      <c r="A2284" s="9">
        <v>883</v>
      </c>
      <c r="B2284" s="10" t="s">
        <v>60</v>
      </c>
      <c r="C2284" s="10" t="s">
        <v>15</v>
      </c>
      <c r="D2284" s="10" t="s">
        <v>37</v>
      </c>
      <c r="E2284" s="11" t="s">
        <v>92</v>
      </c>
      <c r="F2284" s="11" t="s">
        <v>17</v>
      </c>
      <c r="G2284" s="10" t="s">
        <v>18</v>
      </c>
      <c r="H2284" s="11" t="s">
        <v>19</v>
      </c>
      <c r="I2284" s="11" t="s">
        <v>113</v>
      </c>
      <c r="J2284" s="11"/>
      <c r="K2284" s="11" t="s">
        <v>92</v>
      </c>
      <c r="L2284" s="11"/>
      <c r="M2284" s="11"/>
      <c r="N2284" s="11"/>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4"/>
    </row>
    <row r="2285" spans="1:35" ht="12.5" hidden="1" x14ac:dyDescent="0.25">
      <c r="A2285" s="9">
        <v>884</v>
      </c>
      <c r="B2285" s="10" t="s">
        <v>60</v>
      </c>
      <c r="C2285" s="10" t="s">
        <v>15</v>
      </c>
      <c r="D2285" s="10" t="s">
        <v>37</v>
      </c>
      <c r="E2285" s="11" t="s">
        <v>92</v>
      </c>
      <c r="F2285" s="11" t="s">
        <v>17</v>
      </c>
      <c r="G2285" s="10" t="s">
        <v>24</v>
      </c>
      <c r="H2285" s="11" t="s">
        <v>19</v>
      </c>
      <c r="I2285" s="11" t="s">
        <v>113</v>
      </c>
      <c r="J2285" s="11"/>
      <c r="K2285" s="11" t="s">
        <v>92</v>
      </c>
      <c r="L2285" s="11"/>
      <c r="M2285" s="11"/>
      <c r="N2285" s="11"/>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4"/>
    </row>
    <row r="2286" spans="1:35" ht="12.5" hidden="1" x14ac:dyDescent="0.25">
      <c r="A2286" s="9">
        <v>885</v>
      </c>
      <c r="B2286" s="10" t="s">
        <v>60</v>
      </c>
      <c r="C2286" s="10" t="s">
        <v>15</v>
      </c>
      <c r="D2286" s="10" t="s">
        <v>37</v>
      </c>
      <c r="E2286" s="11" t="s">
        <v>92</v>
      </c>
      <c r="F2286" s="11" t="s">
        <v>17</v>
      </c>
      <c r="G2286" s="10" t="s">
        <v>18</v>
      </c>
      <c r="H2286" s="11" t="s">
        <v>19</v>
      </c>
      <c r="I2286" s="11" t="s">
        <v>113</v>
      </c>
      <c r="J2286" s="11"/>
      <c r="K2286" s="11" t="s">
        <v>92</v>
      </c>
      <c r="L2286" s="11"/>
      <c r="M2286" s="11"/>
      <c r="N2286" s="11"/>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4"/>
    </row>
    <row r="2287" spans="1:35" ht="12.5" hidden="1" x14ac:dyDescent="0.25">
      <c r="A2287" s="9">
        <v>886</v>
      </c>
      <c r="B2287" s="10" t="s">
        <v>60</v>
      </c>
      <c r="C2287" s="10" t="s">
        <v>15</v>
      </c>
      <c r="D2287" s="10" t="s">
        <v>37</v>
      </c>
      <c r="E2287" s="11" t="s">
        <v>92</v>
      </c>
      <c r="F2287" s="11" t="s">
        <v>17</v>
      </c>
      <c r="G2287" s="10" t="s">
        <v>18</v>
      </c>
      <c r="H2287" s="11" t="s">
        <v>19</v>
      </c>
      <c r="I2287" s="11" t="s">
        <v>113</v>
      </c>
      <c r="J2287" s="11"/>
      <c r="K2287" s="11" t="s">
        <v>92</v>
      </c>
      <c r="L2287" s="11"/>
      <c r="M2287" s="11"/>
      <c r="N2287" s="11"/>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4"/>
    </row>
    <row r="2288" spans="1:35" ht="12.5" hidden="1" x14ac:dyDescent="0.25">
      <c r="A2288" s="9">
        <v>887</v>
      </c>
      <c r="B2288" s="10" t="s">
        <v>60</v>
      </c>
      <c r="C2288" s="10" t="s">
        <v>15</v>
      </c>
      <c r="D2288" s="10" t="s">
        <v>37</v>
      </c>
      <c r="E2288" s="11" t="s">
        <v>92</v>
      </c>
      <c r="F2288" s="11" t="s">
        <v>17</v>
      </c>
      <c r="G2288" s="10" t="s">
        <v>24</v>
      </c>
      <c r="H2288" s="11" t="s">
        <v>19</v>
      </c>
      <c r="I2288" s="11" t="s">
        <v>113</v>
      </c>
      <c r="J2288" s="11"/>
      <c r="K2288" s="11" t="s">
        <v>92</v>
      </c>
      <c r="L2288" s="11"/>
      <c r="M2288" s="11"/>
      <c r="N2288" s="11"/>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4"/>
    </row>
    <row r="2289" spans="1:35" ht="12.5" hidden="1" x14ac:dyDescent="0.25">
      <c r="A2289" s="9">
        <v>888</v>
      </c>
      <c r="B2289" s="10" t="s">
        <v>60</v>
      </c>
      <c r="C2289" s="10" t="s">
        <v>15</v>
      </c>
      <c r="D2289" s="10" t="s">
        <v>37</v>
      </c>
      <c r="E2289" s="11" t="s">
        <v>92</v>
      </c>
      <c r="F2289" s="11" t="s">
        <v>17</v>
      </c>
      <c r="G2289" s="10" t="s">
        <v>24</v>
      </c>
      <c r="H2289" s="11" t="s">
        <v>19</v>
      </c>
      <c r="I2289" s="11" t="s">
        <v>113</v>
      </c>
      <c r="J2289" s="11"/>
      <c r="K2289" s="11" t="s">
        <v>92</v>
      </c>
      <c r="L2289" s="11"/>
      <c r="M2289" s="11"/>
      <c r="N2289" s="11"/>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4"/>
    </row>
    <row r="2290" spans="1:35" ht="12.5" hidden="1" x14ac:dyDescent="0.25">
      <c r="A2290" s="9">
        <v>889</v>
      </c>
      <c r="B2290" s="10" t="s">
        <v>60</v>
      </c>
      <c r="C2290" s="10" t="s">
        <v>15</v>
      </c>
      <c r="D2290" s="10" t="s">
        <v>37</v>
      </c>
      <c r="E2290" s="11" t="s">
        <v>92</v>
      </c>
      <c r="F2290" s="11" t="s">
        <v>17</v>
      </c>
      <c r="G2290" s="10" t="s">
        <v>24</v>
      </c>
      <c r="H2290" s="11" t="s">
        <v>19</v>
      </c>
      <c r="I2290" s="11" t="s">
        <v>113</v>
      </c>
      <c r="J2290" s="11"/>
      <c r="K2290" s="11" t="s">
        <v>92</v>
      </c>
      <c r="L2290" s="11"/>
      <c r="M2290" s="11"/>
      <c r="N2290" s="11"/>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4"/>
    </row>
    <row r="2291" spans="1:35" ht="12.5" hidden="1" x14ac:dyDescent="0.25">
      <c r="A2291" s="9">
        <v>890</v>
      </c>
      <c r="B2291" s="10" t="s">
        <v>60</v>
      </c>
      <c r="C2291" s="10" t="s">
        <v>15</v>
      </c>
      <c r="D2291" s="10" t="s">
        <v>37</v>
      </c>
      <c r="E2291" s="11" t="s">
        <v>92</v>
      </c>
      <c r="F2291" s="11" t="s">
        <v>17</v>
      </c>
      <c r="G2291" s="10" t="s">
        <v>18</v>
      </c>
      <c r="H2291" s="11" t="s">
        <v>19</v>
      </c>
      <c r="I2291" s="11" t="s">
        <v>113</v>
      </c>
      <c r="J2291" s="11"/>
      <c r="K2291" s="11" t="s">
        <v>92</v>
      </c>
      <c r="L2291" s="11"/>
      <c r="M2291" s="11"/>
      <c r="N2291" s="11"/>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4"/>
    </row>
    <row r="2292" spans="1:35" ht="12.5" hidden="1" x14ac:dyDescent="0.25">
      <c r="A2292" s="9">
        <v>891</v>
      </c>
      <c r="B2292" s="10" t="s">
        <v>60</v>
      </c>
      <c r="C2292" s="10" t="s">
        <v>15</v>
      </c>
      <c r="D2292" s="10" t="s">
        <v>37</v>
      </c>
      <c r="E2292" s="11" t="s">
        <v>92</v>
      </c>
      <c r="F2292" s="11" t="s">
        <v>17</v>
      </c>
      <c r="G2292" s="10" t="s">
        <v>18</v>
      </c>
      <c r="H2292" s="11" t="s">
        <v>19</v>
      </c>
      <c r="I2292" s="11" t="s">
        <v>113</v>
      </c>
      <c r="J2292" s="11"/>
      <c r="K2292" s="11" t="s">
        <v>92</v>
      </c>
      <c r="L2292" s="11"/>
      <c r="M2292" s="11"/>
      <c r="N2292" s="11"/>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4"/>
    </row>
    <row r="2293" spans="1:35" ht="12.5" hidden="1" x14ac:dyDescent="0.25">
      <c r="A2293" s="9">
        <v>892</v>
      </c>
      <c r="B2293" s="10" t="s">
        <v>60</v>
      </c>
      <c r="C2293" s="10" t="s">
        <v>15</v>
      </c>
      <c r="D2293" s="10" t="s">
        <v>37</v>
      </c>
      <c r="E2293" s="11" t="s">
        <v>92</v>
      </c>
      <c r="F2293" s="11" t="s">
        <v>17</v>
      </c>
      <c r="G2293" s="10" t="s">
        <v>18</v>
      </c>
      <c r="H2293" s="11" t="s">
        <v>19</v>
      </c>
      <c r="I2293" s="11" t="s">
        <v>113</v>
      </c>
      <c r="J2293" s="11"/>
      <c r="K2293" s="11" t="s">
        <v>92</v>
      </c>
      <c r="L2293" s="11"/>
      <c r="M2293" s="11"/>
      <c r="N2293" s="11"/>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4"/>
    </row>
    <row r="2294" spans="1:35" ht="12.5" hidden="1" x14ac:dyDescent="0.25">
      <c r="A2294" s="9">
        <v>893</v>
      </c>
      <c r="B2294" s="10" t="s">
        <v>60</v>
      </c>
      <c r="C2294" s="10" t="s">
        <v>15</v>
      </c>
      <c r="D2294" s="10" t="s">
        <v>37</v>
      </c>
      <c r="E2294" s="11" t="s">
        <v>92</v>
      </c>
      <c r="F2294" s="11" t="s">
        <v>17</v>
      </c>
      <c r="G2294" s="10" t="s">
        <v>18</v>
      </c>
      <c r="H2294" s="11" t="s">
        <v>19</v>
      </c>
      <c r="I2294" s="11" t="s">
        <v>113</v>
      </c>
      <c r="J2294" s="11"/>
      <c r="K2294" s="11" t="s">
        <v>92</v>
      </c>
      <c r="L2294" s="11"/>
      <c r="M2294" s="11"/>
      <c r="N2294" s="11"/>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4"/>
    </row>
    <row r="2295" spans="1:35" ht="12.5" hidden="1" x14ac:dyDescent="0.25">
      <c r="A2295" s="9">
        <v>894</v>
      </c>
      <c r="B2295" s="10" t="s">
        <v>60</v>
      </c>
      <c r="C2295" s="10" t="s">
        <v>15</v>
      </c>
      <c r="D2295" s="10" t="s">
        <v>37</v>
      </c>
      <c r="E2295" s="11" t="s">
        <v>92</v>
      </c>
      <c r="F2295" s="11" t="s">
        <v>17</v>
      </c>
      <c r="G2295" s="10" t="s">
        <v>18</v>
      </c>
      <c r="H2295" s="11" t="s">
        <v>19</v>
      </c>
      <c r="I2295" s="11" t="s">
        <v>113</v>
      </c>
      <c r="J2295" s="11"/>
      <c r="K2295" s="11" t="s">
        <v>92</v>
      </c>
      <c r="L2295" s="11"/>
      <c r="M2295" s="11"/>
      <c r="N2295" s="11"/>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4"/>
    </row>
    <row r="2296" spans="1:35" ht="12.5" hidden="1" x14ac:dyDescent="0.25">
      <c r="A2296" s="9">
        <v>895</v>
      </c>
      <c r="B2296" s="10" t="s">
        <v>60</v>
      </c>
      <c r="C2296" s="10" t="s">
        <v>15</v>
      </c>
      <c r="D2296" s="10" t="s">
        <v>37</v>
      </c>
      <c r="E2296" s="11" t="s">
        <v>92</v>
      </c>
      <c r="F2296" s="11" t="s">
        <v>17</v>
      </c>
      <c r="G2296" s="10" t="s">
        <v>18</v>
      </c>
      <c r="H2296" s="11" t="s">
        <v>23</v>
      </c>
      <c r="I2296" s="11" t="s">
        <v>113</v>
      </c>
      <c r="J2296" s="11"/>
      <c r="K2296" s="11" t="s">
        <v>92</v>
      </c>
      <c r="L2296" s="11"/>
      <c r="M2296" s="11"/>
      <c r="N2296" s="11"/>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4"/>
    </row>
    <row r="2297" spans="1:35" ht="12.5" hidden="1" x14ac:dyDescent="0.25">
      <c r="A2297" s="9">
        <v>896</v>
      </c>
      <c r="B2297" s="10" t="s">
        <v>60</v>
      </c>
      <c r="C2297" s="10" t="s">
        <v>15</v>
      </c>
      <c r="D2297" s="10" t="s">
        <v>37</v>
      </c>
      <c r="E2297" s="11" t="s">
        <v>92</v>
      </c>
      <c r="F2297" s="11" t="s">
        <v>17</v>
      </c>
      <c r="G2297" s="10" t="s">
        <v>18</v>
      </c>
      <c r="H2297" s="11" t="s">
        <v>23</v>
      </c>
      <c r="I2297" s="11" t="s">
        <v>113</v>
      </c>
      <c r="J2297" s="11"/>
      <c r="K2297" s="11" t="s">
        <v>92</v>
      </c>
      <c r="L2297" s="11"/>
      <c r="M2297" s="11"/>
      <c r="N2297" s="11"/>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4"/>
    </row>
    <row r="2298" spans="1:35" ht="12.5" hidden="1" x14ac:dyDescent="0.25">
      <c r="A2298" s="9">
        <v>897</v>
      </c>
      <c r="B2298" s="10" t="s">
        <v>60</v>
      </c>
      <c r="C2298" s="10" t="s">
        <v>41</v>
      </c>
      <c r="D2298" s="10" t="s">
        <v>42</v>
      </c>
      <c r="E2298" s="11" t="s">
        <v>92</v>
      </c>
      <c r="F2298" s="11" t="s">
        <v>17</v>
      </c>
      <c r="G2298" s="10" t="s">
        <v>24</v>
      </c>
      <c r="H2298" s="11" t="s">
        <v>23</v>
      </c>
      <c r="I2298" s="11" t="s">
        <v>113</v>
      </c>
      <c r="J2298" s="11"/>
      <c r="K2298" s="11" t="s">
        <v>92</v>
      </c>
      <c r="L2298" s="11"/>
      <c r="M2298" s="11"/>
      <c r="N2298" s="11"/>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4"/>
    </row>
    <row r="2299" spans="1:35" ht="12.5" hidden="1" x14ac:dyDescent="0.25">
      <c r="A2299" s="9">
        <v>898</v>
      </c>
      <c r="B2299" s="10" t="s">
        <v>60</v>
      </c>
      <c r="C2299" s="10" t="s">
        <v>41</v>
      </c>
      <c r="D2299" s="10" t="s">
        <v>42</v>
      </c>
      <c r="E2299" s="11" t="s">
        <v>92</v>
      </c>
      <c r="F2299" s="11" t="s">
        <v>17</v>
      </c>
      <c r="G2299" s="10" t="s">
        <v>24</v>
      </c>
      <c r="H2299" s="11" t="s">
        <v>23</v>
      </c>
      <c r="I2299" s="11" t="s">
        <v>113</v>
      </c>
      <c r="J2299" s="11"/>
      <c r="K2299" s="11" t="s">
        <v>92</v>
      </c>
      <c r="L2299" s="11"/>
      <c r="M2299" s="11"/>
      <c r="N2299" s="11"/>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4"/>
    </row>
    <row r="2300" spans="1:35" ht="12.5" hidden="1" x14ac:dyDescent="0.25">
      <c r="A2300" s="9">
        <v>899</v>
      </c>
      <c r="B2300" s="10" t="s">
        <v>60</v>
      </c>
      <c r="C2300" s="10" t="s">
        <v>41</v>
      </c>
      <c r="D2300" s="10" t="s">
        <v>42</v>
      </c>
      <c r="E2300" s="11" t="s">
        <v>92</v>
      </c>
      <c r="F2300" s="11" t="s">
        <v>17</v>
      </c>
      <c r="G2300" s="10" t="s">
        <v>24</v>
      </c>
      <c r="H2300" s="11" t="s">
        <v>23</v>
      </c>
      <c r="I2300" s="11" t="s">
        <v>113</v>
      </c>
      <c r="J2300" s="11"/>
      <c r="K2300" s="11" t="s">
        <v>92</v>
      </c>
      <c r="L2300" s="11"/>
      <c r="M2300" s="11"/>
      <c r="N2300" s="11"/>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4"/>
    </row>
    <row r="2301" spans="1:35" ht="12.5" hidden="1" x14ac:dyDescent="0.25">
      <c r="A2301" s="9">
        <v>900</v>
      </c>
      <c r="B2301" s="10" t="s">
        <v>60</v>
      </c>
      <c r="C2301" s="10" t="s">
        <v>41</v>
      </c>
      <c r="D2301" s="10" t="s">
        <v>42</v>
      </c>
      <c r="E2301" s="11" t="s">
        <v>92</v>
      </c>
      <c r="F2301" s="11" t="s">
        <v>17</v>
      </c>
      <c r="G2301" s="10" t="s">
        <v>18</v>
      </c>
      <c r="H2301" s="11" t="s">
        <v>23</v>
      </c>
      <c r="I2301" s="11" t="s">
        <v>113</v>
      </c>
      <c r="J2301" s="11"/>
      <c r="K2301" s="11" t="s">
        <v>92</v>
      </c>
      <c r="L2301" s="11"/>
      <c r="M2301" s="11"/>
      <c r="N2301" s="11"/>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4"/>
    </row>
    <row r="2302" spans="1:35" ht="12.5" hidden="1" x14ac:dyDescent="0.25">
      <c r="A2302" s="9">
        <v>901</v>
      </c>
      <c r="B2302" s="10" t="s">
        <v>60</v>
      </c>
      <c r="C2302" s="10" t="s">
        <v>41</v>
      </c>
      <c r="D2302" s="10" t="s">
        <v>42</v>
      </c>
      <c r="E2302" s="11" t="s">
        <v>92</v>
      </c>
      <c r="F2302" s="11" t="s">
        <v>17</v>
      </c>
      <c r="G2302" s="10" t="s">
        <v>24</v>
      </c>
      <c r="H2302" s="11" t="s">
        <v>23</v>
      </c>
      <c r="I2302" s="11" t="s">
        <v>113</v>
      </c>
      <c r="J2302" s="11"/>
      <c r="K2302" s="11" t="s">
        <v>92</v>
      </c>
      <c r="L2302" s="11"/>
      <c r="M2302" s="11"/>
      <c r="N2302" s="11"/>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4"/>
    </row>
    <row r="2303" spans="1:35" ht="12.5" hidden="1" x14ac:dyDescent="0.25">
      <c r="A2303" s="9">
        <v>902</v>
      </c>
      <c r="B2303" s="10" t="s">
        <v>60</v>
      </c>
      <c r="C2303" s="10" t="s">
        <v>41</v>
      </c>
      <c r="D2303" s="10" t="s">
        <v>42</v>
      </c>
      <c r="E2303" s="11" t="s">
        <v>92</v>
      </c>
      <c r="F2303" s="11" t="s">
        <v>17</v>
      </c>
      <c r="G2303" s="10" t="s">
        <v>18</v>
      </c>
      <c r="H2303" s="11" t="s">
        <v>23</v>
      </c>
      <c r="I2303" s="11" t="s">
        <v>113</v>
      </c>
      <c r="J2303" s="11"/>
      <c r="K2303" s="11" t="s">
        <v>92</v>
      </c>
      <c r="L2303" s="11"/>
      <c r="M2303" s="11"/>
      <c r="N2303" s="11"/>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4"/>
    </row>
    <row r="2304" spans="1:35" ht="12.5" hidden="1" x14ac:dyDescent="0.25">
      <c r="A2304" s="9">
        <v>903</v>
      </c>
      <c r="B2304" s="10" t="s">
        <v>60</v>
      </c>
      <c r="C2304" s="10" t="s">
        <v>41</v>
      </c>
      <c r="D2304" s="10" t="s">
        <v>42</v>
      </c>
      <c r="E2304" s="11" t="s">
        <v>92</v>
      </c>
      <c r="F2304" s="11" t="s">
        <v>17</v>
      </c>
      <c r="G2304" s="10" t="s">
        <v>24</v>
      </c>
      <c r="H2304" s="11" t="s">
        <v>23</v>
      </c>
      <c r="I2304" s="11" t="s">
        <v>113</v>
      </c>
      <c r="J2304" s="11"/>
      <c r="K2304" s="11" t="s">
        <v>92</v>
      </c>
      <c r="L2304" s="11"/>
      <c r="M2304" s="11"/>
      <c r="N2304" s="11"/>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4"/>
    </row>
    <row r="2305" spans="1:35" ht="12.5" hidden="1" x14ac:dyDescent="0.25">
      <c r="A2305" s="9">
        <v>904</v>
      </c>
      <c r="B2305" s="10" t="s">
        <v>60</v>
      </c>
      <c r="C2305" s="10" t="s">
        <v>41</v>
      </c>
      <c r="D2305" s="10" t="s">
        <v>42</v>
      </c>
      <c r="E2305" s="11" t="s">
        <v>92</v>
      </c>
      <c r="F2305" s="11" t="s">
        <v>17</v>
      </c>
      <c r="G2305" s="10" t="s">
        <v>18</v>
      </c>
      <c r="H2305" s="11" t="s">
        <v>23</v>
      </c>
      <c r="I2305" s="11" t="s">
        <v>113</v>
      </c>
      <c r="J2305" s="11"/>
      <c r="K2305" s="11" t="s">
        <v>92</v>
      </c>
      <c r="L2305" s="11"/>
      <c r="M2305" s="11"/>
      <c r="N2305" s="11"/>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4"/>
    </row>
    <row r="2306" spans="1:35" ht="12.5" hidden="1" x14ac:dyDescent="0.25">
      <c r="A2306" s="9">
        <v>905</v>
      </c>
      <c r="B2306" s="10" t="s">
        <v>60</v>
      </c>
      <c r="C2306" s="10" t="s">
        <v>41</v>
      </c>
      <c r="D2306" s="10" t="s">
        <v>42</v>
      </c>
      <c r="E2306" s="11" t="s">
        <v>92</v>
      </c>
      <c r="F2306" s="11" t="s">
        <v>17</v>
      </c>
      <c r="G2306" s="10" t="s">
        <v>24</v>
      </c>
      <c r="H2306" s="11" t="s">
        <v>23</v>
      </c>
      <c r="I2306" s="11" t="s">
        <v>113</v>
      </c>
      <c r="J2306" s="11"/>
      <c r="K2306" s="11" t="s">
        <v>92</v>
      </c>
      <c r="L2306" s="11"/>
      <c r="M2306" s="11"/>
      <c r="N2306" s="11"/>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4"/>
    </row>
    <row r="2307" spans="1:35" ht="12.5" hidden="1" x14ac:dyDescent="0.25">
      <c r="A2307" s="9">
        <v>906</v>
      </c>
      <c r="B2307" s="10" t="s">
        <v>60</v>
      </c>
      <c r="C2307" s="10" t="s">
        <v>41</v>
      </c>
      <c r="D2307" s="10" t="s">
        <v>42</v>
      </c>
      <c r="E2307" s="11" t="s">
        <v>92</v>
      </c>
      <c r="F2307" s="11" t="s">
        <v>17</v>
      </c>
      <c r="G2307" s="10" t="s">
        <v>24</v>
      </c>
      <c r="H2307" s="11" t="s">
        <v>23</v>
      </c>
      <c r="I2307" s="11" t="s">
        <v>113</v>
      </c>
      <c r="J2307" s="11"/>
      <c r="K2307" s="11" t="s">
        <v>92</v>
      </c>
      <c r="L2307" s="11"/>
      <c r="M2307" s="11"/>
      <c r="N2307" s="11"/>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4"/>
    </row>
    <row r="2308" spans="1:35" ht="12.5" hidden="1" x14ac:dyDescent="0.25">
      <c r="A2308" s="9">
        <v>907</v>
      </c>
      <c r="B2308" s="10" t="s">
        <v>60</v>
      </c>
      <c r="C2308" s="10" t="s">
        <v>41</v>
      </c>
      <c r="D2308" s="10" t="s">
        <v>42</v>
      </c>
      <c r="E2308" s="11" t="s">
        <v>92</v>
      </c>
      <c r="F2308" s="11" t="s">
        <v>17</v>
      </c>
      <c r="G2308" s="10" t="s">
        <v>24</v>
      </c>
      <c r="H2308" s="11" t="s">
        <v>23</v>
      </c>
      <c r="I2308" s="11" t="s">
        <v>113</v>
      </c>
      <c r="J2308" s="11"/>
      <c r="K2308" s="11" t="s">
        <v>92</v>
      </c>
      <c r="L2308" s="11"/>
      <c r="M2308" s="11"/>
      <c r="N2308" s="11"/>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4"/>
    </row>
    <row r="2309" spans="1:35" ht="12.5" hidden="1" x14ac:dyDescent="0.25">
      <c r="A2309" s="9">
        <v>908</v>
      </c>
      <c r="B2309" s="10" t="s">
        <v>60</v>
      </c>
      <c r="C2309" s="10" t="s">
        <v>41</v>
      </c>
      <c r="D2309" s="10" t="s">
        <v>42</v>
      </c>
      <c r="E2309" s="11" t="s">
        <v>92</v>
      </c>
      <c r="F2309" s="11" t="s">
        <v>17</v>
      </c>
      <c r="G2309" s="10" t="s">
        <v>24</v>
      </c>
      <c r="H2309" s="11" t="s">
        <v>23</v>
      </c>
      <c r="I2309" s="11" t="s">
        <v>113</v>
      </c>
      <c r="J2309" s="11"/>
      <c r="K2309" s="11" t="s">
        <v>92</v>
      </c>
      <c r="L2309" s="11"/>
      <c r="M2309" s="11"/>
      <c r="N2309" s="11"/>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4"/>
    </row>
    <row r="2310" spans="1:35" ht="12.5" hidden="1" x14ac:dyDescent="0.25">
      <c r="A2310" s="9">
        <v>909</v>
      </c>
      <c r="B2310" s="10" t="s">
        <v>60</v>
      </c>
      <c r="C2310" s="10" t="s">
        <v>41</v>
      </c>
      <c r="D2310" s="10" t="s">
        <v>42</v>
      </c>
      <c r="E2310" s="11" t="s">
        <v>92</v>
      </c>
      <c r="F2310" s="11" t="s">
        <v>17</v>
      </c>
      <c r="G2310" s="10" t="s">
        <v>18</v>
      </c>
      <c r="H2310" s="11" t="s">
        <v>23</v>
      </c>
      <c r="I2310" s="11" t="s">
        <v>113</v>
      </c>
      <c r="J2310" s="11"/>
      <c r="K2310" s="11" t="s">
        <v>92</v>
      </c>
      <c r="L2310" s="11"/>
      <c r="M2310" s="11"/>
      <c r="N2310" s="11"/>
      <c r="O2310" s="11"/>
      <c r="P2310" s="11"/>
      <c r="Q2310" s="11"/>
      <c r="R2310" s="11"/>
      <c r="S2310" s="11"/>
      <c r="T2310" s="11"/>
      <c r="U2310" s="11"/>
      <c r="V2310" s="11"/>
      <c r="W2310" s="11"/>
      <c r="X2310" s="11"/>
      <c r="Y2310" s="11"/>
      <c r="Z2310" s="11"/>
      <c r="AA2310" s="11"/>
      <c r="AB2310" s="11"/>
      <c r="AC2310" s="11"/>
      <c r="AD2310" s="11"/>
      <c r="AE2310" s="11"/>
      <c r="AF2310" s="11"/>
      <c r="AG2310" s="11"/>
      <c r="AH2310" s="11"/>
      <c r="AI2310" s="14"/>
    </row>
    <row r="2311" spans="1:35" ht="12.5" hidden="1" x14ac:dyDescent="0.25">
      <c r="A2311" s="9">
        <v>910</v>
      </c>
      <c r="B2311" s="10" t="s">
        <v>60</v>
      </c>
      <c r="C2311" s="10" t="s">
        <v>41</v>
      </c>
      <c r="D2311" s="10" t="s">
        <v>42</v>
      </c>
      <c r="E2311" s="11" t="s">
        <v>92</v>
      </c>
      <c r="F2311" s="11" t="s">
        <v>17</v>
      </c>
      <c r="G2311" s="10" t="s">
        <v>18</v>
      </c>
      <c r="H2311" s="11" t="s">
        <v>23</v>
      </c>
      <c r="I2311" s="11" t="s">
        <v>113</v>
      </c>
      <c r="J2311" s="11"/>
      <c r="K2311" s="11" t="s">
        <v>92</v>
      </c>
      <c r="L2311" s="11"/>
      <c r="M2311" s="11"/>
      <c r="N2311" s="11"/>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4"/>
    </row>
    <row r="2312" spans="1:35" ht="12.5" hidden="1" x14ac:dyDescent="0.25">
      <c r="A2312" s="9">
        <v>911</v>
      </c>
      <c r="B2312" s="10" t="s">
        <v>60</v>
      </c>
      <c r="C2312" s="10" t="s">
        <v>41</v>
      </c>
      <c r="D2312" s="10" t="s">
        <v>42</v>
      </c>
      <c r="E2312" s="11" t="s">
        <v>92</v>
      </c>
      <c r="F2312" s="11" t="s">
        <v>17</v>
      </c>
      <c r="G2312" s="10" t="s">
        <v>24</v>
      </c>
      <c r="H2312" s="11" t="s">
        <v>23</v>
      </c>
      <c r="I2312" s="11" t="s">
        <v>113</v>
      </c>
      <c r="J2312" s="11"/>
      <c r="K2312" s="11" t="s">
        <v>92</v>
      </c>
      <c r="L2312" s="11"/>
      <c r="M2312" s="11"/>
      <c r="N2312" s="11"/>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4"/>
    </row>
    <row r="2313" spans="1:35" ht="12.5" hidden="1" x14ac:dyDescent="0.25">
      <c r="A2313" s="9">
        <v>912</v>
      </c>
      <c r="B2313" s="10" t="s">
        <v>60</v>
      </c>
      <c r="C2313" s="10" t="s">
        <v>41</v>
      </c>
      <c r="D2313" s="10" t="s">
        <v>42</v>
      </c>
      <c r="E2313" s="11" t="s">
        <v>92</v>
      </c>
      <c r="F2313" s="11" t="s">
        <v>17</v>
      </c>
      <c r="G2313" s="10" t="s">
        <v>18</v>
      </c>
      <c r="H2313" s="11" t="s">
        <v>23</v>
      </c>
      <c r="I2313" s="11" t="s">
        <v>113</v>
      </c>
      <c r="J2313" s="11"/>
      <c r="K2313" s="11" t="s">
        <v>92</v>
      </c>
      <c r="L2313" s="11"/>
      <c r="M2313" s="11"/>
      <c r="N2313" s="11"/>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4"/>
    </row>
    <row r="2314" spans="1:35" ht="12.5" hidden="1" x14ac:dyDescent="0.25">
      <c r="A2314" s="9">
        <v>913</v>
      </c>
      <c r="B2314" s="10" t="s">
        <v>60</v>
      </c>
      <c r="C2314" s="10" t="s">
        <v>41</v>
      </c>
      <c r="D2314" s="10" t="s">
        <v>42</v>
      </c>
      <c r="E2314" s="11" t="s">
        <v>92</v>
      </c>
      <c r="F2314" s="11" t="s">
        <v>17</v>
      </c>
      <c r="G2314" s="10" t="s">
        <v>24</v>
      </c>
      <c r="H2314" s="11" t="s">
        <v>23</v>
      </c>
      <c r="I2314" s="11" t="s">
        <v>113</v>
      </c>
      <c r="J2314" s="11"/>
      <c r="K2314" s="11" t="s">
        <v>92</v>
      </c>
      <c r="L2314" s="11"/>
      <c r="M2314" s="11"/>
      <c r="N2314" s="11"/>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4"/>
    </row>
    <row r="2315" spans="1:35" ht="12.5" hidden="1" x14ac:dyDescent="0.25">
      <c r="A2315" s="9">
        <v>914</v>
      </c>
      <c r="B2315" s="10" t="s">
        <v>60</v>
      </c>
      <c r="C2315" s="10" t="s">
        <v>41</v>
      </c>
      <c r="D2315" s="10" t="s">
        <v>42</v>
      </c>
      <c r="E2315" s="11" t="s">
        <v>92</v>
      </c>
      <c r="F2315" s="11" t="s">
        <v>17</v>
      </c>
      <c r="G2315" s="10" t="s">
        <v>24</v>
      </c>
      <c r="H2315" s="11" t="s">
        <v>23</v>
      </c>
      <c r="I2315" s="11" t="s">
        <v>113</v>
      </c>
      <c r="J2315" s="11"/>
      <c r="K2315" s="11" t="s">
        <v>92</v>
      </c>
      <c r="L2315" s="11"/>
      <c r="M2315" s="11"/>
      <c r="N2315" s="11"/>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4"/>
    </row>
    <row r="2316" spans="1:35" ht="12.5" hidden="1" x14ac:dyDescent="0.25">
      <c r="A2316" s="9">
        <v>915</v>
      </c>
      <c r="B2316" s="10" t="s">
        <v>60</v>
      </c>
      <c r="C2316" s="10" t="s">
        <v>41</v>
      </c>
      <c r="D2316" s="10" t="s">
        <v>42</v>
      </c>
      <c r="E2316" s="11" t="s">
        <v>92</v>
      </c>
      <c r="F2316" s="11" t="s">
        <v>17</v>
      </c>
      <c r="G2316" s="10" t="s">
        <v>18</v>
      </c>
      <c r="H2316" s="11" t="s">
        <v>23</v>
      </c>
      <c r="I2316" s="11" t="s">
        <v>113</v>
      </c>
      <c r="J2316" s="11"/>
      <c r="K2316" s="11" t="s">
        <v>92</v>
      </c>
      <c r="L2316" s="11"/>
      <c r="M2316" s="11"/>
      <c r="N2316" s="11"/>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4"/>
    </row>
    <row r="2317" spans="1:35" ht="12.5" hidden="1" x14ac:dyDescent="0.25">
      <c r="A2317" s="9">
        <v>916</v>
      </c>
      <c r="B2317" s="10" t="s">
        <v>60</v>
      </c>
      <c r="C2317" s="10" t="s">
        <v>41</v>
      </c>
      <c r="D2317" s="10" t="s">
        <v>42</v>
      </c>
      <c r="E2317" s="11" t="s">
        <v>92</v>
      </c>
      <c r="F2317" s="11" t="s">
        <v>17</v>
      </c>
      <c r="G2317" s="10" t="s">
        <v>24</v>
      </c>
      <c r="H2317" s="11" t="s">
        <v>23</v>
      </c>
      <c r="I2317" s="11" t="s">
        <v>113</v>
      </c>
      <c r="J2317" s="11"/>
      <c r="K2317" s="11" t="s">
        <v>92</v>
      </c>
      <c r="L2317" s="11"/>
      <c r="M2317" s="11"/>
      <c r="N2317" s="11"/>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4"/>
    </row>
    <row r="2318" spans="1:35" ht="12.5" hidden="1" x14ac:dyDescent="0.25">
      <c r="A2318" s="9">
        <v>917</v>
      </c>
      <c r="B2318" s="10" t="s">
        <v>60</v>
      </c>
      <c r="C2318" s="10" t="s">
        <v>41</v>
      </c>
      <c r="D2318" s="10" t="s">
        <v>42</v>
      </c>
      <c r="E2318" s="11" t="s">
        <v>92</v>
      </c>
      <c r="F2318" s="11" t="s">
        <v>17</v>
      </c>
      <c r="G2318" s="10" t="s">
        <v>18</v>
      </c>
      <c r="H2318" s="11" t="s">
        <v>23</v>
      </c>
      <c r="I2318" s="11" t="s">
        <v>113</v>
      </c>
      <c r="J2318" s="11"/>
      <c r="K2318" s="11" t="s">
        <v>92</v>
      </c>
      <c r="L2318" s="11"/>
      <c r="M2318" s="11"/>
      <c r="N2318" s="11"/>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4"/>
    </row>
    <row r="2319" spans="1:35" ht="12.5" hidden="1" x14ac:dyDescent="0.25">
      <c r="A2319" s="9">
        <v>918</v>
      </c>
      <c r="B2319" s="10" t="s">
        <v>60</v>
      </c>
      <c r="C2319" s="10" t="s">
        <v>41</v>
      </c>
      <c r="D2319" s="10" t="s">
        <v>42</v>
      </c>
      <c r="E2319" s="11" t="s">
        <v>92</v>
      </c>
      <c r="F2319" s="11" t="s">
        <v>17</v>
      </c>
      <c r="G2319" s="10" t="s">
        <v>18</v>
      </c>
      <c r="H2319" s="11" t="s">
        <v>23</v>
      </c>
      <c r="I2319" s="11" t="s">
        <v>113</v>
      </c>
      <c r="J2319" s="11"/>
      <c r="K2319" s="11" t="s">
        <v>92</v>
      </c>
      <c r="L2319" s="11"/>
      <c r="M2319" s="11"/>
      <c r="N2319" s="11"/>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4"/>
    </row>
    <row r="2320" spans="1:35" ht="12.5" hidden="1" x14ac:dyDescent="0.25">
      <c r="A2320" s="9">
        <v>919</v>
      </c>
      <c r="B2320" s="10" t="s">
        <v>60</v>
      </c>
      <c r="C2320" s="10" t="s">
        <v>41</v>
      </c>
      <c r="D2320" s="10" t="s">
        <v>43</v>
      </c>
      <c r="E2320" s="11" t="s">
        <v>92</v>
      </c>
      <c r="F2320" s="11" t="s">
        <v>17</v>
      </c>
      <c r="G2320" s="10" t="s">
        <v>18</v>
      </c>
      <c r="H2320" s="11" t="s">
        <v>23</v>
      </c>
      <c r="I2320" s="11" t="s">
        <v>113</v>
      </c>
      <c r="J2320" s="11"/>
      <c r="K2320" s="11" t="s">
        <v>92</v>
      </c>
      <c r="L2320" s="11"/>
      <c r="M2320" s="11"/>
      <c r="N2320" s="11"/>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4"/>
    </row>
    <row r="2321" spans="1:35" ht="12.5" hidden="1" x14ac:dyDescent="0.25">
      <c r="A2321" s="9">
        <v>920</v>
      </c>
      <c r="B2321" s="10" t="s">
        <v>60</v>
      </c>
      <c r="C2321" s="10" t="s">
        <v>41</v>
      </c>
      <c r="D2321" s="10" t="s">
        <v>43</v>
      </c>
      <c r="E2321" s="11" t="s">
        <v>92</v>
      </c>
      <c r="F2321" s="11" t="s">
        <v>17</v>
      </c>
      <c r="G2321" s="10" t="s">
        <v>24</v>
      </c>
      <c r="H2321" s="11" t="s">
        <v>23</v>
      </c>
      <c r="I2321" s="11" t="s">
        <v>113</v>
      </c>
      <c r="J2321" s="11"/>
      <c r="K2321" s="11" t="s">
        <v>92</v>
      </c>
      <c r="L2321" s="11"/>
      <c r="M2321" s="11"/>
      <c r="N2321" s="11"/>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4"/>
    </row>
    <row r="2322" spans="1:35" ht="12.5" hidden="1" x14ac:dyDescent="0.25">
      <c r="A2322" s="9">
        <v>921</v>
      </c>
      <c r="B2322" s="10" t="s">
        <v>60</v>
      </c>
      <c r="C2322" s="10" t="s">
        <v>41</v>
      </c>
      <c r="D2322" s="10" t="s">
        <v>43</v>
      </c>
      <c r="E2322" s="11" t="s">
        <v>92</v>
      </c>
      <c r="F2322" s="11" t="s">
        <v>17</v>
      </c>
      <c r="G2322" s="10" t="s">
        <v>18</v>
      </c>
      <c r="H2322" s="11" t="s">
        <v>23</v>
      </c>
      <c r="I2322" s="11" t="s">
        <v>113</v>
      </c>
      <c r="J2322" s="11"/>
      <c r="K2322" s="11" t="s">
        <v>92</v>
      </c>
      <c r="L2322" s="11"/>
      <c r="M2322" s="11"/>
      <c r="N2322" s="11"/>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4"/>
    </row>
    <row r="2323" spans="1:35" ht="12.5" hidden="1" x14ac:dyDescent="0.25">
      <c r="A2323" s="9">
        <v>922</v>
      </c>
      <c r="B2323" s="10" t="s">
        <v>60</v>
      </c>
      <c r="C2323" s="10" t="s">
        <v>41</v>
      </c>
      <c r="D2323" s="10" t="s">
        <v>43</v>
      </c>
      <c r="E2323" s="11" t="s">
        <v>92</v>
      </c>
      <c r="F2323" s="11" t="s">
        <v>17</v>
      </c>
      <c r="G2323" s="10" t="s">
        <v>18</v>
      </c>
      <c r="H2323" s="11" t="s">
        <v>23</v>
      </c>
      <c r="I2323" s="11" t="s">
        <v>113</v>
      </c>
      <c r="J2323" s="11"/>
      <c r="K2323" s="11" t="s">
        <v>92</v>
      </c>
      <c r="L2323" s="11"/>
      <c r="M2323" s="11"/>
      <c r="N2323" s="11"/>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4"/>
    </row>
    <row r="2324" spans="1:35" ht="12.5" hidden="1" x14ac:dyDescent="0.25">
      <c r="A2324" s="9">
        <v>923</v>
      </c>
      <c r="B2324" s="10" t="s">
        <v>60</v>
      </c>
      <c r="C2324" s="10" t="s">
        <v>41</v>
      </c>
      <c r="D2324" s="10" t="s">
        <v>43</v>
      </c>
      <c r="E2324" s="11" t="s">
        <v>92</v>
      </c>
      <c r="F2324" s="11" t="s">
        <v>17</v>
      </c>
      <c r="G2324" s="10" t="s">
        <v>18</v>
      </c>
      <c r="H2324" s="11" t="s">
        <v>23</v>
      </c>
      <c r="I2324" s="11" t="s">
        <v>113</v>
      </c>
      <c r="J2324" s="11"/>
      <c r="K2324" s="11" t="s">
        <v>92</v>
      </c>
      <c r="L2324" s="11"/>
      <c r="M2324" s="11"/>
      <c r="N2324" s="11"/>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4"/>
    </row>
    <row r="2325" spans="1:35" ht="12.5" hidden="1" x14ac:dyDescent="0.25">
      <c r="A2325" s="9">
        <v>924</v>
      </c>
      <c r="B2325" s="10" t="s">
        <v>60</v>
      </c>
      <c r="C2325" s="10" t="s">
        <v>41</v>
      </c>
      <c r="D2325" s="10" t="s">
        <v>43</v>
      </c>
      <c r="E2325" s="11" t="s">
        <v>92</v>
      </c>
      <c r="F2325" s="11" t="s">
        <v>17</v>
      </c>
      <c r="G2325" s="10" t="s">
        <v>18</v>
      </c>
      <c r="H2325" s="11" t="s">
        <v>23</v>
      </c>
      <c r="I2325" s="11" t="s">
        <v>113</v>
      </c>
      <c r="J2325" s="11"/>
      <c r="K2325" s="11" t="s">
        <v>92</v>
      </c>
      <c r="L2325" s="11"/>
      <c r="M2325" s="11"/>
      <c r="N2325" s="11"/>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4"/>
    </row>
    <row r="2326" spans="1:35" ht="12.5" hidden="1" x14ac:dyDescent="0.25">
      <c r="A2326" s="9">
        <v>925</v>
      </c>
      <c r="B2326" s="10" t="s">
        <v>60</v>
      </c>
      <c r="C2326" s="10" t="s">
        <v>41</v>
      </c>
      <c r="D2326" s="10" t="s">
        <v>43</v>
      </c>
      <c r="E2326" s="11" t="s">
        <v>92</v>
      </c>
      <c r="F2326" s="11" t="s">
        <v>17</v>
      </c>
      <c r="G2326" s="10" t="s">
        <v>24</v>
      </c>
      <c r="H2326" s="11" t="s">
        <v>23</v>
      </c>
      <c r="I2326" s="11" t="s">
        <v>113</v>
      </c>
      <c r="J2326" s="11"/>
      <c r="K2326" s="11" t="s">
        <v>92</v>
      </c>
      <c r="L2326" s="11"/>
      <c r="M2326" s="11"/>
      <c r="N2326" s="11"/>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4"/>
    </row>
    <row r="2327" spans="1:35" ht="12.5" hidden="1" x14ac:dyDescent="0.25">
      <c r="A2327" s="9">
        <v>926</v>
      </c>
      <c r="B2327" s="10" t="s">
        <v>60</v>
      </c>
      <c r="C2327" s="10" t="s">
        <v>41</v>
      </c>
      <c r="D2327" s="10" t="s">
        <v>43</v>
      </c>
      <c r="E2327" s="11" t="s">
        <v>92</v>
      </c>
      <c r="F2327" s="11" t="s">
        <v>17</v>
      </c>
      <c r="G2327" s="10" t="s">
        <v>24</v>
      </c>
      <c r="H2327" s="11" t="s">
        <v>19</v>
      </c>
      <c r="I2327" s="11" t="s">
        <v>113</v>
      </c>
      <c r="J2327" s="11"/>
      <c r="K2327" s="11" t="s">
        <v>92</v>
      </c>
      <c r="L2327" s="11"/>
      <c r="M2327" s="11"/>
      <c r="N2327" s="11"/>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4"/>
    </row>
    <row r="2328" spans="1:35" ht="12.5" hidden="1" x14ac:dyDescent="0.25">
      <c r="A2328" s="9">
        <v>927</v>
      </c>
      <c r="B2328" s="10" t="s">
        <v>60</v>
      </c>
      <c r="C2328" s="10" t="s">
        <v>41</v>
      </c>
      <c r="D2328" s="10" t="s">
        <v>43</v>
      </c>
      <c r="E2328" s="11" t="s">
        <v>92</v>
      </c>
      <c r="F2328" s="11" t="s">
        <v>17</v>
      </c>
      <c r="G2328" s="10" t="s">
        <v>24</v>
      </c>
      <c r="H2328" s="11" t="s">
        <v>23</v>
      </c>
      <c r="I2328" s="11" t="s">
        <v>113</v>
      </c>
      <c r="J2328" s="11"/>
      <c r="K2328" s="11" t="s">
        <v>92</v>
      </c>
      <c r="L2328" s="11"/>
      <c r="M2328" s="11"/>
      <c r="N2328" s="11"/>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4"/>
    </row>
    <row r="2329" spans="1:35" ht="12.5" hidden="1" x14ac:dyDescent="0.25">
      <c r="A2329" s="9">
        <v>928</v>
      </c>
      <c r="B2329" s="10" t="s">
        <v>60</v>
      </c>
      <c r="C2329" s="10" t="s">
        <v>41</v>
      </c>
      <c r="D2329" s="10" t="s">
        <v>43</v>
      </c>
      <c r="E2329" s="11" t="s">
        <v>92</v>
      </c>
      <c r="F2329" s="11" t="s">
        <v>17</v>
      </c>
      <c r="G2329" s="10" t="s">
        <v>24</v>
      </c>
      <c r="H2329" s="11" t="s">
        <v>23</v>
      </c>
      <c r="I2329" s="11" t="s">
        <v>113</v>
      </c>
      <c r="J2329" s="11"/>
      <c r="K2329" s="11" t="s">
        <v>92</v>
      </c>
      <c r="L2329" s="11"/>
      <c r="M2329" s="11"/>
      <c r="N2329" s="11"/>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4"/>
    </row>
    <row r="2330" spans="1:35" ht="12.5" hidden="1" x14ac:dyDescent="0.25">
      <c r="A2330" s="9">
        <v>929</v>
      </c>
      <c r="B2330" s="10" t="s">
        <v>60</v>
      </c>
      <c r="C2330" s="10" t="s">
        <v>41</v>
      </c>
      <c r="D2330" s="10" t="s">
        <v>43</v>
      </c>
      <c r="E2330" s="11" t="s">
        <v>92</v>
      </c>
      <c r="F2330" s="11" t="s">
        <v>17</v>
      </c>
      <c r="G2330" s="10" t="s">
        <v>24</v>
      </c>
      <c r="H2330" s="11" t="s">
        <v>23</v>
      </c>
      <c r="I2330" s="11" t="s">
        <v>113</v>
      </c>
      <c r="J2330" s="11"/>
      <c r="K2330" s="11" t="s">
        <v>92</v>
      </c>
      <c r="L2330" s="11"/>
      <c r="M2330" s="11"/>
      <c r="N2330" s="11"/>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4"/>
    </row>
    <row r="2331" spans="1:35" ht="12.5" hidden="1" x14ac:dyDescent="0.25">
      <c r="A2331" s="9">
        <v>930</v>
      </c>
      <c r="B2331" s="10" t="s">
        <v>60</v>
      </c>
      <c r="C2331" s="10" t="s">
        <v>41</v>
      </c>
      <c r="D2331" s="10" t="s">
        <v>43</v>
      </c>
      <c r="E2331" s="11" t="s">
        <v>92</v>
      </c>
      <c r="F2331" s="11" t="s">
        <v>17</v>
      </c>
      <c r="G2331" s="10" t="s">
        <v>24</v>
      </c>
      <c r="H2331" s="11" t="s">
        <v>23</v>
      </c>
      <c r="I2331" s="11" t="s">
        <v>113</v>
      </c>
      <c r="J2331" s="11"/>
      <c r="K2331" s="11" t="s">
        <v>92</v>
      </c>
      <c r="L2331" s="11"/>
      <c r="M2331" s="11"/>
      <c r="N2331" s="11"/>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4"/>
    </row>
    <row r="2332" spans="1:35" ht="12.5" hidden="1" x14ac:dyDescent="0.25">
      <c r="A2332" s="9">
        <v>931</v>
      </c>
      <c r="B2332" s="10" t="s">
        <v>60</v>
      </c>
      <c r="C2332" s="10" t="s">
        <v>41</v>
      </c>
      <c r="D2332" s="10" t="s">
        <v>43</v>
      </c>
      <c r="E2332" s="11" t="s">
        <v>92</v>
      </c>
      <c r="F2332" s="11" t="s">
        <v>17</v>
      </c>
      <c r="G2332" s="10" t="s">
        <v>24</v>
      </c>
      <c r="H2332" s="11" t="s">
        <v>23</v>
      </c>
      <c r="I2332" s="11" t="s">
        <v>113</v>
      </c>
      <c r="J2332" s="11"/>
      <c r="K2332" s="11" t="s">
        <v>92</v>
      </c>
      <c r="L2332" s="11"/>
      <c r="M2332" s="11"/>
      <c r="N2332" s="11"/>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4"/>
    </row>
    <row r="2333" spans="1:35" ht="12.5" hidden="1" x14ac:dyDescent="0.25">
      <c r="A2333" s="9">
        <v>932</v>
      </c>
      <c r="B2333" s="10" t="s">
        <v>60</v>
      </c>
      <c r="C2333" s="10" t="s">
        <v>41</v>
      </c>
      <c r="D2333" s="10" t="s">
        <v>43</v>
      </c>
      <c r="E2333" s="11" t="s">
        <v>92</v>
      </c>
      <c r="F2333" s="11" t="s">
        <v>17</v>
      </c>
      <c r="G2333" s="10" t="s">
        <v>24</v>
      </c>
      <c r="H2333" s="11" t="s">
        <v>23</v>
      </c>
      <c r="I2333" s="11" t="s">
        <v>113</v>
      </c>
      <c r="J2333" s="11"/>
      <c r="K2333" s="11" t="s">
        <v>92</v>
      </c>
      <c r="L2333" s="11"/>
      <c r="M2333" s="11"/>
      <c r="N2333" s="11"/>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4"/>
    </row>
  </sheetData>
  <autoFilter ref="A1:I2333" xr:uid="{00000000-0009-0000-0000-000001000000}">
    <filterColumn colId="3">
      <filters>
        <filter val="1 Primaria"/>
        <filter val="2 primaria"/>
      </filters>
    </filterColumn>
  </autoFilter>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claves!$B$3:$B$8</xm:f>
          </x14:formula1>
          <xm:sqref>D2:D2333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703"/>
  <sheetViews>
    <sheetView workbookViewId="0"/>
  </sheetViews>
  <sheetFormatPr baseColWidth="10" defaultColWidth="12.6328125" defaultRowHeight="15.75" customHeight="1" x14ac:dyDescent="0.25"/>
  <sheetData>
    <row r="1" spans="1:4" x14ac:dyDescent="0.3">
      <c r="A1" s="23" t="str">
        <f ca="1">IFERROR(__xludf.DUMMYFUNCTION("IMPORTRANGE(""https://docs.google.com/spreadsheets/d/1G0lKhjdDNZcuaaQlGltXi5PoiboQrtAFuEFhYlQNIWs/edit?gid=1917248718#gid=1917248718"",""Colegios!A1:D"")"),"Institución Educativa")</f>
        <v>Institución Educativa</v>
      </c>
      <c r="B1" s="24" t="str">
        <f ca="1">IFERROR(__xludf.DUMMYFUNCTION("""COMPUTED_VALUE"""),"Nombre a reemplazar")</f>
        <v>Nombre a reemplazar</v>
      </c>
      <c r="C1" s="24" t="str">
        <f ca="1">IFERROR(__xludf.DUMMYFUNCTION("""COMPUTED_VALUE"""),"Región")</f>
        <v>Región</v>
      </c>
      <c r="D1" s="24" t="str">
        <f ca="1">IFERROR(__xludf.DUMMYFUNCTION("""COMPUTED_VALUE"""),"Año")</f>
        <v>Año</v>
      </c>
    </row>
    <row r="2" spans="1:4" ht="15.75" customHeight="1" x14ac:dyDescent="0.25">
      <c r="A2" s="14" t="str">
        <f ca="1">IFERROR(__xludf.DUMMYFUNCTION("""COMPUTED_VALUE"""),"Accocunca")</f>
        <v>Accocunca</v>
      </c>
      <c r="B2" s="14" t="str">
        <f ca="1">IFERROR(__xludf.DUMMYFUNCTION("""COMPUTED_VALUE"""),"50547")</f>
        <v>50547</v>
      </c>
      <c r="C2" s="24"/>
      <c r="D2" s="24"/>
    </row>
    <row r="3" spans="1:4" ht="15.75" customHeight="1" x14ac:dyDescent="0.25">
      <c r="A3" s="14" t="str">
        <f ca="1">IFERROR(__xludf.DUMMYFUNCTION("""COMPUTED_VALUE"""),"Andamayo")</f>
        <v>Andamayo</v>
      </c>
      <c r="B3" s="14" t="str">
        <f ca="1">IFERROR(__xludf.DUMMYFUNCTION("""COMPUTED_VALUE"""),"50977")</f>
        <v>50977</v>
      </c>
      <c r="C3" s="24"/>
      <c r="D3" s="24"/>
    </row>
    <row r="4" spans="1:4" ht="15.75" customHeight="1" x14ac:dyDescent="0.25">
      <c r="A4" s="14" t="str">
        <f ca="1">IFERROR(__xludf.DUMMYFUNCTION("""COMPUTED_VALUE"""),"Ccapana")</f>
        <v>Ccapana</v>
      </c>
      <c r="B4" s="14" t="str">
        <f ca="1">IFERROR(__xludf.DUMMYFUNCTION("""COMPUTED_VALUE"""),"50495")</f>
        <v>50495</v>
      </c>
      <c r="C4" s="24"/>
      <c r="D4" s="24"/>
    </row>
    <row r="5" spans="1:4" ht="15.75" customHeight="1" x14ac:dyDescent="0.25">
      <c r="A5" s="14" t="str">
        <f ca="1">IFERROR(__xludf.DUMMYFUNCTION("""COMPUTED_VALUE"""),"Cristo Rey")</f>
        <v>Cristo Rey</v>
      </c>
      <c r="B5" s="14" t="str">
        <f ca="1">IFERROR(__xludf.DUMMYFUNCTION("""COMPUTED_VALUE"""),"501455 CRISTO REY TTIKARIY")</f>
        <v>501455 CRISTO REY TTIKARIY</v>
      </c>
      <c r="C5" s="24"/>
      <c r="D5" s="24"/>
    </row>
    <row r="6" spans="1:4" ht="15.75" customHeight="1" x14ac:dyDescent="0.25">
      <c r="A6" s="14" t="str">
        <f ca="1">IFERROR(__xludf.DUMMYFUNCTION("""COMPUTED_VALUE"""),"Kumuncancha")</f>
        <v>Kumuncancha</v>
      </c>
      <c r="B6" s="14" t="str">
        <f ca="1">IFERROR(__xludf.DUMMYFUNCTION("""COMPUTED_VALUE"""),"501432 PAPA FRANCISCO I")</f>
        <v>501432 PAPA FRANCISCO I</v>
      </c>
      <c r="C6" s="24"/>
      <c r="D6" s="24"/>
    </row>
    <row r="7" spans="1:4" ht="15.75" customHeight="1" x14ac:dyDescent="0.25">
      <c r="A7" s="14" t="str">
        <f ca="1">IFERROR(__xludf.DUMMYFUNCTION("""COMPUTED_VALUE"""),"Llachi")</f>
        <v>Llachi</v>
      </c>
      <c r="B7" s="14" t="str">
        <f ca="1">IFERROR(__xludf.DUMMYFUNCTION("""COMPUTED_VALUE"""),"50715")</f>
        <v>50715</v>
      </c>
      <c r="C7" s="24"/>
      <c r="D7" s="24"/>
    </row>
    <row r="8" spans="1:4" ht="15.75" customHeight="1" x14ac:dyDescent="0.25">
      <c r="A8" s="14" t="str">
        <f ca="1">IFERROR(__xludf.DUMMYFUNCTION("""COMPUTED_VALUE"""),"Marampaqui")</f>
        <v>Marampaqui</v>
      </c>
      <c r="B8" s="14" t="str">
        <f ca="1">IFERROR(__xludf.DUMMYFUNCTION("""COMPUTED_VALUE"""),"50553")</f>
        <v>50553</v>
      </c>
      <c r="C8" s="24"/>
      <c r="D8" s="24"/>
    </row>
    <row r="9" spans="1:4" ht="15.75" customHeight="1" x14ac:dyDescent="0.25">
      <c r="A9" s="14" t="str">
        <f ca="1">IFERROR(__xludf.DUMMYFUNCTION("""COMPUTED_VALUE"""),"Ocongate")</f>
        <v>Ocongate</v>
      </c>
      <c r="B9" s="14" t="str">
        <f ca="1">IFERROR(__xludf.DUMMYFUNCTION("""COMPUTED_VALUE"""),"50492 CORAZON DE JESUS")</f>
        <v>50492 CORAZON DE JESUS</v>
      </c>
      <c r="C9" s="24"/>
      <c r="D9" s="24"/>
    </row>
    <row r="10" spans="1:4" ht="15.75" customHeight="1" x14ac:dyDescent="0.25">
      <c r="A10" s="14" t="str">
        <f ca="1">IFERROR(__xludf.DUMMYFUNCTION("""COMPUTED_VALUE"""),"Pampacancha")</f>
        <v>Pampacancha</v>
      </c>
      <c r="B10" s="14" t="str">
        <f ca="1">IFERROR(__xludf.DUMMYFUNCTION("""COMPUTED_VALUE"""),"50550")</f>
        <v>50550</v>
      </c>
      <c r="C10" s="24"/>
      <c r="D10" s="24"/>
    </row>
    <row r="11" spans="1:4" ht="15.75" customHeight="1" x14ac:dyDescent="0.25">
      <c r="A11" s="14" t="str">
        <f ca="1">IFERROR(__xludf.DUMMYFUNCTION("""COMPUTED_VALUE"""),"Sallicancha")</f>
        <v>Sallicancha</v>
      </c>
      <c r="B11" s="14" t="str">
        <f ca="1">IFERROR(__xludf.DUMMYFUNCTION("""COMPUTED_VALUE"""),"50765")</f>
        <v>50765</v>
      </c>
      <c r="C11" s="24"/>
      <c r="D11" s="24"/>
    </row>
    <row r="12" spans="1:4" ht="15.75" customHeight="1" x14ac:dyDescent="0.25">
      <c r="A12" s="14" t="str">
        <f ca="1">IFERROR(__xludf.DUMMYFUNCTION("""COMPUTED_VALUE"""),"Yanacancha")</f>
        <v>Yanacancha</v>
      </c>
      <c r="B12" s="14" t="str">
        <f ca="1">IFERROR(__xludf.DUMMYFUNCTION("""COMPUTED_VALUE"""),"50696 YANACANCHA")</f>
        <v>50696 YANACANCHA</v>
      </c>
      <c r="C12" s="24"/>
      <c r="D12" s="24"/>
    </row>
    <row r="13" spans="1:4" ht="15.75" customHeight="1" x14ac:dyDescent="0.25">
      <c r="A13" s="14" t="str">
        <f ca="1">IFERROR(__xludf.DUMMYFUNCTION("""COMPUTED_VALUE"""),"50492- CORAZON DE JESUS OCONGATE")</f>
        <v>50492- CORAZON DE JESUS OCONGATE</v>
      </c>
      <c r="B13" s="14" t="str">
        <f ca="1">IFERROR(__xludf.DUMMYFUNCTION("""COMPUTED_VALUE"""),"50492 CORAZON DE JESUS")</f>
        <v>50492 CORAZON DE JESUS</v>
      </c>
      <c r="C13" s="24"/>
      <c r="D13" s="24"/>
    </row>
    <row r="14" spans="1:4" ht="15.75" customHeight="1" x14ac:dyDescent="0.25">
      <c r="A14" s="14" t="str">
        <f ca="1">IFERROR(__xludf.DUMMYFUNCTION("""COMPUTED_VALUE"""),"50495 CCAPANA")</f>
        <v>50495 CCAPANA</v>
      </c>
      <c r="B14" s="14" t="str">
        <f ca="1">IFERROR(__xludf.DUMMYFUNCTION("""COMPUTED_VALUE"""),"50495")</f>
        <v>50495</v>
      </c>
      <c r="C14" s="24"/>
      <c r="D14" s="24"/>
    </row>
    <row r="15" spans="1:4" ht="15.75" customHeight="1" x14ac:dyDescent="0.25">
      <c r="A15" s="14" t="str">
        <f ca="1">IFERROR(__xludf.DUMMYFUNCTION("""COMPUTED_VALUE"""),"50547 Accocunca")</f>
        <v>50547 Accocunca</v>
      </c>
      <c r="B15" s="14" t="str">
        <f ca="1">IFERROR(__xludf.DUMMYFUNCTION("""COMPUTED_VALUE"""),"50547")</f>
        <v>50547</v>
      </c>
      <c r="C15" s="24"/>
      <c r="D15" s="24"/>
    </row>
    <row r="16" spans="1:4" ht="15.75" customHeight="1" x14ac:dyDescent="0.25">
      <c r="A16" s="14" t="str">
        <f ca="1">IFERROR(__xludf.DUMMYFUNCTION("""COMPUTED_VALUE"""),"50550 PAMPACANCHA")</f>
        <v>50550 PAMPACANCHA</v>
      </c>
      <c r="B16" s="14" t="str">
        <f ca="1">IFERROR(__xludf.DUMMYFUNCTION("""COMPUTED_VALUE"""),"50550")</f>
        <v>50550</v>
      </c>
      <c r="C16" s="24"/>
      <c r="D16" s="24"/>
    </row>
    <row r="17" spans="1:4" ht="15.75" customHeight="1" x14ac:dyDescent="0.25">
      <c r="A17" s="14" t="str">
        <f ca="1">IFERROR(__xludf.DUMMYFUNCTION("""COMPUTED_VALUE"""),"50552 ""TÚPAC AMARU II"" - HUACATINCO")</f>
        <v>50552 "TÚPAC AMARU II" - HUACATINCO</v>
      </c>
      <c r="B17" s="14" t="str">
        <f ca="1">IFERROR(__xludf.DUMMYFUNCTION("""COMPUTED_VALUE"""),"50552 TUPAC AMARU II")</f>
        <v>50552 TUPAC AMARU II</v>
      </c>
      <c r="C17" s="24"/>
      <c r="D17" s="24"/>
    </row>
    <row r="18" spans="1:4" ht="15.75" customHeight="1" x14ac:dyDescent="0.25">
      <c r="A18" s="14" t="str">
        <f ca="1">IFERROR(__xludf.DUMMYFUNCTION("""COMPUTED_VALUE"""),"50553 MARAMPAQUI")</f>
        <v>50553 MARAMPAQUI</v>
      </c>
      <c r="B18" s="14" t="str">
        <f ca="1">IFERROR(__xludf.DUMMYFUNCTION("""COMPUTED_VALUE"""),"50553")</f>
        <v>50553</v>
      </c>
      <c r="C18" s="24"/>
      <c r="D18" s="24"/>
    </row>
    <row r="19" spans="1:4" ht="15.75" customHeight="1" x14ac:dyDescent="0.25">
      <c r="A19" s="14" t="str">
        <f ca="1">IFERROR(__xludf.DUMMYFUNCTION("""COMPUTED_VALUE"""),"50558 PARCCOCALLA")</f>
        <v>50558 PARCCOCALLA</v>
      </c>
      <c r="B19" s="14" t="str">
        <f ca="1">IFERROR(__xludf.DUMMYFUNCTION("""COMPUTED_VALUE"""),"50558")</f>
        <v>50558</v>
      </c>
      <c r="C19" s="24"/>
      <c r="D19" s="24"/>
    </row>
    <row r="20" spans="1:4" ht="15.75" customHeight="1" x14ac:dyDescent="0.25">
      <c r="A20" s="14" t="str">
        <f ca="1">IFERROR(__xludf.DUMMYFUNCTION("""COMPUTED_VALUE"""),"50715 - Llachi")</f>
        <v>50715 - Llachi</v>
      </c>
      <c r="B20" s="14" t="str">
        <f ca="1">IFERROR(__xludf.DUMMYFUNCTION("""COMPUTED_VALUE"""),"50715")</f>
        <v>50715</v>
      </c>
      <c r="C20" s="24"/>
      <c r="D20" s="24"/>
    </row>
    <row r="21" spans="1:4" ht="15.75" customHeight="1" x14ac:dyDescent="0.25">
      <c r="A21" s="14" t="str">
        <f ca="1">IFERROR(__xludf.DUMMYFUNCTION("""COMPUTED_VALUE"""),"50719- VIRGEN DEL CARMEN TINKE")</f>
        <v>50719- VIRGEN DEL CARMEN TINKE</v>
      </c>
      <c r="B21" s="14" t="str">
        <f ca="1">IFERROR(__xludf.DUMMYFUNCTION("""COMPUTED_VALUE"""),"50719 VIRGEN DEL CARMEN")</f>
        <v>50719 VIRGEN DEL CARMEN</v>
      </c>
      <c r="C21" s="24"/>
      <c r="D21" s="24"/>
    </row>
    <row r="22" spans="1:4" ht="15.75" customHeight="1" x14ac:dyDescent="0.25">
      <c r="A22" s="14" t="str">
        <f ca="1">IFERROR(__xludf.DUMMYFUNCTION("""COMPUTED_VALUE"""),"50765 - SALLICANCHA")</f>
        <v>50765 - SALLICANCHA</v>
      </c>
      <c r="B22" s="14" t="str">
        <f ca="1">IFERROR(__xludf.DUMMYFUNCTION("""COMPUTED_VALUE"""),"50765")</f>
        <v>50765</v>
      </c>
      <c r="C22" s="24"/>
      <c r="D22" s="24"/>
    </row>
    <row r="23" spans="1:4" ht="15.75" customHeight="1" x14ac:dyDescent="0.25">
      <c r="A23" s="14" t="str">
        <f ca="1">IFERROR(__xludf.DUMMYFUNCTION("""COMPUTED_VALUE"""),"50696 YANACANCHA")</f>
        <v>50696 YANACANCHA</v>
      </c>
      <c r="B23" s="14" t="str">
        <f ca="1">IFERROR(__xludf.DUMMYFUNCTION("""COMPUTED_VALUE"""),"50696 YANACANCHA")</f>
        <v>50696 YANACANCHA</v>
      </c>
      <c r="C23" s="24"/>
      <c r="D23" s="24"/>
    </row>
    <row r="24" spans="1:4" ht="12.5" x14ac:dyDescent="0.25">
      <c r="A24" s="14" t="str">
        <f ca="1">IFERROR(__xludf.DUMMYFUNCTION("""COMPUTED_VALUE"""),"50854 de PATAPALLAPA ALTA")</f>
        <v>50854 de PATAPALLAPA ALTA</v>
      </c>
      <c r="B24" s="14" t="str">
        <f ca="1">IFERROR(__xludf.DUMMYFUNCTION("""COMPUTED_VALUE"""),"50854")</f>
        <v>50854</v>
      </c>
      <c r="C24" s="24"/>
      <c r="D24" s="24"/>
    </row>
    <row r="25" spans="1:4" ht="12.5" x14ac:dyDescent="0.25">
      <c r="A25" s="14" t="str">
        <f ca="1">IFERROR(__xludf.DUMMYFUNCTION("""COMPUTED_VALUE"""),"50977 Andamayo")</f>
        <v>50977 Andamayo</v>
      </c>
      <c r="B25" s="14" t="str">
        <f ca="1">IFERROR(__xludf.DUMMYFUNCTION("""COMPUTED_VALUE"""),"50977")</f>
        <v>50977</v>
      </c>
      <c r="C25" s="24"/>
      <c r="D25" s="24"/>
    </row>
    <row r="26" spans="1:4" ht="12.5" x14ac:dyDescent="0.25">
      <c r="A26" s="14" t="str">
        <f ca="1">IFERROR(__xludf.DUMMYFUNCTION("""COMPUTED_VALUE"""),"501344 - CCASAPATA")</f>
        <v>501344 - CCASAPATA</v>
      </c>
      <c r="B26" s="14" t="str">
        <f ca="1">IFERROR(__xludf.DUMMYFUNCTION("""COMPUTED_VALUE"""),"501344")</f>
        <v>501344</v>
      </c>
      <c r="C26" s="24"/>
      <c r="D26" s="24"/>
    </row>
    <row r="27" spans="1:4" ht="12.5" x14ac:dyDescent="0.25">
      <c r="A27" s="14" t="str">
        <f ca="1">IFERROR(__xludf.DUMMYFUNCTION("""COMPUTED_VALUE"""),"501344- CCASAPATA")</f>
        <v>501344- CCASAPATA</v>
      </c>
      <c r="B27" s="14" t="str">
        <f ca="1">IFERROR(__xludf.DUMMYFUNCTION("""COMPUTED_VALUE"""),"501344")</f>
        <v>501344</v>
      </c>
      <c r="C27" s="24"/>
      <c r="D27" s="24"/>
    </row>
    <row r="28" spans="1:4" ht="12.5" x14ac:dyDescent="0.25">
      <c r="A28" s="14" t="str">
        <f ca="1">IFERROR(__xludf.DUMMYFUNCTION("""COMPUTED_VALUE"""),"501432 - Kumuncancha")</f>
        <v>501432 - Kumuncancha</v>
      </c>
      <c r="B28" s="14" t="str">
        <f ca="1">IFERROR(__xludf.DUMMYFUNCTION("""COMPUTED_VALUE"""),"501432 PAPA FRANCISCO I")</f>
        <v>501432 PAPA FRANCISCO I</v>
      </c>
      <c r="C28" s="24"/>
      <c r="D28" s="24"/>
    </row>
    <row r="29" spans="1:4" ht="12.5" x14ac:dyDescent="0.25">
      <c r="A29" s="14" t="str">
        <f ca="1">IFERROR(__xludf.DUMMYFUNCTION("""COMPUTED_VALUE"""),"501455 - CRISTO REY TIKARIY")</f>
        <v>501455 - CRISTO REY TIKARIY</v>
      </c>
      <c r="B29" s="14" t="str">
        <f ca="1">IFERROR(__xludf.DUMMYFUNCTION("""COMPUTED_VALUE"""),"501455 CRISTO REY TTIKARIY")</f>
        <v>501455 CRISTO REY TTIKARIY</v>
      </c>
      <c r="C29" s="24"/>
      <c r="D29" s="24"/>
    </row>
    <row r="30" spans="1:4" ht="12.5" x14ac:dyDescent="0.25">
      <c r="A30" s="14" t="str">
        <f ca="1">IFERROR(__xludf.DUMMYFUNCTION("""COMPUTED_VALUE"""),"Papa Francisco I")</f>
        <v>Papa Francisco I</v>
      </c>
      <c r="B30" s="14" t="str">
        <f ca="1">IFERROR(__xludf.DUMMYFUNCTION("""COMPUTED_VALUE"""),"501432 PAPA FRANCISCO I")</f>
        <v>501432 PAPA FRANCISCO I</v>
      </c>
      <c r="C30" s="24"/>
      <c r="D30" s="24"/>
    </row>
    <row r="31" spans="1:4" ht="12.5" x14ac:dyDescent="0.25">
      <c r="A31" s="14" t="str">
        <f ca="1">IFERROR(__xludf.DUMMYFUNCTION("""COMPUTED_VALUE"""),"601448")</f>
        <v>601448</v>
      </c>
      <c r="B31" s="14" t="str">
        <f ca="1">IFERROR(__xludf.DUMMYFUNCTION("""COMPUTED_VALUE"""),"601448")</f>
        <v>601448</v>
      </c>
      <c r="C31" s="24"/>
      <c r="D31" s="24"/>
    </row>
    <row r="32" spans="1:4" ht="12.5" x14ac:dyDescent="0.25">
      <c r="A32" s="14" t="str">
        <f ca="1">IFERROR(__xludf.DUMMYFUNCTION("""COMPUTED_VALUE"""),"601148")</f>
        <v>601148</v>
      </c>
      <c r="B32" s="14" t="str">
        <f ca="1">IFERROR(__xludf.DUMMYFUNCTION("""COMPUTED_VALUE"""),"601448")</f>
        <v>601448</v>
      </c>
      <c r="C32" s="24"/>
      <c r="D32" s="24"/>
    </row>
    <row r="33" spans="1:4" ht="12.5" x14ac:dyDescent="0.25">
      <c r="A33" s="14" t="str">
        <f ca="1">IFERROR(__xludf.DUMMYFUNCTION("""COMPUTED_VALUE"""),"601614")</f>
        <v>601614</v>
      </c>
      <c r="B33" s="14" t="str">
        <f ca="1">IFERROR(__xludf.DUMMYFUNCTION("""COMPUTED_VALUE"""),"601614")</f>
        <v>601614</v>
      </c>
      <c r="C33" s="24"/>
      <c r="D33" s="24"/>
    </row>
    <row r="34" spans="1:4" ht="12.5" x14ac:dyDescent="0.25">
      <c r="A34" s="14" t="str">
        <f ca="1">IFERROR(__xludf.DUMMYFUNCTION("""COMPUTED_VALUE"""),"EL MILAGRO")</f>
        <v>EL MILAGRO</v>
      </c>
      <c r="B34" s="14" t="str">
        <f ca="1">IFERROR(__xludf.DUMMYFUNCTION("""COMPUTED_VALUE"""),"EL MILAGRO")</f>
        <v>EL MILAGRO</v>
      </c>
      <c r="C34" s="24"/>
      <c r="D34" s="24"/>
    </row>
    <row r="35" spans="1:4" ht="12.5" x14ac:dyDescent="0.25">
      <c r="A35" s="14" t="str">
        <f ca="1">IFERROR(__xludf.DUMMYFUNCTION("""COMPUTED_VALUE"""),"EL MILAGRO ")</f>
        <v xml:space="preserve">EL MILAGRO </v>
      </c>
      <c r="B35" s="14" t="str">
        <f ca="1">IFERROR(__xludf.DUMMYFUNCTION("""COMPUTED_VALUE"""),"EL MILAGRO")</f>
        <v>EL MILAGRO</v>
      </c>
      <c r="C35" s="24"/>
      <c r="D35" s="24"/>
    </row>
    <row r="36" spans="1:4" ht="12.5" x14ac:dyDescent="0.25">
      <c r="A36" s="14" t="str">
        <f ca="1">IFERROR(__xludf.DUMMYFUNCTION("""COMPUTED_VALUE"""),"601514")</f>
        <v>601514</v>
      </c>
      <c r="B36" s="14" t="str">
        <f ca="1">IFERROR(__xludf.DUMMYFUNCTION("""COMPUTED_VALUE"""),"601514")</f>
        <v>601514</v>
      </c>
      <c r="C36" s="24"/>
      <c r="D36" s="24"/>
    </row>
    <row r="37" spans="1:4" ht="12.5" x14ac:dyDescent="0.25">
      <c r="A37" s="14" t="str">
        <f ca="1">IFERROR(__xludf.DUMMYFUNCTION("""COMPUTED_VALUE"""),"601331")</f>
        <v>601331</v>
      </c>
      <c r="B37" s="14" t="str">
        <f ca="1">IFERROR(__xludf.DUMMYFUNCTION("""COMPUTED_VALUE"""),"601331")</f>
        <v>601331</v>
      </c>
      <c r="C37" s="24"/>
      <c r="D37" s="24"/>
    </row>
    <row r="38" spans="1:4" ht="12.5" x14ac:dyDescent="0.25">
      <c r="A38" s="14" t="str">
        <f ca="1">IFERROR(__xludf.DUMMYFUNCTION("""COMPUTED_VALUE"""),"6010230")</f>
        <v>6010230</v>
      </c>
      <c r="B38" s="14" t="str">
        <f ca="1">IFERROR(__xludf.DUMMYFUNCTION("""COMPUTED_VALUE"""),"6010230 BARBARA D'ACHILLE")</f>
        <v>6010230 BARBARA D'ACHILLE</v>
      </c>
      <c r="C38" s="24"/>
      <c r="D38" s="24"/>
    </row>
    <row r="39" spans="1:4" ht="12.5" x14ac:dyDescent="0.25">
      <c r="A39" s="14" t="str">
        <f ca="1">IFERROR(__xludf.DUMMYFUNCTION("""COMPUTED_VALUE"""),"60133")</f>
        <v>60133</v>
      </c>
      <c r="B39" s="14" t="str">
        <f ca="1">IFERROR(__xludf.DUMMYFUNCTION("""COMPUTED_VALUE"""),"60133")</f>
        <v>60133</v>
      </c>
      <c r="C39" s="24"/>
      <c r="D39" s="24"/>
    </row>
    <row r="40" spans="1:4" ht="12.5" x14ac:dyDescent="0.25">
      <c r="A40" s="14" t="str">
        <f ca="1">IFERROR(__xludf.DUMMYFUNCTION("""COMPUTED_VALUE"""),"60136 MORALILLO")</f>
        <v>60136 MORALILLO</v>
      </c>
      <c r="B40" s="14" t="str">
        <f ca="1">IFERROR(__xludf.DUMMYFUNCTION("""COMPUTED_VALUE"""),"60136")</f>
        <v>60136</v>
      </c>
      <c r="C40" s="24"/>
      <c r="D40" s="24"/>
    </row>
    <row r="41" spans="1:4" ht="12.5" x14ac:dyDescent="0.25">
      <c r="A41" s="14" t="str">
        <f ca="1">IFERROR(__xludf.DUMMYFUNCTION("""COMPUTED_VALUE"""),"6010102 VILLA BUEN PASTOR")</f>
        <v>6010102 VILLA BUEN PASTOR</v>
      </c>
      <c r="B41" s="14" t="str">
        <f ca="1">IFERROR(__xludf.DUMMYFUNCTION("""COMPUTED_VALUE"""),"6010102")</f>
        <v>6010102</v>
      </c>
      <c r="C41" s="24"/>
      <c r="D41" s="24"/>
    </row>
    <row r="42" spans="1:4" ht="12.5" x14ac:dyDescent="0.25">
      <c r="A42" s="14" t="str">
        <f ca="1">IFERROR(__xludf.DUMMYFUNCTION("""COMPUTED_VALUE"""),"601448 NUEVO MILAGRO")</f>
        <v>601448 NUEVO MILAGRO</v>
      </c>
      <c r="B42" s="14" t="str">
        <f ca="1">IFERROR(__xludf.DUMMYFUNCTION("""COMPUTED_VALUE"""),"601448")</f>
        <v>601448</v>
      </c>
      <c r="C42" s="24"/>
      <c r="D42" s="24"/>
    </row>
    <row r="43" spans="1:4" ht="12.5" x14ac:dyDescent="0.25">
      <c r="A43" s="14" t="str">
        <f ca="1">IFERROR(__xludf.DUMMYFUNCTION("""COMPUTED_VALUE"""),"601614 NUEVA ESPERANZA")</f>
        <v>601614 NUEVA ESPERANZA</v>
      </c>
      <c r="B43" s="14" t="str">
        <f ca="1">IFERROR(__xludf.DUMMYFUNCTION("""COMPUTED_VALUE"""),"601614")</f>
        <v>601614</v>
      </c>
      <c r="C43" s="24"/>
      <c r="D43" s="24"/>
    </row>
    <row r="44" spans="1:4" ht="12.5" x14ac:dyDescent="0.25">
      <c r="A44" s="14" t="str">
        <f ca="1">IFERROR(__xludf.DUMMYFUNCTION("""COMPUTED_VALUE"""),"6010178 BELEN DE JUDA")</f>
        <v>6010178 BELEN DE JUDA</v>
      </c>
      <c r="B44" s="14" t="str">
        <f ca="1">IFERROR(__xludf.DUMMYFUNCTION("""COMPUTED_VALUE"""),"6010178")</f>
        <v>6010178</v>
      </c>
      <c r="C44" s="24"/>
      <c r="D44" s="24"/>
    </row>
    <row r="45" spans="1:4" ht="12.5" x14ac:dyDescent="0.25">
      <c r="A45" s="14" t="str">
        <f ca="1">IFERROR(__xludf.DUMMYFUNCTION("""COMPUTED_VALUE"""),"601514 DORADO")</f>
        <v>601514 DORADO</v>
      </c>
      <c r="B45" s="14" t="str">
        <f ca="1">IFERROR(__xludf.DUMMYFUNCTION("""COMPUTED_VALUE"""),"601514")</f>
        <v>601514</v>
      </c>
      <c r="C45" s="24"/>
      <c r="D45" s="24"/>
    </row>
    <row r="46" spans="1:4" ht="12.5" x14ac:dyDescent="0.25">
      <c r="A46" s="14" t="str">
        <f ca="1">IFERROR(__xludf.DUMMYFUNCTION("""COMPUTED_VALUE"""),"601514  DORADO")</f>
        <v>601514  DORADO</v>
      </c>
      <c r="B46" s="14" t="str">
        <f ca="1">IFERROR(__xludf.DUMMYFUNCTION("""COMPUTED_VALUE"""),"601514")</f>
        <v>601514</v>
      </c>
      <c r="C46" s="24"/>
      <c r="D46" s="24"/>
    </row>
    <row r="47" spans="1:4" ht="12.5" x14ac:dyDescent="0.25">
      <c r="A47" s="14" t="str">
        <f ca="1">IFERROR(__xludf.DUMMYFUNCTION("""COMPUTED_VALUE"""),"601331 TRECE DE FEBRERO")</f>
        <v>601331 TRECE DE FEBRERO</v>
      </c>
      <c r="B47" s="14" t="str">
        <f ca="1">IFERROR(__xludf.DUMMYFUNCTION("""COMPUTED_VALUE"""),"601331")</f>
        <v>601331</v>
      </c>
      <c r="C47" s="24"/>
      <c r="D47" s="24"/>
    </row>
    <row r="48" spans="1:4" ht="12.5" x14ac:dyDescent="0.25">
      <c r="A48" s="14" t="str">
        <f ca="1">IFERROR(__xludf.DUMMYFUNCTION("""COMPUTED_VALUE"""),"601391 PAUJIL II ZONA")</f>
        <v>601391 PAUJIL II ZONA</v>
      </c>
      <c r="B48" s="14" t="str">
        <f ca="1">IFERROR(__xludf.DUMMYFUNCTION("""COMPUTED_VALUE"""),"601391")</f>
        <v>601391</v>
      </c>
      <c r="C48" s="24"/>
      <c r="D48" s="24"/>
    </row>
    <row r="49" spans="1:4" ht="12.5" x14ac:dyDescent="0.25">
      <c r="A49" s="14" t="str">
        <f ca="1">IFERROR(__xludf.DUMMYFUNCTION("""COMPUTED_VALUE"""),"601570 ANGEL CARDENAS I")</f>
        <v>601570 ANGEL CARDENAS I</v>
      </c>
      <c r="B49" s="14" t="str">
        <f ca="1">IFERROR(__xludf.DUMMYFUNCTION("""COMPUTED_VALUE"""),"601570")</f>
        <v>601570</v>
      </c>
      <c r="C49" s="24"/>
      <c r="D49" s="24"/>
    </row>
    <row r="50" spans="1:4" ht="12.5" x14ac:dyDescent="0.25">
      <c r="A50" s="14" t="str">
        <f ca="1">IFERROR(__xludf.DUMMYFUNCTION("""COMPUTED_VALUE"""),"601678 ANGEL CARDENAS II")</f>
        <v>601678 ANGEL CARDENAS II</v>
      </c>
      <c r="B50" s="14" t="str">
        <f ca="1">IFERROR(__xludf.DUMMYFUNCTION("""COMPUTED_VALUE"""),"601678")</f>
        <v>601678</v>
      </c>
      <c r="C50" s="24"/>
      <c r="D50" s="24"/>
    </row>
    <row r="51" spans="1:4" ht="12.5" x14ac:dyDescent="0.25">
      <c r="A51" s="14" t="str">
        <f ca="1">IFERROR(__xludf.DUMMYFUNCTION("""COMPUTED_VALUE"""),"6010230 NUEVO HORIZONTE")</f>
        <v>6010230 NUEVO HORIZONTE</v>
      </c>
      <c r="B51" s="14" t="str">
        <f ca="1">IFERROR(__xludf.DUMMYFUNCTION("""COMPUTED_VALUE"""),"6010230 BARBARA D'ACHILLE")</f>
        <v>6010230 BARBARA D'ACHILLE</v>
      </c>
      <c r="C51" s="24"/>
      <c r="D51" s="24"/>
    </row>
    <row r="52" spans="1:4" ht="12.5" x14ac:dyDescent="0.25">
      <c r="A52" s="14" t="str">
        <f ca="1">IFERROR(__xludf.DUMMYFUNCTION("""COMPUTED_VALUE"""),"60181 SAN PEDRO DE PINTUYACU")</f>
        <v>60181 SAN PEDRO DE PINTUYACU</v>
      </c>
      <c r="B52" s="14" t="str">
        <f ca="1">IFERROR(__xludf.DUMMYFUNCTION("""COMPUTED_VALUE"""),"60181")</f>
        <v>60181</v>
      </c>
      <c r="C52" s="24"/>
      <c r="D52" s="24"/>
    </row>
    <row r="53" spans="1:4" ht="12.5" x14ac:dyDescent="0.25">
      <c r="A53" s="14" t="str">
        <f ca="1">IFERROR(__xludf.DUMMYFUNCTION("""COMPUTED_VALUE"""),"6010231 EX PETROLEROS I")</f>
        <v>6010231 EX PETROLEROS I</v>
      </c>
      <c r="B53" s="14" t="str">
        <f ca="1">IFERROR(__xludf.DUMMYFUNCTION("""COMPUTED_VALUE"""),"6010231")</f>
        <v>6010231</v>
      </c>
      <c r="C53" s="24"/>
      <c r="D53" s="24"/>
    </row>
    <row r="54" spans="1:4" ht="12.5" x14ac:dyDescent="0.25">
      <c r="A54" s="14" t="str">
        <f ca="1">IFERROR(__xludf.DUMMYFUNCTION("""COMPUTED_VALUE"""),"601511 10 DE OCTUBRE I")</f>
        <v>601511 10 DE OCTUBRE I</v>
      </c>
      <c r="B54" s="14" t="str">
        <f ca="1">IFERROR(__xludf.DUMMYFUNCTION("""COMPUTED_VALUE"""),"601511")</f>
        <v>601511</v>
      </c>
      <c r="C54" s="24"/>
      <c r="D54" s="24"/>
    </row>
    <row r="55" spans="1:4" ht="12.5" x14ac:dyDescent="0.25">
      <c r="A55" s="14" t="str">
        <f ca="1">IFERROR(__xludf.DUMMYFUNCTION("""COMPUTED_VALUE"""),"601580 10 DE OCTUBRE II")</f>
        <v>601580 10 DE OCTUBRE II</v>
      </c>
      <c r="B55" s="14" t="str">
        <f ca="1">IFERROR(__xludf.DUMMYFUNCTION("""COMPUTED_VALUE"""),"601580")</f>
        <v>601580</v>
      </c>
      <c r="C55" s="24"/>
      <c r="D55" s="24"/>
    </row>
    <row r="56" spans="1:4" ht="12.5" x14ac:dyDescent="0.25">
      <c r="A56" s="14" t="str">
        <f ca="1">IFERROR(__xludf.DUMMYFUNCTION("""COMPUTED_VALUE"""),"601444 TRIUNFO")</f>
        <v>601444 TRIUNFO</v>
      </c>
      <c r="B56" s="14" t="str">
        <f ca="1">IFERROR(__xludf.DUMMYFUNCTION("""COMPUTED_VALUE"""),"601444")</f>
        <v>601444</v>
      </c>
      <c r="C56" s="24"/>
      <c r="D56" s="24"/>
    </row>
    <row r="57" spans="1:4" ht="12.5" x14ac:dyDescent="0.25">
      <c r="A57" s="14" t="str">
        <f ca="1">IFERROR(__xludf.DUMMYFUNCTION("""COMPUTED_VALUE"""),"601571 HUAMBE")</f>
        <v>601571 HUAMBE</v>
      </c>
      <c r="B57" s="14" t="str">
        <f ca="1">IFERROR(__xludf.DUMMYFUNCTION("""COMPUTED_VALUE"""),"601571")</f>
        <v>601571</v>
      </c>
      <c r="C57" s="24"/>
      <c r="D57" s="24"/>
    </row>
    <row r="58" spans="1:4" ht="12.5" x14ac:dyDescent="0.25">
      <c r="A58" s="14" t="str">
        <f ca="1">IFERROR(__xludf.DUMMYFUNCTION("""COMPUTED_VALUE"""),"601563 LA HABANA")</f>
        <v>601563 LA HABANA</v>
      </c>
      <c r="B58" s="14" t="str">
        <f ca="1">IFERROR(__xludf.DUMMYFUNCTION("""COMPUTED_VALUE"""),"601563")</f>
        <v>601563</v>
      </c>
      <c r="C58" s="24"/>
      <c r="D58" s="24"/>
    </row>
    <row r="59" spans="1:4" ht="12.5" x14ac:dyDescent="0.25">
      <c r="A59" s="14" t="str">
        <f ca="1">IFERROR(__xludf.DUMMYFUNCTION("""COMPUTED_VALUE"""),"60133 CAHUIDE")</f>
        <v>60133 CAHUIDE</v>
      </c>
      <c r="B59" s="14" t="str">
        <f ca="1">IFERROR(__xludf.DUMMYFUNCTION("""COMPUTED_VALUE"""),"60133")</f>
        <v>60133</v>
      </c>
      <c r="C59" s="24"/>
      <c r="D59" s="24"/>
    </row>
    <row r="60" spans="1:4" ht="12.5" x14ac:dyDescent="0.25">
      <c r="A60" s="14" t="str">
        <f ca="1">IFERROR(__xludf.DUMMYFUNCTION("""COMPUTED_VALUE"""),"6013")</f>
        <v>6013</v>
      </c>
      <c r="B60" s="14" t="str">
        <f ca="1">IFERROR(__xludf.DUMMYFUNCTION("""COMPUTED_VALUE"""),"60133")</f>
        <v>60133</v>
      </c>
      <c r="C60" s="24"/>
      <c r="D60" s="24"/>
    </row>
    <row r="61" spans="1:4" ht="12.5" x14ac:dyDescent="0.25">
      <c r="A61" s="14" t="str">
        <f ca="1">IFERROR(__xludf.DUMMYFUNCTION("""COMPUTED_VALUE"""),"14975 El Carbon")</f>
        <v>14975 El Carbon</v>
      </c>
      <c r="B61" s="14" t="str">
        <f ca="1">IFERROR(__xludf.DUMMYFUNCTION("""COMPUTED_VALUE"""),"14975")</f>
        <v>14975</v>
      </c>
      <c r="C61" s="24"/>
      <c r="D61" s="24"/>
    </row>
    <row r="62" spans="1:4" ht="12.5" x14ac:dyDescent="0.25">
      <c r="A62" s="14" t="str">
        <f ca="1">IFERROR(__xludf.DUMMYFUNCTION("""COMPUTED_VALUE"""),"15219 Tinajones")</f>
        <v>15219 Tinajones</v>
      </c>
      <c r="B62" s="14" t="str">
        <f ca="1">IFERROR(__xludf.DUMMYFUNCTION("""COMPUTED_VALUE"""),"15219")</f>
        <v>15219</v>
      </c>
      <c r="C62" s="24"/>
      <c r="D62" s="24"/>
    </row>
    <row r="63" spans="1:4" ht="12.5" x14ac:dyDescent="0.25">
      <c r="A63" s="14" t="str">
        <f ca="1">IFERROR(__xludf.DUMMYFUNCTION("""COMPUTED_VALUE"""),"15478 Cerro de Leones")</f>
        <v>15478 Cerro de Leones</v>
      </c>
      <c r="B63" s="14" t="str">
        <f ca="1">IFERROR(__xludf.DUMMYFUNCTION("""COMPUTED_VALUE"""),"15478")</f>
        <v>15478</v>
      </c>
      <c r="C63" s="24"/>
      <c r="D63" s="24"/>
    </row>
    <row r="64" spans="1:4" ht="12.5" x14ac:dyDescent="0.25">
      <c r="A64" s="14" t="str">
        <f ca="1">IFERROR(__xludf.DUMMYFUNCTION("""COMPUTED_VALUE"""),"15383 Totoral Bajo")</f>
        <v>15383 Totoral Bajo</v>
      </c>
      <c r="B64" s="14" t="str">
        <f ca="1">IFERROR(__xludf.DUMMYFUNCTION("""COMPUTED_VALUE"""),"15383")</f>
        <v>15383</v>
      </c>
      <c r="C64" s="24"/>
      <c r="D64" s="24"/>
    </row>
    <row r="65" spans="1:4" ht="12.5" x14ac:dyDescent="0.25">
      <c r="A65" s="14" t="str">
        <f ca="1">IFERROR(__xludf.DUMMYFUNCTION("""COMPUTED_VALUE"""),"14045 Miraflores Bajo")</f>
        <v>14045 Miraflores Bajo</v>
      </c>
      <c r="B65" s="14" t="str">
        <f ca="1">IFERROR(__xludf.DUMMYFUNCTION("""COMPUTED_VALUE"""),"14045")</f>
        <v>14045</v>
      </c>
      <c r="C65" s="24"/>
      <c r="D65" s="24"/>
    </row>
    <row r="66" spans="1:4" ht="12.5" x14ac:dyDescent="0.25">
      <c r="A66" s="14" t="str">
        <f ca="1">IFERROR(__xludf.DUMMYFUNCTION("""COMPUTED_VALUE"""),"20104 CP-8")</f>
        <v>20104 CP-8</v>
      </c>
      <c r="B66" s="14" t="str">
        <f ca="1">IFERROR(__xludf.DUMMYFUNCTION("""COMPUTED_VALUE"""),"20104")</f>
        <v>20104</v>
      </c>
      <c r="C66" s="24"/>
      <c r="D66" s="24"/>
    </row>
    <row r="67" spans="1:4" ht="12.5" x14ac:dyDescent="0.25">
      <c r="A67" s="14" t="str">
        <f ca="1">IFERROR(__xludf.DUMMYFUNCTION("""COMPUTED_VALUE"""),"15304 Guaraguaos.B")</f>
        <v>15304 Guaraguaos.B</v>
      </c>
      <c r="B67" s="14" t="str">
        <f ca="1">IFERROR(__xludf.DUMMYFUNCTION("""COMPUTED_VALUE"""),"15304")</f>
        <v>15304</v>
      </c>
      <c r="C67" s="24"/>
      <c r="D67" s="24"/>
    </row>
    <row r="68" spans="1:4" ht="12.5" x14ac:dyDescent="0.25">
      <c r="A68" s="14" t="str">
        <f ca="1">IFERROR(__xludf.DUMMYFUNCTION("""COMPUTED_VALUE"""),"20123 Cruce de Vega")</f>
        <v>20123 Cruce de Vega</v>
      </c>
      <c r="B68" s="14" t="str">
        <f ca="1">IFERROR(__xludf.DUMMYFUNCTION("""COMPUTED_VALUE"""),"20123")</f>
        <v>20123</v>
      </c>
      <c r="C68" s="24"/>
      <c r="D68" s="24"/>
    </row>
    <row r="69" spans="1:4" ht="12.5" x14ac:dyDescent="0.25">
      <c r="A69" s="14" t="str">
        <f ca="1">IFERROR(__xludf.DUMMYFUNCTION("""COMPUTED_VALUE"""),"14141 Pueblo Nuevo")</f>
        <v>14141 Pueblo Nuevo</v>
      </c>
      <c r="B69" s="14" t="str">
        <f ca="1">IFERROR(__xludf.DUMMYFUNCTION("""COMPUTED_VALUE"""),"14141")</f>
        <v>14141</v>
      </c>
      <c r="C69" s="24"/>
      <c r="D69" s="24"/>
    </row>
    <row r="70" spans="1:4" ht="12.5" x14ac:dyDescent="0.25">
      <c r="A70" s="14" t="str">
        <f ca="1">IFERROR(__xludf.DUMMYFUNCTION("""COMPUTED_VALUE"""),"15220 Miraflores Alto")</f>
        <v>15220 Miraflores Alto</v>
      </c>
      <c r="B70" s="14" t="str">
        <f ca="1">IFERROR(__xludf.DUMMYFUNCTION("""COMPUTED_VALUE"""),"15220")</f>
        <v>15220</v>
      </c>
      <c r="C70" s="24"/>
      <c r="D70" s="24"/>
    </row>
    <row r="71" spans="1:4" ht="12.5" x14ac:dyDescent="0.25">
      <c r="A71" s="14" t="str">
        <f ca="1">IFERROR(__xludf.DUMMYFUNCTION("""COMPUTED_VALUE"""),"14145 SJB")</f>
        <v>14145 SJB</v>
      </c>
      <c r="B71" s="14" t="str">
        <f ca="1">IFERROR(__xludf.DUMMYFUNCTION("""COMPUTED_VALUE"""),"14145 SANTA JULIA BILLIART")</f>
        <v>14145 SANTA JULIA BILLIART</v>
      </c>
      <c r="C71" s="24"/>
      <c r="D71" s="24"/>
    </row>
    <row r="72" spans="1:4" ht="12.5" x14ac:dyDescent="0.25">
      <c r="A72" s="14" t="str">
        <f ca="1">IFERROR(__xludf.DUMMYFUNCTION("""COMPUTED_VALUE"""),"SCJ PUEBLO LIBRE")</f>
        <v>SCJ PUEBLO LIBRE</v>
      </c>
      <c r="B72" s="14" t="str">
        <f ca="1">IFERROR(__xludf.DUMMYFUNCTION("""COMPUTED_VALUE"""),"SAGRADO CORAZON DE JESUS")</f>
        <v>SAGRADO CORAZON DE JESUS</v>
      </c>
      <c r="C72" s="24"/>
      <c r="D72" s="24"/>
    </row>
    <row r="73" spans="1:4" ht="12.5" x14ac:dyDescent="0.25">
      <c r="A73" s="14" t="str">
        <f ca="1">IFERROR(__xludf.DUMMYFUNCTION("""COMPUTED_VALUE"""),"14924 DAC")</f>
        <v>14924 DAC</v>
      </c>
      <c r="B73" s="14" t="str">
        <f ca="1">IFERROR(__xludf.DUMMYFUNCTION("""COMPUTED_VALUE"""),"14924 DANIEL ALCIDES CARRION")</f>
        <v>14924 DANIEL ALCIDES CARRION</v>
      </c>
      <c r="C73" s="24"/>
      <c r="D73" s="24"/>
    </row>
    <row r="74" spans="1:4" ht="12.5" x14ac:dyDescent="0.25">
      <c r="A74" s="14" t="str">
        <f ca="1">IFERROR(__xludf.DUMMYFUNCTION("""COMPUTED_VALUE"""),"SantaRosa-Palominos")</f>
        <v>SantaRosa-Palominos</v>
      </c>
      <c r="B74" s="14" t="str">
        <f ca="1">IFERROR(__xludf.DUMMYFUNCTION("""COMPUTED_VALUE"""),"14144 SANTA ROSA")</f>
        <v>14144 SANTA ROSA</v>
      </c>
      <c r="C74" s="24"/>
      <c r="D74" s="24"/>
    </row>
    <row r="75" spans="1:4" ht="12.5" x14ac:dyDescent="0.25">
      <c r="A75" s="14" t="str">
        <f ca="1">IFERROR(__xludf.DUMMYFUNCTION("""COMPUTED_VALUE"""),"14924 DANIEL ALCIDES CARRION")</f>
        <v>14924 DANIEL ALCIDES CARRION</v>
      </c>
      <c r="B75" s="14" t="str">
        <f ca="1">IFERROR(__xludf.DUMMYFUNCTION("""COMPUTED_VALUE"""),"14924 DANIEL ALCIDES CARRION")</f>
        <v>14924 DANIEL ALCIDES CARRION</v>
      </c>
      <c r="C75" s="24"/>
      <c r="D75" s="24"/>
    </row>
    <row r="76" spans="1:4" ht="12.5" x14ac:dyDescent="0.25">
      <c r="A76" s="14" t="str">
        <f ca="1">IFERROR(__xludf.DUMMYFUNCTION("""COMPUTED_VALUE"""),"20104")</f>
        <v>20104</v>
      </c>
      <c r="B76" s="14" t="str">
        <f ca="1">IFERROR(__xludf.DUMMYFUNCTION("""COMPUTED_VALUE"""),"20104")</f>
        <v>20104</v>
      </c>
      <c r="C76" s="24"/>
      <c r="D76" s="24"/>
    </row>
    <row r="77" spans="1:4" ht="12.5" x14ac:dyDescent="0.25">
      <c r="A77" s="14" t="str">
        <f ca="1">IFERROR(__xludf.DUMMYFUNCTION("""COMPUTED_VALUE"""),"14975")</f>
        <v>14975</v>
      </c>
      <c r="B77" s="14" t="str">
        <f ca="1">IFERROR(__xludf.DUMMYFUNCTION("""COMPUTED_VALUE"""),"14975")</f>
        <v>14975</v>
      </c>
      <c r="C77" s="24"/>
      <c r="D77" s="24"/>
    </row>
    <row r="78" spans="1:4" ht="12.5" x14ac:dyDescent="0.25">
      <c r="A78" s="14" t="str">
        <f ca="1">IFERROR(__xludf.DUMMYFUNCTION("""COMPUTED_VALUE"""),"15304")</f>
        <v>15304</v>
      </c>
      <c r="B78" s="14" t="str">
        <f ca="1">IFERROR(__xludf.DUMMYFUNCTION("""COMPUTED_VALUE"""),"15304")</f>
        <v>15304</v>
      </c>
      <c r="C78" s="24"/>
      <c r="D78" s="24"/>
    </row>
    <row r="79" spans="1:4" ht="12.5" x14ac:dyDescent="0.25">
      <c r="A79" s="14" t="str">
        <f ca="1">IFERROR(__xludf.DUMMYFUNCTION("""COMPUTED_VALUE"""),"SAGRADO CORAZON DE JESUS")</f>
        <v>SAGRADO CORAZON DE JESUS</v>
      </c>
      <c r="B79" s="14" t="str">
        <f ca="1">IFERROR(__xludf.DUMMYFUNCTION("""COMPUTED_VALUE"""),"SAGRADO CORAZON DE JESUS")</f>
        <v>SAGRADO CORAZON DE JESUS</v>
      </c>
      <c r="C79" s="24"/>
      <c r="D79" s="24"/>
    </row>
    <row r="80" spans="1:4" ht="12.5" x14ac:dyDescent="0.25">
      <c r="A80" s="14" t="str">
        <f ca="1">IFERROR(__xludf.DUMMYFUNCTION("""COMPUTED_VALUE"""),"14144 SANTA ROSA")</f>
        <v>14144 SANTA ROSA</v>
      </c>
      <c r="B80" s="14" t="str">
        <f ca="1">IFERROR(__xludf.DUMMYFUNCTION("""COMPUTED_VALUE"""),"14144 SANTA ROSA")</f>
        <v>14144 SANTA ROSA</v>
      </c>
      <c r="C80" s="24"/>
      <c r="D80" s="24"/>
    </row>
    <row r="81" spans="1:4" ht="12.5" x14ac:dyDescent="0.25">
      <c r="A81" s="14" t="str">
        <f ca="1">IFERROR(__xludf.DUMMYFUNCTION("""COMPUTED_VALUE"""),"14894")</f>
        <v>14894</v>
      </c>
      <c r="B81" s="14" t="str">
        <f ca="1">IFERROR(__xludf.DUMMYFUNCTION("""COMPUTED_VALUE"""),"14894")</f>
        <v>14894</v>
      </c>
      <c r="C81" s="24"/>
      <c r="D81" s="24"/>
    </row>
    <row r="82" spans="1:4" ht="12.5" x14ac:dyDescent="0.25">
      <c r="A82" s="14" t="str">
        <f ca="1">IFERROR(__xludf.DUMMYFUNCTION("""COMPUTED_VALUE"""),"15383")</f>
        <v>15383</v>
      </c>
      <c r="B82" s="14" t="str">
        <f ca="1">IFERROR(__xludf.DUMMYFUNCTION("""COMPUTED_VALUE"""),"15383")</f>
        <v>15383</v>
      </c>
      <c r="C82" s="24"/>
      <c r="D82" s="24"/>
    </row>
    <row r="83" spans="1:4" ht="12.5" x14ac:dyDescent="0.25">
      <c r="A83" s="14" t="str">
        <f ca="1">IFERROR(__xludf.DUMMYFUNCTION("""COMPUTED_VALUE"""),"14141")</f>
        <v>14141</v>
      </c>
      <c r="B83" s="14" t="str">
        <f ca="1">IFERROR(__xludf.DUMMYFUNCTION("""COMPUTED_VALUE"""),"14141")</f>
        <v>14141</v>
      </c>
      <c r="C83" s="24"/>
      <c r="D83" s="24"/>
    </row>
    <row r="84" spans="1:4" ht="12.5" x14ac:dyDescent="0.25">
      <c r="A84" s="14" t="str">
        <f ca="1">IFERROR(__xludf.DUMMYFUNCTION("""COMPUTED_VALUE"""),"15478")</f>
        <v>15478</v>
      </c>
      <c r="B84" s="14" t="str">
        <f ca="1">IFERROR(__xludf.DUMMYFUNCTION("""COMPUTED_VALUE"""),"15478")</f>
        <v>15478</v>
      </c>
      <c r="C84" s="24"/>
      <c r="D84" s="24"/>
    </row>
    <row r="85" spans="1:4" ht="12.5" x14ac:dyDescent="0.25">
      <c r="A85" s="14" t="str">
        <f ca="1">IFERROR(__xludf.DUMMYFUNCTION("""COMPUTED_VALUE"""),"14045")</f>
        <v>14045</v>
      </c>
      <c r="B85" s="14" t="str">
        <f ca="1">IFERROR(__xludf.DUMMYFUNCTION("""COMPUTED_VALUE"""),"14045")</f>
        <v>14045</v>
      </c>
      <c r="C85" s="24"/>
      <c r="D85" s="24"/>
    </row>
    <row r="86" spans="1:4" ht="12.5" x14ac:dyDescent="0.25">
      <c r="A86" s="14" t="str">
        <f ca="1">IFERROR(__xludf.DUMMYFUNCTION("""COMPUTED_VALUE"""),"14145 SANTA JULIA BILLIART")</f>
        <v>14145 SANTA JULIA BILLIART</v>
      </c>
      <c r="B86" s="14" t="str">
        <f ca="1">IFERROR(__xludf.DUMMYFUNCTION("""COMPUTED_VALUE"""),"14145 SANTA JULIA BILLIART")</f>
        <v>14145 SANTA JULIA BILLIART</v>
      </c>
      <c r="C86" s="24"/>
      <c r="D86" s="24"/>
    </row>
    <row r="87" spans="1:4" ht="12.5" x14ac:dyDescent="0.25">
      <c r="A87" s="14" t="str">
        <f ca="1">IFERROR(__xludf.DUMMYFUNCTION("""COMPUTED_VALUE"""),"20123")</f>
        <v>20123</v>
      </c>
      <c r="B87" s="14" t="str">
        <f ca="1">IFERROR(__xludf.DUMMYFUNCTION("""COMPUTED_VALUE"""),"20123")</f>
        <v>20123</v>
      </c>
      <c r="C87" s="24"/>
      <c r="D87" s="24"/>
    </row>
    <row r="88" spans="1:4" ht="12.5" x14ac:dyDescent="0.25">
      <c r="A88" s="14" t="str">
        <f ca="1">IFERROR(__xludf.DUMMYFUNCTION("""COMPUTED_VALUE"""),"15219")</f>
        <v>15219</v>
      </c>
      <c r="B88" s="14" t="str">
        <f ca="1">IFERROR(__xludf.DUMMYFUNCTION("""COMPUTED_VALUE"""),"15219")</f>
        <v>15219</v>
      </c>
      <c r="C88" s="24"/>
      <c r="D88" s="24"/>
    </row>
    <row r="89" spans="1:4" ht="12.5" x14ac:dyDescent="0.25">
      <c r="A89" s="14" t="str">
        <f ca="1">IFERROR(__xludf.DUMMYFUNCTION("""COMPUTED_VALUE"""),"15220")</f>
        <v>15220</v>
      </c>
      <c r="B89" s="14" t="str">
        <f ca="1">IFERROR(__xludf.DUMMYFUNCTION("""COMPUTED_VALUE"""),"15220")</f>
        <v>15220</v>
      </c>
      <c r="C89" s="24"/>
      <c r="D89" s="24"/>
    </row>
    <row r="90" spans="1:4" ht="12.5" x14ac:dyDescent="0.25">
      <c r="A90" s="14" t="str">
        <f ca="1">IFERROR(__xludf.DUMMYFUNCTION("""COMPUTED_VALUE"""),"IE Sagrado Corazón")</f>
        <v>IE Sagrado Corazón</v>
      </c>
      <c r="B90" s="14" t="str">
        <f ca="1">IFERROR(__xludf.DUMMYFUNCTION("""COMPUTED_VALUE"""),"SAGRADO CORAZON DE JESUS")</f>
        <v>SAGRADO CORAZON DE JESUS</v>
      </c>
      <c r="C90" s="24"/>
      <c r="D90" s="24"/>
    </row>
    <row r="91" spans="1:4" ht="12.5" x14ac:dyDescent="0.25">
      <c r="A91" s="14" t="str">
        <f ca="1">IFERROR(__xludf.DUMMYFUNCTION("""COMPUTED_VALUE"""),"IE Santa Rosa")</f>
        <v>IE Santa Rosa</v>
      </c>
      <c r="B91" s="14" t="str">
        <f ca="1">IFERROR(__xludf.DUMMYFUNCTION("""COMPUTED_VALUE"""),"14144 SANTA ROSA")</f>
        <v>14144 SANTA ROSA</v>
      </c>
      <c r="C91" s="24"/>
      <c r="D91" s="24"/>
    </row>
    <row r="92" spans="1:4" ht="12.5" x14ac:dyDescent="0.25">
      <c r="A92" s="14" t="str">
        <f ca="1">IFERROR(__xludf.DUMMYFUNCTION("""COMPUTED_VALUE"""),"IE Totoral Alto")</f>
        <v>IE Totoral Alto</v>
      </c>
      <c r="B92" s="14" t="str">
        <f ca="1">IFERROR(__xludf.DUMMYFUNCTION("""COMPUTED_VALUE"""),"14894")</f>
        <v>14894</v>
      </c>
      <c r="C92" s="24"/>
      <c r="D92" s="24"/>
    </row>
    <row r="93" spans="1:4" ht="12.5" x14ac:dyDescent="0.25">
      <c r="A93" s="14" t="str">
        <f ca="1">IFERROR(__xludf.DUMMYFUNCTION("""COMPUTED_VALUE"""),"IE Santa Julia")</f>
        <v>IE Santa Julia</v>
      </c>
      <c r="B93" s="14" t="str">
        <f ca="1">IFERROR(__xludf.DUMMYFUNCTION("""COMPUTED_VALUE"""),"14145 SANTA JULIA BILLIART")</f>
        <v>14145 SANTA JULIA BILLIART</v>
      </c>
      <c r="C93" s="24"/>
      <c r="D93" s="24"/>
    </row>
    <row r="94" spans="1:4" ht="12.5" x14ac:dyDescent="0.25">
      <c r="A94" s="14" t="str">
        <f ca="1">IFERROR(__xludf.DUMMYFUNCTION("""COMPUTED_VALUE"""),"86809 Huarac-huarán")</f>
        <v>86809 Huarac-huarán</v>
      </c>
      <c r="B94" s="14" t="str">
        <f ca="1">IFERROR(__xludf.DUMMYFUNCTION("""COMPUTED_VALUE"""),"86809")</f>
        <v>86809</v>
      </c>
      <c r="C94" s="24"/>
      <c r="D94" s="24"/>
    </row>
    <row r="95" spans="1:4" ht="12.5" x14ac:dyDescent="0.25">
      <c r="A95" s="14" t="str">
        <f ca="1">IFERROR(__xludf.DUMMYFUNCTION("""COMPUTED_VALUE"""),"88247 - Capan")</f>
        <v>88247 - Capan</v>
      </c>
      <c r="B95" s="14" t="str">
        <f ca="1">IFERROR(__xludf.DUMMYFUNCTION("""COMPUTED_VALUE"""),"88247 SAN ENRIQUE")</f>
        <v>88247 SAN ENRIQUE</v>
      </c>
      <c r="C95" s="24"/>
      <c r="D95" s="24"/>
    </row>
    <row r="96" spans="1:4" ht="12.5" x14ac:dyDescent="0.25">
      <c r="A96" s="14" t="str">
        <f ca="1">IFERROR(__xludf.DUMMYFUNCTION("""COMPUTED_VALUE"""),"86548 - Pichiu")</f>
        <v>86548 - Pichiu</v>
      </c>
      <c r="B96" s="14" t="str">
        <f ca="1">IFERROR(__xludf.DUMMYFUNCTION("""COMPUTED_VALUE"""),"86548 JOSE MARIA VELAZ")</f>
        <v>86548 JOSE MARIA VELAZ</v>
      </c>
      <c r="C96" s="24"/>
      <c r="D96" s="24"/>
    </row>
    <row r="97" spans="1:4" ht="12.5" x14ac:dyDescent="0.25">
      <c r="A97" s="14" t="str">
        <f ca="1">IFERROR(__xludf.DUMMYFUNCTION("""COMPUTED_VALUE"""),"Huarachuran")</f>
        <v>Huarachuran</v>
      </c>
      <c r="B97" s="14" t="str">
        <f ca="1">IFERROR(__xludf.DUMMYFUNCTION("""COMPUTED_VALUE"""),"86809")</f>
        <v>86809</v>
      </c>
      <c r="C97" s="24"/>
      <c r="D97" s="24"/>
    </row>
    <row r="98" spans="1:4" ht="12.5" x14ac:dyDescent="0.25">
      <c r="A98" s="14" t="str">
        <f ca="1">IFERROR(__xludf.DUMMYFUNCTION("""COMPUTED_VALUE"""),"Pichiu")</f>
        <v>Pichiu</v>
      </c>
      <c r="B98" s="14" t="str">
        <f ca="1">IFERROR(__xludf.DUMMYFUNCTION("""COMPUTED_VALUE"""),"86548 JOSE MARIA VELAZ")</f>
        <v>86548 JOSE MARIA VELAZ</v>
      </c>
      <c r="C98" s="24"/>
      <c r="D98" s="24"/>
    </row>
    <row r="99" spans="1:4" ht="12.5" x14ac:dyDescent="0.25">
      <c r="A99" s="14" t="str">
        <f ca="1">IFERROR(__xludf.DUMMYFUNCTION("""COMPUTED_VALUE"""),"Carap")</f>
        <v>Carap</v>
      </c>
      <c r="B99" s="14" t="str">
        <f ca="1">IFERROR(__xludf.DUMMYFUNCTION("""COMPUTED_VALUE"""),"88327")</f>
        <v>88327</v>
      </c>
      <c r="C99" s="24"/>
      <c r="D99" s="24"/>
    </row>
    <row r="100" spans="1:4" ht="12.5" x14ac:dyDescent="0.25">
      <c r="A100" s="14" t="str">
        <f ca="1">IFERROR(__xludf.DUMMYFUNCTION("""COMPUTED_VALUE"""),"Capan")</f>
        <v>Capan</v>
      </c>
      <c r="B100" s="14" t="str">
        <f ca="1">IFERROR(__xludf.DUMMYFUNCTION("""COMPUTED_VALUE"""),"88247 SAN ENRIQUE")</f>
        <v>88247 SAN ENRIQUE</v>
      </c>
      <c r="C100" s="24"/>
      <c r="D100" s="24"/>
    </row>
    <row r="101" spans="1:4" ht="12.5" x14ac:dyDescent="0.25">
      <c r="A101" s="14" t="str">
        <f ca="1">IFERROR(__xludf.DUMMYFUNCTION("""COMPUTED_VALUE"""),"Huascar")</f>
        <v>Huascar</v>
      </c>
      <c r="B101" s="14" t="str">
        <f ca="1">IFERROR(__xludf.DUMMYFUNCTION("""COMPUTED_VALUE"""),"86769 ABRAHAM VALDELOMAR")</f>
        <v>86769 ABRAHAM VALDELOMAR</v>
      </c>
      <c r="C101" s="24"/>
      <c r="D101" s="24"/>
    </row>
    <row r="102" spans="1:4" ht="12.5" x14ac:dyDescent="0.25">
      <c r="A102" s="14" t="str">
        <f ca="1">IFERROR(__xludf.DUMMYFUNCTION("""COMPUTED_VALUE"""),"Captuy")</f>
        <v>Captuy</v>
      </c>
      <c r="B102" s="14" t="str">
        <f ca="1">IFERROR(__xludf.DUMMYFUNCTION("""COMPUTED_VALUE"""),"88225 CAPTUY")</f>
        <v>88225 CAPTUY</v>
      </c>
      <c r="C102" s="24"/>
      <c r="D102" s="24"/>
    </row>
    <row r="103" spans="1:4" ht="12.5" x14ac:dyDescent="0.25">
      <c r="A103" s="14" t="str">
        <f ca="1">IFERROR(__xludf.DUMMYFUNCTION("""COMPUTED_VALUE"""),"Huarac Huran")</f>
        <v>Huarac Huran</v>
      </c>
      <c r="B103" s="14" t="str">
        <f ca="1">IFERROR(__xludf.DUMMYFUNCTION("""COMPUTED_VALUE"""),"86809")</f>
        <v>86809</v>
      </c>
      <c r="C103" s="24"/>
      <c r="D103" s="24"/>
    </row>
    <row r="104" spans="1:4" ht="12.5" x14ac:dyDescent="0.25">
      <c r="A104" s="14" t="str">
        <f ca="1">IFERROR(__xludf.DUMMYFUNCTION("""COMPUTED_VALUE"""),"Huáscar")</f>
        <v>Huáscar</v>
      </c>
      <c r="B104" s="14" t="str">
        <f ca="1">IFERROR(__xludf.DUMMYFUNCTION("""COMPUTED_VALUE"""),"86769 ABRAHAM VALDELOMAR")</f>
        <v>86769 ABRAHAM VALDELOMAR</v>
      </c>
      <c r="C104" s="24"/>
      <c r="D104" s="24"/>
    </row>
    <row r="105" spans="1:4" ht="12.5" x14ac:dyDescent="0.25">
      <c r="A105" s="14" t="str">
        <f ca="1">IFERROR(__xludf.DUMMYFUNCTION("""COMPUTED_VALUE"""),"Huran Huran")</f>
        <v>Huran Huran</v>
      </c>
      <c r="B105" s="14" t="str">
        <f ca="1">IFERROR(__xludf.DUMMYFUNCTION("""COMPUTED_VALUE"""),"86809")</f>
        <v>86809</v>
      </c>
      <c r="C105" s="24"/>
      <c r="D105" s="24"/>
    </row>
    <row r="106" spans="1:4" ht="12.5" x14ac:dyDescent="0.25">
      <c r="A106" s="14" t="str">
        <f ca="1">IFERROR(__xludf.DUMMYFUNCTION("""COMPUTED_VALUE"""),"64155 Bagazan")</f>
        <v>64155 Bagazan</v>
      </c>
      <c r="B106" s="14" t="str">
        <f ca="1">IFERROR(__xludf.DUMMYFUNCTION("""COMPUTED_VALUE"""),"64155")</f>
        <v>64155</v>
      </c>
      <c r="C106" s="24"/>
      <c r="D106" s="24"/>
    </row>
    <row r="107" spans="1:4" ht="12.5" x14ac:dyDescent="0.25">
      <c r="A107" s="14" t="str">
        <f ca="1">IFERROR(__xludf.DUMMYFUNCTION("""COMPUTED_VALUE"""),"64346 Miraflores")</f>
        <v>64346 Miraflores</v>
      </c>
      <c r="B107" s="14" t="str">
        <f ca="1">IFERROR(__xludf.DUMMYFUNCTION("""COMPUTED_VALUE"""),"64346")</f>
        <v>64346</v>
      </c>
      <c r="C107" s="24"/>
      <c r="D107" s="24"/>
    </row>
    <row r="108" spans="1:4" ht="12.5" x14ac:dyDescent="0.25">
      <c r="A108" s="14" t="str">
        <f ca="1">IFERROR(__xludf.DUMMYFUNCTION("""COMPUTED_VALUE"""),"64641 Nueva Alianza")</f>
        <v>64641 Nueva Alianza</v>
      </c>
      <c r="B108" s="14" t="str">
        <f ca="1">IFERROR(__xludf.DUMMYFUNCTION("""COMPUTED_VALUE"""),"64641")</f>
        <v>64641</v>
      </c>
      <c r="C108" s="24"/>
      <c r="D108" s="24"/>
    </row>
    <row r="109" spans="1:4" ht="12.5" x14ac:dyDescent="0.25">
      <c r="A109" s="14" t="str">
        <f ca="1">IFERROR(__xludf.DUMMYFUNCTION("""COMPUTED_VALUE"""),"64872-B Santa Martha")</f>
        <v>64872-B Santa Martha</v>
      </c>
      <c r="B109" s="14" t="str">
        <f ca="1">IFERROR(__xludf.DUMMYFUNCTION("""COMPUTED_VALUE"""),"64871-B")</f>
        <v>64871-B</v>
      </c>
      <c r="C109" s="24"/>
      <c r="D109" s="24"/>
    </row>
    <row r="110" spans="1:4" ht="12.5" x14ac:dyDescent="0.25">
      <c r="A110" s="14" t="str">
        <f ca="1">IFERROR(__xludf.DUMMYFUNCTION("""COMPUTED_VALUE"""),"64996 Libertad")</f>
        <v>64996 Libertad</v>
      </c>
      <c r="B110" s="14" t="str">
        <f ca="1">IFERROR(__xludf.DUMMYFUNCTION("""COMPUTED_VALUE"""),"64996")</f>
        <v>64996</v>
      </c>
      <c r="C110" s="24"/>
      <c r="D110" s="24"/>
    </row>
    <row r="111" spans="1:4" ht="12.5" x14ac:dyDescent="0.25">
      <c r="A111" s="14" t="str">
        <f ca="1">IFERROR(__xludf.DUMMYFUNCTION("""COMPUTED_VALUE"""),"64028 Mazaray")</f>
        <v>64028 Mazaray</v>
      </c>
      <c r="B111" s="14" t="str">
        <f ca="1">IFERROR(__xludf.DUMMYFUNCTION("""COMPUTED_VALUE"""),"64028")</f>
        <v>64028</v>
      </c>
      <c r="C111" s="24"/>
      <c r="D111" s="24"/>
    </row>
    <row r="112" spans="1:4" ht="12.5" x14ac:dyDescent="0.25">
      <c r="A112" s="14" t="str">
        <f ca="1">IFERROR(__xludf.DUMMYFUNCTION("""COMPUTED_VALUE"""),"64048 Nuevo Barranca")</f>
        <v>64048 Nuevo Barranca</v>
      </c>
      <c r="B112" s="14" t="str">
        <f ca="1">IFERROR(__xludf.DUMMYFUNCTION("""COMPUTED_VALUE"""),"64048")</f>
        <v>64048</v>
      </c>
      <c r="C112" s="24"/>
      <c r="D112" s="24"/>
    </row>
    <row r="113" spans="1:4" ht="12.5" x14ac:dyDescent="0.25">
      <c r="A113" s="14" t="str">
        <f ca="1">IFERROR(__xludf.DUMMYFUNCTION("""COMPUTED_VALUE"""),"64115 Nuevo Bagazán")</f>
        <v>64115 Nuevo Bagazán</v>
      </c>
      <c r="B113" s="14" t="str">
        <f ca="1">IFERROR(__xludf.DUMMYFUNCTION("""COMPUTED_VALUE"""),"64115")</f>
        <v>64115</v>
      </c>
      <c r="C113" s="24"/>
      <c r="D113" s="24"/>
    </row>
    <row r="114" spans="1:4" ht="12.5" x14ac:dyDescent="0.25">
      <c r="A114" s="14" t="str">
        <f ca="1">IFERROR(__xludf.DUMMYFUNCTION("""COMPUTED_VALUE"""),"64508-B Santa Isabel")</f>
        <v>64508-B Santa Isabel</v>
      </c>
      <c r="B114" s="14" t="str">
        <f ca="1">IFERROR(__xludf.DUMMYFUNCTION("""COMPUTED_VALUE"""),"64508-B")</f>
        <v>64508-B</v>
      </c>
      <c r="C114" s="24"/>
      <c r="D114" s="24"/>
    </row>
    <row r="115" spans="1:4" ht="12.5" x14ac:dyDescent="0.25">
      <c r="A115" s="14" t="str">
        <f ca="1">IFERROR(__xludf.DUMMYFUNCTION("""COMPUTED_VALUE"""),"64873-B Santa Elisa")</f>
        <v>64873-B Santa Elisa</v>
      </c>
      <c r="B115" s="14" t="str">
        <f ca="1">IFERROR(__xludf.DUMMYFUNCTION("""COMPUTED_VALUE"""),"64873-B")</f>
        <v>64873-B</v>
      </c>
      <c r="C115" s="24"/>
      <c r="D115" s="24"/>
    </row>
    <row r="116" spans="1:4" ht="12.5" x14ac:dyDescent="0.25">
      <c r="A116" s="14" t="str">
        <f ca="1">IFERROR(__xludf.DUMMYFUNCTION("""COMPUTED_VALUE"""),"64545-B Puerto Consuelo")</f>
        <v>64545-B Puerto Consuelo</v>
      </c>
      <c r="B116" s="14" t="str">
        <f ca="1">IFERROR(__xludf.DUMMYFUNCTION("""COMPUTED_VALUE"""),"64545-B")</f>
        <v>64545-B</v>
      </c>
      <c r="C116" s="24"/>
      <c r="D116" s="24"/>
    </row>
    <row r="117" spans="1:4" ht="12.5" x14ac:dyDescent="0.25">
      <c r="A117" s="14" t="str">
        <f ca="1">IFERROR(__xludf.DUMMYFUNCTION("""COMPUTED_VALUE"""),"64949 Isla Primavera")</f>
        <v>64949 Isla Primavera</v>
      </c>
      <c r="B117" s="14" t="str">
        <f ca="1">IFERROR(__xludf.DUMMYFUNCTION("""COMPUTED_VALUE"""),"64949")</f>
        <v>64949</v>
      </c>
      <c r="C117" s="24"/>
      <c r="D117" s="24"/>
    </row>
    <row r="118" spans="1:4" ht="12.5" x14ac:dyDescent="0.25">
      <c r="A118" s="14" t="str">
        <f ca="1">IFERROR(__xludf.DUMMYFUNCTION("""COMPUTED_VALUE"""),"64871-B Santa Martha")</f>
        <v>64871-B Santa Martha</v>
      </c>
      <c r="B118" s="14" t="str">
        <f ca="1">IFERROR(__xludf.DUMMYFUNCTION("""COMPUTED_VALUE"""),"64871-B")</f>
        <v>64871-B</v>
      </c>
      <c r="C118" s="24"/>
      <c r="D118" s="24"/>
    </row>
    <row r="119" spans="1:4" ht="12.5" x14ac:dyDescent="0.25">
      <c r="A119" s="14" t="str">
        <f ca="1">IFERROR(__xludf.DUMMYFUNCTION("""COMPUTED_VALUE"""),"64829 Villa Esther")</f>
        <v>64829 Villa Esther</v>
      </c>
      <c r="B119" s="14" t="str">
        <f ca="1">IFERROR(__xludf.DUMMYFUNCTION("""COMPUTED_VALUE"""),"64829")</f>
        <v>64829</v>
      </c>
      <c r="C119" s="24"/>
      <c r="D119" s="24"/>
    </row>
    <row r="120" spans="1:4" ht="12.5" x14ac:dyDescent="0.25">
      <c r="A120" s="14" t="str">
        <f ca="1">IFERROR(__xludf.DUMMYFUNCTION("""COMPUTED_VALUE"""),"65199 Tres de Mayo")</f>
        <v>65199 Tres de Mayo</v>
      </c>
      <c r="B120" s="14" t="str">
        <f ca="1">IFERROR(__xludf.DUMMYFUNCTION("""COMPUTED_VALUE"""),"65199")</f>
        <v>65199</v>
      </c>
      <c r="C120" s="24"/>
      <c r="D120" s="24"/>
    </row>
    <row r="121" spans="1:4" ht="12.5" x14ac:dyDescent="0.25">
      <c r="A121" s="14" t="str">
        <f ca="1">IFERROR(__xludf.DUMMYFUNCTION("""COMPUTED_VALUE"""),"BAGAZAN 64115")</f>
        <v>BAGAZAN 64115</v>
      </c>
      <c r="B121" s="14" t="str">
        <f ca="1">IFERROR(__xludf.DUMMYFUNCTION("""COMPUTED_VALUE"""),"64115")</f>
        <v>64115</v>
      </c>
      <c r="C121" s="24"/>
      <c r="D121" s="24"/>
    </row>
    <row r="122" spans="1:4" ht="12.5" x14ac:dyDescent="0.25">
      <c r="A122" s="14" t="str">
        <f ca="1">IFERROR(__xludf.DUMMYFUNCTION("""COMPUTED_VALUE"""),"MAZARAY 64028")</f>
        <v>MAZARAY 64028</v>
      </c>
      <c r="B122" s="14" t="str">
        <f ca="1">IFERROR(__xludf.DUMMYFUNCTION("""COMPUTED_VALUE"""),"64028")</f>
        <v>64028</v>
      </c>
      <c r="C122" s="24"/>
      <c r="D122" s="24"/>
    </row>
    <row r="123" spans="1:4" ht="12.5" x14ac:dyDescent="0.25">
      <c r="A123" s="14" t="str">
        <f ca="1">IFERROR(__xludf.DUMMYFUNCTION("""COMPUTED_VALUE"""),"VILLA ESTHER 64829")</f>
        <v>VILLA ESTHER 64829</v>
      </c>
      <c r="B123" s="14" t="str">
        <f ca="1">IFERROR(__xludf.DUMMYFUNCTION("""COMPUTED_VALUE"""),"64829")</f>
        <v>64829</v>
      </c>
      <c r="C123" s="24"/>
      <c r="D123" s="24"/>
    </row>
    <row r="124" spans="1:4" ht="12.5" x14ac:dyDescent="0.25">
      <c r="A124" s="14" t="str">
        <f ca="1">IFERROR(__xludf.DUMMYFUNCTION("""COMPUTED_VALUE"""),"MIRAFLORES 64346")</f>
        <v>MIRAFLORES 64346</v>
      </c>
      <c r="B124" s="14" t="str">
        <f ca="1">IFERROR(__xludf.DUMMYFUNCTION("""COMPUTED_VALUE"""),"64346")</f>
        <v>64346</v>
      </c>
      <c r="C124" s="24"/>
      <c r="D124" s="24"/>
    </row>
    <row r="125" spans="1:4" ht="12.5" x14ac:dyDescent="0.25">
      <c r="A125" s="14" t="str">
        <f ca="1">IFERROR(__xludf.DUMMYFUNCTION("""COMPUTED_VALUE"""),"3 DE MAYO 65199")</f>
        <v>3 DE MAYO 65199</v>
      </c>
      <c r="B125" s="14" t="str">
        <f ca="1">IFERROR(__xludf.DUMMYFUNCTION("""COMPUTED_VALUE"""),"65199")</f>
        <v>65199</v>
      </c>
      <c r="C125" s="24"/>
      <c r="D125" s="24"/>
    </row>
    <row r="126" spans="1:4" ht="12.5" x14ac:dyDescent="0.25">
      <c r="A126" s="14" t="str">
        <f ca="1">IFERROR(__xludf.DUMMYFUNCTION("""COMPUTED_VALUE"""),"64048 Barranca")</f>
        <v>64048 Barranca</v>
      </c>
      <c r="B126" s="14" t="str">
        <f ca="1">IFERROR(__xludf.DUMMYFUNCTION("""COMPUTED_VALUE"""),"64048")</f>
        <v>64048</v>
      </c>
      <c r="C126" s="24"/>
      <c r="D126" s="24"/>
    </row>
    <row r="127" spans="1:4" ht="12.5" x14ac:dyDescent="0.25">
      <c r="A127" s="14" t="str">
        <f ca="1">IFERROR(__xludf.DUMMYFUNCTION("""COMPUTED_VALUE"""),"Nuestra Señora de la Candelaria")</f>
        <v>Nuestra Señora de la Candelaria</v>
      </c>
      <c r="B127" s="14" t="str">
        <f ca="1">IFERROR(__xludf.DUMMYFUNCTION("""COMPUTED_VALUE"""),"NUESTRA SEÑORA DE LA CANDELARIA")</f>
        <v>NUESTRA SEÑORA DE LA CANDELARIA</v>
      </c>
      <c r="C127" s="24"/>
      <c r="D127" s="24"/>
    </row>
    <row r="128" spans="1:4" ht="12.5" x14ac:dyDescent="0.25">
      <c r="A128" s="14" t="str">
        <f ca="1">IFERROR(__xludf.DUMMYFUNCTION("""COMPUTED_VALUE"""),"Huanccallaco")</f>
        <v>Huanccallaco</v>
      </c>
      <c r="B128" s="14" t="str">
        <f ca="1">IFERROR(__xludf.DUMMYFUNCTION("""COMPUTED_VALUE"""),"36163 JAVIER HERAUD PEREZ")</f>
        <v>36163 JAVIER HERAUD PEREZ</v>
      </c>
      <c r="C128" s="24"/>
      <c r="D128" s="24"/>
    </row>
    <row r="129" spans="1:4" ht="12.5" x14ac:dyDescent="0.25">
      <c r="A129" s="14" t="str">
        <f ca="1">IFERROR(__xludf.DUMMYFUNCTION("""COMPUTED_VALUE"""),"Santiago Antunez de Mayolo")</f>
        <v>Santiago Antunez de Mayolo</v>
      </c>
      <c r="B129" s="14" t="str">
        <f ca="1">IFERROR(__xludf.DUMMYFUNCTION("""COMPUTED_VALUE"""),"SANTIAGO ANTUNEZ DE MAYOLO")</f>
        <v>SANTIAGO ANTUNEZ DE MAYOLO</v>
      </c>
      <c r="C129" s="24"/>
      <c r="D129" s="24"/>
    </row>
    <row r="130" spans="1:4" ht="12.5" x14ac:dyDescent="0.25">
      <c r="A130" s="14" t="str">
        <f ca="1">IFERROR(__xludf.DUMMYFUNCTION("""COMPUTED_VALUE"""),"Sayri Tupac")</f>
        <v>Sayri Tupac</v>
      </c>
      <c r="B130" s="14" t="str">
        <f ca="1">IFERROR(__xludf.DUMMYFUNCTION("""COMPUTED_VALUE"""),"SAYRI TUPAC")</f>
        <v>SAYRI TUPAC</v>
      </c>
      <c r="C130" s="24"/>
      <c r="D130" s="24"/>
    </row>
    <row r="131" spans="1:4" ht="12.5" x14ac:dyDescent="0.25">
      <c r="A131" s="14" t="str">
        <f ca="1">IFERROR(__xludf.DUMMYFUNCTION("""COMPUTED_VALUE"""),"Nuestra Sra Candelaria")</f>
        <v>Nuestra Sra Candelaria</v>
      </c>
      <c r="B131" s="14" t="str">
        <f ca="1">IFERROR(__xludf.DUMMYFUNCTION("""COMPUTED_VALUE"""),"NUESTRA SEÑORA DE LA CANDELARIA")</f>
        <v>NUESTRA SEÑORA DE LA CANDELARIA</v>
      </c>
      <c r="C131" s="24"/>
      <c r="D131" s="24"/>
    </row>
    <row r="132" spans="1:4" ht="12.5" x14ac:dyDescent="0.25">
      <c r="A132" s="14" t="str">
        <f ca="1">IFERROR(__xludf.DUMMYFUNCTION("""COMPUTED_VALUE"""),"36789")</f>
        <v>36789</v>
      </c>
      <c r="B132" s="14" t="str">
        <f ca="1">IFERROR(__xludf.DUMMYFUNCTION("""COMPUTED_VALUE"""),"36789 NUESTRA SEÑORA DEL CARMEN")</f>
        <v>36789 NUESTRA SEÑORA DEL CARMEN</v>
      </c>
      <c r="C132" s="24"/>
      <c r="D132" s="24"/>
    </row>
    <row r="133" spans="1:4" ht="12.5" x14ac:dyDescent="0.25">
      <c r="A133" s="14" t="str">
        <f ca="1">IFERROR(__xludf.DUMMYFUNCTION("""COMPUTED_VALUE"""),"36207")</f>
        <v>36207</v>
      </c>
      <c r="B133" s="14" t="str">
        <f ca="1">IFERROR(__xludf.DUMMYFUNCTION("""COMPUTED_VALUE"""),"36207")</f>
        <v>36207</v>
      </c>
      <c r="C133" s="24"/>
      <c r="D133" s="24"/>
    </row>
    <row r="134" spans="1:4" ht="12.5" x14ac:dyDescent="0.25">
      <c r="A134" s="14" t="str">
        <f ca="1">IFERROR(__xludf.DUMMYFUNCTION("""COMPUTED_VALUE"""),"CORAS")</f>
        <v>CORAS</v>
      </c>
      <c r="B134" s="14" t="str">
        <f ca="1">IFERROR(__xludf.DUMMYFUNCTION("""COMPUTED_VALUE"""),"CORAS")</f>
        <v>CORAS</v>
      </c>
      <c r="C134" s="24"/>
      <c r="D134" s="24"/>
    </row>
    <row r="135" spans="1:4" ht="12.5" x14ac:dyDescent="0.25">
      <c r="A135" s="14" t="str">
        <f ca="1">IFERROR(__xludf.DUMMYFUNCTION("""COMPUTED_VALUE"""),"36173")</f>
        <v>36173</v>
      </c>
      <c r="B135" s="14" t="str">
        <f ca="1">IFERROR(__xludf.DUMMYFUNCTION("""COMPUTED_VALUE"""),"36173")</f>
        <v>36173</v>
      </c>
      <c r="C135" s="24"/>
      <c r="D135" s="24"/>
    </row>
    <row r="136" spans="1:4" ht="12.5" x14ac:dyDescent="0.25">
      <c r="A136" s="14" t="str">
        <f ca="1">IFERROR(__xludf.DUMMYFUNCTION("""COMPUTED_VALUE"""),"36161")</f>
        <v>36161</v>
      </c>
      <c r="B136" s="14" t="str">
        <f ca="1">IFERROR(__xludf.DUMMYFUNCTION("""COMPUTED_VALUE"""),"36161 SAN VICENTE DE PAUL")</f>
        <v>36161 SAN VICENTE DE PAUL</v>
      </c>
      <c r="C136" s="24"/>
      <c r="D136" s="24"/>
    </row>
    <row r="137" spans="1:4" ht="12.5" x14ac:dyDescent="0.25">
      <c r="A137" s="14" t="str">
        <f ca="1">IFERROR(__xludf.DUMMYFUNCTION("""COMPUTED_VALUE"""),"36166")</f>
        <v>36166</v>
      </c>
      <c r="B137" s="14" t="str">
        <f ca="1">IFERROR(__xludf.DUMMYFUNCTION("""COMPUTED_VALUE"""),"36166 HEROES 29 DE AGOSTO")</f>
        <v>36166 HEROES 29 DE AGOSTO</v>
      </c>
      <c r="C137" s="24"/>
      <c r="D137" s="24"/>
    </row>
    <row r="138" spans="1:4" ht="12.5" x14ac:dyDescent="0.25">
      <c r="A138" s="14" t="str">
        <f ca="1">IFERROR(__xludf.DUMMYFUNCTION("""COMPUTED_VALUE"""),"JORGE CHAVEZ")</f>
        <v>JORGE CHAVEZ</v>
      </c>
      <c r="B138" s="14" t="str">
        <f ca="1">IFERROR(__xludf.DUMMYFUNCTION("""COMPUTED_VALUE"""),"JORGE CHAVEZ")</f>
        <v>JORGE CHAVEZ</v>
      </c>
      <c r="C138" s="24"/>
      <c r="D138" s="24"/>
    </row>
    <row r="139" spans="1:4" ht="12.5" x14ac:dyDescent="0.25">
      <c r="A139" s="14" t="str">
        <f ca="1">IFERROR(__xludf.DUMMYFUNCTION("""COMPUTED_VALUE"""),"JOSE CARLOS MARIATEGUI")</f>
        <v>JOSE CARLOS MARIATEGUI</v>
      </c>
      <c r="B139" s="14" t="str">
        <f ca="1">IFERROR(__xludf.DUMMYFUNCTION("""COMPUTED_VALUE"""),"JOSE CARLOS MARIATEGUI")</f>
        <v>JOSE CARLOS MARIATEGUI</v>
      </c>
      <c r="C139" s="24"/>
      <c r="D139" s="24"/>
    </row>
    <row r="140" spans="1:4" ht="12.5" x14ac:dyDescent="0.25">
      <c r="A140" s="14" t="str">
        <f ca="1">IFERROR(__xludf.DUMMYFUNCTION("""COMPUTED_VALUE"""),"RAMON CASTILLA MARQUEZADO")</f>
        <v>RAMON CASTILLA MARQUEZADO</v>
      </c>
      <c r="B140" s="14" t="str">
        <f ca="1">IFERROR(__xludf.DUMMYFUNCTION("""COMPUTED_VALUE"""),"RAMON CASTILLA MARQUEZADO")</f>
        <v>RAMON CASTILLA MARQUEZADO</v>
      </c>
      <c r="C140" s="24"/>
      <c r="D140" s="24"/>
    </row>
    <row r="141" spans="1:4" ht="12.5" x14ac:dyDescent="0.25">
      <c r="A141" s="14" t="str">
        <f ca="1">IFERROR(__xludf.DUMMYFUNCTION("""COMPUTED_VALUE"""),"Jorge Chávez")</f>
        <v>Jorge Chávez</v>
      </c>
      <c r="B141" s="14" t="str">
        <f ca="1">IFERROR(__xludf.DUMMYFUNCTION("""COMPUTED_VALUE"""),"JORGE CHAVEZ")</f>
        <v>JORGE CHAVEZ</v>
      </c>
      <c r="C141" s="24"/>
      <c r="D141" s="24"/>
    </row>
    <row r="142" spans="1:4" ht="12.5" x14ac:dyDescent="0.25">
      <c r="A142" s="14" t="str">
        <f ca="1">IFERROR(__xludf.DUMMYFUNCTION("""COMPUTED_VALUE"""),"José Carlos Mariategui")</f>
        <v>José Carlos Mariategui</v>
      </c>
      <c r="B142" s="14" t="str">
        <f ca="1">IFERROR(__xludf.DUMMYFUNCTION("""COMPUTED_VALUE"""),"JOSE CARLOS MARIATEGUI")</f>
        <v>JOSE CARLOS MARIATEGUI</v>
      </c>
      <c r="C142" s="24"/>
      <c r="D142" s="24"/>
    </row>
    <row r="143" spans="1:4" ht="12.5" x14ac:dyDescent="0.25">
      <c r="A143" s="14" t="str">
        <f ca="1">IFERROR(__xludf.DUMMYFUNCTION("""COMPUTED_VALUE"""),"Ramón Castilla M.")</f>
        <v>Ramón Castilla M.</v>
      </c>
      <c r="B143" s="14" t="str">
        <f ca="1">IFERROR(__xludf.DUMMYFUNCTION("""COMPUTED_VALUE"""),"RAMON CASTILLA MARQUEZADO")</f>
        <v>RAMON CASTILLA MARQUEZADO</v>
      </c>
      <c r="C143" s="24"/>
      <c r="D143" s="24"/>
    </row>
    <row r="144" spans="1:4" ht="12.5" x14ac:dyDescent="0.25">
      <c r="A144" s="24" t="str">
        <f ca="1">IFERROR(__xludf.DUMMYFUNCTION("""COMPUTED_VALUE"""),"60146 MORALILLO")</f>
        <v>60146 MORALILLO</v>
      </c>
      <c r="B144" s="14" t="str">
        <f ca="1">IFERROR(__xludf.DUMMYFUNCTION("""COMPUTED_VALUE"""),"60136")</f>
        <v>60136</v>
      </c>
      <c r="C144" s="24"/>
      <c r="D144" s="24"/>
    </row>
    <row r="145" spans="1:4" ht="12.5" x14ac:dyDescent="0.25">
      <c r="A145" s="14" t="str">
        <f ca="1">IFERROR(__xludf.DUMMYFUNCTION("""COMPUTED_VALUE"""),"601514 EL DORADO")</f>
        <v>601514 EL DORADO</v>
      </c>
      <c r="B145" s="14" t="str">
        <f ca="1">IFERROR(__xludf.DUMMYFUNCTION("""COMPUTED_VALUE"""),"601514")</f>
        <v>601514</v>
      </c>
      <c r="C145" s="24"/>
      <c r="D145" s="24"/>
    </row>
    <row r="146" spans="1:4" ht="12.5" x14ac:dyDescent="0.25">
      <c r="A146" s="14" t="str">
        <f ca="1">IFERROR(__xludf.DUMMYFUNCTION("""COMPUTED_VALUE"""),"50492 CORAZON DE JESUS")</f>
        <v>50492 CORAZON DE JESUS</v>
      </c>
      <c r="B146" s="14" t="str">
        <f ca="1">IFERROR(__xludf.DUMMYFUNCTION("""COMPUTED_VALUE"""),"50492 CORAZON DE JESUS")</f>
        <v>50492 CORAZON DE JESUS</v>
      </c>
      <c r="C146" s="24"/>
      <c r="D146" s="24"/>
    </row>
    <row r="147" spans="1:4" ht="12.5" x14ac:dyDescent="0.25">
      <c r="A147" s="14" t="str">
        <f ca="1">IFERROR(__xludf.DUMMYFUNCTION("""COMPUTED_VALUE"""),"50495")</f>
        <v>50495</v>
      </c>
      <c r="B147" s="14" t="str">
        <f ca="1">IFERROR(__xludf.DUMMYFUNCTION("""COMPUTED_VALUE"""),"50495")</f>
        <v>50495</v>
      </c>
      <c r="C147" s="24"/>
      <c r="D147" s="24"/>
    </row>
    <row r="148" spans="1:4" ht="12.5" x14ac:dyDescent="0.25">
      <c r="A148" s="14" t="str">
        <f ca="1">IFERROR(__xludf.DUMMYFUNCTION("""COMPUTED_VALUE"""),"50547")</f>
        <v>50547</v>
      </c>
      <c r="B148" s="14" t="str">
        <f ca="1">IFERROR(__xludf.DUMMYFUNCTION("""COMPUTED_VALUE"""),"50547")</f>
        <v>50547</v>
      </c>
      <c r="C148" s="24"/>
      <c r="D148" s="24"/>
    </row>
    <row r="149" spans="1:4" ht="12.5" x14ac:dyDescent="0.25">
      <c r="A149" s="14" t="str">
        <f ca="1">IFERROR(__xludf.DUMMYFUNCTION("""COMPUTED_VALUE"""),"50550")</f>
        <v>50550</v>
      </c>
      <c r="B149" s="14" t="str">
        <f ca="1">IFERROR(__xludf.DUMMYFUNCTION("""COMPUTED_VALUE"""),"50550")</f>
        <v>50550</v>
      </c>
      <c r="C149" s="24"/>
      <c r="D149" s="24"/>
    </row>
    <row r="150" spans="1:4" ht="12.5" x14ac:dyDescent="0.25">
      <c r="A150" s="14" t="str">
        <f ca="1">IFERROR(__xludf.DUMMYFUNCTION("""COMPUTED_VALUE"""),"50552 TUPAC AMARU II")</f>
        <v>50552 TUPAC AMARU II</v>
      </c>
      <c r="B150" s="14" t="str">
        <f ca="1">IFERROR(__xludf.DUMMYFUNCTION("""COMPUTED_VALUE"""),"50552 TUPAC AMARU II")</f>
        <v>50552 TUPAC AMARU II</v>
      </c>
      <c r="C150" s="24"/>
      <c r="D150" s="24"/>
    </row>
    <row r="151" spans="1:4" ht="12.5" x14ac:dyDescent="0.25">
      <c r="A151" s="14" t="str">
        <f ca="1">IFERROR(__xludf.DUMMYFUNCTION("""COMPUTED_VALUE"""),"50553")</f>
        <v>50553</v>
      </c>
      <c r="B151" s="14" t="str">
        <f ca="1">IFERROR(__xludf.DUMMYFUNCTION("""COMPUTED_VALUE"""),"50553")</f>
        <v>50553</v>
      </c>
      <c r="C151" s="24"/>
      <c r="D151" s="24"/>
    </row>
    <row r="152" spans="1:4" ht="12.5" x14ac:dyDescent="0.25">
      <c r="A152" s="14" t="str">
        <f ca="1">IFERROR(__xludf.DUMMYFUNCTION("""COMPUTED_VALUE"""),"50558")</f>
        <v>50558</v>
      </c>
      <c r="B152" s="14" t="str">
        <f ca="1">IFERROR(__xludf.DUMMYFUNCTION("""COMPUTED_VALUE"""),"50558")</f>
        <v>50558</v>
      </c>
      <c r="C152" s="24"/>
      <c r="D152" s="24"/>
    </row>
    <row r="153" spans="1:4" ht="12.5" x14ac:dyDescent="0.25">
      <c r="A153" s="14" t="str">
        <f ca="1">IFERROR(__xludf.DUMMYFUNCTION("""COMPUTED_VALUE"""),"50715")</f>
        <v>50715</v>
      </c>
      <c r="B153" s="14" t="str">
        <f ca="1">IFERROR(__xludf.DUMMYFUNCTION("""COMPUTED_VALUE"""),"50715")</f>
        <v>50715</v>
      </c>
      <c r="C153" s="24"/>
      <c r="D153" s="24"/>
    </row>
    <row r="154" spans="1:4" ht="12.5" x14ac:dyDescent="0.25">
      <c r="A154" s="14" t="str">
        <f ca="1">IFERROR(__xludf.DUMMYFUNCTION("""COMPUTED_VALUE"""),"50719 VIRGEN DEL CARMEN")</f>
        <v>50719 VIRGEN DEL CARMEN</v>
      </c>
      <c r="B154" s="14" t="str">
        <f ca="1">IFERROR(__xludf.DUMMYFUNCTION("""COMPUTED_VALUE"""),"50719 VIRGEN DEL CARMEN")</f>
        <v>50719 VIRGEN DEL CARMEN</v>
      </c>
      <c r="C154" s="24"/>
      <c r="D154" s="24"/>
    </row>
    <row r="155" spans="1:4" ht="12.5" x14ac:dyDescent="0.25">
      <c r="A155" s="14" t="str">
        <f ca="1">IFERROR(__xludf.DUMMYFUNCTION("""COMPUTED_VALUE"""),"50765")</f>
        <v>50765</v>
      </c>
      <c r="B155" s="14" t="str">
        <f ca="1">IFERROR(__xludf.DUMMYFUNCTION("""COMPUTED_VALUE"""),"50765")</f>
        <v>50765</v>
      </c>
      <c r="C155" s="24"/>
      <c r="D155" s="24"/>
    </row>
    <row r="156" spans="1:4" ht="12.5" x14ac:dyDescent="0.25">
      <c r="A156" s="14" t="str">
        <f ca="1">IFERROR(__xludf.DUMMYFUNCTION("""COMPUTED_VALUE"""),"50854")</f>
        <v>50854</v>
      </c>
      <c r="B156" s="14" t="str">
        <f ca="1">IFERROR(__xludf.DUMMYFUNCTION("""COMPUTED_VALUE"""),"50854")</f>
        <v>50854</v>
      </c>
      <c r="C156" s="24"/>
      <c r="D156" s="24"/>
    </row>
    <row r="157" spans="1:4" ht="12.5" x14ac:dyDescent="0.25">
      <c r="A157" s="14" t="str">
        <f ca="1">IFERROR(__xludf.DUMMYFUNCTION("""COMPUTED_VALUE"""),"50977")</f>
        <v>50977</v>
      </c>
      <c r="B157" s="14" t="str">
        <f ca="1">IFERROR(__xludf.DUMMYFUNCTION("""COMPUTED_VALUE"""),"50977")</f>
        <v>50977</v>
      </c>
      <c r="C157" s="24"/>
      <c r="D157" s="24"/>
    </row>
    <row r="158" spans="1:4" ht="12.5" x14ac:dyDescent="0.25">
      <c r="A158" s="14" t="str">
        <f ca="1">IFERROR(__xludf.DUMMYFUNCTION("""COMPUTED_VALUE"""),"501344")</f>
        <v>501344</v>
      </c>
      <c r="B158" s="14" t="str">
        <f ca="1">IFERROR(__xludf.DUMMYFUNCTION("""COMPUTED_VALUE"""),"501344")</f>
        <v>501344</v>
      </c>
      <c r="C158" s="24"/>
      <c r="D158" s="24"/>
    </row>
    <row r="159" spans="1:4" ht="12.5" x14ac:dyDescent="0.25">
      <c r="A159" s="14" t="str">
        <f ca="1">IFERROR(__xludf.DUMMYFUNCTION("""COMPUTED_VALUE"""),"501432 PAPA FRANCISCO I")</f>
        <v>501432 PAPA FRANCISCO I</v>
      </c>
      <c r="B159" s="14" t="str">
        <f ca="1">IFERROR(__xludf.DUMMYFUNCTION("""COMPUTED_VALUE"""),"501432 PAPA FRANCISCO I")</f>
        <v>501432 PAPA FRANCISCO I</v>
      </c>
      <c r="C159" s="24"/>
      <c r="D159" s="24"/>
    </row>
    <row r="160" spans="1:4" ht="12.5" x14ac:dyDescent="0.25">
      <c r="A160" s="14" t="str">
        <f ca="1">IFERROR(__xludf.DUMMYFUNCTION("""COMPUTED_VALUE"""),"501455 CRISTO REY TTIKARIY")</f>
        <v>501455 CRISTO REY TTIKARIY</v>
      </c>
      <c r="B160" s="14" t="str">
        <f ca="1">IFERROR(__xludf.DUMMYFUNCTION("""COMPUTED_VALUE"""),"501455 CRISTO REY TTIKARIY")</f>
        <v>501455 CRISTO REY TTIKARIY</v>
      </c>
      <c r="C160" s="24"/>
      <c r="D160" s="24"/>
    </row>
    <row r="161" spans="1:4" ht="12.5" x14ac:dyDescent="0.25">
      <c r="A161" s="14" t="str">
        <f ca="1">IFERROR(__xludf.DUMMYFUNCTION("""COMPUTED_VALUE"""),"501532 Kumuncancha")</f>
        <v>501532 Kumuncancha</v>
      </c>
      <c r="B161" s="14" t="str">
        <f ca="1">IFERROR(__xludf.DUMMYFUNCTION("""COMPUTED_VALUE"""),"501432 PAPA FRANCISCO I")</f>
        <v>501432 PAPA FRANCISCO I</v>
      </c>
      <c r="C161" s="24"/>
      <c r="D161" s="24"/>
    </row>
    <row r="162" spans="1:4" ht="12.5" x14ac:dyDescent="0.25">
      <c r="A162" s="14" t="str">
        <f ca="1">IFERROR(__xludf.DUMMYFUNCTION("""COMPUTED_VALUE"""),"VILLA ESTHER 64830")</f>
        <v>VILLA ESTHER 64830</v>
      </c>
      <c r="B162" s="14" t="str">
        <f ca="1">IFERROR(__xludf.DUMMYFUNCTION("""COMPUTED_VALUE"""),"64829")</f>
        <v>64829</v>
      </c>
      <c r="C162" s="24"/>
      <c r="D162" s="24"/>
    </row>
    <row r="163" spans="1:4" ht="12.5" x14ac:dyDescent="0.25">
      <c r="A163" s="14" t="str">
        <f ca="1">IFERROR(__xludf.DUMMYFUNCTION("""COMPUTED_VALUE"""),"VILLA ESTHER 64836")</f>
        <v>VILLA ESTHER 64836</v>
      </c>
      <c r="B163" s="14" t="str">
        <f ca="1">IFERROR(__xludf.DUMMYFUNCTION("""COMPUTED_VALUE"""),"64829")</f>
        <v>64829</v>
      </c>
      <c r="C163" s="24"/>
      <c r="D163" s="24"/>
    </row>
    <row r="164" spans="1:4" ht="12.5" x14ac:dyDescent="0.25">
      <c r="A164" s="14" t="str">
        <f ca="1">IFERROR(__xludf.DUMMYFUNCTION("""COMPUTED_VALUE"""),"VILLA ESTHER 64837")</f>
        <v>VILLA ESTHER 64837</v>
      </c>
      <c r="B164" s="14" t="str">
        <f ca="1">IFERROR(__xludf.DUMMYFUNCTION("""COMPUTED_VALUE"""),"64829")</f>
        <v>64829</v>
      </c>
      <c r="C164" s="24"/>
      <c r="D164" s="24"/>
    </row>
    <row r="165" spans="1:4" ht="12.5" x14ac:dyDescent="0.25">
      <c r="A165" s="14" t="str">
        <f ca="1">IFERROR(__xludf.DUMMYFUNCTION("""COMPUTED_VALUE"""),"VILLA ESTHER 64838")</f>
        <v>VILLA ESTHER 64838</v>
      </c>
      <c r="B165" s="14" t="str">
        <f ca="1">IFERROR(__xludf.DUMMYFUNCTION("""COMPUTED_VALUE"""),"64829")</f>
        <v>64829</v>
      </c>
      <c r="C165" s="24"/>
      <c r="D165" s="24"/>
    </row>
    <row r="166" spans="1:4" ht="12.5" x14ac:dyDescent="0.25">
      <c r="A166" s="14" t="str">
        <f ca="1">IFERROR(__xludf.DUMMYFUNCTION("""COMPUTED_VALUE"""),"VILLA ESTHER 64839")</f>
        <v>VILLA ESTHER 64839</v>
      </c>
      <c r="B166" s="14" t="str">
        <f ca="1">IFERROR(__xludf.DUMMYFUNCTION("""COMPUTED_VALUE"""),"64829")</f>
        <v>64829</v>
      </c>
      <c r="C166" s="24"/>
      <c r="D166" s="24"/>
    </row>
    <row r="167" spans="1:4" ht="12.5" x14ac:dyDescent="0.25">
      <c r="A167" s="14" t="str">
        <f ca="1">IFERROR(__xludf.DUMMYFUNCTION("""COMPUTED_VALUE"""),"José Carlos Mariátegui")</f>
        <v>José Carlos Mariátegui</v>
      </c>
      <c r="B167" s="14" t="str">
        <f ca="1">IFERROR(__xludf.DUMMYFUNCTION("""COMPUTED_VALUE"""),"JOSE CARLOS MARIATEGUI")</f>
        <v>JOSE CARLOS MARIATEGUI</v>
      </c>
      <c r="C167" s="24"/>
      <c r="D167" s="24"/>
    </row>
    <row r="168" spans="1:4" ht="12.5" x14ac:dyDescent="0.25">
      <c r="A168" s="14" t="str">
        <f ca="1">IFERROR(__xludf.DUMMYFUNCTION("""COMPUTED_VALUE"""),"RAMON CASTILLA MARQUESADO")</f>
        <v>RAMON CASTILLA MARQUESADO</v>
      </c>
      <c r="B168" s="14" t="str">
        <f ca="1">IFERROR(__xludf.DUMMYFUNCTION("""COMPUTED_VALUE"""),"RAMON CASTILLA MARQUEZADO")</f>
        <v>RAMON CASTILLA MARQUEZADO</v>
      </c>
      <c r="C168" s="24"/>
      <c r="D168" s="24"/>
    </row>
    <row r="169" spans="1:4" ht="12.5" x14ac:dyDescent="0.25">
      <c r="A169" s="14" t="str">
        <f ca="1">IFERROR(__xludf.DUMMYFUNCTION("""COMPUTED_VALUE"""),"Ramón Castilla Marquezado")</f>
        <v>Ramón Castilla Marquezado</v>
      </c>
      <c r="B169" s="14" t="str">
        <f ca="1">IFERROR(__xludf.DUMMYFUNCTION("""COMPUTED_VALUE"""),"RAMON CASTILLA MARQUEZADO")</f>
        <v>RAMON CASTILLA MARQUEZADO</v>
      </c>
      <c r="C169" s="24"/>
      <c r="D169" s="24"/>
    </row>
    <row r="170" spans="1:4" ht="12.5" x14ac:dyDescent="0.25">
      <c r="A170" s="14" t="str">
        <f ca="1">IFERROR(__xludf.DUMMYFUNCTION("""COMPUTED_VALUE"""),"SAGRADO CORAZON DE JESÚS")</f>
        <v>SAGRADO CORAZON DE JESÚS</v>
      </c>
      <c r="B170" s="14" t="str">
        <f ca="1">IFERROR(__xludf.DUMMYFUNCTION("""COMPUTED_VALUE"""),"15374")</f>
        <v>15374</v>
      </c>
      <c r="C170" s="24"/>
      <c r="D170" s="24"/>
    </row>
    <row r="171" spans="1:4" ht="12.5" x14ac:dyDescent="0.25">
      <c r="A171" s="14" t="str">
        <f ca="1">IFERROR(__xludf.DUMMYFUNCTION("""COMPUTED_VALUE"""),"14144 SantaRosa-Palominos")</f>
        <v>14144 SantaRosa-Palominos</v>
      </c>
      <c r="B171" s="14" t="str">
        <f ca="1">IFERROR(__xludf.DUMMYFUNCTION("""COMPUTED_VALUE"""),"14144 SANTA ROSA")</f>
        <v>14144 SANTA ROSA</v>
      </c>
      <c r="C171" s="24"/>
      <c r="D171" s="24"/>
    </row>
    <row r="172" spans="1:4" ht="12.5" x14ac:dyDescent="0.25">
      <c r="A172" s="24" t="str">
        <f ca="1">IFERROR(__xludf.DUMMYFUNCTION("""COMPUTED_VALUE"""),"I.E. N° 50765 SALLICANCHA")</f>
        <v>I.E. N° 50765 SALLICANCHA</v>
      </c>
      <c r="B172" s="14" t="str">
        <f ca="1">IFERROR(__xludf.DUMMYFUNCTION("""COMPUTED_VALUE"""),"50765")</f>
        <v>50765</v>
      </c>
      <c r="C172" s="24"/>
      <c r="D172" s="24"/>
    </row>
    <row r="173" spans="1:4" ht="12.5" x14ac:dyDescent="0.25">
      <c r="A173" s="14" t="str">
        <f ca="1">IFERROR(__xludf.DUMMYFUNCTION("""COMPUTED_VALUE"""),"I.E. N° 50796 Yanacancha")</f>
        <v>I.E. N° 50796 Yanacancha</v>
      </c>
      <c r="B173" s="14" t="str">
        <f ca="1">IFERROR(__xludf.DUMMYFUNCTION("""COMPUTED_VALUE"""),"50796")</f>
        <v>50796</v>
      </c>
      <c r="C173" s="24"/>
      <c r="D173" s="24"/>
    </row>
    <row r="174" spans="1:4" ht="12.5" x14ac:dyDescent="0.25">
      <c r="A174" s="14" t="str">
        <f ca="1">IFERROR(__xludf.DUMMYFUNCTION("""COMPUTED_VALUE"""),"IE. N° 50547 ACCOCUNCA")</f>
        <v>IE. N° 50547 ACCOCUNCA</v>
      </c>
      <c r="B174" s="14" t="str">
        <f ca="1">IFERROR(__xludf.DUMMYFUNCTION("""COMPUTED_VALUE"""),"50547")</f>
        <v>50547</v>
      </c>
      <c r="C174" s="24"/>
      <c r="D174" s="24"/>
    </row>
    <row r="175" spans="1:4" ht="12.5" x14ac:dyDescent="0.25">
      <c r="A175" s="14" t="str">
        <f ca="1">IFERROR(__xludf.DUMMYFUNCTION("""COMPUTED_VALUE"""),"I.E. N° 50495 Ccapana")</f>
        <v>I.E. N° 50495 Ccapana</v>
      </c>
      <c r="B175" s="14" t="str">
        <f ca="1">IFERROR(__xludf.DUMMYFUNCTION("""COMPUTED_VALUE"""),"50495")</f>
        <v>50495</v>
      </c>
      <c r="C175" s="24"/>
      <c r="D175" s="24"/>
    </row>
    <row r="176" spans="1:4" ht="12.5" x14ac:dyDescent="0.25">
      <c r="A176" s="14" t="str">
        <f ca="1">IFERROR(__xludf.DUMMYFUNCTION("""COMPUTED_VALUE"""),"501455")</f>
        <v>501455</v>
      </c>
      <c r="B176" s="14" t="str">
        <f ca="1">IFERROR(__xludf.DUMMYFUNCTION("""COMPUTED_VALUE"""),"501455 CRISTO REY TTIKARIY")</f>
        <v>501455 CRISTO REY TTIKARIY</v>
      </c>
      <c r="C176" s="24"/>
      <c r="D176" s="24"/>
    </row>
    <row r="177" spans="1:4" ht="12.5" x14ac:dyDescent="0.25">
      <c r="A177" s="14" t="str">
        <f ca="1">IFERROR(__xludf.DUMMYFUNCTION("""COMPUTED_VALUE"""),"IE. N° 501532 Kumuncancha")</f>
        <v>IE. N° 501532 Kumuncancha</v>
      </c>
      <c r="B177" s="14" t="str">
        <f ca="1">IFERROR(__xludf.DUMMYFUNCTION("""COMPUTED_VALUE"""),"501432 PAPA FRANCISCO I")</f>
        <v>501432 PAPA FRANCISCO I</v>
      </c>
      <c r="C177" s="24"/>
      <c r="D177" s="24"/>
    </row>
    <row r="178" spans="1:4" ht="12.5" x14ac:dyDescent="0.25">
      <c r="A178" s="14" t="str">
        <f ca="1">IFERROR(__xludf.DUMMYFUNCTION("""COMPUTED_VALUE"""),"LLACHI1")</f>
        <v>LLACHI1</v>
      </c>
      <c r="B178" s="14" t="str">
        <f ca="1">IFERROR(__xludf.DUMMYFUNCTION("""COMPUTED_VALUE"""),"50715")</f>
        <v>50715</v>
      </c>
      <c r="C178" s="24"/>
      <c r="D178" s="24"/>
    </row>
    <row r="179" spans="1:4" ht="12.5" x14ac:dyDescent="0.25">
      <c r="A179" s="14" t="str">
        <f ca="1">IFERROR(__xludf.DUMMYFUNCTION("""COMPUTED_VALUE"""),"I.E. N° 50492 CORAZON DE JESUS OCONGATE")</f>
        <v>I.E. N° 50492 CORAZON DE JESUS OCONGATE</v>
      </c>
      <c r="B179" s="14" t="str">
        <f ca="1">IFERROR(__xludf.DUMMYFUNCTION("""COMPUTED_VALUE"""),"50492 CORAZON DE JESUS")</f>
        <v>50492 CORAZON DE JESUS</v>
      </c>
      <c r="C179" s="24"/>
      <c r="D179" s="24"/>
    </row>
    <row r="180" spans="1:4" ht="12.5" x14ac:dyDescent="0.25">
      <c r="A180" s="14" t="str">
        <f ca="1">IFERROR(__xludf.DUMMYFUNCTION("""COMPUTED_VALUE"""),"Accocunca Nº 50547")</f>
        <v>Accocunca Nº 50547</v>
      </c>
      <c r="B180" s="14" t="str">
        <f ca="1">IFERROR(__xludf.DUMMYFUNCTION("""COMPUTED_VALUE"""),"50547")</f>
        <v>50547</v>
      </c>
      <c r="C180" s="24"/>
      <c r="D180" s="24"/>
    </row>
    <row r="181" spans="1:4" ht="12.5" x14ac:dyDescent="0.25">
      <c r="A181" s="14" t="str">
        <f ca="1">IFERROR(__xludf.DUMMYFUNCTION("""COMPUTED_VALUE"""),"Andamayo Nº 50977")</f>
        <v>Andamayo Nº 50977</v>
      </c>
      <c r="B181" s="14" t="str">
        <f ca="1">IFERROR(__xludf.DUMMYFUNCTION("""COMPUTED_VALUE"""),"50977")</f>
        <v>50977</v>
      </c>
      <c r="C181" s="24"/>
      <c r="D181" s="24"/>
    </row>
    <row r="182" spans="1:4" ht="12.5" x14ac:dyDescent="0.25">
      <c r="A182" s="14" t="str">
        <f ca="1">IFERROR(__xludf.DUMMYFUNCTION("""COMPUTED_VALUE"""),"Ccasapata Nº 501344")</f>
        <v>Ccasapata Nº 501344</v>
      </c>
      <c r="B182" s="14" t="str">
        <f ca="1">IFERROR(__xludf.DUMMYFUNCTION("""COMPUTED_VALUE"""),"501344")</f>
        <v>501344</v>
      </c>
      <c r="C182" s="24"/>
      <c r="D182" s="24"/>
    </row>
    <row r="183" spans="1:4" ht="12.5" x14ac:dyDescent="0.25">
      <c r="A183" s="14" t="str">
        <f ca="1">IFERROR(__xludf.DUMMYFUNCTION("""COMPUTED_VALUE"""),"Ccapana Nº 50495")</f>
        <v>Ccapana Nº 50495</v>
      </c>
      <c r="B183" s="14" t="str">
        <f ca="1">IFERROR(__xludf.DUMMYFUNCTION("""COMPUTED_VALUE"""),"50495")</f>
        <v>50495</v>
      </c>
      <c r="C183" s="24"/>
      <c r="D183" s="24"/>
    </row>
    <row r="184" spans="1:4" ht="12.5" x14ac:dyDescent="0.25">
      <c r="A184" s="14" t="str">
        <f ca="1">IFERROR(__xludf.DUMMYFUNCTION("""COMPUTED_VALUE"""),"Ccoñamuro Nº 50536")</f>
        <v>Ccoñamuro Nº 50536</v>
      </c>
      <c r="B184" s="14" t="str">
        <f ca="1">IFERROR(__xludf.DUMMYFUNCTION("""COMPUTED_VALUE"""),"50536")</f>
        <v>50536</v>
      </c>
      <c r="C184" s="24"/>
      <c r="D184" s="24"/>
    </row>
    <row r="185" spans="1:4" ht="12.5" x14ac:dyDescent="0.25">
      <c r="A185" s="14" t="str">
        <f ca="1">IFERROR(__xludf.DUMMYFUNCTION("""COMPUTED_VALUE"""),"Cuyuni Nº 50912")</f>
        <v>Cuyuni Nº 50912</v>
      </c>
      <c r="B185" s="14" t="str">
        <f ca="1">IFERROR(__xludf.DUMMYFUNCTION("""COMPUTED_VALUE"""),"50912")</f>
        <v>50912</v>
      </c>
      <c r="C185" s="24"/>
      <c r="D185" s="24"/>
    </row>
    <row r="186" spans="1:4" ht="12.5" x14ac:dyDescent="0.25">
      <c r="A186" s="14" t="str">
        <f ca="1">IFERROR(__xludf.DUMMYFUNCTION("""COMPUTED_VALUE"""),"Huacatinco Nº 50552")</f>
        <v>Huacatinco Nº 50552</v>
      </c>
      <c r="B186" s="14" t="str">
        <f ca="1">IFERROR(__xludf.DUMMYFUNCTION("""COMPUTED_VALUE"""),"50552 TUPAC AMARU II")</f>
        <v>50552 TUPAC AMARU II</v>
      </c>
      <c r="C186" s="24"/>
      <c r="D186" s="24"/>
    </row>
    <row r="187" spans="1:4" ht="12.5" x14ac:dyDescent="0.25">
      <c r="A187" s="14" t="str">
        <f ca="1">IFERROR(__xludf.DUMMYFUNCTION("""COMPUTED_VALUE"""),"Huarahuara Nº 50535")</f>
        <v>Huarahuara Nº 50535</v>
      </c>
      <c r="B187" s="14" t="str">
        <f ca="1">IFERROR(__xludf.DUMMYFUNCTION("""COMPUTED_VALUE"""),"50535")</f>
        <v>50535</v>
      </c>
      <c r="C187" s="24"/>
      <c r="D187" s="24"/>
    </row>
    <row r="188" spans="1:4" ht="12.5" x14ac:dyDescent="0.25">
      <c r="A188" s="14" t="str">
        <f ca="1">IFERROR(__xludf.DUMMYFUNCTION("""COMPUTED_VALUE"""),"Lloqueta Nº 50976")</f>
        <v>Lloqueta Nº 50976</v>
      </c>
      <c r="B188" s="14" t="str">
        <f ca="1">IFERROR(__xludf.DUMMYFUNCTION("""COMPUTED_VALUE"""),"50976")</f>
        <v>50976</v>
      </c>
      <c r="C188" s="24"/>
      <c r="D188" s="24"/>
    </row>
    <row r="189" spans="1:4" ht="12.5" x14ac:dyDescent="0.25">
      <c r="A189" s="14" t="str">
        <f ca="1">IFERROR(__xludf.DUMMYFUNCTION("""COMPUTED_VALUE"""),"Llachi Nº 50715")</f>
        <v>Llachi Nº 50715</v>
      </c>
      <c r="B189" s="14" t="str">
        <f ca="1">IFERROR(__xludf.DUMMYFUNCTION("""COMPUTED_VALUE"""),"50715")</f>
        <v>50715</v>
      </c>
      <c r="C189" s="24"/>
      <c r="D189" s="24"/>
    </row>
    <row r="190" spans="1:4" ht="12.5" x14ac:dyDescent="0.25">
      <c r="A190" s="14" t="str">
        <f ca="1">IFERROR(__xludf.DUMMYFUNCTION("""COMPUTED_VALUE"""),"Kumuncancha N° 501432")</f>
        <v>Kumuncancha N° 501432</v>
      </c>
      <c r="B190" s="14" t="str">
        <f ca="1">IFERROR(__xludf.DUMMYFUNCTION("""COMPUTED_VALUE"""),"501432 PAPA FRANCISCO I")</f>
        <v>501432 PAPA FRANCISCO I</v>
      </c>
      <c r="C190" s="24"/>
      <c r="D190" s="24"/>
    </row>
    <row r="191" spans="1:4" ht="12.5" x14ac:dyDescent="0.25">
      <c r="A191" s="14" t="str">
        <f ca="1">IFERROR(__xludf.DUMMYFUNCTION("""COMPUTED_VALUE"""),"Marampaqui Nº 50553")</f>
        <v>Marampaqui Nº 50553</v>
      </c>
      <c r="B191" s="14" t="str">
        <f ca="1">IFERROR(__xludf.DUMMYFUNCTION("""COMPUTED_VALUE"""),"50553")</f>
        <v>50553</v>
      </c>
      <c r="C191" s="24"/>
      <c r="D191" s="24"/>
    </row>
    <row r="192" spans="1:4" ht="12.5" x14ac:dyDescent="0.25">
      <c r="A192" s="14" t="str">
        <f ca="1">IFERROR(__xludf.DUMMYFUNCTION("""COMPUTED_VALUE"""),"Ocongate – Corazón de Jesús")</f>
        <v>Ocongate – Corazón de Jesús</v>
      </c>
      <c r="B192" s="14" t="str">
        <f ca="1">IFERROR(__xludf.DUMMYFUNCTION("""COMPUTED_VALUE"""),"50492 CORAZON DE JESUS")</f>
        <v>50492 CORAZON DE JESUS</v>
      </c>
      <c r="C192" s="24"/>
      <c r="D192" s="24"/>
    </row>
    <row r="193" spans="1:4" ht="12.5" x14ac:dyDescent="0.25">
      <c r="A193" s="14" t="str">
        <f ca="1">IFERROR(__xludf.DUMMYFUNCTION("""COMPUTED_VALUE"""),"Pacchanta Baja N° 501455")</f>
        <v>Pacchanta Baja N° 501455</v>
      </c>
      <c r="B193" s="14" t="str">
        <f ca="1">IFERROR(__xludf.DUMMYFUNCTION("""COMPUTED_VALUE"""),"501455 CRISTO REY TTIKARIY")</f>
        <v>501455 CRISTO REY TTIKARIY</v>
      </c>
      <c r="C193" s="24"/>
      <c r="D193" s="24"/>
    </row>
    <row r="194" spans="1:4" ht="12.5" x14ac:dyDescent="0.25">
      <c r="A194" s="14" t="str">
        <f ca="1">IFERROR(__xludf.DUMMYFUNCTION("""COMPUTED_VALUE"""),"Pampacancha Nº 50550")</f>
        <v>Pampacancha Nº 50550</v>
      </c>
      <c r="B194" s="14" t="str">
        <f ca="1">IFERROR(__xludf.DUMMYFUNCTION("""COMPUTED_VALUE"""),"50550")</f>
        <v>50550</v>
      </c>
      <c r="C194" s="24"/>
      <c r="D194" s="24"/>
    </row>
    <row r="195" spans="1:4" ht="12.5" x14ac:dyDescent="0.25">
      <c r="A195" s="14" t="str">
        <f ca="1">IFERROR(__xludf.DUMMYFUNCTION("""COMPUTED_VALUE"""),"Parccocalla N° 50558")</f>
        <v>Parccocalla N° 50558</v>
      </c>
      <c r="B195" s="14" t="str">
        <f ca="1">IFERROR(__xludf.DUMMYFUNCTION("""COMPUTED_VALUE"""),"50558")</f>
        <v>50558</v>
      </c>
      <c r="C195" s="24"/>
      <c r="D195" s="24"/>
    </row>
    <row r="196" spans="1:4" ht="12.5" x14ac:dyDescent="0.25">
      <c r="A196" s="14" t="str">
        <f ca="1">IFERROR(__xludf.DUMMYFUNCTION("""COMPUTED_VALUE"""),"Patapallpa Alto Nº 50854")</f>
        <v>Patapallpa Alto Nº 50854</v>
      </c>
      <c r="B196" s="14" t="str">
        <f ca="1">IFERROR(__xludf.DUMMYFUNCTION("""COMPUTED_VALUE"""),"50854")</f>
        <v>50854</v>
      </c>
      <c r="C196" s="24"/>
      <c r="D196" s="24"/>
    </row>
    <row r="197" spans="1:4" ht="12.5" x14ac:dyDescent="0.25">
      <c r="A197" s="14" t="str">
        <f ca="1">IFERROR(__xludf.DUMMYFUNCTION("""COMPUTED_VALUE"""),"Sallicancha Nº 50765")</f>
        <v>Sallicancha Nº 50765</v>
      </c>
      <c r="B197" s="14" t="str">
        <f ca="1">IFERROR(__xludf.DUMMYFUNCTION("""COMPUTED_VALUE"""),"50765")</f>
        <v>50765</v>
      </c>
      <c r="C197" s="24"/>
      <c r="D197" s="24"/>
    </row>
    <row r="198" spans="1:4" ht="12.5" x14ac:dyDescent="0.25">
      <c r="A198" s="14" t="str">
        <f ca="1">IFERROR(__xludf.DUMMYFUNCTION("""COMPUTED_VALUE"""),"TINKE N° 50719")</f>
        <v>TINKE N° 50719</v>
      </c>
      <c r="B198" s="14" t="str">
        <f ca="1">IFERROR(__xludf.DUMMYFUNCTION("""COMPUTED_VALUE"""),"50719 VIRGEN DEL CARMEN")</f>
        <v>50719 VIRGEN DEL CARMEN</v>
      </c>
      <c r="C198" s="24"/>
      <c r="D198" s="24"/>
    </row>
    <row r="199" spans="1:4" ht="12.5" x14ac:dyDescent="0.25">
      <c r="A199" s="14" t="str">
        <f ca="1">IFERROR(__xludf.DUMMYFUNCTION("""COMPUTED_VALUE"""),"Umuto N° 50504")</f>
        <v>Umuto N° 50504</v>
      </c>
      <c r="B199" s="14" t="str">
        <f ca="1">IFERROR(__xludf.DUMMYFUNCTION("""COMPUTED_VALUE"""),"50504")</f>
        <v>50504</v>
      </c>
      <c r="C199" s="24"/>
      <c r="D199" s="24"/>
    </row>
    <row r="200" spans="1:4" ht="12.5" x14ac:dyDescent="0.25">
      <c r="A200" s="14" t="str">
        <f ca="1">IFERROR(__xludf.DUMMYFUNCTION("""COMPUTED_VALUE"""),"Yanacancha Nº 50796")</f>
        <v>Yanacancha Nº 50796</v>
      </c>
      <c r="B200" s="14" t="str">
        <f ca="1">IFERROR(__xludf.DUMMYFUNCTION("""COMPUTED_VALUE"""),"50796")</f>
        <v>50796</v>
      </c>
      <c r="C200" s="24"/>
      <c r="D200" s="24"/>
    </row>
    <row r="201" spans="1:4" ht="12.5" x14ac:dyDescent="0.25">
      <c r="A201" s="14" t="str">
        <f ca="1">IFERROR(__xludf.DUMMYFUNCTION("""COMPUTED_VALUE"""),"Parcocalla Sec. Almirante Miguel Grau")</f>
        <v>Parcocalla Sec. Almirante Miguel Grau</v>
      </c>
      <c r="B201" s="14" t="str">
        <f ca="1">IFERROR(__xludf.DUMMYFUNCTION("""COMPUTED_VALUE"""),"ALMIRANTE MIGUEL GRAU SEMINARIO")</f>
        <v>ALMIRANTE MIGUEL GRAU SEMINARIO</v>
      </c>
      <c r="C201" s="24"/>
      <c r="D201" s="24"/>
    </row>
    <row r="202" spans="1:4" ht="12.5" x14ac:dyDescent="0.25">
      <c r="A202" s="14" t="str">
        <f ca="1">IFERROR(__xludf.DUMMYFUNCTION("""COMPUTED_VALUE"""),"Ccoya Sec. Los Rittis del Alto Andino")</f>
        <v>Ccoya Sec. Los Rittis del Alto Andino</v>
      </c>
      <c r="B202" s="14" t="str">
        <f ca="1">IFERROR(__xludf.DUMMYFUNCTION("""COMPUTED_VALUE"""),"1457365 LOS RIT'S DEL ALTO ANDINO")</f>
        <v>1457365 LOS RIT'S DEL ALTO ANDINO</v>
      </c>
      <c r="C202" s="24"/>
      <c r="D202" s="24"/>
    </row>
    <row r="203" spans="1:4" ht="12.5" x14ac:dyDescent="0.25">
      <c r="A203" s="14" t="str">
        <f ca="1">IFERROR(__xludf.DUMMYFUNCTION("""COMPUTED_VALUE"""),"Kumuncancha Sec. 501432 Papa Francisco I")</f>
        <v>Kumuncancha Sec. 501432 Papa Francisco I</v>
      </c>
      <c r="B203" s="14" t="str">
        <f ca="1">IFERROR(__xludf.DUMMYFUNCTION("""COMPUTED_VALUE"""),"501432 PAPA FRANCISCO I")</f>
        <v>501432 PAPA FRANCISCO I</v>
      </c>
      <c r="C203" s="24"/>
      <c r="D203" s="24"/>
    </row>
    <row r="204" spans="1:4" ht="12.5" x14ac:dyDescent="0.25">
      <c r="A204" s="24" t="str">
        <f ca="1">IFERROR(__xludf.DUMMYFUNCTION("""COMPUTED_VALUE"""),"501344 Ccasapata")</f>
        <v>501344 Ccasapata</v>
      </c>
      <c r="B204" s="14" t="str">
        <f ca="1">IFERROR(__xludf.DUMMYFUNCTION("""COMPUTED_VALUE"""),"501344")</f>
        <v>501344</v>
      </c>
      <c r="C204" s="24"/>
      <c r="D204" s="24"/>
    </row>
    <row r="205" spans="1:4" ht="12.5" x14ac:dyDescent="0.25">
      <c r="A205" s="24" t="str">
        <f ca="1">IFERROR(__xludf.DUMMYFUNCTION("""COMPUTED_VALUE"""),"501455 Cristo Rey Ttikariy- Pacchanta Baja")</f>
        <v>501455 Cristo Rey Ttikariy- Pacchanta Baja</v>
      </c>
      <c r="B205" s="14" t="str">
        <f ca="1">IFERROR(__xludf.DUMMYFUNCTION("""COMPUTED_VALUE"""),"501455 CRISTO REY TTIKARIY")</f>
        <v>501455 CRISTO REY TTIKARIY</v>
      </c>
      <c r="C205" s="24"/>
      <c r="D205" s="24"/>
    </row>
    <row r="206" spans="1:4" ht="12.5" x14ac:dyDescent="0.25">
      <c r="A206" s="24" t="str">
        <f ca="1">IFERROR(__xludf.DUMMYFUNCTION("""COMPUTED_VALUE"""),"50492 ""Corazón de Jesús"" Ocongate")</f>
        <v>50492 "Corazón de Jesús" Ocongate</v>
      </c>
      <c r="B206" s="14" t="str">
        <f ca="1">IFERROR(__xludf.DUMMYFUNCTION("""COMPUTED_VALUE"""),"50492 CORAZON DE JESUS")</f>
        <v>50492 CORAZON DE JESUS</v>
      </c>
      <c r="C206" s="24"/>
      <c r="D206" s="24"/>
    </row>
    <row r="207" spans="1:4" ht="12.5" x14ac:dyDescent="0.25">
      <c r="A207" s="24" t="str">
        <f ca="1">IFERROR(__xludf.DUMMYFUNCTION("""COMPUTED_VALUE"""),"50552 Tupac Amaru II - Huacatinco")</f>
        <v>50552 Tupac Amaru II - Huacatinco</v>
      </c>
      <c r="B207" s="14" t="str">
        <f ca="1">IFERROR(__xludf.DUMMYFUNCTION("""COMPUTED_VALUE"""),"50552 TUPAC AMARU II")</f>
        <v>50552 TUPAC AMARU II</v>
      </c>
      <c r="C207" s="24"/>
      <c r="D207" s="24"/>
    </row>
    <row r="208" spans="1:4" ht="12.5" x14ac:dyDescent="0.25">
      <c r="A208" s="24" t="str">
        <f ca="1">IFERROR(__xludf.DUMMYFUNCTION("""COMPUTED_VALUE"""),"50719 Virgen del Carmen de Tinke")</f>
        <v>50719 Virgen del Carmen de Tinke</v>
      </c>
      <c r="B208" s="14" t="str">
        <f ca="1">IFERROR(__xludf.DUMMYFUNCTION("""COMPUTED_VALUE"""),"50719 VIRGEN DEL CARMEN")</f>
        <v>50719 VIRGEN DEL CARMEN</v>
      </c>
      <c r="C208" s="24"/>
      <c r="D208" s="24"/>
    </row>
    <row r="209" spans="1:4" ht="12.5" x14ac:dyDescent="0.25">
      <c r="A209" s="24" t="str">
        <f ca="1">IFERROR(__xludf.DUMMYFUNCTION("""COMPUTED_VALUE"""),"50854 Patapallpa Alta")</f>
        <v>50854 Patapallpa Alta</v>
      </c>
      <c r="B209" s="14" t="str">
        <f ca="1">IFERROR(__xludf.DUMMYFUNCTION("""COMPUTED_VALUE"""),"50854")</f>
        <v>50854</v>
      </c>
      <c r="C209" s="24"/>
      <c r="D209" s="24"/>
    </row>
    <row r="210" spans="1:4" ht="12.5" x14ac:dyDescent="0.25">
      <c r="A210" s="14" t="str">
        <f ca="1">IFERROR(__xludf.DUMMYFUNCTION("""COMPUTED_VALUE"""),"50715 Llachi")</f>
        <v>50715 Llachi</v>
      </c>
      <c r="B210" s="14" t="str">
        <f ca="1">IFERROR(__xludf.DUMMYFUNCTION("""COMPUTED_VALUE"""),"50715")</f>
        <v>50715</v>
      </c>
      <c r="C210" s="24"/>
      <c r="D210" s="24"/>
    </row>
    <row r="211" spans="1:4" ht="12.5" x14ac:dyDescent="0.25">
      <c r="A211" s="14" t="str">
        <f ca="1">IFERROR(__xludf.DUMMYFUNCTION("""COMPUTED_VALUE"""),"50765 Sallicancha")</f>
        <v>50765 Sallicancha</v>
      </c>
      <c r="B211" s="14" t="str">
        <f ca="1">IFERROR(__xludf.DUMMYFUNCTION("""COMPUTED_VALUE"""),"50765")</f>
        <v>50765</v>
      </c>
      <c r="C211" s="24"/>
      <c r="D211" s="24"/>
    </row>
    <row r="212" spans="1:4" ht="12.5" x14ac:dyDescent="0.25">
      <c r="A212" s="14" t="str">
        <f ca="1">IFERROR(__xludf.DUMMYFUNCTION("""COMPUTED_VALUE"""),"50796 Yanacancha")</f>
        <v>50796 Yanacancha</v>
      </c>
      <c r="B212" s="14" t="str">
        <f ca="1">IFERROR(__xludf.DUMMYFUNCTION("""COMPUTED_VALUE"""),"50796")</f>
        <v>50796</v>
      </c>
      <c r="C212" s="24"/>
      <c r="D212" s="24"/>
    </row>
    <row r="213" spans="1:4" ht="12.5" x14ac:dyDescent="0.25">
      <c r="A213" s="14" t="str">
        <f ca="1">IFERROR(__xludf.DUMMYFUNCTION("""COMPUTED_VALUE"""),"50495 Ccapana ")</f>
        <v xml:space="preserve">50495 Ccapana </v>
      </c>
      <c r="B213" s="14" t="str">
        <f ca="1">IFERROR(__xludf.DUMMYFUNCTION("""COMPUTED_VALUE"""),"50495")</f>
        <v>50495</v>
      </c>
      <c r="C213" s="24"/>
      <c r="D213" s="24"/>
    </row>
    <row r="214" spans="1:4" ht="12.5" x14ac:dyDescent="0.25">
      <c r="A214" s="14" t="str">
        <f ca="1">IFERROR(__xludf.DUMMYFUNCTION("""COMPUTED_VALUE"""),"50504 Umuto")</f>
        <v>50504 Umuto</v>
      </c>
      <c r="B214" s="14" t="str">
        <f ca="1">IFERROR(__xludf.DUMMYFUNCTION("""COMPUTED_VALUE"""),"50504")</f>
        <v>50504</v>
      </c>
      <c r="C214" s="24"/>
      <c r="D214" s="24"/>
    </row>
    <row r="215" spans="1:4" ht="12.5" x14ac:dyDescent="0.25">
      <c r="A215" s="14" t="str">
        <f ca="1">IFERROR(__xludf.DUMMYFUNCTION("""COMPUTED_VALUE"""),"50535 Huarahuara")</f>
        <v>50535 Huarahuara</v>
      </c>
      <c r="B215" s="14" t="str">
        <f ca="1">IFERROR(__xludf.DUMMYFUNCTION("""COMPUTED_VALUE"""),"50535")</f>
        <v>50535</v>
      </c>
      <c r="C215" s="24"/>
      <c r="D215" s="24"/>
    </row>
    <row r="216" spans="1:4" ht="12.5" x14ac:dyDescent="0.25">
      <c r="A216" s="14" t="str">
        <f ca="1">IFERROR(__xludf.DUMMYFUNCTION("""COMPUTED_VALUE"""),"50536 Ccoñamuro")</f>
        <v>50536 Ccoñamuro</v>
      </c>
      <c r="B216" s="14" t="str">
        <f ca="1">IFERROR(__xludf.DUMMYFUNCTION("""COMPUTED_VALUE"""),"50536")</f>
        <v>50536</v>
      </c>
      <c r="C216" s="24"/>
      <c r="D216" s="24"/>
    </row>
    <row r="217" spans="1:4" ht="12.5" x14ac:dyDescent="0.25">
      <c r="A217" s="14" t="str">
        <f ca="1">IFERROR(__xludf.DUMMYFUNCTION("""COMPUTED_VALUE"""),"50553 Marampaqui ")</f>
        <v xml:space="preserve">50553 Marampaqui </v>
      </c>
      <c r="B217" s="14" t="str">
        <f ca="1">IFERROR(__xludf.DUMMYFUNCTION("""COMPUTED_VALUE"""),"50553")</f>
        <v>50553</v>
      </c>
      <c r="C217" s="24"/>
      <c r="D217" s="24"/>
    </row>
    <row r="218" spans="1:4" ht="12.5" x14ac:dyDescent="0.25">
      <c r="A218" s="14" t="str">
        <f ca="1">IFERROR(__xludf.DUMMYFUNCTION("""COMPUTED_VALUE"""),"50912 Cuyuni")</f>
        <v>50912 Cuyuni</v>
      </c>
      <c r="B218" s="14" t="str">
        <f ca="1">IFERROR(__xludf.DUMMYFUNCTION("""COMPUTED_VALUE"""),"50912")</f>
        <v>50912</v>
      </c>
      <c r="C218" s="24"/>
      <c r="D218" s="24"/>
    </row>
    <row r="219" spans="1:4" ht="12.5" x14ac:dyDescent="0.25">
      <c r="A219" s="14" t="str">
        <f ca="1">IFERROR(__xludf.DUMMYFUNCTION("""COMPUTED_VALUE"""),"50976 Lloqueta")</f>
        <v>50976 Lloqueta</v>
      </c>
      <c r="B219" s="14" t="str">
        <f ca="1">IFERROR(__xludf.DUMMYFUNCTION("""COMPUTED_VALUE"""),"50976")</f>
        <v>50976</v>
      </c>
      <c r="C219" s="24"/>
      <c r="D219" s="24"/>
    </row>
    <row r="220" spans="1:4" ht="12.5" x14ac:dyDescent="0.25">
      <c r="A220" s="14" t="str">
        <f ca="1">IFERROR(__xludf.DUMMYFUNCTION("""COMPUTED_VALUE"""),"501432 PAPA FRANCISCO I - Kumuncancha ")</f>
        <v xml:space="preserve">501432 PAPA FRANCISCO I - Kumuncancha </v>
      </c>
      <c r="B220" s="14" t="str">
        <f ca="1">IFERROR(__xludf.DUMMYFUNCTION("""COMPUTED_VALUE"""),"501432 PAPA FRANCISCO I")</f>
        <v>501432 PAPA FRANCISCO I</v>
      </c>
      <c r="C220" s="24"/>
      <c r="D220" s="24"/>
    </row>
    <row r="221" spans="1:4" ht="12.5" x14ac:dyDescent="0.25">
      <c r="A221" s="14" t="str">
        <f ca="1">IFERROR(__xludf.DUMMYFUNCTION("""COMPUTED_VALUE"""),"ALMIRANTE MIGUEL GRAU SEMINARIO")</f>
        <v>ALMIRANTE MIGUEL GRAU SEMINARIO</v>
      </c>
      <c r="B221" s="14" t="str">
        <f ca="1">IFERROR(__xludf.DUMMYFUNCTION("""COMPUTED_VALUE"""),"ALMIRANTE MIGUEL GRAU SEMINARIO")</f>
        <v>ALMIRANTE MIGUEL GRAU SEMINARIO</v>
      </c>
      <c r="C221" s="24"/>
      <c r="D221" s="24"/>
    </row>
    <row r="222" spans="1:4" ht="12.5" x14ac:dyDescent="0.25">
      <c r="A222" s="14" t="str">
        <f ca="1">IFERROR(__xludf.DUMMYFUNCTION("""COMPUTED_VALUE"""),"LOS RIT'S DEL ALTO ANDINO")</f>
        <v>LOS RIT'S DEL ALTO ANDINO</v>
      </c>
      <c r="B222" s="14" t="str">
        <f ca="1">IFERROR(__xludf.DUMMYFUNCTION("""COMPUTED_VALUE"""),"1457365 LOS RIT'S DEL ALTO ANDINO")</f>
        <v>1457365 LOS RIT'S DEL ALTO ANDINO</v>
      </c>
      <c r="C222" s="24"/>
      <c r="D222" s="24"/>
    </row>
    <row r="223" spans="1:4" ht="12.5" x14ac:dyDescent="0.25">
      <c r="A223" s="14" t="str">
        <f ca="1">IFERROR(__xludf.DUMMYFUNCTION("""COMPUTED_VALUE"""),"6010230 BARBARA D'ACHILLE")</f>
        <v>6010230 BARBARA D'ACHILLE</v>
      </c>
      <c r="B223" s="14" t="str">
        <f ca="1">IFERROR(__xludf.DUMMYFUNCTION("""COMPUTED_VALUE"""),"6010230 BARBARA D'ACHILLE")</f>
        <v>6010230 BARBARA D'ACHILLE</v>
      </c>
      <c r="C223" s="24"/>
      <c r="D223" s="24"/>
    </row>
    <row r="224" spans="1:4" ht="12.5" x14ac:dyDescent="0.25">
      <c r="A224" s="14" t="str">
        <f ca="1">IFERROR(__xludf.DUMMYFUNCTION("""COMPUTED_VALUE"""),"60136")</f>
        <v>60136</v>
      </c>
      <c r="B224" s="14" t="str">
        <f ca="1">IFERROR(__xludf.DUMMYFUNCTION("""COMPUTED_VALUE"""),"60136")</f>
        <v>60136</v>
      </c>
      <c r="C224" s="24"/>
      <c r="D224" s="24"/>
    </row>
    <row r="225" spans="1:4" ht="12.5" x14ac:dyDescent="0.25">
      <c r="A225" s="14" t="str">
        <f ca="1">IFERROR(__xludf.DUMMYFUNCTION("""COMPUTED_VALUE"""),"60181")</f>
        <v>60181</v>
      </c>
      <c r="B225" s="14" t="str">
        <f ca="1">IFERROR(__xludf.DUMMYFUNCTION("""COMPUTED_VALUE"""),"60181")</f>
        <v>60181</v>
      </c>
      <c r="C225" s="24"/>
      <c r="D225" s="24"/>
    </row>
    <row r="226" spans="1:4" ht="12.5" x14ac:dyDescent="0.25">
      <c r="A226" s="14" t="str">
        <f ca="1">IFERROR(__xludf.DUMMYFUNCTION("""COMPUTED_VALUE"""),"601330")</f>
        <v>601330</v>
      </c>
      <c r="B226" s="14" t="str">
        <f ca="1">IFERROR(__xludf.DUMMYFUNCTION("""COMPUTED_VALUE"""),"601330")</f>
        <v>601330</v>
      </c>
      <c r="C226" s="24"/>
      <c r="D226" s="24"/>
    </row>
    <row r="227" spans="1:4" ht="12.5" x14ac:dyDescent="0.25">
      <c r="A227" s="14" t="str">
        <f ca="1">IFERROR(__xludf.DUMMYFUNCTION("""COMPUTED_VALUE"""),"601391")</f>
        <v>601391</v>
      </c>
      <c r="B227" s="14" t="str">
        <f ca="1">IFERROR(__xludf.DUMMYFUNCTION("""COMPUTED_VALUE"""),"601391")</f>
        <v>601391</v>
      </c>
      <c r="C227" s="24"/>
      <c r="D227" s="24"/>
    </row>
    <row r="228" spans="1:4" ht="12.5" x14ac:dyDescent="0.25">
      <c r="A228" s="14" t="str">
        <f ca="1">IFERROR(__xludf.DUMMYFUNCTION("""COMPUTED_VALUE"""),"601444")</f>
        <v>601444</v>
      </c>
      <c r="B228" s="14" t="str">
        <f ca="1">IFERROR(__xludf.DUMMYFUNCTION("""COMPUTED_VALUE"""),"601444")</f>
        <v>601444</v>
      </c>
      <c r="C228" s="24"/>
      <c r="D228" s="24"/>
    </row>
    <row r="229" spans="1:4" ht="12.5" x14ac:dyDescent="0.25">
      <c r="A229" s="14" t="str">
        <f ca="1">IFERROR(__xludf.DUMMYFUNCTION("""COMPUTED_VALUE"""),"601511")</f>
        <v>601511</v>
      </c>
      <c r="B229" s="14" t="str">
        <f ca="1">IFERROR(__xludf.DUMMYFUNCTION("""COMPUTED_VALUE"""),"601511")</f>
        <v>601511</v>
      </c>
      <c r="C229" s="24"/>
      <c r="D229" s="24"/>
    </row>
    <row r="230" spans="1:4" ht="12.5" x14ac:dyDescent="0.25">
      <c r="A230" s="14" t="str">
        <f ca="1">IFERROR(__xludf.DUMMYFUNCTION("""COMPUTED_VALUE"""),"601563")</f>
        <v>601563</v>
      </c>
      <c r="B230" s="14" t="str">
        <f ca="1">IFERROR(__xludf.DUMMYFUNCTION("""COMPUTED_VALUE"""),"601563")</f>
        <v>601563</v>
      </c>
      <c r="C230" s="24"/>
      <c r="D230" s="24"/>
    </row>
    <row r="231" spans="1:4" ht="12.5" x14ac:dyDescent="0.25">
      <c r="A231" s="14" t="str">
        <f ca="1">IFERROR(__xludf.DUMMYFUNCTION("""COMPUTED_VALUE"""),"601570")</f>
        <v>601570</v>
      </c>
      <c r="B231" s="14" t="str">
        <f ca="1">IFERROR(__xludf.DUMMYFUNCTION("""COMPUTED_VALUE"""),"601570")</f>
        <v>601570</v>
      </c>
      <c r="C231" s="24"/>
      <c r="D231" s="24"/>
    </row>
    <row r="232" spans="1:4" ht="12.5" x14ac:dyDescent="0.25">
      <c r="A232" s="14" t="str">
        <f ca="1">IFERROR(__xludf.DUMMYFUNCTION("""COMPUTED_VALUE"""),"601571")</f>
        <v>601571</v>
      </c>
      <c r="B232" s="14" t="str">
        <f ca="1">IFERROR(__xludf.DUMMYFUNCTION("""COMPUTED_VALUE"""),"601571")</f>
        <v>601571</v>
      </c>
      <c r="C232" s="24"/>
      <c r="D232" s="24"/>
    </row>
    <row r="233" spans="1:4" ht="12.5" x14ac:dyDescent="0.25">
      <c r="A233" s="14" t="str">
        <f ca="1">IFERROR(__xludf.DUMMYFUNCTION("""COMPUTED_VALUE"""),"601580")</f>
        <v>601580</v>
      </c>
      <c r="B233" s="14" t="str">
        <f ca="1">IFERROR(__xludf.DUMMYFUNCTION("""COMPUTED_VALUE"""),"601580")</f>
        <v>601580</v>
      </c>
      <c r="C233" s="24"/>
      <c r="D233" s="24"/>
    </row>
    <row r="234" spans="1:4" ht="12.5" x14ac:dyDescent="0.25">
      <c r="A234" s="14" t="str">
        <f ca="1">IFERROR(__xludf.DUMMYFUNCTION("""COMPUTED_VALUE"""),"601678")</f>
        <v>601678</v>
      </c>
      <c r="B234" s="14" t="str">
        <f ca="1">IFERROR(__xludf.DUMMYFUNCTION("""COMPUTED_VALUE"""),"601678")</f>
        <v>601678</v>
      </c>
      <c r="C234" s="24"/>
      <c r="D234" s="24"/>
    </row>
    <row r="235" spans="1:4" ht="12.5" x14ac:dyDescent="0.25">
      <c r="A235" s="14" t="str">
        <f ca="1">IFERROR(__xludf.DUMMYFUNCTION("""COMPUTED_VALUE"""),"6010102")</f>
        <v>6010102</v>
      </c>
      <c r="B235" s="14" t="str">
        <f ca="1">IFERROR(__xludf.DUMMYFUNCTION("""COMPUTED_VALUE"""),"6010102")</f>
        <v>6010102</v>
      </c>
      <c r="C235" s="24"/>
      <c r="D235" s="24"/>
    </row>
    <row r="236" spans="1:4" ht="12.5" x14ac:dyDescent="0.25">
      <c r="A236" s="14" t="str">
        <f ca="1">IFERROR(__xludf.DUMMYFUNCTION("""COMPUTED_VALUE"""),"6010178")</f>
        <v>6010178</v>
      </c>
      <c r="B236" s="14" t="str">
        <f ca="1">IFERROR(__xludf.DUMMYFUNCTION("""COMPUTED_VALUE"""),"6010178")</f>
        <v>6010178</v>
      </c>
      <c r="C236" s="24"/>
      <c r="D236" s="24"/>
    </row>
    <row r="237" spans="1:4" ht="12.5" x14ac:dyDescent="0.25">
      <c r="A237" s="14" t="str">
        <f ca="1">IFERROR(__xludf.DUMMYFUNCTION("""COMPUTED_VALUE"""),"6010231")</f>
        <v>6010231</v>
      </c>
      <c r="B237" s="14" t="str">
        <f ca="1">IFERROR(__xludf.DUMMYFUNCTION("""COMPUTED_VALUE"""),"6010231")</f>
        <v>6010231</v>
      </c>
      <c r="C237" s="24"/>
      <c r="D237" s="24"/>
    </row>
    <row r="238" spans="1:4" ht="12.5" x14ac:dyDescent="0.25">
      <c r="A238" s="14" t="str">
        <f ca="1">IFERROR(__xludf.DUMMYFUNCTION("""COMPUTED_VALUE"""),"475")</f>
        <v>475</v>
      </c>
      <c r="B238" s="14" t="str">
        <f ca="1">IFERROR(__xludf.DUMMYFUNCTION("""COMPUTED_VALUE"""),"475")</f>
        <v>475</v>
      </c>
      <c r="C238" s="24"/>
      <c r="D238" s="24"/>
    </row>
    <row r="239" spans="1:4" ht="12.5" x14ac:dyDescent="0.25">
      <c r="A239" s="14" t="str">
        <f ca="1">IFERROR(__xludf.DUMMYFUNCTION("""COMPUTED_VALUE"""),"404")</f>
        <v>404</v>
      </c>
      <c r="B239" s="14" t="str">
        <f ca="1">IFERROR(__xludf.DUMMYFUNCTION("""COMPUTED_VALUE"""),"404")</f>
        <v>404</v>
      </c>
      <c r="C239" s="24"/>
      <c r="D239" s="24"/>
    </row>
    <row r="240" spans="1:4" ht="12.5" x14ac:dyDescent="0.25">
      <c r="A240" s="14" t="str">
        <f ca="1">IFERROR(__xludf.DUMMYFUNCTION("""COMPUTED_VALUE"""),"405")</f>
        <v>405</v>
      </c>
      <c r="B240" s="14" t="str">
        <f ca="1">IFERROR(__xludf.DUMMYFUNCTION("""COMPUTED_VALUE"""),"405")</f>
        <v>405</v>
      </c>
      <c r="C240" s="24"/>
      <c r="D240" s="24"/>
    </row>
    <row r="241" spans="1:4" ht="12.5" x14ac:dyDescent="0.25">
      <c r="A241" s="14" t="str">
        <f ca="1">IFERROR(__xludf.DUMMYFUNCTION("""COMPUTED_VALUE"""),"536 MI CASITA DEL SABER")</f>
        <v>536 MI CASITA DEL SABER</v>
      </c>
      <c r="B241" s="14" t="str">
        <f ca="1">IFERROR(__xludf.DUMMYFUNCTION("""COMPUTED_VALUE"""),"536")</f>
        <v>536</v>
      </c>
      <c r="C241" s="24"/>
      <c r="D241" s="24"/>
    </row>
    <row r="242" spans="1:4" ht="12.5" x14ac:dyDescent="0.25">
      <c r="A242" s="14" t="str">
        <f ca="1">IFERROR(__xludf.DUMMYFUNCTION("""COMPUTED_VALUE"""),"538")</f>
        <v>538</v>
      </c>
      <c r="B242" s="14" t="str">
        <f ca="1">IFERROR(__xludf.DUMMYFUNCTION("""COMPUTED_VALUE"""),"538")</f>
        <v>538</v>
      </c>
      <c r="C242" s="24"/>
      <c r="D242" s="24"/>
    </row>
    <row r="243" spans="1:4" ht="12.5" x14ac:dyDescent="0.25">
      <c r="A243" s="14" t="str">
        <f ca="1">IFERROR(__xludf.DUMMYFUNCTION("""COMPUTED_VALUE"""),"573")</f>
        <v>573</v>
      </c>
      <c r="B243" s="14" t="str">
        <f ca="1">IFERROR(__xludf.DUMMYFUNCTION("""COMPUTED_VALUE"""),"573")</f>
        <v>573</v>
      </c>
      <c r="C243" s="24"/>
      <c r="D243" s="24"/>
    </row>
    <row r="244" spans="1:4" ht="12.5" x14ac:dyDescent="0.25">
      <c r="A244" s="14" t="str">
        <f ca="1">IFERROR(__xludf.DUMMYFUNCTION("""COMPUTED_VALUE"""),"604")</f>
        <v>604</v>
      </c>
      <c r="B244" s="14" t="str">
        <f ca="1">IFERROR(__xludf.DUMMYFUNCTION("""COMPUTED_VALUE"""),"604")</f>
        <v>604</v>
      </c>
      <c r="C244" s="24"/>
      <c r="D244" s="24"/>
    </row>
    <row r="245" spans="1:4" ht="12.5" x14ac:dyDescent="0.25">
      <c r="A245" s="14" t="str">
        <f ca="1">IFERROR(__xludf.DUMMYFUNCTION("""COMPUTED_VALUE"""),"656")</f>
        <v>656</v>
      </c>
      <c r="B245" s="14" t="str">
        <f ca="1">IFERROR(__xludf.DUMMYFUNCTION("""COMPUTED_VALUE"""),"656")</f>
        <v>656</v>
      </c>
      <c r="C245" s="24"/>
      <c r="D245" s="24"/>
    </row>
    <row r="246" spans="1:4" ht="12.5" x14ac:dyDescent="0.25">
      <c r="A246" s="14" t="str">
        <f ca="1">IFERROR(__xludf.DUMMYFUNCTION("""COMPUTED_VALUE"""),"678")</f>
        <v>678</v>
      </c>
      <c r="B246" s="14" t="str">
        <f ca="1">IFERROR(__xludf.DUMMYFUNCTION("""COMPUTED_VALUE"""),"678")</f>
        <v>678</v>
      </c>
      <c r="C246" s="24"/>
      <c r="D246" s="24"/>
    </row>
    <row r="247" spans="1:4" ht="12.5" x14ac:dyDescent="0.25">
      <c r="A247" s="14" t="str">
        <f ca="1">IFERROR(__xludf.DUMMYFUNCTION("""COMPUTED_VALUE"""),"852")</f>
        <v>852</v>
      </c>
      <c r="B247" s="14" t="str">
        <f ca="1">IFERROR(__xludf.DUMMYFUNCTION("""COMPUTED_VALUE"""),"852")</f>
        <v>852</v>
      </c>
      <c r="C247" s="24"/>
      <c r="D247" s="24"/>
    </row>
    <row r="248" spans="1:4" ht="12.5" x14ac:dyDescent="0.25">
      <c r="A248" s="14" t="str">
        <f ca="1">IFERROR(__xludf.DUMMYFUNCTION("""COMPUTED_VALUE"""),"809")</f>
        <v>809</v>
      </c>
      <c r="B248" s="14" t="str">
        <f ca="1">IFERROR(__xludf.DUMMYFUNCTION("""COMPUTED_VALUE"""),"809")</f>
        <v>809</v>
      </c>
      <c r="C248" s="24"/>
      <c r="D248" s="24"/>
    </row>
    <row r="249" spans="1:4" ht="12.5" x14ac:dyDescent="0.25">
      <c r="A249" s="14" t="str">
        <f ca="1">IFERROR(__xludf.DUMMYFUNCTION("""COMPUTED_VALUE"""),"808")</f>
        <v>808</v>
      </c>
      <c r="B249" s="14" t="str">
        <f ca="1">IFERROR(__xludf.DUMMYFUNCTION("""COMPUTED_VALUE"""),"808")</f>
        <v>808</v>
      </c>
      <c r="C249" s="24"/>
      <c r="D249" s="24"/>
    </row>
    <row r="250" spans="1:4" ht="12.5" x14ac:dyDescent="0.25">
      <c r="A250" s="14" t="str">
        <f ca="1">IFERROR(__xludf.DUMMYFUNCTION("""COMPUTED_VALUE"""),"812")</f>
        <v>812</v>
      </c>
      <c r="B250" s="14" t="str">
        <f ca="1">IFERROR(__xludf.DUMMYFUNCTION("""COMPUTED_VALUE"""),"812")</f>
        <v>812</v>
      </c>
      <c r="C250" s="24"/>
      <c r="D250" s="24"/>
    </row>
    <row r="251" spans="1:4" ht="12.5" x14ac:dyDescent="0.25">
      <c r="A251" s="14" t="str">
        <f ca="1">IFERROR(__xludf.DUMMYFUNCTION("""COMPUTED_VALUE"""),"810")</f>
        <v>810</v>
      </c>
      <c r="B251" s="14" t="str">
        <f ca="1">IFERROR(__xludf.DUMMYFUNCTION("""COMPUTED_VALUE"""),"810")</f>
        <v>810</v>
      </c>
      <c r="C251" s="24"/>
      <c r="D251" s="24"/>
    </row>
    <row r="252" spans="1:4" ht="12.5" x14ac:dyDescent="0.25">
      <c r="A252" s="14" t="str">
        <f ca="1">IFERROR(__xludf.DUMMYFUNCTION("""COMPUTED_VALUE"""),"811")</f>
        <v>811</v>
      </c>
      <c r="B252" s="14" t="str">
        <f ca="1">IFERROR(__xludf.DUMMYFUNCTION("""COMPUTED_VALUE"""),"811")</f>
        <v>811</v>
      </c>
      <c r="C252" s="24"/>
      <c r="D252" s="24"/>
    </row>
    <row r="253" spans="1:4" ht="12.5" x14ac:dyDescent="0.25">
      <c r="A253" s="14" t="str">
        <f ca="1">IFERROR(__xludf.DUMMYFUNCTION("""COMPUTED_VALUE"""),"601496")</f>
        <v>601496</v>
      </c>
      <c r="B253" s="14" t="str">
        <f ca="1">IFERROR(__xludf.DUMMYFUNCTION("""COMPUTED_VALUE"""),"601496")</f>
        <v>601496</v>
      </c>
      <c r="C253" s="24"/>
      <c r="D253" s="24"/>
    </row>
    <row r="254" spans="1:4" ht="12.5" x14ac:dyDescent="0.25">
      <c r="A254" s="14" t="str">
        <f ca="1">IFERROR(__xludf.DUMMYFUNCTION("""COMPUTED_VALUE"""),"601528")</f>
        <v>601528</v>
      </c>
      <c r="B254" s="14" t="str">
        <f ca="1">IFERROR(__xludf.DUMMYFUNCTION("""COMPUTED_VALUE"""),"601528")</f>
        <v>601528</v>
      </c>
      <c r="C254" s="24"/>
      <c r="D254" s="24"/>
    </row>
    <row r="255" spans="1:4" ht="12.5" x14ac:dyDescent="0.25">
      <c r="A255" s="14" t="str">
        <f ca="1">IFERROR(__xludf.DUMMYFUNCTION("""COMPUTED_VALUE"""),"IE 15374 Sagrado Corazón de Jesús - Pueblo libre")</f>
        <v>IE 15374 Sagrado Corazón de Jesús - Pueblo libre</v>
      </c>
      <c r="B255" s="14" t="str">
        <f ca="1">IFERROR(__xludf.DUMMYFUNCTION("""COMPUTED_VALUE"""),"15374")</f>
        <v>15374</v>
      </c>
      <c r="C255" s="24"/>
      <c r="D255" s="24"/>
    </row>
    <row r="256" spans="1:4" ht="12.5" x14ac:dyDescent="0.25">
      <c r="A256" s="14" t="str">
        <f ca="1">IFERROR(__xludf.DUMMYFUNCTION("""COMPUTED_VALUE"""),"IE 14145 Santa Julia Billiart")</f>
        <v>IE 14145 Santa Julia Billiart</v>
      </c>
      <c r="B256" s="14" t="str">
        <f ca="1">IFERROR(__xludf.DUMMYFUNCTION("""COMPUTED_VALUE"""),"14145 SANTA JULIA BILLIART")</f>
        <v>14145 SANTA JULIA BILLIART</v>
      </c>
      <c r="C256" s="24"/>
      <c r="D256" s="24"/>
    </row>
    <row r="257" spans="1:4" ht="12.5" x14ac:dyDescent="0.25">
      <c r="A257" s="14" t="str">
        <f ca="1">IFERROR(__xludf.DUMMYFUNCTION("""COMPUTED_VALUE"""),"IE 14144 Santa Rosa")</f>
        <v>IE 14144 Santa Rosa</v>
      </c>
      <c r="B257" s="14" t="str">
        <f ca="1">IFERROR(__xludf.DUMMYFUNCTION("""COMPUTED_VALUE"""),"14144 SANTA ROSA")</f>
        <v>14144 SANTA ROSA</v>
      </c>
      <c r="C257" s="24"/>
      <c r="D257" s="24"/>
    </row>
    <row r="258" spans="1:4" ht="12.5" x14ac:dyDescent="0.25">
      <c r="A258" s="14" t="str">
        <f ca="1">IFERROR(__xludf.DUMMYFUNCTION("""COMPUTED_VALUE"""),"I.E.N° 14894 - TOTORAL ALTO")</f>
        <v>I.E.N° 14894 - TOTORAL ALTO</v>
      </c>
      <c r="B258" s="14" t="str">
        <f ca="1">IFERROR(__xludf.DUMMYFUNCTION("""COMPUTED_VALUE"""),"14894")</f>
        <v>14894</v>
      </c>
      <c r="C258" s="24"/>
      <c r="D258" s="24"/>
    </row>
    <row r="259" spans="1:4" ht="12.5" x14ac:dyDescent="0.25">
      <c r="A259" s="14" t="str">
        <f ca="1">IFERROR(__xludf.DUMMYFUNCTION("""COMPUTED_VALUE"""),"14975  - EL CARBÓN")</f>
        <v>14975  - EL CARBÓN</v>
      </c>
      <c r="B259" s="14" t="str">
        <f ca="1">IFERROR(__xludf.DUMMYFUNCTION("""COMPUTED_VALUE"""),"14975")</f>
        <v>14975</v>
      </c>
      <c r="C259" s="24"/>
      <c r="D259" s="24"/>
    </row>
    <row r="260" spans="1:4" ht="12.5" x14ac:dyDescent="0.25">
      <c r="A260" s="14" t="str">
        <f ca="1">IFERROR(__xludf.DUMMYFUNCTION("""COMPUTED_VALUE"""),"20104 CP-8 ""Esperanza de Mi Cautivo""")</f>
        <v>20104 CP-8 "Esperanza de Mi Cautivo"</v>
      </c>
      <c r="B260" s="14" t="str">
        <f ca="1">IFERROR(__xludf.DUMMYFUNCTION("""COMPUTED_VALUE"""),"20104")</f>
        <v>20104</v>
      </c>
      <c r="C260" s="24"/>
      <c r="D260" s="24"/>
    </row>
    <row r="261" spans="1:4" ht="12.5" x14ac:dyDescent="0.25">
      <c r="A261" s="14" t="str">
        <f ca="1">IFERROR(__xludf.DUMMYFUNCTION("""COMPUTED_VALUE"""),"15304 Guaraguaos B")</f>
        <v>15304 Guaraguaos B</v>
      </c>
      <c r="B261" s="14" t="str">
        <f ca="1">IFERROR(__xludf.DUMMYFUNCTION("""COMPUTED_VALUE"""),"15304")</f>
        <v>15304</v>
      </c>
      <c r="C261" s="24"/>
      <c r="D261" s="24"/>
    </row>
    <row r="262" spans="1:4" ht="12.5" x14ac:dyDescent="0.25">
      <c r="A262" s="14" t="str">
        <f ca="1">IFERROR(__xludf.DUMMYFUNCTION("""COMPUTED_VALUE"""),"14924 - DANIEL ALCIDES CARRIÓN")</f>
        <v>14924 - DANIEL ALCIDES CARRIÓN</v>
      </c>
      <c r="B262" s="14" t="str">
        <f ca="1">IFERROR(__xludf.DUMMYFUNCTION("""COMPUTED_VALUE"""),"14924 DANIEL ALCIDES CARRION")</f>
        <v>14924 DANIEL ALCIDES CARRION</v>
      </c>
      <c r="C262" s="24"/>
      <c r="D262" s="24"/>
    </row>
    <row r="263" spans="1:4" ht="12.5" x14ac:dyDescent="0.25">
      <c r="A263" s="14" t="str">
        <f ca="1">IFERROR(__xludf.DUMMYFUNCTION("""COMPUTED_VALUE"""),"I.E. 910 LOS ZAPATAS")</f>
        <v>I.E. 910 LOS ZAPATAS</v>
      </c>
      <c r="B263" s="14" t="str">
        <f ca="1">IFERROR(__xludf.DUMMYFUNCTION("""COMPUTED_VALUE"""),"910")</f>
        <v>910</v>
      </c>
      <c r="C263" s="24"/>
      <c r="D263" s="24"/>
    </row>
    <row r="264" spans="1:4" ht="12.5" x14ac:dyDescent="0.25">
      <c r="A264" s="14" t="str">
        <f ca="1">IFERROR(__xludf.DUMMYFUNCTION("""COMPUTED_VALUE"""),"I.E. N° 058 - PUEBLO LIBRE")</f>
        <v>I.E. N° 058 - PUEBLO LIBRE</v>
      </c>
      <c r="B264" s="14" t="str">
        <f ca="1">IFERROR(__xludf.DUMMYFUNCTION("""COMPUTED_VALUE"""),"058")</f>
        <v>058</v>
      </c>
      <c r="C264" s="24"/>
      <c r="D264" s="24"/>
    </row>
    <row r="265" spans="1:4" ht="12.5" x14ac:dyDescent="0.25">
      <c r="A265" s="14" t="str">
        <f ca="1">IFERROR(__xludf.DUMMYFUNCTION("""COMPUTED_VALUE"""),"I.E. N° 1419 - CRUCE DE VEGA")</f>
        <v>I.E. N° 1419 - CRUCE DE VEGA</v>
      </c>
      <c r="B265" s="14" t="str">
        <f ca="1">IFERROR(__xludf.DUMMYFUNCTION("""COMPUTED_VALUE"""),"1419")</f>
        <v>1419</v>
      </c>
      <c r="C265" s="24"/>
      <c r="D265" s="24"/>
    </row>
    <row r="266" spans="1:4" ht="12.5" x14ac:dyDescent="0.25">
      <c r="A266" s="14" t="str">
        <f ca="1">IFERROR(__xludf.DUMMYFUNCTION("""COMPUTED_VALUE"""),"I.E. N° 1559 - MANCO CÁPAC")</f>
        <v>I.E. N° 1559 - MANCO CÁPAC</v>
      </c>
      <c r="B266" s="14" t="str">
        <f ca="1">IFERROR(__xludf.DUMMYFUNCTION("""COMPUTED_VALUE"""),"1559")</f>
        <v>1559</v>
      </c>
      <c r="C266" s="24"/>
      <c r="D266" s="24"/>
    </row>
    <row r="267" spans="1:4" ht="12.5" x14ac:dyDescent="0.25">
      <c r="A267" s="14" t="str">
        <f ca="1">IFERROR(__xludf.DUMMYFUNCTION("""COMPUTED_VALUE"""),"I.E. N° 489 - JOSÉ MARÍA VELAZ - GUARAGUAOS BAJO")</f>
        <v>I.E. N° 489 - JOSÉ MARÍA VELAZ - GUARAGUAOS BAJO</v>
      </c>
      <c r="B267" s="14" t="str">
        <f ca="1">IFERROR(__xludf.DUMMYFUNCTION("""COMPUTED_VALUE"""),"489")</f>
        <v>489</v>
      </c>
      <c r="C267" s="24"/>
      <c r="D267" s="24"/>
    </row>
    <row r="268" spans="1:4" ht="12.5" x14ac:dyDescent="0.25">
      <c r="A268" s="14" t="str">
        <f ca="1">IFERROR(__xludf.DUMMYFUNCTION("""COMPUTED_VALUE"""),"I.E. N° 732 VIRGEN DE MONSERRAT - PALOMINOS")</f>
        <v>I.E. N° 732 VIRGEN DE MONSERRAT - PALOMINOS</v>
      </c>
      <c r="B268" s="14" t="str">
        <f ca="1">IFERROR(__xludf.DUMMYFUNCTION("""COMPUTED_VALUE"""),"732")</f>
        <v>732</v>
      </c>
      <c r="C268" s="24"/>
      <c r="D268" s="24"/>
    </row>
    <row r="269" spans="1:4" ht="12.5" x14ac:dyDescent="0.25">
      <c r="A269" s="14" t="str">
        <f ca="1">IFERROR(__xludf.DUMMYFUNCTION("""COMPUTED_VALUE"""),"I.E. N°1341 - CP-8")</f>
        <v>I.E. N°1341 - CP-8</v>
      </c>
      <c r="B269" s="14" t="str">
        <f ca="1">IFERROR(__xludf.DUMMYFUNCTION("""COMPUTED_VALUE"""),"1341")</f>
        <v>1341</v>
      </c>
      <c r="C269" s="24"/>
      <c r="D269" s="24"/>
    </row>
    <row r="270" spans="1:4" ht="12.5" x14ac:dyDescent="0.25">
      <c r="A270" s="14" t="str">
        <f ca="1">IFERROR(__xludf.DUMMYFUNCTION("""COMPUTED_VALUE"""),"I.E.N° 469 - TEJEDORES BAJO")</f>
        <v>I.E.N° 469 - TEJEDORES BAJO</v>
      </c>
      <c r="B270" s="14" t="str">
        <f ca="1">IFERROR(__xludf.DUMMYFUNCTION("""COMPUTED_VALUE"""),"469")</f>
        <v>469</v>
      </c>
      <c r="C270" s="24"/>
      <c r="D270" s="24"/>
    </row>
    <row r="271" spans="1:4" ht="12.5" x14ac:dyDescent="0.25">
      <c r="A271" s="14" t="str">
        <f ca="1">IFERROR(__xludf.DUMMYFUNCTION("""COMPUTED_VALUE"""),"I.E.N° 909 - BELLO HORIZONTE")</f>
        <v>I.E.N° 909 - BELLO HORIZONTE</v>
      </c>
      <c r="B271" s="14" t="str">
        <f ca="1">IFERROR(__xludf.DUMMYFUNCTION("""COMPUTED_VALUE"""),"909 - BELLO HORIZONTE")</f>
        <v>909 - BELLO HORIZONTE</v>
      </c>
      <c r="C271" s="24"/>
      <c r="D271" s="24"/>
    </row>
    <row r="272" spans="1:4" ht="12.5" x14ac:dyDescent="0.25">
      <c r="A272" s="14" t="str">
        <f ca="1">IFERROR(__xludf.DUMMYFUNCTION("""COMPUTED_VALUE"""),"I.E.N°1558 - MONTEVERDE ALTO")</f>
        <v>I.E.N°1558 - MONTEVERDE ALTO</v>
      </c>
      <c r="B272" s="14" t="str">
        <f ca="1">IFERROR(__xludf.DUMMYFUNCTION("""COMPUTED_VALUE"""),"1558 - MONTEVERDE ALTO")</f>
        <v>1558 - MONTEVERDE ALTO</v>
      </c>
      <c r="C272" s="24"/>
      <c r="D272" s="24"/>
    </row>
    <row r="273" spans="1:4" ht="12.5" x14ac:dyDescent="0.25">
      <c r="A273" s="14" t="str">
        <f ca="1">IFERROR(__xludf.DUMMYFUNCTION("""COMPUTED_VALUE"""),"I.E.N°731 - EL CARBÓN")</f>
        <v>I.E.N°731 - EL CARBÓN</v>
      </c>
      <c r="B273" s="14" t="str">
        <f ca="1">IFERROR(__xludf.DUMMYFUNCTION("""COMPUTED_VALUE"""),"731 - EL CARBÓN")</f>
        <v>731 - EL CARBÓN</v>
      </c>
      <c r="C273" s="24"/>
      <c r="D273" s="24"/>
    </row>
    <row r="274" spans="1:4" ht="12.5" x14ac:dyDescent="0.25">
      <c r="A274" s="14" t="str">
        <f ca="1">IFERROR(__xludf.DUMMYFUNCTION("""COMPUTED_VALUE"""),"1416")</f>
        <v>1416</v>
      </c>
      <c r="B274" s="14" t="str">
        <f ca="1">IFERROR(__xludf.DUMMYFUNCTION("""COMPUTED_VALUE"""),"1416")</f>
        <v>1416</v>
      </c>
      <c r="C274" s="24"/>
      <c r="D274" s="24"/>
    </row>
    <row r="275" spans="1:4" ht="12.5" x14ac:dyDescent="0.25">
      <c r="A275" s="14" t="str">
        <f ca="1">IFERROR(__xludf.DUMMYFUNCTION("""COMPUTED_VALUE"""),"1417")</f>
        <v>1417</v>
      </c>
      <c r="B275" s="14" t="str">
        <f ca="1">IFERROR(__xludf.DUMMYFUNCTION("""COMPUTED_VALUE"""),"1417")</f>
        <v>1417</v>
      </c>
      <c r="C275" s="24"/>
      <c r="D275" s="24"/>
    </row>
    <row r="276" spans="1:4" ht="12.5" x14ac:dyDescent="0.25">
      <c r="A276" s="14" t="str">
        <f ca="1">IFERROR(__xludf.DUMMYFUNCTION("""COMPUTED_VALUE"""),"467 PUEBLO NUEVO")</f>
        <v>467 PUEBLO NUEVO</v>
      </c>
      <c r="B276" s="14" t="str">
        <f ca="1">IFERROR(__xludf.DUMMYFUNCTION("""COMPUTED_VALUE"""),"467 PUEBLO NUEVO")</f>
        <v>467 PUEBLO NUEVO</v>
      </c>
      <c r="C276" s="24"/>
      <c r="D276" s="24"/>
    </row>
    <row r="277" spans="1:4" ht="12.5" x14ac:dyDescent="0.25">
      <c r="A277" s="14" t="str">
        <f ca="1">IFERROR(__xludf.DUMMYFUNCTION("""COMPUTED_VALUE"""),"NIÑO JESUS DE PRAGA")</f>
        <v>NIÑO JESUS DE PRAGA</v>
      </c>
      <c r="B277" s="14" t="str">
        <f ca="1">IFERROR(__xludf.DUMMYFUNCTION("""COMPUTED_VALUE"""),"NIÑO JESUS DE PRAGA")</f>
        <v>NIÑO JESUS DE PRAGA</v>
      </c>
      <c r="C277" s="24"/>
      <c r="D277" s="24"/>
    </row>
    <row r="278" spans="1:4" ht="12.5" x14ac:dyDescent="0.25">
      <c r="A278" s="14" t="str">
        <f ca="1">IFERROR(__xludf.DUMMYFUNCTION("""COMPUTED_VALUE"""),"MARIA AUXILIADORA")</f>
        <v>MARIA AUXILIADORA</v>
      </c>
      <c r="B278" s="14" t="str">
        <f ca="1">IFERROR(__xludf.DUMMYFUNCTION("""COMPUTED_VALUE"""),"MARIA AUXILIADORA")</f>
        <v>MARIA AUXILIADORA</v>
      </c>
      <c r="C278" s="24"/>
      <c r="D278" s="24"/>
    </row>
    <row r="279" spans="1:4" ht="12.5" x14ac:dyDescent="0.25">
      <c r="A279" s="14" t="str">
        <f ca="1">IFERROR(__xludf.DUMMYFUNCTION("""COMPUTED_VALUE"""),"VIRGEN DE LAS MERCEDES")</f>
        <v>VIRGEN DE LAS MERCEDES</v>
      </c>
      <c r="B279" s="14" t="str">
        <f ca="1">IFERROR(__xludf.DUMMYFUNCTION("""COMPUTED_VALUE"""),"VIRGEN DE LAS MERCEDES")</f>
        <v>VIRGEN DE LAS MERCEDES</v>
      </c>
      <c r="C279" s="24"/>
      <c r="D279" s="24"/>
    </row>
    <row r="280" spans="1:4" ht="12.5" x14ac:dyDescent="0.25">
      <c r="A280" s="14" t="str">
        <f ca="1">IFERROR(__xludf.DUMMYFUNCTION("""COMPUTED_VALUE"""),"15314")</f>
        <v>15314</v>
      </c>
      <c r="B280" s="14" t="str">
        <f ca="1">IFERROR(__xludf.DUMMYFUNCTION("""COMPUTED_VALUE"""),"15314")</f>
        <v>15314</v>
      </c>
      <c r="C280" s="24"/>
      <c r="D280" s="24"/>
    </row>
    <row r="281" spans="1:4" ht="12.5" x14ac:dyDescent="0.25">
      <c r="A281" s="14" t="str">
        <f ca="1">IFERROR(__xludf.DUMMYFUNCTION("""COMPUTED_VALUE"""),"15055 Sesteadero")</f>
        <v>15055 Sesteadero</v>
      </c>
      <c r="B281" s="14" t="str">
        <f ca="1">IFERROR(__xludf.DUMMYFUNCTION("""COMPUTED_VALUE"""),"15055 Sesteadero")</f>
        <v>15055 Sesteadero</v>
      </c>
      <c r="C281" s="24"/>
      <c r="D281" s="24"/>
    </row>
    <row r="282" spans="1:4" ht="12.5" x14ac:dyDescent="0.25">
      <c r="A282" s="14" t="str">
        <f ca="1">IFERROR(__xludf.DUMMYFUNCTION("""COMPUTED_VALUE"""),"TECNICO MARIA TERESA DE JESUS GERHARDINGER")</f>
        <v>TECNICO MARIA TERESA DE JESUS GERHARDINGER</v>
      </c>
      <c r="B282" s="14" t="str">
        <f ca="1">IFERROR(__xludf.DUMMYFUNCTION("""COMPUTED_VALUE"""),"TECNICO MARIA TERESA DE JESUS GERHARDINGER")</f>
        <v>TECNICO MARIA TERESA DE JESUS GERHARDINGER</v>
      </c>
      <c r="C282" s="24"/>
      <c r="D282" s="24"/>
    </row>
    <row r="283" spans="1:4" ht="12.5" x14ac:dyDescent="0.25">
      <c r="A283" s="14" t="str">
        <f ca="1">IFERROR(__xludf.DUMMYFUNCTION("""COMPUTED_VALUE"""),"692 - Cajay")</f>
        <v>692 - Cajay</v>
      </c>
      <c r="B283" s="14" t="str">
        <f ca="1">IFERROR(__xludf.DUMMYFUNCTION("""COMPUTED_VALUE"""),"692 - Cajay")</f>
        <v>692 - Cajay</v>
      </c>
      <c r="C283" s="24"/>
      <c r="D283" s="24"/>
    </row>
    <row r="284" spans="1:4" ht="12.5" x14ac:dyDescent="0.25">
      <c r="A284" s="14" t="str">
        <f ca="1">IFERROR(__xludf.DUMMYFUNCTION("""COMPUTED_VALUE"""),"86548 ""José María Velaz"" Pichiu")</f>
        <v>86548 "José María Velaz" Pichiu</v>
      </c>
      <c r="B284" s="14" t="str">
        <f ca="1">IFERROR(__xludf.DUMMYFUNCTION("""COMPUTED_VALUE"""),"86548 JOSE MARIA VELAZ")</f>
        <v>86548 JOSE MARIA VELAZ</v>
      </c>
      <c r="C284" s="24"/>
      <c r="D284" s="24"/>
    </row>
    <row r="285" spans="1:4" ht="12.5" x14ac:dyDescent="0.25">
      <c r="A285" s="14" t="str">
        <f ca="1">IFERROR(__xludf.DUMMYFUNCTION("""COMPUTED_VALUE"""),"86769 ""Abraham Valdelomar"" Huáscar")</f>
        <v>86769 "Abraham Valdelomar" Huáscar</v>
      </c>
      <c r="B285" s="14" t="str">
        <f ca="1">IFERROR(__xludf.DUMMYFUNCTION("""COMPUTED_VALUE"""),"86769 ABRAHAM VALDELOMAR")</f>
        <v>86769 ABRAHAM VALDELOMAR</v>
      </c>
      <c r="C285" s="24"/>
      <c r="D285" s="24"/>
    </row>
    <row r="286" spans="1:4" ht="12.5" x14ac:dyDescent="0.25">
      <c r="A286" s="14" t="str">
        <f ca="1">IFERROR(__xludf.DUMMYFUNCTION("""COMPUTED_VALUE"""),"87009-01 Huanchuy")</f>
        <v>87009-01 Huanchuy</v>
      </c>
      <c r="B286" s="14" t="str">
        <f ca="1">IFERROR(__xludf.DUMMYFUNCTION("""COMPUTED_VALUE"""),"87009-01")</f>
        <v>87009-01</v>
      </c>
      <c r="C286" s="24"/>
      <c r="D286" s="24"/>
    </row>
    <row r="287" spans="1:4" ht="12.5" x14ac:dyDescent="0.25">
      <c r="A287" s="14" t="str">
        <f ca="1">IFERROR(__xludf.DUMMYFUNCTION("""COMPUTED_VALUE"""),"88247 San Enrique de Capan")</f>
        <v>88247 San Enrique de Capan</v>
      </c>
      <c r="B287" s="14" t="str">
        <f ca="1">IFERROR(__xludf.DUMMYFUNCTION("""COMPUTED_VALUE"""),"88247 SAN ENRIQUE")</f>
        <v>88247 SAN ENRIQUE</v>
      </c>
      <c r="C287" s="24"/>
      <c r="D287" s="24"/>
    </row>
    <row r="288" spans="1:4" ht="12.5" x14ac:dyDescent="0.25">
      <c r="A288" s="14" t="str">
        <f ca="1">IFERROR(__xludf.DUMMYFUNCTION("""COMPUTED_VALUE"""),"88327 Carap")</f>
        <v>88327 Carap</v>
      </c>
      <c r="B288" s="14" t="str">
        <f ca="1">IFERROR(__xludf.DUMMYFUNCTION("""COMPUTED_VALUE"""),"88327")</f>
        <v>88327</v>
      </c>
      <c r="C288" s="24"/>
      <c r="D288" s="24"/>
    </row>
    <row r="289" spans="1:4" ht="12.5" x14ac:dyDescent="0.25">
      <c r="A289" s="14" t="str">
        <f ca="1">IFERROR(__xludf.DUMMYFUNCTION("""COMPUTED_VALUE"""),"86809 Huarac- huarán")</f>
        <v>86809 Huarac- huarán</v>
      </c>
      <c r="B289" s="14" t="str">
        <f ca="1">IFERROR(__xludf.DUMMYFUNCTION("""COMPUTED_VALUE"""),"86809")</f>
        <v>86809</v>
      </c>
      <c r="C289" s="24"/>
      <c r="D289" s="24"/>
    </row>
    <row r="290" spans="1:4" ht="12.5" x14ac:dyDescent="0.25">
      <c r="A290" s="14" t="str">
        <f ca="1">IFERROR(__xludf.DUMMYFUNCTION("""COMPUTED_VALUE"""),"693")</f>
        <v>693</v>
      </c>
      <c r="B290" s="14" t="str">
        <f ca="1">IFERROR(__xludf.DUMMYFUNCTION("""COMPUTED_VALUE"""),"693")</f>
        <v>693</v>
      </c>
      <c r="C290" s="24"/>
      <c r="D290" s="24"/>
    </row>
    <row r="291" spans="1:4" ht="12.5" x14ac:dyDescent="0.25">
      <c r="A291" s="14" t="str">
        <f ca="1">IFERROR(__xludf.DUMMYFUNCTION("""COMPUTED_VALUE"""),"86731")</f>
        <v>86731</v>
      </c>
      <c r="B291" s="14" t="str">
        <f ca="1">IFERROR(__xludf.DUMMYFUNCTION("""COMPUTED_VALUE"""),"86731")</f>
        <v>86731</v>
      </c>
      <c r="C291" s="24"/>
      <c r="D291" s="24"/>
    </row>
    <row r="292" spans="1:4" ht="12.5" x14ac:dyDescent="0.25">
      <c r="A292" s="14" t="str">
        <f ca="1">IFERROR(__xludf.DUMMYFUNCTION("""COMPUTED_VALUE"""),"86783 CARLOS EDUARDO ZAVALETA")</f>
        <v>86783 CARLOS EDUARDO ZAVALETA</v>
      </c>
      <c r="B292" s="14" t="str">
        <f ca="1">IFERROR(__xludf.DUMMYFUNCTION("""COMPUTED_VALUE"""),"86783 CARLOS EDUARDO ZAVALETA")</f>
        <v>86783 CARLOS EDUARDO ZAVALETA</v>
      </c>
      <c r="C292" s="24"/>
      <c r="D292" s="24"/>
    </row>
    <row r="293" spans="1:4" ht="12.5" x14ac:dyDescent="0.25">
      <c r="A293" s="14" t="str">
        <f ca="1">IFERROR(__xludf.DUMMYFUNCTION("""COMPUTED_VALUE"""),"64048 Nueva Barranca")</f>
        <v>64048 Nueva Barranca</v>
      </c>
      <c r="B293" s="14" t="str">
        <f ca="1">IFERROR(__xludf.DUMMYFUNCTION("""COMPUTED_VALUE"""),"64048")</f>
        <v>64048</v>
      </c>
      <c r="C293" s="24"/>
      <c r="D293" s="24"/>
    </row>
    <row r="294" spans="1:4" ht="12.5" x14ac:dyDescent="0.25">
      <c r="A294" s="14" t="str">
        <f ca="1">IFERROR(__xludf.DUMMYFUNCTION("""COMPUTED_VALUE"""),"64508-B Santa Isabel de Bahuanisho")</f>
        <v>64508-B Santa Isabel de Bahuanisho</v>
      </c>
      <c r="B294" s="14" t="str">
        <f ca="1">IFERROR(__xludf.DUMMYFUNCTION("""COMPUTED_VALUE"""),"64508-B")</f>
        <v>64508-B</v>
      </c>
      <c r="C294" s="24"/>
      <c r="D294" s="24"/>
    </row>
    <row r="295" spans="1:4" ht="12.5" x14ac:dyDescent="0.25">
      <c r="A295" s="14" t="str">
        <f ca="1">IFERROR(__xludf.DUMMYFUNCTION("""COMPUTED_VALUE"""),"65199 3 de Mayo")</f>
        <v>65199 3 de Mayo</v>
      </c>
      <c r="B295" s="14" t="str">
        <f ca="1">IFERROR(__xludf.DUMMYFUNCTION("""COMPUTED_VALUE"""),"65199")</f>
        <v>65199</v>
      </c>
      <c r="C295" s="24"/>
      <c r="D295" s="24"/>
    </row>
    <row r="296" spans="1:4" ht="12.5" x14ac:dyDescent="0.25">
      <c r="A296" s="14" t="str">
        <f ca="1">IFERROR(__xludf.DUMMYFUNCTION("""COMPUTED_VALUE"""),"525-B Santa Elisa")</f>
        <v>525-B Santa Elisa</v>
      </c>
      <c r="B296" s="14" t="str">
        <f ca="1">IFERROR(__xludf.DUMMYFUNCTION("""COMPUTED_VALUE"""),"525-B Santa Elisa")</f>
        <v>525-B Santa Elisa</v>
      </c>
      <c r="C296" s="24"/>
      <c r="D296" s="24"/>
    </row>
    <row r="297" spans="1:4" ht="12.5" x14ac:dyDescent="0.25">
      <c r="A297" s="14" t="str">
        <f ca="1">IFERROR(__xludf.DUMMYFUNCTION("""COMPUTED_VALUE"""),"555-B Santa Martha")</f>
        <v>555-B Santa Martha</v>
      </c>
      <c r="B297" s="14" t="str">
        <f ca="1">IFERROR(__xludf.DUMMYFUNCTION("""COMPUTED_VALUE"""),"555-B ")</f>
        <v xml:space="preserve">555-B </v>
      </c>
      <c r="C297" s="24"/>
      <c r="D297" s="24"/>
    </row>
    <row r="298" spans="1:4" ht="12.5" x14ac:dyDescent="0.25">
      <c r="A298" s="14" t="str">
        <f ca="1">IFERROR(__xludf.DUMMYFUNCTION("""COMPUTED_VALUE"""),"559  3 de Mayo")</f>
        <v>559  3 de Mayo</v>
      </c>
      <c r="B298" s="14" t="str">
        <f ca="1">IFERROR(__xludf.DUMMYFUNCTION("""COMPUTED_VALUE"""),"559  3 de Mayo")</f>
        <v>559  3 de Mayo</v>
      </c>
      <c r="C298" s="24"/>
      <c r="D298" s="24"/>
    </row>
    <row r="299" spans="1:4" ht="12.5" x14ac:dyDescent="0.25">
      <c r="A299" s="14" t="str">
        <f ca="1">IFERROR(__xludf.DUMMYFUNCTION("""COMPUTED_VALUE"""),"564 Nueva Barranca")</f>
        <v>564 Nueva Barranca</v>
      </c>
      <c r="B299" s="14" t="str">
        <f ca="1">IFERROR(__xludf.DUMMYFUNCTION("""COMPUTED_VALUE"""),"564 Nueva Barranca")</f>
        <v>564 Nueva Barranca</v>
      </c>
      <c r="C299" s="24"/>
      <c r="D299" s="24"/>
    </row>
    <row r="300" spans="1:4" ht="12.5" x14ac:dyDescent="0.25">
      <c r="A300" s="14" t="str">
        <f ca="1">IFERROR(__xludf.DUMMYFUNCTION("""COMPUTED_VALUE"""),"566 Isla Primavera")</f>
        <v>566 Isla Primavera</v>
      </c>
      <c r="B300" s="14" t="str">
        <f ca="1">IFERROR(__xludf.DUMMYFUNCTION("""COMPUTED_VALUE"""),"566")</f>
        <v>566</v>
      </c>
      <c r="C300" s="24"/>
      <c r="D300" s="24"/>
    </row>
    <row r="301" spans="1:4" ht="12.5" x14ac:dyDescent="0.25">
      <c r="A301" s="14" t="str">
        <f ca="1">IFERROR(__xludf.DUMMYFUNCTION("""COMPUTED_VALUE"""),"295 Nuevo Bagazan")</f>
        <v>295 Nuevo Bagazan</v>
      </c>
      <c r="B301" s="14" t="str">
        <f ca="1">IFERROR(__xludf.DUMMYFUNCTION("""COMPUTED_VALUE"""),"295 Nuevo Bagazan")</f>
        <v>295 Nuevo Bagazan</v>
      </c>
      <c r="C301" s="24"/>
      <c r="D301" s="24"/>
    </row>
    <row r="302" spans="1:4" ht="12.5" x14ac:dyDescent="0.25">
      <c r="A302" s="14" t="str">
        <f ca="1">IFERROR(__xludf.DUMMYFUNCTION("""COMPUTED_VALUE"""),"333-B Santa Isabel de Bahuanisho")</f>
        <v>333-B Santa Isabel de Bahuanisho</v>
      </c>
      <c r="B302" s="14" t="str">
        <f ca="1">IFERROR(__xludf.DUMMYFUNCTION("""COMPUTED_VALUE"""),"333-B ")</f>
        <v xml:space="preserve">333-B </v>
      </c>
      <c r="C302" s="24"/>
      <c r="D302" s="24"/>
    </row>
    <row r="303" spans="1:4" ht="12.5" x14ac:dyDescent="0.25">
      <c r="A303" s="14" t="str">
        <f ca="1">IFERROR(__xludf.DUMMYFUNCTION("""COMPUTED_VALUE"""),"294 Mazaray")</f>
        <v>294 Mazaray</v>
      </c>
      <c r="B303" s="14" t="str">
        <f ca="1">IFERROR(__xludf.DUMMYFUNCTION("""COMPUTED_VALUE"""),"294 Mazaray")</f>
        <v>294 Mazaray</v>
      </c>
      <c r="C303" s="24"/>
      <c r="D303" s="24"/>
    </row>
    <row r="304" spans="1:4" ht="12.5" x14ac:dyDescent="0.25">
      <c r="A304" s="14" t="str">
        <f ca="1">IFERROR(__xludf.DUMMYFUNCTION("""COMPUTED_VALUE"""),"64115 Nuevo Bagazan")</f>
        <v>64115 Nuevo Bagazan</v>
      </c>
      <c r="B304" s="14" t="str">
        <f ca="1">IFERROR(__xludf.DUMMYFUNCTION("""COMPUTED_VALUE"""),"64115")</f>
        <v>64115</v>
      </c>
      <c r="C304" s="24"/>
      <c r="D304" s="24"/>
    </row>
    <row r="305" spans="1:4" ht="12.5" x14ac:dyDescent="0.25">
      <c r="A305" s="14" t="str">
        <f ca="1">IFERROR(__xludf.DUMMYFUNCTION("""COMPUTED_VALUE"""),"64798 Nuevo Ancash")</f>
        <v>64798 Nuevo Ancash</v>
      </c>
      <c r="B305" s="14" t="str">
        <f ca="1">IFERROR(__xludf.DUMMYFUNCTION("""COMPUTED_VALUE"""),"64798 Nuevo Ancash")</f>
        <v>64798 Nuevo Ancash</v>
      </c>
      <c r="C305" s="24"/>
      <c r="D305" s="24"/>
    </row>
    <row r="306" spans="1:4" ht="12.5" x14ac:dyDescent="0.25">
      <c r="A306" s="14" t="str">
        <f ca="1">IFERROR(__xludf.DUMMYFUNCTION("""COMPUTED_VALUE"""),"846 Huanccallaco")</f>
        <v>846 Huanccallaco</v>
      </c>
      <c r="B306" s="14" t="str">
        <f ca="1">IFERROR(__xludf.DUMMYFUNCTION("""COMPUTED_VALUE"""),"846 Huanccallaco")</f>
        <v>846 Huanccallaco</v>
      </c>
      <c r="C306" s="24"/>
      <c r="D306" s="24"/>
    </row>
    <row r="307" spans="1:4" ht="12.5" x14ac:dyDescent="0.25">
      <c r="A307" s="14" t="str">
        <f ca="1">IFERROR(__xludf.DUMMYFUNCTION("""COMPUTED_VALUE"""),"130")</f>
        <v>130</v>
      </c>
      <c r="B307" s="14" t="str">
        <f ca="1">IFERROR(__xludf.DUMMYFUNCTION("""COMPUTED_VALUE"""),"130")</f>
        <v>130</v>
      </c>
      <c r="C307" s="24"/>
      <c r="D307" s="24"/>
    </row>
    <row r="308" spans="1:4" ht="12.5" x14ac:dyDescent="0.25">
      <c r="A308" s="14" t="str">
        <f ca="1">IFERROR(__xludf.DUMMYFUNCTION("""COMPUTED_VALUE"""),"156")</f>
        <v>156</v>
      </c>
      <c r="B308" s="14" t="str">
        <f ca="1">IFERROR(__xludf.DUMMYFUNCTION("""COMPUTED_VALUE"""),"156")</f>
        <v>156</v>
      </c>
      <c r="C308" s="24"/>
      <c r="D308" s="24"/>
    </row>
    <row r="309" spans="1:4" ht="12.5" x14ac:dyDescent="0.25">
      <c r="A309" s="14" t="str">
        <f ca="1">IFERROR(__xludf.DUMMYFUNCTION("""COMPUTED_VALUE"""),"843")</f>
        <v>843</v>
      </c>
      <c r="B309" s="14" t="str">
        <f ca="1">IFERROR(__xludf.DUMMYFUNCTION("""COMPUTED_VALUE"""),"843")</f>
        <v>843</v>
      </c>
      <c r="C309" s="24"/>
      <c r="D309" s="24"/>
    </row>
    <row r="310" spans="1:4" ht="12.5" x14ac:dyDescent="0.25">
      <c r="A310" s="14" t="str">
        <f ca="1">IFERROR(__xludf.DUMMYFUNCTION("""COMPUTED_VALUE"""),"36167")</f>
        <v>36167</v>
      </c>
      <c r="B310" s="14" t="str">
        <f ca="1">IFERROR(__xludf.DUMMYFUNCTION("""COMPUTED_VALUE"""),"36167")</f>
        <v>36167</v>
      </c>
      <c r="C310" s="24"/>
      <c r="D310" s="24"/>
    </row>
    <row r="311" spans="1:4" ht="12.5" x14ac:dyDescent="0.25">
      <c r="A311" s="14" t="str">
        <f ca="1">IFERROR(__xludf.DUMMYFUNCTION("""COMPUTED_VALUE"""),"36831")</f>
        <v>36831</v>
      </c>
      <c r="B311" s="14" t="str">
        <f ca="1">IFERROR(__xludf.DUMMYFUNCTION("""COMPUTED_VALUE"""),"36831")</f>
        <v>36831</v>
      </c>
      <c r="C311" s="24"/>
      <c r="D311" s="24"/>
    </row>
    <row r="312" spans="1:4" ht="12.5" x14ac:dyDescent="0.25">
      <c r="A312" s="14" t="str">
        <f ca="1">IFERROR(__xludf.DUMMYFUNCTION("""COMPUTED_VALUE"""),"Marcas")</f>
        <v>Marcas</v>
      </c>
      <c r="B312" s="14" t="str">
        <f ca="1">IFERROR(__xludf.DUMMYFUNCTION("""COMPUTED_VALUE"""),"Marcas")</f>
        <v>Marcas</v>
      </c>
      <c r="C312" s="24"/>
      <c r="D312" s="24"/>
    </row>
    <row r="313" spans="1:4" ht="12.5" x14ac:dyDescent="0.25">
      <c r="A313" s="14" t="str">
        <f ca="1">IFERROR(__xludf.DUMMYFUNCTION("""COMPUTED_VALUE"""),"177")</f>
        <v>177</v>
      </c>
      <c r="B313" s="14" t="str">
        <f ca="1">IFERROR(__xludf.DUMMYFUNCTION("""COMPUTED_VALUE"""),"177")</f>
        <v>177</v>
      </c>
      <c r="C313" s="24"/>
      <c r="D313" s="24"/>
    </row>
    <row r="314" spans="1:4" ht="12.5" x14ac:dyDescent="0.25">
      <c r="A314" s="14" t="str">
        <f ca="1">IFERROR(__xludf.DUMMYFUNCTION("""COMPUTED_VALUE"""),"592")</f>
        <v>592</v>
      </c>
      <c r="B314" s="14" t="str">
        <f ca="1">IFERROR(__xludf.DUMMYFUNCTION("""COMPUTED_VALUE"""),"592")</f>
        <v>592</v>
      </c>
      <c r="C314" s="24"/>
      <c r="D314" s="24"/>
    </row>
    <row r="315" spans="1:4" ht="12.5" x14ac:dyDescent="0.25">
      <c r="A315" s="14" t="str">
        <f ca="1">IFERROR(__xludf.DUMMYFUNCTION("""COMPUTED_VALUE"""),"36163")</f>
        <v>36163</v>
      </c>
      <c r="B315" s="14" t="str">
        <f ca="1">IFERROR(__xludf.DUMMYFUNCTION("""COMPUTED_VALUE"""),"36163 JAVIER HERAUD PEREZ")</f>
        <v>36163 JAVIER HERAUD PEREZ</v>
      </c>
      <c r="C315" s="24"/>
      <c r="D315" s="24"/>
    </row>
    <row r="316" spans="1:4" ht="12.5" x14ac:dyDescent="0.25">
      <c r="A316" s="14" t="str">
        <f ca="1">IFERROR(__xludf.DUMMYFUNCTION("""COMPUTED_VALUE"""),"36153")</f>
        <v>36153</v>
      </c>
      <c r="B316" s="14" t="str">
        <f ca="1">IFERROR(__xludf.DUMMYFUNCTION("""COMPUTED_VALUE"""),"36153 SAYRI TUPAC")</f>
        <v>36153 SAYRI TUPAC</v>
      </c>
      <c r="C316" s="24"/>
      <c r="D316" s="24"/>
    </row>
    <row r="317" spans="1:4" ht="12.5" x14ac:dyDescent="0.25">
      <c r="A317" s="14" t="str">
        <f ca="1">IFERROR(__xludf.DUMMYFUNCTION("""COMPUTED_VALUE"""),"36201")</f>
        <v>36201</v>
      </c>
      <c r="B317" s="14" t="str">
        <f ca="1">IFERROR(__xludf.DUMMYFUNCTION("""COMPUTED_VALUE"""),"36201")</f>
        <v>36201</v>
      </c>
      <c r="C317" s="24"/>
      <c r="D317" s="24"/>
    </row>
    <row r="318" spans="1:4" ht="12.5" x14ac:dyDescent="0.25">
      <c r="A318" s="24"/>
      <c r="B318" s="24"/>
      <c r="C318" s="24"/>
      <c r="D318" s="24"/>
    </row>
    <row r="319" spans="1:4" ht="12.5" x14ac:dyDescent="0.25">
      <c r="A319" s="24"/>
      <c r="B319" s="24"/>
      <c r="C319" s="24"/>
      <c r="D319" s="24"/>
    </row>
    <row r="320" spans="1:4" ht="12.5" x14ac:dyDescent="0.25">
      <c r="A320" s="24"/>
      <c r="B320" s="24"/>
      <c r="C320" s="24"/>
      <c r="D320" s="24"/>
    </row>
    <row r="321" spans="1:4" ht="12.5" x14ac:dyDescent="0.25">
      <c r="A321" s="24"/>
      <c r="B321" s="24"/>
      <c r="C321" s="24"/>
      <c r="D321" s="24"/>
    </row>
    <row r="322" spans="1:4" ht="12.5" x14ac:dyDescent="0.25">
      <c r="A322" s="24"/>
      <c r="B322" s="24"/>
      <c r="C322" s="24"/>
      <c r="D322" s="24"/>
    </row>
    <row r="323" spans="1:4" ht="12.5" x14ac:dyDescent="0.25">
      <c r="A323" s="24"/>
      <c r="B323" s="24"/>
      <c r="C323" s="24"/>
      <c r="D323" s="24"/>
    </row>
    <row r="324" spans="1:4" ht="12.5" x14ac:dyDescent="0.25">
      <c r="A324" s="24"/>
      <c r="B324" s="24"/>
      <c r="C324" s="24"/>
      <c r="D324" s="24"/>
    </row>
    <row r="325" spans="1:4" ht="12.5" x14ac:dyDescent="0.25">
      <c r="A325" s="24"/>
      <c r="B325" s="24"/>
      <c r="C325" s="24"/>
      <c r="D325" s="24"/>
    </row>
    <row r="326" spans="1:4" ht="12.5" x14ac:dyDescent="0.25">
      <c r="A326" s="24"/>
      <c r="B326" s="24"/>
      <c r="C326" s="24"/>
      <c r="D326" s="24"/>
    </row>
    <row r="327" spans="1:4" ht="12.5" x14ac:dyDescent="0.25">
      <c r="A327" s="24"/>
      <c r="B327" s="24"/>
      <c r="C327" s="24"/>
      <c r="D327" s="24"/>
    </row>
    <row r="328" spans="1:4" ht="12.5" x14ac:dyDescent="0.25">
      <c r="A328" s="24"/>
      <c r="B328" s="24"/>
      <c r="C328" s="24"/>
      <c r="D328" s="24"/>
    </row>
    <row r="329" spans="1:4" ht="12.5" x14ac:dyDescent="0.25">
      <c r="A329" s="24"/>
      <c r="B329" s="24"/>
      <c r="C329" s="24"/>
      <c r="D329" s="24"/>
    </row>
    <row r="330" spans="1:4" ht="12.5" x14ac:dyDescent="0.25">
      <c r="A330" s="24"/>
      <c r="B330" s="24"/>
      <c r="C330" s="24"/>
      <c r="D330" s="24"/>
    </row>
    <row r="331" spans="1:4" ht="12.5" x14ac:dyDescent="0.25">
      <c r="A331" s="24"/>
      <c r="B331" s="24"/>
      <c r="C331" s="24"/>
      <c r="D331" s="24"/>
    </row>
    <row r="332" spans="1:4" ht="12.5" x14ac:dyDescent="0.25">
      <c r="A332" s="24"/>
      <c r="B332" s="24"/>
      <c r="C332" s="24"/>
      <c r="D332" s="24"/>
    </row>
    <row r="333" spans="1:4" ht="12.5" x14ac:dyDescent="0.25">
      <c r="A333" s="24"/>
      <c r="B333" s="24"/>
      <c r="C333" s="24"/>
      <c r="D333" s="24"/>
    </row>
    <row r="334" spans="1:4" ht="12.5" x14ac:dyDescent="0.25">
      <c r="A334" s="24"/>
      <c r="B334" s="24"/>
      <c r="C334" s="24"/>
      <c r="D334" s="24"/>
    </row>
    <row r="335" spans="1:4" ht="12.5" x14ac:dyDescent="0.25">
      <c r="A335" s="24"/>
      <c r="B335" s="24"/>
      <c r="C335" s="24"/>
      <c r="D335" s="24"/>
    </row>
    <row r="336" spans="1:4" ht="12.5" x14ac:dyDescent="0.25">
      <c r="A336" s="24"/>
      <c r="B336" s="24"/>
      <c r="C336" s="24"/>
      <c r="D336" s="24"/>
    </row>
    <row r="337" spans="1:4" ht="12.5" x14ac:dyDescent="0.25">
      <c r="A337" s="24"/>
      <c r="B337" s="24"/>
      <c r="C337" s="24"/>
      <c r="D337" s="24"/>
    </row>
    <row r="338" spans="1:4" ht="12.5" x14ac:dyDescent="0.25">
      <c r="A338" s="24"/>
      <c r="B338" s="24"/>
      <c r="C338" s="24"/>
      <c r="D338" s="24"/>
    </row>
    <row r="339" spans="1:4" ht="12.5" x14ac:dyDescent="0.25">
      <c r="A339" s="24"/>
      <c r="B339" s="24"/>
      <c r="C339" s="24"/>
      <c r="D339" s="24"/>
    </row>
    <row r="340" spans="1:4" ht="12.5" x14ac:dyDescent="0.25">
      <c r="A340" s="24"/>
      <c r="B340" s="24"/>
      <c r="C340" s="24"/>
      <c r="D340" s="24"/>
    </row>
    <row r="341" spans="1:4" ht="12.5" x14ac:dyDescent="0.25">
      <c r="A341" s="24"/>
      <c r="B341" s="24"/>
      <c r="C341" s="24"/>
      <c r="D341" s="24"/>
    </row>
    <row r="342" spans="1:4" ht="12.5" x14ac:dyDescent="0.25">
      <c r="A342" s="24"/>
      <c r="B342" s="24"/>
      <c r="C342" s="24"/>
      <c r="D342" s="24"/>
    </row>
    <row r="343" spans="1:4" ht="12.5" x14ac:dyDescent="0.25">
      <c r="A343" s="24"/>
      <c r="B343" s="24"/>
      <c r="C343" s="24"/>
      <c r="D343" s="24"/>
    </row>
    <row r="344" spans="1:4" ht="12.5" x14ac:dyDescent="0.25">
      <c r="A344" s="24"/>
      <c r="B344" s="24"/>
      <c r="C344" s="24"/>
      <c r="D344" s="24"/>
    </row>
    <row r="345" spans="1:4" ht="12.5" x14ac:dyDescent="0.25">
      <c r="A345" s="24"/>
      <c r="B345" s="24"/>
      <c r="C345" s="24"/>
      <c r="D345" s="24"/>
    </row>
    <row r="346" spans="1:4" ht="12.5" x14ac:dyDescent="0.25">
      <c r="A346" s="24"/>
      <c r="B346" s="24"/>
      <c r="C346" s="24"/>
      <c r="D346" s="24"/>
    </row>
    <row r="347" spans="1:4" ht="12.5" x14ac:dyDescent="0.25">
      <c r="A347" s="24"/>
      <c r="B347" s="24"/>
      <c r="C347" s="24"/>
      <c r="D347" s="24"/>
    </row>
    <row r="348" spans="1:4" ht="12.5" x14ac:dyDescent="0.25">
      <c r="A348" s="24"/>
      <c r="B348" s="24"/>
      <c r="C348" s="24"/>
      <c r="D348" s="24"/>
    </row>
    <row r="349" spans="1:4" ht="12.5" x14ac:dyDescent="0.25">
      <c r="A349" s="24"/>
      <c r="B349" s="24"/>
      <c r="C349" s="24"/>
      <c r="D349" s="24"/>
    </row>
    <row r="350" spans="1:4" ht="12.5" x14ac:dyDescent="0.25">
      <c r="A350" s="24"/>
      <c r="B350" s="24"/>
      <c r="C350" s="24"/>
      <c r="D350" s="24"/>
    </row>
    <row r="351" spans="1:4" ht="12.5" x14ac:dyDescent="0.25">
      <c r="A351" s="24"/>
      <c r="B351" s="24"/>
      <c r="C351" s="24"/>
      <c r="D351" s="24"/>
    </row>
    <row r="352" spans="1:4" ht="12.5" x14ac:dyDescent="0.25">
      <c r="A352" s="24"/>
      <c r="B352" s="24"/>
      <c r="C352" s="24"/>
      <c r="D352" s="24"/>
    </row>
    <row r="353" spans="1:4" ht="12.5" x14ac:dyDescent="0.25">
      <c r="A353" s="24"/>
      <c r="B353" s="24"/>
      <c r="C353" s="24"/>
      <c r="D353" s="24"/>
    </row>
    <row r="354" spans="1:4" ht="12.5" x14ac:dyDescent="0.25">
      <c r="A354" s="24"/>
      <c r="B354" s="24"/>
      <c r="C354" s="24"/>
      <c r="D354" s="24"/>
    </row>
    <row r="355" spans="1:4" ht="12.5" x14ac:dyDescent="0.25">
      <c r="A355" s="24"/>
      <c r="B355" s="24"/>
      <c r="C355" s="24"/>
      <c r="D355" s="24"/>
    </row>
    <row r="356" spans="1:4" ht="12.5" x14ac:dyDescent="0.25">
      <c r="A356" s="24"/>
      <c r="B356" s="24"/>
      <c r="C356" s="24"/>
      <c r="D356" s="24"/>
    </row>
    <row r="357" spans="1:4" ht="12.5" x14ac:dyDescent="0.25">
      <c r="A357" s="24"/>
      <c r="B357" s="24"/>
      <c r="C357" s="24"/>
      <c r="D357" s="24"/>
    </row>
    <row r="358" spans="1:4" ht="12.5" x14ac:dyDescent="0.25">
      <c r="A358" s="24"/>
      <c r="B358" s="24"/>
      <c r="C358" s="24"/>
      <c r="D358" s="24"/>
    </row>
    <row r="359" spans="1:4" ht="12.5" x14ac:dyDescent="0.25">
      <c r="A359" s="24"/>
      <c r="B359" s="24"/>
      <c r="C359" s="24"/>
      <c r="D359" s="24"/>
    </row>
    <row r="360" spans="1:4" ht="12.5" x14ac:dyDescent="0.25">
      <c r="A360" s="24"/>
      <c r="B360" s="24"/>
      <c r="C360" s="24"/>
      <c r="D360" s="24"/>
    </row>
    <row r="361" spans="1:4" ht="12.5" x14ac:dyDescent="0.25">
      <c r="A361" s="24"/>
      <c r="B361" s="24"/>
      <c r="C361" s="24"/>
      <c r="D361" s="24"/>
    </row>
    <row r="362" spans="1:4" ht="12.5" x14ac:dyDescent="0.25">
      <c r="A362" s="24"/>
      <c r="B362" s="24"/>
      <c r="C362" s="24"/>
      <c r="D362" s="24"/>
    </row>
    <row r="363" spans="1:4" ht="12.5" x14ac:dyDescent="0.25">
      <c r="A363" s="24"/>
      <c r="B363" s="24"/>
      <c r="C363" s="24"/>
      <c r="D363" s="24"/>
    </row>
    <row r="364" spans="1:4" ht="12.5" x14ac:dyDescent="0.25">
      <c r="A364" s="24"/>
      <c r="B364" s="24"/>
      <c r="C364" s="24"/>
      <c r="D364" s="24"/>
    </row>
    <row r="365" spans="1:4" ht="12.5" x14ac:dyDescent="0.25">
      <c r="A365" s="24"/>
      <c r="B365" s="24"/>
      <c r="C365" s="24"/>
      <c r="D365" s="24"/>
    </row>
    <row r="366" spans="1:4" ht="12.5" x14ac:dyDescent="0.25">
      <c r="A366" s="24"/>
      <c r="B366" s="24"/>
      <c r="C366" s="24"/>
      <c r="D366" s="24"/>
    </row>
    <row r="367" spans="1:4" ht="12.5" x14ac:dyDescent="0.25">
      <c r="A367" s="24"/>
      <c r="B367" s="24"/>
      <c r="C367" s="24"/>
      <c r="D367" s="24"/>
    </row>
    <row r="368" spans="1:4" ht="12.5" x14ac:dyDescent="0.25">
      <c r="A368" s="24"/>
      <c r="B368" s="24"/>
      <c r="C368" s="24"/>
      <c r="D368" s="24"/>
    </row>
    <row r="369" spans="1:4" ht="12.5" x14ac:dyDescent="0.25">
      <c r="A369" s="24"/>
      <c r="B369" s="24"/>
      <c r="C369" s="24"/>
      <c r="D369" s="24"/>
    </row>
    <row r="370" spans="1:4" ht="12.5" x14ac:dyDescent="0.25">
      <c r="A370" s="24"/>
      <c r="B370" s="24"/>
      <c r="C370" s="24"/>
      <c r="D370" s="24"/>
    </row>
    <row r="371" spans="1:4" ht="12.5" x14ac:dyDescent="0.25">
      <c r="A371" s="24"/>
      <c r="B371" s="24"/>
      <c r="C371" s="24"/>
      <c r="D371" s="24"/>
    </row>
    <row r="372" spans="1:4" ht="12.5" x14ac:dyDescent="0.25">
      <c r="A372" s="24"/>
      <c r="B372" s="24"/>
      <c r="C372" s="24"/>
      <c r="D372" s="24"/>
    </row>
    <row r="373" spans="1:4" ht="12.5" x14ac:dyDescent="0.25">
      <c r="A373" s="24"/>
      <c r="B373" s="24"/>
      <c r="C373" s="24"/>
      <c r="D373" s="24"/>
    </row>
    <row r="374" spans="1:4" ht="12.5" x14ac:dyDescent="0.25">
      <c r="A374" s="24"/>
      <c r="B374" s="24"/>
      <c r="C374" s="24"/>
      <c r="D374" s="24"/>
    </row>
    <row r="375" spans="1:4" ht="12.5" x14ac:dyDescent="0.25">
      <c r="A375" s="24"/>
      <c r="B375" s="24"/>
      <c r="C375" s="24"/>
      <c r="D375" s="24"/>
    </row>
    <row r="376" spans="1:4" ht="12.5" x14ac:dyDescent="0.25">
      <c r="A376" s="24"/>
      <c r="B376" s="24"/>
      <c r="C376" s="24"/>
      <c r="D376" s="24"/>
    </row>
    <row r="377" spans="1:4" ht="12.5" x14ac:dyDescent="0.25">
      <c r="A377" s="24"/>
      <c r="B377" s="24"/>
      <c r="C377" s="24"/>
      <c r="D377" s="24"/>
    </row>
    <row r="378" spans="1:4" ht="12.5" x14ac:dyDescent="0.25">
      <c r="A378" s="24"/>
      <c r="B378" s="24"/>
      <c r="C378" s="24"/>
      <c r="D378" s="24"/>
    </row>
    <row r="379" spans="1:4" ht="12.5" x14ac:dyDescent="0.25">
      <c r="A379" s="24"/>
      <c r="B379" s="24"/>
      <c r="C379" s="24"/>
      <c r="D379" s="24"/>
    </row>
    <row r="380" spans="1:4" ht="12.5" x14ac:dyDescent="0.25">
      <c r="A380" s="24"/>
      <c r="B380" s="24"/>
      <c r="C380" s="24"/>
      <c r="D380" s="24"/>
    </row>
    <row r="381" spans="1:4" ht="12.5" x14ac:dyDescent="0.25">
      <c r="A381" s="24"/>
      <c r="B381" s="24"/>
      <c r="C381" s="24"/>
      <c r="D381" s="24"/>
    </row>
    <row r="382" spans="1:4" ht="12.5" x14ac:dyDescent="0.25">
      <c r="A382" s="24"/>
      <c r="B382" s="24"/>
      <c r="C382" s="24"/>
      <c r="D382" s="24"/>
    </row>
    <row r="383" spans="1:4" ht="12.5" x14ac:dyDescent="0.25">
      <c r="A383" s="24"/>
      <c r="B383" s="24"/>
      <c r="C383" s="24"/>
      <c r="D383" s="24"/>
    </row>
    <row r="384" spans="1:4" ht="12.5" x14ac:dyDescent="0.25">
      <c r="A384" s="24"/>
      <c r="B384" s="24"/>
      <c r="C384" s="24"/>
      <c r="D384" s="24"/>
    </row>
    <row r="385" spans="1:4" ht="12.5" x14ac:dyDescent="0.25">
      <c r="A385" s="24"/>
      <c r="B385" s="24"/>
      <c r="C385" s="24"/>
      <c r="D385" s="24"/>
    </row>
    <row r="386" spans="1:4" ht="12.5" x14ac:dyDescent="0.25">
      <c r="A386" s="24"/>
      <c r="B386" s="24"/>
      <c r="C386" s="24"/>
      <c r="D386" s="24"/>
    </row>
    <row r="387" spans="1:4" ht="12.5" x14ac:dyDescent="0.25">
      <c r="A387" s="24"/>
      <c r="B387" s="24"/>
      <c r="C387" s="24"/>
      <c r="D387" s="24"/>
    </row>
    <row r="388" spans="1:4" ht="12.5" x14ac:dyDescent="0.25">
      <c r="A388" s="24"/>
      <c r="B388" s="24"/>
      <c r="C388" s="24"/>
      <c r="D388" s="24"/>
    </row>
    <row r="389" spans="1:4" ht="12.5" x14ac:dyDescent="0.25">
      <c r="A389" s="24"/>
      <c r="B389" s="24"/>
      <c r="C389" s="24"/>
      <c r="D389" s="24"/>
    </row>
    <row r="390" spans="1:4" ht="12.5" x14ac:dyDescent="0.25">
      <c r="A390" s="24"/>
      <c r="B390" s="24"/>
      <c r="C390" s="24"/>
      <c r="D390" s="24"/>
    </row>
    <row r="391" spans="1:4" ht="12.5" x14ac:dyDescent="0.25">
      <c r="A391" s="24"/>
      <c r="B391" s="24"/>
      <c r="C391" s="24"/>
      <c r="D391" s="24"/>
    </row>
    <row r="392" spans="1:4" ht="12.5" x14ac:dyDescent="0.25">
      <c r="A392" s="24"/>
      <c r="B392" s="24"/>
      <c r="C392" s="24"/>
      <c r="D392" s="24"/>
    </row>
    <row r="393" spans="1:4" ht="12.5" x14ac:dyDescent="0.25">
      <c r="A393" s="24"/>
      <c r="B393" s="24"/>
      <c r="C393" s="24"/>
      <c r="D393" s="24"/>
    </row>
    <row r="394" spans="1:4" ht="12.5" x14ac:dyDescent="0.25">
      <c r="A394" s="24"/>
      <c r="B394" s="24"/>
      <c r="C394" s="24"/>
      <c r="D394" s="24"/>
    </row>
    <row r="395" spans="1:4" ht="12.5" x14ac:dyDescent="0.25">
      <c r="A395" s="24"/>
      <c r="B395" s="24"/>
      <c r="C395" s="24"/>
      <c r="D395" s="24"/>
    </row>
    <row r="396" spans="1:4" ht="12.5" x14ac:dyDescent="0.25">
      <c r="A396" s="24"/>
      <c r="B396" s="24"/>
      <c r="C396" s="24"/>
      <c r="D396" s="24"/>
    </row>
    <row r="397" spans="1:4" ht="12.5" x14ac:dyDescent="0.25">
      <c r="A397" s="24"/>
      <c r="B397" s="24"/>
      <c r="C397" s="24"/>
      <c r="D397" s="24"/>
    </row>
    <row r="398" spans="1:4" ht="12.5" x14ac:dyDescent="0.25">
      <c r="A398" s="24"/>
      <c r="B398" s="24"/>
      <c r="C398" s="24"/>
      <c r="D398" s="24"/>
    </row>
    <row r="399" spans="1:4" ht="12.5" x14ac:dyDescent="0.25">
      <c r="A399" s="24"/>
      <c r="B399" s="24"/>
      <c r="C399" s="24"/>
      <c r="D399" s="24"/>
    </row>
    <row r="400" spans="1:4" ht="12.5" x14ac:dyDescent="0.25">
      <c r="A400" s="24"/>
      <c r="B400" s="24"/>
      <c r="C400" s="24"/>
      <c r="D400" s="24"/>
    </row>
    <row r="401" spans="1:4" ht="12.5" x14ac:dyDescent="0.25">
      <c r="A401" s="24"/>
      <c r="B401" s="24"/>
      <c r="C401" s="24"/>
      <c r="D401" s="24"/>
    </row>
    <row r="402" spans="1:4" ht="12.5" x14ac:dyDescent="0.25">
      <c r="A402" s="24"/>
      <c r="B402" s="24"/>
      <c r="C402" s="24"/>
      <c r="D402" s="24"/>
    </row>
    <row r="403" spans="1:4" ht="12.5" x14ac:dyDescent="0.25">
      <c r="A403" s="24"/>
      <c r="B403" s="24"/>
      <c r="C403" s="24"/>
      <c r="D403" s="24"/>
    </row>
    <row r="404" spans="1:4" ht="12.5" x14ac:dyDescent="0.25">
      <c r="A404" s="24"/>
      <c r="B404" s="24"/>
      <c r="C404" s="24"/>
      <c r="D404" s="24"/>
    </row>
    <row r="405" spans="1:4" ht="12.5" x14ac:dyDescent="0.25">
      <c r="A405" s="24"/>
      <c r="B405" s="24"/>
      <c r="C405" s="24"/>
      <c r="D405" s="24"/>
    </row>
    <row r="406" spans="1:4" ht="12.5" x14ac:dyDescent="0.25">
      <c r="A406" s="24"/>
      <c r="B406" s="24"/>
      <c r="C406" s="24"/>
      <c r="D406" s="24"/>
    </row>
    <row r="407" spans="1:4" ht="12.5" x14ac:dyDescent="0.25">
      <c r="A407" s="24"/>
      <c r="B407" s="24"/>
      <c r="C407" s="24"/>
      <c r="D407" s="24"/>
    </row>
    <row r="408" spans="1:4" ht="12.5" x14ac:dyDescent="0.25">
      <c r="A408" s="24"/>
      <c r="B408" s="24"/>
      <c r="C408" s="24"/>
      <c r="D408" s="24"/>
    </row>
    <row r="409" spans="1:4" ht="12.5" x14ac:dyDescent="0.25">
      <c r="A409" s="24"/>
      <c r="B409" s="24"/>
      <c r="C409" s="24"/>
      <c r="D409" s="24"/>
    </row>
    <row r="410" spans="1:4" ht="12.5" x14ac:dyDescent="0.25">
      <c r="A410" s="24"/>
      <c r="B410" s="24"/>
      <c r="C410" s="24"/>
      <c r="D410" s="24"/>
    </row>
    <row r="411" spans="1:4" ht="12.5" x14ac:dyDescent="0.25">
      <c r="A411" s="24"/>
      <c r="B411" s="24"/>
      <c r="C411" s="24"/>
      <c r="D411" s="24"/>
    </row>
    <row r="412" spans="1:4" ht="12.5" x14ac:dyDescent="0.25">
      <c r="A412" s="24"/>
      <c r="B412" s="24"/>
      <c r="C412" s="24"/>
      <c r="D412" s="24"/>
    </row>
    <row r="413" spans="1:4" ht="12.5" x14ac:dyDescent="0.25">
      <c r="A413" s="24"/>
      <c r="B413" s="24"/>
      <c r="C413" s="24"/>
      <c r="D413" s="24"/>
    </row>
    <row r="414" spans="1:4" ht="12.5" x14ac:dyDescent="0.25">
      <c r="A414" s="24"/>
      <c r="B414" s="24"/>
      <c r="C414" s="24"/>
      <c r="D414" s="24"/>
    </row>
    <row r="415" spans="1:4" ht="12.5" x14ac:dyDescent="0.25">
      <c r="A415" s="24"/>
      <c r="B415" s="24"/>
      <c r="C415" s="24"/>
      <c r="D415" s="24"/>
    </row>
    <row r="416" spans="1:4" ht="12.5" x14ac:dyDescent="0.25">
      <c r="A416" s="24"/>
      <c r="B416" s="24"/>
      <c r="C416" s="24"/>
      <c r="D416" s="24"/>
    </row>
    <row r="417" spans="1:4" ht="12.5" x14ac:dyDescent="0.25">
      <c r="A417" s="24"/>
      <c r="B417" s="24"/>
      <c r="C417" s="24"/>
      <c r="D417" s="24"/>
    </row>
    <row r="418" spans="1:4" ht="12.5" x14ac:dyDescent="0.25">
      <c r="A418" s="24"/>
      <c r="B418" s="24"/>
      <c r="C418" s="24"/>
      <c r="D418" s="24"/>
    </row>
    <row r="419" spans="1:4" ht="12.5" x14ac:dyDescent="0.25">
      <c r="A419" s="24"/>
      <c r="B419" s="24"/>
      <c r="C419" s="24"/>
      <c r="D419" s="24"/>
    </row>
    <row r="420" spans="1:4" ht="12.5" x14ac:dyDescent="0.25">
      <c r="A420" s="24"/>
      <c r="B420" s="24"/>
      <c r="C420" s="24"/>
      <c r="D420" s="24"/>
    </row>
    <row r="421" spans="1:4" ht="12.5" x14ac:dyDescent="0.25">
      <c r="A421" s="24"/>
      <c r="B421" s="24"/>
      <c r="C421" s="24"/>
      <c r="D421" s="24"/>
    </row>
    <row r="422" spans="1:4" ht="12.5" x14ac:dyDescent="0.25">
      <c r="A422" s="24"/>
      <c r="B422" s="24"/>
      <c r="C422" s="24"/>
      <c r="D422" s="24"/>
    </row>
    <row r="423" spans="1:4" ht="12.5" x14ac:dyDescent="0.25">
      <c r="A423" s="24"/>
      <c r="B423" s="24"/>
      <c r="C423" s="24"/>
      <c r="D423" s="24"/>
    </row>
    <row r="424" spans="1:4" ht="12.5" x14ac:dyDescent="0.25">
      <c r="A424" s="24"/>
      <c r="B424" s="24"/>
      <c r="C424" s="24"/>
      <c r="D424" s="24"/>
    </row>
    <row r="425" spans="1:4" ht="12.5" x14ac:dyDescent="0.25">
      <c r="A425" s="24"/>
      <c r="B425" s="24"/>
      <c r="C425" s="24"/>
      <c r="D425" s="24"/>
    </row>
    <row r="426" spans="1:4" ht="12.5" x14ac:dyDescent="0.25">
      <c r="A426" s="24"/>
      <c r="B426" s="24"/>
      <c r="C426" s="24"/>
      <c r="D426" s="24"/>
    </row>
    <row r="427" spans="1:4" ht="12.5" x14ac:dyDescent="0.25">
      <c r="A427" s="24"/>
      <c r="B427" s="24"/>
      <c r="C427" s="24"/>
      <c r="D427" s="24"/>
    </row>
    <row r="428" spans="1:4" ht="12.5" x14ac:dyDescent="0.25">
      <c r="A428" s="24"/>
      <c r="B428" s="24"/>
      <c r="C428" s="24"/>
      <c r="D428" s="24"/>
    </row>
    <row r="429" spans="1:4" ht="12.5" x14ac:dyDescent="0.25">
      <c r="A429" s="24"/>
      <c r="B429" s="24"/>
      <c r="C429" s="24"/>
      <c r="D429" s="24"/>
    </row>
    <row r="430" spans="1:4" ht="12.5" x14ac:dyDescent="0.25">
      <c r="A430" s="24"/>
      <c r="B430" s="24"/>
      <c r="C430" s="24"/>
      <c r="D430" s="24"/>
    </row>
    <row r="431" spans="1:4" ht="12.5" x14ac:dyDescent="0.25">
      <c r="A431" s="24"/>
      <c r="B431" s="24"/>
      <c r="C431" s="24"/>
      <c r="D431" s="24"/>
    </row>
    <row r="432" spans="1:4" ht="12.5" x14ac:dyDescent="0.25">
      <c r="A432" s="24"/>
      <c r="B432" s="24"/>
      <c r="C432" s="24"/>
      <c r="D432" s="24"/>
    </row>
    <row r="433" spans="1:4" ht="12.5" x14ac:dyDescent="0.25">
      <c r="A433" s="24"/>
      <c r="B433" s="24"/>
      <c r="C433" s="24"/>
      <c r="D433" s="24"/>
    </row>
    <row r="434" spans="1:4" ht="12.5" x14ac:dyDescent="0.25">
      <c r="A434" s="24"/>
      <c r="B434" s="24"/>
      <c r="C434" s="24"/>
      <c r="D434" s="24"/>
    </row>
    <row r="435" spans="1:4" ht="12.5" x14ac:dyDescent="0.25">
      <c r="A435" s="24"/>
      <c r="B435" s="24"/>
      <c r="C435" s="24"/>
      <c r="D435" s="24"/>
    </row>
    <row r="436" spans="1:4" ht="12.5" x14ac:dyDescent="0.25">
      <c r="A436" s="24"/>
      <c r="B436" s="24"/>
      <c r="C436" s="24"/>
      <c r="D436" s="24"/>
    </row>
    <row r="437" spans="1:4" ht="12.5" x14ac:dyDescent="0.25">
      <c r="A437" s="24"/>
      <c r="B437" s="24"/>
      <c r="C437" s="24"/>
      <c r="D437" s="24"/>
    </row>
    <row r="438" spans="1:4" ht="12.5" x14ac:dyDescent="0.25">
      <c r="A438" s="24"/>
      <c r="B438" s="24"/>
      <c r="C438" s="24"/>
      <c r="D438" s="24"/>
    </row>
    <row r="439" spans="1:4" ht="12.5" x14ac:dyDescent="0.25">
      <c r="A439" s="24"/>
      <c r="B439" s="24"/>
      <c r="C439" s="24"/>
      <c r="D439" s="24"/>
    </row>
    <row r="440" spans="1:4" ht="12.5" x14ac:dyDescent="0.25">
      <c r="A440" s="24"/>
      <c r="B440" s="24"/>
      <c r="C440" s="24"/>
      <c r="D440" s="24"/>
    </row>
    <row r="441" spans="1:4" ht="12.5" x14ac:dyDescent="0.25">
      <c r="A441" s="24"/>
      <c r="B441" s="24"/>
      <c r="C441" s="24"/>
      <c r="D441" s="24"/>
    </row>
    <row r="442" spans="1:4" ht="12.5" x14ac:dyDescent="0.25">
      <c r="A442" s="24"/>
      <c r="B442" s="24"/>
      <c r="C442" s="24"/>
      <c r="D442" s="24"/>
    </row>
    <row r="443" spans="1:4" ht="12.5" x14ac:dyDescent="0.25">
      <c r="A443" s="24"/>
      <c r="B443" s="24"/>
      <c r="C443" s="24"/>
      <c r="D443" s="24"/>
    </row>
    <row r="444" spans="1:4" ht="12.5" x14ac:dyDescent="0.25">
      <c r="A444" s="24"/>
      <c r="B444" s="24"/>
      <c r="C444" s="24"/>
      <c r="D444" s="24"/>
    </row>
    <row r="445" spans="1:4" ht="12.5" x14ac:dyDescent="0.25">
      <c r="A445" s="24"/>
      <c r="B445" s="24"/>
      <c r="C445" s="24"/>
      <c r="D445" s="24"/>
    </row>
    <row r="446" spans="1:4" ht="12.5" x14ac:dyDescent="0.25">
      <c r="A446" s="24"/>
      <c r="B446" s="24"/>
      <c r="C446" s="24"/>
      <c r="D446" s="24"/>
    </row>
    <row r="447" spans="1:4" ht="12.5" x14ac:dyDescent="0.25">
      <c r="A447" s="24"/>
      <c r="B447" s="24"/>
      <c r="C447" s="24"/>
      <c r="D447" s="24"/>
    </row>
    <row r="448" spans="1:4" ht="12.5" x14ac:dyDescent="0.25">
      <c r="A448" s="24"/>
      <c r="B448" s="24"/>
      <c r="C448" s="24"/>
      <c r="D448" s="24"/>
    </row>
    <row r="449" spans="1:4" ht="12.5" x14ac:dyDescent="0.25">
      <c r="A449" s="24"/>
      <c r="B449" s="24"/>
      <c r="C449" s="24"/>
      <c r="D449" s="24"/>
    </row>
    <row r="450" spans="1:4" ht="12.5" x14ac:dyDescent="0.25">
      <c r="A450" s="24"/>
      <c r="B450" s="24"/>
      <c r="C450" s="24"/>
      <c r="D450" s="24"/>
    </row>
    <row r="451" spans="1:4" ht="12.5" x14ac:dyDescent="0.25">
      <c r="A451" s="24"/>
      <c r="B451" s="24"/>
      <c r="C451" s="24"/>
      <c r="D451" s="24"/>
    </row>
    <row r="452" spans="1:4" ht="12.5" x14ac:dyDescent="0.25">
      <c r="A452" s="24"/>
      <c r="B452" s="24"/>
      <c r="C452" s="24"/>
      <c r="D452" s="24"/>
    </row>
    <row r="453" spans="1:4" ht="12.5" x14ac:dyDescent="0.25">
      <c r="A453" s="24"/>
      <c r="B453" s="24"/>
      <c r="C453" s="24"/>
      <c r="D453" s="24"/>
    </row>
    <row r="454" spans="1:4" ht="12.5" x14ac:dyDescent="0.25">
      <c r="A454" s="24"/>
      <c r="B454" s="24"/>
      <c r="C454" s="24"/>
      <c r="D454" s="24"/>
    </row>
    <row r="455" spans="1:4" ht="12.5" x14ac:dyDescent="0.25">
      <c r="A455" s="24"/>
      <c r="B455" s="24"/>
      <c r="C455" s="24"/>
      <c r="D455" s="24"/>
    </row>
    <row r="456" spans="1:4" ht="12.5" x14ac:dyDescent="0.25">
      <c r="A456" s="24"/>
      <c r="B456" s="24"/>
      <c r="C456" s="24"/>
      <c r="D456" s="24"/>
    </row>
    <row r="457" spans="1:4" ht="12.5" x14ac:dyDescent="0.25">
      <c r="A457" s="24"/>
      <c r="B457" s="24"/>
      <c r="C457" s="24"/>
      <c r="D457" s="24"/>
    </row>
    <row r="458" spans="1:4" ht="12.5" x14ac:dyDescent="0.25">
      <c r="A458" s="24"/>
      <c r="B458" s="24"/>
      <c r="C458" s="24"/>
      <c r="D458" s="24"/>
    </row>
    <row r="459" spans="1:4" ht="12.5" x14ac:dyDescent="0.25">
      <c r="A459" s="24"/>
      <c r="B459" s="24"/>
      <c r="C459" s="24"/>
      <c r="D459" s="24"/>
    </row>
    <row r="460" spans="1:4" ht="12.5" x14ac:dyDescent="0.25">
      <c r="A460" s="24"/>
      <c r="B460" s="24"/>
      <c r="C460" s="24"/>
      <c r="D460" s="24"/>
    </row>
    <row r="461" spans="1:4" ht="12.5" x14ac:dyDescent="0.25">
      <c r="A461" s="24"/>
      <c r="B461" s="24"/>
      <c r="C461" s="24"/>
      <c r="D461" s="24"/>
    </row>
    <row r="462" spans="1:4" ht="12.5" x14ac:dyDescent="0.25">
      <c r="A462" s="24"/>
      <c r="B462" s="24"/>
      <c r="C462" s="24"/>
      <c r="D462" s="24"/>
    </row>
    <row r="463" spans="1:4" ht="12.5" x14ac:dyDescent="0.25">
      <c r="A463" s="24"/>
      <c r="B463" s="24"/>
      <c r="C463" s="24"/>
      <c r="D463" s="24"/>
    </row>
    <row r="464" spans="1:4" ht="12.5" x14ac:dyDescent="0.25">
      <c r="A464" s="24"/>
      <c r="B464" s="24"/>
      <c r="C464" s="24"/>
      <c r="D464" s="24"/>
    </row>
    <row r="465" spans="1:4" ht="12.5" x14ac:dyDescent="0.25">
      <c r="A465" s="24"/>
      <c r="B465" s="24"/>
      <c r="C465" s="24"/>
      <c r="D465" s="24"/>
    </row>
    <row r="466" spans="1:4" ht="12.5" x14ac:dyDescent="0.25">
      <c r="A466" s="24"/>
      <c r="B466" s="24"/>
      <c r="C466" s="24"/>
      <c r="D466" s="24"/>
    </row>
    <row r="467" spans="1:4" ht="12.5" x14ac:dyDescent="0.25">
      <c r="A467" s="24"/>
      <c r="B467" s="24"/>
      <c r="C467" s="24"/>
      <c r="D467" s="24"/>
    </row>
    <row r="468" spans="1:4" ht="12.5" x14ac:dyDescent="0.25">
      <c r="A468" s="24"/>
      <c r="B468" s="24"/>
      <c r="C468" s="24"/>
      <c r="D468" s="24"/>
    </row>
    <row r="469" spans="1:4" ht="12.5" x14ac:dyDescent="0.25">
      <c r="A469" s="24"/>
      <c r="B469" s="24"/>
      <c r="C469" s="24"/>
      <c r="D469" s="24"/>
    </row>
    <row r="470" spans="1:4" ht="12.5" x14ac:dyDescent="0.25">
      <c r="A470" s="24"/>
      <c r="B470" s="24"/>
      <c r="C470" s="24"/>
      <c r="D470" s="24"/>
    </row>
    <row r="471" spans="1:4" ht="12.5" x14ac:dyDescent="0.25">
      <c r="A471" s="24"/>
      <c r="B471" s="24"/>
      <c r="C471" s="24"/>
      <c r="D471" s="24"/>
    </row>
    <row r="472" spans="1:4" ht="12.5" x14ac:dyDescent="0.25">
      <c r="A472" s="24"/>
      <c r="B472" s="24"/>
      <c r="C472" s="24"/>
      <c r="D472" s="24"/>
    </row>
    <row r="473" spans="1:4" ht="12.5" x14ac:dyDescent="0.25">
      <c r="A473" s="24"/>
      <c r="B473" s="24"/>
      <c r="C473" s="24"/>
      <c r="D473" s="24"/>
    </row>
    <row r="474" spans="1:4" ht="12.5" x14ac:dyDescent="0.25">
      <c r="A474" s="24"/>
      <c r="B474" s="24"/>
      <c r="C474" s="24"/>
      <c r="D474" s="24"/>
    </row>
    <row r="475" spans="1:4" ht="12.5" x14ac:dyDescent="0.25">
      <c r="A475" s="24"/>
      <c r="B475" s="24"/>
      <c r="C475" s="24"/>
      <c r="D475" s="24"/>
    </row>
    <row r="476" spans="1:4" ht="12.5" x14ac:dyDescent="0.25">
      <c r="A476" s="24"/>
      <c r="B476" s="24"/>
      <c r="C476" s="24"/>
      <c r="D476" s="24"/>
    </row>
    <row r="477" spans="1:4" ht="12.5" x14ac:dyDescent="0.25">
      <c r="A477" s="24"/>
      <c r="B477" s="24"/>
      <c r="C477" s="24"/>
      <c r="D477" s="24"/>
    </row>
    <row r="478" spans="1:4" ht="12.5" x14ac:dyDescent="0.25">
      <c r="A478" s="24"/>
      <c r="B478" s="24"/>
      <c r="C478" s="24"/>
      <c r="D478" s="24"/>
    </row>
    <row r="479" spans="1:4" ht="12.5" x14ac:dyDescent="0.25">
      <c r="A479" s="24"/>
      <c r="B479" s="24"/>
      <c r="C479" s="24"/>
      <c r="D479" s="24"/>
    </row>
    <row r="480" spans="1:4" ht="12.5" x14ac:dyDescent="0.25">
      <c r="A480" s="24"/>
      <c r="B480" s="24"/>
      <c r="C480" s="24"/>
      <c r="D480" s="24"/>
    </row>
    <row r="481" spans="1:4" ht="12.5" x14ac:dyDescent="0.25">
      <c r="A481" s="24"/>
      <c r="B481" s="24"/>
      <c r="C481" s="24"/>
      <c r="D481" s="24"/>
    </row>
    <row r="482" spans="1:4" ht="12.5" x14ac:dyDescent="0.25">
      <c r="A482" s="24"/>
      <c r="B482" s="24"/>
      <c r="C482" s="24"/>
      <c r="D482" s="24"/>
    </row>
    <row r="483" spans="1:4" ht="12.5" x14ac:dyDescent="0.25">
      <c r="A483" s="24"/>
      <c r="B483" s="24"/>
      <c r="C483" s="24"/>
      <c r="D483" s="24"/>
    </row>
    <row r="484" spans="1:4" ht="12.5" x14ac:dyDescent="0.25">
      <c r="A484" s="24"/>
      <c r="B484" s="24"/>
      <c r="C484" s="24"/>
      <c r="D484" s="24"/>
    </row>
    <row r="485" spans="1:4" ht="12.5" x14ac:dyDescent="0.25">
      <c r="A485" s="24"/>
      <c r="B485" s="24"/>
      <c r="C485" s="24"/>
      <c r="D485" s="24"/>
    </row>
    <row r="486" spans="1:4" ht="12.5" x14ac:dyDescent="0.25">
      <c r="A486" s="24"/>
      <c r="B486" s="24"/>
      <c r="C486" s="24"/>
      <c r="D486" s="24"/>
    </row>
    <row r="487" spans="1:4" ht="12.5" x14ac:dyDescent="0.25">
      <c r="A487" s="24"/>
      <c r="B487" s="24"/>
      <c r="C487" s="24"/>
      <c r="D487" s="24"/>
    </row>
    <row r="488" spans="1:4" ht="12.5" x14ac:dyDescent="0.25">
      <c r="A488" s="24"/>
      <c r="B488" s="24"/>
      <c r="C488" s="24"/>
      <c r="D488" s="24"/>
    </row>
    <row r="489" spans="1:4" ht="12.5" x14ac:dyDescent="0.25">
      <c r="A489" s="24"/>
      <c r="B489" s="24"/>
      <c r="C489" s="24"/>
      <c r="D489" s="24"/>
    </row>
    <row r="490" spans="1:4" ht="12.5" x14ac:dyDescent="0.25">
      <c r="A490" s="24"/>
      <c r="B490" s="24"/>
      <c r="C490" s="24"/>
      <c r="D490" s="24"/>
    </row>
    <row r="491" spans="1:4" ht="12.5" x14ac:dyDescent="0.25">
      <c r="A491" s="24"/>
      <c r="B491" s="24"/>
      <c r="C491" s="24"/>
      <c r="D491" s="24"/>
    </row>
    <row r="492" spans="1:4" ht="12.5" x14ac:dyDescent="0.25">
      <c r="A492" s="24"/>
      <c r="B492" s="24"/>
      <c r="C492" s="24"/>
      <c r="D492" s="24"/>
    </row>
    <row r="493" spans="1:4" ht="12.5" x14ac:dyDescent="0.25">
      <c r="A493" s="24"/>
      <c r="B493" s="24"/>
      <c r="C493" s="24"/>
      <c r="D493" s="24"/>
    </row>
    <row r="494" spans="1:4" ht="12.5" x14ac:dyDescent="0.25">
      <c r="A494" s="24"/>
      <c r="B494" s="24"/>
      <c r="C494" s="24"/>
      <c r="D494" s="24"/>
    </row>
    <row r="495" spans="1:4" ht="12.5" x14ac:dyDescent="0.25">
      <c r="A495" s="24"/>
      <c r="B495" s="24"/>
      <c r="C495" s="24"/>
      <c r="D495" s="24"/>
    </row>
    <row r="496" spans="1:4" ht="12.5" x14ac:dyDescent="0.25">
      <c r="A496" s="24"/>
      <c r="B496" s="24"/>
      <c r="C496" s="24"/>
      <c r="D496" s="24"/>
    </row>
    <row r="497" spans="1:4" ht="12.5" x14ac:dyDescent="0.25">
      <c r="A497" s="24"/>
      <c r="B497" s="24"/>
      <c r="C497" s="24"/>
      <c r="D497" s="24"/>
    </row>
    <row r="498" spans="1:4" ht="12.5" x14ac:dyDescent="0.25">
      <c r="A498" s="24"/>
      <c r="B498" s="24"/>
      <c r="C498" s="24"/>
      <c r="D498" s="24"/>
    </row>
    <row r="499" spans="1:4" ht="12.5" x14ac:dyDescent="0.25">
      <c r="A499" s="24"/>
      <c r="B499" s="24"/>
      <c r="C499" s="24"/>
      <c r="D499" s="24"/>
    </row>
    <row r="500" spans="1:4" ht="12.5" x14ac:dyDescent="0.25">
      <c r="A500" s="24"/>
      <c r="B500" s="24"/>
      <c r="C500" s="24"/>
      <c r="D500" s="24"/>
    </row>
    <row r="501" spans="1:4" ht="12.5" x14ac:dyDescent="0.25">
      <c r="A501" s="24"/>
      <c r="B501" s="24"/>
      <c r="C501" s="24"/>
      <c r="D501" s="24"/>
    </row>
    <row r="502" spans="1:4" ht="12.5" x14ac:dyDescent="0.25">
      <c r="A502" s="24"/>
      <c r="B502" s="24"/>
      <c r="C502" s="24"/>
      <c r="D502" s="24"/>
    </row>
    <row r="503" spans="1:4" ht="12.5" x14ac:dyDescent="0.25">
      <c r="A503" s="24"/>
      <c r="B503" s="24"/>
      <c r="C503" s="24"/>
      <c r="D503" s="24"/>
    </row>
    <row r="504" spans="1:4" ht="12.5" x14ac:dyDescent="0.25">
      <c r="A504" s="24"/>
      <c r="B504" s="24"/>
      <c r="C504" s="24"/>
      <c r="D504" s="24"/>
    </row>
    <row r="505" spans="1:4" ht="12.5" x14ac:dyDescent="0.25">
      <c r="A505" s="24"/>
      <c r="B505" s="24"/>
      <c r="C505" s="24"/>
      <c r="D505" s="24"/>
    </row>
    <row r="506" spans="1:4" ht="12.5" x14ac:dyDescent="0.25">
      <c r="A506" s="24"/>
      <c r="B506" s="24"/>
      <c r="C506" s="24"/>
      <c r="D506" s="24"/>
    </row>
    <row r="507" spans="1:4" ht="12.5" x14ac:dyDescent="0.25">
      <c r="A507" s="24"/>
      <c r="B507" s="24"/>
      <c r="C507" s="24"/>
      <c r="D507" s="24"/>
    </row>
    <row r="508" spans="1:4" ht="12.5" x14ac:dyDescent="0.25">
      <c r="A508" s="24"/>
      <c r="B508" s="24"/>
      <c r="C508" s="24"/>
      <c r="D508" s="24"/>
    </row>
    <row r="509" spans="1:4" ht="12.5" x14ac:dyDescent="0.25">
      <c r="A509" s="24"/>
      <c r="B509" s="24"/>
      <c r="C509" s="24"/>
      <c r="D509" s="24"/>
    </row>
    <row r="510" spans="1:4" ht="12.5" x14ac:dyDescent="0.25">
      <c r="A510" s="24"/>
      <c r="B510" s="24"/>
      <c r="C510" s="24"/>
      <c r="D510" s="24"/>
    </row>
    <row r="511" spans="1:4" ht="12.5" x14ac:dyDescent="0.25">
      <c r="A511" s="24"/>
      <c r="B511" s="24"/>
      <c r="C511" s="24"/>
      <c r="D511" s="24"/>
    </row>
    <row r="512" spans="1:4" ht="12.5" x14ac:dyDescent="0.25">
      <c r="A512" s="24"/>
      <c r="B512" s="24"/>
      <c r="C512" s="24"/>
      <c r="D512" s="24"/>
    </row>
    <row r="513" spans="1:4" ht="12.5" x14ac:dyDescent="0.25">
      <c r="A513" s="24"/>
      <c r="B513" s="24"/>
      <c r="C513" s="24"/>
      <c r="D513" s="24"/>
    </row>
    <row r="514" spans="1:4" ht="12.5" x14ac:dyDescent="0.25">
      <c r="A514" s="24"/>
      <c r="B514" s="24"/>
      <c r="C514" s="24"/>
      <c r="D514" s="24"/>
    </row>
    <row r="515" spans="1:4" ht="12.5" x14ac:dyDescent="0.25">
      <c r="A515" s="24"/>
      <c r="B515" s="24"/>
      <c r="C515" s="24"/>
      <c r="D515" s="24"/>
    </row>
    <row r="516" spans="1:4" ht="12.5" x14ac:dyDescent="0.25">
      <c r="A516" s="24"/>
      <c r="B516" s="24"/>
      <c r="C516" s="24"/>
      <c r="D516" s="24"/>
    </row>
    <row r="517" spans="1:4" ht="12.5" x14ac:dyDescent="0.25">
      <c r="A517" s="24"/>
      <c r="B517" s="24"/>
      <c r="C517" s="24"/>
      <c r="D517" s="24"/>
    </row>
    <row r="518" spans="1:4" ht="12.5" x14ac:dyDescent="0.25">
      <c r="A518" s="24"/>
      <c r="B518" s="24"/>
      <c r="C518" s="24"/>
      <c r="D518" s="24"/>
    </row>
    <row r="519" spans="1:4" ht="12.5" x14ac:dyDescent="0.25">
      <c r="A519" s="24"/>
      <c r="B519" s="24"/>
      <c r="C519" s="24"/>
      <c r="D519" s="24"/>
    </row>
    <row r="520" spans="1:4" ht="12.5" x14ac:dyDescent="0.25">
      <c r="A520" s="24"/>
      <c r="B520" s="24"/>
      <c r="C520" s="24"/>
      <c r="D520" s="24"/>
    </row>
    <row r="521" spans="1:4" ht="12.5" x14ac:dyDescent="0.25">
      <c r="A521" s="24"/>
      <c r="B521" s="24"/>
      <c r="C521" s="24"/>
      <c r="D521" s="24"/>
    </row>
    <row r="522" spans="1:4" ht="12.5" x14ac:dyDescent="0.25">
      <c r="A522" s="24"/>
      <c r="B522" s="24"/>
      <c r="C522" s="24"/>
      <c r="D522" s="24"/>
    </row>
    <row r="523" spans="1:4" ht="12.5" x14ac:dyDescent="0.25">
      <c r="A523" s="24"/>
      <c r="B523" s="24"/>
      <c r="C523" s="24"/>
      <c r="D523" s="24"/>
    </row>
    <row r="524" spans="1:4" ht="12.5" x14ac:dyDescent="0.25">
      <c r="A524" s="24"/>
      <c r="B524" s="24"/>
      <c r="C524" s="24"/>
      <c r="D524" s="24"/>
    </row>
    <row r="525" spans="1:4" ht="12.5" x14ac:dyDescent="0.25">
      <c r="A525" s="24"/>
      <c r="B525" s="24"/>
      <c r="C525" s="24"/>
      <c r="D525" s="24"/>
    </row>
    <row r="526" spans="1:4" ht="12.5" x14ac:dyDescent="0.25">
      <c r="A526" s="24"/>
      <c r="B526" s="24"/>
      <c r="C526" s="24"/>
      <c r="D526" s="24"/>
    </row>
    <row r="527" spans="1:4" ht="12.5" x14ac:dyDescent="0.25">
      <c r="A527" s="24"/>
      <c r="B527" s="24"/>
      <c r="C527" s="24"/>
      <c r="D527" s="24"/>
    </row>
    <row r="528" spans="1:4" ht="12.5" x14ac:dyDescent="0.25">
      <c r="A528" s="24"/>
      <c r="B528" s="24"/>
      <c r="C528" s="24"/>
      <c r="D528" s="24"/>
    </row>
    <row r="529" spans="1:4" ht="12.5" x14ac:dyDescent="0.25">
      <c r="A529" s="24"/>
      <c r="B529" s="24"/>
      <c r="C529" s="24"/>
      <c r="D529" s="24"/>
    </row>
    <row r="530" spans="1:4" ht="12.5" x14ac:dyDescent="0.25">
      <c r="A530" s="24"/>
      <c r="B530" s="24"/>
      <c r="C530" s="24"/>
      <c r="D530" s="24"/>
    </row>
    <row r="531" spans="1:4" ht="12.5" x14ac:dyDescent="0.25">
      <c r="A531" s="24"/>
      <c r="B531" s="24"/>
      <c r="C531" s="24"/>
      <c r="D531" s="24"/>
    </row>
    <row r="532" spans="1:4" ht="12.5" x14ac:dyDescent="0.25">
      <c r="A532" s="24"/>
      <c r="B532" s="24"/>
      <c r="C532" s="24"/>
      <c r="D532" s="24"/>
    </row>
    <row r="533" spans="1:4" ht="12.5" x14ac:dyDescent="0.25">
      <c r="A533" s="24"/>
      <c r="B533" s="24"/>
      <c r="C533" s="24"/>
      <c r="D533" s="24"/>
    </row>
    <row r="534" spans="1:4" ht="12.5" x14ac:dyDescent="0.25">
      <c r="A534" s="24"/>
      <c r="B534" s="24"/>
      <c r="C534" s="24"/>
      <c r="D534" s="24"/>
    </row>
    <row r="535" spans="1:4" ht="12.5" x14ac:dyDescent="0.25">
      <c r="A535" s="24"/>
      <c r="B535" s="24"/>
      <c r="C535" s="24"/>
      <c r="D535" s="24"/>
    </row>
    <row r="536" spans="1:4" ht="12.5" x14ac:dyDescent="0.25">
      <c r="A536" s="24"/>
      <c r="B536" s="24"/>
      <c r="C536" s="24"/>
      <c r="D536" s="24"/>
    </row>
    <row r="537" spans="1:4" ht="12.5" x14ac:dyDescent="0.25">
      <c r="A537" s="24"/>
      <c r="B537" s="24"/>
      <c r="C537" s="24"/>
      <c r="D537" s="24"/>
    </row>
    <row r="538" spans="1:4" ht="12.5" x14ac:dyDescent="0.25">
      <c r="A538" s="24"/>
      <c r="B538" s="24"/>
      <c r="C538" s="24"/>
      <c r="D538" s="24"/>
    </row>
    <row r="539" spans="1:4" ht="12.5" x14ac:dyDescent="0.25">
      <c r="A539" s="24"/>
      <c r="B539" s="24"/>
      <c r="C539" s="24"/>
      <c r="D539" s="24"/>
    </row>
    <row r="540" spans="1:4" ht="12.5" x14ac:dyDescent="0.25">
      <c r="A540" s="24"/>
      <c r="B540" s="24"/>
      <c r="C540" s="24"/>
      <c r="D540" s="24"/>
    </row>
    <row r="541" spans="1:4" ht="12.5" x14ac:dyDescent="0.25">
      <c r="A541" s="24"/>
      <c r="B541" s="24"/>
      <c r="C541" s="24"/>
      <c r="D541" s="24"/>
    </row>
    <row r="542" spans="1:4" ht="12.5" x14ac:dyDescent="0.25">
      <c r="A542" s="24"/>
      <c r="B542" s="24"/>
      <c r="C542" s="24"/>
      <c r="D542" s="24"/>
    </row>
    <row r="543" spans="1:4" ht="12.5" x14ac:dyDescent="0.25">
      <c r="A543" s="24"/>
      <c r="B543" s="24"/>
      <c r="C543" s="24"/>
      <c r="D543" s="24"/>
    </row>
    <row r="544" spans="1:4" ht="12.5" x14ac:dyDescent="0.25">
      <c r="A544" s="24"/>
      <c r="B544" s="24"/>
      <c r="C544" s="24"/>
      <c r="D544" s="24"/>
    </row>
    <row r="545" spans="1:4" ht="12.5" x14ac:dyDescent="0.25">
      <c r="A545" s="24"/>
      <c r="B545" s="24"/>
      <c r="C545" s="24"/>
      <c r="D545" s="24"/>
    </row>
    <row r="546" spans="1:4" ht="12.5" x14ac:dyDescent="0.25">
      <c r="A546" s="24"/>
      <c r="B546" s="24"/>
      <c r="C546" s="24"/>
      <c r="D546" s="24"/>
    </row>
    <row r="547" spans="1:4" ht="12.5" x14ac:dyDescent="0.25">
      <c r="A547" s="24"/>
      <c r="B547" s="24"/>
      <c r="C547" s="24"/>
      <c r="D547" s="24"/>
    </row>
    <row r="548" spans="1:4" ht="12.5" x14ac:dyDescent="0.25">
      <c r="A548" s="24"/>
      <c r="B548" s="24"/>
      <c r="C548" s="24"/>
      <c r="D548" s="24"/>
    </row>
    <row r="549" spans="1:4" ht="12.5" x14ac:dyDescent="0.25">
      <c r="A549" s="24"/>
      <c r="B549" s="24"/>
      <c r="C549" s="24"/>
      <c r="D549" s="24"/>
    </row>
    <row r="550" spans="1:4" ht="12.5" x14ac:dyDescent="0.25">
      <c r="A550" s="24"/>
      <c r="B550" s="24"/>
      <c r="C550" s="24"/>
      <c r="D550" s="24"/>
    </row>
    <row r="551" spans="1:4" ht="12.5" x14ac:dyDescent="0.25">
      <c r="A551" s="24"/>
      <c r="B551" s="24"/>
      <c r="C551" s="24"/>
      <c r="D551" s="24"/>
    </row>
    <row r="552" spans="1:4" ht="12.5" x14ac:dyDescent="0.25">
      <c r="A552" s="24"/>
      <c r="B552" s="24"/>
      <c r="C552" s="24"/>
      <c r="D552" s="24"/>
    </row>
    <row r="553" spans="1:4" ht="12.5" x14ac:dyDescent="0.25">
      <c r="A553" s="24"/>
      <c r="B553" s="24"/>
      <c r="C553" s="24"/>
      <c r="D553" s="24"/>
    </row>
    <row r="554" spans="1:4" ht="12.5" x14ac:dyDescent="0.25">
      <c r="A554" s="24"/>
      <c r="B554" s="24"/>
      <c r="C554" s="24"/>
      <c r="D554" s="24"/>
    </row>
    <row r="555" spans="1:4" ht="12.5" x14ac:dyDescent="0.25">
      <c r="A555" s="24"/>
      <c r="B555" s="24"/>
      <c r="C555" s="24"/>
      <c r="D555" s="24"/>
    </row>
    <row r="556" spans="1:4" ht="12.5" x14ac:dyDescent="0.25">
      <c r="A556" s="24"/>
      <c r="B556" s="24"/>
      <c r="C556" s="24"/>
      <c r="D556" s="24"/>
    </row>
    <row r="557" spans="1:4" ht="12.5" x14ac:dyDescent="0.25">
      <c r="A557" s="24"/>
      <c r="B557" s="24"/>
      <c r="C557" s="24"/>
      <c r="D557" s="24"/>
    </row>
    <row r="558" spans="1:4" ht="12.5" x14ac:dyDescent="0.25">
      <c r="A558" s="24"/>
      <c r="B558" s="24"/>
      <c r="C558" s="24"/>
      <c r="D558" s="24"/>
    </row>
    <row r="559" spans="1:4" ht="12.5" x14ac:dyDescent="0.25">
      <c r="A559" s="24"/>
      <c r="B559" s="24"/>
      <c r="C559" s="24"/>
      <c r="D559" s="24"/>
    </row>
    <row r="560" spans="1:4" ht="12.5" x14ac:dyDescent="0.25">
      <c r="A560" s="24"/>
      <c r="B560" s="24"/>
      <c r="C560" s="24"/>
      <c r="D560" s="24"/>
    </row>
    <row r="561" spans="1:4" ht="12.5" x14ac:dyDescent="0.25">
      <c r="A561" s="24"/>
      <c r="B561" s="24"/>
      <c r="C561" s="24"/>
      <c r="D561" s="24"/>
    </row>
    <row r="562" spans="1:4" ht="12.5" x14ac:dyDescent="0.25">
      <c r="A562" s="24"/>
      <c r="B562" s="24"/>
      <c r="C562" s="24"/>
      <c r="D562" s="24"/>
    </row>
    <row r="563" spans="1:4" ht="12.5" x14ac:dyDescent="0.25">
      <c r="A563" s="24"/>
      <c r="B563" s="24"/>
      <c r="C563" s="24"/>
      <c r="D563" s="24"/>
    </row>
    <row r="564" spans="1:4" ht="12.5" x14ac:dyDescent="0.25">
      <c r="A564" s="24"/>
      <c r="B564" s="24"/>
      <c r="C564" s="24"/>
      <c r="D564" s="24"/>
    </row>
    <row r="565" spans="1:4" ht="12.5" x14ac:dyDescent="0.25">
      <c r="A565" s="24"/>
      <c r="B565" s="24"/>
      <c r="C565" s="24"/>
      <c r="D565" s="24"/>
    </row>
    <row r="566" spans="1:4" ht="12.5" x14ac:dyDescent="0.25">
      <c r="A566" s="24"/>
      <c r="B566" s="24"/>
      <c r="C566" s="24"/>
      <c r="D566" s="24"/>
    </row>
    <row r="567" spans="1:4" ht="12.5" x14ac:dyDescent="0.25">
      <c r="A567" s="24"/>
      <c r="B567" s="24"/>
      <c r="C567" s="24"/>
      <c r="D567" s="24"/>
    </row>
    <row r="568" spans="1:4" ht="12.5" x14ac:dyDescent="0.25">
      <c r="A568" s="24"/>
      <c r="B568" s="24"/>
      <c r="C568" s="24"/>
      <c r="D568" s="24"/>
    </row>
    <row r="569" spans="1:4" ht="12.5" x14ac:dyDescent="0.25">
      <c r="A569" s="24"/>
      <c r="B569" s="24"/>
      <c r="C569" s="24"/>
      <c r="D569" s="24"/>
    </row>
    <row r="570" spans="1:4" ht="12.5" x14ac:dyDescent="0.25">
      <c r="A570" s="24"/>
      <c r="B570" s="24"/>
      <c r="C570" s="24"/>
      <c r="D570" s="24"/>
    </row>
    <row r="571" spans="1:4" ht="12.5" x14ac:dyDescent="0.25">
      <c r="A571" s="24"/>
      <c r="B571" s="24"/>
      <c r="C571" s="24"/>
      <c r="D571" s="24"/>
    </row>
    <row r="572" spans="1:4" ht="12.5" x14ac:dyDescent="0.25">
      <c r="A572" s="24"/>
      <c r="B572" s="24"/>
      <c r="C572" s="24"/>
      <c r="D572" s="24"/>
    </row>
    <row r="573" spans="1:4" ht="12.5" x14ac:dyDescent="0.25">
      <c r="A573" s="24"/>
      <c r="B573" s="24"/>
      <c r="C573" s="24"/>
      <c r="D573" s="24"/>
    </row>
    <row r="574" spans="1:4" ht="12.5" x14ac:dyDescent="0.25">
      <c r="A574" s="24"/>
      <c r="B574" s="24"/>
      <c r="C574" s="24"/>
      <c r="D574" s="24"/>
    </row>
    <row r="575" spans="1:4" ht="12.5" x14ac:dyDescent="0.25">
      <c r="A575" s="24"/>
      <c r="B575" s="24"/>
      <c r="C575" s="24"/>
      <c r="D575" s="24"/>
    </row>
    <row r="576" spans="1:4" ht="12.5" x14ac:dyDescent="0.25">
      <c r="A576" s="24"/>
      <c r="B576" s="24"/>
      <c r="C576" s="24"/>
      <c r="D576" s="24"/>
    </row>
    <row r="577" spans="1:4" ht="12.5" x14ac:dyDescent="0.25">
      <c r="A577" s="24"/>
      <c r="B577" s="24"/>
      <c r="C577" s="24"/>
      <c r="D577" s="24"/>
    </row>
    <row r="578" spans="1:4" ht="12.5" x14ac:dyDescent="0.25">
      <c r="A578" s="24"/>
      <c r="B578" s="24"/>
      <c r="C578" s="24"/>
      <c r="D578" s="24"/>
    </row>
    <row r="579" spans="1:4" ht="12.5" x14ac:dyDescent="0.25">
      <c r="A579" s="24"/>
      <c r="B579" s="24"/>
      <c r="C579" s="24"/>
      <c r="D579" s="24"/>
    </row>
    <row r="580" spans="1:4" ht="12.5" x14ac:dyDescent="0.25">
      <c r="A580" s="24"/>
      <c r="B580" s="24"/>
      <c r="C580" s="24"/>
      <c r="D580" s="24"/>
    </row>
    <row r="581" spans="1:4" ht="12.5" x14ac:dyDescent="0.25">
      <c r="A581" s="24"/>
      <c r="B581" s="24"/>
      <c r="C581" s="24"/>
      <c r="D581" s="24"/>
    </row>
    <row r="582" spans="1:4" ht="12.5" x14ac:dyDescent="0.25">
      <c r="A582" s="24"/>
      <c r="B582" s="24"/>
      <c r="C582" s="24"/>
      <c r="D582" s="24"/>
    </row>
    <row r="583" spans="1:4" ht="12.5" x14ac:dyDescent="0.25">
      <c r="A583" s="24"/>
      <c r="B583" s="24"/>
      <c r="C583" s="24"/>
      <c r="D583" s="24"/>
    </row>
    <row r="584" spans="1:4" ht="12.5" x14ac:dyDescent="0.25">
      <c r="A584" s="24"/>
      <c r="B584" s="24"/>
      <c r="C584" s="24"/>
      <c r="D584" s="24"/>
    </row>
    <row r="585" spans="1:4" ht="12.5" x14ac:dyDescent="0.25">
      <c r="A585" s="24"/>
      <c r="B585" s="24"/>
      <c r="C585" s="24"/>
      <c r="D585" s="24"/>
    </row>
    <row r="586" spans="1:4" ht="12.5" x14ac:dyDescent="0.25">
      <c r="A586" s="24"/>
      <c r="B586" s="24"/>
      <c r="C586" s="24"/>
      <c r="D586" s="24"/>
    </row>
    <row r="587" spans="1:4" ht="12.5" x14ac:dyDescent="0.25">
      <c r="A587" s="24"/>
      <c r="B587" s="24"/>
      <c r="C587" s="24"/>
      <c r="D587" s="24"/>
    </row>
    <row r="588" spans="1:4" ht="12.5" x14ac:dyDescent="0.25">
      <c r="A588" s="24"/>
      <c r="B588" s="24"/>
      <c r="C588" s="24"/>
      <c r="D588" s="24"/>
    </row>
    <row r="589" spans="1:4" ht="12.5" x14ac:dyDescent="0.25">
      <c r="A589" s="24"/>
      <c r="B589" s="24"/>
      <c r="C589" s="24"/>
      <c r="D589" s="24"/>
    </row>
    <row r="590" spans="1:4" ht="12.5" x14ac:dyDescent="0.25">
      <c r="A590" s="24"/>
      <c r="B590" s="24"/>
      <c r="C590" s="24"/>
      <c r="D590" s="24"/>
    </row>
    <row r="591" spans="1:4" ht="12.5" x14ac:dyDescent="0.25">
      <c r="A591" s="24"/>
      <c r="B591" s="24"/>
      <c r="C591" s="24"/>
      <c r="D591" s="24"/>
    </row>
    <row r="592" spans="1:4" ht="12.5" x14ac:dyDescent="0.25">
      <c r="A592" s="24"/>
      <c r="B592" s="24"/>
      <c r="C592" s="24"/>
      <c r="D592" s="24"/>
    </row>
    <row r="593" spans="1:4" ht="12.5" x14ac:dyDescent="0.25">
      <c r="A593" s="24"/>
      <c r="B593" s="24"/>
      <c r="C593" s="24"/>
      <c r="D593" s="24"/>
    </row>
    <row r="594" spans="1:4" ht="12.5" x14ac:dyDescent="0.25">
      <c r="A594" s="24"/>
      <c r="B594" s="24"/>
      <c r="C594" s="24"/>
      <c r="D594" s="24"/>
    </row>
    <row r="595" spans="1:4" ht="12.5" x14ac:dyDescent="0.25">
      <c r="A595" s="24"/>
      <c r="B595" s="24"/>
      <c r="C595" s="24"/>
      <c r="D595" s="24"/>
    </row>
    <row r="596" spans="1:4" ht="12.5" x14ac:dyDescent="0.25">
      <c r="A596" s="24"/>
      <c r="B596" s="24"/>
      <c r="C596" s="24"/>
      <c r="D596" s="24"/>
    </row>
    <row r="597" spans="1:4" ht="12.5" x14ac:dyDescent="0.25">
      <c r="A597" s="24"/>
      <c r="B597" s="24"/>
      <c r="C597" s="24"/>
      <c r="D597" s="24"/>
    </row>
    <row r="598" spans="1:4" ht="12.5" x14ac:dyDescent="0.25">
      <c r="A598" s="24"/>
      <c r="B598" s="24"/>
      <c r="C598" s="24"/>
      <c r="D598" s="24"/>
    </row>
    <row r="599" spans="1:4" ht="12.5" x14ac:dyDescent="0.25">
      <c r="A599" s="24"/>
      <c r="B599" s="24"/>
      <c r="C599" s="24"/>
      <c r="D599" s="24"/>
    </row>
    <row r="600" spans="1:4" ht="12.5" x14ac:dyDescent="0.25">
      <c r="A600" s="24"/>
      <c r="B600" s="24"/>
      <c r="C600" s="24"/>
      <c r="D600" s="24"/>
    </row>
    <row r="601" spans="1:4" ht="12.5" x14ac:dyDescent="0.25">
      <c r="A601" s="24"/>
      <c r="B601" s="24"/>
      <c r="C601" s="24"/>
      <c r="D601" s="24"/>
    </row>
    <row r="602" spans="1:4" ht="12.5" x14ac:dyDescent="0.25">
      <c r="A602" s="24"/>
      <c r="B602" s="24"/>
      <c r="C602" s="24"/>
      <c r="D602" s="24"/>
    </row>
    <row r="603" spans="1:4" ht="12.5" x14ac:dyDescent="0.25">
      <c r="A603" s="24"/>
      <c r="B603" s="24"/>
      <c r="C603" s="24"/>
      <c r="D603" s="24"/>
    </row>
    <row r="604" spans="1:4" ht="12.5" x14ac:dyDescent="0.25">
      <c r="A604" s="24"/>
      <c r="B604" s="24"/>
      <c r="C604" s="24"/>
      <c r="D604" s="24"/>
    </row>
    <row r="605" spans="1:4" ht="12.5" x14ac:dyDescent="0.25">
      <c r="A605" s="24"/>
      <c r="B605" s="24"/>
      <c r="C605" s="24"/>
      <c r="D605" s="24"/>
    </row>
    <row r="606" spans="1:4" ht="12.5" x14ac:dyDescent="0.25">
      <c r="A606" s="24"/>
      <c r="B606" s="24"/>
      <c r="C606" s="24"/>
      <c r="D606" s="24"/>
    </row>
    <row r="607" spans="1:4" ht="12.5" x14ac:dyDescent="0.25">
      <c r="A607" s="24"/>
      <c r="B607" s="24"/>
      <c r="C607" s="24"/>
      <c r="D607" s="24"/>
    </row>
    <row r="608" spans="1:4" ht="12.5" x14ac:dyDescent="0.25">
      <c r="A608" s="24"/>
      <c r="B608" s="24"/>
      <c r="C608" s="24"/>
      <c r="D608" s="24"/>
    </row>
    <row r="609" spans="1:4" ht="12.5" x14ac:dyDescent="0.25">
      <c r="A609" s="24"/>
      <c r="B609" s="24"/>
      <c r="C609" s="24"/>
      <c r="D609" s="24"/>
    </row>
    <row r="610" spans="1:4" ht="12.5" x14ac:dyDescent="0.25">
      <c r="A610" s="24"/>
      <c r="B610" s="24"/>
      <c r="C610" s="24"/>
      <c r="D610" s="24"/>
    </row>
    <row r="611" spans="1:4" ht="12.5" x14ac:dyDescent="0.25">
      <c r="A611" s="24"/>
      <c r="B611" s="24"/>
      <c r="C611" s="24"/>
      <c r="D611" s="24"/>
    </row>
    <row r="612" spans="1:4" ht="12.5" x14ac:dyDescent="0.25">
      <c r="A612" s="24"/>
      <c r="B612" s="24"/>
      <c r="C612" s="24"/>
      <c r="D612" s="24"/>
    </row>
    <row r="613" spans="1:4" ht="12.5" x14ac:dyDescent="0.25">
      <c r="A613" s="24"/>
      <c r="B613" s="24"/>
      <c r="C613" s="24"/>
      <c r="D613" s="24"/>
    </row>
    <row r="614" spans="1:4" ht="12.5" x14ac:dyDescent="0.25">
      <c r="A614" s="24"/>
      <c r="B614" s="24"/>
      <c r="C614" s="24"/>
      <c r="D614" s="24"/>
    </row>
    <row r="615" spans="1:4" ht="12.5" x14ac:dyDescent="0.25">
      <c r="A615" s="24"/>
      <c r="B615" s="24"/>
      <c r="C615" s="24"/>
      <c r="D615" s="24"/>
    </row>
    <row r="616" spans="1:4" ht="12.5" x14ac:dyDescent="0.25">
      <c r="A616" s="24"/>
      <c r="B616" s="24"/>
      <c r="C616" s="24"/>
      <c r="D616" s="24"/>
    </row>
    <row r="617" spans="1:4" ht="12.5" x14ac:dyDescent="0.25">
      <c r="A617" s="24"/>
      <c r="B617" s="24"/>
      <c r="C617" s="24"/>
      <c r="D617" s="24"/>
    </row>
    <row r="618" spans="1:4" ht="12.5" x14ac:dyDescent="0.25">
      <c r="A618" s="24"/>
      <c r="B618" s="24"/>
      <c r="C618" s="24"/>
      <c r="D618" s="24"/>
    </row>
    <row r="619" spans="1:4" ht="12.5" x14ac:dyDescent="0.25">
      <c r="A619" s="24"/>
      <c r="B619" s="24"/>
      <c r="C619" s="24"/>
      <c r="D619" s="24"/>
    </row>
    <row r="620" spans="1:4" ht="12.5" x14ac:dyDescent="0.25">
      <c r="A620" s="24"/>
      <c r="B620" s="24"/>
      <c r="C620" s="24"/>
      <c r="D620" s="24"/>
    </row>
    <row r="621" spans="1:4" ht="12.5" x14ac:dyDescent="0.25">
      <c r="A621" s="24"/>
      <c r="B621" s="24"/>
      <c r="C621" s="24"/>
      <c r="D621" s="24"/>
    </row>
    <row r="622" spans="1:4" ht="12.5" x14ac:dyDescent="0.25">
      <c r="A622" s="24"/>
      <c r="B622" s="24"/>
      <c r="C622" s="24"/>
      <c r="D622" s="24"/>
    </row>
    <row r="623" spans="1:4" ht="12.5" x14ac:dyDescent="0.25">
      <c r="A623" s="24"/>
      <c r="B623" s="24"/>
      <c r="C623" s="24"/>
      <c r="D623" s="24"/>
    </row>
    <row r="624" spans="1:4" ht="12.5" x14ac:dyDescent="0.25">
      <c r="A624" s="24"/>
      <c r="B624" s="24"/>
      <c r="C624" s="24"/>
      <c r="D624" s="24"/>
    </row>
    <row r="625" spans="1:4" ht="12.5" x14ac:dyDescent="0.25">
      <c r="A625" s="24"/>
      <c r="B625" s="24"/>
      <c r="C625" s="24"/>
      <c r="D625" s="24"/>
    </row>
    <row r="626" spans="1:4" ht="12.5" x14ac:dyDescent="0.25">
      <c r="A626" s="24"/>
      <c r="B626" s="24"/>
      <c r="C626" s="24"/>
      <c r="D626" s="24"/>
    </row>
    <row r="627" spans="1:4" ht="12.5" x14ac:dyDescent="0.25">
      <c r="A627" s="24"/>
      <c r="B627" s="24"/>
      <c r="C627" s="24"/>
      <c r="D627" s="24"/>
    </row>
    <row r="628" spans="1:4" ht="12.5" x14ac:dyDescent="0.25">
      <c r="A628" s="24"/>
      <c r="B628" s="24"/>
      <c r="C628" s="24"/>
      <c r="D628" s="24"/>
    </row>
    <row r="629" spans="1:4" ht="12.5" x14ac:dyDescent="0.25">
      <c r="A629" s="24"/>
      <c r="B629" s="24"/>
      <c r="C629" s="24"/>
      <c r="D629" s="24"/>
    </row>
    <row r="630" spans="1:4" ht="12.5" x14ac:dyDescent="0.25">
      <c r="A630" s="24"/>
      <c r="B630" s="24"/>
      <c r="C630" s="24"/>
      <c r="D630" s="24"/>
    </row>
    <row r="631" spans="1:4" ht="12.5" x14ac:dyDescent="0.25">
      <c r="A631" s="24"/>
      <c r="B631" s="24"/>
      <c r="C631" s="24"/>
      <c r="D631" s="24"/>
    </row>
    <row r="632" spans="1:4" ht="12.5" x14ac:dyDescent="0.25">
      <c r="A632" s="24"/>
      <c r="B632" s="24"/>
      <c r="C632" s="24"/>
      <c r="D632" s="24"/>
    </row>
    <row r="633" spans="1:4" ht="12.5" x14ac:dyDescent="0.25">
      <c r="A633" s="24"/>
      <c r="B633" s="24"/>
      <c r="C633" s="24"/>
      <c r="D633" s="24"/>
    </row>
    <row r="634" spans="1:4" ht="12.5" x14ac:dyDescent="0.25">
      <c r="A634" s="24"/>
      <c r="B634" s="24"/>
      <c r="C634" s="24"/>
      <c r="D634" s="24"/>
    </row>
    <row r="635" spans="1:4" ht="12.5" x14ac:dyDescent="0.25">
      <c r="A635" s="24"/>
      <c r="B635" s="24"/>
      <c r="C635" s="24"/>
      <c r="D635" s="24"/>
    </row>
    <row r="636" spans="1:4" ht="12.5" x14ac:dyDescent="0.25">
      <c r="A636" s="24"/>
      <c r="B636" s="24"/>
      <c r="C636" s="24"/>
      <c r="D636" s="24"/>
    </row>
    <row r="637" spans="1:4" ht="12.5" x14ac:dyDescent="0.25">
      <c r="A637" s="24"/>
      <c r="B637" s="24"/>
      <c r="C637" s="24"/>
      <c r="D637" s="24"/>
    </row>
    <row r="638" spans="1:4" ht="12.5" x14ac:dyDescent="0.25">
      <c r="A638" s="24"/>
      <c r="B638" s="24"/>
      <c r="C638" s="24"/>
      <c r="D638" s="24"/>
    </row>
    <row r="639" spans="1:4" ht="12.5" x14ac:dyDescent="0.25">
      <c r="A639" s="24"/>
      <c r="B639" s="24"/>
      <c r="C639" s="24"/>
      <c r="D639" s="24"/>
    </row>
    <row r="640" spans="1:4" ht="12.5" x14ac:dyDescent="0.25">
      <c r="A640" s="24"/>
      <c r="B640" s="24"/>
      <c r="C640" s="24"/>
      <c r="D640" s="24"/>
    </row>
    <row r="641" spans="1:4" ht="12.5" x14ac:dyDescent="0.25">
      <c r="A641" s="24"/>
      <c r="B641" s="24"/>
      <c r="C641" s="24"/>
      <c r="D641" s="24"/>
    </row>
    <row r="642" spans="1:4" ht="12.5" x14ac:dyDescent="0.25">
      <c r="A642" s="24"/>
      <c r="B642" s="24"/>
      <c r="C642" s="24"/>
      <c r="D642" s="24"/>
    </row>
    <row r="643" spans="1:4" ht="12.5" x14ac:dyDescent="0.25">
      <c r="A643" s="24"/>
      <c r="B643" s="24"/>
      <c r="C643" s="24"/>
      <c r="D643" s="24"/>
    </row>
    <row r="644" spans="1:4" ht="12.5" x14ac:dyDescent="0.25">
      <c r="A644" s="24"/>
      <c r="B644" s="24"/>
      <c r="C644" s="24"/>
      <c r="D644" s="24"/>
    </row>
    <row r="645" spans="1:4" ht="12.5" x14ac:dyDescent="0.25">
      <c r="A645" s="24"/>
      <c r="B645" s="24"/>
      <c r="C645" s="24"/>
      <c r="D645" s="24"/>
    </row>
    <row r="646" spans="1:4" ht="12.5" x14ac:dyDescent="0.25">
      <c r="A646" s="24"/>
      <c r="B646" s="24"/>
      <c r="C646" s="24"/>
      <c r="D646" s="24"/>
    </row>
    <row r="647" spans="1:4" ht="12.5" x14ac:dyDescent="0.25">
      <c r="A647" s="24"/>
      <c r="B647" s="24"/>
      <c r="C647" s="24"/>
      <c r="D647" s="24"/>
    </row>
    <row r="648" spans="1:4" ht="12.5" x14ac:dyDescent="0.25">
      <c r="A648" s="24"/>
      <c r="B648" s="24"/>
      <c r="C648" s="24"/>
      <c r="D648" s="24"/>
    </row>
    <row r="649" spans="1:4" ht="12.5" x14ac:dyDescent="0.25">
      <c r="A649" s="24"/>
      <c r="B649" s="24"/>
      <c r="C649" s="24"/>
      <c r="D649" s="24"/>
    </row>
    <row r="650" spans="1:4" ht="12.5" x14ac:dyDescent="0.25">
      <c r="A650" s="24"/>
      <c r="B650" s="24"/>
      <c r="C650" s="24"/>
      <c r="D650" s="24"/>
    </row>
    <row r="651" spans="1:4" ht="12.5" x14ac:dyDescent="0.25">
      <c r="A651" s="24"/>
      <c r="B651" s="24"/>
      <c r="C651" s="24"/>
      <c r="D651" s="24"/>
    </row>
    <row r="652" spans="1:4" ht="12.5" x14ac:dyDescent="0.25">
      <c r="A652" s="24"/>
      <c r="B652" s="24"/>
      <c r="C652" s="24"/>
      <c r="D652" s="24"/>
    </row>
    <row r="653" spans="1:4" ht="12.5" x14ac:dyDescent="0.25">
      <c r="A653" s="24"/>
      <c r="B653" s="24"/>
      <c r="C653" s="24"/>
      <c r="D653" s="24"/>
    </row>
    <row r="654" spans="1:4" ht="12.5" x14ac:dyDescent="0.25">
      <c r="A654" s="24"/>
      <c r="B654" s="24"/>
      <c r="C654" s="24"/>
      <c r="D654" s="24"/>
    </row>
    <row r="655" spans="1:4" ht="12.5" x14ac:dyDescent="0.25">
      <c r="A655" s="24"/>
      <c r="B655" s="24"/>
      <c r="C655" s="24"/>
      <c r="D655" s="24"/>
    </row>
    <row r="656" spans="1:4" ht="12.5" x14ac:dyDescent="0.25">
      <c r="A656" s="24"/>
      <c r="B656" s="24"/>
      <c r="C656" s="24"/>
      <c r="D656" s="24"/>
    </row>
    <row r="657" spans="1:4" ht="12.5" x14ac:dyDescent="0.25">
      <c r="A657" s="24"/>
      <c r="B657" s="24"/>
      <c r="C657" s="24"/>
      <c r="D657" s="24"/>
    </row>
    <row r="658" spans="1:4" ht="12.5" x14ac:dyDescent="0.25">
      <c r="A658" s="24"/>
      <c r="B658" s="24"/>
      <c r="C658" s="24"/>
      <c r="D658" s="24"/>
    </row>
    <row r="659" spans="1:4" ht="12.5" x14ac:dyDescent="0.25">
      <c r="A659" s="24"/>
      <c r="B659" s="24"/>
      <c r="C659" s="24"/>
      <c r="D659" s="24"/>
    </row>
    <row r="660" spans="1:4" ht="12.5" x14ac:dyDescent="0.25">
      <c r="A660" s="24"/>
      <c r="B660" s="24"/>
      <c r="C660" s="24"/>
      <c r="D660" s="24"/>
    </row>
    <row r="661" spans="1:4" ht="12.5" x14ac:dyDescent="0.25">
      <c r="A661" s="24"/>
      <c r="B661" s="24"/>
      <c r="C661" s="24"/>
      <c r="D661" s="24"/>
    </row>
    <row r="662" spans="1:4" ht="12.5" x14ac:dyDescent="0.25">
      <c r="A662" s="24"/>
      <c r="B662" s="24"/>
      <c r="C662" s="24"/>
      <c r="D662" s="24"/>
    </row>
    <row r="663" spans="1:4" ht="12.5" x14ac:dyDescent="0.25">
      <c r="A663" s="24"/>
      <c r="B663" s="24"/>
      <c r="C663" s="24"/>
      <c r="D663" s="24"/>
    </row>
    <row r="664" spans="1:4" ht="12.5" x14ac:dyDescent="0.25">
      <c r="A664" s="24"/>
      <c r="B664" s="24"/>
      <c r="C664" s="24"/>
      <c r="D664" s="24"/>
    </row>
    <row r="665" spans="1:4" ht="12.5" x14ac:dyDescent="0.25">
      <c r="A665" s="24"/>
      <c r="B665" s="24"/>
      <c r="C665" s="24"/>
      <c r="D665" s="24"/>
    </row>
    <row r="666" spans="1:4" ht="12.5" x14ac:dyDescent="0.25">
      <c r="A666" s="24"/>
      <c r="B666" s="24"/>
      <c r="C666" s="24"/>
      <c r="D666" s="24"/>
    </row>
    <row r="667" spans="1:4" ht="12.5" x14ac:dyDescent="0.25">
      <c r="A667" s="24"/>
      <c r="B667" s="24"/>
      <c r="C667" s="24"/>
      <c r="D667" s="24"/>
    </row>
    <row r="668" spans="1:4" ht="12.5" x14ac:dyDescent="0.25">
      <c r="A668" s="24"/>
      <c r="B668" s="24"/>
      <c r="C668" s="24"/>
      <c r="D668" s="24"/>
    </row>
    <row r="669" spans="1:4" ht="12.5" x14ac:dyDescent="0.25">
      <c r="A669" s="24"/>
      <c r="B669" s="24"/>
      <c r="C669" s="24"/>
      <c r="D669" s="24"/>
    </row>
    <row r="670" spans="1:4" ht="12.5" x14ac:dyDescent="0.25">
      <c r="A670" s="24"/>
      <c r="B670" s="24"/>
      <c r="C670" s="24"/>
      <c r="D670" s="24"/>
    </row>
    <row r="671" spans="1:4" ht="12.5" x14ac:dyDescent="0.25">
      <c r="A671" s="24"/>
      <c r="B671" s="24"/>
      <c r="C671" s="24"/>
      <c r="D671" s="24"/>
    </row>
    <row r="672" spans="1:4" ht="12.5" x14ac:dyDescent="0.25">
      <c r="A672" s="24"/>
      <c r="B672" s="24"/>
      <c r="C672" s="24"/>
      <c r="D672" s="24"/>
    </row>
    <row r="673" spans="1:4" ht="12.5" x14ac:dyDescent="0.25">
      <c r="A673" s="24"/>
      <c r="B673" s="24"/>
      <c r="C673" s="24"/>
      <c r="D673" s="24"/>
    </row>
    <row r="674" spans="1:4" ht="12.5" x14ac:dyDescent="0.25">
      <c r="A674" s="24"/>
      <c r="B674" s="24"/>
      <c r="C674" s="24"/>
      <c r="D674" s="24"/>
    </row>
    <row r="675" spans="1:4" ht="12.5" x14ac:dyDescent="0.25">
      <c r="A675" s="24"/>
      <c r="B675" s="24"/>
      <c r="C675" s="24"/>
      <c r="D675" s="24"/>
    </row>
    <row r="676" spans="1:4" ht="12.5" x14ac:dyDescent="0.25">
      <c r="A676" s="24"/>
      <c r="B676" s="24"/>
      <c r="C676" s="24"/>
      <c r="D676" s="24"/>
    </row>
    <row r="677" spans="1:4" ht="12.5" x14ac:dyDescent="0.25">
      <c r="A677" s="24"/>
      <c r="B677" s="24"/>
      <c r="C677" s="24"/>
      <c r="D677" s="24"/>
    </row>
    <row r="678" spans="1:4" ht="12.5" x14ac:dyDescent="0.25">
      <c r="A678" s="24"/>
      <c r="B678" s="24"/>
      <c r="C678" s="24"/>
      <c r="D678" s="24"/>
    </row>
    <row r="679" spans="1:4" ht="12.5" x14ac:dyDescent="0.25">
      <c r="A679" s="24"/>
      <c r="B679" s="24"/>
      <c r="C679" s="24"/>
      <c r="D679" s="24"/>
    </row>
    <row r="680" spans="1:4" ht="12.5" x14ac:dyDescent="0.25">
      <c r="A680" s="24"/>
      <c r="B680" s="24"/>
      <c r="C680" s="24"/>
      <c r="D680" s="24"/>
    </row>
    <row r="681" spans="1:4" ht="12.5" x14ac:dyDescent="0.25">
      <c r="A681" s="24"/>
      <c r="B681" s="24"/>
      <c r="C681" s="24"/>
      <c r="D681" s="24"/>
    </row>
    <row r="682" spans="1:4" ht="12.5" x14ac:dyDescent="0.25">
      <c r="A682" s="24"/>
      <c r="B682" s="24"/>
      <c r="C682" s="24"/>
      <c r="D682" s="24"/>
    </row>
    <row r="683" spans="1:4" ht="12.5" x14ac:dyDescent="0.25">
      <c r="A683" s="24"/>
      <c r="B683" s="24"/>
      <c r="C683" s="24"/>
      <c r="D683" s="24"/>
    </row>
    <row r="684" spans="1:4" ht="12.5" x14ac:dyDescent="0.25">
      <c r="A684" s="24"/>
      <c r="B684" s="24"/>
      <c r="C684" s="24"/>
      <c r="D684" s="24"/>
    </row>
    <row r="685" spans="1:4" ht="12.5" x14ac:dyDescent="0.25">
      <c r="A685" s="24"/>
      <c r="B685" s="24"/>
      <c r="C685" s="24"/>
      <c r="D685" s="24"/>
    </row>
    <row r="686" spans="1:4" ht="12.5" x14ac:dyDescent="0.25">
      <c r="A686" s="24"/>
      <c r="B686" s="24"/>
      <c r="C686" s="24"/>
      <c r="D686" s="24"/>
    </row>
    <row r="687" spans="1:4" ht="12.5" x14ac:dyDescent="0.25">
      <c r="A687" s="24"/>
      <c r="B687" s="24"/>
      <c r="C687" s="24"/>
      <c r="D687" s="24"/>
    </row>
    <row r="688" spans="1:4" ht="12.5" x14ac:dyDescent="0.25">
      <c r="A688" s="24"/>
      <c r="B688" s="24"/>
      <c r="C688" s="24"/>
      <c r="D688" s="24"/>
    </row>
    <row r="689" spans="1:4" ht="12.5" x14ac:dyDescent="0.25">
      <c r="A689" s="24"/>
      <c r="B689" s="24"/>
      <c r="C689" s="24"/>
      <c r="D689" s="24"/>
    </row>
    <row r="690" spans="1:4" ht="12.5" x14ac:dyDescent="0.25">
      <c r="A690" s="24"/>
      <c r="B690" s="24"/>
      <c r="C690" s="24"/>
      <c r="D690" s="24"/>
    </row>
    <row r="691" spans="1:4" ht="12.5" x14ac:dyDescent="0.25">
      <c r="A691" s="24"/>
      <c r="B691" s="24"/>
      <c r="C691" s="24"/>
      <c r="D691" s="24"/>
    </row>
    <row r="692" spans="1:4" ht="12.5" x14ac:dyDescent="0.25">
      <c r="A692" s="24"/>
      <c r="B692" s="24"/>
      <c r="C692" s="24"/>
      <c r="D692" s="24"/>
    </row>
    <row r="693" spans="1:4" ht="12.5" x14ac:dyDescent="0.25">
      <c r="A693" s="24"/>
      <c r="B693" s="24"/>
      <c r="C693" s="24"/>
      <c r="D693" s="24"/>
    </row>
    <row r="694" spans="1:4" ht="12.5" x14ac:dyDescent="0.25">
      <c r="A694" s="24"/>
      <c r="B694" s="24"/>
      <c r="C694" s="24"/>
      <c r="D694" s="24"/>
    </row>
    <row r="695" spans="1:4" ht="12.5" x14ac:dyDescent="0.25">
      <c r="A695" s="24"/>
      <c r="B695" s="24"/>
      <c r="C695" s="24"/>
      <c r="D695" s="24"/>
    </row>
    <row r="696" spans="1:4" ht="12.5" x14ac:dyDescent="0.25">
      <c r="A696" s="24"/>
      <c r="B696" s="24"/>
      <c r="C696" s="24"/>
      <c r="D696" s="24"/>
    </row>
    <row r="697" spans="1:4" ht="12.5" x14ac:dyDescent="0.25">
      <c r="A697" s="24"/>
      <c r="B697" s="24"/>
      <c r="C697" s="24"/>
      <c r="D697" s="24"/>
    </row>
    <row r="698" spans="1:4" ht="12.5" x14ac:dyDescent="0.25">
      <c r="A698" s="24"/>
      <c r="B698" s="24"/>
      <c r="C698" s="24"/>
      <c r="D698" s="24"/>
    </row>
    <row r="699" spans="1:4" ht="12.5" x14ac:dyDescent="0.25">
      <c r="A699" s="24"/>
      <c r="B699" s="24"/>
      <c r="C699" s="24"/>
      <c r="D699" s="24"/>
    </row>
    <row r="700" spans="1:4" ht="12.5" x14ac:dyDescent="0.25">
      <c r="A700" s="24"/>
      <c r="B700" s="24"/>
      <c r="C700" s="24"/>
      <c r="D700" s="24"/>
    </row>
    <row r="701" spans="1:4" ht="12.5" x14ac:dyDescent="0.25">
      <c r="A701" s="24"/>
      <c r="B701" s="24"/>
      <c r="C701" s="24"/>
      <c r="D701" s="24"/>
    </row>
    <row r="702" spans="1:4" ht="12.5" x14ac:dyDescent="0.25">
      <c r="A702" s="24"/>
      <c r="B702" s="24"/>
      <c r="C702" s="24"/>
      <c r="D702" s="24"/>
    </row>
    <row r="703" spans="1:4" ht="12.5" x14ac:dyDescent="0.25">
      <c r="A703" s="24"/>
      <c r="B703" s="24"/>
      <c r="C703" s="24"/>
      <c r="D703"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965"/>
  <sheetViews>
    <sheetView workbookViewId="0"/>
  </sheetViews>
  <sheetFormatPr baseColWidth="10" defaultColWidth="12.6328125" defaultRowHeight="15.75" customHeight="1" x14ac:dyDescent="0.25"/>
  <cols>
    <col min="2" max="2" width="33" customWidth="1"/>
    <col min="11" max="11" width="15.453125" customWidth="1"/>
    <col min="12" max="12" width="44.6328125" customWidth="1"/>
  </cols>
  <sheetData>
    <row r="1" spans="1:12" ht="15.75" customHeight="1" x14ac:dyDescent="0.25">
      <c r="A1" s="25" t="s">
        <v>181</v>
      </c>
      <c r="B1" s="26" t="s">
        <v>182</v>
      </c>
      <c r="C1" s="26" t="s">
        <v>183</v>
      </c>
      <c r="D1" s="26" t="s">
        <v>184</v>
      </c>
      <c r="E1" s="26" t="s">
        <v>183</v>
      </c>
      <c r="F1" s="26" t="s">
        <v>184</v>
      </c>
      <c r="G1" s="26" t="s">
        <v>183</v>
      </c>
      <c r="H1" s="26" t="s">
        <v>184</v>
      </c>
      <c r="I1" s="26" t="s">
        <v>185</v>
      </c>
      <c r="J1" s="26" t="s">
        <v>186</v>
      </c>
      <c r="K1" s="26" t="s">
        <v>187</v>
      </c>
      <c r="L1" s="27" t="s">
        <v>188</v>
      </c>
    </row>
    <row r="2" spans="1:12" x14ac:dyDescent="0.3">
      <c r="A2" s="28" t="s">
        <v>189</v>
      </c>
      <c r="B2" s="29" t="s">
        <v>441</v>
      </c>
      <c r="C2" s="28"/>
      <c r="D2" s="28"/>
      <c r="E2" s="28"/>
      <c r="F2" s="28"/>
      <c r="G2" s="28"/>
      <c r="H2" s="28"/>
      <c r="I2" s="28"/>
      <c r="J2" s="30">
        <v>1</v>
      </c>
      <c r="K2" s="30" t="str">
        <f t="shared" ref="K2:K121" si="0">IF(AND(I2&lt;&gt;"",J2&lt;&gt;""),"PADD 2023 Y 2024",IF(I2&lt;&gt;"","SOLO 2023",IF(J2&lt;&gt;"","SOLO 2024","NO PARTICIPÓ")))</f>
        <v>SOLO 2024</v>
      </c>
      <c r="L2" s="31" t="s">
        <v>190</v>
      </c>
    </row>
    <row r="3" spans="1:12" x14ac:dyDescent="0.3">
      <c r="A3" s="28" t="s">
        <v>189</v>
      </c>
      <c r="B3" s="29" t="s">
        <v>443</v>
      </c>
      <c r="C3" s="28"/>
      <c r="D3" s="30">
        <v>1</v>
      </c>
      <c r="E3" s="28"/>
      <c r="F3" s="30">
        <v>1</v>
      </c>
      <c r="G3" s="28"/>
      <c r="H3" s="28"/>
      <c r="I3" s="30">
        <v>1</v>
      </c>
      <c r="J3" s="30">
        <v>1</v>
      </c>
      <c r="K3" s="30" t="str">
        <f t="shared" si="0"/>
        <v>PADD 2023 Y 2024</v>
      </c>
      <c r="L3" s="31" t="s">
        <v>191</v>
      </c>
    </row>
    <row r="4" spans="1:12" x14ac:dyDescent="0.3">
      <c r="A4" s="28" t="s">
        <v>189</v>
      </c>
      <c r="B4" s="29" t="s">
        <v>444</v>
      </c>
      <c r="C4" s="30">
        <v>1</v>
      </c>
      <c r="D4" s="30">
        <v>1</v>
      </c>
      <c r="E4" s="30">
        <v>1</v>
      </c>
      <c r="F4" s="30">
        <v>1</v>
      </c>
      <c r="G4" s="28"/>
      <c r="H4" s="28"/>
      <c r="I4" s="30">
        <v>1</v>
      </c>
      <c r="J4" s="30">
        <v>1</v>
      </c>
      <c r="K4" s="30" t="str">
        <f t="shared" si="0"/>
        <v>PADD 2023 Y 2024</v>
      </c>
      <c r="L4" s="31" t="s">
        <v>192</v>
      </c>
    </row>
    <row r="5" spans="1:12" x14ac:dyDescent="0.3">
      <c r="A5" s="28" t="s">
        <v>189</v>
      </c>
      <c r="B5" s="29" t="s">
        <v>399</v>
      </c>
      <c r="C5" s="30">
        <v>1</v>
      </c>
      <c r="D5" s="30">
        <v>1</v>
      </c>
      <c r="E5" s="30">
        <v>1</v>
      </c>
      <c r="F5" s="30">
        <v>1</v>
      </c>
      <c r="G5" s="28"/>
      <c r="H5" s="28"/>
      <c r="I5" s="30">
        <v>1</v>
      </c>
      <c r="J5" s="30">
        <v>1</v>
      </c>
      <c r="K5" s="30" t="str">
        <f t="shared" si="0"/>
        <v>PADD 2023 Y 2024</v>
      </c>
      <c r="L5" s="31" t="s">
        <v>193</v>
      </c>
    </row>
    <row r="6" spans="1:12" x14ac:dyDescent="0.3">
      <c r="A6" s="28" t="s">
        <v>189</v>
      </c>
      <c r="B6" s="29" t="s">
        <v>445</v>
      </c>
      <c r="C6" s="32"/>
      <c r="D6" s="28"/>
      <c r="E6" s="28"/>
      <c r="F6" s="28"/>
      <c r="G6" s="28"/>
      <c r="H6" s="28"/>
      <c r="I6" s="28"/>
      <c r="J6" s="30">
        <v>1</v>
      </c>
      <c r="K6" s="30" t="str">
        <f t="shared" si="0"/>
        <v>SOLO 2024</v>
      </c>
      <c r="L6" s="31" t="s">
        <v>194</v>
      </c>
    </row>
    <row r="7" spans="1:12" x14ac:dyDescent="0.3">
      <c r="A7" s="28" t="s">
        <v>189</v>
      </c>
      <c r="B7" s="29" t="s">
        <v>421</v>
      </c>
      <c r="C7" s="33">
        <v>1</v>
      </c>
      <c r="D7" s="28"/>
      <c r="E7" s="30">
        <v>1</v>
      </c>
      <c r="F7" s="28"/>
      <c r="G7" s="28"/>
      <c r="H7" s="28"/>
      <c r="I7" s="28"/>
      <c r="J7" s="30">
        <v>1</v>
      </c>
      <c r="K7" s="30" t="str">
        <f t="shared" si="0"/>
        <v>SOLO 2024</v>
      </c>
      <c r="L7" s="31" t="s">
        <v>195</v>
      </c>
    </row>
    <row r="8" spans="1:12" x14ac:dyDescent="0.3">
      <c r="A8" s="28" t="s">
        <v>189</v>
      </c>
      <c r="B8" s="29" t="s">
        <v>447</v>
      </c>
      <c r="C8" s="33">
        <v>1</v>
      </c>
      <c r="D8" s="28"/>
      <c r="E8" s="30">
        <v>1</v>
      </c>
      <c r="F8" s="28"/>
      <c r="G8" s="28"/>
      <c r="H8" s="28"/>
      <c r="I8" s="28"/>
      <c r="J8" s="30">
        <v>1</v>
      </c>
      <c r="K8" s="30" t="str">
        <f t="shared" si="0"/>
        <v>SOLO 2024</v>
      </c>
      <c r="L8" s="31" t="s">
        <v>196</v>
      </c>
    </row>
    <row r="9" spans="1:12" x14ac:dyDescent="0.3">
      <c r="A9" s="28" t="s">
        <v>189</v>
      </c>
      <c r="B9" s="29" t="s">
        <v>436</v>
      </c>
      <c r="C9" s="33">
        <v>1</v>
      </c>
      <c r="D9" s="28"/>
      <c r="E9" s="30">
        <v>1</v>
      </c>
      <c r="F9" s="28"/>
      <c r="G9" s="28"/>
      <c r="H9" s="28"/>
      <c r="I9" s="28"/>
      <c r="J9" s="30">
        <v>1</v>
      </c>
      <c r="K9" s="30" t="str">
        <f t="shared" si="0"/>
        <v>SOLO 2024</v>
      </c>
      <c r="L9" s="31" t="s">
        <v>197</v>
      </c>
    </row>
    <row r="10" spans="1:12" x14ac:dyDescent="0.3">
      <c r="A10" s="28" t="s">
        <v>189</v>
      </c>
      <c r="B10" s="29" t="s">
        <v>455</v>
      </c>
      <c r="C10" s="32"/>
      <c r="D10" s="30">
        <v>1</v>
      </c>
      <c r="E10" s="28"/>
      <c r="F10" s="30">
        <v>1</v>
      </c>
      <c r="G10" s="28"/>
      <c r="H10" s="28"/>
      <c r="I10" s="30">
        <v>1</v>
      </c>
      <c r="J10" s="28"/>
      <c r="K10" s="30" t="str">
        <f t="shared" si="0"/>
        <v>SOLO 2023</v>
      </c>
      <c r="L10" s="31" t="s">
        <v>198</v>
      </c>
    </row>
    <row r="11" spans="1:12" x14ac:dyDescent="0.3">
      <c r="A11" s="28" t="s">
        <v>189</v>
      </c>
      <c r="B11" s="29" t="s">
        <v>431</v>
      </c>
      <c r="C11" s="32"/>
      <c r="D11" s="30">
        <v>1</v>
      </c>
      <c r="E11" s="28"/>
      <c r="F11" s="30">
        <v>1</v>
      </c>
      <c r="G11" s="28"/>
      <c r="H11" s="28"/>
      <c r="I11" s="30">
        <v>1</v>
      </c>
      <c r="J11" s="28"/>
      <c r="K11" s="30" t="str">
        <f t="shared" si="0"/>
        <v>SOLO 2023</v>
      </c>
      <c r="L11" s="31" t="s">
        <v>199</v>
      </c>
    </row>
    <row r="12" spans="1:12" x14ac:dyDescent="0.3">
      <c r="A12" s="28" t="s">
        <v>189</v>
      </c>
      <c r="B12" s="29" t="s">
        <v>434</v>
      </c>
      <c r="C12" s="32"/>
      <c r="D12" s="30">
        <v>1</v>
      </c>
      <c r="E12" s="28"/>
      <c r="F12" s="30">
        <v>1</v>
      </c>
      <c r="G12" s="28"/>
      <c r="H12" s="28"/>
      <c r="I12" s="30">
        <v>1</v>
      </c>
      <c r="J12" s="28"/>
      <c r="K12" s="30" t="str">
        <f t="shared" si="0"/>
        <v>SOLO 2023</v>
      </c>
      <c r="L12" s="31" t="s">
        <v>200</v>
      </c>
    </row>
    <row r="13" spans="1:12" x14ac:dyDescent="0.3">
      <c r="A13" s="28" t="s">
        <v>189</v>
      </c>
      <c r="B13" s="29" t="s">
        <v>374</v>
      </c>
      <c r="C13" s="32"/>
      <c r="D13" s="30">
        <v>1</v>
      </c>
      <c r="E13" s="28"/>
      <c r="F13" s="30">
        <v>1</v>
      </c>
      <c r="G13" s="28"/>
      <c r="H13" s="28"/>
      <c r="I13" s="30">
        <v>1</v>
      </c>
      <c r="J13" s="28"/>
      <c r="K13" s="30" t="str">
        <f t="shared" si="0"/>
        <v>SOLO 2023</v>
      </c>
      <c r="L13" s="31" t="s">
        <v>201</v>
      </c>
    </row>
    <row r="14" spans="1:12" x14ac:dyDescent="0.3">
      <c r="A14" s="28" t="s">
        <v>189</v>
      </c>
      <c r="B14" s="29" t="s">
        <v>452</v>
      </c>
      <c r="C14" s="34">
        <v>1</v>
      </c>
      <c r="D14" s="28"/>
      <c r="E14" s="34">
        <v>1</v>
      </c>
      <c r="F14" s="28"/>
      <c r="G14" s="28"/>
      <c r="H14" s="28"/>
      <c r="I14" s="28"/>
      <c r="J14" s="28"/>
      <c r="K14" s="30" t="str">
        <f t="shared" si="0"/>
        <v>NO PARTICIPÓ</v>
      </c>
      <c r="L14" s="35" t="s">
        <v>202</v>
      </c>
    </row>
    <row r="15" spans="1:12" x14ac:dyDescent="0.3">
      <c r="A15" s="28" t="s">
        <v>189</v>
      </c>
      <c r="B15" s="29" t="s">
        <v>388</v>
      </c>
      <c r="C15" s="32"/>
      <c r="D15" s="30">
        <v>1</v>
      </c>
      <c r="E15" s="28"/>
      <c r="F15" s="30">
        <v>1</v>
      </c>
      <c r="G15" s="28"/>
      <c r="H15" s="28"/>
      <c r="I15" s="30">
        <v>1</v>
      </c>
      <c r="J15" s="28"/>
      <c r="K15" s="30" t="str">
        <f t="shared" si="0"/>
        <v>SOLO 2023</v>
      </c>
      <c r="L15" s="31" t="s">
        <v>203</v>
      </c>
    </row>
    <row r="16" spans="1:12" x14ac:dyDescent="0.3">
      <c r="A16" s="28" t="s">
        <v>189</v>
      </c>
      <c r="B16" s="29" t="s">
        <v>410</v>
      </c>
      <c r="C16" s="32"/>
      <c r="D16" s="30">
        <v>1</v>
      </c>
      <c r="E16" s="28"/>
      <c r="F16" s="30">
        <v>1</v>
      </c>
      <c r="G16" s="28"/>
      <c r="H16" s="28"/>
      <c r="I16" s="30">
        <v>1</v>
      </c>
      <c r="J16" s="28"/>
      <c r="K16" s="30" t="str">
        <f t="shared" si="0"/>
        <v>SOLO 2023</v>
      </c>
      <c r="L16" s="31" t="s">
        <v>204</v>
      </c>
    </row>
    <row r="17" spans="1:12" x14ac:dyDescent="0.3">
      <c r="A17" s="28" t="s">
        <v>189</v>
      </c>
      <c r="B17" s="29" t="s">
        <v>458</v>
      </c>
      <c r="C17" s="36">
        <v>1</v>
      </c>
      <c r="D17" s="28"/>
      <c r="E17" s="34">
        <v>1</v>
      </c>
      <c r="F17" s="28"/>
      <c r="G17" s="28"/>
      <c r="H17" s="28"/>
      <c r="I17" s="28"/>
      <c r="J17" s="28"/>
      <c r="K17" s="30" t="str">
        <f t="shared" si="0"/>
        <v>NO PARTICIPÓ</v>
      </c>
      <c r="L17" s="35" t="s">
        <v>205</v>
      </c>
    </row>
    <row r="18" spans="1:12" x14ac:dyDescent="0.3">
      <c r="A18" s="28" t="s">
        <v>189</v>
      </c>
      <c r="B18" s="29" t="s">
        <v>438</v>
      </c>
      <c r="C18" s="32"/>
      <c r="D18" s="30">
        <v>1</v>
      </c>
      <c r="E18" s="28"/>
      <c r="F18" s="30">
        <v>1</v>
      </c>
      <c r="G18" s="28"/>
      <c r="H18" s="28"/>
      <c r="I18" s="30">
        <v>1</v>
      </c>
      <c r="J18" s="28"/>
      <c r="K18" s="30" t="str">
        <f t="shared" si="0"/>
        <v>SOLO 2023</v>
      </c>
      <c r="L18" s="31" t="s">
        <v>206</v>
      </c>
    </row>
    <row r="19" spans="1:12" x14ac:dyDescent="0.3">
      <c r="A19" s="28" t="s">
        <v>189</v>
      </c>
      <c r="B19" s="29" t="s">
        <v>173</v>
      </c>
      <c r="C19" s="33">
        <v>1</v>
      </c>
      <c r="D19" s="30">
        <v>1</v>
      </c>
      <c r="E19" s="30">
        <v>1</v>
      </c>
      <c r="F19" s="30">
        <v>1</v>
      </c>
      <c r="G19" s="28"/>
      <c r="H19" s="28"/>
      <c r="I19" s="30">
        <v>1</v>
      </c>
      <c r="J19" s="30">
        <v>1</v>
      </c>
      <c r="K19" s="30" t="str">
        <f t="shared" si="0"/>
        <v>PADD 2023 Y 2024</v>
      </c>
      <c r="L19" s="31" t="s">
        <v>207</v>
      </c>
    </row>
    <row r="20" spans="1:12" x14ac:dyDescent="0.3">
      <c r="A20" s="28" t="s">
        <v>189</v>
      </c>
      <c r="B20" s="29" t="s">
        <v>208</v>
      </c>
      <c r="C20" s="36">
        <v>1</v>
      </c>
      <c r="D20" s="28"/>
      <c r="E20" s="34">
        <v>1</v>
      </c>
      <c r="F20" s="28"/>
      <c r="G20" s="28"/>
      <c r="H20" s="28"/>
      <c r="I20" s="28"/>
      <c r="J20" s="28"/>
      <c r="K20" s="30" t="str">
        <f t="shared" si="0"/>
        <v>NO PARTICIPÓ</v>
      </c>
      <c r="L20" s="35" t="s">
        <v>208</v>
      </c>
    </row>
    <row r="21" spans="1:12" x14ac:dyDescent="0.3">
      <c r="A21" s="28" t="s">
        <v>209</v>
      </c>
      <c r="B21" s="29" t="s">
        <v>2015</v>
      </c>
      <c r="C21" s="30">
        <v>1</v>
      </c>
      <c r="D21" s="30">
        <v>1</v>
      </c>
      <c r="E21" s="30">
        <v>1</v>
      </c>
      <c r="F21" s="30">
        <v>1</v>
      </c>
      <c r="G21" s="30">
        <v>1</v>
      </c>
      <c r="H21" s="30">
        <v>1</v>
      </c>
      <c r="I21" s="30">
        <v>1</v>
      </c>
      <c r="J21" s="30">
        <v>1</v>
      </c>
      <c r="K21" s="30" t="str">
        <f t="shared" si="0"/>
        <v>PADD 2023 Y 2024</v>
      </c>
      <c r="L21" s="31" t="s">
        <v>139</v>
      </c>
    </row>
    <row r="22" spans="1:12" x14ac:dyDescent="0.3">
      <c r="A22" s="28" t="s">
        <v>209</v>
      </c>
      <c r="B22" s="29" t="s">
        <v>94</v>
      </c>
      <c r="C22" s="30">
        <v>1</v>
      </c>
      <c r="D22" s="30">
        <v>1</v>
      </c>
      <c r="E22" s="30">
        <v>1</v>
      </c>
      <c r="F22" s="30">
        <v>1</v>
      </c>
      <c r="G22" s="30">
        <v>1</v>
      </c>
      <c r="H22" s="30">
        <v>1</v>
      </c>
      <c r="I22" s="30">
        <v>1</v>
      </c>
      <c r="J22" s="30">
        <v>1</v>
      </c>
      <c r="K22" s="30" t="str">
        <f t="shared" si="0"/>
        <v>PADD 2023 Y 2024</v>
      </c>
      <c r="L22" s="31" t="s">
        <v>94</v>
      </c>
    </row>
    <row r="23" spans="1:12" x14ac:dyDescent="0.3">
      <c r="A23" s="28" t="s">
        <v>209</v>
      </c>
      <c r="B23" s="29" t="s">
        <v>138</v>
      </c>
      <c r="C23" s="28"/>
      <c r="D23" s="30">
        <v>1</v>
      </c>
      <c r="E23" s="28"/>
      <c r="F23" s="30">
        <v>1</v>
      </c>
      <c r="G23" s="28"/>
      <c r="H23" s="30">
        <v>1</v>
      </c>
      <c r="I23" s="30">
        <v>1</v>
      </c>
      <c r="J23" s="30">
        <v>1</v>
      </c>
      <c r="K23" s="30" t="str">
        <f t="shared" si="0"/>
        <v>PADD 2023 Y 2024</v>
      </c>
      <c r="L23" s="31" t="s">
        <v>138</v>
      </c>
    </row>
    <row r="24" spans="1:12" ht="13" x14ac:dyDescent="0.3">
      <c r="A24" s="28" t="s">
        <v>209</v>
      </c>
      <c r="B24" s="29" t="s">
        <v>140</v>
      </c>
      <c r="C24" s="28"/>
      <c r="D24" s="30">
        <v>1</v>
      </c>
      <c r="E24" s="28"/>
      <c r="F24" s="30">
        <v>1</v>
      </c>
      <c r="G24" s="28"/>
      <c r="H24" s="30">
        <v>1</v>
      </c>
      <c r="I24" s="30">
        <v>1</v>
      </c>
      <c r="J24" s="28"/>
      <c r="K24" s="30" t="str">
        <f t="shared" si="0"/>
        <v>SOLO 2023</v>
      </c>
      <c r="L24" s="31" t="s">
        <v>140</v>
      </c>
    </row>
    <row r="25" spans="1:12" ht="13" x14ac:dyDescent="0.3">
      <c r="A25" s="28" t="s">
        <v>209</v>
      </c>
      <c r="B25" s="29" t="s">
        <v>91</v>
      </c>
      <c r="C25" s="30">
        <v>1</v>
      </c>
      <c r="D25" s="30">
        <v>1</v>
      </c>
      <c r="E25" s="30">
        <v>1</v>
      </c>
      <c r="F25" s="30">
        <v>1</v>
      </c>
      <c r="G25" s="30">
        <v>1</v>
      </c>
      <c r="H25" s="30">
        <v>1</v>
      </c>
      <c r="I25" s="30">
        <v>1</v>
      </c>
      <c r="J25" s="28"/>
      <c r="K25" s="30" t="str">
        <f t="shared" si="0"/>
        <v>SOLO 2023</v>
      </c>
      <c r="L25" s="31" t="s">
        <v>91</v>
      </c>
    </row>
    <row r="26" spans="1:12" ht="13" x14ac:dyDescent="0.3">
      <c r="A26" s="28" t="s">
        <v>209</v>
      </c>
      <c r="B26" s="29" t="s">
        <v>160</v>
      </c>
      <c r="C26" s="30">
        <v>1</v>
      </c>
      <c r="D26" s="30">
        <v>1</v>
      </c>
      <c r="E26" s="30">
        <v>1</v>
      </c>
      <c r="F26" s="30">
        <v>1</v>
      </c>
      <c r="G26" s="30">
        <v>1</v>
      </c>
      <c r="H26" s="30">
        <v>1</v>
      </c>
      <c r="I26" s="30">
        <v>1</v>
      </c>
      <c r="J26" s="30">
        <v>1</v>
      </c>
      <c r="K26" s="30" t="str">
        <f t="shared" si="0"/>
        <v>PADD 2023 Y 2024</v>
      </c>
      <c r="L26" s="31" t="s">
        <v>160</v>
      </c>
    </row>
    <row r="27" spans="1:12" ht="13" x14ac:dyDescent="0.3">
      <c r="A27" s="28" t="s">
        <v>209</v>
      </c>
      <c r="B27" s="29" t="s">
        <v>92</v>
      </c>
      <c r="C27" s="30">
        <v>1</v>
      </c>
      <c r="D27" s="30">
        <v>1</v>
      </c>
      <c r="E27" s="30">
        <v>1</v>
      </c>
      <c r="F27" s="30">
        <v>1</v>
      </c>
      <c r="G27" s="30">
        <v>1</v>
      </c>
      <c r="H27" s="30">
        <v>1</v>
      </c>
      <c r="I27" s="30">
        <v>1</v>
      </c>
      <c r="J27" s="30">
        <v>1</v>
      </c>
      <c r="K27" s="30" t="str">
        <f t="shared" si="0"/>
        <v>PADD 2023 Y 2024</v>
      </c>
      <c r="L27" s="31" t="s">
        <v>92</v>
      </c>
    </row>
    <row r="28" spans="1:12" ht="13" x14ac:dyDescent="0.3">
      <c r="A28" s="28" t="s">
        <v>209</v>
      </c>
      <c r="B28" s="29" t="s">
        <v>154</v>
      </c>
      <c r="C28" s="28"/>
      <c r="D28" s="28"/>
      <c r="E28" s="28"/>
      <c r="F28" s="28"/>
      <c r="G28" s="28"/>
      <c r="H28" s="28"/>
      <c r="I28" s="28"/>
      <c r="J28" s="30">
        <v>1</v>
      </c>
      <c r="K28" s="30" t="str">
        <f t="shared" si="0"/>
        <v>SOLO 2024</v>
      </c>
      <c r="L28" s="31" t="s">
        <v>154</v>
      </c>
    </row>
    <row r="29" spans="1:12" ht="13" x14ac:dyDescent="0.3">
      <c r="A29" s="28" t="s">
        <v>209</v>
      </c>
      <c r="B29" s="29" t="s">
        <v>161</v>
      </c>
      <c r="C29" s="28"/>
      <c r="D29" s="28"/>
      <c r="E29" s="28"/>
      <c r="F29" s="28"/>
      <c r="G29" s="28"/>
      <c r="H29" s="28"/>
      <c r="I29" s="28"/>
      <c r="J29" s="30">
        <v>1</v>
      </c>
      <c r="K29" s="30" t="str">
        <f t="shared" si="0"/>
        <v>SOLO 2024</v>
      </c>
      <c r="L29" s="31" t="s">
        <v>161</v>
      </c>
    </row>
    <row r="30" spans="1:12" ht="13" x14ac:dyDescent="0.3">
      <c r="A30" s="28" t="s">
        <v>209</v>
      </c>
      <c r="B30" s="29" t="s">
        <v>210</v>
      </c>
      <c r="C30" s="28"/>
      <c r="D30" s="28"/>
      <c r="E30" s="28"/>
      <c r="F30" s="28"/>
      <c r="G30" s="28"/>
      <c r="H30" s="28"/>
      <c r="I30" s="28"/>
      <c r="J30" s="30">
        <v>1</v>
      </c>
      <c r="K30" s="30" t="str">
        <f t="shared" si="0"/>
        <v>SOLO 2024</v>
      </c>
      <c r="L30" s="31" t="s">
        <v>210</v>
      </c>
    </row>
    <row r="31" spans="1:12" ht="13" x14ac:dyDescent="0.3">
      <c r="A31" s="28" t="s">
        <v>209</v>
      </c>
      <c r="B31" s="29" t="s">
        <v>157</v>
      </c>
      <c r="C31" s="28"/>
      <c r="D31" s="28"/>
      <c r="E31" s="28"/>
      <c r="F31" s="28"/>
      <c r="G31" s="28"/>
      <c r="H31" s="28"/>
      <c r="I31" s="28"/>
      <c r="J31" s="30">
        <v>1</v>
      </c>
      <c r="K31" s="30" t="str">
        <f t="shared" si="0"/>
        <v>SOLO 2024</v>
      </c>
      <c r="L31" s="31" t="s">
        <v>157</v>
      </c>
    </row>
    <row r="32" spans="1:12" ht="13" x14ac:dyDescent="0.3">
      <c r="A32" s="28" t="s">
        <v>209</v>
      </c>
      <c r="B32" s="29" t="s">
        <v>165</v>
      </c>
      <c r="C32" s="28"/>
      <c r="D32" s="28"/>
      <c r="E32" s="28"/>
      <c r="F32" s="28"/>
      <c r="G32" s="28"/>
      <c r="H32" s="28"/>
      <c r="I32" s="28"/>
      <c r="J32" s="30">
        <v>1</v>
      </c>
      <c r="K32" s="30" t="str">
        <f t="shared" si="0"/>
        <v>SOLO 2024</v>
      </c>
      <c r="L32" s="31" t="s">
        <v>165</v>
      </c>
    </row>
    <row r="33" spans="1:12" ht="13" x14ac:dyDescent="0.3">
      <c r="A33" s="28" t="s">
        <v>209</v>
      </c>
      <c r="B33" s="29" t="s">
        <v>163</v>
      </c>
      <c r="C33" s="28"/>
      <c r="D33" s="28"/>
      <c r="E33" s="28"/>
      <c r="F33" s="28"/>
      <c r="G33" s="28"/>
      <c r="H33" s="28"/>
      <c r="I33" s="28"/>
      <c r="J33" s="30">
        <v>1</v>
      </c>
      <c r="K33" s="30" t="str">
        <f t="shared" si="0"/>
        <v>SOLO 2024</v>
      </c>
      <c r="L33" s="31" t="s">
        <v>163</v>
      </c>
    </row>
    <row r="34" spans="1:12" ht="13" x14ac:dyDescent="0.3">
      <c r="A34" s="28" t="s">
        <v>209</v>
      </c>
      <c r="B34" s="29" t="s">
        <v>167</v>
      </c>
      <c r="C34" s="28"/>
      <c r="D34" s="28"/>
      <c r="E34" s="28"/>
      <c r="F34" s="28"/>
      <c r="G34" s="28"/>
      <c r="H34" s="28"/>
      <c r="I34" s="28"/>
      <c r="J34" s="30">
        <v>1</v>
      </c>
      <c r="K34" s="30" t="str">
        <f t="shared" si="0"/>
        <v>SOLO 2024</v>
      </c>
      <c r="L34" s="31" t="s">
        <v>167</v>
      </c>
    </row>
    <row r="35" spans="1:12" ht="13" x14ac:dyDescent="0.3">
      <c r="A35" s="28" t="s">
        <v>209</v>
      </c>
      <c r="B35" s="29" t="s">
        <v>158</v>
      </c>
      <c r="C35" s="28"/>
      <c r="D35" s="28"/>
      <c r="E35" s="28"/>
      <c r="F35" s="28"/>
      <c r="G35" s="28"/>
      <c r="H35" s="28"/>
      <c r="I35" s="28"/>
      <c r="J35" s="30">
        <v>1</v>
      </c>
      <c r="K35" s="30" t="str">
        <f t="shared" si="0"/>
        <v>SOLO 2024</v>
      </c>
      <c r="L35" s="31" t="s">
        <v>158</v>
      </c>
    </row>
    <row r="36" spans="1:12" ht="13" x14ac:dyDescent="0.3">
      <c r="A36" s="28" t="s">
        <v>209</v>
      </c>
      <c r="B36" s="29" t="s">
        <v>166</v>
      </c>
      <c r="C36" s="28"/>
      <c r="D36" s="28"/>
      <c r="E36" s="28"/>
      <c r="F36" s="28"/>
      <c r="G36" s="28"/>
      <c r="H36" s="28"/>
      <c r="I36" s="28"/>
      <c r="J36" s="30">
        <v>1</v>
      </c>
      <c r="K36" s="30" t="str">
        <f t="shared" si="0"/>
        <v>SOLO 2024</v>
      </c>
      <c r="L36" s="31" t="s">
        <v>166</v>
      </c>
    </row>
    <row r="37" spans="1:12" ht="13" x14ac:dyDescent="0.3">
      <c r="A37" s="28" t="s">
        <v>209</v>
      </c>
      <c r="B37" s="29" t="s">
        <v>164</v>
      </c>
      <c r="C37" s="28"/>
      <c r="D37" s="28"/>
      <c r="E37" s="28"/>
      <c r="F37" s="28"/>
      <c r="G37" s="28"/>
      <c r="H37" s="28"/>
      <c r="I37" s="28"/>
      <c r="J37" s="30">
        <v>1</v>
      </c>
      <c r="K37" s="30" t="str">
        <f t="shared" si="0"/>
        <v>SOLO 2024</v>
      </c>
      <c r="L37" s="31" t="s">
        <v>164</v>
      </c>
    </row>
    <row r="38" spans="1:12" ht="13" x14ac:dyDescent="0.3">
      <c r="A38" s="28" t="s">
        <v>209</v>
      </c>
      <c r="B38" s="29" t="s">
        <v>159</v>
      </c>
      <c r="C38" s="28"/>
      <c r="D38" s="28"/>
      <c r="E38" s="28"/>
      <c r="F38" s="28"/>
      <c r="G38" s="28"/>
      <c r="H38" s="28"/>
      <c r="I38" s="28"/>
      <c r="J38" s="30">
        <v>1</v>
      </c>
      <c r="K38" s="30" t="str">
        <f t="shared" si="0"/>
        <v>SOLO 2024</v>
      </c>
      <c r="L38" s="31" t="s">
        <v>159</v>
      </c>
    </row>
    <row r="39" spans="1:12" ht="13" x14ac:dyDescent="0.3">
      <c r="A39" s="28" t="s">
        <v>209</v>
      </c>
      <c r="B39" s="29" t="s">
        <v>155</v>
      </c>
      <c r="C39" s="28"/>
      <c r="D39" s="28"/>
      <c r="E39" s="28"/>
      <c r="F39" s="28"/>
      <c r="G39" s="28"/>
      <c r="H39" s="28"/>
      <c r="I39" s="28"/>
      <c r="J39" s="30">
        <v>1</v>
      </c>
      <c r="K39" s="30" t="str">
        <f t="shared" si="0"/>
        <v>SOLO 2024</v>
      </c>
      <c r="L39" s="31" t="s">
        <v>155</v>
      </c>
    </row>
    <row r="40" spans="1:12" ht="13" x14ac:dyDescent="0.3">
      <c r="A40" s="28" t="s">
        <v>209</v>
      </c>
      <c r="B40" s="29" t="s">
        <v>156</v>
      </c>
      <c r="C40" s="28"/>
      <c r="D40" s="28"/>
      <c r="E40" s="28"/>
      <c r="F40" s="28"/>
      <c r="G40" s="28"/>
      <c r="H40" s="28"/>
      <c r="I40" s="28"/>
      <c r="J40" s="30">
        <v>1</v>
      </c>
      <c r="K40" s="30" t="str">
        <f t="shared" si="0"/>
        <v>SOLO 2024</v>
      </c>
      <c r="L40" s="31" t="s">
        <v>156</v>
      </c>
    </row>
    <row r="41" spans="1:12" ht="13" x14ac:dyDescent="0.3">
      <c r="A41" s="28" t="s">
        <v>209</v>
      </c>
      <c r="B41" s="29" t="s">
        <v>162</v>
      </c>
      <c r="C41" s="28"/>
      <c r="D41" s="28"/>
      <c r="E41" s="28"/>
      <c r="F41" s="28"/>
      <c r="G41" s="28"/>
      <c r="H41" s="28"/>
      <c r="I41" s="28"/>
      <c r="J41" s="30">
        <v>1</v>
      </c>
      <c r="K41" s="30" t="str">
        <f t="shared" si="0"/>
        <v>SOLO 2024</v>
      </c>
      <c r="L41" s="31" t="s">
        <v>162</v>
      </c>
    </row>
    <row r="42" spans="1:12" ht="13" x14ac:dyDescent="0.3">
      <c r="A42" s="28" t="s">
        <v>209</v>
      </c>
      <c r="B42" s="29" t="s">
        <v>211</v>
      </c>
      <c r="C42" s="28"/>
      <c r="D42" s="28"/>
      <c r="E42" s="28"/>
      <c r="F42" s="28"/>
      <c r="G42" s="28"/>
      <c r="H42" s="28"/>
      <c r="I42" s="30">
        <v>1</v>
      </c>
      <c r="J42" s="28"/>
      <c r="K42" s="30" t="str">
        <f t="shared" si="0"/>
        <v>SOLO 2023</v>
      </c>
      <c r="L42" s="31" t="s">
        <v>211</v>
      </c>
    </row>
    <row r="43" spans="1:12" ht="13" x14ac:dyDescent="0.3">
      <c r="A43" s="28" t="s">
        <v>209</v>
      </c>
      <c r="B43" s="29" t="s">
        <v>2016</v>
      </c>
      <c r="C43" s="28"/>
      <c r="D43" s="28"/>
      <c r="E43" s="28"/>
      <c r="F43" s="28"/>
      <c r="G43" s="28"/>
      <c r="H43" s="28"/>
      <c r="I43" s="30">
        <v>1</v>
      </c>
      <c r="J43" s="28"/>
      <c r="K43" s="30" t="str">
        <f t="shared" si="0"/>
        <v>SOLO 2023</v>
      </c>
      <c r="L43" s="31" t="s">
        <v>212</v>
      </c>
    </row>
    <row r="44" spans="1:12" ht="13" x14ac:dyDescent="0.3">
      <c r="A44" s="28" t="s">
        <v>209</v>
      </c>
      <c r="B44" s="29" t="s">
        <v>213</v>
      </c>
      <c r="C44" s="28"/>
      <c r="D44" s="28"/>
      <c r="E44" s="28"/>
      <c r="F44" s="28"/>
      <c r="G44" s="28"/>
      <c r="H44" s="28"/>
      <c r="I44" s="30">
        <v>1</v>
      </c>
      <c r="J44" s="28"/>
      <c r="K44" s="30" t="str">
        <f t="shared" si="0"/>
        <v>SOLO 2023</v>
      </c>
      <c r="L44" s="31" t="s">
        <v>213</v>
      </c>
    </row>
    <row r="45" spans="1:12" ht="13" x14ac:dyDescent="0.3">
      <c r="A45" s="28" t="s">
        <v>209</v>
      </c>
      <c r="B45" s="29" t="s">
        <v>214</v>
      </c>
      <c r="C45" s="28"/>
      <c r="D45" s="28"/>
      <c r="E45" s="28"/>
      <c r="F45" s="28"/>
      <c r="G45" s="28"/>
      <c r="H45" s="28"/>
      <c r="I45" s="30">
        <v>1</v>
      </c>
      <c r="J45" s="28"/>
      <c r="K45" s="30" t="str">
        <f t="shared" si="0"/>
        <v>SOLO 2023</v>
      </c>
      <c r="L45" s="31" t="s">
        <v>214</v>
      </c>
    </row>
    <row r="46" spans="1:12" ht="13" x14ac:dyDescent="0.3">
      <c r="A46" s="28" t="s">
        <v>209</v>
      </c>
      <c r="B46" s="29" t="s">
        <v>215</v>
      </c>
      <c r="C46" s="28"/>
      <c r="D46" s="28"/>
      <c r="E46" s="28"/>
      <c r="F46" s="28"/>
      <c r="G46" s="28"/>
      <c r="H46" s="28"/>
      <c r="I46" s="30">
        <v>1</v>
      </c>
      <c r="J46" s="28"/>
      <c r="K46" s="30" t="str">
        <f t="shared" si="0"/>
        <v>SOLO 2023</v>
      </c>
      <c r="L46" s="31" t="s">
        <v>215</v>
      </c>
    </row>
    <row r="47" spans="1:12" ht="13" x14ac:dyDescent="0.3">
      <c r="A47" s="37" t="s">
        <v>216</v>
      </c>
      <c r="B47" s="29" t="s">
        <v>278</v>
      </c>
      <c r="C47" s="38">
        <v>1</v>
      </c>
      <c r="D47" s="38">
        <v>1</v>
      </c>
      <c r="E47" s="38">
        <v>1</v>
      </c>
      <c r="F47" s="38">
        <v>1</v>
      </c>
      <c r="G47" s="37"/>
      <c r="H47" s="37"/>
      <c r="I47" s="38">
        <v>1</v>
      </c>
      <c r="J47" s="37"/>
      <c r="K47" s="30" t="str">
        <f t="shared" si="0"/>
        <v>SOLO 2023</v>
      </c>
      <c r="L47" s="39" t="s">
        <v>217</v>
      </c>
    </row>
    <row r="48" spans="1:12" ht="13" x14ac:dyDescent="0.3">
      <c r="A48" s="37" t="s">
        <v>216</v>
      </c>
      <c r="B48" s="29" t="s">
        <v>36</v>
      </c>
      <c r="C48" s="38">
        <v>1</v>
      </c>
      <c r="D48" s="38">
        <v>1</v>
      </c>
      <c r="E48" s="38">
        <v>1</v>
      </c>
      <c r="F48" s="38">
        <v>1</v>
      </c>
      <c r="G48" s="37"/>
      <c r="H48" s="38">
        <v>1</v>
      </c>
      <c r="I48" s="38">
        <v>1</v>
      </c>
      <c r="J48" s="37"/>
      <c r="K48" s="30" t="str">
        <f t="shared" si="0"/>
        <v>SOLO 2023</v>
      </c>
      <c r="L48" s="39" t="s">
        <v>218</v>
      </c>
    </row>
    <row r="49" spans="1:12" ht="13" x14ac:dyDescent="0.3">
      <c r="A49" s="37" t="s">
        <v>216</v>
      </c>
      <c r="B49" s="29" t="s">
        <v>30</v>
      </c>
      <c r="C49" s="38">
        <v>1</v>
      </c>
      <c r="D49" s="38">
        <v>1</v>
      </c>
      <c r="E49" s="38">
        <v>1</v>
      </c>
      <c r="F49" s="38">
        <v>1</v>
      </c>
      <c r="G49" s="37"/>
      <c r="H49" s="38">
        <v>1</v>
      </c>
      <c r="I49" s="38">
        <v>1</v>
      </c>
      <c r="J49" s="37"/>
      <c r="K49" s="30" t="str">
        <f t="shared" si="0"/>
        <v>SOLO 2023</v>
      </c>
      <c r="L49" s="39" t="s">
        <v>219</v>
      </c>
    </row>
    <row r="50" spans="1:12" ht="13" x14ac:dyDescent="0.3">
      <c r="A50" s="37" t="s">
        <v>216</v>
      </c>
      <c r="B50" s="29" t="s">
        <v>31</v>
      </c>
      <c r="C50" s="38">
        <v>1</v>
      </c>
      <c r="D50" s="37"/>
      <c r="E50" s="38">
        <v>1</v>
      </c>
      <c r="F50" s="37"/>
      <c r="G50" s="37"/>
      <c r="H50" s="37"/>
      <c r="I50" s="37"/>
      <c r="J50" s="38">
        <v>1</v>
      </c>
      <c r="K50" s="30" t="str">
        <f t="shared" si="0"/>
        <v>SOLO 2024</v>
      </c>
      <c r="L50" s="39" t="s">
        <v>220</v>
      </c>
    </row>
    <row r="51" spans="1:12" ht="13" x14ac:dyDescent="0.3">
      <c r="A51" s="37" t="s">
        <v>216</v>
      </c>
      <c r="B51" s="29" t="s">
        <v>27</v>
      </c>
      <c r="C51" s="37"/>
      <c r="D51" s="38">
        <v>1</v>
      </c>
      <c r="E51" s="37"/>
      <c r="F51" s="38">
        <v>1</v>
      </c>
      <c r="G51" s="37"/>
      <c r="H51" s="38">
        <v>1</v>
      </c>
      <c r="I51" s="38">
        <v>1</v>
      </c>
      <c r="J51" s="38">
        <v>1</v>
      </c>
      <c r="K51" s="30" t="str">
        <f t="shared" si="0"/>
        <v>PADD 2023 Y 2024</v>
      </c>
      <c r="L51" s="39" t="s">
        <v>221</v>
      </c>
    </row>
    <row r="52" spans="1:12" ht="13" x14ac:dyDescent="0.3">
      <c r="A52" s="37" t="s">
        <v>216</v>
      </c>
      <c r="B52" s="29" t="s">
        <v>39</v>
      </c>
      <c r="C52" s="37"/>
      <c r="D52" s="38">
        <v>1</v>
      </c>
      <c r="E52" s="37"/>
      <c r="F52" s="38">
        <v>1</v>
      </c>
      <c r="G52" s="37"/>
      <c r="H52" s="38">
        <v>1</v>
      </c>
      <c r="I52" s="38">
        <v>1</v>
      </c>
      <c r="J52" s="37"/>
      <c r="K52" s="30" t="str">
        <f t="shared" si="0"/>
        <v>SOLO 2023</v>
      </c>
      <c r="L52" s="39" t="s">
        <v>124</v>
      </c>
    </row>
    <row r="53" spans="1:12" ht="13" x14ac:dyDescent="0.3">
      <c r="A53" s="37" t="s">
        <v>216</v>
      </c>
      <c r="B53" s="29" t="s">
        <v>34</v>
      </c>
      <c r="C53" s="37"/>
      <c r="D53" s="38">
        <v>1</v>
      </c>
      <c r="E53" s="37"/>
      <c r="F53" s="38">
        <v>1</v>
      </c>
      <c r="G53" s="37"/>
      <c r="H53" s="38">
        <v>1</v>
      </c>
      <c r="I53" s="38">
        <v>1</v>
      </c>
      <c r="J53" s="38">
        <v>1</v>
      </c>
      <c r="K53" s="30" t="str">
        <f t="shared" si="0"/>
        <v>PADD 2023 Y 2024</v>
      </c>
      <c r="L53" s="39" t="s">
        <v>222</v>
      </c>
    </row>
    <row r="54" spans="1:12" ht="13" x14ac:dyDescent="0.3">
      <c r="A54" s="37" t="s">
        <v>216</v>
      </c>
      <c r="B54" s="29" t="s">
        <v>32</v>
      </c>
      <c r="C54" s="37"/>
      <c r="D54" s="38">
        <v>1</v>
      </c>
      <c r="E54" s="37"/>
      <c r="F54" s="38">
        <v>1</v>
      </c>
      <c r="G54" s="37"/>
      <c r="H54" s="38">
        <v>1</v>
      </c>
      <c r="I54" s="38">
        <v>1</v>
      </c>
      <c r="J54" s="38">
        <v>1</v>
      </c>
      <c r="K54" s="30" t="str">
        <f t="shared" si="0"/>
        <v>PADD 2023 Y 2024</v>
      </c>
      <c r="L54" s="39" t="s">
        <v>223</v>
      </c>
    </row>
    <row r="55" spans="1:12" ht="13" x14ac:dyDescent="0.3">
      <c r="A55" s="37" t="s">
        <v>216</v>
      </c>
      <c r="B55" s="29" t="s">
        <v>35</v>
      </c>
      <c r="C55" s="37"/>
      <c r="D55" s="38">
        <v>1</v>
      </c>
      <c r="E55" s="37"/>
      <c r="F55" s="38">
        <v>1</v>
      </c>
      <c r="G55" s="37"/>
      <c r="H55" s="38">
        <v>1</v>
      </c>
      <c r="I55" s="38">
        <v>1</v>
      </c>
      <c r="J55" s="37"/>
      <c r="K55" s="30" t="str">
        <f t="shared" si="0"/>
        <v>SOLO 2023</v>
      </c>
      <c r="L55" s="39" t="s">
        <v>131</v>
      </c>
    </row>
    <row r="56" spans="1:12" ht="13" x14ac:dyDescent="0.3">
      <c r="A56" s="37" t="s">
        <v>216</v>
      </c>
      <c r="B56" s="29" t="s">
        <v>26</v>
      </c>
      <c r="C56" s="37"/>
      <c r="D56" s="38">
        <v>1</v>
      </c>
      <c r="E56" s="37"/>
      <c r="F56" s="38">
        <v>1</v>
      </c>
      <c r="G56" s="37"/>
      <c r="H56" s="38">
        <v>1</v>
      </c>
      <c r="I56" s="38">
        <v>1</v>
      </c>
      <c r="J56" s="38">
        <v>1</v>
      </c>
      <c r="K56" s="30" t="str">
        <f t="shared" si="0"/>
        <v>PADD 2023 Y 2024</v>
      </c>
      <c r="L56" s="39" t="s">
        <v>224</v>
      </c>
    </row>
    <row r="57" spans="1:12" ht="13" x14ac:dyDescent="0.3">
      <c r="A57" s="37" t="s">
        <v>216</v>
      </c>
      <c r="B57" s="29" t="s">
        <v>28</v>
      </c>
      <c r="C57" s="37"/>
      <c r="D57" s="38">
        <v>1</v>
      </c>
      <c r="E57" s="37"/>
      <c r="F57" s="38">
        <v>1</v>
      </c>
      <c r="G57" s="37"/>
      <c r="H57" s="38">
        <v>1</v>
      </c>
      <c r="I57" s="38">
        <v>1</v>
      </c>
      <c r="J57" s="37"/>
      <c r="K57" s="30" t="str">
        <f t="shared" si="0"/>
        <v>SOLO 2023</v>
      </c>
      <c r="L57" s="39" t="s">
        <v>225</v>
      </c>
    </row>
    <row r="58" spans="1:12" ht="13" x14ac:dyDescent="0.3">
      <c r="A58" s="37" t="s">
        <v>216</v>
      </c>
      <c r="B58" s="29" t="s">
        <v>38</v>
      </c>
      <c r="C58" s="37"/>
      <c r="D58" s="38">
        <v>1</v>
      </c>
      <c r="E58" s="37"/>
      <c r="F58" s="38">
        <v>1</v>
      </c>
      <c r="G58" s="37"/>
      <c r="H58" s="38">
        <v>1</v>
      </c>
      <c r="I58" s="38">
        <v>1</v>
      </c>
      <c r="J58" s="37"/>
      <c r="K58" s="30" t="str">
        <f t="shared" si="0"/>
        <v>SOLO 2023</v>
      </c>
      <c r="L58" s="39" t="s">
        <v>133</v>
      </c>
    </row>
    <row r="59" spans="1:12" ht="13" x14ac:dyDescent="0.3">
      <c r="A59" s="37" t="s">
        <v>216</v>
      </c>
      <c r="B59" s="29" t="s">
        <v>33</v>
      </c>
      <c r="C59" s="37"/>
      <c r="D59" s="38">
        <v>1</v>
      </c>
      <c r="E59" s="37"/>
      <c r="F59" s="38">
        <v>1</v>
      </c>
      <c r="G59" s="37"/>
      <c r="H59" s="38">
        <v>1</v>
      </c>
      <c r="I59" s="38">
        <v>1</v>
      </c>
      <c r="J59" s="38">
        <v>1</v>
      </c>
      <c r="K59" s="30" t="str">
        <f t="shared" si="0"/>
        <v>PADD 2023 Y 2024</v>
      </c>
      <c r="L59" s="39" t="s">
        <v>226</v>
      </c>
    </row>
    <row r="60" spans="1:12" ht="13" x14ac:dyDescent="0.3">
      <c r="A60" s="37" t="s">
        <v>216</v>
      </c>
      <c r="B60" s="29" t="s">
        <v>40</v>
      </c>
      <c r="C60" s="37"/>
      <c r="D60" s="38">
        <v>1</v>
      </c>
      <c r="E60" s="37"/>
      <c r="F60" s="38">
        <v>1</v>
      </c>
      <c r="G60" s="37"/>
      <c r="H60" s="38">
        <v>1</v>
      </c>
      <c r="I60" s="38">
        <v>1</v>
      </c>
      <c r="J60" s="37"/>
      <c r="K60" s="30" t="str">
        <f t="shared" si="0"/>
        <v>SOLO 2023</v>
      </c>
      <c r="L60" s="39" t="s">
        <v>132</v>
      </c>
    </row>
    <row r="61" spans="1:12" ht="13" x14ac:dyDescent="0.3">
      <c r="A61" s="37" t="s">
        <v>216</v>
      </c>
      <c r="B61" s="29" t="s">
        <v>21</v>
      </c>
      <c r="C61" s="37"/>
      <c r="D61" s="38">
        <v>1</v>
      </c>
      <c r="E61" s="37"/>
      <c r="F61" s="38">
        <v>1</v>
      </c>
      <c r="G61" s="37"/>
      <c r="H61" s="38">
        <v>1</v>
      </c>
      <c r="I61" s="38">
        <v>1</v>
      </c>
      <c r="J61" s="38">
        <v>1</v>
      </c>
      <c r="K61" s="30" t="str">
        <f t="shared" si="0"/>
        <v>PADD 2023 Y 2024</v>
      </c>
      <c r="L61" s="39" t="s">
        <v>227</v>
      </c>
    </row>
    <row r="62" spans="1:12" ht="13" x14ac:dyDescent="0.3">
      <c r="A62" s="37" t="s">
        <v>216</v>
      </c>
      <c r="B62" s="29" t="s">
        <v>2017</v>
      </c>
      <c r="C62" s="37"/>
      <c r="D62" s="37"/>
      <c r="E62" s="37"/>
      <c r="F62" s="37"/>
      <c r="G62" s="37"/>
      <c r="H62" s="37"/>
      <c r="I62" s="37"/>
      <c r="J62" s="38">
        <v>1</v>
      </c>
      <c r="K62" s="30" t="str">
        <f t="shared" si="0"/>
        <v>SOLO 2024</v>
      </c>
      <c r="L62" s="40" t="s">
        <v>228</v>
      </c>
    </row>
    <row r="63" spans="1:12" ht="13" x14ac:dyDescent="0.3">
      <c r="A63" s="37" t="s">
        <v>216</v>
      </c>
      <c r="B63" s="29" t="s">
        <v>2018</v>
      </c>
      <c r="C63" s="37"/>
      <c r="D63" s="37"/>
      <c r="E63" s="37"/>
      <c r="F63" s="37"/>
      <c r="G63" s="37"/>
      <c r="H63" s="37"/>
      <c r="I63" s="37"/>
      <c r="J63" s="38">
        <v>1</v>
      </c>
      <c r="K63" s="30" t="str">
        <f t="shared" si="0"/>
        <v>SOLO 2024</v>
      </c>
      <c r="L63" s="40" t="s">
        <v>229</v>
      </c>
    </row>
    <row r="64" spans="1:12" ht="13" x14ac:dyDescent="0.3">
      <c r="A64" s="37" t="s">
        <v>216</v>
      </c>
      <c r="B64" s="29" t="s">
        <v>2019</v>
      </c>
      <c r="C64" s="37"/>
      <c r="D64" s="37"/>
      <c r="E64" s="37"/>
      <c r="F64" s="37"/>
      <c r="G64" s="37"/>
      <c r="H64" s="37"/>
      <c r="I64" s="37"/>
      <c r="J64" s="38">
        <v>1</v>
      </c>
      <c r="K64" s="30" t="str">
        <f t="shared" si="0"/>
        <v>SOLO 2024</v>
      </c>
      <c r="L64" s="40" t="s">
        <v>230</v>
      </c>
    </row>
    <row r="65" spans="1:12" ht="13" x14ac:dyDescent="0.3">
      <c r="A65" s="37" t="s">
        <v>216</v>
      </c>
      <c r="B65" s="29" t="s">
        <v>2020</v>
      </c>
      <c r="C65" s="37"/>
      <c r="D65" s="37"/>
      <c r="E65" s="37"/>
      <c r="F65" s="37"/>
      <c r="G65" s="37"/>
      <c r="H65" s="37"/>
      <c r="I65" s="37"/>
      <c r="J65" s="38">
        <v>1</v>
      </c>
      <c r="K65" s="30" t="str">
        <f t="shared" si="0"/>
        <v>SOLO 2024</v>
      </c>
      <c r="L65" s="40" t="s">
        <v>231</v>
      </c>
    </row>
    <row r="66" spans="1:12" ht="13" x14ac:dyDescent="0.3">
      <c r="A66" s="37" t="s">
        <v>216</v>
      </c>
      <c r="B66" s="29" t="s">
        <v>2021</v>
      </c>
      <c r="C66" s="37"/>
      <c r="D66" s="37"/>
      <c r="E66" s="37"/>
      <c r="F66" s="37"/>
      <c r="G66" s="37"/>
      <c r="H66" s="37"/>
      <c r="I66" s="37"/>
      <c r="J66" s="38">
        <v>1</v>
      </c>
      <c r="K66" s="30" t="str">
        <f t="shared" si="0"/>
        <v>SOLO 2024</v>
      </c>
      <c r="L66" s="40" t="s">
        <v>232</v>
      </c>
    </row>
    <row r="67" spans="1:12" ht="13" x14ac:dyDescent="0.3">
      <c r="A67" s="37" t="s">
        <v>216</v>
      </c>
      <c r="B67" s="29" t="s">
        <v>2022</v>
      </c>
      <c r="C67" s="37"/>
      <c r="D67" s="37"/>
      <c r="E67" s="37"/>
      <c r="F67" s="37"/>
      <c r="G67" s="37"/>
      <c r="H67" s="37"/>
      <c r="I67" s="37"/>
      <c r="J67" s="38">
        <v>1</v>
      </c>
      <c r="K67" s="30" t="str">
        <f t="shared" si="0"/>
        <v>SOLO 2024</v>
      </c>
      <c r="L67" s="40" t="s">
        <v>233</v>
      </c>
    </row>
    <row r="68" spans="1:12" ht="13" x14ac:dyDescent="0.3">
      <c r="A68" s="37" t="s">
        <v>216</v>
      </c>
      <c r="B68" s="29" t="s">
        <v>2023</v>
      </c>
      <c r="C68" s="37"/>
      <c r="D68" s="37"/>
      <c r="E68" s="37"/>
      <c r="F68" s="37"/>
      <c r="G68" s="37"/>
      <c r="H68" s="37"/>
      <c r="I68" s="37"/>
      <c r="J68" s="38">
        <v>1</v>
      </c>
      <c r="K68" s="30" t="str">
        <f t="shared" si="0"/>
        <v>SOLO 2024</v>
      </c>
      <c r="L68" s="40" t="s">
        <v>234</v>
      </c>
    </row>
    <row r="69" spans="1:12" ht="13" x14ac:dyDescent="0.3">
      <c r="A69" s="37" t="s">
        <v>216</v>
      </c>
      <c r="B69" s="29" t="s">
        <v>2024</v>
      </c>
      <c r="C69" s="37"/>
      <c r="D69" s="37"/>
      <c r="E69" s="37"/>
      <c r="F69" s="37"/>
      <c r="G69" s="37"/>
      <c r="H69" s="37"/>
      <c r="I69" s="37"/>
      <c r="J69" s="38">
        <v>1</v>
      </c>
      <c r="K69" s="30" t="str">
        <f t="shared" si="0"/>
        <v>SOLO 2024</v>
      </c>
      <c r="L69" s="40" t="s">
        <v>235</v>
      </c>
    </row>
    <row r="70" spans="1:12" ht="13" x14ac:dyDescent="0.3">
      <c r="A70" s="37" t="s">
        <v>216</v>
      </c>
      <c r="B70" s="29" t="s">
        <v>2025</v>
      </c>
      <c r="C70" s="37"/>
      <c r="D70" s="37"/>
      <c r="E70" s="37"/>
      <c r="F70" s="37"/>
      <c r="G70" s="37"/>
      <c r="H70" s="37"/>
      <c r="I70" s="37"/>
      <c r="J70" s="38">
        <v>1</v>
      </c>
      <c r="K70" s="30" t="str">
        <f t="shared" si="0"/>
        <v>SOLO 2024</v>
      </c>
      <c r="L70" s="40" t="s">
        <v>236</v>
      </c>
    </row>
    <row r="71" spans="1:12" ht="13" x14ac:dyDescent="0.3">
      <c r="A71" s="37" t="s">
        <v>216</v>
      </c>
      <c r="B71" s="29" t="s">
        <v>2026</v>
      </c>
      <c r="C71" s="37"/>
      <c r="D71" s="37"/>
      <c r="E71" s="37"/>
      <c r="F71" s="37"/>
      <c r="G71" s="37"/>
      <c r="H71" s="37"/>
      <c r="I71" s="37"/>
      <c r="J71" s="38">
        <v>1</v>
      </c>
      <c r="K71" s="30" t="str">
        <f t="shared" si="0"/>
        <v>SOLO 2024</v>
      </c>
      <c r="L71" s="40" t="s">
        <v>237</v>
      </c>
    </row>
    <row r="72" spans="1:12" ht="13" x14ac:dyDescent="0.3">
      <c r="A72" s="28" t="s">
        <v>238</v>
      </c>
      <c r="B72" s="29" t="s">
        <v>239</v>
      </c>
      <c r="C72" s="28"/>
      <c r="D72" s="28"/>
      <c r="E72" s="28"/>
      <c r="F72" s="28"/>
      <c r="G72" s="28"/>
      <c r="H72" s="28"/>
      <c r="I72" s="28"/>
      <c r="J72" s="30">
        <v>1</v>
      </c>
      <c r="K72" s="30" t="str">
        <f t="shared" si="0"/>
        <v>SOLO 2024</v>
      </c>
      <c r="L72" s="31" t="s">
        <v>239</v>
      </c>
    </row>
    <row r="73" spans="1:12" ht="13" x14ac:dyDescent="0.3">
      <c r="A73" s="28" t="s">
        <v>238</v>
      </c>
      <c r="B73" s="29" t="s">
        <v>169</v>
      </c>
      <c r="C73" s="33">
        <v>1</v>
      </c>
      <c r="D73" s="33">
        <v>1</v>
      </c>
      <c r="E73" s="33">
        <v>1</v>
      </c>
      <c r="F73" s="33">
        <v>1</v>
      </c>
      <c r="G73" s="33">
        <v>1</v>
      </c>
      <c r="H73" s="33">
        <v>1</v>
      </c>
      <c r="I73" s="33">
        <v>1</v>
      </c>
      <c r="J73" s="33">
        <v>1</v>
      </c>
      <c r="K73" s="30" t="str">
        <f t="shared" si="0"/>
        <v>PADD 2023 Y 2024</v>
      </c>
      <c r="L73" s="31" t="s">
        <v>240</v>
      </c>
    </row>
    <row r="74" spans="1:12" ht="13" x14ac:dyDescent="0.3">
      <c r="A74" s="28" t="s">
        <v>238</v>
      </c>
      <c r="B74" s="29" t="s">
        <v>172</v>
      </c>
      <c r="C74" s="30">
        <v>1</v>
      </c>
      <c r="D74" s="28"/>
      <c r="E74" s="30">
        <v>1</v>
      </c>
      <c r="F74" s="28"/>
      <c r="G74" s="30">
        <v>1</v>
      </c>
      <c r="H74" s="28"/>
      <c r="I74" s="28"/>
      <c r="J74" s="30">
        <v>1</v>
      </c>
      <c r="K74" s="30" t="str">
        <f t="shared" si="0"/>
        <v>SOLO 2024</v>
      </c>
      <c r="L74" s="31" t="s">
        <v>241</v>
      </c>
    </row>
    <row r="75" spans="1:12" ht="13" x14ac:dyDescent="0.3">
      <c r="A75" s="28" t="s">
        <v>238</v>
      </c>
      <c r="B75" s="29" t="s">
        <v>422</v>
      </c>
      <c r="C75" s="28"/>
      <c r="D75" s="28"/>
      <c r="E75" s="28"/>
      <c r="F75" s="28"/>
      <c r="G75" s="28"/>
      <c r="H75" s="28"/>
      <c r="I75" s="28"/>
      <c r="J75" s="30">
        <v>1</v>
      </c>
      <c r="K75" s="30" t="str">
        <f t="shared" si="0"/>
        <v>SOLO 2024</v>
      </c>
      <c r="L75" s="31" t="s">
        <v>242</v>
      </c>
    </row>
    <row r="76" spans="1:12" ht="13" x14ac:dyDescent="0.3">
      <c r="A76" s="28" t="s">
        <v>238</v>
      </c>
      <c r="B76" s="29" t="s">
        <v>171</v>
      </c>
      <c r="C76" s="28"/>
      <c r="D76" s="30">
        <v>1</v>
      </c>
      <c r="E76" s="28"/>
      <c r="F76" s="30">
        <v>1</v>
      </c>
      <c r="G76" s="28"/>
      <c r="H76" s="30">
        <v>1</v>
      </c>
      <c r="I76" s="30">
        <v>1</v>
      </c>
      <c r="J76" s="30">
        <v>1</v>
      </c>
      <c r="K76" s="30" t="str">
        <f t="shared" si="0"/>
        <v>PADD 2023 Y 2024</v>
      </c>
      <c r="L76" s="31" t="s">
        <v>243</v>
      </c>
    </row>
    <row r="77" spans="1:12" ht="13" x14ac:dyDescent="0.3">
      <c r="A77" s="28" t="s">
        <v>238</v>
      </c>
      <c r="B77" s="29" t="s">
        <v>170</v>
      </c>
      <c r="C77" s="30">
        <v>1</v>
      </c>
      <c r="D77" s="28"/>
      <c r="E77" s="30">
        <v>1</v>
      </c>
      <c r="F77" s="28"/>
      <c r="G77" s="30">
        <v>1</v>
      </c>
      <c r="H77" s="28"/>
      <c r="I77" s="30">
        <v>1</v>
      </c>
      <c r="J77" s="30">
        <v>1</v>
      </c>
      <c r="K77" s="30" t="str">
        <f t="shared" si="0"/>
        <v>PADD 2023 Y 2024</v>
      </c>
      <c r="L77" s="31" t="s">
        <v>244</v>
      </c>
    </row>
    <row r="78" spans="1:12" ht="13" x14ac:dyDescent="0.3">
      <c r="A78" s="28" t="s">
        <v>238</v>
      </c>
      <c r="B78" s="29" t="s">
        <v>168</v>
      </c>
      <c r="C78" s="30">
        <v>1</v>
      </c>
      <c r="D78" s="30">
        <v>1</v>
      </c>
      <c r="E78" s="30">
        <v>1</v>
      </c>
      <c r="F78" s="30">
        <v>1</v>
      </c>
      <c r="G78" s="30">
        <v>1</v>
      </c>
      <c r="H78" s="30">
        <v>1</v>
      </c>
      <c r="I78" s="30">
        <v>1</v>
      </c>
      <c r="J78" s="28"/>
      <c r="K78" s="30" t="str">
        <f t="shared" si="0"/>
        <v>SOLO 2023</v>
      </c>
      <c r="L78" s="31" t="s">
        <v>245</v>
      </c>
    </row>
    <row r="79" spans="1:12" ht="13" x14ac:dyDescent="0.3">
      <c r="A79" s="28" t="s">
        <v>238</v>
      </c>
      <c r="B79" s="29" t="s">
        <v>174</v>
      </c>
      <c r="C79" s="41">
        <v>1</v>
      </c>
      <c r="D79" s="42"/>
      <c r="E79" s="41">
        <v>1</v>
      </c>
      <c r="F79" s="42"/>
      <c r="G79" s="41">
        <v>1</v>
      </c>
      <c r="H79" s="42"/>
      <c r="I79" s="42"/>
      <c r="J79" s="42"/>
      <c r="K79" s="30" t="str">
        <f t="shared" si="0"/>
        <v>NO PARTICIPÓ</v>
      </c>
      <c r="L79" s="43" t="s">
        <v>95</v>
      </c>
    </row>
    <row r="80" spans="1:12" ht="13" x14ac:dyDescent="0.3">
      <c r="A80" s="28" t="s">
        <v>246</v>
      </c>
      <c r="B80" s="29" t="s">
        <v>150</v>
      </c>
      <c r="C80" s="33">
        <v>1</v>
      </c>
      <c r="D80" s="33">
        <v>1</v>
      </c>
      <c r="E80" s="33">
        <v>1</v>
      </c>
      <c r="F80" s="33">
        <v>1</v>
      </c>
      <c r="G80" s="33">
        <v>1</v>
      </c>
      <c r="H80" s="33">
        <v>1</v>
      </c>
      <c r="I80" s="33">
        <v>1</v>
      </c>
      <c r="J80" s="33">
        <v>1</v>
      </c>
      <c r="K80" s="30" t="str">
        <f t="shared" si="0"/>
        <v>PADD 2023 Y 2024</v>
      </c>
      <c r="L80" s="31" t="s">
        <v>53</v>
      </c>
    </row>
    <row r="81" spans="1:12" ht="13" x14ac:dyDescent="0.3">
      <c r="A81" s="28" t="s">
        <v>246</v>
      </c>
      <c r="B81" s="29" t="s">
        <v>143</v>
      </c>
      <c r="C81" s="30">
        <v>1</v>
      </c>
      <c r="D81" s="28"/>
      <c r="E81" s="30">
        <v>1</v>
      </c>
      <c r="F81" s="28"/>
      <c r="G81" s="30">
        <v>1</v>
      </c>
      <c r="H81" s="28"/>
      <c r="I81" s="28"/>
      <c r="J81" s="30">
        <v>1</v>
      </c>
      <c r="K81" s="30" t="str">
        <f t="shared" si="0"/>
        <v>SOLO 2024</v>
      </c>
      <c r="L81" s="31" t="s">
        <v>247</v>
      </c>
    </row>
    <row r="82" spans="1:12" ht="13" x14ac:dyDescent="0.3">
      <c r="A82" s="28" t="s">
        <v>246</v>
      </c>
      <c r="B82" s="29" t="s">
        <v>145</v>
      </c>
      <c r="C82" s="28"/>
      <c r="D82" s="28"/>
      <c r="E82" s="28"/>
      <c r="F82" s="28"/>
      <c r="G82" s="28"/>
      <c r="H82" s="28"/>
      <c r="I82" s="30">
        <v>1</v>
      </c>
      <c r="J82" s="30">
        <v>1</v>
      </c>
      <c r="K82" s="30" t="str">
        <f t="shared" si="0"/>
        <v>PADD 2023 Y 2024</v>
      </c>
      <c r="L82" s="31" t="s">
        <v>248</v>
      </c>
    </row>
    <row r="83" spans="1:12" ht="13" x14ac:dyDescent="0.3">
      <c r="A83" s="28" t="s">
        <v>246</v>
      </c>
      <c r="B83" s="29" t="s">
        <v>147</v>
      </c>
      <c r="C83" s="28"/>
      <c r="D83" s="28"/>
      <c r="E83" s="28"/>
      <c r="F83" s="28"/>
      <c r="G83" s="28"/>
      <c r="H83" s="28"/>
      <c r="I83" s="28"/>
      <c r="J83" s="30">
        <v>1</v>
      </c>
      <c r="K83" s="30" t="str">
        <f t="shared" si="0"/>
        <v>SOLO 2024</v>
      </c>
      <c r="L83" s="31" t="s">
        <v>50</v>
      </c>
    </row>
    <row r="84" spans="1:12" ht="13" x14ac:dyDescent="0.3">
      <c r="A84" s="28" t="s">
        <v>246</v>
      </c>
      <c r="B84" s="29" t="s">
        <v>177</v>
      </c>
      <c r="C84" s="30">
        <v>1</v>
      </c>
      <c r="D84" s="28"/>
      <c r="E84" s="30">
        <v>1</v>
      </c>
      <c r="F84" s="28"/>
      <c r="G84" s="30">
        <v>1</v>
      </c>
      <c r="H84" s="28"/>
      <c r="I84" s="30">
        <v>1</v>
      </c>
      <c r="J84" s="30">
        <v>1</v>
      </c>
      <c r="K84" s="30" t="str">
        <f t="shared" si="0"/>
        <v>PADD 2023 Y 2024</v>
      </c>
      <c r="L84" s="31" t="s">
        <v>249</v>
      </c>
    </row>
    <row r="85" spans="1:12" ht="13" x14ac:dyDescent="0.3">
      <c r="A85" s="28" t="s">
        <v>246</v>
      </c>
      <c r="B85" s="29" t="s">
        <v>149</v>
      </c>
      <c r="C85" s="28"/>
      <c r="D85" s="30">
        <v>1</v>
      </c>
      <c r="E85" s="28"/>
      <c r="F85" s="30">
        <v>1</v>
      </c>
      <c r="G85" s="28"/>
      <c r="H85" s="30">
        <v>1</v>
      </c>
      <c r="I85" s="30">
        <v>1</v>
      </c>
      <c r="J85" s="30">
        <v>1</v>
      </c>
      <c r="K85" s="30" t="str">
        <f t="shared" si="0"/>
        <v>PADD 2023 Y 2024</v>
      </c>
      <c r="L85" s="31" t="s">
        <v>52</v>
      </c>
    </row>
    <row r="86" spans="1:12" ht="13" x14ac:dyDescent="0.3">
      <c r="A86" s="28" t="s">
        <v>246</v>
      </c>
      <c r="B86" s="29" t="s">
        <v>146</v>
      </c>
      <c r="C86" s="28"/>
      <c r="D86" s="28"/>
      <c r="E86" s="28"/>
      <c r="F86" s="28"/>
      <c r="G86" s="28"/>
      <c r="H86" s="28"/>
      <c r="I86" s="30">
        <v>1</v>
      </c>
      <c r="J86" s="30">
        <v>1</v>
      </c>
      <c r="K86" s="30" t="str">
        <f t="shared" si="0"/>
        <v>PADD 2023 Y 2024</v>
      </c>
      <c r="L86" s="31" t="s">
        <v>49</v>
      </c>
    </row>
    <row r="87" spans="1:12" ht="13" x14ac:dyDescent="0.3">
      <c r="A87" s="28" t="s">
        <v>246</v>
      </c>
      <c r="B87" s="29" t="s">
        <v>148</v>
      </c>
      <c r="C87" s="28"/>
      <c r="D87" s="28"/>
      <c r="E87" s="28"/>
      <c r="F87" s="28"/>
      <c r="G87" s="28"/>
      <c r="H87" s="28"/>
      <c r="I87" s="28"/>
      <c r="J87" s="30">
        <v>1</v>
      </c>
      <c r="K87" s="30" t="str">
        <f t="shared" si="0"/>
        <v>SOLO 2024</v>
      </c>
      <c r="L87" s="31" t="s">
        <v>51</v>
      </c>
    </row>
    <row r="88" spans="1:12" ht="13" x14ac:dyDescent="0.3">
      <c r="A88" s="28" t="s">
        <v>246</v>
      </c>
      <c r="B88" s="29" t="s">
        <v>176</v>
      </c>
      <c r="C88" s="30">
        <v>1</v>
      </c>
      <c r="D88" s="28"/>
      <c r="E88" s="30">
        <v>1</v>
      </c>
      <c r="F88" s="28"/>
      <c r="G88" s="30">
        <v>1</v>
      </c>
      <c r="H88" s="28"/>
      <c r="I88" s="28"/>
      <c r="J88" s="30">
        <v>1</v>
      </c>
      <c r="K88" s="30" t="str">
        <f t="shared" si="0"/>
        <v>SOLO 2024</v>
      </c>
      <c r="L88" s="31" t="s">
        <v>250</v>
      </c>
    </row>
    <row r="89" spans="1:12" ht="13" x14ac:dyDescent="0.3">
      <c r="A89" s="28" t="s">
        <v>246</v>
      </c>
      <c r="B89" s="29" t="s">
        <v>180</v>
      </c>
      <c r="C89" s="28"/>
      <c r="D89" s="30">
        <v>1</v>
      </c>
      <c r="E89" s="28"/>
      <c r="F89" s="30">
        <v>1</v>
      </c>
      <c r="G89" s="28"/>
      <c r="H89" s="30">
        <v>1</v>
      </c>
      <c r="I89" s="30">
        <v>1</v>
      </c>
      <c r="J89" s="28"/>
      <c r="K89" s="30" t="str">
        <f t="shared" si="0"/>
        <v>SOLO 2023</v>
      </c>
      <c r="L89" s="31" t="s">
        <v>119</v>
      </c>
    </row>
    <row r="90" spans="1:12" ht="13" x14ac:dyDescent="0.3">
      <c r="A90" s="28" t="s">
        <v>246</v>
      </c>
      <c r="B90" s="29" t="s">
        <v>179</v>
      </c>
      <c r="C90" s="28"/>
      <c r="D90" s="30">
        <v>1</v>
      </c>
      <c r="E90" s="28"/>
      <c r="F90" s="30">
        <v>1</v>
      </c>
      <c r="G90" s="28"/>
      <c r="H90" s="30">
        <v>1</v>
      </c>
      <c r="I90" s="30">
        <v>1</v>
      </c>
      <c r="J90" s="28"/>
      <c r="K90" s="30" t="str">
        <f t="shared" si="0"/>
        <v>SOLO 2023</v>
      </c>
      <c r="L90" s="31" t="s">
        <v>117</v>
      </c>
    </row>
    <row r="91" spans="1:12" ht="13" x14ac:dyDescent="0.3">
      <c r="A91" s="28" t="s">
        <v>246</v>
      </c>
      <c r="B91" s="29" t="s">
        <v>175</v>
      </c>
      <c r="C91" s="30">
        <v>1</v>
      </c>
      <c r="D91" s="30">
        <v>1</v>
      </c>
      <c r="E91" s="30">
        <v>1</v>
      </c>
      <c r="F91" s="30">
        <v>1</v>
      </c>
      <c r="G91" s="30">
        <v>1</v>
      </c>
      <c r="H91" s="30">
        <v>1</v>
      </c>
      <c r="I91" s="30">
        <v>1</v>
      </c>
      <c r="J91" s="28"/>
      <c r="K91" s="30" t="str">
        <f t="shared" si="0"/>
        <v>SOLO 2023</v>
      </c>
      <c r="L91" s="31" t="s">
        <v>116</v>
      </c>
    </row>
    <row r="92" spans="1:12" ht="13" x14ac:dyDescent="0.3">
      <c r="A92" s="28" t="s">
        <v>246</v>
      </c>
      <c r="B92" s="29" t="s">
        <v>289</v>
      </c>
      <c r="C92" s="41">
        <v>1</v>
      </c>
      <c r="D92" s="41">
        <v>1</v>
      </c>
      <c r="E92" s="41">
        <v>1</v>
      </c>
      <c r="F92" s="41">
        <v>1</v>
      </c>
      <c r="G92" s="41">
        <v>1</v>
      </c>
      <c r="H92" s="41">
        <v>1</v>
      </c>
      <c r="I92" s="42"/>
      <c r="J92" s="42"/>
      <c r="K92" s="30" t="str">
        <f t="shared" si="0"/>
        <v>NO PARTICIPÓ</v>
      </c>
      <c r="L92" s="43" t="s">
        <v>115</v>
      </c>
    </row>
    <row r="93" spans="1:12" ht="13" x14ac:dyDescent="0.3">
      <c r="A93" s="28" t="s">
        <v>246</v>
      </c>
      <c r="B93" s="29" t="s">
        <v>251</v>
      </c>
      <c r="C93" s="28"/>
      <c r="D93" s="28"/>
      <c r="E93" s="28"/>
      <c r="F93" s="28"/>
      <c r="G93" s="28"/>
      <c r="H93" s="28"/>
      <c r="I93" s="30">
        <v>1</v>
      </c>
      <c r="J93" s="28"/>
      <c r="K93" s="30" t="str">
        <f t="shared" si="0"/>
        <v>SOLO 2023</v>
      </c>
      <c r="L93" s="31" t="s">
        <v>251</v>
      </c>
    </row>
    <row r="94" spans="1:12" ht="13" x14ac:dyDescent="0.3">
      <c r="A94" s="28" t="s">
        <v>246</v>
      </c>
      <c r="B94" s="29" t="s">
        <v>2027</v>
      </c>
      <c r="C94" s="28"/>
      <c r="D94" s="28"/>
      <c r="E94" s="28"/>
      <c r="F94" s="28"/>
      <c r="G94" s="28"/>
      <c r="H94" s="28"/>
      <c r="I94" s="30">
        <v>1</v>
      </c>
      <c r="J94" s="28"/>
      <c r="K94" s="30" t="str">
        <f t="shared" si="0"/>
        <v>SOLO 2023</v>
      </c>
      <c r="L94" s="31" t="s">
        <v>252</v>
      </c>
    </row>
    <row r="95" spans="1:12" ht="13" x14ac:dyDescent="0.3">
      <c r="A95" s="28" t="s">
        <v>246</v>
      </c>
      <c r="B95" s="29" t="s">
        <v>253</v>
      </c>
      <c r="C95" s="28"/>
      <c r="D95" s="28"/>
      <c r="E95" s="28"/>
      <c r="F95" s="28"/>
      <c r="G95" s="28"/>
      <c r="H95" s="28"/>
      <c r="I95" s="30">
        <v>1</v>
      </c>
      <c r="J95" s="28"/>
      <c r="K95" s="30" t="str">
        <f t="shared" si="0"/>
        <v>SOLO 2023</v>
      </c>
      <c r="L95" s="31" t="s">
        <v>253</v>
      </c>
    </row>
    <row r="96" spans="1:12" ht="13" x14ac:dyDescent="0.3">
      <c r="A96" s="28" t="s">
        <v>246</v>
      </c>
      <c r="B96" s="29" t="s">
        <v>446</v>
      </c>
      <c r="C96" s="28"/>
      <c r="D96" s="28"/>
      <c r="E96" s="28"/>
      <c r="F96" s="28"/>
      <c r="G96" s="28"/>
      <c r="H96" s="28"/>
      <c r="I96" s="30">
        <v>1</v>
      </c>
      <c r="J96" s="28"/>
      <c r="K96" s="30" t="str">
        <f t="shared" si="0"/>
        <v>SOLO 2023</v>
      </c>
      <c r="L96" s="31" t="s">
        <v>254</v>
      </c>
    </row>
    <row r="97" spans="1:12" ht="13" x14ac:dyDescent="0.3">
      <c r="A97" s="28" t="s">
        <v>246</v>
      </c>
      <c r="B97" s="29" t="s">
        <v>2028</v>
      </c>
      <c r="C97" s="28"/>
      <c r="D97" s="28"/>
      <c r="E97" s="28"/>
      <c r="F97" s="28"/>
      <c r="G97" s="28"/>
      <c r="H97" s="28"/>
      <c r="I97" s="30">
        <v>1</v>
      </c>
      <c r="J97" s="28"/>
      <c r="K97" s="30" t="str">
        <f t="shared" si="0"/>
        <v>SOLO 2023</v>
      </c>
      <c r="L97" s="31" t="s">
        <v>255</v>
      </c>
    </row>
    <row r="98" spans="1:12" ht="13" x14ac:dyDescent="0.3">
      <c r="A98" s="28" t="s">
        <v>246</v>
      </c>
      <c r="B98" s="29" t="s">
        <v>256</v>
      </c>
      <c r="C98" s="28"/>
      <c r="D98" s="28"/>
      <c r="E98" s="28"/>
      <c r="F98" s="28"/>
      <c r="G98" s="28"/>
      <c r="H98" s="28"/>
      <c r="I98" s="30">
        <v>1</v>
      </c>
      <c r="J98" s="28"/>
      <c r="K98" s="30" t="str">
        <f t="shared" si="0"/>
        <v>SOLO 2023</v>
      </c>
      <c r="L98" s="31" t="s">
        <v>256</v>
      </c>
    </row>
    <row r="99" spans="1:12" ht="13" x14ac:dyDescent="0.3">
      <c r="A99" s="28" t="s">
        <v>246</v>
      </c>
      <c r="B99" s="29" t="s">
        <v>144</v>
      </c>
      <c r="C99" s="30">
        <v>1</v>
      </c>
      <c r="D99" s="28"/>
      <c r="E99" s="30">
        <v>1</v>
      </c>
      <c r="F99" s="28"/>
      <c r="G99" s="30">
        <v>1</v>
      </c>
      <c r="H99" s="28"/>
      <c r="I99" s="30">
        <v>1</v>
      </c>
      <c r="J99" s="28"/>
      <c r="K99" s="30" t="str">
        <f t="shared" si="0"/>
        <v>SOLO 2023</v>
      </c>
      <c r="L99" s="31" t="s">
        <v>257</v>
      </c>
    </row>
    <row r="100" spans="1:12" ht="13" x14ac:dyDescent="0.3">
      <c r="A100" s="28" t="s">
        <v>258</v>
      </c>
      <c r="B100" s="29" t="s">
        <v>151</v>
      </c>
      <c r="C100" s="28"/>
      <c r="D100" s="30">
        <v>1</v>
      </c>
      <c r="E100" s="28"/>
      <c r="F100" s="30">
        <v>1</v>
      </c>
      <c r="G100" s="28"/>
      <c r="H100" s="30">
        <v>1</v>
      </c>
      <c r="I100" s="30">
        <v>1</v>
      </c>
      <c r="J100" s="30">
        <v>1</v>
      </c>
      <c r="K100" s="30" t="str">
        <f t="shared" si="0"/>
        <v>PADD 2023 Y 2024</v>
      </c>
      <c r="L100" s="31" t="s">
        <v>114</v>
      </c>
    </row>
    <row r="101" spans="1:12" ht="13" x14ac:dyDescent="0.3">
      <c r="A101" s="28" t="s">
        <v>258</v>
      </c>
      <c r="B101" s="29" t="s">
        <v>259</v>
      </c>
      <c r="C101" s="28"/>
      <c r="D101" s="30">
        <v>1</v>
      </c>
      <c r="E101" s="28"/>
      <c r="F101" s="30">
        <v>1</v>
      </c>
      <c r="G101" s="28"/>
      <c r="H101" s="28"/>
      <c r="I101" s="30">
        <v>1</v>
      </c>
      <c r="J101" s="28"/>
      <c r="K101" s="30" t="str">
        <f t="shared" si="0"/>
        <v>SOLO 2023</v>
      </c>
      <c r="L101" s="31" t="s">
        <v>259</v>
      </c>
    </row>
    <row r="102" spans="1:12" ht="13" x14ac:dyDescent="0.3">
      <c r="A102" s="28" t="s">
        <v>258</v>
      </c>
      <c r="B102" s="29" t="s">
        <v>2029</v>
      </c>
      <c r="C102" s="44"/>
      <c r="D102" s="45">
        <v>1</v>
      </c>
      <c r="E102" s="44"/>
      <c r="F102" s="45">
        <v>1</v>
      </c>
      <c r="G102" s="44"/>
      <c r="H102" s="44"/>
      <c r="I102" s="45">
        <v>1</v>
      </c>
      <c r="J102" s="44"/>
      <c r="K102" s="30" t="str">
        <f t="shared" si="0"/>
        <v>SOLO 2023</v>
      </c>
      <c r="L102" s="46" t="s">
        <v>260</v>
      </c>
    </row>
    <row r="103" spans="1:12" ht="13" x14ac:dyDescent="0.3">
      <c r="A103" s="28" t="s">
        <v>258</v>
      </c>
      <c r="B103" s="29" t="s">
        <v>2030</v>
      </c>
      <c r="C103" s="47"/>
      <c r="D103" s="48">
        <v>1</v>
      </c>
      <c r="E103" s="47"/>
      <c r="F103" s="48">
        <v>1</v>
      </c>
      <c r="G103" s="47"/>
      <c r="H103" s="47"/>
      <c r="I103" s="47"/>
      <c r="J103" s="47"/>
      <c r="K103" s="30" t="str">
        <f t="shared" si="0"/>
        <v>NO PARTICIPÓ</v>
      </c>
      <c r="L103" s="49" t="s">
        <v>261</v>
      </c>
    </row>
    <row r="104" spans="1:12" ht="13" x14ac:dyDescent="0.3">
      <c r="A104" s="28" t="s">
        <v>258</v>
      </c>
      <c r="B104" s="29" t="s">
        <v>178</v>
      </c>
      <c r="C104" s="34">
        <v>1</v>
      </c>
      <c r="D104" s="28"/>
      <c r="E104" s="34">
        <v>1</v>
      </c>
      <c r="F104" s="28"/>
      <c r="G104" s="34">
        <v>1</v>
      </c>
      <c r="H104" s="28"/>
      <c r="I104" s="28"/>
      <c r="J104" s="28"/>
      <c r="K104" s="30" t="str">
        <f t="shared" si="0"/>
        <v>NO PARTICIPÓ</v>
      </c>
      <c r="L104" s="35" t="s">
        <v>105</v>
      </c>
    </row>
    <row r="105" spans="1:12" ht="13" x14ac:dyDescent="0.3">
      <c r="A105" s="28" t="s">
        <v>258</v>
      </c>
      <c r="B105" s="29" t="s">
        <v>288</v>
      </c>
      <c r="C105" s="34">
        <v>1</v>
      </c>
      <c r="D105" s="28"/>
      <c r="E105" s="34">
        <v>1</v>
      </c>
      <c r="F105" s="28"/>
      <c r="G105" s="34">
        <v>1</v>
      </c>
      <c r="H105" s="28"/>
      <c r="I105" s="28"/>
      <c r="J105" s="28"/>
      <c r="K105" s="30" t="str">
        <f t="shared" si="0"/>
        <v>NO PARTICIPÓ</v>
      </c>
      <c r="L105" s="35" t="s">
        <v>106</v>
      </c>
    </row>
    <row r="106" spans="1:12" ht="13" x14ac:dyDescent="0.3">
      <c r="A106" s="28" t="s">
        <v>258</v>
      </c>
      <c r="B106" s="29" t="s">
        <v>57</v>
      </c>
      <c r="C106" s="30">
        <v>1</v>
      </c>
      <c r="D106" s="28"/>
      <c r="E106" s="30">
        <v>1</v>
      </c>
      <c r="F106" s="28"/>
      <c r="G106" s="30">
        <v>1</v>
      </c>
      <c r="H106" s="28"/>
      <c r="I106" s="30">
        <v>1</v>
      </c>
      <c r="J106" s="30">
        <v>1</v>
      </c>
      <c r="K106" s="30" t="str">
        <f t="shared" si="0"/>
        <v>PADD 2023 Y 2024</v>
      </c>
      <c r="L106" s="31" t="s">
        <v>57</v>
      </c>
    </row>
    <row r="107" spans="1:12" ht="13" x14ac:dyDescent="0.3">
      <c r="A107" s="28" t="s">
        <v>258</v>
      </c>
      <c r="B107" s="29" t="s">
        <v>262</v>
      </c>
      <c r="C107" s="28"/>
      <c r="D107" s="28"/>
      <c r="E107" s="28"/>
      <c r="F107" s="28"/>
      <c r="G107" s="28"/>
      <c r="H107" s="28"/>
      <c r="I107" s="30">
        <v>1</v>
      </c>
      <c r="J107" s="30">
        <v>1</v>
      </c>
      <c r="K107" s="30" t="str">
        <f t="shared" si="0"/>
        <v>PADD 2023 Y 2024</v>
      </c>
      <c r="L107" s="31" t="s">
        <v>262</v>
      </c>
    </row>
    <row r="108" spans="1:12" ht="13" x14ac:dyDescent="0.3">
      <c r="A108" s="28" t="s">
        <v>258</v>
      </c>
      <c r="B108" s="29" t="s">
        <v>263</v>
      </c>
      <c r="C108" s="28"/>
      <c r="D108" s="28"/>
      <c r="E108" s="28"/>
      <c r="F108" s="28"/>
      <c r="G108" s="28"/>
      <c r="H108" s="28"/>
      <c r="I108" s="28"/>
      <c r="J108" s="30">
        <v>1</v>
      </c>
      <c r="K108" s="30" t="str">
        <f t="shared" si="0"/>
        <v>SOLO 2024</v>
      </c>
      <c r="L108" s="31" t="s">
        <v>263</v>
      </c>
    </row>
    <row r="109" spans="1:12" ht="13" x14ac:dyDescent="0.3">
      <c r="A109" s="28" t="s">
        <v>258</v>
      </c>
      <c r="B109" s="29" t="s">
        <v>264</v>
      </c>
      <c r="C109" s="28"/>
      <c r="D109" s="28"/>
      <c r="E109" s="28"/>
      <c r="F109" s="28"/>
      <c r="G109" s="28"/>
      <c r="H109" s="28"/>
      <c r="I109" s="28"/>
      <c r="J109" s="30">
        <v>1</v>
      </c>
      <c r="K109" s="30" t="str">
        <f t="shared" si="0"/>
        <v>SOLO 2024</v>
      </c>
      <c r="L109" s="31" t="s">
        <v>264</v>
      </c>
    </row>
    <row r="110" spans="1:12" ht="13" x14ac:dyDescent="0.3">
      <c r="A110" s="28" t="s">
        <v>258</v>
      </c>
      <c r="B110" s="29" t="s">
        <v>265</v>
      </c>
      <c r="C110" s="28"/>
      <c r="D110" s="28"/>
      <c r="E110" s="28"/>
      <c r="F110" s="28"/>
      <c r="G110" s="28"/>
      <c r="H110" s="28"/>
      <c r="I110" s="28"/>
      <c r="J110" s="30">
        <v>1</v>
      </c>
      <c r="K110" s="30" t="str">
        <f t="shared" si="0"/>
        <v>SOLO 2024</v>
      </c>
      <c r="L110" s="31" t="s">
        <v>265</v>
      </c>
    </row>
    <row r="111" spans="1:12" ht="13" x14ac:dyDescent="0.3">
      <c r="A111" s="28" t="s">
        <v>258</v>
      </c>
      <c r="B111" s="29" t="s">
        <v>59</v>
      </c>
      <c r="C111" s="44"/>
      <c r="D111" s="44"/>
      <c r="E111" s="44"/>
      <c r="F111" s="44"/>
      <c r="G111" s="44"/>
      <c r="H111" s="44"/>
      <c r="I111" s="45">
        <v>1</v>
      </c>
      <c r="J111" s="45">
        <v>1</v>
      </c>
      <c r="K111" s="30" t="str">
        <f t="shared" si="0"/>
        <v>PADD 2023 Y 2024</v>
      </c>
      <c r="L111" s="46" t="s">
        <v>59</v>
      </c>
    </row>
    <row r="112" spans="1:12" ht="13" x14ac:dyDescent="0.3">
      <c r="A112" s="28" t="s">
        <v>258</v>
      </c>
      <c r="B112" s="29" t="s">
        <v>152</v>
      </c>
      <c r="C112" s="50"/>
      <c r="D112" s="50"/>
      <c r="E112" s="50"/>
      <c r="F112" s="50"/>
      <c r="G112" s="50"/>
      <c r="H112" s="50"/>
      <c r="I112" s="50"/>
      <c r="J112" s="51">
        <v>1</v>
      </c>
      <c r="K112" s="30" t="str">
        <f t="shared" si="0"/>
        <v>SOLO 2024</v>
      </c>
      <c r="L112" s="52" t="s">
        <v>56</v>
      </c>
    </row>
    <row r="113" spans="1:12" ht="13" x14ac:dyDescent="0.3">
      <c r="A113" s="28" t="s">
        <v>258</v>
      </c>
      <c r="B113" s="29" t="s">
        <v>266</v>
      </c>
      <c r="C113" s="28"/>
      <c r="D113" s="28"/>
      <c r="E113" s="28"/>
      <c r="F113" s="28"/>
      <c r="G113" s="28"/>
      <c r="H113" s="28"/>
      <c r="I113" s="28"/>
      <c r="J113" s="30">
        <v>1</v>
      </c>
      <c r="K113" s="30" t="str">
        <f t="shared" si="0"/>
        <v>SOLO 2024</v>
      </c>
      <c r="L113" s="31" t="s">
        <v>266</v>
      </c>
    </row>
    <row r="114" spans="1:12" ht="13" x14ac:dyDescent="0.3">
      <c r="A114" s="28" t="s">
        <v>258</v>
      </c>
      <c r="B114" s="29" t="s">
        <v>58</v>
      </c>
      <c r="C114" s="28"/>
      <c r="D114" s="28"/>
      <c r="E114" s="28"/>
      <c r="F114" s="28"/>
      <c r="G114" s="28"/>
      <c r="H114" s="28"/>
      <c r="I114" s="30">
        <v>1</v>
      </c>
      <c r="J114" s="30">
        <v>1</v>
      </c>
      <c r="K114" s="30" t="str">
        <f t="shared" si="0"/>
        <v>PADD 2023 Y 2024</v>
      </c>
      <c r="L114" s="31" t="s">
        <v>267</v>
      </c>
    </row>
    <row r="115" spans="1:12" ht="13" x14ac:dyDescent="0.3">
      <c r="A115" s="28" t="s">
        <v>258</v>
      </c>
      <c r="B115" s="29" t="s">
        <v>268</v>
      </c>
      <c r="C115" s="50"/>
      <c r="D115" s="50"/>
      <c r="E115" s="50"/>
      <c r="F115" s="50"/>
      <c r="G115" s="50"/>
      <c r="H115" s="50"/>
      <c r="I115" s="50"/>
      <c r="J115" s="51">
        <v>1</v>
      </c>
      <c r="K115" s="30" t="str">
        <f t="shared" si="0"/>
        <v>SOLO 2024</v>
      </c>
      <c r="L115" s="52" t="s">
        <v>268</v>
      </c>
    </row>
    <row r="116" spans="1:12" ht="13" x14ac:dyDescent="0.3">
      <c r="A116" s="28" t="s">
        <v>258</v>
      </c>
      <c r="B116" s="29" t="s">
        <v>269</v>
      </c>
      <c r="C116" s="28"/>
      <c r="D116" s="28"/>
      <c r="E116" s="28"/>
      <c r="F116" s="28"/>
      <c r="G116" s="28"/>
      <c r="H116" s="28"/>
      <c r="I116" s="30">
        <v>1</v>
      </c>
      <c r="J116" s="28"/>
      <c r="K116" s="30" t="str">
        <f t="shared" si="0"/>
        <v>SOLO 2023</v>
      </c>
      <c r="L116" s="31" t="s">
        <v>269</v>
      </c>
    </row>
    <row r="117" spans="1:12" ht="13" x14ac:dyDescent="0.3">
      <c r="A117" s="28" t="s">
        <v>258</v>
      </c>
      <c r="B117" s="29" t="s">
        <v>423</v>
      </c>
      <c r="C117" s="28"/>
      <c r="D117" s="28"/>
      <c r="E117" s="28"/>
      <c r="F117" s="28"/>
      <c r="G117" s="28"/>
      <c r="H117" s="28"/>
      <c r="I117" s="30">
        <v>1</v>
      </c>
      <c r="J117" s="28"/>
      <c r="K117" s="30" t="str">
        <f t="shared" si="0"/>
        <v>SOLO 2023</v>
      </c>
      <c r="L117" s="31" t="s">
        <v>270</v>
      </c>
    </row>
    <row r="118" spans="1:12" ht="13" x14ac:dyDescent="0.3">
      <c r="A118" s="28" t="s">
        <v>258</v>
      </c>
      <c r="B118" s="29" t="s">
        <v>411</v>
      </c>
      <c r="C118" s="47"/>
      <c r="D118" s="47"/>
      <c r="E118" s="47"/>
      <c r="F118" s="47"/>
      <c r="G118" s="47"/>
      <c r="H118" s="47"/>
      <c r="I118" s="48">
        <v>1</v>
      </c>
      <c r="J118" s="47"/>
      <c r="K118" s="30" t="str">
        <f t="shared" si="0"/>
        <v>SOLO 2023</v>
      </c>
      <c r="L118" s="49" t="s">
        <v>271</v>
      </c>
    </row>
    <row r="119" spans="1:12" ht="13" x14ac:dyDescent="0.3">
      <c r="A119" s="28" t="s">
        <v>258</v>
      </c>
      <c r="B119" s="29" t="s">
        <v>107</v>
      </c>
      <c r="C119" s="30">
        <v>1</v>
      </c>
      <c r="D119" s="28"/>
      <c r="E119" s="30">
        <v>1</v>
      </c>
      <c r="F119" s="28"/>
      <c r="G119" s="30">
        <v>1</v>
      </c>
      <c r="H119" s="28"/>
      <c r="I119" s="30">
        <v>1</v>
      </c>
      <c r="J119" s="28"/>
      <c r="K119" s="30" t="str">
        <f t="shared" si="0"/>
        <v>SOLO 2023</v>
      </c>
      <c r="L119" s="31" t="s">
        <v>107</v>
      </c>
    </row>
    <row r="120" spans="1:12" ht="13" x14ac:dyDescent="0.3">
      <c r="A120" s="28" t="s">
        <v>258</v>
      </c>
      <c r="B120" s="29" t="s">
        <v>108</v>
      </c>
      <c r="C120" s="34">
        <v>1</v>
      </c>
      <c r="D120" s="28"/>
      <c r="E120" s="34">
        <v>1</v>
      </c>
      <c r="F120" s="28"/>
      <c r="G120" s="34">
        <v>1</v>
      </c>
      <c r="H120" s="28"/>
      <c r="I120" s="28"/>
      <c r="J120" s="28"/>
      <c r="K120" s="30" t="str">
        <f t="shared" si="0"/>
        <v>NO PARTICIPÓ</v>
      </c>
      <c r="L120" s="35" t="s">
        <v>108</v>
      </c>
    </row>
    <row r="121" spans="1:12" ht="13" x14ac:dyDescent="0.3">
      <c r="A121" s="28" t="s">
        <v>258</v>
      </c>
      <c r="B121" s="29" t="s">
        <v>109</v>
      </c>
      <c r="C121" s="34">
        <v>1</v>
      </c>
      <c r="D121" s="28"/>
      <c r="E121" s="34">
        <v>1</v>
      </c>
      <c r="F121" s="28"/>
      <c r="G121" s="34">
        <v>1</v>
      </c>
      <c r="H121" s="28"/>
      <c r="I121" s="28"/>
      <c r="J121" s="28"/>
      <c r="K121" s="30" t="str">
        <f t="shared" si="0"/>
        <v>NO PARTICIPÓ</v>
      </c>
      <c r="L121" s="35" t="s">
        <v>109</v>
      </c>
    </row>
    <row r="122" spans="1:12" ht="12.5" x14ac:dyDescent="0.25">
      <c r="A122" s="290" t="s">
        <v>272</v>
      </c>
      <c r="B122" s="291"/>
      <c r="C122" s="53">
        <f t="shared" ref="C122:J122" si="1">+SUM(C2:C121)</f>
        <v>36</v>
      </c>
      <c r="D122" s="54">
        <f t="shared" si="1"/>
        <v>45</v>
      </c>
      <c r="E122" s="54">
        <f t="shared" si="1"/>
        <v>36</v>
      </c>
      <c r="F122" s="54">
        <f t="shared" si="1"/>
        <v>45</v>
      </c>
      <c r="G122" s="54">
        <f t="shared" si="1"/>
        <v>23</v>
      </c>
      <c r="H122" s="54">
        <f t="shared" si="1"/>
        <v>30</v>
      </c>
      <c r="I122" s="54">
        <f t="shared" si="1"/>
        <v>67</v>
      </c>
      <c r="J122" s="54">
        <f t="shared" si="1"/>
        <v>71</v>
      </c>
      <c r="K122" s="54"/>
      <c r="L122" s="55" t="s">
        <v>273</v>
      </c>
    </row>
    <row r="123" spans="1:12" ht="12.5" x14ac:dyDescent="0.25">
      <c r="L123" s="56"/>
    </row>
    <row r="124" spans="1:12" ht="12.5" x14ac:dyDescent="0.25">
      <c r="L124" s="56"/>
    </row>
    <row r="125" spans="1:12" ht="12.5" x14ac:dyDescent="0.25">
      <c r="L125" s="56"/>
    </row>
    <row r="126" spans="1:12" ht="12.5" x14ac:dyDescent="0.25">
      <c r="L126" s="56"/>
    </row>
    <row r="127" spans="1:12" ht="12.5" x14ac:dyDescent="0.25">
      <c r="L127" s="56"/>
    </row>
    <row r="128" spans="1:12" ht="12.5" x14ac:dyDescent="0.25">
      <c r="L128" s="56"/>
    </row>
    <row r="129" spans="12:12" ht="12.5" x14ac:dyDescent="0.25">
      <c r="L129" s="56"/>
    </row>
    <row r="130" spans="12:12" ht="12.5" x14ac:dyDescent="0.25">
      <c r="L130" s="56"/>
    </row>
    <row r="131" spans="12:12" ht="12.5" x14ac:dyDescent="0.25">
      <c r="L131" s="56"/>
    </row>
    <row r="132" spans="12:12" ht="12.5" x14ac:dyDescent="0.25">
      <c r="L132" s="56"/>
    </row>
    <row r="133" spans="12:12" ht="12.5" x14ac:dyDescent="0.25">
      <c r="L133" s="56"/>
    </row>
    <row r="134" spans="12:12" ht="12.5" x14ac:dyDescent="0.25">
      <c r="L134" s="56"/>
    </row>
    <row r="135" spans="12:12" ht="12.5" x14ac:dyDescent="0.25">
      <c r="L135" s="56"/>
    </row>
    <row r="136" spans="12:12" ht="12.5" x14ac:dyDescent="0.25">
      <c r="L136" s="56"/>
    </row>
    <row r="137" spans="12:12" ht="12.5" x14ac:dyDescent="0.25">
      <c r="L137" s="56"/>
    </row>
    <row r="138" spans="12:12" ht="12.5" x14ac:dyDescent="0.25">
      <c r="L138" s="56"/>
    </row>
    <row r="139" spans="12:12" ht="12.5" x14ac:dyDescent="0.25">
      <c r="L139" s="56"/>
    </row>
    <row r="140" spans="12:12" ht="12.5" x14ac:dyDescent="0.25">
      <c r="L140" s="56"/>
    </row>
    <row r="141" spans="12:12" ht="12.5" x14ac:dyDescent="0.25">
      <c r="L141" s="56"/>
    </row>
    <row r="142" spans="12:12" ht="12.5" x14ac:dyDescent="0.25">
      <c r="L142" s="56"/>
    </row>
    <row r="143" spans="12:12" ht="12.5" x14ac:dyDescent="0.25">
      <c r="L143" s="56"/>
    </row>
    <row r="144" spans="12:12" ht="12.5" x14ac:dyDescent="0.25">
      <c r="L144" s="56"/>
    </row>
    <row r="145" spans="12:12" ht="12.5" x14ac:dyDescent="0.25">
      <c r="L145" s="56"/>
    </row>
    <row r="146" spans="12:12" ht="12.5" x14ac:dyDescent="0.25">
      <c r="L146" s="56"/>
    </row>
    <row r="147" spans="12:12" ht="12.5" x14ac:dyDescent="0.25">
      <c r="L147" s="56"/>
    </row>
    <row r="148" spans="12:12" ht="12.5" x14ac:dyDescent="0.25">
      <c r="L148" s="56"/>
    </row>
    <row r="149" spans="12:12" ht="12.5" x14ac:dyDescent="0.25">
      <c r="L149" s="56"/>
    </row>
    <row r="150" spans="12:12" ht="12.5" x14ac:dyDescent="0.25">
      <c r="L150" s="56"/>
    </row>
    <row r="151" spans="12:12" ht="12.5" x14ac:dyDescent="0.25">
      <c r="L151" s="56"/>
    </row>
    <row r="152" spans="12:12" ht="12.5" x14ac:dyDescent="0.25">
      <c r="L152" s="56"/>
    </row>
    <row r="153" spans="12:12" ht="12.5" x14ac:dyDescent="0.25">
      <c r="L153" s="56"/>
    </row>
    <row r="154" spans="12:12" ht="12.5" x14ac:dyDescent="0.25">
      <c r="L154" s="56"/>
    </row>
    <row r="155" spans="12:12" ht="12.5" x14ac:dyDescent="0.25">
      <c r="L155" s="56"/>
    </row>
    <row r="156" spans="12:12" ht="12.5" x14ac:dyDescent="0.25">
      <c r="L156" s="56"/>
    </row>
    <row r="157" spans="12:12" ht="12.5" x14ac:dyDescent="0.25">
      <c r="L157" s="56"/>
    </row>
    <row r="158" spans="12:12" ht="12.5" x14ac:dyDescent="0.25">
      <c r="L158" s="56"/>
    </row>
    <row r="159" spans="12:12" ht="12.5" x14ac:dyDescent="0.25">
      <c r="L159" s="56"/>
    </row>
    <row r="160" spans="12:12" ht="12.5" x14ac:dyDescent="0.25">
      <c r="L160" s="56"/>
    </row>
    <row r="161" spans="12:12" ht="12.5" x14ac:dyDescent="0.25">
      <c r="L161" s="56"/>
    </row>
    <row r="162" spans="12:12" ht="12.5" x14ac:dyDescent="0.25">
      <c r="L162" s="56"/>
    </row>
    <row r="163" spans="12:12" ht="12.5" x14ac:dyDescent="0.25">
      <c r="L163" s="56"/>
    </row>
    <row r="164" spans="12:12" ht="12.5" x14ac:dyDescent="0.25">
      <c r="L164" s="56"/>
    </row>
    <row r="165" spans="12:12" ht="12.5" x14ac:dyDescent="0.25">
      <c r="L165" s="56"/>
    </row>
    <row r="166" spans="12:12" ht="12.5" x14ac:dyDescent="0.25">
      <c r="L166" s="56"/>
    </row>
    <row r="167" spans="12:12" ht="12.5" x14ac:dyDescent="0.25">
      <c r="L167" s="56"/>
    </row>
    <row r="168" spans="12:12" ht="12.5" x14ac:dyDescent="0.25">
      <c r="L168" s="56"/>
    </row>
    <row r="169" spans="12:12" ht="12.5" x14ac:dyDescent="0.25">
      <c r="L169" s="56"/>
    </row>
    <row r="170" spans="12:12" ht="12.5" x14ac:dyDescent="0.25">
      <c r="L170" s="56"/>
    </row>
    <row r="171" spans="12:12" ht="12.5" x14ac:dyDescent="0.25">
      <c r="L171" s="56"/>
    </row>
    <row r="172" spans="12:12" ht="12.5" x14ac:dyDescent="0.25">
      <c r="L172" s="56"/>
    </row>
    <row r="173" spans="12:12" ht="12.5" x14ac:dyDescent="0.25">
      <c r="L173" s="56"/>
    </row>
    <row r="174" spans="12:12" ht="12.5" x14ac:dyDescent="0.25">
      <c r="L174" s="56"/>
    </row>
    <row r="175" spans="12:12" ht="12.5" x14ac:dyDescent="0.25">
      <c r="L175" s="56"/>
    </row>
    <row r="176" spans="12:12" ht="12.5" x14ac:dyDescent="0.25">
      <c r="L176" s="56"/>
    </row>
    <row r="177" spans="12:12" ht="12.5" x14ac:dyDescent="0.25">
      <c r="L177" s="56"/>
    </row>
    <row r="178" spans="12:12" ht="12.5" x14ac:dyDescent="0.25">
      <c r="L178" s="56"/>
    </row>
    <row r="179" spans="12:12" ht="12.5" x14ac:dyDescent="0.25">
      <c r="L179" s="56"/>
    </row>
    <row r="180" spans="12:12" ht="12.5" x14ac:dyDescent="0.25">
      <c r="L180" s="56"/>
    </row>
    <row r="181" spans="12:12" ht="12.5" x14ac:dyDescent="0.25">
      <c r="L181" s="56"/>
    </row>
    <row r="182" spans="12:12" ht="12.5" x14ac:dyDescent="0.25">
      <c r="L182" s="56"/>
    </row>
    <row r="183" spans="12:12" ht="12.5" x14ac:dyDescent="0.25">
      <c r="L183" s="56"/>
    </row>
    <row r="184" spans="12:12" ht="12.5" x14ac:dyDescent="0.25">
      <c r="L184" s="56"/>
    </row>
    <row r="185" spans="12:12" ht="12.5" x14ac:dyDescent="0.25">
      <c r="L185" s="56"/>
    </row>
    <row r="186" spans="12:12" ht="12.5" x14ac:dyDescent="0.25">
      <c r="L186" s="56"/>
    </row>
    <row r="187" spans="12:12" ht="12.5" x14ac:dyDescent="0.25">
      <c r="L187" s="56"/>
    </row>
    <row r="188" spans="12:12" ht="12.5" x14ac:dyDescent="0.25">
      <c r="L188" s="56"/>
    </row>
    <row r="189" spans="12:12" ht="12.5" x14ac:dyDescent="0.25">
      <c r="L189" s="56"/>
    </row>
    <row r="190" spans="12:12" ht="12.5" x14ac:dyDescent="0.25">
      <c r="L190" s="56"/>
    </row>
    <row r="191" spans="12:12" ht="12.5" x14ac:dyDescent="0.25">
      <c r="L191" s="56"/>
    </row>
    <row r="192" spans="12:12" ht="12.5" x14ac:dyDescent="0.25">
      <c r="L192" s="56"/>
    </row>
    <row r="193" spans="12:12" ht="12.5" x14ac:dyDescent="0.25">
      <c r="L193" s="56"/>
    </row>
    <row r="194" spans="12:12" ht="12.5" x14ac:dyDescent="0.25">
      <c r="L194" s="56"/>
    </row>
    <row r="195" spans="12:12" ht="12.5" x14ac:dyDescent="0.25">
      <c r="L195" s="56"/>
    </row>
    <row r="196" spans="12:12" ht="12.5" x14ac:dyDescent="0.25">
      <c r="L196" s="56"/>
    </row>
    <row r="197" spans="12:12" ht="12.5" x14ac:dyDescent="0.25">
      <c r="L197" s="56"/>
    </row>
    <row r="198" spans="12:12" ht="12.5" x14ac:dyDescent="0.25">
      <c r="L198" s="56"/>
    </row>
    <row r="199" spans="12:12" ht="12.5" x14ac:dyDescent="0.25">
      <c r="L199" s="56"/>
    </row>
    <row r="200" spans="12:12" ht="12.5" x14ac:dyDescent="0.25">
      <c r="L200" s="56"/>
    </row>
    <row r="201" spans="12:12" ht="12.5" x14ac:dyDescent="0.25">
      <c r="L201" s="56"/>
    </row>
    <row r="202" spans="12:12" ht="12.5" x14ac:dyDescent="0.25">
      <c r="L202" s="56"/>
    </row>
    <row r="203" spans="12:12" ht="12.5" x14ac:dyDescent="0.25">
      <c r="L203" s="56"/>
    </row>
    <row r="204" spans="12:12" ht="12.5" x14ac:dyDescent="0.25">
      <c r="L204" s="56"/>
    </row>
    <row r="205" spans="12:12" ht="12.5" x14ac:dyDescent="0.25">
      <c r="L205" s="56"/>
    </row>
    <row r="206" spans="12:12" ht="12.5" x14ac:dyDescent="0.25">
      <c r="L206" s="56"/>
    </row>
    <row r="207" spans="12:12" ht="12.5" x14ac:dyDescent="0.25">
      <c r="L207" s="56"/>
    </row>
    <row r="208" spans="12:12" ht="12.5" x14ac:dyDescent="0.25">
      <c r="L208" s="56"/>
    </row>
    <row r="209" spans="12:12" ht="12.5" x14ac:dyDescent="0.25">
      <c r="L209" s="56"/>
    </row>
    <row r="210" spans="12:12" ht="12.5" x14ac:dyDescent="0.25">
      <c r="L210" s="56"/>
    </row>
    <row r="211" spans="12:12" ht="12.5" x14ac:dyDescent="0.25">
      <c r="L211" s="56"/>
    </row>
    <row r="212" spans="12:12" ht="12.5" x14ac:dyDescent="0.25">
      <c r="L212" s="56"/>
    </row>
    <row r="213" spans="12:12" ht="12.5" x14ac:dyDescent="0.25">
      <c r="L213" s="56"/>
    </row>
    <row r="214" spans="12:12" ht="12.5" x14ac:dyDescent="0.25">
      <c r="L214" s="56"/>
    </row>
    <row r="215" spans="12:12" ht="12.5" x14ac:dyDescent="0.25">
      <c r="L215" s="56"/>
    </row>
    <row r="216" spans="12:12" ht="12.5" x14ac:dyDescent="0.25">
      <c r="L216" s="56"/>
    </row>
    <row r="217" spans="12:12" ht="12.5" x14ac:dyDescent="0.25">
      <c r="L217" s="56"/>
    </row>
    <row r="218" spans="12:12" ht="12.5" x14ac:dyDescent="0.25">
      <c r="L218" s="56"/>
    </row>
    <row r="219" spans="12:12" ht="12.5" x14ac:dyDescent="0.25">
      <c r="L219" s="56"/>
    </row>
    <row r="220" spans="12:12" ht="12.5" x14ac:dyDescent="0.25">
      <c r="L220" s="56"/>
    </row>
    <row r="221" spans="12:12" ht="12.5" x14ac:dyDescent="0.25">
      <c r="L221" s="56"/>
    </row>
    <row r="222" spans="12:12" ht="12.5" x14ac:dyDescent="0.25">
      <c r="L222" s="56"/>
    </row>
    <row r="223" spans="12:12" ht="12.5" x14ac:dyDescent="0.25">
      <c r="L223" s="56"/>
    </row>
    <row r="224" spans="12:12" ht="12.5" x14ac:dyDescent="0.25">
      <c r="L224" s="56"/>
    </row>
    <row r="225" spans="12:12" ht="12.5" x14ac:dyDescent="0.25">
      <c r="L225" s="56"/>
    </row>
    <row r="226" spans="12:12" ht="12.5" x14ac:dyDescent="0.25">
      <c r="L226" s="56"/>
    </row>
    <row r="227" spans="12:12" ht="12.5" x14ac:dyDescent="0.25">
      <c r="L227" s="56"/>
    </row>
    <row r="228" spans="12:12" ht="12.5" x14ac:dyDescent="0.25">
      <c r="L228" s="56"/>
    </row>
    <row r="229" spans="12:12" ht="12.5" x14ac:dyDescent="0.25">
      <c r="L229" s="56"/>
    </row>
    <row r="230" spans="12:12" ht="12.5" x14ac:dyDescent="0.25">
      <c r="L230" s="56"/>
    </row>
    <row r="231" spans="12:12" ht="12.5" x14ac:dyDescent="0.25">
      <c r="L231" s="56"/>
    </row>
    <row r="232" spans="12:12" ht="12.5" x14ac:dyDescent="0.25">
      <c r="L232" s="56"/>
    </row>
    <row r="233" spans="12:12" ht="12.5" x14ac:dyDescent="0.25">
      <c r="L233" s="56"/>
    </row>
    <row r="234" spans="12:12" ht="12.5" x14ac:dyDescent="0.25">
      <c r="L234" s="56"/>
    </row>
    <row r="235" spans="12:12" ht="12.5" x14ac:dyDescent="0.25">
      <c r="L235" s="56"/>
    </row>
    <row r="236" spans="12:12" ht="12.5" x14ac:dyDescent="0.25">
      <c r="L236" s="56"/>
    </row>
    <row r="237" spans="12:12" ht="12.5" x14ac:dyDescent="0.25">
      <c r="L237" s="56"/>
    </row>
    <row r="238" spans="12:12" ht="12.5" x14ac:dyDescent="0.25">
      <c r="L238" s="56"/>
    </row>
    <row r="239" spans="12:12" ht="12.5" x14ac:dyDescent="0.25">
      <c r="L239" s="56"/>
    </row>
    <row r="240" spans="12:12" ht="12.5" x14ac:dyDescent="0.25">
      <c r="L240" s="56"/>
    </row>
    <row r="241" spans="12:12" ht="12.5" x14ac:dyDescent="0.25">
      <c r="L241" s="56"/>
    </row>
    <row r="242" spans="12:12" ht="12.5" x14ac:dyDescent="0.25">
      <c r="L242" s="56"/>
    </row>
    <row r="243" spans="12:12" ht="12.5" x14ac:dyDescent="0.25">
      <c r="L243" s="56"/>
    </row>
    <row r="244" spans="12:12" ht="12.5" x14ac:dyDescent="0.25">
      <c r="L244" s="56"/>
    </row>
    <row r="245" spans="12:12" ht="12.5" x14ac:dyDescent="0.25">
      <c r="L245" s="56"/>
    </row>
    <row r="246" spans="12:12" ht="12.5" x14ac:dyDescent="0.25">
      <c r="L246" s="56"/>
    </row>
    <row r="247" spans="12:12" ht="12.5" x14ac:dyDescent="0.25">
      <c r="L247" s="56"/>
    </row>
    <row r="248" spans="12:12" ht="12.5" x14ac:dyDescent="0.25">
      <c r="L248" s="56"/>
    </row>
    <row r="249" spans="12:12" ht="12.5" x14ac:dyDescent="0.25">
      <c r="L249" s="56"/>
    </row>
    <row r="250" spans="12:12" ht="12.5" x14ac:dyDescent="0.25">
      <c r="L250" s="56"/>
    </row>
    <row r="251" spans="12:12" ht="12.5" x14ac:dyDescent="0.25">
      <c r="L251" s="56"/>
    </row>
    <row r="252" spans="12:12" ht="12.5" x14ac:dyDescent="0.25">
      <c r="L252" s="56"/>
    </row>
    <row r="253" spans="12:12" ht="12.5" x14ac:dyDescent="0.25">
      <c r="L253" s="56"/>
    </row>
    <row r="254" spans="12:12" ht="12.5" x14ac:dyDescent="0.25">
      <c r="L254" s="56"/>
    </row>
    <row r="255" spans="12:12" ht="12.5" x14ac:dyDescent="0.25">
      <c r="L255" s="56"/>
    </row>
    <row r="256" spans="12:12" ht="12.5" x14ac:dyDescent="0.25">
      <c r="L256" s="56"/>
    </row>
    <row r="257" spans="12:12" ht="12.5" x14ac:dyDescent="0.25">
      <c r="L257" s="56"/>
    </row>
    <row r="258" spans="12:12" ht="12.5" x14ac:dyDescent="0.25">
      <c r="L258" s="56"/>
    </row>
    <row r="259" spans="12:12" ht="12.5" x14ac:dyDescent="0.25">
      <c r="L259" s="56"/>
    </row>
    <row r="260" spans="12:12" ht="12.5" x14ac:dyDescent="0.25">
      <c r="L260" s="56"/>
    </row>
    <row r="261" spans="12:12" ht="12.5" x14ac:dyDescent="0.25">
      <c r="L261" s="56"/>
    </row>
    <row r="262" spans="12:12" ht="12.5" x14ac:dyDescent="0.25">
      <c r="L262" s="56"/>
    </row>
    <row r="263" spans="12:12" ht="12.5" x14ac:dyDescent="0.25">
      <c r="L263" s="56"/>
    </row>
    <row r="264" spans="12:12" ht="12.5" x14ac:dyDescent="0.25">
      <c r="L264" s="56"/>
    </row>
    <row r="265" spans="12:12" ht="12.5" x14ac:dyDescent="0.25">
      <c r="L265" s="56"/>
    </row>
    <row r="266" spans="12:12" ht="12.5" x14ac:dyDescent="0.25">
      <c r="L266" s="56"/>
    </row>
    <row r="267" spans="12:12" ht="12.5" x14ac:dyDescent="0.25">
      <c r="L267" s="56"/>
    </row>
    <row r="268" spans="12:12" ht="12.5" x14ac:dyDescent="0.25">
      <c r="L268" s="56"/>
    </row>
    <row r="269" spans="12:12" ht="12.5" x14ac:dyDescent="0.25">
      <c r="L269" s="56"/>
    </row>
    <row r="270" spans="12:12" ht="12.5" x14ac:dyDescent="0.25">
      <c r="L270" s="56"/>
    </row>
    <row r="271" spans="12:12" ht="12.5" x14ac:dyDescent="0.25">
      <c r="L271" s="56"/>
    </row>
    <row r="272" spans="12:12" ht="12.5" x14ac:dyDescent="0.25">
      <c r="L272" s="56"/>
    </row>
    <row r="273" spans="12:12" ht="12.5" x14ac:dyDescent="0.25">
      <c r="L273" s="56"/>
    </row>
    <row r="274" spans="12:12" ht="12.5" x14ac:dyDescent="0.25">
      <c r="L274" s="56"/>
    </row>
    <row r="275" spans="12:12" ht="12.5" x14ac:dyDescent="0.25">
      <c r="L275" s="56"/>
    </row>
    <row r="276" spans="12:12" ht="12.5" x14ac:dyDescent="0.25">
      <c r="L276" s="56"/>
    </row>
    <row r="277" spans="12:12" ht="12.5" x14ac:dyDescent="0.25">
      <c r="L277" s="56"/>
    </row>
    <row r="278" spans="12:12" ht="12.5" x14ac:dyDescent="0.25">
      <c r="L278" s="56"/>
    </row>
    <row r="279" spans="12:12" ht="12.5" x14ac:dyDescent="0.25">
      <c r="L279" s="56"/>
    </row>
    <row r="280" spans="12:12" ht="12.5" x14ac:dyDescent="0.25">
      <c r="L280" s="56"/>
    </row>
    <row r="281" spans="12:12" ht="12.5" x14ac:dyDescent="0.25">
      <c r="L281" s="56"/>
    </row>
    <row r="282" spans="12:12" ht="12.5" x14ac:dyDescent="0.25">
      <c r="L282" s="56"/>
    </row>
    <row r="283" spans="12:12" ht="12.5" x14ac:dyDescent="0.25">
      <c r="L283" s="56"/>
    </row>
    <row r="284" spans="12:12" ht="12.5" x14ac:dyDescent="0.25">
      <c r="L284" s="56"/>
    </row>
    <row r="285" spans="12:12" ht="12.5" x14ac:dyDescent="0.25">
      <c r="L285" s="56"/>
    </row>
    <row r="286" spans="12:12" ht="12.5" x14ac:dyDescent="0.25">
      <c r="L286" s="56"/>
    </row>
    <row r="287" spans="12:12" ht="12.5" x14ac:dyDescent="0.25">
      <c r="L287" s="56"/>
    </row>
    <row r="288" spans="12:12" ht="12.5" x14ac:dyDescent="0.25">
      <c r="L288" s="56"/>
    </row>
    <row r="289" spans="12:12" ht="12.5" x14ac:dyDescent="0.25">
      <c r="L289" s="56"/>
    </row>
    <row r="290" spans="12:12" ht="12.5" x14ac:dyDescent="0.25">
      <c r="L290" s="56"/>
    </row>
    <row r="291" spans="12:12" ht="12.5" x14ac:dyDescent="0.25">
      <c r="L291" s="56"/>
    </row>
    <row r="292" spans="12:12" ht="12.5" x14ac:dyDescent="0.25">
      <c r="L292" s="56"/>
    </row>
    <row r="293" spans="12:12" ht="12.5" x14ac:dyDescent="0.25">
      <c r="L293" s="56"/>
    </row>
    <row r="294" spans="12:12" ht="12.5" x14ac:dyDescent="0.25">
      <c r="L294" s="56"/>
    </row>
    <row r="295" spans="12:12" ht="12.5" x14ac:dyDescent="0.25">
      <c r="L295" s="56"/>
    </row>
    <row r="296" spans="12:12" ht="12.5" x14ac:dyDescent="0.25">
      <c r="L296" s="56"/>
    </row>
    <row r="297" spans="12:12" ht="12.5" x14ac:dyDescent="0.25">
      <c r="L297" s="56"/>
    </row>
    <row r="298" spans="12:12" ht="12.5" x14ac:dyDescent="0.25">
      <c r="L298" s="56"/>
    </row>
    <row r="299" spans="12:12" ht="12.5" x14ac:dyDescent="0.25">
      <c r="L299" s="56"/>
    </row>
    <row r="300" spans="12:12" ht="12.5" x14ac:dyDescent="0.25">
      <c r="L300" s="56"/>
    </row>
    <row r="301" spans="12:12" ht="12.5" x14ac:dyDescent="0.25">
      <c r="L301" s="56"/>
    </row>
    <row r="302" spans="12:12" ht="12.5" x14ac:dyDescent="0.25">
      <c r="L302" s="56"/>
    </row>
    <row r="303" spans="12:12" ht="12.5" x14ac:dyDescent="0.25">
      <c r="L303" s="56"/>
    </row>
    <row r="304" spans="12:12" ht="12.5" x14ac:dyDescent="0.25">
      <c r="L304" s="56"/>
    </row>
    <row r="305" spans="12:12" ht="12.5" x14ac:dyDescent="0.25">
      <c r="L305" s="56"/>
    </row>
    <row r="306" spans="12:12" ht="12.5" x14ac:dyDescent="0.25">
      <c r="L306" s="56"/>
    </row>
    <row r="307" spans="12:12" ht="12.5" x14ac:dyDescent="0.25">
      <c r="L307" s="56"/>
    </row>
    <row r="308" spans="12:12" ht="12.5" x14ac:dyDescent="0.25">
      <c r="L308" s="56"/>
    </row>
    <row r="309" spans="12:12" ht="12.5" x14ac:dyDescent="0.25">
      <c r="L309" s="56"/>
    </row>
    <row r="310" spans="12:12" ht="12.5" x14ac:dyDescent="0.25">
      <c r="L310" s="56"/>
    </row>
    <row r="311" spans="12:12" ht="12.5" x14ac:dyDescent="0.25">
      <c r="L311" s="56"/>
    </row>
    <row r="312" spans="12:12" ht="12.5" x14ac:dyDescent="0.25">
      <c r="L312" s="56"/>
    </row>
    <row r="313" spans="12:12" ht="12.5" x14ac:dyDescent="0.25">
      <c r="L313" s="56"/>
    </row>
    <row r="314" spans="12:12" ht="12.5" x14ac:dyDescent="0.25">
      <c r="L314" s="56"/>
    </row>
    <row r="315" spans="12:12" ht="12.5" x14ac:dyDescent="0.25">
      <c r="L315" s="56"/>
    </row>
    <row r="316" spans="12:12" ht="12.5" x14ac:dyDescent="0.25">
      <c r="L316" s="56"/>
    </row>
    <row r="317" spans="12:12" ht="12.5" x14ac:dyDescent="0.25">
      <c r="L317" s="56"/>
    </row>
    <row r="318" spans="12:12" ht="12.5" x14ac:dyDescent="0.25">
      <c r="L318" s="56"/>
    </row>
    <row r="319" spans="12:12" ht="12.5" x14ac:dyDescent="0.25">
      <c r="L319" s="56"/>
    </row>
    <row r="320" spans="12:12" ht="12.5" x14ac:dyDescent="0.25">
      <c r="L320" s="56"/>
    </row>
    <row r="321" spans="12:12" ht="12.5" x14ac:dyDescent="0.25">
      <c r="L321" s="56"/>
    </row>
    <row r="322" spans="12:12" ht="12.5" x14ac:dyDescent="0.25">
      <c r="L322" s="56"/>
    </row>
    <row r="323" spans="12:12" ht="12.5" x14ac:dyDescent="0.25">
      <c r="L323" s="56"/>
    </row>
    <row r="324" spans="12:12" ht="12.5" x14ac:dyDescent="0.25">
      <c r="L324" s="56"/>
    </row>
    <row r="325" spans="12:12" ht="12.5" x14ac:dyDescent="0.25">
      <c r="L325" s="56"/>
    </row>
    <row r="326" spans="12:12" ht="12.5" x14ac:dyDescent="0.25">
      <c r="L326" s="56"/>
    </row>
    <row r="327" spans="12:12" ht="12.5" x14ac:dyDescent="0.25">
      <c r="L327" s="56"/>
    </row>
    <row r="328" spans="12:12" ht="12.5" x14ac:dyDescent="0.25">
      <c r="L328" s="56"/>
    </row>
    <row r="329" spans="12:12" ht="12.5" x14ac:dyDescent="0.25">
      <c r="L329" s="56"/>
    </row>
    <row r="330" spans="12:12" ht="12.5" x14ac:dyDescent="0.25">
      <c r="L330" s="56"/>
    </row>
    <row r="331" spans="12:12" ht="12.5" x14ac:dyDescent="0.25">
      <c r="L331" s="56"/>
    </row>
    <row r="332" spans="12:12" ht="12.5" x14ac:dyDescent="0.25">
      <c r="L332" s="56"/>
    </row>
    <row r="333" spans="12:12" ht="12.5" x14ac:dyDescent="0.25">
      <c r="L333" s="56"/>
    </row>
    <row r="334" spans="12:12" ht="12.5" x14ac:dyDescent="0.25">
      <c r="L334" s="56"/>
    </row>
    <row r="335" spans="12:12" ht="12.5" x14ac:dyDescent="0.25">
      <c r="L335" s="56"/>
    </row>
    <row r="336" spans="12:12" ht="12.5" x14ac:dyDescent="0.25">
      <c r="L336" s="56"/>
    </row>
    <row r="337" spans="12:12" ht="12.5" x14ac:dyDescent="0.25">
      <c r="L337" s="56"/>
    </row>
    <row r="338" spans="12:12" ht="12.5" x14ac:dyDescent="0.25">
      <c r="L338" s="56"/>
    </row>
    <row r="339" spans="12:12" ht="12.5" x14ac:dyDescent="0.25">
      <c r="L339" s="56"/>
    </row>
    <row r="340" spans="12:12" ht="12.5" x14ac:dyDescent="0.25">
      <c r="L340" s="56"/>
    </row>
    <row r="341" spans="12:12" ht="12.5" x14ac:dyDescent="0.25">
      <c r="L341" s="56"/>
    </row>
    <row r="342" spans="12:12" ht="12.5" x14ac:dyDescent="0.25">
      <c r="L342" s="56"/>
    </row>
    <row r="343" spans="12:12" ht="12.5" x14ac:dyDescent="0.25">
      <c r="L343" s="56"/>
    </row>
    <row r="344" spans="12:12" ht="12.5" x14ac:dyDescent="0.25">
      <c r="L344" s="56"/>
    </row>
    <row r="345" spans="12:12" ht="12.5" x14ac:dyDescent="0.25">
      <c r="L345" s="56"/>
    </row>
    <row r="346" spans="12:12" ht="12.5" x14ac:dyDescent="0.25">
      <c r="L346" s="56"/>
    </row>
    <row r="347" spans="12:12" ht="12.5" x14ac:dyDescent="0.25">
      <c r="L347" s="56"/>
    </row>
    <row r="348" spans="12:12" ht="12.5" x14ac:dyDescent="0.25">
      <c r="L348" s="56"/>
    </row>
    <row r="349" spans="12:12" ht="12.5" x14ac:dyDescent="0.25">
      <c r="L349" s="56"/>
    </row>
    <row r="350" spans="12:12" ht="12.5" x14ac:dyDescent="0.25">
      <c r="L350" s="56"/>
    </row>
    <row r="351" spans="12:12" ht="12.5" x14ac:dyDescent="0.25">
      <c r="L351" s="56"/>
    </row>
    <row r="352" spans="12:12" ht="12.5" x14ac:dyDescent="0.25">
      <c r="L352" s="56"/>
    </row>
    <row r="353" spans="12:12" ht="12.5" x14ac:dyDescent="0.25">
      <c r="L353" s="56"/>
    </row>
    <row r="354" spans="12:12" ht="12.5" x14ac:dyDescent="0.25">
      <c r="L354" s="56"/>
    </row>
    <row r="355" spans="12:12" ht="12.5" x14ac:dyDescent="0.25">
      <c r="L355" s="56"/>
    </row>
    <row r="356" spans="12:12" ht="12.5" x14ac:dyDescent="0.25">
      <c r="L356" s="56"/>
    </row>
    <row r="357" spans="12:12" ht="12.5" x14ac:dyDescent="0.25">
      <c r="L357" s="56"/>
    </row>
    <row r="358" spans="12:12" ht="12.5" x14ac:dyDescent="0.25">
      <c r="L358" s="56"/>
    </row>
    <row r="359" spans="12:12" ht="12.5" x14ac:dyDescent="0.25">
      <c r="L359" s="56"/>
    </row>
    <row r="360" spans="12:12" ht="12.5" x14ac:dyDescent="0.25">
      <c r="L360" s="56"/>
    </row>
    <row r="361" spans="12:12" ht="12.5" x14ac:dyDescent="0.25">
      <c r="L361" s="56"/>
    </row>
    <row r="362" spans="12:12" ht="12.5" x14ac:dyDescent="0.25">
      <c r="L362" s="56"/>
    </row>
    <row r="363" spans="12:12" ht="12.5" x14ac:dyDescent="0.25">
      <c r="L363" s="56"/>
    </row>
    <row r="364" spans="12:12" ht="12.5" x14ac:dyDescent="0.25">
      <c r="L364" s="56"/>
    </row>
    <row r="365" spans="12:12" ht="12.5" x14ac:dyDescent="0.25">
      <c r="L365" s="56"/>
    </row>
    <row r="366" spans="12:12" ht="12.5" x14ac:dyDescent="0.25">
      <c r="L366" s="56"/>
    </row>
    <row r="367" spans="12:12" ht="12.5" x14ac:dyDescent="0.25">
      <c r="L367" s="56"/>
    </row>
    <row r="368" spans="12:12" ht="12.5" x14ac:dyDescent="0.25">
      <c r="L368" s="56"/>
    </row>
    <row r="369" spans="12:12" ht="12.5" x14ac:dyDescent="0.25">
      <c r="L369" s="56"/>
    </row>
    <row r="370" spans="12:12" ht="12.5" x14ac:dyDescent="0.25">
      <c r="L370" s="56"/>
    </row>
    <row r="371" spans="12:12" ht="12.5" x14ac:dyDescent="0.25">
      <c r="L371" s="56"/>
    </row>
    <row r="372" spans="12:12" ht="12.5" x14ac:dyDescent="0.25">
      <c r="L372" s="56"/>
    </row>
    <row r="373" spans="12:12" ht="12.5" x14ac:dyDescent="0.25">
      <c r="L373" s="56"/>
    </row>
    <row r="374" spans="12:12" ht="12.5" x14ac:dyDescent="0.25">
      <c r="L374" s="56"/>
    </row>
    <row r="375" spans="12:12" ht="12.5" x14ac:dyDescent="0.25">
      <c r="L375" s="56"/>
    </row>
    <row r="376" spans="12:12" ht="12.5" x14ac:dyDescent="0.25">
      <c r="L376" s="56"/>
    </row>
    <row r="377" spans="12:12" ht="12.5" x14ac:dyDescent="0.25">
      <c r="L377" s="56"/>
    </row>
    <row r="378" spans="12:12" ht="12.5" x14ac:dyDescent="0.25">
      <c r="L378" s="56"/>
    </row>
    <row r="379" spans="12:12" ht="12.5" x14ac:dyDescent="0.25">
      <c r="L379" s="56"/>
    </row>
    <row r="380" spans="12:12" ht="12.5" x14ac:dyDescent="0.25">
      <c r="L380" s="56"/>
    </row>
    <row r="381" spans="12:12" ht="12.5" x14ac:dyDescent="0.25">
      <c r="L381" s="56"/>
    </row>
    <row r="382" spans="12:12" ht="12.5" x14ac:dyDescent="0.25">
      <c r="L382" s="56"/>
    </row>
    <row r="383" spans="12:12" ht="12.5" x14ac:dyDescent="0.25">
      <c r="L383" s="56"/>
    </row>
    <row r="384" spans="12:12" ht="12.5" x14ac:dyDescent="0.25">
      <c r="L384" s="56"/>
    </row>
    <row r="385" spans="12:12" ht="12.5" x14ac:dyDescent="0.25">
      <c r="L385" s="56"/>
    </row>
    <row r="386" spans="12:12" ht="12.5" x14ac:dyDescent="0.25">
      <c r="L386" s="56"/>
    </row>
    <row r="387" spans="12:12" ht="12.5" x14ac:dyDescent="0.25">
      <c r="L387" s="56"/>
    </row>
    <row r="388" spans="12:12" ht="12.5" x14ac:dyDescent="0.25">
      <c r="L388" s="56"/>
    </row>
    <row r="389" spans="12:12" ht="12.5" x14ac:dyDescent="0.25">
      <c r="L389" s="56"/>
    </row>
    <row r="390" spans="12:12" ht="12.5" x14ac:dyDescent="0.25">
      <c r="L390" s="56"/>
    </row>
    <row r="391" spans="12:12" ht="12.5" x14ac:dyDescent="0.25">
      <c r="L391" s="56"/>
    </row>
    <row r="392" spans="12:12" ht="12.5" x14ac:dyDescent="0.25">
      <c r="L392" s="56"/>
    </row>
    <row r="393" spans="12:12" ht="12.5" x14ac:dyDescent="0.25">
      <c r="L393" s="56"/>
    </row>
    <row r="394" spans="12:12" ht="12.5" x14ac:dyDescent="0.25">
      <c r="L394" s="56"/>
    </row>
    <row r="395" spans="12:12" ht="12.5" x14ac:dyDescent="0.25">
      <c r="L395" s="56"/>
    </row>
    <row r="396" spans="12:12" ht="12.5" x14ac:dyDescent="0.25">
      <c r="L396" s="56"/>
    </row>
    <row r="397" spans="12:12" ht="12.5" x14ac:dyDescent="0.25">
      <c r="L397" s="56"/>
    </row>
    <row r="398" spans="12:12" ht="12.5" x14ac:dyDescent="0.25">
      <c r="L398" s="56"/>
    </row>
    <row r="399" spans="12:12" ht="12.5" x14ac:dyDescent="0.25">
      <c r="L399" s="56"/>
    </row>
    <row r="400" spans="12:12" ht="12.5" x14ac:dyDescent="0.25">
      <c r="L400" s="56"/>
    </row>
    <row r="401" spans="12:12" ht="12.5" x14ac:dyDescent="0.25">
      <c r="L401" s="56"/>
    </row>
    <row r="402" spans="12:12" ht="12.5" x14ac:dyDescent="0.25">
      <c r="L402" s="56"/>
    </row>
    <row r="403" spans="12:12" ht="12.5" x14ac:dyDescent="0.25">
      <c r="L403" s="56"/>
    </row>
    <row r="404" spans="12:12" ht="12.5" x14ac:dyDescent="0.25">
      <c r="L404" s="56"/>
    </row>
    <row r="405" spans="12:12" ht="12.5" x14ac:dyDescent="0.25">
      <c r="L405" s="56"/>
    </row>
    <row r="406" spans="12:12" ht="12.5" x14ac:dyDescent="0.25">
      <c r="L406" s="56"/>
    </row>
    <row r="407" spans="12:12" ht="12.5" x14ac:dyDescent="0.25">
      <c r="L407" s="56"/>
    </row>
    <row r="408" spans="12:12" ht="12.5" x14ac:dyDescent="0.25">
      <c r="L408" s="56"/>
    </row>
    <row r="409" spans="12:12" ht="12.5" x14ac:dyDescent="0.25">
      <c r="L409" s="56"/>
    </row>
    <row r="410" spans="12:12" ht="12.5" x14ac:dyDescent="0.25">
      <c r="L410" s="56"/>
    </row>
    <row r="411" spans="12:12" ht="12.5" x14ac:dyDescent="0.25">
      <c r="L411" s="56"/>
    </row>
    <row r="412" spans="12:12" ht="12.5" x14ac:dyDescent="0.25">
      <c r="L412" s="56"/>
    </row>
    <row r="413" spans="12:12" ht="12.5" x14ac:dyDescent="0.25">
      <c r="L413" s="56"/>
    </row>
    <row r="414" spans="12:12" ht="12.5" x14ac:dyDescent="0.25">
      <c r="L414" s="56"/>
    </row>
    <row r="415" spans="12:12" ht="12.5" x14ac:dyDescent="0.25">
      <c r="L415" s="56"/>
    </row>
    <row r="416" spans="12:12" ht="12.5" x14ac:dyDescent="0.25">
      <c r="L416" s="56"/>
    </row>
    <row r="417" spans="12:12" ht="12.5" x14ac:dyDescent="0.25">
      <c r="L417" s="56"/>
    </row>
    <row r="418" spans="12:12" ht="12.5" x14ac:dyDescent="0.25">
      <c r="L418" s="56"/>
    </row>
    <row r="419" spans="12:12" ht="12.5" x14ac:dyDescent="0.25">
      <c r="L419" s="56"/>
    </row>
    <row r="420" spans="12:12" ht="12.5" x14ac:dyDescent="0.25">
      <c r="L420" s="56"/>
    </row>
    <row r="421" spans="12:12" ht="12.5" x14ac:dyDescent="0.25">
      <c r="L421" s="56"/>
    </row>
    <row r="422" spans="12:12" ht="12.5" x14ac:dyDescent="0.25">
      <c r="L422" s="56"/>
    </row>
    <row r="423" spans="12:12" ht="12.5" x14ac:dyDescent="0.25">
      <c r="L423" s="56"/>
    </row>
    <row r="424" spans="12:12" ht="12.5" x14ac:dyDescent="0.25">
      <c r="L424" s="56"/>
    </row>
    <row r="425" spans="12:12" ht="12.5" x14ac:dyDescent="0.25">
      <c r="L425" s="56"/>
    </row>
    <row r="426" spans="12:12" ht="12.5" x14ac:dyDescent="0.25">
      <c r="L426" s="56"/>
    </row>
    <row r="427" spans="12:12" ht="12.5" x14ac:dyDescent="0.25">
      <c r="L427" s="56"/>
    </row>
    <row r="428" spans="12:12" ht="12.5" x14ac:dyDescent="0.25">
      <c r="L428" s="56"/>
    </row>
    <row r="429" spans="12:12" ht="12.5" x14ac:dyDescent="0.25">
      <c r="L429" s="56"/>
    </row>
    <row r="430" spans="12:12" ht="12.5" x14ac:dyDescent="0.25">
      <c r="L430" s="56"/>
    </row>
    <row r="431" spans="12:12" ht="12.5" x14ac:dyDescent="0.25">
      <c r="L431" s="56"/>
    </row>
    <row r="432" spans="12:12" ht="12.5" x14ac:dyDescent="0.25">
      <c r="L432" s="56"/>
    </row>
    <row r="433" spans="12:12" ht="12.5" x14ac:dyDescent="0.25">
      <c r="L433" s="56"/>
    </row>
    <row r="434" spans="12:12" ht="12.5" x14ac:dyDescent="0.25">
      <c r="L434" s="56"/>
    </row>
    <row r="435" spans="12:12" ht="12.5" x14ac:dyDescent="0.25">
      <c r="L435" s="56"/>
    </row>
    <row r="436" spans="12:12" ht="12.5" x14ac:dyDescent="0.25">
      <c r="L436" s="56"/>
    </row>
    <row r="437" spans="12:12" ht="12.5" x14ac:dyDescent="0.25">
      <c r="L437" s="56"/>
    </row>
    <row r="438" spans="12:12" ht="12.5" x14ac:dyDescent="0.25">
      <c r="L438" s="56"/>
    </row>
    <row r="439" spans="12:12" ht="12.5" x14ac:dyDescent="0.25">
      <c r="L439" s="56"/>
    </row>
    <row r="440" spans="12:12" ht="12.5" x14ac:dyDescent="0.25">
      <c r="L440" s="56"/>
    </row>
    <row r="441" spans="12:12" ht="12.5" x14ac:dyDescent="0.25">
      <c r="L441" s="56"/>
    </row>
    <row r="442" spans="12:12" ht="12.5" x14ac:dyDescent="0.25">
      <c r="L442" s="56"/>
    </row>
    <row r="443" spans="12:12" ht="12.5" x14ac:dyDescent="0.25">
      <c r="L443" s="56"/>
    </row>
    <row r="444" spans="12:12" ht="12.5" x14ac:dyDescent="0.25">
      <c r="L444" s="56"/>
    </row>
    <row r="445" spans="12:12" ht="12.5" x14ac:dyDescent="0.25">
      <c r="L445" s="56"/>
    </row>
    <row r="446" spans="12:12" ht="12.5" x14ac:dyDescent="0.25">
      <c r="L446" s="56"/>
    </row>
    <row r="447" spans="12:12" ht="12.5" x14ac:dyDescent="0.25">
      <c r="L447" s="56"/>
    </row>
    <row r="448" spans="12:12" ht="12.5" x14ac:dyDescent="0.25">
      <c r="L448" s="56"/>
    </row>
    <row r="449" spans="12:12" ht="12.5" x14ac:dyDescent="0.25">
      <c r="L449" s="56"/>
    </row>
    <row r="450" spans="12:12" ht="12.5" x14ac:dyDescent="0.25">
      <c r="L450" s="56"/>
    </row>
    <row r="451" spans="12:12" ht="12.5" x14ac:dyDescent="0.25">
      <c r="L451" s="56"/>
    </row>
    <row r="452" spans="12:12" ht="12.5" x14ac:dyDescent="0.25">
      <c r="L452" s="56"/>
    </row>
    <row r="453" spans="12:12" ht="12.5" x14ac:dyDescent="0.25">
      <c r="L453" s="56"/>
    </row>
    <row r="454" spans="12:12" ht="12.5" x14ac:dyDescent="0.25">
      <c r="L454" s="56"/>
    </row>
    <row r="455" spans="12:12" ht="12.5" x14ac:dyDescent="0.25">
      <c r="L455" s="56"/>
    </row>
    <row r="456" spans="12:12" ht="12.5" x14ac:dyDescent="0.25">
      <c r="L456" s="56"/>
    </row>
    <row r="457" spans="12:12" ht="12.5" x14ac:dyDescent="0.25">
      <c r="L457" s="56"/>
    </row>
    <row r="458" spans="12:12" ht="12.5" x14ac:dyDescent="0.25">
      <c r="L458" s="56"/>
    </row>
    <row r="459" spans="12:12" ht="12.5" x14ac:dyDescent="0.25">
      <c r="L459" s="56"/>
    </row>
    <row r="460" spans="12:12" ht="12.5" x14ac:dyDescent="0.25">
      <c r="L460" s="56"/>
    </row>
    <row r="461" spans="12:12" ht="12.5" x14ac:dyDescent="0.25">
      <c r="L461" s="56"/>
    </row>
    <row r="462" spans="12:12" ht="12.5" x14ac:dyDescent="0.25">
      <c r="L462" s="56"/>
    </row>
    <row r="463" spans="12:12" ht="12.5" x14ac:dyDescent="0.25">
      <c r="L463" s="56"/>
    </row>
    <row r="464" spans="12:12" ht="12.5" x14ac:dyDescent="0.25">
      <c r="L464" s="56"/>
    </row>
    <row r="465" spans="12:12" ht="12.5" x14ac:dyDescent="0.25">
      <c r="L465" s="56"/>
    </row>
    <row r="466" spans="12:12" ht="12.5" x14ac:dyDescent="0.25">
      <c r="L466" s="56"/>
    </row>
    <row r="467" spans="12:12" ht="12.5" x14ac:dyDescent="0.25">
      <c r="L467" s="56"/>
    </row>
    <row r="468" spans="12:12" ht="12.5" x14ac:dyDescent="0.25">
      <c r="L468" s="56"/>
    </row>
    <row r="469" spans="12:12" ht="12.5" x14ac:dyDescent="0.25">
      <c r="L469" s="56"/>
    </row>
    <row r="470" spans="12:12" ht="12.5" x14ac:dyDescent="0.25">
      <c r="L470" s="56"/>
    </row>
    <row r="471" spans="12:12" ht="12.5" x14ac:dyDescent="0.25">
      <c r="L471" s="56"/>
    </row>
    <row r="472" spans="12:12" ht="12.5" x14ac:dyDescent="0.25">
      <c r="L472" s="56"/>
    </row>
    <row r="473" spans="12:12" ht="12.5" x14ac:dyDescent="0.25">
      <c r="L473" s="56"/>
    </row>
    <row r="474" spans="12:12" ht="12.5" x14ac:dyDescent="0.25">
      <c r="L474" s="56"/>
    </row>
    <row r="475" spans="12:12" ht="12.5" x14ac:dyDescent="0.25">
      <c r="L475" s="56"/>
    </row>
    <row r="476" spans="12:12" ht="12.5" x14ac:dyDescent="0.25">
      <c r="L476" s="56"/>
    </row>
    <row r="477" spans="12:12" ht="12.5" x14ac:dyDescent="0.25">
      <c r="L477" s="56"/>
    </row>
    <row r="478" spans="12:12" ht="12.5" x14ac:dyDescent="0.25">
      <c r="L478" s="56"/>
    </row>
    <row r="479" spans="12:12" ht="12.5" x14ac:dyDescent="0.25">
      <c r="L479" s="56"/>
    </row>
    <row r="480" spans="12:12" ht="12.5" x14ac:dyDescent="0.25">
      <c r="L480" s="56"/>
    </row>
    <row r="481" spans="12:12" ht="12.5" x14ac:dyDescent="0.25">
      <c r="L481" s="56"/>
    </row>
    <row r="482" spans="12:12" ht="12.5" x14ac:dyDescent="0.25">
      <c r="L482" s="56"/>
    </row>
    <row r="483" spans="12:12" ht="12.5" x14ac:dyDescent="0.25">
      <c r="L483" s="56"/>
    </row>
    <row r="484" spans="12:12" ht="12.5" x14ac:dyDescent="0.25">
      <c r="L484" s="56"/>
    </row>
    <row r="485" spans="12:12" ht="12.5" x14ac:dyDescent="0.25">
      <c r="L485" s="56"/>
    </row>
    <row r="486" spans="12:12" ht="12.5" x14ac:dyDescent="0.25">
      <c r="L486" s="56"/>
    </row>
    <row r="487" spans="12:12" ht="12.5" x14ac:dyDescent="0.25">
      <c r="L487" s="56"/>
    </row>
    <row r="488" spans="12:12" ht="12.5" x14ac:dyDescent="0.25">
      <c r="L488" s="56"/>
    </row>
    <row r="489" spans="12:12" ht="12.5" x14ac:dyDescent="0.25">
      <c r="L489" s="56"/>
    </row>
    <row r="490" spans="12:12" ht="12.5" x14ac:dyDescent="0.25">
      <c r="L490" s="56"/>
    </row>
    <row r="491" spans="12:12" ht="12.5" x14ac:dyDescent="0.25">
      <c r="L491" s="56"/>
    </row>
    <row r="492" spans="12:12" ht="12.5" x14ac:dyDescent="0.25">
      <c r="L492" s="56"/>
    </row>
    <row r="493" spans="12:12" ht="12.5" x14ac:dyDescent="0.25">
      <c r="L493" s="56"/>
    </row>
    <row r="494" spans="12:12" ht="12.5" x14ac:dyDescent="0.25">
      <c r="L494" s="56"/>
    </row>
    <row r="495" spans="12:12" ht="12.5" x14ac:dyDescent="0.25">
      <c r="L495" s="56"/>
    </row>
    <row r="496" spans="12:12" ht="12.5" x14ac:dyDescent="0.25">
      <c r="L496" s="56"/>
    </row>
    <row r="497" spans="12:12" ht="12.5" x14ac:dyDescent="0.25">
      <c r="L497" s="56"/>
    </row>
    <row r="498" spans="12:12" ht="12.5" x14ac:dyDescent="0.25">
      <c r="L498" s="56"/>
    </row>
    <row r="499" spans="12:12" ht="12.5" x14ac:dyDescent="0.25">
      <c r="L499" s="56"/>
    </row>
    <row r="500" spans="12:12" ht="12.5" x14ac:dyDescent="0.25">
      <c r="L500" s="56"/>
    </row>
    <row r="501" spans="12:12" ht="12.5" x14ac:dyDescent="0.25">
      <c r="L501" s="56"/>
    </row>
    <row r="502" spans="12:12" ht="12.5" x14ac:dyDescent="0.25">
      <c r="L502" s="56"/>
    </row>
    <row r="503" spans="12:12" ht="12.5" x14ac:dyDescent="0.25">
      <c r="L503" s="56"/>
    </row>
    <row r="504" spans="12:12" ht="12.5" x14ac:dyDescent="0.25">
      <c r="L504" s="56"/>
    </row>
    <row r="505" spans="12:12" ht="12.5" x14ac:dyDescent="0.25">
      <c r="L505" s="56"/>
    </row>
    <row r="506" spans="12:12" ht="12.5" x14ac:dyDescent="0.25">
      <c r="L506" s="56"/>
    </row>
    <row r="507" spans="12:12" ht="12.5" x14ac:dyDescent="0.25">
      <c r="L507" s="56"/>
    </row>
    <row r="508" spans="12:12" ht="12.5" x14ac:dyDescent="0.25">
      <c r="L508" s="56"/>
    </row>
    <row r="509" spans="12:12" ht="12.5" x14ac:dyDescent="0.25">
      <c r="L509" s="56"/>
    </row>
    <row r="510" spans="12:12" ht="12.5" x14ac:dyDescent="0.25">
      <c r="L510" s="56"/>
    </row>
    <row r="511" spans="12:12" ht="12.5" x14ac:dyDescent="0.25">
      <c r="L511" s="56"/>
    </row>
    <row r="512" spans="12:12" ht="12.5" x14ac:dyDescent="0.25">
      <c r="L512" s="56"/>
    </row>
    <row r="513" spans="12:12" ht="12.5" x14ac:dyDescent="0.25">
      <c r="L513" s="56"/>
    </row>
    <row r="514" spans="12:12" ht="12.5" x14ac:dyDescent="0.25">
      <c r="L514" s="56"/>
    </row>
    <row r="515" spans="12:12" ht="12.5" x14ac:dyDescent="0.25">
      <c r="L515" s="56"/>
    </row>
    <row r="516" spans="12:12" ht="12.5" x14ac:dyDescent="0.25">
      <c r="L516" s="56"/>
    </row>
    <row r="517" spans="12:12" ht="12.5" x14ac:dyDescent="0.25">
      <c r="L517" s="56"/>
    </row>
    <row r="518" spans="12:12" ht="12.5" x14ac:dyDescent="0.25">
      <c r="L518" s="56"/>
    </row>
    <row r="519" spans="12:12" ht="12.5" x14ac:dyDescent="0.25">
      <c r="L519" s="56"/>
    </row>
    <row r="520" spans="12:12" ht="12.5" x14ac:dyDescent="0.25">
      <c r="L520" s="56"/>
    </row>
    <row r="521" spans="12:12" ht="12.5" x14ac:dyDescent="0.25">
      <c r="L521" s="56"/>
    </row>
    <row r="522" spans="12:12" ht="12.5" x14ac:dyDescent="0.25">
      <c r="L522" s="56"/>
    </row>
    <row r="523" spans="12:12" ht="12.5" x14ac:dyDescent="0.25">
      <c r="L523" s="56"/>
    </row>
    <row r="524" spans="12:12" ht="12.5" x14ac:dyDescent="0.25">
      <c r="L524" s="56"/>
    </row>
    <row r="525" spans="12:12" ht="12.5" x14ac:dyDescent="0.25">
      <c r="L525" s="56"/>
    </row>
    <row r="526" spans="12:12" ht="12.5" x14ac:dyDescent="0.25">
      <c r="L526" s="56"/>
    </row>
    <row r="527" spans="12:12" ht="12.5" x14ac:dyDescent="0.25">
      <c r="L527" s="56"/>
    </row>
    <row r="528" spans="12:12" ht="12.5" x14ac:dyDescent="0.25">
      <c r="L528" s="56"/>
    </row>
    <row r="529" spans="12:12" ht="12.5" x14ac:dyDescent="0.25">
      <c r="L529" s="56"/>
    </row>
    <row r="530" spans="12:12" ht="12.5" x14ac:dyDescent="0.25">
      <c r="L530" s="56"/>
    </row>
    <row r="531" spans="12:12" ht="12.5" x14ac:dyDescent="0.25">
      <c r="L531" s="56"/>
    </row>
    <row r="532" spans="12:12" ht="12.5" x14ac:dyDescent="0.25">
      <c r="L532" s="56"/>
    </row>
    <row r="533" spans="12:12" ht="12.5" x14ac:dyDescent="0.25">
      <c r="L533" s="56"/>
    </row>
    <row r="534" spans="12:12" ht="12.5" x14ac:dyDescent="0.25">
      <c r="L534" s="56"/>
    </row>
    <row r="535" spans="12:12" ht="12.5" x14ac:dyDescent="0.25">
      <c r="L535" s="56"/>
    </row>
    <row r="536" spans="12:12" ht="12.5" x14ac:dyDescent="0.25">
      <c r="L536" s="56"/>
    </row>
    <row r="537" spans="12:12" ht="12.5" x14ac:dyDescent="0.25">
      <c r="L537" s="56"/>
    </row>
    <row r="538" spans="12:12" ht="12.5" x14ac:dyDescent="0.25">
      <c r="L538" s="56"/>
    </row>
    <row r="539" spans="12:12" ht="12.5" x14ac:dyDescent="0.25">
      <c r="L539" s="56"/>
    </row>
    <row r="540" spans="12:12" ht="12.5" x14ac:dyDescent="0.25">
      <c r="L540" s="56"/>
    </row>
    <row r="541" spans="12:12" ht="12.5" x14ac:dyDescent="0.25">
      <c r="L541" s="56"/>
    </row>
    <row r="542" spans="12:12" ht="12.5" x14ac:dyDescent="0.25">
      <c r="L542" s="56"/>
    </row>
    <row r="543" spans="12:12" ht="12.5" x14ac:dyDescent="0.25">
      <c r="L543" s="56"/>
    </row>
    <row r="544" spans="12:12" ht="12.5" x14ac:dyDescent="0.25">
      <c r="L544" s="56"/>
    </row>
    <row r="545" spans="12:12" ht="12.5" x14ac:dyDescent="0.25">
      <c r="L545" s="56"/>
    </row>
    <row r="546" spans="12:12" ht="12.5" x14ac:dyDescent="0.25">
      <c r="L546" s="56"/>
    </row>
    <row r="547" spans="12:12" ht="12.5" x14ac:dyDescent="0.25">
      <c r="L547" s="56"/>
    </row>
    <row r="548" spans="12:12" ht="12.5" x14ac:dyDescent="0.25">
      <c r="L548" s="56"/>
    </row>
    <row r="549" spans="12:12" ht="12.5" x14ac:dyDescent="0.25">
      <c r="L549" s="56"/>
    </row>
    <row r="550" spans="12:12" ht="12.5" x14ac:dyDescent="0.25">
      <c r="L550" s="56"/>
    </row>
    <row r="551" spans="12:12" ht="12.5" x14ac:dyDescent="0.25">
      <c r="L551" s="56"/>
    </row>
    <row r="552" spans="12:12" ht="12.5" x14ac:dyDescent="0.25">
      <c r="L552" s="56"/>
    </row>
    <row r="553" spans="12:12" ht="12.5" x14ac:dyDescent="0.25">
      <c r="L553" s="56"/>
    </row>
    <row r="554" spans="12:12" ht="12.5" x14ac:dyDescent="0.25">
      <c r="L554" s="56"/>
    </row>
    <row r="555" spans="12:12" ht="12.5" x14ac:dyDescent="0.25">
      <c r="L555" s="56"/>
    </row>
    <row r="556" spans="12:12" ht="12.5" x14ac:dyDescent="0.25">
      <c r="L556" s="56"/>
    </row>
    <row r="557" spans="12:12" ht="12.5" x14ac:dyDescent="0.25">
      <c r="L557" s="56"/>
    </row>
    <row r="558" spans="12:12" ht="12.5" x14ac:dyDescent="0.25">
      <c r="L558" s="56"/>
    </row>
    <row r="559" spans="12:12" ht="12.5" x14ac:dyDescent="0.25">
      <c r="L559" s="56"/>
    </row>
    <row r="560" spans="12:12" ht="12.5" x14ac:dyDescent="0.25">
      <c r="L560" s="56"/>
    </row>
    <row r="561" spans="12:12" ht="12.5" x14ac:dyDescent="0.25">
      <c r="L561" s="56"/>
    </row>
    <row r="562" spans="12:12" ht="12.5" x14ac:dyDescent="0.25">
      <c r="L562" s="56"/>
    </row>
    <row r="563" spans="12:12" ht="12.5" x14ac:dyDescent="0.25">
      <c r="L563" s="56"/>
    </row>
    <row r="564" spans="12:12" ht="12.5" x14ac:dyDescent="0.25">
      <c r="L564" s="56"/>
    </row>
    <row r="565" spans="12:12" ht="12.5" x14ac:dyDescent="0.25">
      <c r="L565" s="56"/>
    </row>
    <row r="566" spans="12:12" ht="12.5" x14ac:dyDescent="0.25">
      <c r="L566" s="56"/>
    </row>
    <row r="567" spans="12:12" ht="12.5" x14ac:dyDescent="0.25">
      <c r="L567" s="56"/>
    </row>
    <row r="568" spans="12:12" ht="12.5" x14ac:dyDescent="0.25">
      <c r="L568" s="56"/>
    </row>
    <row r="569" spans="12:12" ht="12.5" x14ac:dyDescent="0.25">
      <c r="L569" s="56"/>
    </row>
    <row r="570" spans="12:12" ht="12.5" x14ac:dyDescent="0.25">
      <c r="L570" s="56"/>
    </row>
    <row r="571" spans="12:12" ht="12.5" x14ac:dyDescent="0.25">
      <c r="L571" s="56"/>
    </row>
    <row r="572" spans="12:12" ht="12.5" x14ac:dyDescent="0.25">
      <c r="L572" s="56"/>
    </row>
    <row r="573" spans="12:12" ht="12.5" x14ac:dyDescent="0.25">
      <c r="L573" s="56"/>
    </row>
    <row r="574" spans="12:12" ht="12.5" x14ac:dyDescent="0.25">
      <c r="L574" s="56"/>
    </row>
    <row r="575" spans="12:12" ht="12.5" x14ac:dyDescent="0.25">
      <c r="L575" s="56"/>
    </row>
    <row r="576" spans="12:12" ht="12.5" x14ac:dyDescent="0.25">
      <c r="L576" s="56"/>
    </row>
    <row r="577" spans="12:12" ht="12.5" x14ac:dyDescent="0.25">
      <c r="L577" s="56"/>
    </row>
    <row r="578" spans="12:12" ht="12.5" x14ac:dyDescent="0.25">
      <c r="L578" s="56"/>
    </row>
    <row r="579" spans="12:12" ht="12.5" x14ac:dyDescent="0.25">
      <c r="L579" s="56"/>
    </row>
    <row r="580" spans="12:12" ht="12.5" x14ac:dyDescent="0.25">
      <c r="L580" s="56"/>
    </row>
    <row r="581" spans="12:12" ht="12.5" x14ac:dyDescent="0.25">
      <c r="L581" s="56"/>
    </row>
    <row r="582" spans="12:12" ht="12.5" x14ac:dyDescent="0.25">
      <c r="L582" s="56"/>
    </row>
    <row r="583" spans="12:12" ht="12.5" x14ac:dyDescent="0.25">
      <c r="L583" s="56"/>
    </row>
    <row r="584" spans="12:12" ht="12.5" x14ac:dyDescent="0.25">
      <c r="L584" s="56"/>
    </row>
    <row r="585" spans="12:12" ht="12.5" x14ac:dyDescent="0.25">
      <c r="L585" s="56"/>
    </row>
    <row r="586" spans="12:12" ht="12.5" x14ac:dyDescent="0.25">
      <c r="L586" s="56"/>
    </row>
    <row r="587" spans="12:12" ht="12.5" x14ac:dyDescent="0.25">
      <c r="L587" s="56"/>
    </row>
    <row r="588" spans="12:12" ht="12.5" x14ac:dyDescent="0.25">
      <c r="L588" s="56"/>
    </row>
    <row r="589" spans="12:12" ht="12.5" x14ac:dyDescent="0.25">
      <c r="L589" s="56"/>
    </row>
    <row r="590" spans="12:12" ht="12.5" x14ac:dyDescent="0.25">
      <c r="L590" s="56"/>
    </row>
    <row r="591" spans="12:12" ht="12.5" x14ac:dyDescent="0.25">
      <c r="L591" s="56"/>
    </row>
    <row r="592" spans="12:12" ht="12.5" x14ac:dyDescent="0.25">
      <c r="L592" s="56"/>
    </row>
    <row r="593" spans="12:12" ht="12.5" x14ac:dyDescent="0.25">
      <c r="L593" s="56"/>
    </row>
    <row r="594" spans="12:12" ht="12.5" x14ac:dyDescent="0.25">
      <c r="L594" s="56"/>
    </row>
    <row r="595" spans="12:12" ht="12.5" x14ac:dyDescent="0.25">
      <c r="L595" s="56"/>
    </row>
    <row r="596" spans="12:12" ht="12.5" x14ac:dyDescent="0.25">
      <c r="L596" s="56"/>
    </row>
    <row r="597" spans="12:12" ht="12.5" x14ac:dyDescent="0.25">
      <c r="L597" s="56"/>
    </row>
    <row r="598" spans="12:12" ht="12.5" x14ac:dyDescent="0.25">
      <c r="L598" s="56"/>
    </row>
    <row r="599" spans="12:12" ht="12.5" x14ac:dyDescent="0.25">
      <c r="L599" s="56"/>
    </row>
    <row r="600" spans="12:12" ht="12.5" x14ac:dyDescent="0.25">
      <c r="L600" s="56"/>
    </row>
    <row r="601" spans="12:12" ht="12.5" x14ac:dyDescent="0.25">
      <c r="L601" s="56"/>
    </row>
    <row r="602" spans="12:12" ht="12.5" x14ac:dyDescent="0.25">
      <c r="L602" s="56"/>
    </row>
    <row r="603" spans="12:12" ht="12.5" x14ac:dyDescent="0.25">
      <c r="L603" s="56"/>
    </row>
    <row r="604" spans="12:12" ht="12.5" x14ac:dyDescent="0.25">
      <c r="L604" s="56"/>
    </row>
    <row r="605" spans="12:12" ht="12.5" x14ac:dyDescent="0.25">
      <c r="L605" s="56"/>
    </row>
    <row r="606" spans="12:12" ht="12.5" x14ac:dyDescent="0.25">
      <c r="L606" s="56"/>
    </row>
    <row r="607" spans="12:12" ht="12.5" x14ac:dyDescent="0.25">
      <c r="L607" s="56"/>
    </row>
    <row r="608" spans="12:12" ht="12.5" x14ac:dyDescent="0.25">
      <c r="L608" s="56"/>
    </row>
    <row r="609" spans="12:12" ht="12.5" x14ac:dyDescent="0.25">
      <c r="L609" s="56"/>
    </row>
    <row r="610" spans="12:12" ht="12.5" x14ac:dyDescent="0.25">
      <c r="L610" s="56"/>
    </row>
    <row r="611" spans="12:12" ht="12.5" x14ac:dyDescent="0.25">
      <c r="L611" s="56"/>
    </row>
    <row r="612" spans="12:12" ht="12.5" x14ac:dyDescent="0.25">
      <c r="L612" s="56"/>
    </row>
    <row r="613" spans="12:12" ht="12.5" x14ac:dyDescent="0.25">
      <c r="L613" s="56"/>
    </row>
    <row r="614" spans="12:12" ht="12.5" x14ac:dyDescent="0.25">
      <c r="L614" s="56"/>
    </row>
    <row r="615" spans="12:12" ht="12.5" x14ac:dyDescent="0.25">
      <c r="L615" s="56"/>
    </row>
    <row r="616" spans="12:12" ht="12.5" x14ac:dyDescent="0.25">
      <c r="L616" s="56"/>
    </row>
    <row r="617" spans="12:12" ht="12.5" x14ac:dyDescent="0.25">
      <c r="L617" s="56"/>
    </row>
    <row r="618" spans="12:12" ht="12.5" x14ac:dyDescent="0.25">
      <c r="L618" s="56"/>
    </row>
    <row r="619" spans="12:12" ht="12.5" x14ac:dyDescent="0.25">
      <c r="L619" s="56"/>
    </row>
    <row r="620" spans="12:12" ht="12.5" x14ac:dyDescent="0.25">
      <c r="L620" s="56"/>
    </row>
    <row r="621" spans="12:12" ht="12.5" x14ac:dyDescent="0.25">
      <c r="L621" s="56"/>
    </row>
    <row r="622" spans="12:12" ht="12.5" x14ac:dyDescent="0.25">
      <c r="L622" s="56"/>
    </row>
    <row r="623" spans="12:12" ht="12.5" x14ac:dyDescent="0.25">
      <c r="L623" s="56"/>
    </row>
    <row r="624" spans="12:12" ht="12.5" x14ac:dyDescent="0.25">
      <c r="L624" s="56"/>
    </row>
    <row r="625" spans="12:12" ht="12.5" x14ac:dyDescent="0.25">
      <c r="L625" s="56"/>
    </row>
    <row r="626" spans="12:12" ht="12.5" x14ac:dyDescent="0.25">
      <c r="L626" s="56"/>
    </row>
    <row r="627" spans="12:12" ht="12.5" x14ac:dyDescent="0.25">
      <c r="L627" s="56"/>
    </row>
    <row r="628" spans="12:12" ht="12.5" x14ac:dyDescent="0.25">
      <c r="L628" s="56"/>
    </row>
    <row r="629" spans="12:12" ht="12.5" x14ac:dyDescent="0.25">
      <c r="L629" s="56"/>
    </row>
    <row r="630" spans="12:12" ht="12.5" x14ac:dyDescent="0.25">
      <c r="L630" s="56"/>
    </row>
    <row r="631" spans="12:12" ht="12.5" x14ac:dyDescent="0.25">
      <c r="L631" s="56"/>
    </row>
    <row r="632" spans="12:12" ht="12.5" x14ac:dyDescent="0.25">
      <c r="L632" s="56"/>
    </row>
    <row r="633" spans="12:12" ht="12.5" x14ac:dyDescent="0.25">
      <c r="L633" s="56"/>
    </row>
    <row r="634" spans="12:12" ht="12.5" x14ac:dyDescent="0.25">
      <c r="L634" s="56"/>
    </row>
    <row r="635" spans="12:12" ht="12.5" x14ac:dyDescent="0.25">
      <c r="L635" s="56"/>
    </row>
    <row r="636" spans="12:12" ht="12.5" x14ac:dyDescent="0.25">
      <c r="L636" s="56"/>
    </row>
    <row r="637" spans="12:12" ht="12.5" x14ac:dyDescent="0.25">
      <c r="L637" s="56"/>
    </row>
    <row r="638" spans="12:12" ht="12.5" x14ac:dyDescent="0.25">
      <c r="L638" s="56"/>
    </row>
    <row r="639" spans="12:12" ht="12.5" x14ac:dyDescent="0.25">
      <c r="L639" s="56"/>
    </row>
    <row r="640" spans="12:12" ht="12.5" x14ac:dyDescent="0.25">
      <c r="L640" s="56"/>
    </row>
    <row r="641" spans="12:12" ht="12.5" x14ac:dyDescent="0.25">
      <c r="L641" s="56"/>
    </row>
    <row r="642" spans="12:12" ht="12.5" x14ac:dyDescent="0.25">
      <c r="L642" s="56"/>
    </row>
    <row r="643" spans="12:12" ht="12.5" x14ac:dyDescent="0.25">
      <c r="L643" s="56"/>
    </row>
    <row r="644" spans="12:12" ht="12.5" x14ac:dyDescent="0.25">
      <c r="L644" s="56"/>
    </row>
    <row r="645" spans="12:12" ht="12.5" x14ac:dyDescent="0.25">
      <c r="L645" s="56"/>
    </row>
    <row r="646" spans="12:12" ht="12.5" x14ac:dyDescent="0.25">
      <c r="L646" s="56"/>
    </row>
    <row r="647" spans="12:12" ht="12.5" x14ac:dyDescent="0.25">
      <c r="L647" s="56"/>
    </row>
    <row r="648" spans="12:12" ht="12.5" x14ac:dyDescent="0.25">
      <c r="L648" s="56"/>
    </row>
    <row r="649" spans="12:12" ht="12.5" x14ac:dyDescent="0.25">
      <c r="L649" s="56"/>
    </row>
    <row r="650" spans="12:12" ht="12.5" x14ac:dyDescent="0.25">
      <c r="L650" s="56"/>
    </row>
    <row r="651" spans="12:12" ht="12.5" x14ac:dyDescent="0.25">
      <c r="L651" s="56"/>
    </row>
    <row r="652" spans="12:12" ht="12.5" x14ac:dyDescent="0.25">
      <c r="L652" s="56"/>
    </row>
    <row r="653" spans="12:12" ht="12.5" x14ac:dyDescent="0.25">
      <c r="L653" s="56"/>
    </row>
    <row r="654" spans="12:12" ht="12.5" x14ac:dyDescent="0.25">
      <c r="L654" s="56"/>
    </row>
    <row r="655" spans="12:12" ht="12.5" x14ac:dyDescent="0.25">
      <c r="L655" s="56"/>
    </row>
    <row r="656" spans="12:12" ht="12.5" x14ac:dyDescent="0.25">
      <c r="L656" s="56"/>
    </row>
    <row r="657" spans="12:12" ht="12.5" x14ac:dyDescent="0.25">
      <c r="L657" s="56"/>
    </row>
    <row r="658" spans="12:12" ht="12.5" x14ac:dyDescent="0.25">
      <c r="L658" s="56"/>
    </row>
    <row r="659" spans="12:12" ht="12.5" x14ac:dyDescent="0.25">
      <c r="L659" s="56"/>
    </row>
    <row r="660" spans="12:12" ht="12.5" x14ac:dyDescent="0.25">
      <c r="L660" s="56"/>
    </row>
    <row r="661" spans="12:12" ht="12.5" x14ac:dyDescent="0.25">
      <c r="L661" s="56"/>
    </row>
    <row r="662" spans="12:12" ht="12.5" x14ac:dyDescent="0.25">
      <c r="L662" s="56"/>
    </row>
    <row r="663" spans="12:12" ht="12.5" x14ac:dyDescent="0.25">
      <c r="L663" s="56"/>
    </row>
    <row r="664" spans="12:12" ht="12.5" x14ac:dyDescent="0.25">
      <c r="L664" s="56"/>
    </row>
    <row r="665" spans="12:12" ht="12.5" x14ac:dyDescent="0.25">
      <c r="L665" s="56"/>
    </row>
    <row r="666" spans="12:12" ht="12.5" x14ac:dyDescent="0.25">
      <c r="L666" s="56"/>
    </row>
    <row r="667" spans="12:12" ht="12.5" x14ac:dyDescent="0.25">
      <c r="L667" s="56"/>
    </row>
    <row r="668" spans="12:12" ht="12.5" x14ac:dyDescent="0.25">
      <c r="L668" s="56"/>
    </row>
    <row r="669" spans="12:12" ht="12.5" x14ac:dyDescent="0.25">
      <c r="L669" s="56"/>
    </row>
    <row r="670" spans="12:12" ht="12.5" x14ac:dyDescent="0.25">
      <c r="L670" s="56"/>
    </row>
    <row r="671" spans="12:12" ht="12.5" x14ac:dyDescent="0.25">
      <c r="L671" s="56"/>
    </row>
    <row r="672" spans="12:12" ht="12.5" x14ac:dyDescent="0.25">
      <c r="L672" s="56"/>
    </row>
    <row r="673" spans="12:12" ht="12.5" x14ac:dyDescent="0.25">
      <c r="L673" s="56"/>
    </row>
    <row r="674" spans="12:12" ht="12.5" x14ac:dyDescent="0.25">
      <c r="L674" s="56"/>
    </row>
    <row r="675" spans="12:12" ht="12.5" x14ac:dyDescent="0.25">
      <c r="L675" s="56"/>
    </row>
    <row r="676" spans="12:12" ht="12.5" x14ac:dyDescent="0.25">
      <c r="L676" s="56"/>
    </row>
    <row r="677" spans="12:12" ht="12.5" x14ac:dyDescent="0.25">
      <c r="L677" s="56"/>
    </row>
    <row r="678" spans="12:12" ht="12.5" x14ac:dyDescent="0.25">
      <c r="L678" s="56"/>
    </row>
    <row r="679" spans="12:12" ht="12.5" x14ac:dyDescent="0.25">
      <c r="L679" s="56"/>
    </row>
    <row r="680" spans="12:12" ht="12.5" x14ac:dyDescent="0.25">
      <c r="L680" s="56"/>
    </row>
    <row r="681" spans="12:12" ht="12.5" x14ac:dyDescent="0.25">
      <c r="L681" s="56"/>
    </row>
    <row r="682" spans="12:12" ht="12.5" x14ac:dyDescent="0.25">
      <c r="L682" s="56"/>
    </row>
    <row r="683" spans="12:12" ht="12.5" x14ac:dyDescent="0.25">
      <c r="L683" s="56"/>
    </row>
    <row r="684" spans="12:12" ht="12.5" x14ac:dyDescent="0.25">
      <c r="L684" s="56"/>
    </row>
    <row r="685" spans="12:12" ht="12.5" x14ac:dyDescent="0.25">
      <c r="L685" s="56"/>
    </row>
    <row r="686" spans="12:12" ht="12.5" x14ac:dyDescent="0.25">
      <c r="L686" s="56"/>
    </row>
    <row r="687" spans="12:12" ht="12.5" x14ac:dyDescent="0.25">
      <c r="L687" s="56"/>
    </row>
    <row r="688" spans="12:12" ht="12.5" x14ac:dyDescent="0.25">
      <c r="L688" s="56"/>
    </row>
    <row r="689" spans="12:12" ht="12.5" x14ac:dyDescent="0.25">
      <c r="L689" s="56"/>
    </row>
    <row r="690" spans="12:12" ht="12.5" x14ac:dyDescent="0.25">
      <c r="L690" s="56"/>
    </row>
    <row r="691" spans="12:12" ht="12.5" x14ac:dyDescent="0.25">
      <c r="L691" s="56"/>
    </row>
    <row r="692" spans="12:12" ht="12.5" x14ac:dyDescent="0.25">
      <c r="L692" s="56"/>
    </row>
    <row r="693" spans="12:12" ht="12.5" x14ac:dyDescent="0.25">
      <c r="L693" s="56"/>
    </row>
    <row r="694" spans="12:12" ht="12.5" x14ac:dyDescent="0.25">
      <c r="L694" s="56"/>
    </row>
    <row r="695" spans="12:12" ht="12.5" x14ac:dyDescent="0.25">
      <c r="L695" s="56"/>
    </row>
    <row r="696" spans="12:12" ht="12.5" x14ac:dyDescent="0.25">
      <c r="L696" s="56"/>
    </row>
    <row r="697" spans="12:12" ht="12.5" x14ac:dyDescent="0.25">
      <c r="L697" s="56"/>
    </row>
    <row r="698" spans="12:12" ht="12.5" x14ac:dyDescent="0.25">
      <c r="L698" s="56"/>
    </row>
    <row r="699" spans="12:12" ht="12.5" x14ac:dyDescent="0.25">
      <c r="L699" s="56"/>
    </row>
    <row r="700" spans="12:12" ht="12.5" x14ac:dyDescent="0.25">
      <c r="L700" s="56"/>
    </row>
    <row r="701" spans="12:12" ht="12.5" x14ac:dyDescent="0.25">
      <c r="L701" s="56"/>
    </row>
    <row r="702" spans="12:12" ht="12.5" x14ac:dyDescent="0.25">
      <c r="L702" s="56"/>
    </row>
    <row r="703" spans="12:12" ht="12.5" x14ac:dyDescent="0.25">
      <c r="L703" s="56"/>
    </row>
    <row r="704" spans="12:12" ht="12.5" x14ac:dyDescent="0.25">
      <c r="L704" s="56"/>
    </row>
    <row r="705" spans="12:12" ht="12.5" x14ac:dyDescent="0.25">
      <c r="L705" s="56"/>
    </row>
    <row r="706" spans="12:12" ht="12.5" x14ac:dyDescent="0.25">
      <c r="L706" s="56"/>
    </row>
    <row r="707" spans="12:12" ht="12.5" x14ac:dyDescent="0.25">
      <c r="L707" s="56"/>
    </row>
    <row r="708" spans="12:12" ht="12.5" x14ac:dyDescent="0.25">
      <c r="L708" s="56"/>
    </row>
    <row r="709" spans="12:12" ht="12.5" x14ac:dyDescent="0.25">
      <c r="L709" s="56"/>
    </row>
    <row r="710" spans="12:12" ht="12.5" x14ac:dyDescent="0.25">
      <c r="L710" s="56"/>
    </row>
    <row r="711" spans="12:12" ht="12.5" x14ac:dyDescent="0.25">
      <c r="L711" s="56"/>
    </row>
    <row r="712" spans="12:12" ht="12.5" x14ac:dyDescent="0.25">
      <c r="L712" s="56"/>
    </row>
    <row r="713" spans="12:12" ht="12.5" x14ac:dyDescent="0.25">
      <c r="L713" s="56"/>
    </row>
    <row r="714" spans="12:12" ht="12.5" x14ac:dyDescent="0.25">
      <c r="L714" s="56"/>
    </row>
    <row r="715" spans="12:12" ht="12.5" x14ac:dyDescent="0.25">
      <c r="L715" s="56"/>
    </row>
    <row r="716" spans="12:12" ht="12.5" x14ac:dyDescent="0.25">
      <c r="L716" s="56"/>
    </row>
    <row r="717" spans="12:12" ht="12.5" x14ac:dyDescent="0.25">
      <c r="L717" s="56"/>
    </row>
    <row r="718" spans="12:12" ht="12.5" x14ac:dyDescent="0.25">
      <c r="L718" s="56"/>
    </row>
    <row r="719" spans="12:12" ht="12.5" x14ac:dyDescent="0.25">
      <c r="L719" s="56"/>
    </row>
    <row r="720" spans="12:12" ht="12.5" x14ac:dyDescent="0.25">
      <c r="L720" s="56"/>
    </row>
    <row r="721" spans="12:12" ht="12.5" x14ac:dyDescent="0.25">
      <c r="L721" s="56"/>
    </row>
    <row r="722" spans="12:12" ht="12.5" x14ac:dyDescent="0.25">
      <c r="L722" s="56"/>
    </row>
    <row r="723" spans="12:12" ht="12.5" x14ac:dyDescent="0.25">
      <c r="L723" s="56"/>
    </row>
    <row r="724" spans="12:12" ht="12.5" x14ac:dyDescent="0.25">
      <c r="L724" s="56"/>
    </row>
    <row r="725" spans="12:12" ht="12.5" x14ac:dyDescent="0.25">
      <c r="L725" s="56"/>
    </row>
    <row r="726" spans="12:12" ht="12.5" x14ac:dyDescent="0.25">
      <c r="L726" s="56"/>
    </row>
    <row r="727" spans="12:12" ht="12.5" x14ac:dyDescent="0.25">
      <c r="L727" s="56"/>
    </row>
    <row r="728" spans="12:12" ht="12.5" x14ac:dyDescent="0.25">
      <c r="L728" s="56"/>
    </row>
    <row r="729" spans="12:12" ht="12.5" x14ac:dyDescent="0.25">
      <c r="L729" s="56"/>
    </row>
    <row r="730" spans="12:12" ht="12.5" x14ac:dyDescent="0.25">
      <c r="L730" s="56"/>
    </row>
    <row r="731" spans="12:12" ht="12.5" x14ac:dyDescent="0.25">
      <c r="L731" s="56"/>
    </row>
    <row r="732" spans="12:12" ht="12.5" x14ac:dyDescent="0.25">
      <c r="L732" s="56"/>
    </row>
    <row r="733" spans="12:12" ht="12.5" x14ac:dyDescent="0.25">
      <c r="L733" s="56"/>
    </row>
    <row r="734" spans="12:12" ht="12.5" x14ac:dyDescent="0.25">
      <c r="L734" s="56"/>
    </row>
    <row r="735" spans="12:12" ht="12.5" x14ac:dyDescent="0.25">
      <c r="L735" s="56"/>
    </row>
    <row r="736" spans="12:12" ht="12.5" x14ac:dyDescent="0.25">
      <c r="L736" s="56"/>
    </row>
    <row r="737" spans="12:12" ht="12.5" x14ac:dyDescent="0.25">
      <c r="L737" s="56"/>
    </row>
    <row r="738" spans="12:12" ht="12.5" x14ac:dyDescent="0.25">
      <c r="L738" s="56"/>
    </row>
    <row r="739" spans="12:12" ht="12.5" x14ac:dyDescent="0.25">
      <c r="L739" s="56"/>
    </row>
    <row r="740" spans="12:12" ht="12.5" x14ac:dyDescent="0.25">
      <c r="L740" s="56"/>
    </row>
    <row r="741" spans="12:12" ht="12.5" x14ac:dyDescent="0.25">
      <c r="L741" s="56"/>
    </row>
    <row r="742" spans="12:12" ht="12.5" x14ac:dyDescent="0.25">
      <c r="L742" s="56"/>
    </row>
    <row r="743" spans="12:12" ht="12.5" x14ac:dyDescent="0.25">
      <c r="L743" s="56"/>
    </row>
    <row r="744" spans="12:12" ht="12.5" x14ac:dyDescent="0.25">
      <c r="L744" s="56"/>
    </row>
    <row r="745" spans="12:12" ht="12.5" x14ac:dyDescent="0.25">
      <c r="L745" s="56"/>
    </row>
    <row r="746" spans="12:12" ht="12.5" x14ac:dyDescent="0.25">
      <c r="L746" s="56"/>
    </row>
    <row r="747" spans="12:12" ht="12.5" x14ac:dyDescent="0.25">
      <c r="L747" s="56"/>
    </row>
    <row r="748" spans="12:12" ht="12.5" x14ac:dyDescent="0.25">
      <c r="L748" s="56"/>
    </row>
    <row r="749" spans="12:12" ht="12.5" x14ac:dyDescent="0.25">
      <c r="L749" s="56"/>
    </row>
    <row r="750" spans="12:12" ht="12.5" x14ac:dyDescent="0.25">
      <c r="L750" s="56"/>
    </row>
    <row r="751" spans="12:12" ht="12.5" x14ac:dyDescent="0.25">
      <c r="L751" s="56"/>
    </row>
    <row r="752" spans="12:12" ht="12.5" x14ac:dyDescent="0.25">
      <c r="L752" s="56"/>
    </row>
    <row r="753" spans="12:12" ht="12.5" x14ac:dyDescent="0.25">
      <c r="L753" s="56"/>
    </row>
    <row r="754" spans="12:12" ht="12.5" x14ac:dyDescent="0.25">
      <c r="L754" s="56"/>
    </row>
    <row r="755" spans="12:12" ht="12.5" x14ac:dyDescent="0.25">
      <c r="L755" s="56"/>
    </row>
    <row r="756" spans="12:12" ht="12.5" x14ac:dyDescent="0.25">
      <c r="L756" s="56"/>
    </row>
    <row r="757" spans="12:12" ht="12.5" x14ac:dyDescent="0.25">
      <c r="L757" s="56"/>
    </row>
    <row r="758" spans="12:12" ht="12.5" x14ac:dyDescent="0.25">
      <c r="L758" s="56"/>
    </row>
    <row r="759" spans="12:12" ht="12.5" x14ac:dyDescent="0.25">
      <c r="L759" s="56"/>
    </row>
    <row r="760" spans="12:12" ht="12.5" x14ac:dyDescent="0.25">
      <c r="L760" s="56"/>
    </row>
    <row r="761" spans="12:12" ht="12.5" x14ac:dyDescent="0.25">
      <c r="L761" s="56"/>
    </row>
    <row r="762" spans="12:12" ht="12.5" x14ac:dyDescent="0.25">
      <c r="L762" s="56"/>
    </row>
    <row r="763" spans="12:12" ht="12.5" x14ac:dyDescent="0.25">
      <c r="L763" s="56"/>
    </row>
    <row r="764" spans="12:12" ht="12.5" x14ac:dyDescent="0.25">
      <c r="L764" s="56"/>
    </row>
    <row r="765" spans="12:12" ht="12.5" x14ac:dyDescent="0.25">
      <c r="L765" s="56"/>
    </row>
    <row r="766" spans="12:12" ht="12.5" x14ac:dyDescent="0.25">
      <c r="L766" s="56"/>
    </row>
    <row r="767" spans="12:12" ht="12.5" x14ac:dyDescent="0.25">
      <c r="L767" s="56"/>
    </row>
    <row r="768" spans="12:12" ht="12.5" x14ac:dyDescent="0.25">
      <c r="L768" s="56"/>
    </row>
    <row r="769" spans="12:12" ht="12.5" x14ac:dyDescent="0.25">
      <c r="L769" s="56"/>
    </row>
    <row r="770" spans="12:12" ht="12.5" x14ac:dyDescent="0.25">
      <c r="L770" s="56"/>
    </row>
    <row r="771" spans="12:12" ht="12.5" x14ac:dyDescent="0.25">
      <c r="L771" s="56"/>
    </row>
    <row r="772" spans="12:12" ht="12.5" x14ac:dyDescent="0.25">
      <c r="L772" s="56"/>
    </row>
    <row r="773" spans="12:12" ht="12.5" x14ac:dyDescent="0.25">
      <c r="L773" s="56"/>
    </row>
    <row r="774" spans="12:12" ht="12.5" x14ac:dyDescent="0.25">
      <c r="L774" s="56"/>
    </row>
    <row r="775" spans="12:12" ht="12.5" x14ac:dyDescent="0.25">
      <c r="L775" s="56"/>
    </row>
    <row r="776" spans="12:12" ht="12.5" x14ac:dyDescent="0.25">
      <c r="L776" s="56"/>
    </row>
    <row r="777" spans="12:12" ht="12.5" x14ac:dyDescent="0.25">
      <c r="L777" s="56"/>
    </row>
    <row r="778" spans="12:12" ht="12.5" x14ac:dyDescent="0.25">
      <c r="L778" s="56"/>
    </row>
    <row r="779" spans="12:12" ht="12.5" x14ac:dyDescent="0.25">
      <c r="L779" s="56"/>
    </row>
    <row r="780" spans="12:12" ht="12.5" x14ac:dyDescent="0.25">
      <c r="L780" s="56"/>
    </row>
    <row r="781" spans="12:12" ht="12.5" x14ac:dyDescent="0.25">
      <c r="L781" s="56"/>
    </row>
    <row r="782" spans="12:12" ht="12.5" x14ac:dyDescent="0.25">
      <c r="L782" s="56"/>
    </row>
    <row r="783" spans="12:12" ht="12.5" x14ac:dyDescent="0.25">
      <c r="L783" s="56"/>
    </row>
    <row r="784" spans="12:12" ht="12.5" x14ac:dyDescent="0.25">
      <c r="L784" s="56"/>
    </row>
    <row r="785" spans="12:12" ht="12.5" x14ac:dyDescent="0.25">
      <c r="L785" s="56"/>
    </row>
    <row r="786" spans="12:12" ht="12.5" x14ac:dyDescent="0.25">
      <c r="L786" s="56"/>
    </row>
    <row r="787" spans="12:12" ht="12.5" x14ac:dyDescent="0.25">
      <c r="L787" s="56"/>
    </row>
    <row r="788" spans="12:12" ht="12.5" x14ac:dyDescent="0.25">
      <c r="L788" s="56"/>
    </row>
    <row r="789" spans="12:12" ht="12.5" x14ac:dyDescent="0.25">
      <c r="L789" s="56"/>
    </row>
    <row r="790" spans="12:12" ht="12.5" x14ac:dyDescent="0.25">
      <c r="L790" s="56"/>
    </row>
    <row r="791" spans="12:12" ht="12.5" x14ac:dyDescent="0.25">
      <c r="L791" s="56"/>
    </row>
    <row r="792" spans="12:12" ht="12.5" x14ac:dyDescent="0.25">
      <c r="L792" s="56"/>
    </row>
    <row r="793" spans="12:12" ht="12.5" x14ac:dyDescent="0.25">
      <c r="L793" s="56"/>
    </row>
    <row r="794" spans="12:12" ht="12.5" x14ac:dyDescent="0.25">
      <c r="L794" s="56"/>
    </row>
    <row r="795" spans="12:12" ht="12.5" x14ac:dyDescent="0.25">
      <c r="L795" s="56"/>
    </row>
    <row r="796" spans="12:12" ht="12.5" x14ac:dyDescent="0.25">
      <c r="L796" s="56"/>
    </row>
    <row r="797" spans="12:12" ht="12.5" x14ac:dyDescent="0.25">
      <c r="L797" s="56"/>
    </row>
    <row r="798" spans="12:12" ht="12.5" x14ac:dyDescent="0.25">
      <c r="L798" s="56"/>
    </row>
    <row r="799" spans="12:12" ht="12.5" x14ac:dyDescent="0.25">
      <c r="L799" s="56"/>
    </row>
    <row r="800" spans="12:12" ht="12.5" x14ac:dyDescent="0.25">
      <c r="L800" s="56"/>
    </row>
    <row r="801" spans="12:12" ht="12.5" x14ac:dyDescent="0.25">
      <c r="L801" s="56"/>
    </row>
    <row r="802" spans="12:12" ht="12.5" x14ac:dyDescent="0.25">
      <c r="L802" s="56"/>
    </row>
    <row r="803" spans="12:12" ht="12.5" x14ac:dyDescent="0.25">
      <c r="L803" s="56"/>
    </row>
    <row r="804" spans="12:12" ht="12.5" x14ac:dyDescent="0.25">
      <c r="L804" s="56"/>
    </row>
    <row r="805" spans="12:12" ht="12.5" x14ac:dyDescent="0.25">
      <c r="L805" s="56"/>
    </row>
    <row r="806" spans="12:12" ht="12.5" x14ac:dyDescent="0.25">
      <c r="L806" s="56"/>
    </row>
    <row r="807" spans="12:12" ht="12.5" x14ac:dyDescent="0.25">
      <c r="L807" s="56"/>
    </row>
    <row r="808" spans="12:12" ht="12.5" x14ac:dyDescent="0.25">
      <c r="L808" s="56"/>
    </row>
    <row r="809" spans="12:12" ht="12.5" x14ac:dyDescent="0.25">
      <c r="L809" s="56"/>
    </row>
    <row r="810" spans="12:12" ht="12.5" x14ac:dyDescent="0.25">
      <c r="L810" s="56"/>
    </row>
    <row r="811" spans="12:12" ht="12.5" x14ac:dyDescent="0.25">
      <c r="L811" s="56"/>
    </row>
    <row r="812" spans="12:12" ht="12.5" x14ac:dyDescent="0.25">
      <c r="L812" s="56"/>
    </row>
    <row r="813" spans="12:12" ht="12.5" x14ac:dyDescent="0.25">
      <c r="L813" s="56"/>
    </row>
    <row r="814" spans="12:12" ht="12.5" x14ac:dyDescent="0.25">
      <c r="L814" s="56"/>
    </row>
    <row r="815" spans="12:12" ht="12.5" x14ac:dyDescent="0.25">
      <c r="L815" s="56"/>
    </row>
    <row r="816" spans="12:12" ht="12.5" x14ac:dyDescent="0.25">
      <c r="L816" s="56"/>
    </row>
    <row r="817" spans="12:12" ht="12.5" x14ac:dyDescent="0.25">
      <c r="L817" s="56"/>
    </row>
    <row r="818" spans="12:12" ht="12.5" x14ac:dyDescent="0.25">
      <c r="L818" s="56"/>
    </row>
    <row r="819" spans="12:12" ht="12.5" x14ac:dyDescent="0.25">
      <c r="L819" s="56"/>
    </row>
    <row r="820" spans="12:12" ht="12.5" x14ac:dyDescent="0.25">
      <c r="L820" s="56"/>
    </row>
    <row r="821" spans="12:12" ht="12.5" x14ac:dyDescent="0.25">
      <c r="L821" s="56"/>
    </row>
    <row r="822" spans="12:12" ht="12.5" x14ac:dyDescent="0.25">
      <c r="L822" s="56"/>
    </row>
    <row r="823" spans="12:12" ht="12.5" x14ac:dyDescent="0.25">
      <c r="L823" s="56"/>
    </row>
    <row r="824" spans="12:12" ht="12.5" x14ac:dyDescent="0.25">
      <c r="L824" s="56"/>
    </row>
    <row r="825" spans="12:12" ht="12.5" x14ac:dyDescent="0.25">
      <c r="L825" s="56"/>
    </row>
    <row r="826" spans="12:12" ht="12.5" x14ac:dyDescent="0.25">
      <c r="L826" s="56"/>
    </row>
    <row r="827" spans="12:12" ht="12.5" x14ac:dyDescent="0.25">
      <c r="L827" s="56"/>
    </row>
    <row r="828" spans="12:12" ht="12.5" x14ac:dyDescent="0.25">
      <c r="L828" s="56"/>
    </row>
    <row r="829" spans="12:12" ht="12.5" x14ac:dyDescent="0.25">
      <c r="L829" s="56"/>
    </row>
    <row r="830" spans="12:12" ht="12.5" x14ac:dyDescent="0.25">
      <c r="L830" s="56"/>
    </row>
    <row r="831" spans="12:12" ht="12.5" x14ac:dyDescent="0.25">
      <c r="L831" s="56"/>
    </row>
    <row r="832" spans="12:12" ht="12.5" x14ac:dyDescent="0.25">
      <c r="L832" s="56"/>
    </row>
    <row r="833" spans="12:12" ht="12.5" x14ac:dyDescent="0.25">
      <c r="L833" s="56"/>
    </row>
    <row r="834" spans="12:12" ht="12.5" x14ac:dyDescent="0.25">
      <c r="L834" s="56"/>
    </row>
    <row r="835" spans="12:12" ht="12.5" x14ac:dyDescent="0.25">
      <c r="L835" s="56"/>
    </row>
    <row r="836" spans="12:12" ht="12.5" x14ac:dyDescent="0.25">
      <c r="L836" s="56"/>
    </row>
    <row r="837" spans="12:12" ht="12.5" x14ac:dyDescent="0.25">
      <c r="L837" s="56"/>
    </row>
    <row r="838" spans="12:12" ht="12.5" x14ac:dyDescent="0.25">
      <c r="L838" s="56"/>
    </row>
    <row r="839" spans="12:12" ht="12.5" x14ac:dyDescent="0.25">
      <c r="L839" s="56"/>
    </row>
    <row r="840" spans="12:12" ht="12.5" x14ac:dyDescent="0.25">
      <c r="L840" s="56"/>
    </row>
    <row r="841" spans="12:12" ht="12.5" x14ac:dyDescent="0.25">
      <c r="L841" s="56"/>
    </row>
    <row r="842" spans="12:12" ht="12.5" x14ac:dyDescent="0.25">
      <c r="L842" s="56"/>
    </row>
    <row r="843" spans="12:12" ht="12.5" x14ac:dyDescent="0.25">
      <c r="L843" s="56"/>
    </row>
    <row r="844" spans="12:12" ht="12.5" x14ac:dyDescent="0.25">
      <c r="L844" s="56"/>
    </row>
    <row r="845" spans="12:12" ht="12.5" x14ac:dyDescent="0.25">
      <c r="L845" s="56"/>
    </row>
    <row r="846" spans="12:12" ht="12.5" x14ac:dyDescent="0.25">
      <c r="L846" s="56"/>
    </row>
    <row r="847" spans="12:12" ht="12.5" x14ac:dyDescent="0.25">
      <c r="L847" s="56"/>
    </row>
    <row r="848" spans="12:12" ht="12.5" x14ac:dyDescent="0.25">
      <c r="L848" s="56"/>
    </row>
    <row r="849" spans="12:12" ht="12.5" x14ac:dyDescent="0.25">
      <c r="L849" s="56"/>
    </row>
    <row r="850" spans="12:12" ht="12.5" x14ac:dyDescent="0.25">
      <c r="L850" s="56"/>
    </row>
    <row r="851" spans="12:12" ht="12.5" x14ac:dyDescent="0.25">
      <c r="L851" s="56"/>
    </row>
    <row r="852" spans="12:12" ht="12.5" x14ac:dyDescent="0.25">
      <c r="L852" s="56"/>
    </row>
    <row r="853" spans="12:12" ht="12.5" x14ac:dyDescent="0.25">
      <c r="L853" s="56"/>
    </row>
    <row r="854" spans="12:12" ht="12.5" x14ac:dyDescent="0.25">
      <c r="L854" s="56"/>
    </row>
    <row r="855" spans="12:12" ht="12.5" x14ac:dyDescent="0.25">
      <c r="L855" s="56"/>
    </row>
    <row r="856" spans="12:12" ht="12.5" x14ac:dyDescent="0.25">
      <c r="L856" s="56"/>
    </row>
    <row r="857" spans="12:12" ht="12.5" x14ac:dyDescent="0.25">
      <c r="L857" s="56"/>
    </row>
    <row r="858" spans="12:12" ht="12.5" x14ac:dyDescent="0.25">
      <c r="L858" s="56"/>
    </row>
    <row r="859" spans="12:12" ht="12.5" x14ac:dyDescent="0.25">
      <c r="L859" s="56"/>
    </row>
    <row r="860" spans="12:12" ht="12.5" x14ac:dyDescent="0.25">
      <c r="L860" s="56"/>
    </row>
    <row r="861" spans="12:12" ht="12.5" x14ac:dyDescent="0.25">
      <c r="L861" s="56"/>
    </row>
    <row r="862" spans="12:12" ht="12.5" x14ac:dyDescent="0.25">
      <c r="L862" s="56"/>
    </row>
    <row r="863" spans="12:12" ht="12.5" x14ac:dyDescent="0.25">
      <c r="L863" s="56"/>
    </row>
    <row r="864" spans="12:12" ht="12.5" x14ac:dyDescent="0.25">
      <c r="L864" s="56"/>
    </row>
    <row r="865" spans="12:12" ht="12.5" x14ac:dyDescent="0.25">
      <c r="L865" s="56"/>
    </row>
    <row r="866" spans="12:12" ht="12.5" x14ac:dyDescent="0.25">
      <c r="L866" s="56"/>
    </row>
    <row r="867" spans="12:12" ht="12.5" x14ac:dyDescent="0.25">
      <c r="L867" s="56"/>
    </row>
    <row r="868" spans="12:12" ht="12.5" x14ac:dyDescent="0.25">
      <c r="L868" s="56"/>
    </row>
    <row r="869" spans="12:12" ht="12.5" x14ac:dyDescent="0.25">
      <c r="L869" s="56"/>
    </row>
    <row r="870" spans="12:12" ht="12.5" x14ac:dyDescent="0.25">
      <c r="L870" s="56"/>
    </row>
    <row r="871" spans="12:12" ht="12.5" x14ac:dyDescent="0.25">
      <c r="L871" s="56"/>
    </row>
    <row r="872" spans="12:12" ht="12.5" x14ac:dyDescent="0.25">
      <c r="L872" s="56"/>
    </row>
    <row r="873" spans="12:12" ht="12.5" x14ac:dyDescent="0.25">
      <c r="L873" s="56"/>
    </row>
    <row r="874" spans="12:12" ht="12.5" x14ac:dyDescent="0.25">
      <c r="L874" s="56"/>
    </row>
    <row r="875" spans="12:12" ht="12.5" x14ac:dyDescent="0.25">
      <c r="L875" s="56"/>
    </row>
    <row r="876" spans="12:12" ht="12.5" x14ac:dyDescent="0.25">
      <c r="L876" s="56"/>
    </row>
    <row r="877" spans="12:12" ht="12.5" x14ac:dyDescent="0.25">
      <c r="L877" s="56"/>
    </row>
    <row r="878" spans="12:12" ht="12.5" x14ac:dyDescent="0.25">
      <c r="L878" s="56"/>
    </row>
    <row r="879" spans="12:12" ht="12.5" x14ac:dyDescent="0.25">
      <c r="L879" s="56"/>
    </row>
    <row r="880" spans="12:12" ht="12.5" x14ac:dyDescent="0.25">
      <c r="L880" s="56"/>
    </row>
    <row r="881" spans="12:12" ht="12.5" x14ac:dyDescent="0.25">
      <c r="L881" s="56"/>
    </row>
    <row r="882" spans="12:12" ht="12.5" x14ac:dyDescent="0.25">
      <c r="L882" s="56"/>
    </row>
    <row r="883" spans="12:12" ht="12.5" x14ac:dyDescent="0.25">
      <c r="L883" s="56"/>
    </row>
    <row r="884" spans="12:12" ht="12.5" x14ac:dyDescent="0.25">
      <c r="L884" s="56"/>
    </row>
    <row r="885" spans="12:12" ht="12.5" x14ac:dyDescent="0.25">
      <c r="L885" s="56"/>
    </row>
    <row r="886" spans="12:12" ht="12.5" x14ac:dyDescent="0.25">
      <c r="L886" s="56"/>
    </row>
    <row r="887" spans="12:12" ht="12.5" x14ac:dyDescent="0.25">
      <c r="L887" s="56"/>
    </row>
    <row r="888" spans="12:12" ht="12.5" x14ac:dyDescent="0.25">
      <c r="L888" s="56"/>
    </row>
    <row r="889" spans="12:12" ht="12.5" x14ac:dyDescent="0.25">
      <c r="L889" s="56"/>
    </row>
    <row r="890" spans="12:12" ht="12.5" x14ac:dyDescent="0.25">
      <c r="L890" s="56"/>
    </row>
    <row r="891" spans="12:12" ht="12.5" x14ac:dyDescent="0.25">
      <c r="L891" s="56"/>
    </row>
    <row r="892" spans="12:12" ht="12.5" x14ac:dyDescent="0.25">
      <c r="L892" s="56"/>
    </row>
    <row r="893" spans="12:12" ht="12.5" x14ac:dyDescent="0.25">
      <c r="L893" s="56"/>
    </row>
    <row r="894" spans="12:12" ht="12.5" x14ac:dyDescent="0.25">
      <c r="L894" s="56"/>
    </row>
    <row r="895" spans="12:12" ht="12.5" x14ac:dyDescent="0.25">
      <c r="L895" s="56"/>
    </row>
    <row r="896" spans="12:12" ht="12.5" x14ac:dyDescent="0.25">
      <c r="L896" s="56"/>
    </row>
    <row r="897" spans="12:12" ht="12.5" x14ac:dyDescent="0.25">
      <c r="L897" s="56"/>
    </row>
    <row r="898" spans="12:12" ht="12.5" x14ac:dyDescent="0.25">
      <c r="L898" s="56"/>
    </row>
    <row r="899" spans="12:12" ht="12.5" x14ac:dyDescent="0.25">
      <c r="L899" s="56"/>
    </row>
    <row r="900" spans="12:12" ht="12.5" x14ac:dyDescent="0.25">
      <c r="L900" s="56"/>
    </row>
    <row r="901" spans="12:12" ht="12.5" x14ac:dyDescent="0.25">
      <c r="L901" s="56"/>
    </row>
    <row r="902" spans="12:12" ht="12.5" x14ac:dyDescent="0.25">
      <c r="L902" s="56"/>
    </row>
    <row r="903" spans="12:12" ht="12.5" x14ac:dyDescent="0.25">
      <c r="L903" s="56"/>
    </row>
    <row r="904" spans="12:12" ht="12.5" x14ac:dyDescent="0.25">
      <c r="L904" s="56"/>
    </row>
    <row r="905" spans="12:12" ht="12.5" x14ac:dyDescent="0.25">
      <c r="L905" s="56"/>
    </row>
    <row r="906" spans="12:12" ht="12.5" x14ac:dyDescent="0.25">
      <c r="L906" s="56"/>
    </row>
    <row r="907" spans="12:12" ht="12.5" x14ac:dyDescent="0.25">
      <c r="L907" s="56"/>
    </row>
    <row r="908" spans="12:12" ht="12.5" x14ac:dyDescent="0.25">
      <c r="L908" s="56"/>
    </row>
    <row r="909" spans="12:12" ht="12.5" x14ac:dyDescent="0.25">
      <c r="L909" s="56"/>
    </row>
    <row r="910" spans="12:12" ht="12.5" x14ac:dyDescent="0.25">
      <c r="L910" s="56"/>
    </row>
    <row r="911" spans="12:12" ht="12.5" x14ac:dyDescent="0.25">
      <c r="L911" s="56"/>
    </row>
    <row r="912" spans="12:12" ht="12.5" x14ac:dyDescent="0.25">
      <c r="L912" s="56"/>
    </row>
    <row r="913" spans="12:12" ht="12.5" x14ac:dyDescent="0.25">
      <c r="L913" s="56"/>
    </row>
    <row r="914" spans="12:12" ht="12.5" x14ac:dyDescent="0.25">
      <c r="L914" s="56"/>
    </row>
    <row r="915" spans="12:12" ht="12.5" x14ac:dyDescent="0.25">
      <c r="L915" s="56"/>
    </row>
    <row r="916" spans="12:12" ht="12.5" x14ac:dyDescent="0.25">
      <c r="L916" s="56"/>
    </row>
    <row r="917" spans="12:12" ht="12.5" x14ac:dyDescent="0.25">
      <c r="L917" s="56"/>
    </row>
    <row r="918" spans="12:12" ht="12.5" x14ac:dyDescent="0.25">
      <c r="L918" s="56"/>
    </row>
    <row r="919" spans="12:12" ht="12.5" x14ac:dyDescent="0.25">
      <c r="L919" s="56"/>
    </row>
    <row r="920" spans="12:12" ht="12.5" x14ac:dyDescent="0.25">
      <c r="L920" s="56"/>
    </row>
    <row r="921" spans="12:12" ht="12.5" x14ac:dyDescent="0.25">
      <c r="L921" s="56"/>
    </row>
    <row r="922" spans="12:12" ht="12.5" x14ac:dyDescent="0.25">
      <c r="L922" s="56"/>
    </row>
    <row r="923" spans="12:12" ht="12.5" x14ac:dyDescent="0.25">
      <c r="L923" s="56"/>
    </row>
    <row r="924" spans="12:12" ht="12.5" x14ac:dyDescent="0.25">
      <c r="L924" s="56"/>
    </row>
    <row r="925" spans="12:12" ht="12.5" x14ac:dyDescent="0.25">
      <c r="L925" s="56"/>
    </row>
    <row r="926" spans="12:12" ht="12.5" x14ac:dyDescent="0.25">
      <c r="L926" s="56"/>
    </row>
    <row r="927" spans="12:12" ht="12.5" x14ac:dyDescent="0.25">
      <c r="L927" s="56"/>
    </row>
    <row r="928" spans="12:12" ht="12.5" x14ac:dyDescent="0.25">
      <c r="L928" s="56"/>
    </row>
    <row r="929" spans="12:12" ht="12.5" x14ac:dyDescent="0.25">
      <c r="L929" s="56"/>
    </row>
    <row r="930" spans="12:12" ht="12.5" x14ac:dyDescent="0.25">
      <c r="L930" s="56"/>
    </row>
    <row r="931" spans="12:12" ht="12.5" x14ac:dyDescent="0.25">
      <c r="L931" s="56"/>
    </row>
    <row r="932" spans="12:12" ht="12.5" x14ac:dyDescent="0.25">
      <c r="L932" s="56"/>
    </row>
    <row r="933" spans="12:12" ht="12.5" x14ac:dyDescent="0.25">
      <c r="L933" s="56"/>
    </row>
    <row r="934" spans="12:12" ht="12.5" x14ac:dyDescent="0.25">
      <c r="L934" s="56"/>
    </row>
    <row r="935" spans="12:12" ht="12.5" x14ac:dyDescent="0.25">
      <c r="L935" s="56"/>
    </row>
    <row r="936" spans="12:12" ht="12.5" x14ac:dyDescent="0.25">
      <c r="L936" s="56"/>
    </row>
    <row r="937" spans="12:12" ht="12.5" x14ac:dyDescent="0.25">
      <c r="L937" s="56"/>
    </row>
    <row r="938" spans="12:12" ht="12.5" x14ac:dyDescent="0.25">
      <c r="L938" s="56"/>
    </row>
    <row r="939" spans="12:12" ht="12.5" x14ac:dyDescent="0.25">
      <c r="L939" s="56"/>
    </row>
    <row r="940" spans="12:12" ht="12.5" x14ac:dyDescent="0.25">
      <c r="L940" s="56"/>
    </row>
    <row r="941" spans="12:12" ht="12.5" x14ac:dyDescent="0.25">
      <c r="L941" s="56"/>
    </row>
    <row r="942" spans="12:12" ht="12.5" x14ac:dyDescent="0.25">
      <c r="L942" s="56"/>
    </row>
    <row r="943" spans="12:12" ht="12.5" x14ac:dyDescent="0.25">
      <c r="L943" s="56"/>
    </row>
    <row r="944" spans="12:12" ht="12.5" x14ac:dyDescent="0.25">
      <c r="L944" s="56"/>
    </row>
    <row r="945" spans="12:12" ht="12.5" x14ac:dyDescent="0.25">
      <c r="L945" s="56"/>
    </row>
    <row r="946" spans="12:12" ht="12.5" x14ac:dyDescent="0.25">
      <c r="L946" s="56"/>
    </row>
    <row r="947" spans="12:12" ht="12.5" x14ac:dyDescent="0.25">
      <c r="L947" s="56"/>
    </row>
    <row r="948" spans="12:12" ht="12.5" x14ac:dyDescent="0.25">
      <c r="L948" s="56"/>
    </row>
    <row r="949" spans="12:12" ht="12.5" x14ac:dyDescent="0.25">
      <c r="L949" s="56"/>
    </row>
    <row r="950" spans="12:12" ht="12.5" x14ac:dyDescent="0.25">
      <c r="L950" s="56"/>
    </row>
    <row r="951" spans="12:12" ht="12.5" x14ac:dyDescent="0.25">
      <c r="L951" s="56"/>
    </row>
    <row r="952" spans="12:12" ht="12.5" x14ac:dyDescent="0.25">
      <c r="L952" s="56"/>
    </row>
    <row r="953" spans="12:12" ht="12.5" x14ac:dyDescent="0.25">
      <c r="L953" s="56"/>
    </row>
    <row r="954" spans="12:12" ht="12.5" x14ac:dyDescent="0.25">
      <c r="L954" s="56"/>
    </row>
    <row r="955" spans="12:12" ht="12.5" x14ac:dyDescent="0.25">
      <c r="L955" s="56"/>
    </row>
    <row r="956" spans="12:12" ht="12.5" x14ac:dyDescent="0.25">
      <c r="L956" s="56"/>
    </row>
    <row r="957" spans="12:12" ht="12.5" x14ac:dyDescent="0.25">
      <c r="L957" s="56"/>
    </row>
    <row r="958" spans="12:12" ht="12.5" x14ac:dyDescent="0.25">
      <c r="L958" s="56"/>
    </row>
    <row r="959" spans="12:12" ht="12.5" x14ac:dyDescent="0.25">
      <c r="L959" s="56"/>
    </row>
    <row r="960" spans="12:12" ht="12.5" x14ac:dyDescent="0.25">
      <c r="L960" s="56"/>
    </row>
    <row r="961" spans="12:12" ht="12.5" x14ac:dyDescent="0.25">
      <c r="L961" s="56"/>
    </row>
    <row r="962" spans="12:12" ht="12.5" x14ac:dyDescent="0.25">
      <c r="L962" s="56"/>
    </row>
    <row r="963" spans="12:12" ht="12.5" x14ac:dyDescent="0.25">
      <c r="L963" s="56"/>
    </row>
    <row r="964" spans="12:12" ht="12.5" x14ac:dyDescent="0.25">
      <c r="L964" s="56"/>
    </row>
    <row r="965" spans="12:12" ht="12.5" x14ac:dyDescent="0.25">
      <c r="L965" s="56"/>
    </row>
  </sheetData>
  <mergeCells count="1">
    <mergeCell ref="A122:B1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B2:L129"/>
  <sheetViews>
    <sheetView showGridLines="0" tabSelected="1" workbookViewId="0">
      <selection activeCell="D14" sqref="D14"/>
    </sheetView>
  </sheetViews>
  <sheetFormatPr baseColWidth="10" defaultColWidth="12.6328125" defaultRowHeight="15.75" customHeight="1" x14ac:dyDescent="0.25"/>
  <cols>
    <col min="1" max="1" width="5.26953125" customWidth="1"/>
    <col min="2" max="2" width="3.90625" customWidth="1"/>
    <col min="3" max="11" width="13.453125" customWidth="1"/>
    <col min="12" max="12" width="35" customWidth="1"/>
  </cols>
  <sheetData>
    <row r="2" spans="2:12" ht="15.75" customHeight="1" x14ac:dyDescent="0.25">
      <c r="C2" s="367" t="s">
        <v>3</v>
      </c>
      <c r="D2" s="368" t="s">
        <v>2041</v>
      </c>
    </row>
    <row r="3" spans="2:12" x14ac:dyDescent="0.3">
      <c r="B3" s="57"/>
      <c r="C3" s="58"/>
      <c r="D3" s="58"/>
      <c r="E3" s="58"/>
      <c r="F3" s="58"/>
      <c r="G3" s="58"/>
      <c r="H3" s="58"/>
      <c r="I3" s="58"/>
      <c r="J3" s="58"/>
      <c r="K3" s="58"/>
      <c r="L3" s="59" t="s">
        <v>274</v>
      </c>
    </row>
    <row r="4" spans="2:12" ht="15.75" customHeight="1" x14ac:dyDescent="0.25">
      <c r="B4" s="60"/>
      <c r="C4" s="348" t="s">
        <v>2033</v>
      </c>
      <c r="D4" s="348" t="s">
        <v>8</v>
      </c>
      <c r="E4" s="350"/>
      <c r="F4" s="351"/>
      <c r="L4" s="292" t="e">
        <f ca="1">callGemini("redacta una oracion explicando esta tabla: "&amp;CONCATENATE(C4:D8)&amp;"se brebe, solo responde sin comentarios adicionales")</f>
        <v>#NAME?</v>
      </c>
    </row>
    <row r="5" spans="2:12" ht="15.75" customHeight="1" x14ac:dyDescent="0.25">
      <c r="B5" s="60"/>
      <c r="C5" s="348" t="s">
        <v>6</v>
      </c>
      <c r="D5" s="347">
        <v>2022</v>
      </c>
      <c r="E5" s="354" t="s">
        <v>113</v>
      </c>
      <c r="F5" s="355" t="s">
        <v>20</v>
      </c>
      <c r="L5" s="293"/>
    </row>
    <row r="6" spans="2:12" ht="15.75" customHeight="1" x14ac:dyDescent="0.25">
      <c r="B6" s="60"/>
      <c r="C6" s="347" t="s">
        <v>24</v>
      </c>
      <c r="D6" s="356">
        <v>163</v>
      </c>
      <c r="E6" s="379">
        <v>456</v>
      </c>
      <c r="F6" s="390">
        <v>559</v>
      </c>
      <c r="L6" s="293"/>
    </row>
    <row r="7" spans="2:12" ht="15.75" customHeight="1" x14ac:dyDescent="0.25">
      <c r="B7" s="60"/>
      <c r="C7" s="372" t="s">
        <v>18</v>
      </c>
      <c r="D7" s="360">
        <v>192</v>
      </c>
      <c r="E7" s="381">
        <v>476</v>
      </c>
      <c r="F7" s="391">
        <v>548</v>
      </c>
      <c r="L7" s="293"/>
    </row>
    <row r="8" spans="2:12" ht="15.75" customHeight="1" x14ac:dyDescent="0.25">
      <c r="B8" s="60"/>
      <c r="C8" s="374" t="s">
        <v>2034</v>
      </c>
      <c r="D8" s="364">
        <v>355</v>
      </c>
      <c r="E8" s="383">
        <v>932</v>
      </c>
      <c r="F8" s="392">
        <v>1107</v>
      </c>
      <c r="L8" s="293"/>
    </row>
    <row r="9" spans="2:12" ht="15.75" customHeight="1" x14ac:dyDescent="0.25">
      <c r="B9" s="60"/>
      <c r="L9" s="293"/>
    </row>
    <row r="10" spans="2:12" ht="15.75" customHeight="1" x14ac:dyDescent="0.25">
      <c r="B10" s="60"/>
      <c r="L10" s="293"/>
    </row>
    <row r="11" spans="2:12" ht="15.75" customHeight="1" x14ac:dyDescent="0.25">
      <c r="B11" s="60"/>
      <c r="C11" s="61" t="s">
        <v>6</v>
      </c>
      <c r="D11" s="62">
        <v>2024</v>
      </c>
      <c r="L11" s="293"/>
    </row>
    <row r="12" spans="2:12" ht="15.75" customHeight="1" x14ac:dyDescent="0.25">
      <c r="B12" s="60"/>
      <c r="C12" s="404" t="s">
        <v>24</v>
      </c>
      <c r="D12" s="405">
        <f>+GETPIVOTDATA("R Producción de textos",$C$4,"Sexo","Femenino","Año","2024")/GETPIVOTDATA("R Producción de textos",$C$4,"Año","2024")</f>
        <v>0.50496838301716351</v>
      </c>
      <c r="L12" s="293"/>
    </row>
    <row r="13" spans="2:12" ht="15.75" customHeight="1" x14ac:dyDescent="0.25">
      <c r="B13" s="60"/>
      <c r="C13" s="404" t="s">
        <v>18</v>
      </c>
      <c r="D13" s="405">
        <f>+GETPIVOTDATA("R Producción de textos",$C$4,"Sexo","Masculino","Año","2024")/GETPIVOTDATA("R Producción de textos",$C$4,"Año","2024")</f>
        <v>0.49503161698283649</v>
      </c>
      <c r="L13" s="293"/>
    </row>
    <row r="14" spans="2:12" ht="15.75" customHeight="1" x14ac:dyDescent="0.25">
      <c r="B14" s="60"/>
      <c r="C14" s="61" t="s">
        <v>275</v>
      </c>
      <c r="D14" s="63">
        <v>1</v>
      </c>
      <c r="L14" s="293"/>
    </row>
    <row r="15" spans="2:12" ht="15.75" customHeight="1" x14ac:dyDescent="0.25">
      <c r="B15" s="60"/>
      <c r="L15" s="293"/>
    </row>
    <row r="16" spans="2:12" ht="15.75" customHeight="1" x14ac:dyDescent="0.25">
      <c r="B16" s="60"/>
      <c r="L16" s="293"/>
    </row>
    <row r="17" spans="2:12" ht="15.75" customHeight="1" x14ac:dyDescent="0.25">
      <c r="B17" s="60"/>
      <c r="L17" s="293"/>
    </row>
    <row r="18" spans="2:12" ht="15.75" customHeight="1" x14ac:dyDescent="0.25">
      <c r="B18" s="64"/>
      <c r="C18" s="65"/>
      <c r="D18" s="65"/>
      <c r="E18" s="65"/>
      <c r="F18" s="65"/>
      <c r="G18" s="65"/>
      <c r="H18" s="65"/>
      <c r="I18" s="65"/>
      <c r="J18" s="65"/>
      <c r="K18" s="65"/>
      <c r="L18" s="294"/>
    </row>
    <row r="21" spans="2:12" x14ac:dyDescent="0.3">
      <c r="B21" s="57"/>
      <c r="C21" s="58"/>
      <c r="D21" s="58"/>
      <c r="E21" s="58"/>
      <c r="F21" s="58"/>
      <c r="G21" s="58"/>
      <c r="H21" s="58"/>
      <c r="I21" s="58"/>
      <c r="J21" s="58"/>
      <c r="K21" s="58"/>
      <c r="L21" s="59" t="s">
        <v>274</v>
      </c>
    </row>
    <row r="22" spans="2:12" ht="15.75" customHeight="1" x14ac:dyDescent="0.25">
      <c r="B22" s="60"/>
      <c r="L22" s="292" t="e">
        <f ca="1">callGemini("redacta una oracion explicando esta tabla: "&amp;CONCATENATE(C22:D30)&amp;"se brebe, solo responde sin comentarios adicionales")</f>
        <v>#NAME?</v>
      </c>
    </row>
    <row r="23" spans="2:12" ht="15.75" customHeight="1" x14ac:dyDescent="0.25">
      <c r="B23" s="60"/>
      <c r="C23" s="348" t="s">
        <v>2036</v>
      </c>
      <c r="D23" s="348" t="s">
        <v>8</v>
      </c>
      <c r="E23" s="350"/>
      <c r="F23" s="351"/>
      <c r="L23" s="293"/>
    </row>
    <row r="24" spans="2:12" ht="12.5" x14ac:dyDescent="0.25">
      <c r="B24" s="60"/>
      <c r="C24" s="348" t="s">
        <v>3</v>
      </c>
      <c r="D24" s="347">
        <v>2022</v>
      </c>
      <c r="E24" s="354" t="s">
        <v>113</v>
      </c>
      <c r="F24" s="355" t="s">
        <v>20</v>
      </c>
      <c r="L24" s="293"/>
    </row>
    <row r="25" spans="2:12" ht="12.5" x14ac:dyDescent="0.25">
      <c r="B25" s="60"/>
      <c r="C25" s="347" t="s">
        <v>45</v>
      </c>
      <c r="D25" s="356">
        <v>24</v>
      </c>
      <c r="E25" s="379">
        <v>253</v>
      </c>
      <c r="F25" s="390">
        <v>227</v>
      </c>
      <c r="L25" s="293"/>
    </row>
    <row r="26" spans="2:12" ht="12.5" x14ac:dyDescent="0.25">
      <c r="B26" s="60"/>
      <c r="C26" s="372" t="s">
        <v>42</v>
      </c>
      <c r="D26" s="360">
        <v>108</v>
      </c>
      <c r="E26" s="381">
        <v>125</v>
      </c>
      <c r="F26" s="391">
        <v>236</v>
      </c>
      <c r="L26" s="293"/>
    </row>
    <row r="27" spans="2:12" ht="12.5" x14ac:dyDescent="0.25">
      <c r="B27" s="60"/>
      <c r="C27" s="372" t="s">
        <v>16</v>
      </c>
      <c r="D27" s="360">
        <v>42</v>
      </c>
      <c r="E27" s="381">
        <v>235</v>
      </c>
      <c r="F27" s="391">
        <v>206</v>
      </c>
      <c r="L27" s="293"/>
    </row>
    <row r="28" spans="2:12" ht="12.5" x14ac:dyDescent="0.25">
      <c r="B28" s="60"/>
      <c r="C28" s="372" t="s">
        <v>43</v>
      </c>
      <c r="D28" s="360">
        <v>112</v>
      </c>
      <c r="E28" s="381">
        <v>96</v>
      </c>
      <c r="F28" s="391">
        <v>219</v>
      </c>
      <c r="L28" s="293"/>
    </row>
    <row r="29" spans="2:12" ht="12.5" x14ac:dyDescent="0.25">
      <c r="B29" s="60"/>
      <c r="C29" s="372" t="s">
        <v>37</v>
      </c>
      <c r="D29" s="360">
        <v>69</v>
      </c>
      <c r="E29" s="381">
        <v>223</v>
      </c>
      <c r="F29" s="391">
        <v>219</v>
      </c>
      <c r="L29" s="293"/>
    </row>
    <row r="30" spans="2:12" ht="12.5" x14ac:dyDescent="0.25">
      <c r="B30" s="60"/>
      <c r="C30" s="374" t="s">
        <v>2034</v>
      </c>
      <c r="D30" s="364">
        <v>355</v>
      </c>
      <c r="E30" s="383">
        <v>932</v>
      </c>
      <c r="F30" s="392">
        <v>1107</v>
      </c>
      <c r="L30" s="293"/>
    </row>
    <row r="31" spans="2:12" ht="12.5" x14ac:dyDescent="0.25">
      <c r="B31" s="60"/>
      <c r="L31" s="293"/>
    </row>
    <row r="32" spans="2:12" ht="12.5" x14ac:dyDescent="0.25">
      <c r="B32" s="60"/>
      <c r="L32" s="293"/>
    </row>
    <row r="33" spans="2:12" ht="13" x14ac:dyDescent="0.3">
      <c r="B33" s="60"/>
      <c r="C33" s="66" t="s">
        <v>3</v>
      </c>
      <c r="D33" s="8">
        <v>2024</v>
      </c>
      <c r="L33" s="293"/>
    </row>
    <row r="34" spans="2:12" ht="12.5" x14ac:dyDescent="0.25">
      <c r="B34" s="60"/>
      <c r="C34" s="61" t="s">
        <v>45</v>
      </c>
      <c r="D34" s="63">
        <f t="shared" ref="D34:D39" si="0">F25/$F$30</f>
        <v>0.2050587172538392</v>
      </c>
      <c r="L34" s="293"/>
    </row>
    <row r="35" spans="2:12" ht="12.5" x14ac:dyDescent="0.25">
      <c r="B35" s="60"/>
      <c r="C35" s="61" t="s">
        <v>42</v>
      </c>
      <c r="D35" s="63">
        <f t="shared" si="0"/>
        <v>0.21318879855465223</v>
      </c>
      <c r="L35" s="293"/>
    </row>
    <row r="36" spans="2:12" ht="12.5" x14ac:dyDescent="0.25">
      <c r="B36" s="60"/>
      <c r="C36" s="61" t="s">
        <v>16</v>
      </c>
      <c r="D36" s="63">
        <f t="shared" si="0"/>
        <v>0.18608852755194219</v>
      </c>
      <c r="L36" s="293"/>
    </row>
    <row r="37" spans="2:12" ht="12.5" x14ac:dyDescent="0.25">
      <c r="B37" s="60"/>
      <c r="C37" s="61" t="s">
        <v>43</v>
      </c>
      <c r="D37" s="63">
        <f t="shared" si="0"/>
        <v>0.19783197831978319</v>
      </c>
      <c r="L37" s="293"/>
    </row>
    <row r="38" spans="2:12" ht="12.5" x14ac:dyDescent="0.25">
      <c r="B38" s="60"/>
      <c r="C38" s="61" t="s">
        <v>37</v>
      </c>
      <c r="D38" s="63">
        <f t="shared" si="0"/>
        <v>0.19783197831978319</v>
      </c>
      <c r="L38" s="293"/>
    </row>
    <row r="39" spans="2:12" ht="13" x14ac:dyDescent="0.3">
      <c r="B39" s="60"/>
      <c r="C39" s="66" t="s">
        <v>275</v>
      </c>
      <c r="D39" s="67">
        <f t="shared" si="0"/>
        <v>1</v>
      </c>
      <c r="L39" s="293"/>
    </row>
    <row r="40" spans="2:12" ht="12.5" x14ac:dyDescent="0.25">
      <c r="B40" s="64"/>
      <c r="C40" s="65"/>
      <c r="D40" s="65"/>
      <c r="E40" s="65"/>
      <c r="F40" s="65"/>
      <c r="G40" s="65"/>
      <c r="H40" s="65"/>
      <c r="I40" s="65"/>
      <c r="J40" s="65"/>
      <c r="K40" s="65"/>
      <c r="L40" s="294"/>
    </row>
    <row r="42" spans="2:12" ht="15.75" customHeight="1" x14ac:dyDescent="0.25">
      <c r="C42" s="367" t="s">
        <v>3</v>
      </c>
      <c r="D42" s="368" t="s">
        <v>2041</v>
      </c>
    </row>
    <row r="43" spans="2:12" ht="13" x14ac:dyDescent="0.3">
      <c r="B43" s="57"/>
      <c r="C43" s="58"/>
      <c r="D43" s="58"/>
      <c r="E43" s="58"/>
      <c r="F43" s="58"/>
      <c r="G43" s="58"/>
      <c r="H43" s="58"/>
      <c r="I43" s="58"/>
      <c r="J43" s="58"/>
      <c r="K43" s="58"/>
      <c r="L43" s="59" t="s">
        <v>274</v>
      </c>
    </row>
    <row r="44" spans="2:12" ht="12.5" x14ac:dyDescent="0.25">
      <c r="B44" s="60"/>
      <c r="C44" s="348" t="s">
        <v>2033</v>
      </c>
      <c r="D44" s="348" t="s">
        <v>8</v>
      </c>
      <c r="E44" s="350"/>
      <c r="F44" s="351"/>
      <c r="L44" s="292" t="e">
        <f ca="1">callGemini("redacta una oracion explicando la respuesta de los estudiantes a la pregunta:: "&amp;CONCATENATE(C44:D52)&amp;"se brebe, solo responde sin comentarios adicionales, agrega datos de la tabla en la respuesta.")</f>
        <v>#NAME?</v>
      </c>
    </row>
    <row r="45" spans="2:12" ht="12.5" x14ac:dyDescent="0.25">
      <c r="B45" s="60"/>
      <c r="C45" s="348" t="s">
        <v>1</v>
      </c>
      <c r="D45" s="347">
        <v>2022</v>
      </c>
      <c r="E45" s="354" t="s">
        <v>113</v>
      </c>
      <c r="F45" s="355" t="s">
        <v>20</v>
      </c>
      <c r="L45" s="293"/>
    </row>
    <row r="46" spans="2:12" ht="12.5" x14ac:dyDescent="0.25">
      <c r="B46" s="60"/>
      <c r="C46" s="347" t="s">
        <v>89</v>
      </c>
      <c r="D46" s="356"/>
      <c r="E46" s="379"/>
      <c r="F46" s="390">
        <v>41</v>
      </c>
      <c r="L46" s="293"/>
    </row>
    <row r="47" spans="2:12" ht="12.5" x14ac:dyDescent="0.25">
      <c r="B47" s="60"/>
      <c r="C47" s="372" t="s">
        <v>60</v>
      </c>
      <c r="D47" s="360">
        <v>165</v>
      </c>
      <c r="E47" s="381">
        <v>311</v>
      </c>
      <c r="F47" s="391">
        <v>321</v>
      </c>
      <c r="L47" s="293"/>
    </row>
    <row r="48" spans="2:12" ht="12.5" x14ac:dyDescent="0.25">
      <c r="B48" s="60"/>
      <c r="C48" s="372" t="s">
        <v>14</v>
      </c>
      <c r="D48" s="360"/>
      <c r="E48" s="381">
        <v>445</v>
      </c>
      <c r="F48" s="391">
        <v>319</v>
      </c>
      <c r="L48" s="293"/>
    </row>
    <row r="49" spans="2:12" ht="12.5" x14ac:dyDescent="0.25">
      <c r="B49" s="60"/>
      <c r="C49" s="372" t="s">
        <v>83</v>
      </c>
      <c r="D49" s="360">
        <v>37</v>
      </c>
      <c r="E49" s="381">
        <v>41</v>
      </c>
      <c r="F49" s="391">
        <v>140</v>
      </c>
      <c r="L49" s="293"/>
    </row>
    <row r="50" spans="2:12" ht="12.5" x14ac:dyDescent="0.25">
      <c r="B50" s="60"/>
      <c r="C50" s="372" t="s">
        <v>44</v>
      </c>
      <c r="D50" s="360">
        <v>48</v>
      </c>
      <c r="E50" s="381">
        <v>56</v>
      </c>
      <c r="F50" s="391">
        <v>100</v>
      </c>
      <c r="L50" s="293"/>
    </row>
    <row r="51" spans="2:12" ht="12.5" x14ac:dyDescent="0.25">
      <c r="B51" s="60"/>
      <c r="C51" s="372" t="s">
        <v>54</v>
      </c>
      <c r="D51" s="360">
        <v>105</v>
      </c>
      <c r="E51" s="381">
        <v>79</v>
      </c>
      <c r="F51" s="391">
        <v>186</v>
      </c>
      <c r="L51" s="293"/>
    </row>
    <row r="52" spans="2:12" ht="12.5" x14ac:dyDescent="0.25">
      <c r="B52" s="60"/>
      <c r="C52" s="374" t="s">
        <v>2034</v>
      </c>
      <c r="D52" s="364">
        <v>355</v>
      </c>
      <c r="E52" s="383">
        <v>932</v>
      </c>
      <c r="F52" s="392">
        <v>1107</v>
      </c>
      <c r="L52" s="293"/>
    </row>
    <row r="53" spans="2:12" ht="12.5" x14ac:dyDescent="0.25">
      <c r="B53" s="60"/>
      <c r="L53" s="293"/>
    </row>
    <row r="54" spans="2:12" ht="13" x14ac:dyDescent="0.3">
      <c r="B54" s="60"/>
      <c r="C54" s="66" t="s">
        <v>1</v>
      </c>
      <c r="D54" s="8">
        <v>2024</v>
      </c>
      <c r="L54" s="293"/>
    </row>
    <row r="55" spans="2:12" ht="12.5" x14ac:dyDescent="0.25">
      <c r="B55" s="60"/>
      <c r="C55" s="61" t="s">
        <v>89</v>
      </c>
      <c r="D55" s="63">
        <f t="shared" ref="D55:D61" si="1">F46/$F$52</f>
        <v>3.7037037037037035E-2</v>
      </c>
      <c r="L55" s="293"/>
    </row>
    <row r="56" spans="2:12" ht="12.5" x14ac:dyDescent="0.25">
      <c r="B56" s="60"/>
      <c r="C56" s="61" t="s">
        <v>60</v>
      </c>
      <c r="D56" s="63">
        <f t="shared" si="1"/>
        <v>0.28997289972899731</v>
      </c>
      <c r="L56" s="293"/>
    </row>
    <row r="57" spans="2:12" ht="12.5" x14ac:dyDescent="0.25">
      <c r="B57" s="60"/>
      <c r="C57" s="61" t="s">
        <v>14</v>
      </c>
      <c r="D57" s="63">
        <f t="shared" si="1"/>
        <v>0.28816621499548328</v>
      </c>
      <c r="L57" s="293"/>
    </row>
    <row r="58" spans="2:12" ht="12.5" x14ac:dyDescent="0.25">
      <c r="B58" s="60"/>
      <c r="C58" s="61" t="s">
        <v>83</v>
      </c>
      <c r="D58" s="63">
        <f t="shared" si="1"/>
        <v>0.12646793134598014</v>
      </c>
      <c r="L58" s="293"/>
    </row>
    <row r="59" spans="2:12" ht="12.5" x14ac:dyDescent="0.25">
      <c r="B59" s="60"/>
      <c r="C59" s="61" t="s">
        <v>44</v>
      </c>
      <c r="D59" s="63">
        <f t="shared" si="1"/>
        <v>9.0334236675700091E-2</v>
      </c>
      <c r="L59" s="293"/>
    </row>
    <row r="60" spans="2:12" ht="12.5" x14ac:dyDescent="0.25">
      <c r="B60" s="60"/>
      <c r="C60" s="61" t="s">
        <v>54</v>
      </c>
      <c r="D60" s="63">
        <f t="shared" si="1"/>
        <v>0.16802168021680217</v>
      </c>
      <c r="L60" s="293"/>
    </row>
    <row r="61" spans="2:12" ht="13" x14ac:dyDescent="0.3">
      <c r="B61" s="60"/>
      <c r="C61" s="66" t="s">
        <v>275</v>
      </c>
      <c r="D61" s="67">
        <f t="shared" si="1"/>
        <v>1</v>
      </c>
      <c r="L61" s="293"/>
    </row>
    <row r="62" spans="2:12" ht="12.5" x14ac:dyDescent="0.25">
      <c r="B62" s="64"/>
      <c r="C62" s="65"/>
      <c r="D62" s="65"/>
      <c r="E62" s="65"/>
      <c r="F62" s="65"/>
      <c r="G62" s="65"/>
      <c r="H62" s="65"/>
      <c r="I62" s="65"/>
      <c r="J62" s="65"/>
      <c r="K62" s="65"/>
      <c r="L62" s="294"/>
    </row>
    <row r="64" spans="2:12" ht="15.75" customHeight="1" x14ac:dyDescent="0.25">
      <c r="C64" s="367" t="s">
        <v>8</v>
      </c>
      <c r="D64" s="368" t="s">
        <v>20</v>
      </c>
    </row>
    <row r="65" spans="2:12" ht="13" x14ac:dyDescent="0.3">
      <c r="B65" s="57"/>
      <c r="C65" s="58"/>
      <c r="D65" s="58"/>
      <c r="E65" s="58"/>
      <c r="F65" s="58"/>
      <c r="G65" s="58"/>
      <c r="H65" s="58"/>
      <c r="I65" s="58"/>
      <c r="J65" s="58"/>
      <c r="K65" s="58"/>
      <c r="L65" s="59" t="s">
        <v>274</v>
      </c>
    </row>
    <row r="66" spans="2:12" ht="12.5" x14ac:dyDescent="0.25">
      <c r="B66" s="60"/>
      <c r="C66" s="348" t="s">
        <v>2033</v>
      </c>
      <c r="D66" s="350"/>
      <c r="E66" s="348" t="s">
        <v>3</v>
      </c>
      <c r="F66" s="350"/>
      <c r="G66" s="350"/>
      <c r="H66" s="350"/>
      <c r="I66" s="350"/>
      <c r="J66" s="351"/>
      <c r="L66" s="292" t="e">
        <f ca="1">callGemini("redacta una oracion explicando la respuesta de los estudiantes a la pregunta:: "&amp;CONCATENATE(C66:D74)&amp;"se brebe, solo responde sin comentarios adicionales, agrega datos de la tabla en la respuesta.")</f>
        <v>#NAME?</v>
      </c>
    </row>
    <row r="67" spans="2:12" ht="12.5" x14ac:dyDescent="0.25">
      <c r="B67" s="60"/>
      <c r="C67" s="348" t="s">
        <v>1</v>
      </c>
      <c r="D67" s="348" t="s">
        <v>4</v>
      </c>
      <c r="E67" s="347" t="s">
        <v>45</v>
      </c>
      <c r="F67" s="354" t="s">
        <v>42</v>
      </c>
      <c r="G67" s="354" t="s">
        <v>16</v>
      </c>
      <c r="H67" s="354" t="s">
        <v>43</v>
      </c>
      <c r="I67" s="354" t="s">
        <v>37</v>
      </c>
      <c r="J67" s="377" t="s">
        <v>2034</v>
      </c>
      <c r="L67" s="293"/>
    </row>
    <row r="68" spans="2:12" ht="12.5" x14ac:dyDescent="0.25">
      <c r="B68" s="60"/>
      <c r="C68" s="347" t="s">
        <v>89</v>
      </c>
      <c r="D68" s="353" t="s">
        <v>173</v>
      </c>
      <c r="E68" s="356"/>
      <c r="F68" s="379">
        <v>17</v>
      </c>
      <c r="G68" s="379"/>
      <c r="H68" s="379">
        <v>24</v>
      </c>
      <c r="I68" s="379"/>
      <c r="J68" s="380">
        <v>41</v>
      </c>
      <c r="L68" s="293"/>
    </row>
    <row r="69" spans="2:12" ht="12.5" x14ac:dyDescent="0.25">
      <c r="B69" s="60"/>
      <c r="C69" s="347" t="s">
        <v>276</v>
      </c>
      <c r="D69" s="350"/>
      <c r="E69" s="356"/>
      <c r="F69" s="379">
        <v>17</v>
      </c>
      <c r="G69" s="379"/>
      <c r="H69" s="379">
        <v>24</v>
      </c>
      <c r="I69" s="379"/>
      <c r="J69" s="380">
        <v>41</v>
      </c>
      <c r="L69" s="293"/>
    </row>
    <row r="70" spans="2:12" ht="12.5" x14ac:dyDescent="0.25">
      <c r="B70" s="60"/>
      <c r="C70" s="347" t="s">
        <v>60</v>
      </c>
      <c r="D70" s="353" t="s">
        <v>155</v>
      </c>
      <c r="E70" s="356">
        <v>3</v>
      </c>
      <c r="F70" s="379"/>
      <c r="G70" s="379">
        <v>5</v>
      </c>
      <c r="H70" s="379"/>
      <c r="I70" s="379">
        <v>2</v>
      </c>
      <c r="J70" s="380">
        <v>10</v>
      </c>
      <c r="L70" s="293"/>
    </row>
    <row r="71" spans="2:12" ht="12.5" x14ac:dyDescent="0.25">
      <c r="B71" s="60"/>
      <c r="C71" s="352"/>
      <c r="D71" s="359" t="s">
        <v>156</v>
      </c>
      <c r="E71" s="360">
        <v>1</v>
      </c>
      <c r="F71" s="381"/>
      <c r="G71" s="381"/>
      <c r="H71" s="381"/>
      <c r="I71" s="381">
        <v>1</v>
      </c>
      <c r="J71" s="382">
        <v>2</v>
      </c>
      <c r="L71" s="293"/>
    </row>
    <row r="72" spans="2:12" ht="12.5" x14ac:dyDescent="0.25">
      <c r="B72" s="60"/>
      <c r="C72" s="352"/>
      <c r="D72" s="359" t="s">
        <v>160</v>
      </c>
      <c r="E72" s="360">
        <v>2</v>
      </c>
      <c r="F72" s="381">
        <v>8</v>
      </c>
      <c r="G72" s="381">
        <v>2</v>
      </c>
      <c r="H72" s="381">
        <v>3</v>
      </c>
      <c r="I72" s="381">
        <v>4</v>
      </c>
      <c r="J72" s="382">
        <v>19</v>
      </c>
      <c r="L72" s="293"/>
    </row>
    <row r="73" spans="2:12" ht="12.5" x14ac:dyDescent="0.25">
      <c r="B73" s="60"/>
      <c r="C73" s="352"/>
      <c r="D73" s="359" t="s">
        <v>162</v>
      </c>
      <c r="E73" s="360">
        <v>10</v>
      </c>
      <c r="F73" s="381">
        <v>23</v>
      </c>
      <c r="G73" s="381">
        <v>15</v>
      </c>
      <c r="H73" s="381">
        <v>8</v>
      </c>
      <c r="I73" s="381">
        <v>13</v>
      </c>
      <c r="J73" s="382">
        <v>69</v>
      </c>
      <c r="L73" s="293"/>
    </row>
    <row r="74" spans="2:12" ht="12.5" x14ac:dyDescent="0.25">
      <c r="B74" s="60"/>
      <c r="C74" s="352"/>
      <c r="D74" s="359" t="s">
        <v>92</v>
      </c>
      <c r="E74" s="360">
        <v>11</v>
      </c>
      <c r="F74" s="381">
        <v>25</v>
      </c>
      <c r="G74" s="381">
        <v>11</v>
      </c>
      <c r="H74" s="381">
        <v>22</v>
      </c>
      <c r="I74" s="381">
        <v>12</v>
      </c>
      <c r="J74" s="382">
        <v>81</v>
      </c>
      <c r="L74" s="293"/>
    </row>
    <row r="75" spans="2:12" ht="12.5" x14ac:dyDescent="0.25">
      <c r="B75" s="60"/>
      <c r="C75" s="352"/>
      <c r="D75" s="359" t="s">
        <v>91</v>
      </c>
      <c r="E75" s="360">
        <v>9</v>
      </c>
      <c r="F75" s="381">
        <v>12</v>
      </c>
      <c r="G75" s="381">
        <v>7</v>
      </c>
      <c r="H75" s="381">
        <v>11</v>
      </c>
      <c r="I75" s="381">
        <v>9</v>
      </c>
      <c r="J75" s="382">
        <v>48</v>
      </c>
      <c r="L75" s="293"/>
    </row>
    <row r="76" spans="2:12" ht="12.5" x14ac:dyDescent="0.25">
      <c r="B76" s="60"/>
      <c r="C76" s="352"/>
      <c r="D76" s="359" t="s">
        <v>154</v>
      </c>
      <c r="E76" s="360">
        <v>1</v>
      </c>
      <c r="F76" s="381"/>
      <c r="G76" s="381">
        <v>2</v>
      </c>
      <c r="H76" s="381"/>
      <c r="I76" s="381">
        <v>2</v>
      </c>
      <c r="J76" s="382">
        <v>5</v>
      </c>
      <c r="L76" s="293"/>
    </row>
    <row r="77" spans="2:12" ht="12.5" x14ac:dyDescent="0.25">
      <c r="B77" s="60"/>
      <c r="C77" s="352"/>
      <c r="D77" s="359" t="s">
        <v>157</v>
      </c>
      <c r="E77" s="360">
        <v>1</v>
      </c>
      <c r="F77" s="381"/>
      <c r="G77" s="381"/>
      <c r="H77" s="381"/>
      <c r="I77" s="381">
        <v>1</v>
      </c>
      <c r="J77" s="382">
        <v>2</v>
      </c>
      <c r="L77" s="293"/>
    </row>
    <row r="78" spans="2:12" ht="12.5" x14ac:dyDescent="0.25">
      <c r="B78" s="60"/>
      <c r="C78" s="352"/>
      <c r="D78" s="359" t="s">
        <v>165</v>
      </c>
      <c r="E78" s="360">
        <v>2</v>
      </c>
      <c r="F78" s="381"/>
      <c r="G78" s="381">
        <v>2</v>
      </c>
      <c r="H78" s="381"/>
      <c r="I78" s="381">
        <v>1</v>
      </c>
      <c r="J78" s="382">
        <v>5</v>
      </c>
      <c r="L78" s="293"/>
    </row>
    <row r="79" spans="2:12" ht="12.5" x14ac:dyDescent="0.25">
      <c r="B79" s="60"/>
      <c r="C79" s="352"/>
      <c r="D79" s="359" t="s">
        <v>94</v>
      </c>
      <c r="E79" s="360">
        <v>3</v>
      </c>
      <c r="F79" s="381"/>
      <c r="G79" s="381">
        <v>2</v>
      </c>
      <c r="H79" s="381"/>
      <c r="I79" s="381">
        <v>2</v>
      </c>
      <c r="J79" s="382">
        <v>7</v>
      </c>
      <c r="L79" s="293"/>
    </row>
    <row r="80" spans="2:12" ht="12.5" x14ac:dyDescent="0.25">
      <c r="B80" s="60"/>
      <c r="C80" s="352"/>
      <c r="D80" s="359" t="s">
        <v>163</v>
      </c>
      <c r="E80" s="360"/>
      <c r="F80" s="381"/>
      <c r="G80" s="381">
        <v>1</v>
      </c>
      <c r="H80" s="381"/>
      <c r="I80" s="381">
        <v>2</v>
      </c>
      <c r="J80" s="382">
        <v>3</v>
      </c>
      <c r="L80" s="293"/>
    </row>
    <row r="81" spans="2:12" ht="12.5" x14ac:dyDescent="0.25">
      <c r="B81" s="60"/>
      <c r="C81" s="352"/>
      <c r="D81" s="359" t="s">
        <v>140</v>
      </c>
      <c r="E81" s="360">
        <v>1</v>
      </c>
      <c r="F81" s="381"/>
      <c r="G81" s="381">
        <v>1</v>
      </c>
      <c r="H81" s="381"/>
      <c r="I81" s="381">
        <v>2</v>
      </c>
      <c r="J81" s="382">
        <v>4</v>
      </c>
      <c r="L81" s="293"/>
    </row>
    <row r="82" spans="2:12" ht="12.5" x14ac:dyDescent="0.25">
      <c r="B82" s="60"/>
      <c r="C82" s="352"/>
      <c r="D82" s="359" t="s">
        <v>167</v>
      </c>
      <c r="E82" s="360">
        <v>1</v>
      </c>
      <c r="F82" s="381"/>
      <c r="G82" s="381">
        <v>1</v>
      </c>
      <c r="H82" s="381"/>
      <c r="I82" s="381"/>
      <c r="J82" s="382">
        <v>2</v>
      </c>
      <c r="L82" s="293"/>
    </row>
    <row r="83" spans="2:12" ht="12.5" x14ac:dyDescent="0.25">
      <c r="B83" s="60"/>
      <c r="C83" s="352"/>
      <c r="D83" s="359" t="s">
        <v>158</v>
      </c>
      <c r="E83" s="360">
        <v>2</v>
      </c>
      <c r="F83" s="381"/>
      <c r="G83" s="381"/>
      <c r="H83" s="381"/>
      <c r="I83" s="381">
        <v>1</v>
      </c>
      <c r="J83" s="382">
        <v>3</v>
      </c>
      <c r="L83" s="293"/>
    </row>
    <row r="84" spans="2:12" ht="12.5" x14ac:dyDescent="0.25">
      <c r="B84" s="64"/>
      <c r="C84" s="352"/>
      <c r="D84" s="359" t="s">
        <v>166</v>
      </c>
      <c r="E84" s="360">
        <v>2</v>
      </c>
      <c r="F84" s="381"/>
      <c r="G84" s="381">
        <v>1</v>
      </c>
      <c r="H84" s="381"/>
      <c r="I84" s="381">
        <v>1</v>
      </c>
      <c r="J84" s="382">
        <v>4</v>
      </c>
      <c r="K84" s="65"/>
      <c r="L84" s="294"/>
    </row>
    <row r="85" spans="2:12" ht="12.5" x14ac:dyDescent="0.25">
      <c r="C85" s="352"/>
      <c r="D85" s="359" t="s">
        <v>164</v>
      </c>
      <c r="E85" s="360"/>
      <c r="F85" s="381"/>
      <c r="G85" s="381"/>
      <c r="H85" s="381"/>
      <c r="I85" s="381">
        <v>2</v>
      </c>
      <c r="J85" s="382">
        <v>2</v>
      </c>
    </row>
    <row r="86" spans="2:12" ht="12.5" x14ac:dyDescent="0.25">
      <c r="C86" s="352"/>
      <c r="D86" s="359" t="s">
        <v>138</v>
      </c>
      <c r="E86" s="360">
        <v>1</v>
      </c>
      <c r="F86" s="381"/>
      <c r="G86" s="381">
        <v>1</v>
      </c>
      <c r="H86" s="381"/>
      <c r="I86" s="381"/>
      <c r="J86" s="382">
        <v>2</v>
      </c>
    </row>
    <row r="87" spans="2:12" ht="12.5" x14ac:dyDescent="0.25">
      <c r="C87" s="352"/>
      <c r="D87" s="359" t="s">
        <v>159</v>
      </c>
      <c r="E87" s="360"/>
      <c r="F87" s="381"/>
      <c r="G87" s="381">
        <v>1</v>
      </c>
      <c r="H87" s="381"/>
      <c r="I87" s="381">
        <v>1</v>
      </c>
      <c r="J87" s="382">
        <v>2</v>
      </c>
    </row>
    <row r="88" spans="2:12" ht="12.5" x14ac:dyDescent="0.25">
      <c r="C88" s="352"/>
      <c r="D88" s="359" t="s">
        <v>161</v>
      </c>
      <c r="E88" s="360">
        <v>1</v>
      </c>
      <c r="F88" s="381"/>
      <c r="G88" s="381"/>
      <c r="H88" s="381"/>
      <c r="I88" s="381"/>
      <c r="J88" s="382">
        <v>1</v>
      </c>
    </row>
    <row r="89" spans="2:12" ht="12.5" x14ac:dyDescent="0.25">
      <c r="C89" s="352"/>
      <c r="D89" s="359" t="s">
        <v>65</v>
      </c>
      <c r="E89" s="360"/>
      <c r="F89" s="381">
        <v>26</v>
      </c>
      <c r="G89" s="381"/>
      <c r="H89" s="381">
        <v>24</v>
      </c>
      <c r="I89" s="381"/>
      <c r="J89" s="382">
        <v>50</v>
      </c>
    </row>
    <row r="90" spans="2:12" ht="12.5" x14ac:dyDescent="0.25">
      <c r="C90" s="347" t="s">
        <v>277</v>
      </c>
      <c r="D90" s="350"/>
      <c r="E90" s="356">
        <v>51</v>
      </c>
      <c r="F90" s="379">
        <v>94</v>
      </c>
      <c r="G90" s="379">
        <v>52</v>
      </c>
      <c r="H90" s="379">
        <v>68</v>
      </c>
      <c r="I90" s="379">
        <v>56</v>
      </c>
      <c r="J90" s="380">
        <v>321</v>
      </c>
    </row>
    <row r="91" spans="2:12" ht="12.5" x14ac:dyDescent="0.25">
      <c r="C91" s="347" t="s">
        <v>14</v>
      </c>
      <c r="D91" s="353" t="s">
        <v>35</v>
      </c>
      <c r="E91" s="356">
        <v>2</v>
      </c>
      <c r="F91" s="379"/>
      <c r="G91" s="379">
        <v>2</v>
      </c>
      <c r="H91" s="379"/>
      <c r="I91" s="379">
        <v>1</v>
      </c>
      <c r="J91" s="380">
        <v>5</v>
      </c>
    </row>
    <row r="92" spans="2:12" ht="12.5" x14ac:dyDescent="0.25">
      <c r="C92" s="352"/>
      <c r="D92" s="359" t="s">
        <v>33</v>
      </c>
      <c r="E92" s="360">
        <v>1</v>
      </c>
      <c r="F92" s="381"/>
      <c r="G92" s="381">
        <v>1</v>
      </c>
      <c r="H92" s="381"/>
      <c r="I92" s="381">
        <v>1</v>
      </c>
      <c r="J92" s="382">
        <v>3</v>
      </c>
    </row>
    <row r="93" spans="2:12" ht="12.5" x14ac:dyDescent="0.25">
      <c r="C93" s="352"/>
      <c r="D93" s="359" t="s">
        <v>30</v>
      </c>
      <c r="E93" s="360">
        <v>25</v>
      </c>
      <c r="F93" s="381">
        <v>37</v>
      </c>
      <c r="G93" s="381">
        <v>20</v>
      </c>
      <c r="H93" s="381">
        <v>29</v>
      </c>
      <c r="I93" s="381">
        <v>24</v>
      </c>
      <c r="J93" s="382">
        <v>135</v>
      </c>
    </row>
    <row r="94" spans="2:12" ht="12.5" x14ac:dyDescent="0.25">
      <c r="C94" s="352"/>
      <c r="D94" s="359" t="s">
        <v>36</v>
      </c>
      <c r="E94" s="360">
        <v>10</v>
      </c>
      <c r="F94" s="381"/>
      <c r="G94" s="381">
        <v>10</v>
      </c>
      <c r="H94" s="381"/>
      <c r="I94" s="381">
        <v>10</v>
      </c>
      <c r="J94" s="382">
        <v>30</v>
      </c>
    </row>
    <row r="95" spans="2:12" ht="12.5" x14ac:dyDescent="0.25">
      <c r="C95" s="352"/>
      <c r="D95" s="359" t="s">
        <v>31</v>
      </c>
      <c r="E95" s="360">
        <v>1</v>
      </c>
      <c r="F95" s="381"/>
      <c r="G95" s="381">
        <v>1</v>
      </c>
      <c r="H95" s="381"/>
      <c r="I95" s="381"/>
      <c r="J95" s="382">
        <v>2</v>
      </c>
    </row>
    <row r="96" spans="2:12" ht="12.5" x14ac:dyDescent="0.25">
      <c r="C96" s="352"/>
      <c r="D96" s="359" t="s">
        <v>21</v>
      </c>
      <c r="E96" s="360">
        <v>21</v>
      </c>
      <c r="F96" s="381"/>
      <c r="G96" s="381">
        <v>22</v>
      </c>
      <c r="H96" s="381"/>
      <c r="I96" s="381">
        <v>24</v>
      </c>
      <c r="J96" s="382">
        <v>67</v>
      </c>
    </row>
    <row r="97" spans="3:10" ht="12.5" x14ac:dyDescent="0.25">
      <c r="C97" s="352"/>
      <c r="D97" s="359" t="s">
        <v>27</v>
      </c>
      <c r="E97" s="360">
        <v>5</v>
      </c>
      <c r="F97" s="381"/>
      <c r="G97" s="381">
        <v>6</v>
      </c>
      <c r="H97" s="381"/>
      <c r="I97" s="381">
        <v>5</v>
      </c>
      <c r="J97" s="382">
        <v>16</v>
      </c>
    </row>
    <row r="98" spans="3:10" ht="12.5" x14ac:dyDescent="0.25">
      <c r="C98" s="352"/>
      <c r="D98" s="359" t="s">
        <v>39</v>
      </c>
      <c r="E98" s="360">
        <v>2</v>
      </c>
      <c r="F98" s="381"/>
      <c r="G98" s="381"/>
      <c r="H98" s="381"/>
      <c r="I98" s="381">
        <v>1</v>
      </c>
      <c r="J98" s="382">
        <v>3</v>
      </c>
    </row>
    <row r="99" spans="3:10" ht="12.5" x14ac:dyDescent="0.25">
      <c r="C99" s="352"/>
      <c r="D99" s="359" t="s">
        <v>40</v>
      </c>
      <c r="E99" s="360"/>
      <c r="F99" s="381"/>
      <c r="G99" s="381"/>
      <c r="H99" s="381"/>
      <c r="I99" s="381">
        <v>1</v>
      </c>
      <c r="J99" s="382">
        <v>1</v>
      </c>
    </row>
    <row r="100" spans="3:10" ht="12.5" x14ac:dyDescent="0.25">
      <c r="C100" s="352"/>
      <c r="D100" s="359" t="s">
        <v>28</v>
      </c>
      <c r="E100" s="360">
        <v>4</v>
      </c>
      <c r="F100" s="381"/>
      <c r="G100" s="381">
        <v>2</v>
      </c>
      <c r="H100" s="381"/>
      <c r="I100" s="381">
        <v>3</v>
      </c>
      <c r="J100" s="382">
        <v>9</v>
      </c>
    </row>
    <row r="101" spans="3:10" ht="12.5" x14ac:dyDescent="0.25">
      <c r="C101" s="352"/>
      <c r="D101" s="359" t="s">
        <v>278</v>
      </c>
      <c r="E101" s="360">
        <v>7</v>
      </c>
      <c r="F101" s="381"/>
      <c r="G101" s="381"/>
      <c r="H101" s="381"/>
      <c r="I101" s="381"/>
      <c r="J101" s="382">
        <v>7</v>
      </c>
    </row>
    <row r="102" spans="3:10" ht="12.5" x14ac:dyDescent="0.25">
      <c r="C102" s="352"/>
      <c r="D102" s="359" t="s">
        <v>32</v>
      </c>
      <c r="E102" s="360"/>
      <c r="F102" s="381"/>
      <c r="G102" s="381">
        <v>1</v>
      </c>
      <c r="H102" s="381"/>
      <c r="I102" s="381"/>
      <c r="J102" s="382">
        <v>1</v>
      </c>
    </row>
    <row r="103" spans="3:10" ht="12.5" x14ac:dyDescent="0.25">
      <c r="C103" s="352"/>
      <c r="D103" s="359" t="s">
        <v>34</v>
      </c>
      <c r="E103" s="360">
        <v>2</v>
      </c>
      <c r="F103" s="381"/>
      <c r="G103" s="381">
        <v>1</v>
      </c>
      <c r="H103" s="381"/>
      <c r="I103" s="381">
        <v>2</v>
      </c>
      <c r="J103" s="382">
        <v>5</v>
      </c>
    </row>
    <row r="104" spans="3:10" ht="12.5" x14ac:dyDescent="0.25">
      <c r="C104" s="352"/>
      <c r="D104" s="359" t="s">
        <v>26</v>
      </c>
      <c r="E104" s="360">
        <v>5</v>
      </c>
      <c r="F104" s="381"/>
      <c r="G104" s="381">
        <v>7</v>
      </c>
      <c r="H104" s="381"/>
      <c r="I104" s="381">
        <v>4</v>
      </c>
      <c r="J104" s="382">
        <v>16</v>
      </c>
    </row>
    <row r="105" spans="3:10" ht="12.5" x14ac:dyDescent="0.25">
      <c r="C105" s="352"/>
      <c r="D105" s="359" t="s">
        <v>38</v>
      </c>
      <c r="E105" s="360">
        <v>1</v>
      </c>
      <c r="F105" s="381"/>
      <c r="G105" s="381"/>
      <c r="H105" s="381"/>
      <c r="I105" s="381">
        <v>2</v>
      </c>
      <c r="J105" s="382">
        <v>3</v>
      </c>
    </row>
    <row r="106" spans="3:10" ht="12.5" x14ac:dyDescent="0.25">
      <c r="C106" s="352"/>
      <c r="D106" s="359" t="s">
        <v>29</v>
      </c>
      <c r="E106" s="360"/>
      <c r="F106" s="381"/>
      <c r="G106" s="381">
        <v>7</v>
      </c>
      <c r="H106" s="381"/>
      <c r="I106" s="381">
        <v>9</v>
      </c>
      <c r="J106" s="382">
        <v>16</v>
      </c>
    </row>
    <row r="107" spans="3:10" ht="12.5" x14ac:dyDescent="0.25">
      <c r="C107" s="347" t="s">
        <v>279</v>
      </c>
      <c r="D107" s="350"/>
      <c r="E107" s="356">
        <v>86</v>
      </c>
      <c r="F107" s="379">
        <v>37</v>
      </c>
      <c r="G107" s="379">
        <v>80</v>
      </c>
      <c r="H107" s="379">
        <v>29</v>
      </c>
      <c r="I107" s="379">
        <v>87</v>
      </c>
      <c r="J107" s="380">
        <v>319</v>
      </c>
    </row>
    <row r="108" spans="3:10" ht="12.5" x14ac:dyDescent="0.25">
      <c r="C108" s="347" t="s">
        <v>83</v>
      </c>
      <c r="D108" s="353" t="s">
        <v>169</v>
      </c>
      <c r="E108" s="356">
        <v>15</v>
      </c>
      <c r="F108" s="379">
        <v>20</v>
      </c>
      <c r="G108" s="379">
        <v>6</v>
      </c>
      <c r="H108" s="379">
        <v>21</v>
      </c>
      <c r="I108" s="379">
        <v>12</v>
      </c>
      <c r="J108" s="380">
        <v>74</v>
      </c>
    </row>
    <row r="109" spans="3:10" ht="12.5" x14ac:dyDescent="0.25">
      <c r="C109" s="352"/>
      <c r="D109" s="359" t="s">
        <v>172</v>
      </c>
      <c r="E109" s="360">
        <v>7</v>
      </c>
      <c r="F109" s="381">
        <v>4</v>
      </c>
      <c r="G109" s="381">
        <v>5</v>
      </c>
      <c r="H109" s="381">
        <v>5</v>
      </c>
      <c r="I109" s="381">
        <v>5</v>
      </c>
      <c r="J109" s="382">
        <v>26</v>
      </c>
    </row>
    <row r="110" spans="3:10" ht="12.5" x14ac:dyDescent="0.25">
      <c r="C110" s="352"/>
      <c r="D110" s="359" t="s">
        <v>168</v>
      </c>
      <c r="E110" s="360">
        <v>1</v>
      </c>
      <c r="F110" s="381"/>
      <c r="G110" s="381">
        <v>4</v>
      </c>
      <c r="H110" s="381"/>
      <c r="I110" s="381">
        <v>2</v>
      </c>
      <c r="J110" s="382">
        <v>7</v>
      </c>
    </row>
    <row r="111" spans="3:10" ht="12.5" x14ac:dyDescent="0.25">
      <c r="C111" s="352"/>
      <c r="D111" s="359" t="s">
        <v>171</v>
      </c>
      <c r="E111" s="360">
        <v>6</v>
      </c>
      <c r="F111" s="381"/>
      <c r="G111" s="381">
        <v>8</v>
      </c>
      <c r="H111" s="381"/>
      <c r="I111" s="381">
        <v>5</v>
      </c>
      <c r="J111" s="382">
        <v>19</v>
      </c>
    </row>
    <row r="112" spans="3:10" ht="12.5" x14ac:dyDescent="0.25">
      <c r="C112" s="352"/>
      <c r="D112" s="359" t="s">
        <v>170</v>
      </c>
      <c r="E112" s="360">
        <v>4</v>
      </c>
      <c r="F112" s="381"/>
      <c r="G112" s="381">
        <v>7</v>
      </c>
      <c r="H112" s="381"/>
      <c r="I112" s="381">
        <v>3</v>
      </c>
      <c r="J112" s="382">
        <v>14</v>
      </c>
    </row>
    <row r="113" spans="3:10" ht="12.5" x14ac:dyDescent="0.25">
      <c r="C113" s="347" t="s">
        <v>280</v>
      </c>
      <c r="D113" s="350"/>
      <c r="E113" s="356">
        <v>33</v>
      </c>
      <c r="F113" s="379">
        <v>24</v>
      </c>
      <c r="G113" s="379">
        <v>30</v>
      </c>
      <c r="H113" s="379">
        <v>26</v>
      </c>
      <c r="I113" s="379">
        <v>27</v>
      </c>
      <c r="J113" s="380">
        <v>140</v>
      </c>
    </row>
    <row r="114" spans="3:10" ht="12.5" x14ac:dyDescent="0.25">
      <c r="C114" s="347" t="s">
        <v>44</v>
      </c>
      <c r="D114" s="353" t="s">
        <v>150</v>
      </c>
      <c r="E114" s="356">
        <v>3</v>
      </c>
      <c r="F114" s="379"/>
      <c r="G114" s="379">
        <v>4</v>
      </c>
      <c r="H114" s="379"/>
      <c r="I114" s="379">
        <v>4</v>
      </c>
      <c r="J114" s="380">
        <v>11</v>
      </c>
    </row>
    <row r="115" spans="3:10" ht="12.5" x14ac:dyDescent="0.25">
      <c r="C115" s="352"/>
      <c r="D115" s="359" t="s">
        <v>143</v>
      </c>
      <c r="E115" s="360">
        <v>2</v>
      </c>
      <c r="F115" s="381"/>
      <c r="G115" s="381">
        <v>2</v>
      </c>
      <c r="H115" s="381"/>
      <c r="I115" s="381">
        <v>3</v>
      </c>
      <c r="J115" s="382">
        <v>7</v>
      </c>
    </row>
    <row r="116" spans="3:10" ht="12.5" x14ac:dyDescent="0.25">
      <c r="C116" s="352"/>
      <c r="D116" s="359" t="s">
        <v>144</v>
      </c>
      <c r="E116" s="360">
        <v>3</v>
      </c>
      <c r="F116" s="381"/>
      <c r="G116" s="381">
        <v>2</v>
      </c>
      <c r="H116" s="381"/>
      <c r="I116" s="381">
        <v>2</v>
      </c>
      <c r="J116" s="382">
        <v>7</v>
      </c>
    </row>
    <row r="117" spans="3:10" ht="12.5" x14ac:dyDescent="0.25">
      <c r="C117" s="352"/>
      <c r="D117" s="359" t="s">
        <v>145</v>
      </c>
      <c r="E117" s="360">
        <v>8</v>
      </c>
      <c r="F117" s="381"/>
      <c r="G117" s="381">
        <v>9</v>
      </c>
      <c r="H117" s="381"/>
      <c r="I117" s="381">
        <v>8</v>
      </c>
      <c r="J117" s="382">
        <v>25</v>
      </c>
    </row>
    <row r="118" spans="3:10" ht="12.5" x14ac:dyDescent="0.25">
      <c r="C118" s="352"/>
      <c r="D118" s="359" t="s">
        <v>147</v>
      </c>
      <c r="E118" s="360">
        <v>2</v>
      </c>
      <c r="F118" s="381"/>
      <c r="G118" s="381">
        <v>1</v>
      </c>
      <c r="H118" s="381"/>
      <c r="I118" s="381">
        <v>1</v>
      </c>
      <c r="J118" s="382">
        <v>4</v>
      </c>
    </row>
    <row r="119" spans="3:10" ht="12.5" x14ac:dyDescent="0.25">
      <c r="C119" s="352"/>
      <c r="D119" s="359" t="s">
        <v>149</v>
      </c>
      <c r="E119" s="360">
        <v>9</v>
      </c>
      <c r="F119" s="381"/>
      <c r="G119" s="381">
        <v>10</v>
      </c>
      <c r="H119" s="381"/>
      <c r="I119" s="381">
        <v>10</v>
      </c>
      <c r="J119" s="382">
        <v>29</v>
      </c>
    </row>
    <row r="120" spans="3:10" ht="12.5" x14ac:dyDescent="0.25">
      <c r="C120" s="352"/>
      <c r="D120" s="359" t="s">
        <v>146</v>
      </c>
      <c r="E120" s="360">
        <v>7</v>
      </c>
      <c r="F120" s="381"/>
      <c r="G120" s="381">
        <v>4</v>
      </c>
      <c r="H120" s="381"/>
      <c r="I120" s="381">
        <v>4</v>
      </c>
      <c r="J120" s="382">
        <v>15</v>
      </c>
    </row>
    <row r="121" spans="3:10" ht="12.5" x14ac:dyDescent="0.25">
      <c r="C121" s="352"/>
      <c r="D121" s="359" t="s">
        <v>148</v>
      </c>
      <c r="E121" s="360">
        <v>1</v>
      </c>
      <c r="F121" s="381"/>
      <c r="G121" s="381"/>
      <c r="H121" s="381"/>
      <c r="I121" s="381">
        <v>1</v>
      </c>
      <c r="J121" s="382">
        <v>2</v>
      </c>
    </row>
    <row r="122" spans="3:10" ht="12.5" x14ac:dyDescent="0.25">
      <c r="C122" s="347" t="s">
        <v>281</v>
      </c>
      <c r="D122" s="350"/>
      <c r="E122" s="356">
        <v>35</v>
      </c>
      <c r="F122" s="379"/>
      <c r="G122" s="379">
        <v>32</v>
      </c>
      <c r="H122" s="379"/>
      <c r="I122" s="379">
        <v>33</v>
      </c>
      <c r="J122" s="380">
        <v>100</v>
      </c>
    </row>
    <row r="123" spans="3:10" ht="12.5" x14ac:dyDescent="0.25">
      <c r="C123" s="347" t="s">
        <v>54</v>
      </c>
      <c r="D123" s="353" t="s">
        <v>59</v>
      </c>
      <c r="E123" s="356">
        <v>12</v>
      </c>
      <c r="F123" s="379"/>
      <c r="G123" s="379">
        <v>7</v>
      </c>
      <c r="H123" s="379"/>
      <c r="I123" s="379">
        <v>8</v>
      </c>
      <c r="J123" s="380">
        <v>27</v>
      </c>
    </row>
    <row r="124" spans="3:10" ht="12.5" x14ac:dyDescent="0.25">
      <c r="C124" s="352"/>
      <c r="D124" s="359" t="s">
        <v>57</v>
      </c>
      <c r="E124" s="360">
        <v>8</v>
      </c>
      <c r="F124" s="381"/>
      <c r="G124" s="381">
        <v>4</v>
      </c>
      <c r="H124" s="381"/>
      <c r="I124" s="381">
        <v>4</v>
      </c>
      <c r="J124" s="382">
        <v>16</v>
      </c>
    </row>
    <row r="125" spans="3:10" ht="12.5" x14ac:dyDescent="0.25">
      <c r="C125" s="352"/>
      <c r="D125" s="359" t="s">
        <v>152</v>
      </c>
      <c r="E125" s="360">
        <v>2</v>
      </c>
      <c r="F125" s="381"/>
      <c r="G125" s="381">
        <v>1</v>
      </c>
      <c r="H125" s="381"/>
      <c r="I125" s="381">
        <v>4</v>
      </c>
      <c r="J125" s="382">
        <v>7</v>
      </c>
    </row>
    <row r="126" spans="3:10" ht="12.5" x14ac:dyDescent="0.25">
      <c r="C126" s="352"/>
      <c r="D126" s="359" t="s">
        <v>58</v>
      </c>
      <c r="E126" s="360"/>
      <c r="F126" s="381">
        <v>25</v>
      </c>
      <c r="G126" s="381"/>
      <c r="H126" s="381">
        <v>26</v>
      </c>
      <c r="I126" s="381"/>
      <c r="J126" s="382">
        <v>51</v>
      </c>
    </row>
    <row r="127" spans="3:10" ht="12.5" x14ac:dyDescent="0.25">
      <c r="C127" s="352"/>
      <c r="D127" s="359" t="s">
        <v>151</v>
      </c>
      <c r="E127" s="360"/>
      <c r="F127" s="381">
        <v>39</v>
      </c>
      <c r="G127" s="381"/>
      <c r="H127" s="381">
        <v>46</v>
      </c>
      <c r="I127" s="381"/>
      <c r="J127" s="382">
        <v>85</v>
      </c>
    </row>
    <row r="128" spans="3:10" ht="12.5" x14ac:dyDescent="0.25">
      <c r="C128" s="347" t="s">
        <v>282</v>
      </c>
      <c r="D128" s="350"/>
      <c r="E128" s="356">
        <v>22</v>
      </c>
      <c r="F128" s="379">
        <v>64</v>
      </c>
      <c r="G128" s="379">
        <v>12</v>
      </c>
      <c r="H128" s="379">
        <v>72</v>
      </c>
      <c r="I128" s="379">
        <v>16</v>
      </c>
      <c r="J128" s="380">
        <v>186</v>
      </c>
    </row>
    <row r="129" spans="3:10" ht="12.5" x14ac:dyDescent="0.25">
      <c r="C129" s="374" t="s">
        <v>2034</v>
      </c>
      <c r="D129" s="389"/>
      <c r="E129" s="364">
        <v>227</v>
      </c>
      <c r="F129" s="383">
        <v>236</v>
      </c>
      <c r="G129" s="383">
        <v>206</v>
      </c>
      <c r="H129" s="383">
        <v>219</v>
      </c>
      <c r="I129" s="383">
        <v>219</v>
      </c>
      <c r="J129" s="384">
        <v>1107</v>
      </c>
    </row>
  </sheetData>
  <mergeCells count="4">
    <mergeCell ref="L4:L18"/>
    <mergeCell ref="L22:L40"/>
    <mergeCell ref="L44:L62"/>
    <mergeCell ref="L66:L84"/>
  </mergeCells>
  <printOptions horizontalCentered="1" gridLines="1"/>
  <pageMargins left="0.7" right="0.7" top="0.75" bottom="0.75" header="0" footer="0"/>
  <pageSetup paperSize="9" fitToHeight="0" pageOrder="overThenDown" orientation="landscape" cellComments="atEnd"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953"/>
  <sheetViews>
    <sheetView workbookViewId="0"/>
  </sheetViews>
  <sheetFormatPr baseColWidth="10" defaultColWidth="12.6328125" defaultRowHeight="15.75" customHeight="1" x14ac:dyDescent="0.25"/>
  <cols>
    <col min="1" max="1" width="40.36328125" customWidth="1"/>
    <col min="6" max="6" width="18.36328125" customWidth="1"/>
  </cols>
  <sheetData>
    <row r="1" spans="1:11" ht="15.75" customHeight="1" x14ac:dyDescent="0.25">
      <c r="A1" s="348" t="s">
        <v>2033</v>
      </c>
      <c r="B1" s="350"/>
      <c r="C1" s="348" t="s">
        <v>8</v>
      </c>
      <c r="D1" s="350"/>
      <c r="E1" s="351"/>
      <c r="F1" s="69" t="s">
        <v>283</v>
      </c>
      <c r="G1" s="70" t="s">
        <v>284</v>
      </c>
      <c r="H1" s="70" t="s">
        <v>285</v>
      </c>
    </row>
    <row r="2" spans="1:11" x14ac:dyDescent="0.3">
      <c r="A2" s="348" t="s">
        <v>4</v>
      </c>
      <c r="B2" s="348" t="s">
        <v>3</v>
      </c>
      <c r="C2" s="347">
        <v>2022</v>
      </c>
      <c r="D2" s="354" t="s">
        <v>113</v>
      </c>
      <c r="E2" s="355" t="s">
        <v>20</v>
      </c>
      <c r="F2" s="66" t="s">
        <v>286</v>
      </c>
      <c r="G2" s="72" t="s">
        <v>287</v>
      </c>
      <c r="H2" s="70" t="s">
        <v>187</v>
      </c>
      <c r="J2" s="68"/>
      <c r="K2" s="68"/>
    </row>
    <row r="3" spans="1:11" ht="15.75" customHeight="1" x14ac:dyDescent="0.25">
      <c r="A3" s="353" t="s">
        <v>35</v>
      </c>
      <c r="B3" s="347" t="s">
        <v>45</v>
      </c>
      <c r="C3" s="356"/>
      <c r="D3" s="379"/>
      <c r="E3" s="390">
        <v>2</v>
      </c>
      <c r="F3" s="61" t="str">
        <f t="shared" ref="F3:F189" si="0">IF(AND(C3&lt;&gt;"",D3&lt;&gt;"",E3&lt;&gt;""),"LOS 3 AÑOS", IF(AND(C3&lt;&gt;"",IF(AND(C3&lt;&gt;"",D3&lt;&gt;"",E3&lt;&gt;""),"SI","NO")&lt;&gt;"SI",E3&lt;&gt;""),"SOLO 2022 Y 2024",IF(AND(AND(C3="",D3=""),E3&lt;&gt;""),"SOLO 2024",IF(AND(AND(D3&lt;&gt;"",E3&lt;&gt;""),C3=""),"2023 Y 2024",
IF(AND(AND(D3="",E3=""),C3&lt;&gt;""),"SOLO LINEA BASE",
IF(AND(AND(C3="",E3=""),D3&lt;&gt;""),"SOLO 2023","OTROS ESCENARIOS"))))))</f>
        <v>SOLO 2024</v>
      </c>
      <c r="G3" s="70" t="str">
        <f t="shared" ref="G3:G257" si="1">A3&amp;B3</f>
        <v>140452 Primaria</v>
      </c>
      <c r="H3" s="70" t="s">
        <v>2012</v>
      </c>
      <c r="J3" s="68"/>
      <c r="K3" s="68"/>
    </row>
    <row r="4" spans="1:11" ht="15.75" customHeight="1" x14ac:dyDescent="0.25">
      <c r="A4" s="352"/>
      <c r="B4" s="372" t="s">
        <v>16</v>
      </c>
      <c r="C4" s="360"/>
      <c r="D4" s="381"/>
      <c r="E4" s="391">
        <v>2</v>
      </c>
      <c r="F4" s="61" t="str">
        <f t="shared" si="0"/>
        <v>SOLO 2024</v>
      </c>
      <c r="G4" s="70" t="str">
        <f t="shared" si="1"/>
        <v>4 Primaria</v>
      </c>
      <c r="H4" s="70" t="s">
        <v>2012</v>
      </c>
      <c r="I4" s="68"/>
      <c r="J4" s="68"/>
      <c r="K4" s="68"/>
    </row>
    <row r="5" spans="1:11" ht="15.75" customHeight="1" x14ac:dyDescent="0.25">
      <c r="A5" s="352"/>
      <c r="B5" s="372" t="s">
        <v>37</v>
      </c>
      <c r="C5" s="360"/>
      <c r="D5" s="381">
        <v>3</v>
      </c>
      <c r="E5" s="391">
        <v>1</v>
      </c>
      <c r="F5" s="61" t="str">
        <f t="shared" si="0"/>
        <v>2023 Y 2024</v>
      </c>
      <c r="G5" s="70" t="str">
        <f t="shared" si="1"/>
        <v>6 Primaria</v>
      </c>
      <c r="H5" s="70" t="s">
        <v>2012</v>
      </c>
      <c r="I5" s="68"/>
      <c r="J5" s="68"/>
      <c r="K5" s="68"/>
    </row>
    <row r="6" spans="1:11" ht="15.75" customHeight="1" x14ac:dyDescent="0.25">
      <c r="A6" s="353" t="s">
        <v>33</v>
      </c>
      <c r="B6" s="347" t="s">
        <v>45</v>
      </c>
      <c r="C6" s="356"/>
      <c r="D6" s="379">
        <v>2</v>
      </c>
      <c r="E6" s="390">
        <v>1</v>
      </c>
      <c r="F6" s="61" t="str">
        <f t="shared" si="0"/>
        <v>2023 Y 2024</v>
      </c>
      <c r="G6" s="70" t="str">
        <f t="shared" si="1"/>
        <v>141412 Primaria</v>
      </c>
      <c r="H6" s="70" t="s">
        <v>2011</v>
      </c>
      <c r="I6" s="68"/>
      <c r="J6" s="68"/>
      <c r="K6" s="68"/>
    </row>
    <row r="7" spans="1:11" ht="15.75" customHeight="1" x14ac:dyDescent="0.25">
      <c r="A7" s="352"/>
      <c r="B7" s="372" t="s">
        <v>16</v>
      </c>
      <c r="C7" s="360"/>
      <c r="D7" s="381">
        <v>6</v>
      </c>
      <c r="E7" s="391">
        <v>1</v>
      </c>
      <c r="F7" s="61" t="str">
        <f t="shared" si="0"/>
        <v>2023 Y 2024</v>
      </c>
      <c r="G7" s="70" t="str">
        <f t="shared" si="1"/>
        <v>4 Primaria</v>
      </c>
      <c r="H7" s="70" t="s">
        <v>2011</v>
      </c>
      <c r="I7" s="68"/>
      <c r="J7" s="68"/>
      <c r="K7" s="68"/>
    </row>
    <row r="8" spans="1:11" ht="15.75" customHeight="1" x14ac:dyDescent="0.25">
      <c r="A8" s="352"/>
      <c r="B8" s="372" t="s">
        <v>37</v>
      </c>
      <c r="C8" s="360"/>
      <c r="D8" s="381">
        <v>5</v>
      </c>
      <c r="E8" s="391">
        <v>1</v>
      </c>
      <c r="F8" s="61" t="str">
        <f t="shared" si="0"/>
        <v>2023 Y 2024</v>
      </c>
      <c r="G8" s="70" t="str">
        <f t="shared" si="1"/>
        <v>6 Primaria</v>
      </c>
      <c r="H8" s="70" t="s">
        <v>2011</v>
      </c>
      <c r="I8" s="68"/>
      <c r="J8" s="68"/>
      <c r="K8" s="68"/>
    </row>
    <row r="9" spans="1:11" ht="15.75" customHeight="1" x14ac:dyDescent="0.25">
      <c r="A9" s="353" t="s">
        <v>30</v>
      </c>
      <c r="B9" s="347" t="s">
        <v>45</v>
      </c>
      <c r="C9" s="356"/>
      <c r="D9" s="379">
        <v>57</v>
      </c>
      <c r="E9" s="390">
        <v>25</v>
      </c>
      <c r="F9" s="61" t="str">
        <f t="shared" si="0"/>
        <v>2023 Y 2024</v>
      </c>
      <c r="G9" s="70" t="str">
        <f t="shared" si="1"/>
        <v>14144 SANTA ROSA2 Primaria</v>
      </c>
      <c r="H9" s="70" t="s">
        <v>2012</v>
      </c>
    </row>
    <row r="10" spans="1:11" ht="15.75" customHeight="1" x14ac:dyDescent="0.25">
      <c r="A10" s="352"/>
      <c r="B10" s="372" t="s">
        <v>42</v>
      </c>
      <c r="C10" s="360"/>
      <c r="D10" s="381"/>
      <c r="E10" s="391">
        <v>37</v>
      </c>
      <c r="F10" s="61" t="str">
        <f t="shared" si="0"/>
        <v>SOLO 2024</v>
      </c>
      <c r="G10" s="70" t="str">
        <f t="shared" si="1"/>
        <v>2 Secundaria</v>
      </c>
      <c r="H10" s="70" t="s">
        <v>2012</v>
      </c>
    </row>
    <row r="11" spans="1:11" ht="15.75" customHeight="1" x14ac:dyDescent="0.25">
      <c r="A11" s="352"/>
      <c r="B11" s="372" t="s">
        <v>16</v>
      </c>
      <c r="C11" s="360"/>
      <c r="D11" s="381">
        <v>80</v>
      </c>
      <c r="E11" s="391">
        <v>20</v>
      </c>
      <c r="F11" s="61" t="str">
        <f t="shared" si="0"/>
        <v>2023 Y 2024</v>
      </c>
      <c r="G11" s="70" t="str">
        <f t="shared" si="1"/>
        <v>4 Primaria</v>
      </c>
      <c r="H11" s="70" t="s">
        <v>2012</v>
      </c>
    </row>
    <row r="12" spans="1:11" ht="15.75" customHeight="1" x14ac:dyDescent="0.25">
      <c r="A12" s="352"/>
      <c r="B12" s="372" t="s">
        <v>43</v>
      </c>
      <c r="C12" s="360"/>
      <c r="D12" s="381"/>
      <c r="E12" s="391">
        <v>29</v>
      </c>
      <c r="F12" s="61" t="str">
        <f t="shared" si="0"/>
        <v>SOLO 2024</v>
      </c>
      <c r="G12" s="70" t="str">
        <f t="shared" si="1"/>
        <v>4 Secundaria</v>
      </c>
      <c r="H12" s="70" t="s">
        <v>2012</v>
      </c>
    </row>
    <row r="13" spans="1:11" ht="15.75" customHeight="1" x14ac:dyDescent="0.25">
      <c r="A13" s="352"/>
      <c r="B13" s="372" t="s">
        <v>37</v>
      </c>
      <c r="C13" s="360"/>
      <c r="D13" s="381">
        <v>24</v>
      </c>
      <c r="E13" s="391">
        <v>24</v>
      </c>
      <c r="F13" s="61" t="str">
        <f t="shared" si="0"/>
        <v>2023 Y 2024</v>
      </c>
      <c r="G13" s="70" t="str">
        <f t="shared" si="1"/>
        <v>6 Primaria</v>
      </c>
      <c r="H13" s="70" t="s">
        <v>2012</v>
      </c>
    </row>
    <row r="14" spans="1:11" ht="15.75" customHeight="1" x14ac:dyDescent="0.25">
      <c r="A14" s="353" t="s">
        <v>36</v>
      </c>
      <c r="B14" s="347" t="s">
        <v>45</v>
      </c>
      <c r="C14" s="356"/>
      <c r="D14" s="379">
        <v>14</v>
      </c>
      <c r="E14" s="390">
        <v>10</v>
      </c>
      <c r="F14" s="61" t="str">
        <f t="shared" si="0"/>
        <v>2023 Y 2024</v>
      </c>
      <c r="G14" s="70" t="str">
        <f t="shared" si="1"/>
        <v>14145 SANTA JULIA BILLIART2 Primaria</v>
      </c>
      <c r="H14" s="70" t="s">
        <v>2012</v>
      </c>
    </row>
    <row r="15" spans="1:11" ht="15.75" customHeight="1" x14ac:dyDescent="0.25">
      <c r="A15" s="352"/>
      <c r="B15" s="372" t="s">
        <v>16</v>
      </c>
      <c r="C15" s="360"/>
      <c r="D15" s="381">
        <v>28</v>
      </c>
      <c r="E15" s="391">
        <v>10</v>
      </c>
      <c r="F15" s="61" t="str">
        <f t="shared" si="0"/>
        <v>2023 Y 2024</v>
      </c>
      <c r="G15" s="70" t="str">
        <f t="shared" si="1"/>
        <v>4 Primaria</v>
      </c>
      <c r="H15" s="70" t="s">
        <v>2012</v>
      </c>
    </row>
    <row r="16" spans="1:11" ht="15.75" customHeight="1" x14ac:dyDescent="0.25">
      <c r="A16" s="352"/>
      <c r="B16" s="372" t="s">
        <v>37</v>
      </c>
      <c r="C16" s="360"/>
      <c r="D16" s="381">
        <v>30</v>
      </c>
      <c r="E16" s="391">
        <v>10</v>
      </c>
      <c r="F16" s="61" t="str">
        <f t="shared" si="0"/>
        <v>2023 Y 2024</v>
      </c>
      <c r="G16" s="70" t="str">
        <f t="shared" si="1"/>
        <v>6 Primaria</v>
      </c>
      <c r="H16" s="70" t="s">
        <v>2012</v>
      </c>
    </row>
    <row r="17" spans="1:8" ht="15.75" customHeight="1" x14ac:dyDescent="0.25">
      <c r="A17" s="353" t="s">
        <v>31</v>
      </c>
      <c r="B17" s="347" t="s">
        <v>45</v>
      </c>
      <c r="C17" s="356"/>
      <c r="D17" s="379"/>
      <c r="E17" s="390">
        <v>1</v>
      </c>
      <c r="F17" s="61" t="str">
        <f t="shared" si="0"/>
        <v>SOLO 2024</v>
      </c>
      <c r="G17" s="70" t="str">
        <f t="shared" si="1"/>
        <v>148942 Primaria</v>
      </c>
      <c r="H17" s="70" t="s">
        <v>2014</v>
      </c>
    </row>
    <row r="18" spans="1:8" ht="15.75" customHeight="1" x14ac:dyDescent="0.25">
      <c r="A18" s="352"/>
      <c r="B18" s="372" t="s">
        <v>16</v>
      </c>
      <c r="C18" s="360"/>
      <c r="D18" s="381"/>
      <c r="E18" s="391">
        <v>1</v>
      </c>
      <c r="F18" s="61" t="str">
        <f t="shared" si="0"/>
        <v>SOLO 2024</v>
      </c>
      <c r="G18" s="70" t="str">
        <f t="shared" si="1"/>
        <v>4 Primaria</v>
      </c>
      <c r="H18" s="70" t="s">
        <v>2014</v>
      </c>
    </row>
    <row r="19" spans="1:8" ht="15.75" customHeight="1" x14ac:dyDescent="0.25">
      <c r="A19" s="353" t="s">
        <v>21</v>
      </c>
      <c r="B19" s="347" t="s">
        <v>45</v>
      </c>
      <c r="C19" s="356"/>
      <c r="D19" s="379">
        <v>55</v>
      </c>
      <c r="E19" s="390">
        <v>21</v>
      </c>
      <c r="F19" s="61" t="str">
        <f t="shared" si="0"/>
        <v>2023 Y 2024</v>
      </c>
      <c r="G19" s="70" t="str">
        <f t="shared" si="1"/>
        <v>14924 DANIEL ALCIDES CARRION2 Primaria</v>
      </c>
      <c r="H19" s="70" t="s">
        <v>2011</v>
      </c>
    </row>
    <row r="20" spans="1:8" ht="15.75" customHeight="1" x14ac:dyDescent="0.25">
      <c r="A20" s="352"/>
      <c r="B20" s="372" t="s">
        <v>16</v>
      </c>
      <c r="C20" s="360"/>
      <c r="D20" s="381"/>
      <c r="E20" s="391">
        <v>22</v>
      </c>
      <c r="F20" s="61" t="str">
        <f t="shared" si="0"/>
        <v>SOLO 2024</v>
      </c>
      <c r="G20" s="70" t="str">
        <f t="shared" si="1"/>
        <v>4 Primaria</v>
      </c>
      <c r="H20" s="70" t="s">
        <v>2011</v>
      </c>
    </row>
    <row r="21" spans="1:8" ht="15.75" customHeight="1" x14ac:dyDescent="0.25">
      <c r="A21" s="352"/>
      <c r="B21" s="372" t="s">
        <v>37</v>
      </c>
      <c r="C21" s="360"/>
      <c r="D21" s="381"/>
      <c r="E21" s="391">
        <v>24</v>
      </c>
      <c r="F21" s="61" t="str">
        <f t="shared" si="0"/>
        <v>SOLO 2024</v>
      </c>
      <c r="G21" s="70" t="str">
        <f t="shared" si="1"/>
        <v>6 Primaria</v>
      </c>
      <c r="H21" s="70" t="s">
        <v>2011</v>
      </c>
    </row>
    <row r="22" spans="1:8" ht="15.75" customHeight="1" x14ac:dyDescent="0.25">
      <c r="A22" s="353" t="s">
        <v>27</v>
      </c>
      <c r="B22" s="347" t="s">
        <v>45</v>
      </c>
      <c r="C22" s="356"/>
      <c r="D22" s="379">
        <v>9</v>
      </c>
      <c r="E22" s="390">
        <v>5</v>
      </c>
      <c r="F22" s="61" t="str">
        <f t="shared" si="0"/>
        <v>2023 Y 2024</v>
      </c>
      <c r="G22" s="70" t="str">
        <f t="shared" si="1"/>
        <v>149752 Primaria</v>
      </c>
      <c r="H22" s="70" t="s">
        <v>2011</v>
      </c>
    </row>
    <row r="23" spans="1:8" ht="15.75" customHeight="1" x14ac:dyDescent="0.25">
      <c r="A23" s="352"/>
      <c r="B23" s="372" t="s">
        <v>16</v>
      </c>
      <c r="C23" s="360"/>
      <c r="D23" s="381"/>
      <c r="E23" s="391">
        <v>6</v>
      </c>
      <c r="F23" s="61" t="str">
        <f t="shared" si="0"/>
        <v>SOLO 2024</v>
      </c>
      <c r="G23" s="70" t="str">
        <f t="shared" si="1"/>
        <v>4 Primaria</v>
      </c>
      <c r="H23" s="70" t="s">
        <v>2011</v>
      </c>
    </row>
    <row r="24" spans="1:8" ht="12.5" x14ac:dyDescent="0.25">
      <c r="A24" s="352"/>
      <c r="B24" s="372" t="s">
        <v>37</v>
      </c>
      <c r="C24" s="360"/>
      <c r="D24" s="381">
        <v>23</v>
      </c>
      <c r="E24" s="391">
        <v>5</v>
      </c>
      <c r="F24" s="61" t="str">
        <f t="shared" si="0"/>
        <v>2023 Y 2024</v>
      </c>
      <c r="G24" s="70" t="str">
        <f t="shared" si="1"/>
        <v>6 Primaria</v>
      </c>
      <c r="H24" s="70" t="s">
        <v>2011</v>
      </c>
    </row>
    <row r="25" spans="1:8" ht="12.5" x14ac:dyDescent="0.25">
      <c r="A25" s="353" t="s">
        <v>39</v>
      </c>
      <c r="B25" s="347" t="s">
        <v>45</v>
      </c>
      <c r="C25" s="356"/>
      <c r="D25" s="379">
        <v>1</v>
      </c>
      <c r="E25" s="390">
        <v>2</v>
      </c>
      <c r="F25" s="61" t="str">
        <f t="shared" si="0"/>
        <v>2023 Y 2024</v>
      </c>
      <c r="G25" s="70" t="str">
        <f t="shared" si="1"/>
        <v>152192 Primaria</v>
      </c>
      <c r="H25" s="70" t="s">
        <v>2012</v>
      </c>
    </row>
    <row r="26" spans="1:8" ht="12.5" x14ac:dyDescent="0.25">
      <c r="A26" s="352"/>
      <c r="B26" s="372" t="s">
        <v>37</v>
      </c>
      <c r="C26" s="360"/>
      <c r="D26" s="381">
        <v>1</v>
      </c>
      <c r="E26" s="391">
        <v>1</v>
      </c>
      <c r="F26" s="61" t="str">
        <f t="shared" si="0"/>
        <v>2023 Y 2024</v>
      </c>
      <c r="G26" s="70" t="str">
        <f t="shared" si="1"/>
        <v>6 Primaria</v>
      </c>
      <c r="H26" s="70" t="s">
        <v>2012</v>
      </c>
    </row>
    <row r="27" spans="1:8" ht="12.5" x14ac:dyDescent="0.25">
      <c r="A27" s="353" t="s">
        <v>40</v>
      </c>
      <c r="B27" s="347" t="s">
        <v>37</v>
      </c>
      <c r="C27" s="356"/>
      <c r="D27" s="379">
        <v>1</v>
      </c>
      <c r="E27" s="390">
        <v>1</v>
      </c>
      <c r="F27" s="61" t="str">
        <f t="shared" si="0"/>
        <v>2023 Y 2024</v>
      </c>
      <c r="G27" s="70" t="str">
        <f t="shared" si="1"/>
        <v>152206 Primaria</v>
      </c>
      <c r="H27" s="70" t="s">
        <v>2012</v>
      </c>
    </row>
    <row r="28" spans="1:8" ht="12.5" x14ac:dyDescent="0.25">
      <c r="A28" s="353" t="s">
        <v>28</v>
      </c>
      <c r="B28" s="347" t="s">
        <v>45</v>
      </c>
      <c r="C28" s="356"/>
      <c r="D28" s="379">
        <v>4</v>
      </c>
      <c r="E28" s="390">
        <v>4</v>
      </c>
      <c r="F28" s="61" t="str">
        <f t="shared" si="0"/>
        <v>2023 Y 2024</v>
      </c>
      <c r="G28" s="70" t="str">
        <f t="shared" si="1"/>
        <v>153042 Primaria</v>
      </c>
      <c r="H28" s="70" t="s">
        <v>2012</v>
      </c>
    </row>
    <row r="29" spans="1:8" ht="12.5" x14ac:dyDescent="0.25">
      <c r="A29" s="352"/>
      <c r="B29" s="372" t="s">
        <v>16</v>
      </c>
      <c r="C29" s="360"/>
      <c r="D29" s="381">
        <v>7</v>
      </c>
      <c r="E29" s="391">
        <v>2</v>
      </c>
      <c r="F29" s="61" t="str">
        <f t="shared" si="0"/>
        <v>2023 Y 2024</v>
      </c>
      <c r="G29" s="70" t="str">
        <f t="shared" si="1"/>
        <v>4 Primaria</v>
      </c>
      <c r="H29" s="70" t="s">
        <v>2012</v>
      </c>
    </row>
    <row r="30" spans="1:8" ht="12.5" x14ac:dyDescent="0.25">
      <c r="A30" s="352"/>
      <c r="B30" s="372" t="s">
        <v>37</v>
      </c>
      <c r="C30" s="360"/>
      <c r="D30" s="381">
        <v>8</v>
      </c>
      <c r="E30" s="391">
        <v>3</v>
      </c>
      <c r="F30" s="61" t="str">
        <f t="shared" si="0"/>
        <v>2023 Y 2024</v>
      </c>
      <c r="G30" s="70" t="str">
        <f t="shared" si="1"/>
        <v>6 Primaria</v>
      </c>
      <c r="H30" s="70" t="s">
        <v>2012</v>
      </c>
    </row>
    <row r="31" spans="1:8" ht="12.5" x14ac:dyDescent="0.25">
      <c r="A31" s="353" t="s">
        <v>278</v>
      </c>
      <c r="B31" s="347" t="s">
        <v>45</v>
      </c>
      <c r="C31" s="356"/>
      <c r="D31" s="379"/>
      <c r="E31" s="390">
        <v>7</v>
      </c>
      <c r="F31" s="61" t="str">
        <f t="shared" si="0"/>
        <v>SOLO 2024</v>
      </c>
      <c r="G31" s="70" t="str">
        <f t="shared" si="1"/>
        <v>153742 Primaria</v>
      </c>
      <c r="H31" s="70" t="s">
        <v>2012</v>
      </c>
    </row>
    <row r="32" spans="1:8" ht="12.5" x14ac:dyDescent="0.25">
      <c r="A32" s="353" t="s">
        <v>32</v>
      </c>
      <c r="B32" s="347" t="s">
        <v>45</v>
      </c>
      <c r="C32" s="356"/>
      <c r="D32" s="379">
        <v>1</v>
      </c>
      <c r="E32" s="390"/>
      <c r="F32" s="61" t="str">
        <f t="shared" si="0"/>
        <v>SOLO 2023</v>
      </c>
      <c r="G32" s="70" t="str">
        <f t="shared" si="1"/>
        <v>153832 Primaria</v>
      </c>
      <c r="H32" s="70" t="s">
        <v>2011</v>
      </c>
    </row>
    <row r="33" spans="1:8" ht="12.5" x14ac:dyDescent="0.25">
      <c r="A33" s="352"/>
      <c r="B33" s="372" t="s">
        <v>16</v>
      </c>
      <c r="C33" s="360"/>
      <c r="D33" s="381">
        <v>3</v>
      </c>
      <c r="E33" s="391">
        <v>1</v>
      </c>
      <c r="F33" s="61" t="str">
        <f t="shared" si="0"/>
        <v>2023 Y 2024</v>
      </c>
      <c r="G33" s="70" t="str">
        <f t="shared" si="1"/>
        <v>4 Primaria</v>
      </c>
      <c r="H33" s="70" t="s">
        <v>2011</v>
      </c>
    </row>
    <row r="34" spans="1:8" ht="12.5" x14ac:dyDescent="0.25">
      <c r="A34" s="352"/>
      <c r="B34" s="372" t="s">
        <v>37</v>
      </c>
      <c r="C34" s="360"/>
      <c r="D34" s="381">
        <v>2</v>
      </c>
      <c r="E34" s="391"/>
      <c r="F34" s="61" t="str">
        <f t="shared" si="0"/>
        <v>SOLO 2023</v>
      </c>
      <c r="G34" s="70" t="str">
        <f t="shared" si="1"/>
        <v>6 Primaria</v>
      </c>
      <c r="H34" s="70" t="s">
        <v>2011</v>
      </c>
    </row>
    <row r="35" spans="1:8" ht="12.5" x14ac:dyDescent="0.25">
      <c r="A35" s="353" t="s">
        <v>34</v>
      </c>
      <c r="B35" s="347" t="s">
        <v>45</v>
      </c>
      <c r="C35" s="356"/>
      <c r="D35" s="379">
        <v>1</v>
      </c>
      <c r="E35" s="390">
        <v>2</v>
      </c>
      <c r="F35" s="61" t="str">
        <f t="shared" si="0"/>
        <v>2023 Y 2024</v>
      </c>
      <c r="G35" s="70" t="str">
        <f t="shared" si="1"/>
        <v>154782 Primaria</v>
      </c>
      <c r="H35" s="70" t="s">
        <v>2011</v>
      </c>
    </row>
    <row r="36" spans="1:8" ht="12.5" x14ac:dyDescent="0.25">
      <c r="A36" s="352"/>
      <c r="B36" s="372" t="s">
        <v>16</v>
      </c>
      <c r="C36" s="360"/>
      <c r="D36" s="381">
        <v>1</v>
      </c>
      <c r="E36" s="391">
        <v>1</v>
      </c>
      <c r="F36" s="61" t="str">
        <f t="shared" si="0"/>
        <v>2023 Y 2024</v>
      </c>
      <c r="G36" s="70" t="str">
        <f t="shared" si="1"/>
        <v>4 Primaria</v>
      </c>
      <c r="H36" s="70" t="s">
        <v>2011</v>
      </c>
    </row>
    <row r="37" spans="1:8" ht="12.5" x14ac:dyDescent="0.25">
      <c r="A37" s="352"/>
      <c r="B37" s="372" t="s">
        <v>37</v>
      </c>
      <c r="C37" s="360"/>
      <c r="D37" s="381">
        <v>2</v>
      </c>
      <c r="E37" s="391">
        <v>2</v>
      </c>
      <c r="F37" s="61" t="str">
        <f t="shared" si="0"/>
        <v>2023 Y 2024</v>
      </c>
      <c r="G37" s="70" t="str">
        <f t="shared" si="1"/>
        <v>6 Primaria</v>
      </c>
      <c r="H37" s="70" t="s">
        <v>2011</v>
      </c>
    </row>
    <row r="38" spans="1:8" ht="12.5" x14ac:dyDescent="0.25">
      <c r="A38" s="353" t="s">
        <v>26</v>
      </c>
      <c r="B38" s="347" t="s">
        <v>45</v>
      </c>
      <c r="C38" s="356"/>
      <c r="D38" s="379">
        <v>9</v>
      </c>
      <c r="E38" s="390">
        <v>5</v>
      </c>
      <c r="F38" s="61" t="str">
        <f t="shared" si="0"/>
        <v>2023 Y 2024</v>
      </c>
      <c r="G38" s="70" t="str">
        <f t="shared" si="1"/>
        <v>201042 Primaria</v>
      </c>
      <c r="H38" s="70" t="s">
        <v>2011</v>
      </c>
    </row>
    <row r="39" spans="1:8" ht="12.5" x14ac:dyDescent="0.25">
      <c r="A39" s="352"/>
      <c r="B39" s="372" t="s">
        <v>16</v>
      </c>
      <c r="C39" s="360"/>
      <c r="D39" s="381"/>
      <c r="E39" s="391">
        <v>7</v>
      </c>
      <c r="F39" s="61" t="str">
        <f t="shared" si="0"/>
        <v>SOLO 2024</v>
      </c>
      <c r="G39" s="70" t="str">
        <f t="shared" si="1"/>
        <v>4 Primaria</v>
      </c>
      <c r="H39" s="70" t="s">
        <v>2011</v>
      </c>
    </row>
    <row r="40" spans="1:8" ht="12.5" x14ac:dyDescent="0.25">
      <c r="A40" s="352"/>
      <c r="B40" s="372" t="s">
        <v>37</v>
      </c>
      <c r="C40" s="360"/>
      <c r="D40" s="381">
        <v>19</v>
      </c>
      <c r="E40" s="391">
        <v>4</v>
      </c>
      <c r="F40" s="61" t="str">
        <f t="shared" si="0"/>
        <v>2023 Y 2024</v>
      </c>
      <c r="G40" s="70" t="str">
        <f t="shared" si="1"/>
        <v>6 Primaria</v>
      </c>
      <c r="H40" s="70" t="s">
        <v>2011</v>
      </c>
    </row>
    <row r="41" spans="1:8" ht="12.5" x14ac:dyDescent="0.25">
      <c r="A41" s="353" t="s">
        <v>38</v>
      </c>
      <c r="B41" s="347" t="s">
        <v>45</v>
      </c>
      <c r="C41" s="356"/>
      <c r="D41" s="379">
        <v>7</v>
      </c>
      <c r="E41" s="390">
        <v>1</v>
      </c>
      <c r="F41" s="61" t="str">
        <f t="shared" si="0"/>
        <v>2023 Y 2024</v>
      </c>
      <c r="G41" s="70" t="str">
        <f t="shared" si="1"/>
        <v>201232 Primaria</v>
      </c>
      <c r="H41" s="70" t="s">
        <v>2012</v>
      </c>
    </row>
    <row r="42" spans="1:8" ht="12.5" x14ac:dyDescent="0.25">
      <c r="A42" s="352"/>
      <c r="B42" s="372" t="s">
        <v>37</v>
      </c>
      <c r="C42" s="360"/>
      <c r="D42" s="381"/>
      <c r="E42" s="391">
        <v>2</v>
      </c>
      <c r="F42" s="61" t="str">
        <f t="shared" si="0"/>
        <v>SOLO 2024</v>
      </c>
      <c r="G42" s="70" t="str">
        <f t="shared" si="1"/>
        <v>6 Primaria</v>
      </c>
      <c r="H42" s="70" t="s">
        <v>2012</v>
      </c>
    </row>
    <row r="43" spans="1:8" ht="12.5" x14ac:dyDescent="0.25">
      <c r="A43" s="353" t="s">
        <v>178</v>
      </c>
      <c r="B43" s="347" t="s">
        <v>45</v>
      </c>
      <c r="C43" s="356">
        <v>4</v>
      </c>
      <c r="D43" s="379"/>
      <c r="E43" s="390"/>
      <c r="F43" s="61" t="str">
        <f t="shared" si="0"/>
        <v>SOLO LINEA BASE</v>
      </c>
      <c r="G43" s="70" t="str">
        <f t="shared" si="1"/>
        <v>36161 SAN VICENTE DE PAUL2 Primaria</v>
      </c>
      <c r="H43" s="70" t="s">
        <v>2013</v>
      </c>
    </row>
    <row r="44" spans="1:8" ht="12.5" x14ac:dyDescent="0.25">
      <c r="A44" s="352"/>
      <c r="B44" s="372" t="s">
        <v>37</v>
      </c>
      <c r="C44" s="360">
        <v>3</v>
      </c>
      <c r="D44" s="381"/>
      <c r="E44" s="391"/>
      <c r="F44" s="61" t="str">
        <f t="shared" si="0"/>
        <v>SOLO LINEA BASE</v>
      </c>
      <c r="G44" s="70" t="str">
        <f t="shared" si="1"/>
        <v>6 Primaria</v>
      </c>
      <c r="H44" s="70" t="s">
        <v>2013</v>
      </c>
    </row>
    <row r="45" spans="1:8" ht="12.5" x14ac:dyDescent="0.25">
      <c r="A45" s="353" t="s">
        <v>288</v>
      </c>
      <c r="B45" s="347" t="s">
        <v>45</v>
      </c>
      <c r="C45" s="356">
        <v>5</v>
      </c>
      <c r="D45" s="379"/>
      <c r="E45" s="390"/>
      <c r="F45" s="61" t="str">
        <f t="shared" si="0"/>
        <v>SOLO LINEA BASE</v>
      </c>
      <c r="G45" s="70" t="str">
        <f t="shared" si="1"/>
        <v>36166 HEROES 29 DE AGOSTO2 Primaria</v>
      </c>
      <c r="H45" s="70" t="s">
        <v>2013</v>
      </c>
    </row>
    <row r="46" spans="1:8" ht="12.5" x14ac:dyDescent="0.25">
      <c r="A46" s="352"/>
      <c r="B46" s="372" t="s">
        <v>37</v>
      </c>
      <c r="C46" s="360">
        <v>9</v>
      </c>
      <c r="D46" s="381"/>
      <c r="E46" s="391"/>
      <c r="F46" s="61" t="str">
        <f t="shared" si="0"/>
        <v>SOLO LINEA BASE</v>
      </c>
      <c r="G46" s="70" t="str">
        <f t="shared" si="1"/>
        <v>6 Primaria</v>
      </c>
      <c r="H46" s="70" t="s">
        <v>2013</v>
      </c>
    </row>
    <row r="47" spans="1:8" ht="12.5" x14ac:dyDescent="0.25">
      <c r="A47" s="353" t="s">
        <v>59</v>
      </c>
      <c r="B47" s="347" t="s">
        <v>141</v>
      </c>
      <c r="C47" s="356"/>
      <c r="D47" s="379"/>
      <c r="E47" s="390">
        <v>10</v>
      </c>
      <c r="F47" s="61" t="str">
        <f t="shared" si="0"/>
        <v>SOLO 2024</v>
      </c>
      <c r="G47" s="70" t="str">
        <f t="shared" si="1"/>
        <v>361731 Primaria</v>
      </c>
      <c r="H47" s="70" t="s">
        <v>2011</v>
      </c>
    </row>
    <row r="48" spans="1:8" ht="12.5" x14ac:dyDescent="0.25">
      <c r="A48" s="352"/>
      <c r="B48" s="372" t="s">
        <v>45</v>
      </c>
      <c r="C48" s="360"/>
      <c r="D48" s="381"/>
      <c r="E48" s="391">
        <v>12</v>
      </c>
      <c r="F48" s="61" t="str">
        <f t="shared" si="0"/>
        <v>SOLO 2024</v>
      </c>
      <c r="G48" s="70" t="str">
        <f t="shared" si="1"/>
        <v>2 Primaria</v>
      </c>
      <c r="H48" s="70" t="s">
        <v>2011</v>
      </c>
    </row>
    <row r="49" spans="1:8" ht="12.5" x14ac:dyDescent="0.25">
      <c r="A49" s="352"/>
      <c r="B49" s="372" t="s">
        <v>16</v>
      </c>
      <c r="C49" s="360"/>
      <c r="D49" s="381"/>
      <c r="E49" s="391">
        <v>7</v>
      </c>
      <c r="F49" s="61" t="str">
        <f t="shared" si="0"/>
        <v>SOLO 2024</v>
      </c>
      <c r="G49" s="70" t="str">
        <f t="shared" si="1"/>
        <v>4 Primaria</v>
      </c>
      <c r="H49" s="70" t="s">
        <v>2011</v>
      </c>
    </row>
    <row r="50" spans="1:8" ht="12.5" x14ac:dyDescent="0.25">
      <c r="A50" s="352"/>
      <c r="B50" s="372" t="s">
        <v>37</v>
      </c>
      <c r="C50" s="360"/>
      <c r="D50" s="381"/>
      <c r="E50" s="391">
        <v>8</v>
      </c>
      <c r="F50" s="61" t="str">
        <f t="shared" si="0"/>
        <v>SOLO 2024</v>
      </c>
      <c r="G50" s="70" t="str">
        <f t="shared" si="1"/>
        <v>6 Primaria</v>
      </c>
      <c r="H50" s="70" t="s">
        <v>2011</v>
      </c>
    </row>
    <row r="51" spans="1:8" ht="12.5" x14ac:dyDescent="0.25">
      <c r="A51" s="353" t="s">
        <v>57</v>
      </c>
      <c r="B51" s="347" t="s">
        <v>141</v>
      </c>
      <c r="C51" s="356"/>
      <c r="D51" s="379"/>
      <c r="E51" s="390">
        <v>8</v>
      </c>
      <c r="F51" s="61" t="str">
        <f t="shared" si="0"/>
        <v>SOLO 2024</v>
      </c>
      <c r="G51" s="70" t="str">
        <f t="shared" si="1"/>
        <v>362071 Primaria</v>
      </c>
      <c r="H51" s="70" t="s">
        <v>2011</v>
      </c>
    </row>
    <row r="52" spans="1:8" ht="12.5" x14ac:dyDescent="0.25">
      <c r="A52" s="352"/>
      <c r="B52" s="372" t="s">
        <v>45</v>
      </c>
      <c r="C52" s="360">
        <v>1</v>
      </c>
      <c r="D52" s="381"/>
      <c r="E52" s="391">
        <v>8</v>
      </c>
      <c r="F52" s="61" t="str">
        <f t="shared" si="0"/>
        <v>SOLO 2022 Y 2024</v>
      </c>
      <c r="G52" s="70" t="str">
        <f t="shared" si="1"/>
        <v>2 Primaria</v>
      </c>
      <c r="H52" s="70" t="s">
        <v>2011</v>
      </c>
    </row>
    <row r="53" spans="1:8" ht="12.5" x14ac:dyDescent="0.25">
      <c r="A53" s="352"/>
      <c r="B53" s="372" t="s">
        <v>16</v>
      </c>
      <c r="C53" s="360">
        <v>2</v>
      </c>
      <c r="D53" s="381"/>
      <c r="E53" s="391">
        <v>4</v>
      </c>
      <c r="F53" s="61" t="str">
        <f t="shared" si="0"/>
        <v>SOLO 2022 Y 2024</v>
      </c>
      <c r="G53" s="70" t="str">
        <f t="shared" si="1"/>
        <v>4 Primaria</v>
      </c>
      <c r="H53" s="70" t="s">
        <v>2011</v>
      </c>
    </row>
    <row r="54" spans="1:8" ht="12.5" x14ac:dyDescent="0.25">
      <c r="A54" s="352"/>
      <c r="B54" s="372" t="s">
        <v>37</v>
      </c>
      <c r="C54" s="360">
        <v>5</v>
      </c>
      <c r="D54" s="381"/>
      <c r="E54" s="391">
        <v>4</v>
      </c>
      <c r="F54" s="61" t="str">
        <f t="shared" si="0"/>
        <v>SOLO 2022 Y 2024</v>
      </c>
      <c r="G54" s="70" t="str">
        <f t="shared" si="1"/>
        <v>6 Primaria</v>
      </c>
      <c r="H54" s="70" t="s">
        <v>2011</v>
      </c>
    </row>
    <row r="55" spans="1:8" ht="12.5" x14ac:dyDescent="0.25">
      <c r="A55" s="353" t="s">
        <v>152</v>
      </c>
      <c r="B55" s="347" t="s">
        <v>45</v>
      </c>
      <c r="C55" s="356"/>
      <c r="D55" s="379"/>
      <c r="E55" s="390">
        <v>2</v>
      </c>
      <c r="F55" s="61" t="str">
        <f t="shared" si="0"/>
        <v>SOLO 2024</v>
      </c>
      <c r="G55" s="70" t="str">
        <f t="shared" si="1"/>
        <v>36789 NUESTRA SEÑORA DEL CARMEN2 Primaria</v>
      </c>
      <c r="H55" s="70" t="s">
        <v>2014</v>
      </c>
    </row>
    <row r="56" spans="1:8" ht="12.5" x14ac:dyDescent="0.25">
      <c r="A56" s="352"/>
      <c r="B56" s="372" t="s">
        <v>16</v>
      </c>
      <c r="C56" s="360"/>
      <c r="D56" s="381"/>
      <c r="E56" s="391">
        <v>1</v>
      </c>
      <c r="F56" s="61" t="str">
        <f t="shared" si="0"/>
        <v>SOLO 2024</v>
      </c>
      <c r="G56" s="70" t="str">
        <f t="shared" si="1"/>
        <v>4 Primaria</v>
      </c>
      <c r="H56" s="70" t="s">
        <v>2014</v>
      </c>
    </row>
    <row r="57" spans="1:8" ht="12.5" x14ac:dyDescent="0.25">
      <c r="A57" s="352"/>
      <c r="B57" s="372" t="s">
        <v>37</v>
      </c>
      <c r="C57" s="360"/>
      <c r="D57" s="381"/>
      <c r="E57" s="391">
        <v>4</v>
      </c>
      <c r="F57" s="61" t="str">
        <f t="shared" si="0"/>
        <v>SOLO 2024</v>
      </c>
      <c r="G57" s="70" t="str">
        <f t="shared" si="1"/>
        <v>6 Primaria</v>
      </c>
      <c r="H57" s="70" t="s">
        <v>2014</v>
      </c>
    </row>
    <row r="58" spans="1:8" ht="12.5" x14ac:dyDescent="0.25">
      <c r="A58" s="353" t="s">
        <v>173</v>
      </c>
      <c r="B58" s="347" t="s">
        <v>42</v>
      </c>
      <c r="C58" s="356"/>
      <c r="D58" s="379"/>
      <c r="E58" s="390">
        <v>17</v>
      </c>
      <c r="F58" s="61" t="str">
        <f t="shared" si="0"/>
        <v>SOLO 2024</v>
      </c>
      <c r="G58" s="70" t="str">
        <f t="shared" si="1"/>
        <v>501432 PAPA FRANCISCO I2 Secundaria</v>
      </c>
      <c r="H58" s="70" t="s">
        <v>2011</v>
      </c>
    </row>
    <row r="59" spans="1:8" ht="12.5" x14ac:dyDescent="0.25">
      <c r="A59" s="352"/>
      <c r="B59" s="372" t="s">
        <v>43</v>
      </c>
      <c r="C59" s="360"/>
      <c r="D59" s="381"/>
      <c r="E59" s="391">
        <v>24</v>
      </c>
      <c r="F59" s="61" t="str">
        <f t="shared" si="0"/>
        <v>SOLO 2024</v>
      </c>
      <c r="G59" s="70" t="str">
        <f t="shared" si="1"/>
        <v>4 Secundaria</v>
      </c>
      <c r="H59" s="70" t="s">
        <v>2011</v>
      </c>
    </row>
    <row r="60" spans="1:8" ht="12.5" x14ac:dyDescent="0.25">
      <c r="A60" s="353" t="s">
        <v>155</v>
      </c>
      <c r="B60" s="347" t="s">
        <v>45</v>
      </c>
      <c r="C60" s="356"/>
      <c r="D60" s="379"/>
      <c r="E60" s="390">
        <v>3</v>
      </c>
      <c r="F60" s="61" t="str">
        <f t="shared" si="0"/>
        <v>SOLO 2024</v>
      </c>
      <c r="G60" s="70" t="str">
        <f t="shared" si="1"/>
        <v>60101022 Primaria</v>
      </c>
      <c r="H60" s="70" t="s">
        <v>2014</v>
      </c>
    </row>
    <row r="61" spans="1:8" ht="12.5" x14ac:dyDescent="0.25">
      <c r="A61" s="352"/>
      <c r="B61" s="372" t="s">
        <v>16</v>
      </c>
      <c r="C61" s="360"/>
      <c r="D61" s="381"/>
      <c r="E61" s="391">
        <v>5</v>
      </c>
      <c r="F61" s="61" t="str">
        <f t="shared" si="0"/>
        <v>SOLO 2024</v>
      </c>
      <c r="G61" s="70" t="str">
        <f t="shared" si="1"/>
        <v>4 Primaria</v>
      </c>
      <c r="H61" s="70" t="s">
        <v>2014</v>
      </c>
    </row>
    <row r="62" spans="1:8" ht="12.5" x14ac:dyDescent="0.25">
      <c r="A62" s="352"/>
      <c r="B62" s="372" t="s">
        <v>37</v>
      </c>
      <c r="C62" s="360"/>
      <c r="D62" s="381"/>
      <c r="E62" s="391">
        <v>2</v>
      </c>
      <c r="F62" s="61" t="str">
        <f t="shared" si="0"/>
        <v>SOLO 2024</v>
      </c>
      <c r="G62" s="70" t="str">
        <f t="shared" si="1"/>
        <v>6 Primaria</v>
      </c>
      <c r="H62" s="70" t="s">
        <v>2014</v>
      </c>
    </row>
    <row r="63" spans="1:8" ht="12.5" x14ac:dyDescent="0.25">
      <c r="A63" s="353" t="s">
        <v>156</v>
      </c>
      <c r="B63" s="347" t="s">
        <v>45</v>
      </c>
      <c r="C63" s="356"/>
      <c r="D63" s="379"/>
      <c r="E63" s="390">
        <v>1</v>
      </c>
      <c r="F63" s="61" t="str">
        <f t="shared" si="0"/>
        <v>SOLO 2024</v>
      </c>
      <c r="G63" s="70" t="str">
        <f t="shared" si="1"/>
        <v>60101782 Primaria</v>
      </c>
      <c r="H63" s="70" t="s">
        <v>2014</v>
      </c>
    </row>
    <row r="64" spans="1:8" ht="12.5" x14ac:dyDescent="0.25">
      <c r="A64" s="352"/>
      <c r="B64" s="372" t="s">
        <v>37</v>
      </c>
      <c r="C64" s="360"/>
      <c r="D64" s="381"/>
      <c r="E64" s="391">
        <v>1</v>
      </c>
      <c r="F64" s="61" t="str">
        <f t="shared" si="0"/>
        <v>SOLO 2024</v>
      </c>
      <c r="G64" s="70" t="str">
        <f t="shared" si="1"/>
        <v>6 Primaria</v>
      </c>
      <c r="H64" s="70" t="s">
        <v>2014</v>
      </c>
    </row>
    <row r="65" spans="1:8" ht="12.5" x14ac:dyDescent="0.25">
      <c r="A65" s="353" t="s">
        <v>160</v>
      </c>
      <c r="B65" s="347" t="s">
        <v>45</v>
      </c>
      <c r="C65" s="356"/>
      <c r="D65" s="379">
        <v>4</v>
      </c>
      <c r="E65" s="390">
        <v>2</v>
      </c>
      <c r="F65" s="61" t="str">
        <f t="shared" si="0"/>
        <v>2023 Y 2024</v>
      </c>
      <c r="G65" s="70" t="str">
        <f t="shared" si="1"/>
        <v>6010230 BARBARA D'ACHILLE2 Primaria</v>
      </c>
      <c r="H65" s="70" t="s">
        <v>2011</v>
      </c>
    </row>
    <row r="66" spans="1:8" ht="12.5" x14ac:dyDescent="0.25">
      <c r="A66" s="352"/>
      <c r="B66" s="372" t="s">
        <v>42</v>
      </c>
      <c r="C66" s="360">
        <v>7</v>
      </c>
      <c r="D66" s="381">
        <v>9</v>
      </c>
      <c r="E66" s="391">
        <v>8</v>
      </c>
      <c r="F66" s="61" t="str">
        <f t="shared" si="0"/>
        <v>LOS 3 AÑOS</v>
      </c>
      <c r="G66" s="70" t="str">
        <f t="shared" si="1"/>
        <v>2 Secundaria</v>
      </c>
      <c r="H66" s="70" t="s">
        <v>2011</v>
      </c>
    </row>
    <row r="67" spans="1:8" ht="12.5" x14ac:dyDescent="0.25">
      <c r="A67" s="352"/>
      <c r="B67" s="372" t="s">
        <v>16</v>
      </c>
      <c r="C67" s="360">
        <v>9</v>
      </c>
      <c r="D67" s="381">
        <v>8</v>
      </c>
      <c r="E67" s="391">
        <v>2</v>
      </c>
      <c r="F67" s="61" t="str">
        <f t="shared" si="0"/>
        <v>LOS 3 AÑOS</v>
      </c>
      <c r="G67" s="70" t="str">
        <f t="shared" si="1"/>
        <v>4 Primaria</v>
      </c>
      <c r="H67" s="70" t="s">
        <v>2011</v>
      </c>
    </row>
    <row r="68" spans="1:8" ht="12.5" x14ac:dyDescent="0.25">
      <c r="A68" s="352"/>
      <c r="B68" s="372" t="s">
        <v>43</v>
      </c>
      <c r="C68" s="360">
        <v>9</v>
      </c>
      <c r="D68" s="381">
        <v>5</v>
      </c>
      <c r="E68" s="391">
        <v>3</v>
      </c>
      <c r="F68" s="61" t="str">
        <f t="shared" si="0"/>
        <v>LOS 3 AÑOS</v>
      </c>
      <c r="G68" s="70" t="str">
        <f t="shared" si="1"/>
        <v>4 Secundaria</v>
      </c>
      <c r="H68" s="70" t="s">
        <v>2011</v>
      </c>
    </row>
    <row r="69" spans="1:8" ht="12.5" x14ac:dyDescent="0.25">
      <c r="A69" s="352"/>
      <c r="B69" s="372" t="s">
        <v>37</v>
      </c>
      <c r="C69" s="360">
        <v>4</v>
      </c>
      <c r="D69" s="381">
        <v>5</v>
      </c>
      <c r="E69" s="391">
        <v>4</v>
      </c>
      <c r="F69" s="61" t="str">
        <f t="shared" si="0"/>
        <v>LOS 3 AÑOS</v>
      </c>
      <c r="G69" s="70" t="str">
        <f t="shared" si="1"/>
        <v>6 Primaria</v>
      </c>
      <c r="H69" s="70" t="s">
        <v>2011</v>
      </c>
    </row>
    <row r="70" spans="1:8" ht="12.5" x14ac:dyDescent="0.25">
      <c r="A70" s="353" t="s">
        <v>162</v>
      </c>
      <c r="B70" s="347" t="s">
        <v>45</v>
      </c>
      <c r="C70" s="356"/>
      <c r="D70" s="379"/>
      <c r="E70" s="390">
        <v>10</v>
      </c>
      <c r="F70" s="61" t="str">
        <f t="shared" si="0"/>
        <v>SOLO 2024</v>
      </c>
      <c r="G70" s="70" t="str">
        <f t="shared" si="1"/>
        <v>60102312 Primaria</v>
      </c>
      <c r="H70" s="70" t="s">
        <v>2014</v>
      </c>
    </row>
    <row r="71" spans="1:8" ht="12.5" x14ac:dyDescent="0.25">
      <c r="A71" s="352"/>
      <c r="B71" s="372" t="s">
        <v>42</v>
      </c>
      <c r="C71" s="360"/>
      <c r="D71" s="381"/>
      <c r="E71" s="391">
        <v>23</v>
      </c>
      <c r="F71" s="61" t="str">
        <f t="shared" si="0"/>
        <v>SOLO 2024</v>
      </c>
      <c r="G71" s="70" t="str">
        <f t="shared" si="1"/>
        <v>2 Secundaria</v>
      </c>
      <c r="H71" s="70" t="s">
        <v>2014</v>
      </c>
    </row>
    <row r="72" spans="1:8" ht="12.5" x14ac:dyDescent="0.25">
      <c r="A72" s="352"/>
      <c r="B72" s="372" t="s">
        <v>16</v>
      </c>
      <c r="C72" s="360"/>
      <c r="D72" s="381"/>
      <c r="E72" s="391">
        <v>15</v>
      </c>
      <c r="F72" s="61" t="str">
        <f t="shared" si="0"/>
        <v>SOLO 2024</v>
      </c>
      <c r="G72" s="70" t="str">
        <f t="shared" si="1"/>
        <v>4 Primaria</v>
      </c>
      <c r="H72" s="70" t="s">
        <v>2014</v>
      </c>
    </row>
    <row r="73" spans="1:8" ht="12.5" x14ac:dyDescent="0.25">
      <c r="A73" s="352"/>
      <c r="B73" s="372" t="s">
        <v>43</v>
      </c>
      <c r="C73" s="360"/>
      <c r="D73" s="381"/>
      <c r="E73" s="391">
        <v>8</v>
      </c>
      <c r="F73" s="61" t="str">
        <f t="shared" si="0"/>
        <v>SOLO 2024</v>
      </c>
      <c r="G73" s="70" t="str">
        <f t="shared" si="1"/>
        <v>4 Secundaria</v>
      </c>
      <c r="H73" s="70" t="s">
        <v>2014</v>
      </c>
    </row>
    <row r="74" spans="1:8" ht="12.5" x14ac:dyDescent="0.25">
      <c r="A74" s="352"/>
      <c r="B74" s="372" t="s">
        <v>37</v>
      </c>
      <c r="C74" s="360"/>
      <c r="D74" s="381"/>
      <c r="E74" s="391">
        <v>13</v>
      </c>
      <c r="F74" s="61" t="str">
        <f t="shared" si="0"/>
        <v>SOLO 2024</v>
      </c>
      <c r="G74" s="70" t="str">
        <f t="shared" si="1"/>
        <v>6 Primaria</v>
      </c>
      <c r="H74" s="70" t="s">
        <v>2014</v>
      </c>
    </row>
    <row r="75" spans="1:8" ht="12.5" x14ac:dyDescent="0.25">
      <c r="A75" s="353" t="s">
        <v>92</v>
      </c>
      <c r="B75" s="347" t="s">
        <v>141</v>
      </c>
      <c r="C75" s="356">
        <v>3</v>
      </c>
      <c r="D75" s="379"/>
      <c r="E75" s="390"/>
      <c r="F75" s="61" t="str">
        <f t="shared" si="0"/>
        <v>SOLO LINEA BASE</v>
      </c>
      <c r="G75" s="70" t="str">
        <f t="shared" si="1"/>
        <v>601331 Primaria</v>
      </c>
      <c r="H75" s="70" t="s">
        <v>2011</v>
      </c>
    </row>
    <row r="76" spans="1:8" ht="12.5" x14ac:dyDescent="0.25">
      <c r="A76" s="352"/>
      <c r="B76" s="372" t="s">
        <v>45</v>
      </c>
      <c r="C76" s="360">
        <v>1</v>
      </c>
      <c r="D76" s="381">
        <v>14</v>
      </c>
      <c r="E76" s="391">
        <v>11</v>
      </c>
      <c r="F76" s="61" t="str">
        <f t="shared" si="0"/>
        <v>LOS 3 AÑOS</v>
      </c>
      <c r="G76" s="70" t="str">
        <f t="shared" si="1"/>
        <v>2 Primaria</v>
      </c>
      <c r="H76" s="70" t="s">
        <v>2011</v>
      </c>
    </row>
    <row r="77" spans="1:8" ht="12.5" x14ac:dyDescent="0.25">
      <c r="A77" s="352"/>
      <c r="B77" s="372" t="s">
        <v>42</v>
      </c>
      <c r="C77" s="360">
        <v>31</v>
      </c>
      <c r="D77" s="381">
        <v>22</v>
      </c>
      <c r="E77" s="391">
        <v>25</v>
      </c>
      <c r="F77" s="61" t="str">
        <f t="shared" si="0"/>
        <v>LOS 3 AÑOS</v>
      </c>
      <c r="G77" s="70" t="str">
        <f t="shared" si="1"/>
        <v>2 Secundaria</v>
      </c>
      <c r="H77" s="70" t="s">
        <v>2011</v>
      </c>
    </row>
    <row r="78" spans="1:8" ht="12.5" x14ac:dyDescent="0.25">
      <c r="A78" s="352"/>
      <c r="B78" s="372" t="s">
        <v>16</v>
      </c>
      <c r="C78" s="360"/>
      <c r="D78" s="381">
        <v>16</v>
      </c>
      <c r="E78" s="391">
        <v>11</v>
      </c>
      <c r="F78" s="61" t="str">
        <f t="shared" si="0"/>
        <v>2023 Y 2024</v>
      </c>
      <c r="G78" s="70" t="str">
        <f t="shared" si="1"/>
        <v>4 Primaria</v>
      </c>
      <c r="H78" s="70" t="s">
        <v>2011</v>
      </c>
    </row>
    <row r="79" spans="1:8" ht="12.5" x14ac:dyDescent="0.25">
      <c r="A79" s="352"/>
      <c r="B79" s="372" t="s">
        <v>43</v>
      </c>
      <c r="C79" s="360">
        <v>18</v>
      </c>
      <c r="D79" s="381">
        <v>14</v>
      </c>
      <c r="E79" s="391">
        <v>22</v>
      </c>
      <c r="F79" s="61" t="str">
        <f t="shared" si="0"/>
        <v>LOS 3 AÑOS</v>
      </c>
      <c r="G79" s="70" t="str">
        <f t="shared" si="1"/>
        <v>4 Secundaria</v>
      </c>
      <c r="H79" s="70" t="s">
        <v>2011</v>
      </c>
    </row>
    <row r="80" spans="1:8" ht="12.5" x14ac:dyDescent="0.25">
      <c r="A80" s="352"/>
      <c r="B80" s="372" t="s">
        <v>37</v>
      </c>
      <c r="C80" s="360">
        <v>3</v>
      </c>
      <c r="D80" s="381">
        <v>24</v>
      </c>
      <c r="E80" s="391">
        <v>12</v>
      </c>
      <c r="F80" s="61" t="str">
        <f t="shared" si="0"/>
        <v>LOS 3 AÑOS</v>
      </c>
      <c r="G80" s="70" t="str">
        <f t="shared" si="1"/>
        <v>6 Primaria</v>
      </c>
      <c r="H80" s="70" t="s">
        <v>2011</v>
      </c>
    </row>
    <row r="81" spans="1:8" ht="12.5" x14ac:dyDescent="0.25">
      <c r="A81" s="353" t="s">
        <v>91</v>
      </c>
      <c r="B81" s="347" t="s">
        <v>45</v>
      </c>
      <c r="C81" s="356">
        <v>1</v>
      </c>
      <c r="D81" s="379">
        <v>22</v>
      </c>
      <c r="E81" s="390">
        <v>9</v>
      </c>
      <c r="F81" s="61" t="str">
        <f t="shared" si="0"/>
        <v>LOS 3 AÑOS</v>
      </c>
      <c r="G81" s="70" t="str">
        <f t="shared" si="1"/>
        <v>6013312 Primaria</v>
      </c>
      <c r="H81" s="70" t="s">
        <v>2012</v>
      </c>
    </row>
    <row r="82" spans="1:8" ht="12.5" x14ac:dyDescent="0.25">
      <c r="A82" s="352"/>
      <c r="B82" s="372" t="s">
        <v>42</v>
      </c>
      <c r="C82" s="360">
        <v>14</v>
      </c>
      <c r="D82" s="381">
        <v>14</v>
      </c>
      <c r="E82" s="391">
        <v>12</v>
      </c>
      <c r="F82" s="61" t="str">
        <f t="shared" si="0"/>
        <v>LOS 3 AÑOS</v>
      </c>
      <c r="G82" s="70" t="str">
        <f t="shared" si="1"/>
        <v>2 Secundaria</v>
      </c>
      <c r="H82" s="70" t="s">
        <v>2012</v>
      </c>
    </row>
    <row r="83" spans="1:8" ht="12.5" x14ac:dyDescent="0.25">
      <c r="A83" s="352"/>
      <c r="B83" s="372" t="s">
        <v>16</v>
      </c>
      <c r="C83" s="360">
        <v>1</v>
      </c>
      <c r="D83" s="381">
        <v>13</v>
      </c>
      <c r="E83" s="391">
        <v>7</v>
      </c>
      <c r="F83" s="61" t="str">
        <f t="shared" si="0"/>
        <v>LOS 3 AÑOS</v>
      </c>
      <c r="G83" s="70" t="str">
        <f t="shared" si="1"/>
        <v>4 Primaria</v>
      </c>
      <c r="H83" s="70" t="s">
        <v>2012</v>
      </c>
    </row>
    <row r="84" spans="1:8" ht="12.5" x14ac:dyDescent="0.25">
      <c r="A84" s="352"/>
      <c r="B84" s="372" t="s">
        <v>43</v>
      </c>
      <c r="C84" s="360">
        <v>16</v>
      </c>
      <c r="D84" s="381">
        <v>15</v>
      </c>
      <c r="E84" s="391">
        <v>11</v>
      </c>
      <c r="F84" s="61" t="str">
        <f t="shared" si="0"/>
        <v>LOS 3 AÑOS</v>
      </c>
      <c r="G84" s="70" t="str">
        <f t="shared" si="1"/>
        <v>4 Secundaria</v>
      </c>
      <c r="H84" s="70" t="s">
        <v>2012</v>
      </c>
    </row>
    <row r="85" spans="1:8" ht="12.5" x14ac:dyDescent="0.25">
      <c r="A85" s="352"/>
      <c r="B85" s="372" t="s">
        <v>37</v>
      </c>
      <c r="C85" s="360">
        <v>9</v>
      </c>
      <c r="D85" s="381">
        <v>18</v>
      </c>
      <c r="E85" s="391">
        <v>9</v>
      </c>
      <c r="F85" s="61" t="str">
        <f t="shared" si="0"/>
        <v>LOS 3 AÑOS</v>
      </c>
      <c r="G85" s="70" t="str">
        <f t="shared" si="1"/>
        <v>6 Primaria</v>
      </c>
      <c r="H85" s="70" t="s">
        <v>2012</v>
      </c>
    </row>
    <row r="86" spans="1:8" ht="12.5" x14ac:dyDescent="0.25">
      <c r="A86" s="353" t="s">
        <v>154</v>
      </c>
      <c r="B86" s="347" t="s">
        <v>45</v>
      </c>
      <c r="C86" s="356"/>
      <c r="D86" s="379"/>
      <c r="E86" s="390">
        <v>1</v>
      </c>
      <c r="F86" s="61" t="str">
        <f t="shared" si="0"/>
        <v>SOLO 2024</v>
      </c>
      <c r="G86" s="70" t="str">
        <f t="shared" si="1"/>
        <v>601362 Primaria</v>
      </c>
      <c r="H86" s="70" t="s">
        <v>2014</v>
      </c>
    </row>
    <row r="87" spans="1:8" ht="12.5" x14ac:dyDescent="0.25">
      <c r="A87" s="352"/>
      <c r="B87" s="372" t="s">
        <v>16</v>
      </c>
      <c r="C87" s="360"/>
      <c r="D87" s="381"/>
      <c r="E87" s="391">
        <v>2</v>
      </c>
      <c r="F87" s="61" t="str">
        <f t="shared" si="0"/>
        <v>SOLO 2024</v>
      </c>
      <c r="G87" s="70" t="str">
        <f t="shared" si="1"/>
        <v>4 Primaria</v>
      </c>
      <c r="H87" s="70" t="s">
        <v>2014</v>
      </c>
    </row>
    <row r="88" spans="1:8" ht="12.5" x14ac:dyDescent="0.25">
      <c r="A88" s="352"/>
      <c r="B88" s="372" t="s">
        <v>37</v>
      </c>
      <c r="C88" s="360"/>
      <c r="D88" s="381"/>
      <c r="E88" s="391">
        <v>2</v>
      </c>
      <c r="F88" s="61" t="str">
        <f t="shared" si="0"/>
        <v>SOLO 2024</v>
      </c>
      <c r="G88" s="70" t="str">
        <f t="shared" si="1"/>
        <v>6 Primaria</v>
      </c>
      <c r="H88" s="70" t="s">
        <v>2014</v>
      </c>
    </row>
    <row r="89" spans="1:8" ht="12.5" x14ac:dyDescent="0.25">
      <c r="A89" s="353" t="s">
        <v>157</v>
      </c>
      <c r="B89" s="347" t="s">
        <v>45</v>
      </c>
      <c r="C89" s="356"/>
      <c r="D89" s="379"/>
      <c r="E89" s="390">
        <v>1</v>
      </c>
      <c r="F89" s="61" t="str">
        <f t="shared" si="0"/>
        <v>SOLO 2024</v>
      </c>
      <c r="G89" s="70" t="str">
        <f t="shared" si="1"/>
        <v>6013912 Primaria</v>
      </c>
      <c r="H89" s="70" t="s">
        <v>2014</v>
      </c>
    </row>
    <row r="90" spans="1:8" ht="12.5" x14ac:dyDescent="0.25">
      <c r="A90" s="352"/>
      <c r="B90" s="372" t="s">
        <v>37</v>
      </c>
      <c r="C90" s="360"/>
      <c r="D90" s="381"/>
      <c r="E90" s="391">
        <v>1</v>
      </c>
      <c r="F90" s="61" t="str">
        <f t="shared" si="0"/>
        <v>SOLO 2024</v>
      </c>
      <c r="G90" s="70" t="str">
        <f t="shared" si="1"/>
        <v>6 Primaria</v>
      </c>
      <c r="H90" s="70" t="s">
        <v>2014</v>
      </c>
    </row>
    <row r="91" spans="1:8" ht="12.5" x14ac:dyDescent="0.25">
      <c r="A91" s="353" t="s">
        <v>165</v>
      </c>
      <c r="B91" s="347" t="s">
        <v>45</v>
      </c>
      <c r="C91" s="356"/>
      <c r="D91" s="379"/>
      <c r="E91" s="390">
        <v>2</v>
      </c>
      <c r="F91" s="61" t="str">
        <f t="shared" si="0"/>
        <v>SOLO 2024</v>
      </c>
      <c r="G91" s="70" t="str">
        <f t="shared" si="1"/>
        <v>6014442 Primaria</v>
      </c>
      <c r="H91" s="70" t="s">
        <v>2014</v>
      </c>
    </row>
    <row r="92" spans="1:8" ht="12.5" x14ac:dyDescent="0.25">
      <c r="A92" s="352"/>
      <c r="B92" s="372" t="s">
        <v>16</v>
      </c>
      <c r="C92" s="360"/>
      <c r="D92" s="381"/>
      <c r="E92" s="391">
        <v>2</v>
      </c>
      <c r="F92" s="61" t="str">
        <f t="shared" si="0"/>
        <v>SOLO 2024</v>
      </c>
      <c r="G92" s="70" t="str">
        <f t="shared" si="1"/>
        <v>4 Primaria</v>
      </c>
      <c r="H92" s="70" t="s">
        <v>2014</v>
      </c>
    </row>
    <row r="93" spans="1:8" ht="12.5" x14ac:dyDescent="0.25">
      <c r="A93" s="352"/>
      <c r="B93" s="372" t="s">
        <v>37</v>
      </c>
      <c r="C93" s="360"/>
      <c r="D93" s="381"/>
      <c r="E93" s="391">
        <v>1</v>
      </c>
      <c r="F93" s="61" t="str">
        <f t="shared" si="0"/>
        <v>SOLO 2024</v>
      </c>
      <c r="G93" s="70" t="str">
        <f t="shared" si="1"/>
        <v>6 Primaria</v>
      </c>
      <c r="H93" s="70" t="s">
        <v>2014</v>
      </c>
    </row>
    <row r="94" spans="1:8" ht="12.5" x14ac:dyDescent="0.25">
      <c r="A94" s="353" t="s">
        <v>94</v>
      </c>
      <c r="B94" s="347" t="s">
        <v>45</v>
      </c>
      <c r="C94" s="356"/>
      <c r="D94" s="379">
        <v>8</v>
      </c>
      <c r="E94" s="390">
        <v>3</v>
      </c>
      <c r="F94" s="61" t="str">
        <f t="shared" si="0"/>
        <v>2023 Y 2024</v>
      </c>
      <c r="G94" s="70" t="str">
        <f t="shared" si="1"/>
        <v>6014482 Primaria</v>
      </c>
      <c r="H94" s="70" t="s">
        <v>2011</v>
      </c>
    </row>
    <row r="95" spans="1:8" ht="12.5" x14ac:dyDescent="0.25">
      <c r="A95" s="352"/>
      <c r="B95" s="372" t="s">
        <v>16</v>
      </c>
      <c r="C95" s="360">
        <v>3</v>
      </c>
      <c r="D95" s="381">
        <v>7</v>
      </c>
      <c r="E95" s="391">
        <v>2</v>
      </c>
      <c r="F95" s="61" t="str">
        <f t="shared" si="0"/>
        <v>LOS 3 AÑOS</v>
      </c>
      <c r="G95" s="70" t="str">
        <f t="shared" si="1"/>
        <v>4 Primaria</v>
      </c>
      <c r="H95" s="70" t="s">
        <v>2011</v>
      </c>
    </row>
    <row r="96" spans="1:8" ht="12.5" x14ac:dyDescent="0.25">
      <c r="A96" s="352"/>
      <c r="B96" s="372" t="s">
        <v>37</v>
      </c>
      <c r="C96" s="360"/>
      <c r="D96" s="381">
        <v>5</v>
      </c>
      <c r="E96" s="391">
        <v>2</v>
      </c>
      <c r="F96" s="61" t="str">
        <f t="shared" si="0"/>
        <v>2023 Y 2024</v>
      </c>
      <c r="G96" s="70" t="str">
        <f t="shared" si="1"/>
        <v>6 Primaria</v>
      </c>
      <c r="H96" s="70" t="s">
        <v>2011</v>
      </c>
    </row>
    <row r="97" spans="1:8" ht="12.5" x14ac:dyDescent="0.25">
      <c r="A97" s="353" t="s">
        <v>163</v>
      </c>
      <c r="B97" s="347" t="s">
        <v>16</v>
      </c>
      <c r="C97" s="356"/>
      <c r="D97" s="379"/>
      <c r="E97" s="390">
        <v>1</v>
      </c>
      <c r="F97" s="61" t="str">
        <f t="shared" si="0"/>
        <v>SOLO 2024</v>
      </c>
      <c r="G97" s="70" t="str">
        <f t="shared" si="1"/>
        <v>6015114 Primaria</v>
      </c>
      <c r="H97" s="70" t="s">
        <v>2014</v>
      </c>
    </row>
    <row r="98" spans="1:8" ht="12.5" x14ac:dyDescent="0.25">
      <c r="A98" s="352"/>
      <c r="B98" s="372" t="s">
        <v>37</v>
      </c>
      <c r="C98" s="360"/>
      <c r="D98" s="381"/>
      <c r="E98" s="391">
        <v>2</v>
      </c>
      <c r="F98" s="61" t="str">
        <f t="shared" si="0"/>
        <v>SOLO 2024</v>
      </c>
      <c r="G98" s="70" t="str">
        <f t="shared" si="1"/>
        <v>6 Primaria</v>
      </c>
      <c r="H98" s="70" t="s">
        <v>2014</v>
      </c>
    </row>
    <row r="99" spans="1:8" ht="12.5" x14ac:dyDescent="0.25">
      <c r="A99" s="353" t="s">
        <v>140</v>
      </c>
      <c r="B99" s="347" t="s">
        <v>45</v>
      </c>
      <c r="C99" s="356"/>
      <c r="D99" s="379">
        <v>4</v>
      </c>
      <c r="E99" s="390">
        <v>1</v>
      </c>
      <c r="F99" s="61" t="str">
        <f t="shared" si="0"/>
        <v>2023 Y 2024</v>
      </c>
      <c r="G99" s="70" t="str">
        <f t="shared" si="1"/>
        <v>6015142 Primaria</v>
      </c>
      <c r="H99" s="70" t="s">
        <v>2012</v>
      </c>
    </row>
    <row r="100" spans="1:8" ht="12.5" x14ac:dyDescent="0.25">
      <c r="A100" s="352"/>
      <c r="B100" s="372" t="s">
        <v>16</v>
      </c>
      <c r="C100" s="360"/>
      <c r="D100" s="381">
        <v>8</v>
      </c>
      <c r="E100" s="391">
        <v>1</v>
      </c>
      <c r="F100" s="61" t="str">
        <f t="shared" si="0"/>
        <v>2023 Y 2024</v>
      </c>
      <c r="G100" s="70" t="str">
        <f t="shared" si="1"/>
        <v>4 Primaria</v>
      </c>
      <c r="H100" s="70" t="s">
        <v>2012</v>
      </c>
    </row>
    <row r="101" spans="1:8" ht="12.5" x14ac:dyDescent="0.25">
      <c r="A101" s="352"/>
      <c r="B101" s="372" t="s">
        <v>37</v>
      </c>
      <c r="C101" s="360"/>
      <c r="D101" s="381">
        <v>9</v>
      </c>
      <c r="E101" s="391">
        <v>2</v>
      </c>
      <c r="F101" s="61" t="str">
        <f t="shared" si="0"/>
        <v>2023 Y 2024</v>
      </c>
      <c r="G101" s="70" t="str">
        <f t="shared" si="1"/>
        <v>6 Primaria</v>
      </c>
      <c r="H101" s="70" t="s">
        <v>2012</v>
      </c>
    </row>
    <row r="102" spans="1:8" ht="12.5" x14ac:dyDescent="0.25">
      <c r="A102" s="353" t="s">
        <v>167</v>
      </c>
      <c r="B102" s="347" t="s">
        <v>45</v>
      </c>
      <c r="C102" s="356"/>
      <c r="D102" s="379"/>
      <c r="E102" s="390">
        <v>1</v>
      </c>
      <c r="F102" s="61" t="str">
        <f t="shared" si="0"/>
        <v>SOLO 2024</v>
      </c>
      <c r="G102" s="70" t="str">
        <f t="shared" si="1"/>
        <v>6015632 Primaria</v>
      </c>
      <c r="H102" s="70" t="s">
        <v>2014</v>
      </c>
    </row>
    <row r="103" spans="1:8" ht="12.5" x14ac:dyDescent="0.25">
      <c r="A103" s="352"/>
      <c r="B103" s="372" t="s">
        <v>16</v>
      </c>
      <c r="C103" s="360"/>
      <c r="D103" s="381"/>
      <c r="E103" s="391">
        <v>1</v>
      </c>
      <c r="F103" s="61" t="str">
        <f t="shared" si="0"/>
        <v>SOLO 2024</v>
      </c>
      <c r="G103" s="70" t="str">
        <f t="shared" si="1"/>
        <v>4 Primaria</v>
      </c>
      <c r="H103" s="70" t="s">
        <v>2014</v>
      </c>
    </row>
    <row r="104" spans="1:8" ht="12.5" x14ac:dyDescent="0.25">
      <c r="A104" s="353" t="s">
        <v>158</v>
      </c>
      <c r="B104" s="347" t="s">
        <v>45</v>
      </c>
      <c r="C104" s="356"/>
      <c r="D104" s="379"/>
      <c r="E104" s="390">
        <v>2</v>
      </c>
      <c r="F104" s="61" t="str">
        <f t="shared" si="0"/>
        <v>SOLO 2024</v>
      </c>
      <c r="G104" s="70" t="str">
        <f t="shared" si="1"/>
        <v>6015702 Primaria</v>
      </c>
      <c r="H104" s="70" t="s">
        <v>2014</v>
      </c>
    </row>
    <row r="105" spans="1:8" ht="12.5" x14ac:dyDescent="0.25">
      <c r="A105" s="352"/>
      <c r="B105" s="372" t="s">
        <v>37</v>
      </c>
      <c r="C105" s="360"/>
      <c r="D105" s="381"/>
      <c r="E105" s="391">
        <v>1</v>
      </c>
      <c r="F105" s="61" t="str">
        <f t="shared" si="0"/>
        <v>SOLO 2024</v>
      </c>
      <c r="G105" s="70" t="str">
        <f t="shared" si="1"/>
        <v>6 Primaria</v>
      </c>
      <c r="H105" s="70" t="s">
        <v>2014</v>
      </c>
    </row>
    <row r="106" spans="1:8" ht="12.5" x14ac:dyDescent="0.25">
      <c r="A106" s="353" t="s">
        <v>166</v>
      </c>
      <c r="B106" s="347" t="s">
        <v>45</v>
      </c>
      <c r="C106" s="356"/>
      <c r="D106" s="379"/>
      <c r="E106" s="390">
        <v>2</v>
      </c>
      <c r="F106" s="61" t="str">
        <f t="shared" si="0"/>
        <v>SOLO 2024</v>
      </c>
      <c r="G106" s="70" t="str">
        <f t="shared" si="1"/>
        <v>6015712 Primaria</v>
      </c>
      <c r="H106" s="70" t="s">
        <v>2014</v>
      </c>
    </row>
    <row r="107" spans="1:8" ht="12.5" x14ac:dyDescent="0.25">
      <c r="A107" s="352"/>
      <c r="B107" s="372" t="s">
        <v>16</v>
      </c>
      <c r="C107" s="360"/>
      <c r="D107" s="381"/>
      <c r="E107" s="391">
        <v>1</v>
      </c>
      <c r="F107" s="61" t="str">
        <f t="shared" si="0"/>
        <v>SOLO 2024</v>
      </c>
      <c r="G107" s="70" t="str">
        <f t="shared" si="1"/>
        <v>4 Primaria</v>
      </c>
      <c r="H107" s="70" t="s">
        <v>2014</v>
      </c>
    </row>
    <row r="108" spans="1:8" ht="12.5" x14ac:dyDescent="0.25">
      <c r="A108" s="352"/>
      <c r="B108" s="372" t="s">
        <v>37</v>
      </c>
      <c r="C108" s="360"/>
      <c r="D108" s="381"/>
      <c r="E108" s="391">
        <v>1</v>
      </c>
      <c r="F108" s="61" t="str">
        <f t="shared" si="0"/>
        <v>SOLO 2024</v>
      </c>
      <c r="G108" s="70" t="str">
        <f t="shared" si="1"/>
        <v>6 Primaria</v>
      </c>
      <c r="H108" s="70" t="s">
        <v>2014</v>
      </c>
    </row>
    <row r="109" spans="1:8" ht="12.5" x14ac:dyDescent="0.25">
      <c r="A109" s="353" t="s">
        <v>164</v>
      </c>
      <c r="B109" s="347" t="s">
        <v>37</v>
      </c>
      <c r="C109" s="356"/>
      <c r="D109" s="379"/>
      <c r="E109" s="390">
        <v>2</v>
      </c>
      <c r="F109" s="61" t="str">
        <f t="shared" si="0"/>
        <v>SOLO 2024</v>
      </c>
      <c r="G109" s="70" t="str">
        <f t="shared" si="1"/>
        <v>6015806 Primaria</v>
      </c>
      <c r="H109" s="70" t="s">
        <v>2014</v>
      </c>
    </row>
    <row r="110" spans="1:8" ht="12.5" x14ac:dyDescent="0.25">
      <c r="A110" s="353" t="s">
        <v>138</v>
      </c>
      <c r="B110" s="347" t="s">
        <v>45</v>
      </c>
      <c r="C110" s="356"/>
      <c r="D110" s="379"/>
      <c r="E110" s="390">
        <v>1</v>
      </c>
      <c r="F110" s="61" t="str">
        <f t="shared" si="0"/>
        <v>SOLO 2024</v>
      </c>
      <c r="G110" s="70" t="str">
        <f t="shared" si="1"/>
        <v>6016142 Primaria</v>
      </c>
      <c r="H110" s="70" t="s">
        <v>2011</v>
      </c>
    </row>
    <row r="111" spans="1:8" ht="12.5" x14ac:dyDescent="0.25">
      <c r="A111" s="352"/>
      <c r="B111" s="372" t="s">
        <v>16</v>
      </c>
      <c r="C111" s="360"/>
      <c r="D111" s="381">
        <v>1</v>
      </c>
      <c r="E111" s="391">
        <v>1</v>
      </c>
      <c r="F111" s="61" t="str">
        <f t="shared" si="0"/>
        <v>2023 Y 2024</v>
      </c>
      <c r="G111" s="70" t="str">
        <f t="shared" si="1"/>
        <v>4 Primaria</v>
      </c>
      <c r="H111" s="70" t="s">
        <v>2011</v>
      </c>
    </row>
    <row r="112" spans="1:8" ht="12.5" x14ac:dyDescent="0.25">
      <c r="A112" s="352"/>
      <c r="B112" s="372" t="s">
        <v>37</v>
      </c>
      <c r="C112" s="360"/>
      <c r="D112" s="381">
        <v>3</v>
      </c>
      <c r="E112" s="391"/>
      <c r="F112" s="61" t="str">
        <f t="shared" si="0"/>
        <v>SOLO 2023</v>
      </c>
      <c r="G112" s="70" t="str">
        <f t="shared" si="1"/>
        <v>6 Primaria</v>
      </c>
      <c r="H112" s="70" t="s">
        <v>2011</v>
      </c>
    </row>
    <row r="113" spans="1:8" ht="12.5" x14ac:dyDescent="0.25">
      <c r="A113" s="353" t="s">
        <v>159</v>
      </c>
      <c r="B113" s="347" t="s">
        <v>16</v>
      </c>
      <c r="C113" s="356"/>
      <c r="D113" s="379"/>
      <c r="E113" s="390">
        <v>1</v>
      </c>
      <c r="F113" s="61" t="str">
        <f t="shared" si="0"/>
        <v>SOLO 2024</v>
      </c>
      <c r="G113" s="70" t="str">
        <f t="shared" si="1"/>
        <v>6016784 Primaria</v>
      </c>
      <c r="H113" s="70" t="s">
        <v>2014</v>
      </c>
    </row>
    <row r="114" spans="1:8" ht="12.5" x14ac:dyDescent="0.25">
      <c r="A114" s="352"/>
      <c r="B114" s="372" t="s">
        <v>37</v>
      </c>
      <c r="C114" s="360"/>
      <c r="D114" s="381"/>
      <c r="E114" s="391">
        <v>1</v>
      </c>
      <c r="F114" s="61" t="str">
        <f t="shared" si="0"/>
        <v>SOLO 2024</v>
      </c>
      <c r="G114" s="70" t="str">
        <f t="shared" si="1"/>
        <v>6 Primaria</v>
      </c>
      <c r="H114" s="70" t="s">
        <v>2014</v>
      </c>
    </row>
    <row r="115" spans="1:8" ht="12.5" x14ac:dyDescent="0.25">
      <c r="A115" s="353" t="s">
        <v>161</v>
      </c>
      <c r="B115" s="347" t="s">
        <v>45</v>
      </c>
      <c r="C115" s="356"/>
      <c r="D115" s="379"/>
      <c r="E115" s="390">
        <v>1</v>
      </c>
      <c r="F115" s="61" t="str">
        <f t="shared" si="0"/>
        <v>SOLO 2024</v>
      </c>
      <c r="G115" s="70" t="str">
        <f t="shared" si="1"/>
        <v>601812 Primaria</v>
      </c>
      <c r="H115" s="70" t="s">
        <v>2014</v>
      </c>
    </row>
    <row r="116" spans="1:8" ht="12.5" x14ac:dyDescent="0.25">
      <c r="A116" s="353" t="s">
        <v>150</v>
      </c>
      <c r="B116" s="347" t="s">
        <v>45</v>
      </c>
      <c r="C116" s="356">
        <v>4</v>
      </c>
      <c r="D116" s="379">
        <v>15</v>
      </c>
      <c r="E116" s="390">
        <v>3</v>
      </c>
      <c r="F116" s="61" t="str">
        <f t="shared" si="0"/>
        <v>LOS 3 AÑOS</v>
      </c>
      <c r="G116" s="70" t="str">
        <f t="shared" si="1"/>
        <v>640282 Primaria</v>
      </c>
      <c r="H116" s="70" t="s">
        <v>2011</v>
      </c>
    </row>
    <row r="117" spans="1:8" ht="12.5" x14ac:dyDescent="0.25">
      <c r="A117" s="352"/>
      <c r="B117" s="372" t="s">
        <v>16</v>
      </c>
      <c r="C117" s="360">
        <v>12</v>
      </c>
      <c r="D117" s="381">
        <v>5</v>
      </c>
      <c r="E117" s="391">
        <v>4</v>
      </c>
      <c r="F117" s="61" t="str">
        <f t="shared" si="0"/>
        <v>LOS 3 AÑOS</v>
      </c>
      <c r="G117" s="70" t="str">
        <f t="shared" si="1"/>
        <v>4 Primaria</v>
      </c>
      <c r="H117" s="70" t="s">
        <v>2011</v>
      </c>
    </row>
    <row r="118" spans="1:8" ht="12.5" x14ac:dyDescent="0.25">
      <c r="A118" s="352"/>
      <c r="B118" s="372" t="s">
        <v>37</v>
      </c>
      <c r="C118" s="360">
        <v>7</v>
      </c>
      <c r="D118" s="381"/>
      <c r="E118" s="391">
        <v>4</v>
      </c>
      <c r="F118" s="61" t="str">
        <f t="shared" si="0"/>
        <v>SOLO 2022 Y 2024</v>
      </c>
      <c r="G118" s="70" t="str">
        <f t="shared" si="1"/>
        <v>6 Primaria</v>
      </c>
      <c r="H118" s="70" t="s">
        <v>2011</v>
      </c>
    </row>
    <row r="119" spans="1:8" ht="12.5" x14ac:dyDescent="0.25">
      <c r="A119" s="353" t="s">
        <v>143</v>
      </c>
      <c r="B119" s="347" t="s">
        <v>45</v>
      </c>
      <c r="C119" s="356"/>
      <c r="D119" s="379"/>
      <c r="E119" s="390">
        <v>2</v>
      </c>
      <c r="F119" s="61" t="str">
        <f t="shared" si="0"/>
        <v>SOLO 2024</v>
      </c>
      <c r="G119" s="70" t="str">
        <f t="shared" si="1"/>
        <v>640482 Primaria</v>
      </c>
      <c r="H119" s="70" t="s">
        <v>2014</v>
      </c>
    </row>
    <row r="120" spans="1:8" ht="12.5" x14ac:dyDescent="0.25">
      <c r="A120" s="352"/>
      <c r="B120" s="372" t="s">
        <v>16</v>
      </c>
      <c r="C120" s="360">
        <v>2</v>
      </c>
      <c r="D120" s="381"/>
      <c r="E120" s="391">
        <v>2</v>
      </c>
      <c r="F120" s="61" t="str">
        <f t="shared" si="0"/>
        <v>SOLO 2022 Y 2024</v>
      </c>
      <c r="G120" s="70" t="str">
        <f t="shared" si="1"/>
        <v>4 Primaria</v>
      </c>
      <c r="H120" s="70" t="s">
        <v>2014</v>
      </c>
    </row>
    <row r="121" spans="1:8" ht="12.5" x14ac:dyDescent="0.25">
      <c r="A121" s="352"/>
      <c r="B121" s="372" t="s">
        <v>37</v>
      </c>
      <c r="C121" s="360">
        <v>4</v>
      </c>
      <c r="D121" s="381"/>
      <c r="E121" s="391">
        <v>3</v>
      </c>
      <c r="F121" s="61" t="str">
        <f t="shared" si="0"/>
        <v>SOLO 2022 Y 2024</v>
      </c>
      <c r="G121" s="70" t="str">
        <f t="shared" si="1"/>
        <v>6 Primaria</v>
      </c>
      <c r="H121" s="70" t="s">
        <v>2014</v>
      </c>
    </row>
    <row r="122" spans="1:8" ht="12.5" x14ac:dyDescent="0.25">
      <c r="A122" s="353" t="s">
        <v>144</v>
      </c>
      <c r="B122" s="347" t="s">
        <v>45</v>
      </c>
      <c r="C122" s="356">
        <v>4</v>
      </c>
      <c r="D122" s="379"/>
      <c r="E122" s="390">
        <v>3</v>
      </c>
      <c r="F122" s="61" t="str">
        <f t="shared" si="0"/>
        <v>SOLO 2022 Y 2024</v>
      </c>
      <c r="G122" s="70" t="str">
        <f t="shared" si="1"/>
        <v>641152 Primaria</v>
      </c>
      <c r="H122" s="70" t="s">
        <v>2012</v>
      </c>
    </row>
    <row r="123" spans="1:8" ht="12.5" x14ac:dyDescent="0.25">
      <c r="A123" s="352"/>
      <c r="B123" s="372" t="s">
        <v>16</v>
      </c>
      <c r="C123" s="360">
        <v>1</v>
      </c>
      <c r="D123" s="381"/>
      <c r="E123" s="391">
        <v>2</v>
      </c>
      <c r="F123" s="61" t="str">
        <f t="shared" si="0"/>
        <v>SOLO 2022 Y 2024</v>
      </c>
      <c r="G123" s="70" t="str">
        <f t="shared" si="1"/>
        <v>4 Primaria</v>
      </c>
      <c r="H123" s="70" t="s">
        <v>2012</v>
      </c>
    </row>
    <row r="124" spans="1:8" ht="12.5" x14ac:dyDescent="0.25">
      <c r="A124" s="352"/>
      <c r="B124" s="372" t="s">
        <v>37</v>
      </c>
      <c r="C124" s="360">
        <v>3</v>
      </c>
      <c r="D124" s="381"/>
      <c r="E124" s="391">
        <v>2</v>
      </c>
      <c r="F124" s="61" t="str">
        <f t="shared" si="0"/>
        <v>SOLO 2022 Y 2024</v>
      </c>
      <c r="G124" s="70" t="str">
        <f t="shared" si="1"/>
        <v>6 Primaria</v>
      </c>
      <c r="H124" s="70" t="s">
        <v>2012</v>
      </c>
    </row>
    <row r="125" spans="1:8" ht="12.5" x14ac:dyDescent="0.25">
      <c r="A125" s="353" t="s">
        <v>289</v>
      </c>
      <c r="B125" s="347" t="s">
        <v>45</v>
      </c>
      <c r="C125" s="356"/>
      <c r="D125" s="379">
        <v>2</v>
      </c>
      <c r="E125" s="390"/>
      <c r="F125" s="61" t="str">
        <f t="shared" si="0"/>
        <v>SOLO 2023</v>
      </c>
      <c r="G125" s="70" t="str">
        <f t="shared" si="1"/>
        <v>641552 Primaria</v>
      </c>
      <c r="H125" s="70" t="s">
        <v>2013</v>
      </c>
    </row>
    <row r="126" spans="1:8" ht="12.5" x14ac:dyDescent="0.25">
      <c r="A126" s="353" t="s">
        <v>175</v>
      </c>
      <c r="B126" s="347" t="s">
        <v>45</v>
      </c>
      <c r="C126" s="356">
        <v>1</v>
      </c>
      <c r="D126" s="379">
        <v>2</v>
      </c>
      <c r="E126" s="390"/>
      <c r="F126" s="61" t="str">
        <f t="shared" si="0"/>
        <v>OTROS ESCENARIOS</v>
      </c>
      <c r="G126" s="70" t="str">
        <f t="shared" si="1"/>
        <v>643462 Primaria</v>
      </c>
      <c r="H126" s="70" t="s">
        <v>2012</v>
      </c>
    </row>
    <row r="127" spans="1:8" ht="12.5" x14ac:dyDescent="0.25">
      <c r="A127" s="352"/>
      <c r="B127" s="372" t="s">
        <v>37</v>
      </c>
      <c r="C127" s="360">
        <v>1</v>
      </c>
      <c r="D127" s="381">
        <v>4</v>
      </c>
      <c r="E127" s="391"/>
      <c r="F127" s="61" t="str">
        <f t="shared" si="0"/>
        <v>OTROS ESCENARIOS</v>
      </c>
      <c r="G127" s="70" t="str">
        <f t="shared" si="1"/>
        <v>6 Primaria</v>
      </c>
      <c r="H127" s="70" t="s">
        <v>2012</v>
      </c>
    </row>
    <row r="128" spans="1:8" ht="12.5" x14ac:dyDescent="0.25">
      <c r="A128" s="353" t="s">
        <v>145</v>
      </c>
      <c r="B128" s="347" t="s">
        <v>45</v>
      </c>
      <c r="C128" s="356"/>
      <c r="D128" s="379"/>
      <c r="E128" s="390">
        <v>8</v>
      </c>
      <c r="F128" s="61" t="str">
        <f t="shared" si="0"/>
        <v>SOLO 2024</v>
      </c>
      <c r="G128" s="70" t="str">
        <f t="shared" si="1"/>
        <v>64508-B2 Primaria</v>
      </c>
      <c r="H128" s="70" t="s">
        <v>2011</v>
      </c>
    </row>
    <row r="129" spans="1:8" ht="12.5" x14ac:dyDescent="0.25">
      <c r="A129" s="352"/>
      <c r="B129" s="372" t="s">
        <v>16</v>
      </c>
      <c r="C129" s="360"/>
      <c r="D129" s="381"/>
      <c r="E129" s="391">
        <v>9</v>
      </c>
      <c r="F129" s="61" t="str">
        <f t="shared" si="0"/>
        <v>SOLO 2024</v>
      </c>
      <c r="G129" s="70" t="str">
        <f t="shared" si="1"/>
        <v>4 Primaria</v>
      </c>
      <c r="H129" s="70" t="s">
        <v>2011</v>
      </c>
    </row>
    <row r="130" spans="1:8" ht="12.5" x14ac:dyDescent="0.25">
      <c r="A130" s="352"/>
      <c r="B130" s="372" t="s">
        <v>37</v>
      </c>
      <c r="C130" s="360"/>
      <c r="D130" s="381"/>
      <c r="E130" s="391">
        <v>8</v>
      </c>
      <c r="F130" s="61" t="str">
        <f t="shared" si="0"/>
        <v>SOLO 2024</v>
      </c>
      <c r="G130" s="70" t="str">
        <f t="shared" si="1"/>
        <v>6 Primaria</v>
      </c>
      <c r="H130" s="70" t="s">
        <v>2011</v>
      </c>
    </row>
    <row r="131" spans="1:8" ht="12.5" x14ac:dyDescent="0.25">
      <c r="A131" s="353" t="s">
        <v>147</v>
      </c>
      <c r="B131" s="347" t="s">
        <v>45</v>
      </c>
      <c r="C131" s="356"/>
      <c r="D131" s="379"/>
      <c r="E131" s="390">
        <v>2</v>
      </c>
      <c r="F131" s="61" t="str">
        <f t="shared" si="0"/>
        <v>SOLO 2024</v>
      </c>
      <c r="G131" s="70" t="str">
        <f t="shared" si="1"/>
        <v>64545-B2 Primaria</v>
      </c>
      <c r="H131" s="70" t="s">
        <v>2014</v>
      </c>
    </row>
    <row r="132" spans="1:8" ht="12.5" x14ac:dyDescent="0.25">
      <c r="A132" s="352"/>
      <c r="B132" s="372" t="s">
        <v>16</v>
      </c>
      <c r="C132" s="360"/>
      <c r="D132" s="381"/>
      <c r="E132" s="391">
        <v>1</v>
      </c>
      <c r="F132" s="61" t="str">
        <f t="shared" si="0"/>
        <v>SOLO 2024</v>
      </c>
      <c r="G132" s="70" t="str">
        <f t="shared" si="1"/>
        <v>4 Primaria</v>
      </c>
      <c r="H132" s="70" t="s">
        <v>2014</v>
      </c>
    </row>
    <row r="133" spans="1:8" ht="12.5" x14ac:dyDescent="0.25">
      <c r="A133" s="352"/>
      <c r="B133" s="372" t="s">
        <v>37</v>
      </c>
      <c r="C133" s="360"/>
      <c r="D133" s="381"/>
      <c r="E133" s="391">
        <v>1</v>
      </c>
      <c r="F133" s="61" t="str">
        <f t="shared" si="0"/>
        <v>SOLO 2024</v>
      </c>
      <c r="G133" s="70" t="str">
        <f t="shared" si="1"/>
        <v>6 Primaria</v>
      </c>
      <c r="H133" s="70" t="s">
        <v>2014</v>
      </c>
    </row>
    <row r="134" spans="1:8" ht="12.5" x14ac:dyDescent="0.25">
      <c r="A134" s="353" t="s">
        <v>179</v>
      </c>
      <c r="B134" s="347" t="s">
        <v>16</v>
      </c>
      <c r="C134" s="356"/>
      <c r="D134" s="379">
        <v>2</v>
      </c>
      <c r="E134" s="390"/>
      <c r="F134" s="61" t="str">
        <f t="shared" si="0"/>
        <v>SOLO 2023</v>
      </c>
      <c r="G134" s="70" t="str">
        <f t="shared" si="1"/>
        <v>646414 Primaria</v>
      </c>
      <c r="H134" s="70" t="s">
        <v>2012</v>
      </c>
    </row>
    <row r="135" spans="1:8" ht="12.5" x14ac:dyDescent="0.25">
      <c r="A135" s="352"/>
      <c r="B135" s="372" t="s">
        <v>37</v>
      </c>
      <c r="C135" s="360"/>
      <c r="D135" s="381">
        <v>4</v>
      </c>
      <c r="E135" s="391"/>
      <c r="F135" s="61" t="str">
        <f t="shared" si="0"/>
        <v>SOLO 2023</v>
      </c>
      <c r="G135" s="70" t="str">
        <f t="shared" si="1"/>
        <v>6 Primaria</v>
      </c>
      <c r="H135" s="70" t="s">
        <v>2012</v>
      </c>
    </row>
    <row r="136" spans="1:8" ht="12.5" x14ac:dyDescent="0.25">
      <c r="A136" s="353" t="s">
        <v>177</v>
      </c>
      <c r="B136" s="347" t="s">
        <v>16</v>
      </c>
      <c r="C136" s="356">
        <v>1</v>
      </c>
      <c r="D136" s="379"/>
      <c r="E136" s="390"/>
      <c r="F136" s="61" t="str">
        <f t="shared" si="0"/>
        <v>SOLO LINEA BASE</v>
      </c>
      <c r="G136" s="70" t="str">
        <f t="shared" si="1"/>
        <v>648294 Primaria</v>
      </c>
      <c r="H136" s="70" t="s">
        <v>2011</v>
      </c>
    </row>
    <row r="137" spans="1:8" ht="12.5" x14ac:dyDescent="0.25">
      <c r="A137" s="352"/>
      <c r="B137" s="372" t="s">
        <v>37</v>
      </c>
      <c r="C137" s="360">
        <v>1</v>
      </c>
      <c r="D137" s="381"/>
      <c r="E137" s="391"/>
      <c r="F137" s="61" t="str">
        <f t="shared" si="0"/>
        <v>SOLO LINEA BASE</v>
      </c>
      <c r="G137" s="70" t="str">
        <f t="shared" si="1"/>
        <v>6 Primaria</v>
      </c>
      <c r="H137" s="70" t="s">
        <v>2011</v>
      </c>
    </row>
    <row r="138" spans="1:8" ht="12.5" x14ac:dyDescent="0.25">
      <c r="A138" s="353" t="s">
        <v>149</v>
      </c>
      <c r="B138" s="347" t="s">
        <v>45</v>
      </c>
      <c r="C138" s="356"/>
      <c r="D138" s="379"/>
      <c r="E138" s="390">
        <v>9</v>
      </c>
      <c r="F138" s="61" t="str">
        <f t="shared" si="0"/>
        <v>SOLO 2024</v>
      </c>
      <c r="G138" s="70" t="str">
        <f t="shared" si="1"/>
        <v>64871-B2 Primaria</v>
      </c>
      <c r="H138" s="70" t="s">
        <v>2011</v>
      </c>
    </row>
    <row r="139" spans="1:8" ht="12.5" x14ac:dyDescent="0.25">
      <c r="A139" s="352"/>
      <c r="B139" s="372" t="s">
        <v>16</v>
      </c>
      <c r="C139" s="360"/>
      <c r="D139" s="381">
        <v>17</v>
      </c>
      <c r="E139" s="391">
        <v>10</v>
      </c>
      <c r="F139" s="61" t="str">
        <f t="shared" si="0"/>
        <v>2023 Y 2024</v>
      </c>
      <c r="G139" s="70" t="str">
        <f t="shared" si="1"/>
        <v>4 Primaria</v>
      </c>
      <c r="H139" s="70" t="s">
        <v>2011</v>
      </c>
    </row>
    <row r="140" spans="1:8" ht="12.5" x14ac:dyDescent="0.25">
      <c r="A140" s="352"/>
      <c r="B140" s="372" t="s">
        <v>37</v>
      </c>
      <c r="C140" s="360"/>
      <c r="D140" s="381"/>
      <c r="E140" s="391">
        <v>10</v>
      </c>
      <c r="F140" s="61" t="str">
        <f t="shared" si="0"/>
        <v>SOLO 2024</v>
      </c>
      <c r="G140" s="70" t="str">
        <f t="shared" si="1"/>
        <v>6 Primaria</v>
      </c>
      <c r="H140" s="70" t="s">
        <v>2011</v>
      </c>
    </row>
    <row r="141" spans="1:8" ht="12.5" x14ac:dyDescent="0.25">
      <c r="A141" s="353" t="s">
        <v>146</v>
      </c>
      <c r="B141" s="347" t="s">
        <v>45</v>
      </c>
      <c r="C141" s="356"/>
      <c r="D141" s="379"/>
      <c r="E141" s="390">
        <v>7</v>
      </c>
      <c r="F141" s="61" t="str">
        <f t="shared" si="0"/>
        <v>SOLO 2024</v>
      </c>
      <c r="G141" s="70" t="str">
        <f t="shared" si="1"/>
        <v>64873-B2 Primaria</v>
      </c>
      <c r="H141" s="70" t="s">
        <v>2011</v>
      </c>
    </row>
    <row r="142" spans="1:8" ht="12.5" x14ac:dyDescent="0.25">
      <c r="A142" s="352"/>
      <c r="B142" s="372" t="s">
        <v>16</v>
      </c>
      <c r="C142" s="360"/>
      <c r="D142" s="381"/>
      <c r="E142" s="391">
        <v>4</v>
      </c>
      <c r="F142" s="61" t="str">
        <f t="shared" si="0"/>
        <v>SOLO 2024</v>
      </c>
      <c r="G142" s="70" t="str">
        <f t="shared" si="1"/>
        <v>4 Primaria</v>
      </c>
      <c r="H142" s="70" t="s">
        <v>2011</v>
      </c>
    </row>
    <row r="143" spans="1:8" ht="12.5" x14ac:dyDescent="0.25">
      <c r="A143" s="352"/>
      <c r="B143" s="372" t="s">
        <v>37</v>
      </c>
      <c r="C143" s="360"/>
      <c r="D143" s="381"/>
      <c r="E143" s="391">
        <v>4</v>
      </c>
      <c r="F143" s="61" t="str">
        <f t="shared" si="0"/>
        <v>SOLO 2024</v>
      </c>
      <c r="G143" s="70" t="str">
        <f t="shared" si="1"/>
        <v>6 Primaria</v>
      </c>
      <c r="H143" s="70" t="s">
        <v>2011</v>
      </c>
    </row>
    <row r="144" spans="1:8" ht="12.5" x14ac:dyDescent="0.25">
      <c r="A144" s="353" t="s">
        <v>148</v>
      </c>
      <c r="B144" s="347" t="s">
        <v>45</v>
      </c>
      <c r="C144" s="356"/>
      <c r="D144" s="379"/>
      <c r="E144" s="390">
        <v>1</v>
      </c>
      <c r="F144" s="61" t="str">
        <f t="shared" si="0"/>
        <v>SOLO 2024</v>
      </c>
      <c r="G144" s="70" t="str">
        <f t="shared" si="1"/>
        <v>649492 Primaria</v>
      </c>
      <c r="H144" s="70" t="s">
        <v>2014</v>
      </c>
    </row>
    <row r="145" spans="1:8" ht="12.5" x14ac:dyDescent="0.25">
      <c r="A145" s="352"/>
      <c r="B145" s="372" t="s">
        <v>37</v>
      </c>
      <c r="C145" s="360"/>
      <c r="D145" s="381"/>
      <c r="E145" s="391">
        <v>1</v>
      </c>
      <c r="F145" s="61" t="str">
        <f t="shared" si="0"/>
        <v>SOLO 2024</v>
      </c>
      <c r="G145" s="70" t="str">
        <f t="shared" si="1"/>
        <v>6 Primaria</v>
      </c>
      <c r="H145" s="70" t="s">
        <v>2014</v>
      </c>
    </row>
    <row r="146" spans="1:8" ht="12.5" x14ac:dyDescent="0.25">
      <c r="A146" s="353" t="s">
        <v>180</v>
      </c>
      <c r="B146" s="347" t="s">
        <v>45</v>
      </c>
      <c r="C146" s="356"/>
      <c r="D146" s="379">
        <v>1</v>
      </c>
      <c r="E146" s="390"/>
      <c r="F146" s="61" t="str">
        <f t="shared" si="0"/>
        <v>SOLO 2023</v>
      </c>
      <c r="G146" s="70" t="str">
        <f t="shared" si="1"/>
        <v>649962 Primaria</v>
      </c>
      <c r="H146" s="70" t="s">
        <v>2012</v>
      </c>
    </row>
    <row r="147" spans="1:8" ht="12.5" x14ac:dyDescent="0.25">
      <c r="A147" s="352"/>
      <c r="B147" s="372" t="s">
        <v>16</v>
      </c>
      <c r="C147" s="360"/>
      <c r="D147" s="381">
        <v>1</v>
      </c>
      <c r="E147" s="391"/>
      <c r="F147" s="61" t="str">
        <f t="shared" si="0"/>
        <v>SOLO 2023</v>
      </c>
      <c r="G147" s="70" t="str">
        <f t="shared" si="1"/>
        <v>4 Primaria</v>
      </c>
      <c r="H147" s="70" t="s">
        <v>2012</v>
      </c>
    </row>
    <row r="148" spans="1:8" ht="12.5" x14ac:dyDescent="0.25">
      <c r="A148" s="352"/>
      <c r="B148" s="372" t="s">
        <v>37</v>
      </c>
      <c r="C148" s="360"/>
      <c r="D148" s="381">
        <v>3</v>
      </c>
      <c r="E148" s="391"/>
      <c r="F148" s="61" t="str">
        <f t="shared" si="0"/>
        <v>SOLO 2023</v>
      </c>
      <c r="G148" s="70" t="str">
        <f t="shared" si="1"/>
        <v>6 Primaria</v>
      </c>
      <c r="H148" s="70" t="s">
        <v>2012</v>
      </c>
    </row>
    <row r="149" spans="1:8" ht="12.5" x14ac:dyDescent="0.25">
      <c r="A149" s="353" t="s">
        <v>176</v>
      </c>
      <c r="B149" s="347" t="s">
        <v>16</v>
      </c>
      <c r="C149" s="356">
        <v>4</v>
      </c>
      <c r="D149" s="379"/>
      <c r="E149" s="390"/>
      <c r="F149" s="61" t="str">
        <f t="shared" si="0"/>
        <v>SOLO LINEA BASE</v>
      </c>
      <c r="G149" s="70" t="str">
        <f t="shared" si="1"/>
        <v>651994 Primaria</v>
      </c>
      <c r="H149" s="70" t="s">
        <v>2014</v>
      </c>
    </row>
    <row r="150" spans="1:8" ht="12.5" x14ac:dyDescent="0.25">
      <c r="A150" s="352"/>
      <c r="B150" s="372" t="s">
        <v>37</v>
      </c>
      <c r="C150" s="360">
        <v>3</v>
      </c>
      <c r="D150" s="381"/>
      <c r="E150" s="391"/>
      <c r="F150" s="61" t="str">
        <f t="shared" si="0"/>
        <v>SOLO LINEA BASE</v>
      </c>
      <c r="G150" s="70" t="str">
        <f t="shared" si="1"/>
        <v>6 Primaria</v>
      </c>
      <c r="H150" s="70" t="s">
        <v>2014</v>
      </c>
    </row>
    <row r="151" spans="1:8" ht="12.5" x14ac:dyDescent="0.25">
      <c r="A151" s="353" t="s">
        <v>169</v>
      </c>
      <c r="B151" s="347" t="s">
        <v>45</v>
      </c>
      <c r="C151" s="356"/>
      <c r="D151" s="379"/>
      <c r="E151" s="390">
        <v>15</v>
      </c>
      <c r="F151" s="61" t="str">
        <f t="shared" si="0"/>
        <v>SOLO 2024</v>
      </c>
      <c r="G151" s="70" t="str">
        <f t="shared" si="1"/>
        <v>86548 JOSE MARIA VELAZ2 Primaria</v>
      </c>
      <c r="H151" s="70" t="s">
        <v>2011</v>
      </c>
    </row>
    <row r="152" spans="1:8" ht="12.5" x14ac:dyDescent="0.25">
      <c r="A152" s="352"/>
      <c r="B152" s="372" t="s">
        <v>42</v>
      </c>
      <c r="C152" s="360">
        <v>5</v>
      </c>
      <c r="D152" s="381"/>
      <c r="E152" s="391">
        <v>20</v>
      </c>
      <c r="F152" s="61" t="str">
        <f t="shared" si="0"/>
        <v>SOLO 2022 Y 2024</v>
      </c>
      <c r="G152" s="70" t="str">
        <f t="shared" si="1"/>
        <v>2 Secundaria</v>
      </c>
      <c r="H152" s="70" t="s">
        <v>2011</v>
      </c>
    </row>
    <row r="153" spans="1:8" ht="12.5" x14ac:dyDescent="0.25">
      <c r="A153" s="352"/>
      <c r="B153" s="372" t="s">
        <v>16</v>
      </c>
      <c r="C153" s="360"/>
      <c r="D153" s="381">
        <v>13</v>
      </c>
      <c r="E153" s="391">
        <v>6</v>
      </c>
      <c r="F153" s="61" t="str">
        <f t="shared" si="0"/>
        <v>2023 Y 2024</v>
      </c>
      <c r="G153" s="70" t="str">
        <f t="shared" si="1"/>
        <v>4 Primaria</v>
      </c>
      <c r="H153" s="70" t="s">
        <v>2011</v>
      </c>
    </row>
    <row r="154" spans="1:8" ht="12.5" x14ac:dyDescent="0.25">
      <c r="A154" s="352"/>
      <c r="B154" s="372" t="s">
        <v>43</v>
      </c>
      <c r="C154" s="360">
        <v>2</v>
      </c>
      <c r="D154" s="381"/>
      <c r="E154" s="391">
        <v>21</v>
      </c>
      <c r="F154" s="61" t="str">
        <f t="shared" si="0"/>
        <v>SOLO 2022 Y 2024</v>
      </c>
      <c r="G154" s="70" t="str">
        <f t="shared" si="1"/>
        <v>4 Secundaria</v>
      </c>
      <c r="H154" s="70" t="s">
        <v>2011</v>
      </c>
    </row>
    <row r="155" spans="1:8" ht="12.5" x14ac:dyDescent="0.25">
      <c r="A155" s="352"/>
      <c r="B155" s="372" t="s">
        <v>37</v>
      </c>
      <c r="C155" s="360"/>
      <c r="D155" s="381">
        <v>8</v>
      </c>
      <c r="E155" s="391">
        <v>12</v>
      </c>
      <c r="F155" s="61" t="str">
        <f t="shared" si="0"/>
        <v>2023 Y 2024</v>
      </c>
      <c r="G155" s="70" t="str">
        <f t="shared" si="1"/>
        <v>6 Primaria</v>
      </c>
      <c r="H155" s="70" t="s">
        <v>2011</v>
      </c>
    </row>
    <row r="156" spans="1:8" ht="12.5" x14ac:dyDescent="0.25">
      <c r="A156" s="353" t="s">
        <v>172</v>
      </c>
      <c r="B156" s="347" t="s">
        <v>45</v>
      </c>
      <c r="C156" s="356"/>
      <c r="D156" s="379"/>
      <c r="E156" s="390">
        <v>7</v>
      </c>
      <c r="F156" s="61" t="str">
        <f t="shared" si="0"/>
        <v>SOLO 2024</v>
      </c>
      <c r="G156" s="70" t="str">
        <f t="shared" si="1"/>
        <v>86769 ABRAHAM VALDELOMAR2 Primaria</v>
      </c>
      <c r="H156" s="70" t="s">
        <v>2014</v>
      </c>
    </row>
    <row r="157" spans="1:8" ht="12.5" x14ac:dyDescent="0.25">
      <c r="A157" s="352"/>
      <c r="B157" s="372" t="s">
        <v>42</v>
      </c>
      <c r="C157" s="360">
        <v>3</v>
      </c>
      <c r="D157" s="381"/>
      <c r="E157" s="391">
        <v>4</v>
      </c>
      <c r="F157" s="61" t="str">
        <f t="shared" si="0"/>
        <v>SOLO 2022 Y 2024</v>
      </c>
      <c r="G157" s="70" t="str">
        <f t="shared" si="1"/>
        <v>2 Secundaria</v>
      </c>
      <c r="H157" s="70" t="s">
        <v>2014</v>
      </c>
    </row>
    <row r="158" spans="1:8" ht="12.5" x14ac:dyDescent="0.25">
      <c r="A158" s="352"/>
      <c r="B158" s="372" t="s">
        <v>16</v>
      </c>
      <c r="C158" s="360">
        <v>3</v>
      </c>
      <c r="D158" s="381"/>
      <c r="E158" s="391">
        <v>5</v>
      </c>
      <c r="F158" s="61" t="str">
        <f t="shared" si="0"/>
        <v>SOLO 2022 Y 2024</v>
      </c>
      <c r="G158" s="70" t="str">
        <f t="shared" si="1"/>
        <v>4 Primaria</v>
      </c>
      <c r="H158" s="70" t="s">
        <v>2014</v>
      </c>
    </row>
    <row r="159" spans="1:8" ht="12.5" x14ac:dyDescent="0.25">
      <c r="A159" s="352"/>
      <c r="B159" s="372" t="s">
        <v>43</v>
      </c>
      <c r="C159" s="360"/>
      <c r="D159" s="381"/>
      <c r="E159" s="391">
        <v>5</v>
      </c>
      <c r="F159" s="61" t="str">
        <f t="shared" si="0"/>
        <v>SOLO 2024</v>
      </c>
      <c r="G159" s="70" t="str">
        <f t="shared" si="1"/>
        <v>4 Secundaria</v>
      </c>
      <c r="H159" s="70" t="s">
        <v>2014</v>
      </c>
    </row>
    <row r="160" spans="1:8" ht="12.5" x14ac:dyDescent="0.25">
      <c r="A160" s="352"/>
      <c r="B160" s="372" t="s">
        <v>37</v>
      </c>
      <c r="C160" s="360">
        <v>1</v>
      </c>
      <c r="D160" s="381"/>
      <c r="E160" s="391">
        <v>5</v>
      </c>
      <c r="F160" s="61" t="str">
        <f t="shared" si="0"/>
        <v>SOLO 2022 Y 2024</v>
      </c>
      <c r="G160" s="70" t="str">
        <f t="shared" si="1"/>
        <v>6 Primaria</v>
      </c>
      <c r="H160" s="70" t="s">
        <v>2014</v>
      </c>
    </row>
    <row r="161" spans="1:8" ht="12.5" x14ac:dyDescent="0.25">
      <c r="A161" s="353" t="s">
        <v>168</v>
      </c>
      <c r="B161" s="347" t="s">
        <v>141</v>
      </c>
      <c r="C161" s="356">
        <v>1</v>
      </c>
      <c r="D161" s="379"/>
      <c r="E161" s="390"/>
      <c r="F161" s="61" t="str">
        <f t="shared" si="0"/>
        <v>SOLO LINEA BASE</v>
      </c>
      <c r="G161" s="70" t="str">
        <f t="shared" si="1"/>
        <v>868091 Primaria</v>
      </c>
      <c r="H161" s="70" t="s">
        <v>2012</v>
      </c>
    </row>
    <row r="162" spans="1:8" ht="12.5" x14ac:dyDescent="0.25">
      <c r="A162" s="352"/>
      <c r="B162" s="372" t="s">
        <v>45</v>
      </c>
      <c r="C162" s="360">
        <v>1</v>
      </c>
      <c r="D162" s="381">
        <v>3</v>
      </c>
      <c r="E162" s="391">
        <v>1</v>
      </c>
      <c r="F162" s="61" t="str">
        <f t="shared" si="0"/>
        <v>LOS 3 AÑOS</v>
      </c>
      <c r="G162" s="70" t="str">
        <f t="shared" si="1"/>
        <v>2 Primaria</v>
      </c>
      <c r="H162" s="70" t="s">
        <v>2012</v>
      </c>
    </row>
    <row r="163" spans="1:8" ht="12.5" x14ac:dyDescent="0.25">
      <c r="A163" s="352"/>
      <c r="B163" s="372" t="s">
        <v>16</v>
      </c>
      <c r="C163" s="360">
        <v>1</v>
      </c>
      <c r="D163" s="381">
        <v>2</v>
      </c>
      <c r="E163" s="391">
        <v>4</v>
      </c>
      <c r="F163" s="61" t="str">
        <f t="shared" si="0"/>
        <v>LOS 3 AÑOS</v>
      </c>
      <c r="G163" s="70" t="str">
        <f t="shared" si="1"/>
        <v>4 Primaria</v>
      </c>
      <c r="H163" s="70" t="s">
        <v>2012</v>
      </c>
    </row>
    <row r="164" spans="1:8" ht="12.5" x14ac:dyDescent="0.25">
      <c r="A164" s="352"/>
      <c r="B164" s="372" t="s">
        <v>37</v>
      </c>
      <c r="C164" s="360">
        <v>4</v>
      </c>
      <c r="D164" s="381">
        <v>4</v>
      </c>
      <c r="E164" s="391">
        <v>2</v>
      </c>
      <c r="F164" s="61" t="str">
        <f t="shared" si="0"/>
        <v>LOS 3 AÑOS</v>
      </c>
      <c r="G164" s="70" t="str">
        <f t="shared" si="1"/>
        <v>6 Primaria</v>
      </c>
      <c r="H164" s="70" t="s">
        <v>2012</v>
      </c>
    </row>
    <row r="165" spans="1:8" ht="12.5" x14ac:dyDescent="0.25">
      <c r="A165" s="353" t="s">
        <v>174</v>
      </c>
      <c r="B165" s="347" t="s">
        <v>141</v>
      </c>
      <c r="C165" s="356">
        <v>2</v>
      </c>
      <c r="D165" s="379"/>
      <c r="E165" s="390"/>
      <c r="F165" s="61" t="str">
        <f t="shared" si="0"/>
        <v>SOLO LINEA BASE</v>
      </c>
      <c r="G165" s="70" t="str">
        <f t="shared" si="1"/>
        <v>88225 CAPTUY1 Primaria</v>
      </c>
      <c r="H165" s="70" t="s">
        <v>2013</v>
      </c>
    </row>
    <row r="166" spans="1:8" ht="12.5" x14ac:dyDescent="0.25">
      <c r="A166" s="352"/>
      <c r="B166" s="372" t="s">
        <v>45</v>
      </c>
      <c r="C166" s="360">
        <v>1</v>
      </c>
      <c r="D166" s="381"/>
      <c r="E166" s="391"/>
      <c r="F166" s="61" t="str">
        <f t="shared" si="0"/>
        <v>SOLO LINEA BASE</v>
      </c>
      <c r="G166" s="70" t="str">
        <f t="shared" si="1"/>
        <v>2 Primaria</v>
      </c>
      <c r="H166" s="70" t="s">
        <v>2013</v>
      </c>
    </row>
    <row r="167" spans="1:8" ht="12.5" x14ac:dyDescent="0.25">
      <c r="A167" s="352"/>
      <c r="B167" s="372" t="s">
        <v>16</v>
      </c>
      <c r="C167" s="360">
        <v>3</v>
      </c>
      <c r="D167" s="381"/>
      <c r="E167" s="391"/>
      <c r="F167" s="61" t="str">
        <f t="shared" si="0"/>
        <v>SOLO LINEA BASE</v>
      </c>
      <c r="G167" s="70" t="str">
        <f t="shared" si="1"/>
        <v>4 Primaria</v>
      </c>
      <c r="H167" s="70" t="s">
        <v>2013</v>
      </c>
    </row>
    <row r="168" spans="1:8" ht="12.5" x14ac:dyDescent="0.25">
      <c r="A168" s="352"/>
      <c r="B168" s="372" t="s">
        <v>37</v>
      </c>
      <c r="C168" s="360">
        <v>10</v>
      </c>
      <c r="D168" s="381"/>
      <c r="E168" s="391"/>
      <c r="F168" s="61" t="str">
        <f t="shared" si="0"/>
        <v>SOLO LINEA BASE</v>
      </c>
      <c r="G168" s="70" t="str">
        <f t="shared" si="1"/>
        <v>6 Primaria</v>
      </c>
      <c r="H168" s="70" t="s">
        <v>2013</v>
      </c>
    </row>
    <row r="169" spans="1:8" ht="12.5" x14ac:dyDescent="0.25">
      <c r="A169" s="353" t="s">
        <v>171</v>
      </c>
      <c r="B169" s="347" t="s">
        <v>45</v>
      </c>
      <c r="C169" s="356"/>
      <c r="D169" s="379">
        <v>4</v>
      </c>
      <c r="E169" s="390">
        <v>6</v>
      </c>
      <c r="F169" s="61" t="str">
        <f t="shared" si="0"/>
        <v>2023 Y 2024</v>
      </c>
      <c r="G169" s="70" t="str">
        <f t="shared" si="1"/>
        <v>88247 SAN ENRIQUE2 Primaria</v>
      </c>
      <c r="H169" s="70" t="s">
        <v>2011</v>
      </c>
    </row>
    <row r="170" spans="1:8" ht="12.5" x14ac:dyDescent="0.25">
      <c r="A170" s="352"/>
      <c r="B170" s="372" t="s">
        <v>16</v>
      </c>
      <c r="C170" s="360"/>
      <c r="D170" s="381">
        <v>4</v>
      </c>
      <c r="E170" s="391">
        <v>8</v>
      </c>
      <c r="F170" s="61" t="str">
        <f t="shared" si="0"/>
        <v>2023 Y 2024</v>
      </c>
      <c r="G170" s="70" t="str">
        <f t="shared" si="1"/>
        <v>4 Primaria</v>
      </c>
      <c r="H170" s="70" t="s">
        <v>2011</v>
      </c>
    </row>
    <row r="171" spans="1:8" ht="12.5" x14ac:dyDescent="0.25">
      <c r="A171" s="352"/>
      <c r="B171" s="372" t="s">
        <v>37</v>
      </c>
      <c r="C171" s="360"/>
      <c r="D171" s="381">
        <v>3</v>
      </c>
      <c r="E171" s="391">
        <v>5</v>
      </c>
      <c r="F171" s="61" t="str">
        <f t="shared" si="0"/>
        <v>2023 Y 2024</v>
      </c>
      <c r="G171" s="70" t="str">
        <f t="shared" si="1"/>
        <v>6 Primaria</v>
      </c>
      <c r="H171" s="70" t="s">
        <v>2011</v>
      </c>
    </row>
    <row r="172" spans="1:8" ht="12.5" x14ac:dyDescent="0.25">
      <c r="A172" s="353" t="s">
        <v>170</v>
      </c>
      <c r="B172" s="347" t="s">
        <v>45</v>
      </c>
      <c r="C172" s="356">
        <v>1</v>
      </c>
      <c r="D172" s="379"/>
      <c r="E172" s="390">
        <v>4</v>
      </c>
      <c r="F172" s="61" t="str">
        <f t="shared" si="0"/>
        <v>SOLO 2022 Y 2024</v>
      </c>
      <c r="G172" s="70" t="str">
        <f t="shared" si="1"/>
        <v>883272 Primaria</v>
      </c>
      <c r="H172" s="70" t="s">
        <v>2011</v>
      </c>
    </row>
    <row r="173" spans="1:8" ht="12.5" x14ac:dyDescent="0.25">
      <c r="A173" s="352"/>
      <c r="B173" s="372" t="s">
        <v>16</v>
      </c>
      <c r="C173" s="360"/>
      <c r="D173" s="381"/>
      <c r="E173" s="391">
        <v>7</v>
      </c>
      <c r="F173" s="61" t="str">
        <f t="shared" si="0"/>
        <v>SOLO 2024</v>
      </c>
      <c r="G173" s="70" t="str">
        <f t="shared" si="1"/>
        <v>4 Primaria</v>
      </c>
      <c r="H173" s="70" t="s">
        <v>2011</v>
      </c>
    </row>
    <row r="174" spans="1:8" ht="12.5" x14ac:dyDescent="0.25">
      <c r="A174" s="352"/>
      <c r="B174" s="372" t="s">
        <v>37</v>
      </c>
      <c r="C174" s="360">
        <v>2</v>
      </c>
      <c r="D174" s="381"/>
      <c r="E174" s="391">
        <v>3</v>
      </c>
      <c r="F174" s="61" t="str">
        <f t="shared" si="0"/>
        <v>SOLO 2022 Y 2024</v>
      </c>
      <c r="G174" s="70" t="str">
        <f t="shared" si="1"/>
        <v>6 Primaria</v>
      </c>
      <c r="H174" s="70" t="s">
        <v>2011</v>
      </c>
    </row>
    <row r="175" spans="1:8" ht="12.5" x14ac:dyDescent="0.25">
      <c r="A175" s="353" t="s">
        <v>58</v>
      </c>
      <c r="B175" s="347" t="s">
        <v>42</v>
      </c>
      <c r="C175" s="356"/>
      <c r="D175" s="379"/>
      <c r="E175" s="390">
        <v>25</v>
      </c>
      <c r="F175" s="61" t="str">
        <f t="shared" si="0"/>
        <v>SOLO 2024</v>
      </c>
      <c r="G175" s="70" t="str">
        <f t="shared" si="1"/>
        <v>CORAS2 Secundaria</v>
      </c>
      <c r="H175" s="70" t="s">
        <v>2011</v>
      </c>
    </row>
    <row r="176" spans="1:8" ht="12.5" x14ac:dyDescent="0.25">
      <c r="A176" s="352"/>
      <c r="B176" s="372" t="s">
        <v>43</v>
      </c>
      <c r="C176" s="360"/>
      <c r="D176" s="381"/>
      <c r="E176" s="391">
        <v>26</v>
      </c>
      <c r="F176" s="61" t="str">
        <f t="shared" si="0"/>
        <v>SOLO 2024</v>
      </c>
      <c r="G176" s="70" t="str">
        <f t="shared" si="1"/>
        <v>4 Secundaria</v>
      </c>
      <c r="H176" s="70" t="s">
        <v>2011</v>
      </c>
    </row>
    <row r="177" spans="1:8" ht="12.5" x14ac:dyDescent="0.25">
      <c r="A177" s="353" t="s">
        <v>65</v>
      </c>
      <c r="B177" s="347" t="s">
        <v>42</v>
      </c>
      <c r="C177" s="356">
        <v>15</v>
      </c>
      <c r="D177" s="379">
        <v>40</v>
      </c>
      <c r="E177" s="390">
        <v>26</v>
      </c>
      <c r="F177" s="61" t="str">
        <f t="shared" si="0"/>
        <v>LOS 3 AÑOS</v>
      </c>
      <c r="G177" s="70" t="str">
        <f t="shared" si="1"/>
        <v>EL MILAGRO2 Secundaria</v>
      </c>
      <c r="H177" s="70" t="s">
        <v>2013</v>
      </c>
    </row>
    <row r="178" spans="1:8" ht="12.5" x14ac:dyDescent="0.25">
      <c r="A178" s="352"/>
      <c r="B178" s="372" t="s">
        <v>43</v>
      </c>
      <c r="C178" s="360">
        <v>24</v>
      </c>
      <c r="D178" s="381">
        <v>23</v>
      </c>
      <c r="E178" s="391">
        <v>24</v>
      </c>
      <c r="F178" s="61" t="str">
        <f t="shared" si="0"/>
        <v>LOS 3 AÑOS</v>
      </c>
      <c r="G178" s="70" t="str">
        <f t="shared" si="1"/>
        <v>4 Secundaria</v>
      </c>
      <c r="H178" s="70" t="s">
        <v>2013</v>
      </c>
    </row>
    <row r="179" spans="1:8" ht="12.5" x14ac:dyDescent="0.25">
      <c r="A179" s="353" t="s">
        <v>107</v>
      </c>
      <c r="B179" s="347" t="s">
        <v>42</v>
      </c>
      <c r="C179" s="356">
        <v>16</v>
      </c>
      <c r="D179" s="379"/>
      <c r="E179" s="390"/>
      <c r="F179" s="61" t="str">
        <f t="shared" si="0"/>
        <v>SOLO LINEA BASE</v>
      </c>
      <c r="G179" s="70" t="str">
        <f t="shared" si="1"/>
        <v>JORGE CHAVEZ2 Secundaria</v>
      </c>
      <c r="H179" s="70" t="s">
        <v>2012</v>
      </c>
    </row>
    <row r="180" spans="1:8" ht="12.5" x14ac:dyDescent="0.25">
      <c r="A180" s="352"/>
      <c r="B180" s="372" t="s">
        <v>43</v>
      </c>
      <c r="C180" s="360">
        <v>22</v>
      </c>
      <c r="D180" s="381"/>
      <c r="E180" s="391"/>
      <c r="F180" s="61" t="str">
        <f t="shared" si="0"/>
        <v>SOLO LINEA BASE</v>
      </c>
      <c r="G180" s="70" t="str">
        <f t="shared" si="1"/>
        <v>4 Secundaria</v>
      </c>
      <c r="H180" s="70" t="s">
        <v>2012</v>
      </c>
    </row>
    <row r="181" spans="1:8" ht="12.5" x14ac:dyDescent="0.25">
      <c r="A181" s="353" t="s">
        <v>108</v>
      </c>
      <c r="B181" s="347" t="s">
        <v>42</v>
      </c>
      <c r="C181" s="356">
        <v>1</v>
      </c>
      <c r="D181" s="379"/>
      <c r="E181" s="390"/>
      <c r="F181" s="61" t="str">
        <f t="shared" si="0"/>
        <v>SOLO LINEA BASE</v>
      </c>
      <c r="G181" s="70" t="str">
        <f t="shared" si="1"/>
        <v>JOSE CARLOS MARIATEGUI2 Secundaria</v>
      </c>
      <c r="H181" s="70" t="s">
        <v>2013</v>
      </c>
    </row>
    <row r="182" spans="1:8" ht="12.5" x14ac:dyDescent="0.25">
      <c r="A182" s="352"/>
      <c r="B182" s="372" t="s">
        <v>43</v>
      </c>
      <c r="C182" s="360">
        <v>14</v>
      </c>
      <c r="D182" s="381"/>
      <c r="E182" s="391"/>
      <c r="F182" s="61" t="str">
        <f t="shared" si="0"/>
        <v>SOLO LINEA BASE</v>
      </c>
      <c r="G182" s="70" t="str">
        <f t="shared" si="1"/>
        <v>4 Secundaria</v>
      </c>
      <c r="H182" s="70" t="s">
        <v>2013</v>
      </c>
    </row>
    <row r="183" spans="1:8" ht="12.5" x14ac:dyDescent="0.25">
      <c r="A183" s="353" t="s">
        <v>151</v>
      </c>
      <c r="B183" s="347" t="s">
        <v>42</v>
      </c>
      <c r="C183" s="356"/>
      <c r="D183" s="379">
        <v>40</v>
      </c>
      <c r="E183" s="390">
        <v>39</v>
      </c>
      <c r="F183" s="61" t="str">
        <f t="shared" si="0"/>
        <v>2023 Y 2024</v>
      </c>
      <c r="G183" s="70" t="str">
        <f t="shared" si="1"/>
        <v>NUESTRA SEÑORA DE LA CANDELARIA2 Secundaria</v>
      </c>
      <c r="H183" s="70" t="s">
        <v>2011</v>
      </c>
    </row>
    <row r="184" spans="1:8" ht="12.5" x14ac:dyDescent="0.25">
      <c r="A184" s="352"/>
      <c r="B184" s="372" t="s">
        <v>43</v>
      </c>
      <c r="C184" s="360"/>
      <c r="D184" s="381">
        <v>39</v>
      </c>
      <c r="E184" s="391">
        <v>46</v>
      </c>
      <c r="F184" s="61" t="str">
        <f t="shared" si="0"/>
        <v>2023 Y 2024</v>
      </c>
      <c r="G184" s="70" t="str">
        <f t="shared" si="1"/>
        <v>4 Secundaria</v>
      </c>
      <c r="H184" s="70" t="s">
        <v>2011</v>
      </c>
    </row>
    <row r="185" spans="1:8" ht="12.5" x14ac:dyDescent="0.25">
      <c r="A185" s="353" t="s">
        <v>109</v>
      </c>
      <c r="B185" s="347" t="s">
        <v>42</v>
      </c>
      <c r="C185" s="356">
        <v>16</v>
      </c>
      <c r="D185" s="379"/>
      <c r="E185" s="390"/>
      <c r="F185" s="61" t="str">
        <f t="shared" si="0"/>
        <v>SOLO LINEA BASE</v>
      </c>
      <c r="G185" s="70" t="str">
        <f t="shared" si="1"/>
        <v>RAMON CASTILLA MARQUEZADO2 Secundaria</v>
      </c>
      <c r="H185" s="70" t="s">
        <v>2013</v>
      </c>
    </row>
    <row r="186" spans="1:8" ht="12.5" x14ac:dyDescent="0.25">
      <c r="A186" s="352"/>
      <c r="B186" s="372" t="s">
        <v>43</v>
      </c>
      <c r="C186" s="360">
        <v>7</v>
      </c>
      <c r="D186" s="381"/>
      <c r="E186" s="391"/>
      <c r="F186" s="61" t="str">
        <f t="shared" si="0"/>
        <v>SOLO LINEA BASE</v>
      </c>
      <c r="G186" s="70" t="str">
        <f t="shared" si="1"/>
        <v>4 Secundaria</v>
      </c>
      <c r="H186" s="70" t="s">
        <v>2013</v>
      </c>
    </row>
    <row r="187" spans="1:8" ht="12.5" x14ac:dyDescent="0.25">
      <c r="A187" s="353" t="s">
        <v>29</v>
      </c>
      <c r="B187" s="347" t="s">
        <v>45</v>
      </c>
      <c r="C187" s="356"/>
      <c r="D187" s="379">
        <v>14</v>
      </c>
      <c r="E187" s="390"/>
      <c r="F187" s="61" t="str">
        <f t="shared" si="0"/>
        <v>SOLO 2023</v>
      </c>
      <c r="G187" s="70" t="str">
        <f t="shared" si="1"/>
        <v>SAGRADO CORAZON DE JESUS2 Primaria</v>
      </c>
      <c r="H187" s="70" t="s">
        <v>2013</v>
      </c>
    </row>
    <row r="188" spans="1:8" ht="12.5" x14ac:dyDescent="0.25">
      <c r="A188" s="352"/>
      <c r="B188" s="372" t="s">
        <v>16</v>
      </c>
      <c r="C188" s="360"/>
      <c r="D188" s="381">
        <v>13</v>
      </c>
      <c r="E188" s="391">
        <v>7</v>
      </c>
      <c r="F188" s="61" t="str">
        <f t="shared" si="0"/>
        <v>2023 Y 2024</v>
      </c>
      <c r="G188" s="70" t="str">
        <f t="shared" si="1"/>
        <v>4 Primaria</v>
      </c>
      <c r="H188" s="70" t="s">
        <v>2013</v>
      </c>
    </row>
    <row r="189" spans="1:8" ht="12.5" x14ac:dyDescent="0.25">
      <c r="A189" s="398"/>
      <c r="B189" s="400" t="s">
        <v>37</v>
      </c>
      <c r="C189" s="401"/>
      <c r="D189" s="402">
        <v>15</v>
      </c>
      <c r="E189" s="403">
        <v>9</v>
      </c>
      <c r="F189" s="61" t="str">
        <f t="shared" si="0"/>
        <v>2023 Y 2024</v>
      </c>
      <c r="G189" s="70" t="str">
        <f t="shared" si="1"/>
        <v>6 Primaria</v>
      </c>
      <c r="H189" s="70" t="s">
        <v>2013</v>
      </c>
    </row>
    <row r="190" spans="1:8" ht="12.5" x14ac:dyDescent="0.25">
      <c r="A190" s="14"/>
      <c r="C190" s="68"/>
      <c r="D190" s="68"/>
      <c r="E190" s="68"/>
      <c r="F190" s="70"/>
      <c r="G190" s="70" t="str">
        <f t="shared" si="1"/>
        <v/>
      </c>
      <c r="H190" s="70"/>
    </row>
    <row r="191" spans="1:8" ht="12.5" x14ac:dyDescent="0.25">
      <c r="A191" s="14"/>
      <c r="C191" s="68"/>
      <c r="D191" s="68"/>
      <c r="E191" s="68"/>
      <c r="F191" s="70"/>
      <c r="G191" s="70" t="str">
        <f t="shared" si="1"/>
        <v/>
      </c>
      <c r="H191" s="70"/>
    </row>
    <row r="192" spans="1:8" ht="12.5" x14ac:dyDescent="0.25">
      <c r="A192" s="14"/>
      <c r="C192" s="68"/>
      <c r="D192" s="68"/>
      <c r="E192" s="68"/>
      <c r="F192" s="70"/>
      <c r="G192" s="70" t="str">
        <f t="shared" si="1"/>
        <v/>
      </c>
      <c r="H192" s="70"/>
    </row>
    <row r="193" spans="1:8" ht="12.5" x14ac:dyDescent="0.25">
      <c r="A193" s="14"/>
      <c r="C193" s="68"/>
      <c r="D193" s="68"/>
      <c r="E193" s="68"/>
      <c r="F193" s="70"/>
      <c r="G193" s="70" t="str">
        <f t="shared" si="1"/>
        <v/>
      </c>
      <c r="H193" s="70"/>
    </row>
    <row r="194" spans="1:8" ht="12.5" x14ac:dyDescent="0.25">
      <c r="A194" s="14"/>
      <c r="C194" s="68"/>
      <c r="D194" s="68"/>
      <c r="E194" s="68"/>
      <c r="F194" s="70"/>
      <c r="G194" s="70" t="str">
        <f t="shared" si="1"/>
        <v/>
      </c>
      <c r="H194" s="70"/>
    </row>
    <row r="195" spans="1:8" ht="12.5" x14ac:dyDescent="0.25">
      <c r="A195" s="14"/>
      <c r="C195" s="68"/>
      <c r="D195" s="68"/>
      <c r="E195" s="68"/>
      <c r="F195" s="70"/>
      <c r="G195" s="70" t="str">
        <f t="shared" si="1"/>
        <v/>
      </c>
      <c r="H195" s="70"/>
    </row>
    <row r="196" spans="1:8" ht="12.5" x14ac:dyDescent="0.25">
      <c r="A196" s="14"/>
      <c r="C196" s="68"/>
      <c r="D196" s="68"/>
      <c r="E196" s="68"/>
      <c r="F196" s="70"/>
      <c r="G196" s="70" t="str">
        <f t="shared" si="1"/>
        <v/>
      </c>
      <c r="H196" s="70"/>
    </row>
    <row r="197" spans="1:8" ht="12.5" x14ac:dyDescent="0.25">
      <c r="A197" s="14"/>
      <c r="C197" s="68"/>
      <c r="D197" s="68"/>
      <c r="E197" s="68"/>
      <c r="F197" s="70"/>
      <c r="G197" s="70" t="str">
        <f t="shared" si="1"/>
        <v/>
      </c>
      <c r="H197" s="70"/>
    </row>
    <row r="198" spans="1:8" ht="12.5" x14ac:dyDescent="0.25">
      <c r="A198" s="14"/>
      <c r="C198" s="68"/>
      <c r="D198" s="68"/>
      <c r="E198" s="68"/>
      <c r="F198" s="70"/>
      <c r="G198" s="70" t="str">
        <f t="shared" si="1"/>
        <v/>
      </c>
      <c r="H198" s="70"/>
    </row>
    <row r="199" spans="1:8" ht="12.5" x14ac:dyDescent="0.25">
      <c r="A199" s="14"/>
      <c r="C199" s="68"/>
      <c r="D199" s="68"/>
      <c r="E199" s="68"/>
      <c r="F199" s="70"/>
      <c r="G199" s="70" t="str">
        <f t="shared" si="1"/>
        <v/>
      </c>
      <c r="H199" s="70"/>
    </row>
    <row r="200" spans="1:8" ht="12.5" x14ac:dyDescent="0.25">
      <c r="A200" s="14"/>
      <c r="C200" s="68"/>
      <c r="D200" s="68"/>
      <c r="E200" s="68"/>
      <c r="F200" s="70"/>
      <c r="G200" s="70" t="str">
        <f t="shared" si="1"/>
        <v/>
      </c>
      <c r="H200" s="70"/>
    </row>
    <row r="201" spans="1:8" ht="12.5" x14ac:dyDescent="0.25">
      <c r="A201" s="14"/>
      <c r="C201" s="68"/>
      <c r="D201" s="68"/>
      <c r="E201" s="68"/>
      <c r="F201" s="70"/>
      <c r="G201" s="70" t="str">
        <f t="shared" si="1"/>
        <v/>
      </c>
      <c r="H201" s="70"/>
    </row>
    <row r="202" spans="1:8" ht="12.5" x14ac:dyDescent="0.25">
      <c r="A202" s="14"/>
      <c r="C202" s="68"/>
      <c r="D202" s="68"/>
      <c r="E202" s="68"/>
      <c r="F202" s="70"/>
      <c r="G202" s="70" t="str">
        <f t="shared" si="1"/>
        <v/>
      </c>
      <c r="H202" s="70"/>
    </row>
    <row r="203" spans="1:8" ht="12.5" x14ac:dyDescent="0.25">
      <c r="A203" s="14"/>
      <c r="C203" s="68"/>
      <c r="D203" s="68"/>
      <c r="E203" s="68"/>
      <c r="F203" s="70"/>
      <c r="G203" s="70" t="str">
        <f t="shared" si="1"/>
        <v/>
      </c>
      <c r="H203" s="70"/>
    </row>
    <row r="204" spans="1:8" ht="12.5" x14ac:dyDescent="0.25">
      <c r="A204" s="14"/>
      <c r="C204" s="68"/>
      <c r="D204" s="68"/>
      <c r="E204" s="68"/>
      <c r="F204" s="70"/>
      <c r="G204" s="70" t="str">
        <f t="shared" si="1"/>
        <v/>
      </c>
      <c r="H204" s="70"/>
    </row>
    <row r="205" spans="1:8" ht="12.5" x14ac:dyDescent="0.25">
      <c r="A205" s="14"/>
      <c r="C205" s="68"/>
      <c r="D205" s="68"/>
      <c r="E205" s="68"/>
      <c r="F205" s="70"/>
      <c r="G205" s="70" t="str">
        <f t="shared" si="1"/>
        <v/>
      </c>
      <c r="H205" s="70"/>
    </row>
    <row r="206" spans="1:8" ht="12.5" x14ac:dyDescent="0.25">
      <c r="A206" s="14"/>
      <c r="C206" s="68"/>
      <c r="D206" s="68"/>
      <c r="E206" s="68"/>
      <c r="F206" s="70"/>
      <c r="G206" s="70" t="str">
        <f t="shared" si="1"/>
        <v/>
      </c>
      <c r="H206" s="70"/>
    </row>
    <row r="207" spans="1:8" ht="12.5" x14ac:dyDescent="0.25">
      <c r="A207" s="14"/>
      <c r="C207" s="68"/>
      <c r="D207" s="68"/>
      <c r="E207" s="68"/>
      <c r="F207" s="70"/>
      <c r="G207" s="70" t="str">
        <f t="shared" si="1"/>
        <v/>
      </c>
      <c r="H207" s="70"/>
    </row>
    <row r="208" spans="1:8" ht="12.5" x14ac:dyDescent="0.25">
      <c r="A208" s="14"/>
      <c r="C208" s="68"/>
      <c r="D208" s="68"/>
      <c r="E208" s="68"/>
      <c r="F208" s="70"/>
      <c r="G208" s="70" t="str">
        <f t="shared" si="1"/>
        <v/>
      </c>
      <c r="H208" s="70"/>
    </row>
    <row r="209" spans="1:8" ht="12.5" x14ac:dyDescent="0.25">
      <c r="A209" s="14"/>
      <c r="C209" s="68"/>
      <c r="D209" s="68"/>
      <c r="E209" s="68"/>
      <c r="F209" s="70"/>
      <c r="G209" s="70" t="str">
        <f t="shared" si="1"/>
        <v/>
      </c>
      <c r="H209" s="70"/>
    </row>
    <row r="210" spans="1:8" ht="12.5" x14ac:dyDescent="0.25">
      <c r="A210" s="14"/>
      <c r="C210" s="68"/>
      <c r="D210" s="68"/>
      <c r="E210" s="68"/>
      <c r="F210" s="70"/>
      <c r="G210" s="70" t="str">
        <f t="shared" si="1"/>
        <v/>
      </c>
      <c r="H210" s="70"/>
    </row>
    <row r="211" spans="1:8" ht="12.5" x14ac:dyDescent="0.25">
      <c r="A211" s="14"/>
      <c r="C211" s="68"/>
      <c r="D211" s="68"/>
      <c r="E211" s="68"/>
      <c r="F211" s="70"/>
      <c r="G211" s="70" t="str">
        <f t="shared" si="1"/>
        <v/>
      </c>
      <c r="H211" s="70"/>
    </row>
    <row r="212" spans="1:8" ht="12.5" x14ac:dyDescent="0.25">
      <c r="A212" s="14"/>
      <c r="C212" s="68"/>
      <c r="D212" s="68"/>
      <c r="E212" s="68"/>
      <c r="F212" s="70"/>
      <c r="G212" s="70" t="str">
        <f t="shared" si="1"/>
        <v/>
      </c>
      <c r="H212" s="70"/>
    </row>
    <row r="213" spans="1:8" ht="12.5" x14ac:dyDescent="0.25">
      <c r="A213" s="14"/>
      <c r="C213" s="68"/>
      <c r="D213" s="68"/>
      <c r="E213" s="68"/>
      <c r="F213" s="70"/>
      <c r="G213" s="70" t="str">
        <f t="shared" si="1"/>
        <v/>
      </c>
      <c r="H213" s="70"/>
    </row>
    <row r="214" spans="1:8" ht="12.5" x14ac:dyDescent="0.25">
      <c r="A214" s="14"/>
      <c r="C214" s="68"/>
      <c r="D214" s="68"/>
      <c r="E214" s="68"/>
      <c r="F214" s="70"/>
      <c r="G214" s="70" t="str">
        <f t="shared" si="1"/>
        <v/>
      </c>
      <c r="H214" s="70"/>
    </row>
    <row r="215" spans="1:8" ht="12.5" x14ac:dyDescent="0.25">
      <c r="A215" s="14"/>
      <c r="C215" s="68"/>
      <c r="D215" s="68"/>
      <c r="E215" s="68"/>
      <c r="F215" s="70"/>
      <c r="G215" s="70" t="str">
        <f t="shared" si="1"/>
        <v/>
      </c>
      <c r="H215" s="70"/>
    </row>
    <row r="216" spans="1:8" ht="12.5" x14ac:dyDescent="0.25">
      <c r="A216" s="14"/>
      <c r="C216" s="68"/>
      <c r="D216" s="68"/>
      <c r="E216" s="68"/>
      <c r="F216" s="70"/>
      <c r="G216" s="70" t="str">
        <f t="shared" si="1"/>
        <v/>
      </c>
      <c r="H216" s="70"/>
    </row>
    <row r="217" spans="1:8" ht="12.5" x14ac:dyDescent="0.25">
      <c r="A217" s="14"/>
      <c r="C217" s="68"/>
      <c r="D217" s="68"/>
      <c r="E217" s="68"/>
      <c r="F217" s="70"/>
      <c r="G217" s="70" t="str">
        <f t="shared" si="1"/>
        <v/>
      </c>
      <c r="H217" s="70"/>
    </row>
    <row r="218" spans="1:8" ht="12.5" x14ac:dyDescent="0.25">
      <c r="A218" s="14"/>
      <c r="C218" s="68"/>
      <c r="D218" s="68"/>
      <c r="E218" s="68"/>
      <c r="F218" s="70"/>
      <c r="G218" s="70" t="str">
        <f t="shared" si="1"/>
        <v/>
      </c>
      <c r="H218" s="70"/>
    </row>
    <row r="219" spans="1:8" ht="12.5" x14ac:dyDescent="0.25">
      <c r="A219" s="14"/>
      <c r="C219" s="68"/>
      <c r="D219" s="68"/>
      <c r="E219" s="68"/>
      <c r="F219" s="70"/>
      <c r="G219" s="70" t="str">
        <f t="shared" si="1"/>
        <v/>
      </c>
      <c r="H219" s="70"/>
    </row>
    <row r="220" spans="1:8" ht="12.5" x14ac:dyDescent="0.25">
      <c r="A220" s="14"/>
      <c r="C220" s="68"/>
      <c r="D220" s="68"/>
      <c r="E220" s="68"/>
      <c r="F220" s="70"/>
      <c r="G220" s="70" t="str">
        <f t="shared" si="1"/>
        <v/>
      </c>
      <c r="H220" s="70"/>
    </row>
    <row r="221" spans="1:8" ht="12.5" x14ac:dyDescent="0.25">
      <c r="A221" s="14"/>
      <c r="C221" s="68"/>
      <c r="D221" s="68"/>
      <c r="E221" s="68"/>
      <c r="F221" s="70"/>
      <c r="G221" s="70" t="str">
        <f t="shared" si="1"/>
        <v/>
      </c>
      <c r="H221" s="70"/>
    </row>
    <row r="222" spans="1:8" ht="12.5" x14ac:dyDescent="0.25">
      <c r="A222" s="14"/>
      <c r="C222" s="68"/>
      <c r="D222" s="68"/>
      <c r="E222" s="68"/>
      <c r="F222" s="70"/>
      <c r="G222" s="70" t="str">
        <f t="shared" si="1"/>
        <v/>
      </c>
      <c r="H222" s="70"/>
    </row>
    <row r="223" spans="1:8" ht="12.5" x14ac:dyDescent="0.25">
      <c r="A223" s="14"/>
      <c r="C223" s="68"/>
      <c r="D223" s="68"/>
      <c r="E223" s="68"/>
      <c r="F223" s="70"/>
      <c r="G223" s="70" t="str">
        <f t="shared" si="1"/>
        <v/>
      </c>
      <c r="H223" s="70"/>
    </row>
    <row r="224" spans="1:8" ht="12.5" x14ac:dyDescent="0.25">
      <c r="A224" s="14"/>
      <c r="C224" s="68"/>
      <c r="D224" s="68"/>
      <c r="E224" s="68"/>
      <c r="F224" s="70"/>
      <c r="G224" s="70" t="str">
        <f t="shared" si="1"/>
        <v/>
      </c>
      <c r="H224" s="70"/>
    </row>
    <row r="225" spans="1:8" ht="12.5" x14ac:dyDescent="0.25">
      <c r="A225" s="14"/>
      <c r="C225" s="68"/>
      <c r="D225" s="68"/>
      <c r="E225" s="68"/>
      <c r="F225" s="70"/>
      <c r="G225" s="70" t="str">
        <f t="shared" si="1"/>
        <v/>
      </c>
      <c r="H225" s="70"/>
    </row>
    <row r="226" spans="1:8" ht="12.5" x14ac:dyDescent="0.25">
      <c r="A226" s="14"/>
      <c r="C226" s="68"/>
      <c r="D226" s="68"/>
      <c r="E226" s="68"/>
      <c r="F226" s="70"/>
      <c r="G226" s="70" t="str">
        <f t="shared" si="1"/>
        <v/>
      </c>
      <c r="H226" s="70"/>
    </row>
    <row r="227" spans="1:8" ht="12.5" x14ac:dyDescent="0.25">
      <c r="A227" s="14"/>
      <c r="C227" s="68"/>
      <c r="D227" s="68"/>
      <c r="E227" s="68"/>
      <c r="F227" s="70"/>
      <c r="G227" s="70" t="str">
        <f t="shared" si="1"/>
        <v/>
      </c>
      <c r="H227" s="70"/>
    </row>
    <row r="228" spans="1:8" ht="12.5" x14ac:dyDescent="0.25">
      <c r="A228" s="14"/>
      <c r="C228" s="68"/>
      <c r="D228" s="68"/>
      <c r="E228" s="68"/>
      <c r="F228" s="70"/>
      <c r="G228" s="70" t="str">
        <f t="shared" si="1"/>
        <v/>
      </c>
      <c r="H228" s="70"/>
    </row>
    <row r="229" spans="1:8" ht="12.5" x14ac:dyDescent="0.25">
      <c r="A229" s="14"/>
      <c r="C229" s="68"/>
      <c r="D229" s="68"/>
      <c r="E229" s="68"/>
      <c r="F229" s="70"/>
      <c r="G229" s="70" t="str">
        <f t="shared" si="1"/>
        <v/>
      </c>
      <c r="H229" s="70"/>
    </row>
    <row r="230" spans="1:8" ht="12.5" x14ac:dyDescent="0.25">
      <c r="A230" s="14"/>
      <c r="C230" s="68"/>
      <c r="D230" s="68"/>
      <c r="E230" s="68"/>
      <c r="F230" s="70"/>
      <c r="G230" s="70" t="str">
        <f t="shared" si="1"/>
        <v/>
      </c>
      <c r="H230" s="70"/>
    </row>
    <row r="231" spans="1:8" ht="12.5" x14ac:dyDescent="0.25">
      <c r="A231" s="14"/>
      <c r="C231" s="68"/>
      <c r="D231" s="68"/>
      <c r="E231" s="68"/>
      <c r="F231" s="70"/>
      <c r="G231" s="70" t="str">
        <f t="shared" si="1"/>
        <v/>
      </c>
      <c r="H231" s="70"/>
    </row>
    <row r="232" spans="1:8" ht="12.5" x14ac:dyDescent="0.25">
      <c r="A232" s="14"/>
      <c r="C232" s="68"/>
      <c r="D232" s="68"/>
      <c r="E232" s="68"/>
      <c r="F232" s="70"/>
      <c r="G232" s="70" t="str">
        <f t="shared" si="1"/>
        <v/>
      </c>
      <c r="H232" s="70"/>
    </row>
    <row r="233" spans="1:8" ht="12.5" x14ac:dyDescent="0.25">
      <c r="A233" s="14"/>
      <c r="C233" s="68"/>
      <c r="D233" s="68"/>
      <c r="E233" s="68"/>
      <c r="F233" s="70"/>
      <c r="G233" s="70" t="str">
        <f t="shared" si="1"/>
        <v/>
      </c>
      <c r="H233" s="70"/>
    </row>
    <row r="234" spans="1:8" ht="12.5" x14ac:dyDescent="0.25">
      <c r="A234" s="14"/>
      <c r="C234" s="68"/>
      <c r="D234" s="68"/>
      <c r="E234" s="68"/>
      <c r="F234" s="70"/>
      <c r="G234" s="70" t="str">
        <f t="shared" si="1"/>
        <v/>
      </c>
      <c r="H234" s="70"/>
    </row>
    <row r="235" spans="1:8" ht="12.5" x14ac:dyDescent="0.25">
      <c r="A235" s="14"/>
      <c r="C235" s="68"/>
      <c r="D235" s="68"/>
      <c r="E235" s="68"/>
      <c r="F235" s="70"/>
      <c r="G235" s="70" t="str">
        <f t="shared" si="1"/>
        <v/>
      </c>
      <c r="H235" s="70"/>
    </row>
    <row r="236" spans="1:8" ht="12.5" x14ac:dyDescent="0.25">
      <c r="A236" s="14"/>
      <c r="C236" s="68"/>
      <c r="D236" s="68"/>
      <c r="E236" s="68"/>
      <c r="F236" s="70"/>
      <c r="G236" s="70" t="str">
        <f t="shared" si="1"/>
        <v/>
      </c>
      <c r="H236" s="70"/>
    </row>
    <row r="237" spans="1:8" ht="12.5" x14ac:dyDescent="0.25">
      <c r="A237" s="14"/>
      <c r="C237" s="68"/>
      <c r="D237" s="68"/>
      <c r="E237" s="68"/>
      <c r="F237" s="70"/>
      <c r="G237" s="70" t="str">
        <f t="shared" si="1"/>
        <v/>
      </c>
      <c r="H237" s="70"/>
    </row>
    <row r="238" spans="1:8" ht="12.5" x14ac:dyDescent="0.25">
      <c r="A238" s="14"/>
      <c r="C238" s="68"/>
      <c r="D238" s="68"/>
      <c r="E238" s="68"/>
      <c r="F238" s="70"/>
      <c r="G238" s="70" t="str">
        <f t="shared" si="1"/>
        <v/>
      </c>
      <c r="H238" s="70"/>
    </row>
    <row r="239" spans="1:8" ht="12.5" x14ac:dyDescent="0.25">
      <c r="A239" s="14"/>
      <c r="C239" s="68"/>
      <c r="D239" s="68"/>
      <c r="E239" s="68"/>
      <c r="F239" s="70"/>
      <c r="G239" s="70" t="str">
        <f t="shared" si="1"/>
        <v/>
      </c>
      <c r="H239" s="70"/>
    </row>
    <row r="240" spans="1:8" ht="12.5" x14ac:dyDescent="0.25">
      <c r="A240" s="14"/>
      <c r="C240" s="68"/>
      <c r="D240" s="68"/>
      <c r="E240" s="68"/>
      <c r="F240" s="70"/>
      <c r="G240" s="70" t="str">
        <f t="shared" si="1"/>
        <v/>
      </c>
      <c r="H240" s="70"/>
    </row>
    <row r="241" spans="1:8" ht="12.5" x14ac:dyDescent="0.25">
      <c r="A241" s="14"/>
      <c r="C241" s="68"/>
      <c r="D241" s="68"/>
      <c r="E241" s="68"/>
      <c r="F241" s="70"/>
      <c r="G241" s="70" t="str">
        <f t="shared" si="1"/>
        <v/>
      </c>
      <c r="H241" s="70"/>
    </row>
    <row r="242" spans="1:8" ht="12.5" x14ac:dyDescent="0.25">
      <c r="A242" s="14"/>
      <c r="C242" s="68"/>
      <c r="D242" s="68"/>
      <c r="E242" s="68"/>
      <c r="F242" s="70"/>
      <c r="G242" s="70" t="str">
        <f t="shared" si="1"/>
        <v/>
      </c>
      <c r="H242" s="70"/>
    </row>
    <row r="243" spans="1:8" ht="12.5" x14ac:dyDescent="0.25">
      <c r="A243" s="14"/>
      <c r="C243" s="68"/>
      <c r="D243" s="68"/>
      <c r="E243" s="68"/>
      <c r="F243" s="70"/>
      <c r="G243" s="70" t="str">
        <f t="shared" si="1"/>
        <v/>
      </c>
      <c r="H243" s="70"/>
    </row>
    <row r="244" spans="1:8" ht="12.5" x14ac:dyDescent="0.25">
      <c r="A244" s="14"/>
      <c r="C244" s="68"/>
      <c r="D244" s="68"/>
      <c r="E244" s="68"/>
      <c r="F244" s="70"/>
      <c r="G244" s="70" t="str">
        <f t="shared" si="1"/>
        <v/>
      </c>
      <c r="H244" s="70"/>
    </row>
    <row r="245" spans="1:8" ht="12.5" x14ac:dyDescent="0.25">
      <c r="A245" s="14"/>
      <c r="C245" s="68"/>
      <c r="D245" s="68"/>
      <c r="E245" s="68"/>
      <c r="F245" s="70"/>
      <c r="G245" s="70" t="str">
        <f t="shared" si="1"/>
        <v/>
      </c>
      <c r="H245" s="70"/>
    </row>
    <row r="246" spans="1:8" ht="12.5" x14ac:dyDescent="0.25">
      <c r="A246" s="14"/>
      <c r="C246" s="68"/>
      <c r="D246" s="68"/>
      <c r="E246" s="68"/>
      <c r="F246" s="70"/>
      <c r="G246" s="70" t="str">
        <f t="shared" si="1"/>
        <v/>
      </c>
      <c r="H246" s="70"/>
    </row>
    <row r="247" spans="1:8" ht="12.5" x14ac:dyDescent="0.25">
      <c r="A247" s="14"/>
      <c r="C247" s="68"/>
      <c r="D247" s="68"/>
      <c r="E247" s="68"/>
      <c r="F247" s="70"/>
      <c r="G247" s="70" t="str">
        <f t="shared" si="1"/>
        <v/>
      </c>
      <c r="H247" s="70"/>
    </row>
    <row r="248" spans="1:8" ht="12.5" x14ac:dyDescent="0.25">
      <c r="A248" s="14"/>
      <c r="C248" s="68"/>
      <c r="D248" s="68"/>
      <c r="E248" s="68"/>
      <c r="F248" s="70"/>
      <c r="G248" s="70" t="str">
        <f t="shared" si="1"/>
        <v/>
      </c>
      <c r="H248" s="70"/>
    </row>
    <row r="249" spans="1:8" ht="12.5" x14ac:dyDescent="0.25">
      <c r="A249" s="14"/>
      <c r="C249" s="68"/>
      <c r="D249" s="68"/>
      <c r="E249" s="68"/>
      <c r="F249" s="70"/>
      <c r="G249" s="70" t="str">
        <f t="shared" si="1"/>
        <v/>
      </c>
      <c r="H249" s="70"/>
    </row>
    <row r="250" spans="1:8" ht="12.5" x14ac:dyDescent="0.25">
      <c r="A250" s="14"/>
      <c r="C250" s="68"/>
      <c r="D250" s="68"/>
      <c r="E250" s="68"/>
      <c r="F250" s="70"/>
      <c r="G250" s="70" t="str">
        <f t="shared" si="1"/>
        <v/>
      </c>
      <c r="H250" s="70"/>
    </row>
    <row r="251" spans="1:8" ht="12.5" x14ac:dyDescent="0.25">
      <c r="A251" s="14"/>
      <c r="C251" s="68"/>
      <c r="D251" s="68"/>
      <c r="E251" s="68"/>
      <c r="F251" s="70"/>
      <c r="G251" s="70" t="str">
        <f t="shared" si="1"/>
        <v/>
      </c>
      <c r="H251" s="70"/>
    </row>
    <row r="252" spans="1:8" ht="12.5" x14ac:dyDescent="0.25">
      <c r="A252" s="14"/>
      <c r="C252" s="68"/>
      <c r="D252" s="68"/>
      <c r="E252" s="68"/>
      <c r="F252" s="70"/>
      <c r="G252" s="70" t="str">
        <f t="shared" si="1"/>
        <v/>
      </c>
      <c r="H252" s="70"/>
    </row>
    <row r="253" spans="1:8" ht="12.5" x14ac:dyDescent="0.25">
      <c r="A253" s="14"/>
      <c r="C253" s="68"/>
      <c r="D253" s="68"/>
      <c r="E253" s="68"/>
      <c r="F253" s="70"/>
      <c r="G253" s="70" t="str">
        <f t="shared" si="1"/>
        <v/>
      </c>
      <c r="H253" s="70"/>
    </row>
    <row r="254" spans="1:8" ht="12.5" x14ac:dyDescent="0.25">
      <c r="A254" s="14"/>
      <c r="C254" s="68"/>
      <c r="D254" s="68"/>
      <c r="E254" s="68"/>
      <c r="F254" s="70"/>
      <c r="G254" s="70" t="str">
        <f t="shared" si="1"/>
        <v/>
      </c>
      <c r="H254" s="70"/>
    </row>
    <row r="255" spans="1:8" ht="12.5" x14ac:dyDescent="0.25">
      <c r="A255" s="14"/>
      <c r="C255" s="68"/>
      <c r="D255" s="68"/>
      <c r="E255" s="68"/>
      <c r="F255" s="70"/>
      <c r="G255" s="70" t="str">
        <f t="shared" si="1"/>
        <v/>
      </c>
      <c r="H255" s="70"/>
    </row>
    <row r="256" spans="1:8" ht="12.5" x14ac:dyDescent="0.25">
      <c r="A256" s="14"/>
      <c r="C256" s="68"/>
      <c r="D256" s="68"/>
      <c r="E256" s="68"/>
      <c r="F256" s="70"/>
      <c r="G256" s="70" t="str">
        <f t="shared" si="1"/>
        <v/>
      </c>
      <c r="H256" s="70"/>
    </row>
    <row r="257" spans="1:8" ht="12.5" x14ac:dyDescent="0.25">
      <c r="A257" s="14"/>
      <c r="C257" s="68"/>
      <c r="D257" s="68"/>
      <c r="E257" s="68"/>
      <c r="F257" s="70"/>
      <c r="G257" s="70" t="str">
        <f t="shared" si="1"/>
        <v/>
      </c>
      <c r="H257" s="70"/>
    </row>
    <row r="258" spans="1:8" ht="12.5" x14ac:dyDescent="0.25">
      <c r="A258" s="14"/>
      <c r="C258" s="68"/>
      <c r="D258" s="68"/>
      <c r="E258" s="68"/>
      <c r="F258" s="70"/>
      <c r="G258" s="70" t="str">
        <f t="shared" ref="G258:G290" si="2">A258&amp;B258</f>
        <v/>
      </c>
      <c r="H258" s="70"/>
    </row>
    <row r="259" spans="1:8" ht="12.5" x14ac:dyDescent="0.25">
      <c r="A259" s="14"/>
      <c r="C259" s="68"/>
      <c r="D259" s="68"/>
      <c r="E259" s="68"/>
      <c r="F259" s="70"/>
      <c r="G259" s="70" t="str">
        <f t="shared" si="2"/>
        <v/>
      </c>
      <c r="H259" s="70"/>
    </row>
    <row r="260" spans="1:8" ht="12.5" x14ac:dyDescent="0.25">
      <c r="A260" s="14"/>
      <c r="C260" s="68"/>
      <c r="D260" s="68"/>
      <c r="E260" s="68"/>
      <c r="F260" s="70"/>
      <c r="G260" s="70" t="str">
        <f t="shared" si="2"/>
        <v/>
      </c>
      <c r="H260" s="70"/>
    </row>
    <row r="261" spans="1:8" ht="12.5" x14ac:dyDescent="0.25">
      <c r="A261" s="14"/>
      <c r="C261" s="68"/>
      <c r="D261" s="68"/>
      <c r="E261" s="68"/>
      <c r="F261" s="70"/>
      <c r="G261" s="70" t="str">
        <f t="shared" si="2"/>
        <v/>
      </c>
      <c r="H261" s="70"/>
    </row>
    <row r="262" spans="1:8" ht="12.5" x14ac:dyDescent="0.25">
      <c r="A262" s="14"/>
      <c r="C262" s="68"/>
      <c r="D262" s="68"/>
      <c r="E262" s="68"/>
      <c r="F262" s="70"/>
      <c r="G262" s="70" t="str">
        <f t="shared" si="2"/>
        <v/>
      </c>
      <c r="H262" s="70"/>
    </row>
    <row r="263" spans="1:8" ht="12.5" x14ac:dyDescent="0.25">
      <c r="A263" s="14"/>
      <c r="C263" s="68"/>
      <c r="D263" s="68"/>
      <c r="E263" s="68"/>
      <c r="F263" s="70"/>
      <c r="G263" s="70" t="str">
        <f t="shared" si="2"/>
        <v/>
      </c>
      <c r="H263" s="70"/>
    </row>
    <row r="264" spans="1:8" ht="12.5" x14ac:dyDescent="0.25">
      <c r="A264" s="14"/>
      <c r="C264" s="68"/>
      <c r="D264" s="68"/>
      <c r="E264" s="68"/>
      <c r="F264" s="70"/>
      <c r="G264" s="70" t="str">
        <f t="shared" si="2"/>
        <v/>
      </c>
      <c r="H264" s="70"/>
    </row>
    <row r="265" spans="1:8" ht="12.5" x14ac:dyDescent="0.25">
      <c r="A265" s="14"/>
      <c r="C265" s="68"/>
      <c r="D265" s="68"/>
      <c r="E265" s="68"/>
      <c r="F265" s="70"/>
      <c r="G265" s="70" t="str">
        <f t="shared" si="2"/>
        <v/>
      </c>
      <c r="H265" s="70"/>
    </row>
    <row r="266" spans="1:8" ht="12.5" x14ac:dyDescent="0.25">
      <c r="A266" s="14"/>
      <c r="C266" s="68"/>
      <c r="D266" s="68"/>
      <c r="E266" s="68"/>
      <c r="F266" s="70"/>
      <c r="G266" s="70" t="str">
        <f t="shared" si="2"/>
        <v/>
      </c>
      <c r="H266" s="70"/>
    </row>
    <row r="267" spans="1:8" ht="12.5" x14ac:dyDescent="0.25">
      <c r="A267" s="14"/>
      <c r="C267" s="68"/>
      <c r="D267" s="68"/>
      <c r="E267" s="68"/>
      <c r="F267" s="70"/>
      <c r="G267" s="70" t="str">
        <f t="shared" si="2"/>
        <v/>
      </c>
      <c r="H267" s="70"/>
    </row>
    <row r="268" spans="1:8" ht="12.5" x14ac:dyDescent="0.25">
      <c r="A268" s="14"/>
      <c r="C268" s="68"/>
      <c r="D268" s="68"/>
      <c r="E268" s="68"/>
      <c r="F268" s="70"/>
      <c r="G268" s="70" t="str">
        <f t="shared" si="2"/>
        <v/>
      </c>
      <c r="H268" s="70"/>
    </row>
    <row r="269" spans="1:8" ht="12.5" x14ac:dyDescent="0.25">
      <c r="A269" s="14"/>
      <c r="C269" s="68"/>
      <c r="D269" s="68"/>
      <c r="E269" s="68"/>
      <c r="F269" s="70"/>
      <c r="G269" s="70" t="str">
        <f t="shared" si="2"/>
        <v/>
      </c>
      <c r="H269" s="70"/>
    </row>
    <row r="270" spans="1:8" ht="12.5" x14ac:dyDescent="0.25">
      <c r="A270" s="14"/>
      <c r="C270" s="68"/>
      <c r="D270" s="68"/>
      <c r="E270" s="68"/>
      <c r="F270" s="70"/>
      <c r="G270" s="70" t="str">
        <f t="shared" si="2"/>
        <v/>
      </c>
      <c r="H270" s="70"/>
    </row>
    <row r="271" spans="1:8" ht="12.5" x14ac:dyDescent="0.25">
      <c r="A271" s="14"/>
      <c r="C271" s="68"/>
      <c r="D271" s="68"/>
      <c r="E271" s="68"/>
      <c r="F271" s="70"/>
      <c r="G271" s="70" t="str">
        <f t="shared" si="2"/>
        <v/>
      </c>
      <c r="H271" s="70"/>
    </row>
    <row r="272" spans="1:8" ht="12.5" x14ac:dyDescent="0.25">
      <c r="A272" s="14"/>
      <c r="C272" s="68"/>
      <c r="D272" s="68"/>
      <c r="E272" s="68"/>
      <c r="F272" s="70"/>
      <c r="G272" s="70" t="str">
        <f t="shared" si="2"/>
        <v/>
      </c>
      <c r="H272" s="70"/>
    </row>
    <row r="273" spans="1:8" ht="12.5" x14ac:dyDescent="0.25">
      <c r="A273" s="14"/>
      <c r="C273" s="68"/>
      <c r="D273" s="68"/>
      <c r="E273" s="68"/>
      <c r="F273" s="70"/>
      <c r="G273" s="70" t="str">
        <f t="shared" si="2"/>
        <v/>
      </c>
      <c r="H273" s="70"/>
    </row>
    <row r="274" spans="1:8" ht="12.5" x14ac:dyDescent="0.25">
      <c r="A274" s="14"/>
      <c r="C274" s="68"/>
      <c r="D274" s="68"/>
      <c r="E274" s="68"/>
      <c r="F274" s="70"/>
      <c r="G274" s="70" t="str">
        <f t="shared" si="2"/>
        <v/>
      </c>
      <c r="H274" s="70"/>
    </row>
    <row r="275" spans="1:8" ht="12.5" x14ac:dyDescent="0.25">
      <c r="A275" s="14"/>
      <c r="C275" s="68"/>
      <c r="D275" s="68"/>
      <c r="E275" s="68"/>
      <c r="F275" s="70"/>
      <c r="G275" s="70" t="str">
        <f t="shared" si="2"/>
        <v/>
      </c>
      <c r="H275" s="70"/>
    </row>
    <row r="276" spans="1:8" ht="12.5" x14ac:dyDescent="0.25">
      <c r="A276" s="14"/>
      <c r="C276" s="68"/>
      <c r="D276" s="68"/>
      <c r="E276" s="68"/>
      <c r="F276" s="70"/>
      <c r="G276" s="70" t="str">
        <f t="shared" si="2"/>
        <v/>
      </c>
      <c r="H276" s="70"/>
    </row>
    <row r="277" spans="1:8" ht="12.5" x14ac:dyDescent="0.25">
      <c r="A277" s="14"/>
      <c r="C277" s="68"/>
      <c r="D277" s="68"/>
      <c r="E277" s="68"/>
      <c r="F277" s="70"/>
      <c r="G277" s="70" t="str">
        <f t="shared" si="2"/>
        <v/>
      </c>
      <c r="H277" s="70"/>
    </row>
    <row r="278" spans="1:8" ht="12.5" x14ac:dyDescent="0.25">
      <c r="A278" s="14"/>
      <c r="C278" s="68"/>
      <c r="D278" s="68"/>
      <c r="E278" s="68"/>
      <c r="F278" s="70"/>
      <c r="G278" s="70" t="str">
        <f t="shared" si="2"/>
        <v/>
      </c>
      <c r="H278" s="70"/>
    </row>
    <row r="279" spans="1:8" ht="12.5" x14ac:dyDescent="0.25">
      <c r="A279" s="14"/>
      <c r="C279" s="68"/>
      <c r="D279" s="68"/>
      <c r="E279" s="68"/>
      <c r="F279" s="70"/>
      <c r="G279" s="70" t="str">
        <f t="shared" si="2"/>
        <v/>
      </c>
      <c r="H279" s="70"/>
    </row>
    <row r="280" spans="1:8" ht="12.5" x14ac:dyDescent="0.25">
      <c r="A280" s="14"/>
      <c r="C280" s="68"/>
      <c r="D280" s="68"/>
      <c r="E280" s="68"/>
      <c r="F280" s="70"/>
      <c r="G280" s="70" t="str">
        <f t="shared" si="2"/>
        <v/>
      </c>
      <c r="H280" s="70"/>
    </row>
    <row r="281" spans="1:8" ht="12.5" x14ac:dyDescent="0.25">
      <c r="A281" s="14"/>
      <c r="C281" s="68"/>
      <c r="D281" s="68"/>
      <c r="E281" s="68"/>
      <c r="F281" s="70"/>
      <c r="G281" s="70" t="str">
        <f t="shared" si="2"/>
        <v/>
      </c>
      <c r="H281" s="70"/>
    </row>
    <row r="282" spans="1:8" ht="12.5" x14ac:dyDescent="0.25">
      <c r="A282" s="14"/>
      <c r="C282" s="68"/>
      <c r="D282" s="68"/>
      <c r="E282" s="68"/>
      <c r="F282" s="70"/>
      <c r="G282" s="70" t="str">
        <f t="shared" si="2"/>
        <v/>
      </c>
      <c r="H282" s="70"/>
    </row>
    <row r="283" spans="1:8" ht="12.5" x14ac:dyDescent="0.25">
      <c r="A283" s="14"/>
      <c r="C283" s="68"/>
      <c r="D283" s="68"/>
      <c r="E283" s="68"/>
      <c r="F283" s="70"/>
      <c r="G283" s="70" t="str">
        <f t="shared" si="2"/>
        <v/>
      </c>
      <c r="H283" s="70"/>
    </row>
    <row r="284" spans="1:8" ht="12.5" x14ac:dyDescent="0.25">
      <c r="A284" s="14"/>
      <c r="C284" s="68"/>
      <c r="D284" s="68"/>
      <c r="E284" s="68"/>
      <c r="F284" s="70"/>
      <c r="G284" s="70" t="str">
        <f t="shared" si="2"/>
        <v/>
      </c>
      <c r="H284" s="70"/>
    </row>
    <row r="285" spans="1:8" ht="12.5" x14ac:dyDescent="0.25">
      <c r="A285" s="14"/>
      <c r="C285" s="68"/>
      <c r="D285" s="68"/>
      <c r="E285" s="68"/>
      <c r="F285" s="70"/>
      <c r="G285" s="70" t="str">
        <f t="shared" si="2"/>
        <v/>
      </c>
      <c r="H285" s="70"/>
    </row>
    <row r="286" spans="1:8" ht="12.5" x14ac:dyDescent="0.25">
      <c r="A286" s="14"/>
      <c r="C286" s="68"/>
      <c r="D286" s="68"/>
      <c r="E286" s="68"/>
      <c r="F286" s="70"/>
      <c r="G286" s="70" t="str">
        <f t="shared" si="2"/>
        <v/>
      </c>
      <c r="H286" s="70"/>
    </row>
    <row r="287" spans="1:8" ht="12.5" x14ac:dyDescent="0.25">
      <c r="A287" s="14"/>
      <c r="C287" s="68"/>
      <c r="D287" s="68"/>
      <c r="E287" s="68"/>
      <c r="F287" s="70"/>
      <c r="G287" s="70" t="str">
        <f t="shared" si="2"/>
        <v/>
      </c>
      <c r="H287" s="70"/>
    </row>
    <row r="288" spans="1:8" ht="12.5" x14ac:dyDescent="0.25">
      <c r="A288" s="14"/>
      <c r="C288" s="68"/>
      <c r="D288" s="68"/>
      <c r="E288" s="68"/>
      <c r="F288" s="70"/>
      <c r="G288" s="70" t="str">
        <f t="shared" si="2"/>
        <v/>
      </c>
      <c r="H288" s="70"/>
    </row>
    <row r="289" spans="1:8" ht="12.5" x14ac:dyDescent="0.25">
      <c r="A289" s="14"/>
      <c r="C289" s="68"/>
      <c r="D289" s="68"/>
      <c r="E289" s="68"/>
      <c r="F289" s="70"/>
      <c r="G289" s="70" t="str">
        <f t="shared" si="2"/>
        <v/>
      </c>
      <c r="H289" s="70"/>
    </row>
    <row r="290" spans="1:8" ht="12.5" x14ac:dyDescent="0.25">
      <c r="A290" s="14"/>
      <c r="C290" s="68"/>
      <c r="D290" s="68"/>
      <c r="E290" s="68"/>
      <c r="F290" s="70"/>
      <c r="G290" s="70" t="str">
        <f t="shared" si="2"/>
        <v/>
      </c>
      <c r="H290" s="70"/>
    </row>
    <row r="291" spans="1:8" ht="12.5" x14ac:dyDescent="0.25">
      <c r="A291" s="14"/>
      <c r="C291" s="68"/>
      <c r="D291" s="68"/>
      <c r="E291" s="68"/>
      <c r="F291" s="70"/>
      <c r="G291" s="70"/>
      <c r="H291" s="70"/>
    </row>
    <row r="292" spans="1:8" ht="12.5" x14ac:dyDescent="0.25">
      <c r="A292" s="14"/>
      <c r="C292" s="68"/>
      <c r="D292" s="68"/>
      <c r="E292" s="68"/>
      <c r="F292" s="70"/>
      <c r="G292" s="70"/>
      <c r="H292" s="70"/>
    </row>
    <row r="293" spans="1:8" ht="12.5" x14ac:dyDescent="0.25">
      <c r="A293" s="14"/>
      <c r="C293" s="68"/>
      <c r="D293" s="68"/>
      <c r="E293" s="68"/>
      <c r="F293" s="70"/>
      <c r="G293" s="70"/>
      <c r="H293" s="70"/>
    </row>
    <row r="294" spans="1:8" ht="12.5" x14ac:dyDescent="0.25">
      <c r="A294" s="14"/>
      <c r="C294" s="68"/>
      <c r="D294" s="68"/>
      <c r="E294" s="68"/>
      <c r="F294" s="70"/>
      <c r="G294" s="70"/>
      <c r="H294" s="70"/>
    </row>
    <row r="295" spans="1:8" ht="12.5" x14ac:dyDescent="0.25">
      <c r="A295" s="14"/>
      <c r="C295" s="68"/>
      <c r="D295" s="68"/>
      <c r="E295" s="68"/>
      <c r="F295" s="70"/>
      <c r="G295" s="70"/>
      <c r="H295" s="70"/>
    </row>
    <row r="296" spans="1:8" ht="12.5" x14ac:dyDescent="0.25">
      <c r="A296" s="14"/>
      <c r="C296" s="68"/>
      <c r="D296" s="68"/>
      <c r="E296" s="68"/>
      <c r="F296" s="70"/>
      <c r="G296" s="70"/>
      <c r="H296" s="70"/>
    </row>
    <row r="297" spans="1:8" ht="12.5" x14ac:dyDescent="0.25">
      <c r="A297" s="14"/>
      <c r="C297" s="68"/>
      <c r="D297" s="68"/>
      <c r="E297" s="68"/>
      <c r="F297" s="70"/>
      <c r="G297" s="70"/>
      <c r="H297" s="70"/>
    </row>
    <row r="298" spans="1:8" ht="12.5" x14ac:dyDescent="0.25">
      <c r="A298" s="14"/>
      <c r="C298" s="68"/>
      <c r="D298" s="68"/>
      <c r="E298" s="68"/>
      <c r="F298" s="70"/>
      <c r="G298" s="70"/>
      <c r="H298" s="70"/>
    </row>
    <row r="299" spans="1:8" ht="12.5" x14ac:dyDescent="0.25">
      <c r="A299" s="14"/>
      <c r="C299" s="68"/>
      <c r="D299" s="68"/>
      <c r="E299" s="68"/>
      <c r="F299" s="70"/>
      <c r="G299" s="70"/>
      <c r="H299" s="70"/>
    </row>
    <row r="300" spans="1:8" ht="12.5" x14ac:dyDescent="0.25">
      <c r="A300" s="14"/>
      <c r="C300" s="68"/>
      <c r="D300" s="68"/>
      <c r="E300" s="68"/>
      <c r="F300" s="70"/>
      <c r="G300" s="70"/>
      <c r="H300" s="70"/>
    </row>
    <row r="301" spans="1:8" ht="12.5" x14ac:dyDescent="0.25">
      <c r="A301" s="14"/>
      <c r="C301" s="68"/>
      <c r="D301" s="68"/>
      <c r="E301" s="68"/>
      <c r="F301" s="70"/>
      <c r="G301" s="70"/>
      <c r="H301" s="70"/>
    </row>
    <row r="302" spans="1:8" ht="12.5" x14ac:dyDescent="0.25">
      <c r="A302" s="14"/>
      <c r="C302" s="68"/>
      <c r="D302" s="68"/>
      <c r="E302" s="68"/>
      <c r="F302" s="70"/>
      <c r="G302" s="70"/>
      <c r="H302" s="70"/>
    </row>
    <row r="303" spans="1:8" ht="12.5" x14ac:dyDescent="0.25">
      <c r="A303" s="14"/>
      <c r="C303" s="68"/>
      <c r="D303" s="68"/>
      <c r="E303" s="68"/>
      <c r="F303" s="70"/>
      <c r="G303" s="70"/>
      <c r="H303" s="70"/>
    </row>
    <row r="304" spans="1:8" ht="12.5" x14ac:dyDescent="0.25">
      <c r="A304" s="14"/>
      <c r="C304" s="68"/>
      <c r="D304" s="68"/>
      <c r="E304" s="68"/>
      <c r="F304" s="70"/>
      <c r="G304" s="70"/>
      <c r="H304" s="70"/>
    </row>
    <row r="305" spans="1:8" ht="12.5" x14ac:dyDescent="0.25">
      <c r="A305" s="14"/>
      <c r="C305" s="68"/>
      <c r="D305" s="68"/>
      <c r="E305" s="68"/>
      <c r="F305" s="70"/>
      <c r="G305" s="70"/>
      <c r="H305" s="70"/>
    </row>
    <row r="306" spans="1:8" ht="12.5" x14ac:dyDescent="0.25">
      <c r="A306" s="14"/>
      <c r="C306" s="68"/>
      <c r="D306" s="68"/>
      <c r="E306" s="68"/>
      <c r="F306" s="70"/>
      <c r="G306" s="70"/>
      <c r="H306" s="70"/>
    </row>
    <row r="307" spans="1:8" ht="12.5" x14ac:dyDescent="0.25">
      <c r="A307" s="14"/>
      <c r="C307" s="68"/>
      <c r="D307" s="68"/>
      <c r="E307" s="68"/>
      <c r="F307" s="70"/>
      <c r="G307" s="70"/>
      <c r="H307" s="70"/>
    </row>
    <row r="308" spans="1:8" ht="12.5" x14ac:dyDescent="0.25">
      <c r="A308" s="14"/>
      <c r="C308" s="68"/>
      <c r="D308" s="68"/>
      <c r="E308" s="68"/>
      <c r="F308" s="70"/>
      <c r="G308" s="70"/>
      <c r="H308" s="70"/>
    </row>
    <row r="309" spans="1:8" ht="12.5" x14ac:dyDescent="0.25">
      <c r="A309" s="14"/>
      <c r="C309" s="68"/>
      <c r="D309" s="68"/>
      <c r="E309" s="68"/>
      <c r="F309" s="70"/>
      <c r="G309" s="70"/>
      <c r="H309" s="70"/>
    </row>
    <row r="310" spans="1:8" ht="12.5" x14ac:dyDescent="0.25">
      <c r="A310" s="14"/>
      <c r="C310" s="68"/>
      <c r="D310" s="68"/>
      <c r="E310" s="68"/>
      <c r="F310" s="70"/>
      <c r="G310" s="70"/>
      <c r="H310" s="70"/>
    </row>
    <row r="311" spans="1:8" ht="12.5" x14ac:dyDescent="0.25">
      <c r="A311" s="14"/>
      <c r="C311" s="68"/>
      <c r="D311" s="68"/>
      <c r="E311" s="68"/>
      <c r="F311" s="70"/>
      <c r="G311" s="70"/>
      <c r="H311" s="70"/>
    </row>
    <row r="312" spans="1:8" ht="12.5" x14ac:dyDescent="0.25">
      <c r="A312" s="14"/>
      <c r="C312" s="68"/>
      <c r="D312" s="68"/>
      <c r="E312" s="68"/>
      <c r="F312" s="70"/>
      <c r="G312" s="70"/>
      <c r="H312" s="70"/>
    </row>
    <row r="313" spans="1:8" ht="12.5" x14ac:dyDescent="0.25">
      <c r="A313" s="14"/>
      <c r="C313" s="68"/>
      <c r="D313" s="68"/>
      <c r="E313" s="68"/>
      <c r="F313" s="70"/>
      <c r="G313" s="70"/>
      <c r="H313" s="70"/>
    </row>
    <row r="314" spans="1:8" ht="12.5" x14ac:dyDescent="0.25">
      <c r="A314" s="14"/>
      <c r="C314" s="68"/>
      <c r="D314" s="68"/>
      <c r="E314" s="68"/>
      <c r="F314" s="70"/>
      <c r="G314" s="70"/>
      <c r="H314" s="70"/>
    </row>
    <row r="315" spans="1:8" ht="12.5" x14ac:dyDescent="0.25">
      <c r="A315" s="14"/>
      <c r="C315" s="68"/>
      <c r="D315" s="68"/>
      <c r="E315" s="68"/>
      <c r="F315" s="70"/>
      <c r="G315" s="70"/>
      <c r="H315" s="70"/>
    </row>
    <row r="316" spans="1:8" ht="12.5" x14ac:dyDescent="0.25">
      <c r="A316" s="14"/>
      <c r="C316" s="68"/>
      <c r="D316" s="68"/>
      <c r="E316" s="68"/>
      <c r="F316" s="70"/>
      <c r="G316" s="70"/>
      <c r="H316" s="70"/>
    </row>
    <row r="317" spans="1:8" ht="12.5" x14ac:dyDescent="0.25">
      <c r="A317" s="14"/>
      <c r="C317" s="68"/>
      <c r="D317" s="68"/>
      <c r="E317" s="68"/>
      <c r="F317" s="70"/>
      <c r="G317" s="70"/>
      <c r="H317" s="70"/>
    </row>
    <row r="318" spans="1:8" ht="12.5" x14ac:dyDescent="0.25">
      <c r="A318" s="14"/>
      <c r="C318" s="68"/>
      <c r="D318" s="68"/>
      <c r="E318" s="68"/>
      <c r="F318" s="70"/>
      <c r="G318" s="70"/>
      <c r="H318" s="70"/>
    </row>
    <row r="319" spans="1:8" ht="12.5" x14ac:dyDescent="0.25">
      <c r="A319" s="14"/>
      <c r="C319" s="68"/>
      <c r="D319" s="68"/>
      <c r="E319" s="68"/>
      <c r="F319" s="70"/>
      <c r="G319" s="70"/>
      <c r="H319" s="70"/>
    </row>
    <row r="320" spans="1:8" ht="12.5" x14ac:dyDescent="0.25">
      <c r="A320" s="14"/>
      <c r="C320" s="68"/>
      <c r="D320" s="68"/>
      <c r="E320" s="68"/>
      <c r="F320" s="70"/>
      <c r="G320" s="70"/>
      <c r="H320" s="70"/>
    </row>
    <row r="321" spans="1:8" ht="12.5" x14ac:dyDescent="0.25">
      <c r="A321" s="14"/>
      <c r="C321" s="68"/>
      <c r="D321" s="68"/>
      <c r="E321" s="68"/>
      <c r="F321" s="70"/>
      <c r="G321" s="70"/>
      <c r="H321" s="70"/>
    </row>
    <row r="322" spans="1:8" ht="12.5" x14ac:dyDescent="0.25">
      <c r="A322" s="14"/>
      <c r="C322" s="68"/>
      <c r="D322" s="68"/>
      <c r="E322" s="68"/>
      <c r="F322" s="70"/>
      <c r="G322" s="70"/>
      <c r="H322" s="70"/>
    </row>
    <row r="323" spans="1:8" ht="12.5" x14ac:dyDescent="0.25">
      <c r="A323" s="14"/>
      <c r="C323" s="68"/>
      <c r="D323" s="68"/>
      <c r="E323" s="68"/>
      <c r="F323" s="70"/>
      <c r="G323" s="70"/>
      <c r="H323" s="70"/>
    </row>
    <row r="324" spans="1:8" ht="12.5" x14ac:dyDescent="0.25">
      <c r="A324" s="14"/>
      <c r="C324" s="68"/>
      <c r="D324" s="68"/>
      <c r="E324" s="68"/>
      <c r="F324" s="70"/>
      <c r="G324" s="70"/>
      <c r="H324" s="70"/>
    </row>
    <row r="325" spans="1:8" ht="12.5" x14ac:dyDescent="0.25">
      <c r="A325" s="14"/>
      <c r="C325" s="68"/>
      <c r="D325" s="68"/>
      <c r="E325" s="68"/>
      <c r="F325" s="70"/>
      <c r="G325" s="70"/>
      <c r="H325" s="70"/>
    </row>
    <row r="326" spans="1:8" ht="12.5" x14ac:dyDescent="0.25">
      <c r="A326" s="14"/>
      <c r="C326" s="68"/>
      <c r="D326" s="68"/>
      <c r="E326" s="68"/>
      <c r="F326" s="70"/>
      <c r="G326" s="70"/>
      <c r="H326" s="70"/>
    </row>
    <row r="327" spans="1:8" ht="12.5" x14ac:dyDescent="0.25">
      <c r="A327" s="14"/>
      <c r="C327" s="68"/>
      <c r="D327" s="68"/>
      <c r="E327" s="68"/>
      <c r="F327" s="70"/>
      <c r="G327" s="70"/>
      <c r="H327" s="70"/>
    </row>
    <row r="328" spans="1:8" ht="12.5" x14ac:dyDescent="0.25">
      <c r="A328" s="14"/>
      <c r="C328" s="68"/>
      <c r="D328" s="68"/>
      <c r="E328" s="68"/>
      <c r="F328" s="70"/>
      <c r="G328" s="70"/>
      <c r="H328" s="70"/>
    </row>
    <row r="329" spans="1:8" ht="12.5" x14ac:dyDescent="0.25">
      <c r="A329" s="14"/>
      <c r="C329" s="68"/>
      <c r="D329" s="68"/>
      <c r="E329" s="68"/>
      <c r="F329" s="70"/>
      <c r="G329" s="70"/>
      <c r="H329" s="70"/>
    </row>
    <row r="330" spans="1:8" ht="12.5" x14ac:dyDescent="0.25">
      <c r="A330" s="14"/>
      <c r="C330" s="68"/>
      <c r="D330" s="68"/>
      <c r="E330" s="68"/>
      <c r="F330" s="70"/>
      <c r="G330" s="70"/>
      <c r="H330" s="70"/>
    </row>
    <row r="331" spans="1:8" ht="12.5" x14ac:dyDescent="0.25">
      <c r="A331" s="14"/>
      <c r="C331" s="68"/>
      <c r="D331" s="68"/>
      <c r="E331" s="68"/>
      <c r="F331" s="70"/>
      <c r="G331" s="70"/>
      <c r="H331" s="70"/>
    </row>
    <row r="332" spans="1:8" ht="12.5" x14ac:dyDescent="0.25">
      <c r="A332" s="14"/>
      <c r="C332" s="68"/>
      <c r="D332" s="68"/>
      <c r="E332" s="68"/>
      <c r="F332" s="70"/>
      <c r="G332" s="70"/>
      <c r="H332" s="70"/>
    </row>
    <row r="333" spans="1:8" ht="12.5" x14ac:dyDescent="0.25">
      <c r="A333" s="14"/>
      <c r="C333" s="68"/>
      <c r="D333" s="68"/>
      <c r="E333" s="68"/>
      <c r="F333" s="70"/>
      <c r="G333" s="70"/>
      <c r="H333" s="70"/>
    </row>
    <row r="334" spans="1:8" ht="12.5" x14ac:dyDescent="0.25">
      <c r="A334" s="14"/>
      <c r="C334" s="68"/>
      <c r="D334" s="68"/>
      <c r="E334" s="68"/>
      <c r="F334" s="70"/>
      <c r="G334" s="70"/>
      <c r="H334" s="70"/>
    </row>
    <row r="335" spans="1:8" ht="12.5" x14ac:dyDescent="0.25">
      <c r="A335" s="14"/>
      <c r="C335" s="68"/>
      <c r="D335" s="68"/>
      <c r="E335" s="68"/>
      <c r="F335" s="70"/>
      <c r="G335" s="70"/>
      <c r="H335" s="70"/>
    </row>
    <row r="336" spans="1:8" ht="12.5" x14ac:dyDescent="0.25">
      <c r="A336" s="14"/>
      <c r="C336" s="68"/>
      <c r="D336" s="68"/>
      <c r="E336" s="68"/>
      <c r="F336" s="70"/>
      <c r="G336" s="70"/>
      <c r="H336" s="70"/>
    </row>
    <row r="337" spans="1:8" ht="12.5" x14ac:dyDescent="0.25">
      <c r="A337" s="14"/>
      <c r="C337" s="68"/>
      <c r="D337" s="68"/>
      <c r="E337" s="68"/>
      <c r="F337" s="70"/>
      <c r="G337" s="70"/>
      <c r="H337" s="70"/>
    </row>
    <row r="338" spans="1:8" ht="12.5" x14ac:dyDescent="0.25">
      <c r="A338" s="14"/>
      <c r="C338" s="68"/>
      <c r="D338" s="68"/>
      <c r="E338" s="68"/>
      <c r="F338" s="70"/>
      <c r="G338" s="70"/>
      <c r="H338" s="70"/>
    </row>
    <row r="339" spans="1:8" ht="12.5" x14ac:dyDescent="0.25">
      <c r="A339" s="14"/>
      <c r="C339" s="68"/>
      <c r="D339" s="68"/>
      <c r="E339" s="68"/>
      <c r="F339" s="70"/>
      <c r="G339" s="70"/>
      <c r="H339" s="70"/>
    </row>
    <row r="340" spans="1:8" ht="12.5" x14ac:dyDescent="0.25">
      <c r="A340" s="14"/>
      <c r="C340" s="68"/>
      <c r="D340" s="68"/>
      <c r="E340" s="68"/>
      <c r="F340" s="70"/>
      <c r="G340" s="70"/>
      <c r="H340" s="70"/>
    </row>
    <row r="341" spans="1:8" ht="12.5" x14ac:dyDescent="0.25">
      <c r="A341" s="14"/>
      <c r="C341" s="68"/>
      <c r="D341" s="68"/>
      <c r="E341" s="68"/>
      <c r="F341" s="70"/>
      <c r="G341" s="70"/>
      <c r="H341" s="70"/>
    </row>
    <row r="342" spans="1:8" ht="12.5" x14ac:dyDescent="0.25">
      <c r="A342" s="14"/>
      <c r="C342" s="68"/>
      <c r="D342" s="68"/>
      <c r="E342" s="68"/>
      <c r="F342" s="70"/>
      <c r="G342" s="70"/>
      <c r="H342" s="70"/>
    </row>
    <row r="343" spans="1:8" ht="12.5" x14ac:dyDescent="0.25">
      <c r="A343" s="14"/>
      <c r="C343" s="68"/>
      <c r="D343" s="68"/>
      <c r="E343" s="68"/>
      <c r="F343" s="70"/>
      <c r="G343" s="70"/>
      <c r="H343" s="70"/>
    </row>
    <row r="344" spans="1:8" ht="12.5" x14ac:dyDescent="0.25">
      <c r="A344" s="14"/>
      <c r="C344" s="68"/>
      <c r="D344" s="68"/>
      <c r="E344" s="68"/>
      <c r="F344" s="70"/>
      <c r="G344" s="70"/>
      <c r="H344" s="70"/>
    </row>
    <row r="345" spans="1:8" ht="12.5" x14ac:dyDescent="0.25">
      <c r="A345" s="14"/>
      <c r="C345" s="68"/>
      <c r="D345" s="68"/>
      <c r="E345" s="68"/>
      <c r="F345" s="70"/>
      <c r="G345" s="70"/>
      <c r="H345" s="70"/>
    </row>
    <row r="346" spans="1:8" ht="12.5" x14ac:dyDescent="0.25">
      <c r="A346" s="14"/>
      <c r="C346" s="68"/>
      <c r="D346" s="68"/>
      <c r="E346" s="68"/>
      <c r="F346" s="70"/>
      <c r="G346" s="70"/>
      <c r="H346" s="70"/>
    </row>
    <row r="347" spans="1:8" ht="12.5" x14ac:dyDescent="0.25">
      <c r="A347" s="14"/>
      <c r="C347" s="68"/>
      <c r="D347" s="68"/>
      <c r="E347" s="68"/>
      <c r="F347" s="70"/>
      <c r="G347" s="70"/>
      <c r="H347" s="70"/>
    </row>
    <row r="348" spans="1:8" ht="12.5" x14ac:dyDescent="0.25">
      <c r="A348" s="14"/>
      <c r="C348" s="68"/>
      <c r="D348" s="68"/>
      <c r="E348" s="68"/>
      <c r="F348" s="70"/>
      <c r="G348" s="70"/>
      <c r="H348" s="70"/>
    </row>
    <row r="349" spans="1:8" ht="12.5" x14ac:dyDescent="0.25">
      <c r="A349" s="14"/>
      <c r="C349" s="68"/>
      <c r="D349" s="68"/>
      <c r="E349" s="68"/>
      <c r="F349" s="70"/>
      <c r="G349" s="70"/>
      <c r="H349" s="70"/>
    </row>
    <row r="350" spans="1:8" ht="12.5" x14ac:dyDescent="0.25">
      <c r="A350" s="14"/>
      <c r="C350" s="68"/>
      <c r="D350" s="68"/>
      <c r="E350" s="68"/>
      <c r="F350" s="70"/>
      <c r="G350" s="70"/>
      <c r="H350" s="70"/>
    </row>
    <row r="351" spans="1:8" ht="12.5" x14ac:dyDescent="0.25">
      <c r="A351" s="14"/>
      <c r="C351" s="68"/>
      <c r="D351" s="68"/>
      <c r="E351" s="68"/>
      <c r="F351" s="70"/>
      <c r="G351" s="70"/>
      <c r="H351" s="70"/>
    </row>
    <row r="352" spans="1:8" ht="12.5" x14ac:dyDescent="0.25">
      <c r="A352" s="14"/>
      <c r="C352" s="68"/>
      <c r="D352" s="68"/>
      <c r="E352" s="68"/>
      <c r="F352" s="70"/>
      <c r="G352" s="70"/>
      <c r="H352" s="70"/>
    </row>
    <row r="353" spans="1:8" ht="12.5" x14ac:dyDescent="0.25">
      <c r="A353" s="14"/>
      <c r="C353" s="68"/>
      <c r="D353" s="68"/>
      <c r="E353" s="68"/>
      <c r="F353" s="70"/>
      <c r="G353" s="70"/>
      <c r="H353" s="70"/>
    </row>
    <row r="354" spans="1:8" ht="12.5" x14ac:dyDescent="0.25">
      <c r="A354" s="14"/>
      <c r="C354" s="68"/>
      <c r="D354" s="68"/>
      <c r="E354" s="68"/>
      <c r="F354" s="70"/>
      <c r="G354" s="70"/>
      <c r="H354" s="70"/>
    </row>
    <row r="355" spans="1:8" ht="12.5" x14ac:dyDescent="0.25">
      <c r="A355" s="14"/>
      <c r="C355" s="68"/>
      <c r="D355" s="68"/>
      <c r="E355" s="68"/>
      <c r="F355" s="70"/>
      <c r="G355" s="70"/>
      <c r="H355" s="70"/>
    </row>
    <row r="356" spans="1:8" ht="12.5" x14ac:dyDescent="0.25">
      <c r="A356" s="14"/>
      <c r="C356" s="68"/>
      <c r="D356" s="68"/>
      <c r="E356" s="68"/>
      <c r="F356" s="70"/>
      <c r="G356" s="70"/>
      <c r="H356" s="70"/>
    </row>
    <row r="357" spans="1:8" ht="12.5" x14ac:dyDescent="0.25">
      <c r="A357" s="14"/>
      <c r="C357" s="68"/>
      <c r="D357" s="68"/>
      <c r="E357" s="68"/>
      <c r="F357" s="70"/>
      <c r="G357" s="70"/>
      <c r="H357" s="70"/>
    </row>
    <row r="358" spans="1:8" ht="12.5" x14ac:dyDescent="0.25">
      <c r="A358" s="14"/>
      <c r="C358" s="68"/>
      <c r="D358" s="68"/>
      <c r="E358" s="68"/>
      <c r="F358" s="70"/>
      <c r="G358" s="70"/>
      <c r="H358" s="70"/>
    </row>
    <row r="359" spans="1:8" ht="12.5" x14ac:dyDescent="0.25">
      <c r="A359" s="14"/>
      <c r="C359" s="68"/>
      <c r="D359" s="68"/>
      <c r="E359" s="68"/>
      <c r="F359" s="70"/>
      <c r="G359" s="70"/>
      <c r="H359" s="70"/>
    </row>
    <row r="360" spans="1:8" ht="12.5" x14ac:dyDescent="0.25">
      <c r="A360" s="14"/>
      <c r="C360" s="68"/>
      <c r="D360" s="68"/>
      <c r="E360" s="68"/>
      <c r="F360" s="70"/>
      <c r="G360" s="70"/>
      <c r="H360" s="70"/>
    </row>
    <row r="361" spans="1:8" ht="12.5" x14ac:dyDescent="0.25">
      <c r="A361" s="14"/>
      <c r="C361" s="68"/>
      <c r="D361" s="68"/>
      <c r="E361" s="68"/>
      <c r="F361" s="70"/>
      <c r="G361" s="70"/>
      <c r="H361" s="70"/>
    </row>
    <row r="362" spans="1:8" ht="12.5" x14ac:dyDescent="0.25">
      <c r="A362" s="14"/>
      <c r="C362" s="68"/>
      <c r="D362" s="68"/>
      <c r="E362" s="68"/>
      <c r="F362" s="70"/>
      <c r="G362" s="70"/>
      <c r="H362" s="70"/>
    </row>
    <row r="363" spans="1:8" ht="12.5" x14ac:dyDescent="0.25">
      <c r="A363" s="14"/>
      <c r="C363" s="68"/>
      <c r="D363" s="68"/>
      <c r="E363" s="68"/>
      <c r="F363" s="70"/>
      <c r="G363" s="70"/>
      <c r="H363" s="70"/>
    </row>
    <row r="364" spans="1:8" ht="12.5" x14ac:dyDescent="0.25">
      <c r="A364" s="14"/>
      <c r="C364" s="68"/>
      <c r="D364" s="68"/>
      <c r="E364" s="68"/>
      <c r="F364" s="70"/>
      <c r="G364" s="70"/>
      <c r="H364" s="70"/>
    </row>
    <row r="365" spans="1:8" ht="12.5" x14ac:dyDescent="0.25">
      <c r="A365" s="14"/>
      <c r="C365" s="68"/>
      <c r="D365" s="68"/>
      <c r="E365" s="68"/>
      <c r="F365" s="70"/>
      <c r="G365" s="70"/>
      <c r="H365" s="70"/>
    </row>
    <row r="366" spans="1:8" ht="12.5" x14ac:dyDescent="0.25">
      <c r="A366" s="14"/>
      <c r="C366" s="68"/>
      <c r="D366" s="68"/>
      <c r="E366" s="68"/>
      <c r="F366" s="70"/>
      <c r="G366" s="70"/>
      <c r="H366" s="70"/>
    </row>
    <row r="367" spans="1:8" ht="12.5" x14ac:dyDescent="0.25">
      <c r="A367" s="14"/>
      <c r="C367" s="68"/>
      <c r="D367" s="68"/>
      <c r="E367" s="68"/>
      <c r="F367" s="70"/>
      <c r="G367" s="70"/>
      <c r="H367" s="70"/>
    </row>
    <row r="368" spans="1:8" ht="12.5" x14ac:dyDescent="0.25">
      <c r="A368" s="14"/>
      <c r="C368" s="68"/>
      <c r="D368" s="68"/>
      <c r="E368" s="68"/>
      <c r="F368" s="70"/>
      <c r="G368" s="70"/>
      <c r="H368" s="70"/>
    </row>
    <row r="369" spans="1:8" ht="12.5" x14ac:dyDescent="0.25">
      <c r="A369" s="14"/>
      <c r="C369" s="68"/>
      <c r="D369" s="68"/>
      <c r="E369" s="68"/>
      <c r="F369" s="70"/>
      <c r="G369" s="70"/>
      <c r="H369" s="70"/>
    </row>
    <row r="370" spans="1:8" ht="12.5" x14ac:dyDescent="0.25">
      <c r="A370" s="14"/>
      <c r="C370" s="68"/>
      <c r="D370" s="68"/>
      <c r="E370" s="68"/>
      <c r="F370" s="70"/>
      <c r="G370" s="70"/>
      <c r="H370" s="70"/>
    </row>
    <row r="371" spans="1:8" ht="12.5" x14ac:dyDescent="0.25">
      <c r="A371" s="14"/>
      <c r="C371" s="68"/>
      <c r="D371" s="68"/>
      <c r="E371" s="68"/>
      <c r="F371" s="70"/>
      <c r="G371" s="70"/>
      <c r="H371" s="70"/>
    </row>
    <row r="372" spans="1:8" ht="12.5" x14ac:dyDescent="0.25">
      <c r="A372" s="14"/>
      <c r="C372" s="68"/>
      <c r="D372" s="68"/>
      <c r="E372" s="68"/>
      <c r="F372" s="70"/>
      <c r="G372" s="70"/>
      <c r="H372" s="70"/>
    </row>
    <row r="373" spans="1:8" ht="12.5" x14ac:dyDescent="0.25">
      <c r="A373" s="14"/>
      <c r="C373" s="68"/>
      <c r="D373" s="68"/>
      <c r="E373" s="68"/>
      <c r="F373" s="70"/>
      <c r="G373" s="70"/>
      <c r="H373" s="70"/>
    </row>
    <row r="374" spans="1:8" ht="12.5" x14ac:dyDescent="0.25">
      <c r="A374" s="14"/>
      <c r="C374" s="68"/>
      <c r="D374" s="68"/>
      <c r="E374" s="68"/>
      <c r="F374" s="70"/>
      <c r="G374" s="70"/>
      <c r="H374" s="70"/>
    </row>
    <row r="375" spans="1:8" ht="12.5" x14ac:dyDescent="0.25">
      <c r="A375" s="14"/>
      <c r="C375" s="68"/>
      <c r="D375" s="68"/>
      <c r="E375" s="68"/>
      <c r="F375" s="70"/>
      <c r="G375" s="70"/>
      <c r="H375" s="70"/>
    </row>
    <row r="376" spans="1:8" ht="12.5" x14ac:dyDescent="0.25">
      <c r="A376" s="14"/>
      <c r="C376" s="68"/>
      <c r="D376" s="68"/>
      <c r="E376" s="68"/>
      <c r="F376" s="70"/>
      <c r="G376" s="70"/>
      <c r="H376" s="70"/>
    </row>
    <row r="377" spans="1:8" ht="12.5" x14ac:dyDescent="0.25">
      <c r="A377" s="14"/>
      <c r="C377" s="68"/>
      <c r="D377" s="68"/>
      <c r="E377" s="68"/>
      <c r="F377" s="70"/>
      <c r="G377" s="70"/>
      <c r="H377" s="70"/>
    </row>
    <row r="378" spans="1:8" ht="12.5" x14ac:dyDescent="0.25">
      <c r="A378" s="14"/>
      <c r="C378" s="68"/>
      <c r="D378" s="68"/>
      <c r="E378" s="68"/>
      <c r="F378" s="70"/>
      <c r="G378" s="70"/>
      <c r="H378" s="70"/>
    </row>
    <row r="379" spans="1:8" ht="12.5" x14ac:dyDescent="0.25">
      <c r="A379" s="14"/>
      <c r="C379" s="68"/>
      <c r="D379" s="68"/>
      <c r="E379" s="68"/>
      <c r="F379" s="70"/>
      <c r="G379" s="70"/>
      <c r="H379" s="70"/>
    </row>
    <row r="380" spans="1:8" ht="12.5" x14ac:dyDescent="0.25">
      <c r="A380" s="14"/>
      <c r="C380" s="68"/>
      <c r="D380" s="68"/>
      <c r="E380" s="68"/>
      <c r="F380" s="70"/>
      <c r="G380" s="70"/>
      <c r="H380" s="70"/>
    </row>
    <row r="381" spans="1:8" ht="12.5" x14ac:dyDescent="0.25">
      <c r="A381" s="14"/>
      <c r="C381" s="68"/>
      <c r="D381" s="68"/>
      <c r="E381" s="68"/>
      <c r="F381" s="70"/>
      <c r="G381" s="70"/>
      <c r="H381" s="70"/>
    </row>
    <row r="382" spans="1:8" ht="12.5" x14ac:dyDescent="0.25">
      <c r="A382" s="14"/>
      <c r="C382" s="68"/>
      <c r="D382" s="68"/>
      <c r="E382" s="68"/>
      <c r="F382" s="70"/>
      <c r="G382" s="70"/>
      <c r="H382" s="70"/>
    </row>
    <row r="383" spans="1:8" ht="12.5" x14ac:dyDescent="0.25">
      <c r="A383" s="14"/>
      <c r="C383" s="68"/>
      <c r="D383" s="68"/>
      <c r="E383" s="68"/>
      <c r="F383" s="70"/>
      <c r="G383" s="70"/>
      <c r="H383" s="70"/>
    </row>
    <row r="384" spans="1:8" ht="12.5" x14ac:dyDescent="0.25">
      <c r="A384" s="14"/>
      <c r="C384" s="68"/>
      <c r="D384" s="68"/>
      <c r="E384" s="68"/>
      <c r="F384" s="70"/>
      <c r="G384" s="70"/>
      <c r="H384" s="70"/>
    </row>
    <row r="385" spans="1:8" ht="12.5" x14ac:dyDescent="0.25">
      <c r="A385" s="14"/>
      <c r="C385" s="68"/>
      <c r="D385" s="68"/>
      <c r="E385" s="68"/>
      <c r="F385" s="70"/>
      <c r="G385" s="70"/>
      <c r="H385" s="70"/>
    </row>
    <row r="386" spans="1:8" ht="12.5" x14ac:dyDescent="0.25">
      <c r="A386" s="14"/>
      <c r="C386" s="68"/>
      <c r="D386" s="68"/>
      <c r="E386" s="68"/>
      <c r="F386" s="70"/>
      <c r="G386" s="70"/>
      <c r="H386" s="70"/>
    </row>
    <row r="387" spans="1:8" ht="12.5" x14ac:dyDescent="0.25">
      <c r="A387" s="14"/>
      <c r="C387" s="68"/>
      <c r="D387" s="68"/>
      <c r="E387" s="68"/>
      <c r="F387" s="70"/>
      <c r="G387" s="70"/>
      <c r="H387" s="70"/>
    </row>
    <row r="388" spans="1:8" ht="12.5" x14ac:dyDescent="0.25">
      <c r="A388" s="14"/>
      <c r="C388" s="68"/>
      <c r="D388" s="68"/>
      <c r="E388" s="68"/>
      <c r="F388" s="70"/>
      <c r="G388" s="70"/>
      <c r="H388" s="70"/>
    </row>
    <row r="389" spans="1:8" ht="12.5" x14ac:dyDescent="0.25">
      <c r="A389" s="14"/>
      <c r="C389" s="68"/>
      <c r="D389" s="68"/>
      <c r="E389" s="68"/>
      <c r="F389" s="70"/>
      <c r="G389" s="70"/>
      <c r="H389" s="70"/>
    </row>
    <row r="390" spans="1:8" ht="12.5" x14ac:dyDescent="0.25">
      <c r="A390" s="14"/>
      <c r="C390" s="68"/>
      <c r="D390" s="68"/>
      <c r="E390" s="68"/>
      <c r="F390" s="70"/>
      <c r="G390" s="70"/>
      <c r="H390" s="70"/>
    </row>
    <row r="391" spans="1:8" ht="12.5" x14ac:dyDescent="0.25">
      <c r="A391" s="14"/>
      <c r="C391" s="68"/>
      <c r="D391" s="68"/>
      <c r="E391" s="68"/>
      <c r="F391" s="70"/>
      <c r="G391" s="70"/>
      <c r="H391" s="70"/>
    </row>
    <row r="392" spans="1:8" ht="12.5" x14ac:dyDescent="0.25">
      <c r="A392" s="14"/>
      <c r="C392" s="68"/>
      <c r="D392" s="68"/>
      <c r="E392" s="68"/>
      <c r="F392" s="70"/>
      <c r="G392" s="70"/>
      <c r="H392" s="70"/>
    </row>
    <row r="393" spans="1:8" ht="12.5" x14ac:dyDescent="0.25">
      <c r="A393" s="14"/>
      <c r="C393" s="68"/>
      <c r="D393" s="68"/>
      <c r="E393" s="68"/>
      <c r="F393" s="70"/>
      <c r="G393" s="70"/>
      <c r="H393" s="70"/>
    </row>
    <row r="394" spans="1:8" ht="12.5" x14ac:dyDescent="0.25">
      <c r="A394" s="14"/>
      <c r="C394" s="68"/>
      <c r="D394" s="68"/>
      <c r="E394" s="68"/>
      <c r="F394" s="70"/>
      <c r="G394" s="70"/>
      <c r="H394" s="70"/>
    </row>
    <row r="395" spans="1:8" ht="12.5" x14ac:dyDescent="0.25">
      <c r="A395" s="14"/>
      <c r="C395" s="68"/>
      <c r="D395" s="68"/>
      <c r="E395" s="68"/>
      <c r="F395" s="70"/>
      <c r="G395" s="70"/>
      <c r="H395" s="70"/>
    </row>
    <row r="396" spans="1:8" ht="12.5" x14ac:dyDescent="0.25">
      <c r="A396" s="14"/>
      <c r="C396" s="68"/>
      <c r="D396" s="68"/>
      <c r="E396" s="68"/>
      <c r="F396" s="70"/>
      <c r="G396" s="70"/>
      <c r="H396" s="70"/>
    </row>
    <row r="397" spans="1:8" ht="12.5" x14ac:dyDescent="0.25">
      <c r="A397" s="14"/>
      <c r="C397" s="68"/>
      <c r="D397" s="68"/>
      <c r="E397" s="68"/>
      <c r="F397" s="70"/>
      <c r="G397" s="70"/>
      <c r="H397" s="70"/>
    </row>
    <row r="398" spans="1:8" ht="12.5" x14ac:dyDescent="0.25">
      <c r="A398" s="14"/>
      <c r="C398" s="68"/>
      <c r="D398" s="68"/>
      <c r="E398" s="68"/>
      <c r="F398" s="70"/>
      <c r="G398" s="70"/>
      <c r="H398" s="70"/>
    </row>
    <row r="399" spans="1:8" ht="12.5" x14ac:dyDescent="0.25">
      <c r="A399" s="14"/>
      <c r="C399" s="68"/>
      <c r="D399" s="68"/>
      <c r="E399" s="68"/>
      <c r="F399" s="70"/>
      <c r="G399" s="70"/>
      <c r="H399" s="70"/>
    </row>
    <row r="400" spans="1:8" ht="12.5" x14ac:dyDescent="0.25">
      <c r="A400" s="14"/>
      <c r="C400" s="68"/>
      <c r="D400" s="68"/>
      <c r="E400" s="68"/>
      <c r="F400" s="70"/>
      <c r="G400" s="70"/>
      <c r="H400" s="70"/>
    </row>
    <row r="401" spans="1:8" ht="12.5" x14ac:dyDescent="0.25">
      <c r="A401" s="14"/>
      <c r="C401" s="68"/>
      <c r="D401" s="68"/>
      <c r="E401" s="68"/>
      <c r="F401" s="70"/>
      <c r="G401" s="70"/>
      <c r="H401" s="70"/>
    </row>
    <row r="402" spans="1:8" ht="12.5" x14ac:dyDescent="0.25">
      <c r="A402" s="14"/>
      <c r="C402" s="68"/>
      <c r="D402" s="68"/>
      <c r="E402" s="68"/>
      <c r="F402" s="70"/>
      <c r="G402" s="70"/>
      <c r="H402" s="70"/>
    </row>
    <row r="403" spans="1:8" ht="12.5" x14ac:dyDescent="0.25">
      <c r="A403" s="14"/>
      <c r="C403" s="68"/>
      <c r="D403" s="68"/>
      <c r="E403" s="68"/>
      <c r="F403" s="70"/>
      <c r="G403" s="70"/>
      <c r="H403" s="70"/>
    </row>
    <row r="404" spans="1:8" ht="12.5" x14ac:dyDescent="0.25">
      <c r="A404" s="14"/>
      <c r="C404" s="68"/>
      <c r="D404" s="68"/>
      <c r="E404" s="68"/>
      <c r="F404" s="70"/>
      <c r="G404" s="70"/>
      <c r="H404" s="70"/>
    </row>
    <row r="405" spans="1:8" ht="12.5" x14ac:dyDescent="0.25">
      <c r="A405" s="14"/>
      <c r="C405" s="68"/>
      <c r="D405" s="68"/>
      <c r="E405" s="68"/>
      <c r="F405" s="70"/>
      <c r="G405" s="70"/>
      <c r="H405" s="70"/>
    </row>
    <row r="406" spans="1:8" ht="12.5" x14ac:dyDescent="0.25">
      <c r="A406" s="14"/>
      <c r="C406" s="68"/>
      <c r="D406" s="68"/>
      <c r="E406" s="68"/>
      <c r="F406" s="70"/>
      <c r="G406" s="70"/>
      <c r="H406" s="70"/>
    </row>
    <row r="407" spans="1:8" ht="12.5" x14ac:dyDescent="0.25">
      <c r="A407" s="14"/>
      <c r="C407" s="68"/>
      <c r="D407" s="68"/>
      <c r="E407" s="68"/>
      <c r="F407" s="70"/>
      <c r="G407" s="70"/>
      <c r="H407" s="70"/>
    </row>
    <row r="408" spans="1:8" ht="12.5" x14ac:dyDescent="0.25">
      <c r="A408" s="14"/>
      <c r="C408" s="68"/>
      <c r="D408" s="68"/>
      <c r="E408" s="68"/>
      <c r="F408" s="70"/>
      <c r="G408" s="70"/>
      <c r="H408" s="70"/>
    </row>
    <row r="409" spans="1:8" ht="12.5" x14ac:dyDescent="0.25">
      <c r="A409" s="14"/>
      <c r="C409" s="68"/>
      <c r="D409" s="68"/>
      <c r="E409" s="68"/>
      <c r="F409" s="70"/>
      <c r="G409" s="70"/>
      <c r="H409" s="70"/>
    </row>
    <row r="410" spans="1:8" ht="12.5" x14ac:dyDescent="0.25">
      <c r="A410" s="14"/>
      <c r="C410" s="68"/>
      <c r="D410" s="68"/>
      <c r="E410" s="68"/>
      <c r="F410" s="70"/>
      <c r="G410" s="70"/>
      <c r="H410" s="70"/>
    </row>
    <row r="411" spans="1:8" ht="12.5" x14ac:dyDescent="0.25">
      <c r="A411" s="14"/>
      <c r="C411" s="68"/>
      <c r="D411" s="68"/>
      <c r="E411" s="68"/>
      <c r="F411" s="70"/>
      <c r="G411" s="70"/>
      <c r="H411" s="70"/>
    </row>
    <row r="412" spans="1:8" ht="12.5" x14ac:dyDescent="0.25">
      <c r="A412" s="14"/>
      <c r="C412" s="68"/>
      <c r="D412" s="68"/>
      <c r="E412" s="68"/>
      <c r="F412" s="70"/>
      <c r="G412" s="70"/>
      <c r="H412" s="70"/>
    </row>
    <row r="413" spans="1:8" ht="12.5" x14ac:dyDescent="0.25">
      <c r="A413" s="14"/>
      <c r="C413" s="68"/>
      <c r="D413" s="68"/>
      <c r="E413" s="68"/>
      <c r="F413" s="70"/>
      <c r="G413" s="70"/>
      <c r="H413" s="70"/>
    </row>
    <row r="414" spans="1:8" ht="12.5" x14ac:dyDescent="0.25">
      <c r="A414" s="14"/>
      <c r="C414" s="68"/>
      <c r="D414" s="68"/>
      <c r="E414" s="68"/>
      <c r="F414" s="70"/>
      <c r="G414" s="70"/>
      <c r="H414" s="70"/>
    </row>
    <row r="415" spans="1:8" ht="12.5" x14ac:dyDescent="0.25">
      <c r="A415" s="14"/>
      <c r="C415" s="68"/>
      <c r="D415" s="68"/>
      <c r="E415" s="68"/>
      <c r="F415" s="70"/>
      <c r="G415" s="70"/>
      <c r="H415" s="70"/>
    </row>
    <row r="416" spans="1:8" ht="12.5" x14ac:dyDescent="0.25">
      <c r="A416" s="14"/>
      <c r="C416" s="68"/>
      <c r="D416" s="68"/>
      <c r="E416" s="68"/>
      <c r="F416" s="70"/>
      <c r="G416" s="70"/>
      <c r="H416" s="70"/>
    </row>
    <row r="417" spans="1:8" ht="12.5" x14ac:dyDescent="0.25">
      <c r="A417" s="14"/>
      <c r="C417" s="68"/>
      <c r="D417" s="68"/>
      <c r="E417" s="68"/>
      <c r="F417" s="70"/>
      <c r="G417" s="70"/>
      <c r="H417" s="70"/>
    </row>
    <row r="418" spans="1:8" ht="12.5" x14ac:dyDescent="0.25">
      <c r="A418" s="14"/>
      <c r="C418" s="68"/>
      <c r="D418" s="68"/>
      <c r="E418" s="68"/>
      <c r="F418" s="70"/>
      <c r="G418" s="70"/>
      <c r="H418" s="70"/>
    </row>
    <row r="419" spans="1:8" ht="12.5" x14ac:dyDescent="0.25">
      <c r="A419" s="14"/>
      <c r="C419" s="68"/>
      <c r="D419" s="68"/>
      <c r="E419" s="68"/>
      <c r="F419" s="70"/>
      <c r="G419" s="70"/>
      <c r="H419" s="70"/>
    </row>
    <row r="420" spans="1:8" ht="12.5" x14ac:dyDescent="0.25">
      <c r="A420" s="14"/>
      <c r="C420" s="68"/>
      <c r="D420" s="68"/>
      <c r="E420" s="68"/>
      <c r="F420" s="70"/>
      <c r="G420" s="70"/>
      <c r="H420" s="70"/>
    </row>
    <row r="421" spans="1:8" ht="12.5" x14ac:dyDescent="0.25">
      <c r="A421" s="14"/>
      <c r="C421" s="68"/>
      <c r="D421" s="68"/>
      <c r="E421" s="68"/>
      <c r="F421" s="70"/>
      <c r="G421" s="70"/>
      <c r="H421" s="70"/>
    </row>
    <row r="422" spans="1:8" ht="12.5" x14ac:dyDescent="0.25">
      <c r="A422" s="14"/>
      <c r="C422" s="68"/>
      <c r="D422" s="68"/>
      <c r="E422" s="68"/>
      <c r="F422" s="70"/>
      <c r="G422" s="70"/>
      <c r="H422" s="70"/>
    </row>
    <row r="423" spans="1:8" ht="12.5" x14ac:dyDescent="0.25">
      <c r="A423" s="14"/>
      <c r="C423" s="68"/>
      <c r="D423" s="68"/>
      <c r="E423" s="68"/>
      <c r="F423" s="70"/>
      <c r="G423" s="70"/>
      <c r="H423" s="70"/>
    </row>
    <row r="424" spans="1:8" ht="12.5" x14ac:dyDescent="0.25">
      <c r="A424" s="14"/>
      <c r="C424" s="68"/>
      <c r="D424" s="68"/>
      <c r="E424" s="68"/>
      <c r="F424" s="70"/>
      <c r="G424" s="70"/>
      <c r="H424" s="70"/>
    </row>
    <row r="425" spans="1:8" ht="12.5" x14ac:dyDescent="0.25">
      <c r="A425" s="14"/>
      <c r="C425" s="68"/>
      <c r="D425" s="68"/>
      <c r="E425" s="68"/>
      <c r="F425" s="70"/>
      <c r="G425" s="70"/>
      <c r="H425" s="70"/>
    </row>
    <row r="426" spans="1:8" ht="12.5" x14ac:dyDescent="0.25">
      <c r="A426" s="14"/>
      <c r="C426" s="68"/>
      <c r="D426" s="68"/>
      <c r="E426" s="68"/>
      <c r="F426" s="70"/>
      <c r="G426" s="70"/>
      <c r="H426" s="70"/>
    </row>
    <row r="427" spans="1:8" ht="12.5" x14ac:dyDescent="0.25">
      <c r="A427" s="14"/>
      <c r="C427" s="68"/>
      <c r="D427" s="68"/>
      <c r="E427" s="68"/>
      <c r="F427" s="70"/>
      <c r="G427" s="70"/>
      <c r="H427" s="70"/>
    </row>
    <row r="428" spans="1:8" ht="12.5" x14ac:dyDescent="0.25">
      <c r="A428" s="14"/>
      <c r="C428" s="68"/>
      <c r="D428" s="68"/>
      <c r="E428" s="68"/>
      <c r="F428" s="70"/>
      <c r="G428" s="70"/>
      <c r="H428" s="70"/>
    </row>
    <row r="429" spans="1:8" ht="12.5" x14ac:dyDescent="0.25">
      <c r="A429" s="14"/>
      <c r="C429" s="68"/>
      <c r="D429" s="68"/>
      <c r="E429" s="68"/>
      <c r="F429" s="70"/>
      <c r="G429" s="70"/>
      <c r="H429" s="70"/>
    </row>
    <row r="430" spans="1:8" ht="12.5" x14ac:dyDescent="0.25">
      <c r="A430" s="14"/>
      <c r="C430" s="68"/>
      <c r="D430" s="68"/>
      <c r="E430" s="68"/>
      <c r="F430" s="70"/>
      <c r="G430" s="70"/>
      <c r="H430" s="70"/>
    </row>
    <row r="431" spans="1:8" ht="12.5" x14ac:dyDescent="0.25">
      <c r="A431" s="14"/>
      <c r="C431" s="68"/>
      <c r="D431" s="68"/>
      <c r="E431" s="68"/>
      <c r="F431" s="70"/>
      <c r="G431" s="70"/>
      <c r="H431" s="70"/>
    </row>
    <row r="432" spans="1:8" ht="12.5" x14ac:dyDescent="0.25">
      <c r="A432" s="14"/>
      <c r="C432" s="68"/>
      <c r="D432" s="68"/>
      <c r="E432" s="68"/>
      <c r="F432" s="70"/>
      <c r="G432" s="70"/>
      <c r="H432" s="70"/>
    </row>
    <row r="433" spans="1:8" ht="12.5" x14ac:dyDescent="0.25">
      <c r="A433" s="14"/>
      <c r="C433" s="68"/>
      <c r="D433" s="68"/>
      <c r="E433" s="68"/>
      <c r="F433" s="70"/>
      <c r="G433" s="70"/>
      <c r="H433" s="70"/>
    </row>
    <row r="434" spans="1:8" ht="12.5" x14ac:dyDescent="0.25">
      <c r="A434" s="14"/>
      <c r="C434" s="68"/>
      <c r="D434" s="68"/>
      <c r="E434" s="68"/>
      <c r="F434" s="70"/>
      <c r="G434" s="70"/>
      <c r="H434" s="70"/>
    </row>
    <row r="435" spans="1:8" ht="12.5" x14ac:dyDescent="0.25">
      <c r="A435" s="14"/>
      <c r="C435" s="68"/>
      <c r="D435" s="68"/>
      <c r="E435" s="68"/>
      <c r="F435" s="70"/>
      <c r="G435" s="70"/>
      <c r="H435" s="70"/>
    </row>
    <row r="436" spans="1:8" ht="12.5" x14ac:dyDescent="0.25">
      <c r="A436" s="14"/>
      <c r="C436" s="68"/>
      <c r="D436" s="68"/>
      <c r="E436" s="68"/>
      <c r="F436" s="70"/>
      <c r="G436" s="70"/>
      <c r="H436" s="70"/>
    </row>
    <row r="437" spans="1:8" ht="12.5" x14ac:dyDescent="0.25">
      <c r="A437" s="14"/>
      <c r="C437" s="68"/>
      <c r="D437" s="68"/>
      <c r="E437" s="68"/>
      <c r="F437" s="70"/>
      <c r="G437" s="70"/>
      <c r="H437" s="70"/>
    </row>
    <row r="438" spans="1:8" ht="12.5" x14ac:dyDescent="0.25">
      <c r="A438" s="14"/>
      <c r="C438" s="68"/>
      <c r="D438" s="68"/>
      <c r="E438" s="68"/>
      <c r="F438" s="70"/>
      <c r="G438" s="70"/>
      <c r="H438" s="70"/>
    </row>
    <row r="439" spans="1:8" ht="12.5" x14ac:dyDescent="0.25">
      <c r="A439" s="14"/>
      <c r="C439" s="68"/>
      <c r="D439" s="68"/>
      <c r="E439" s="68"/>
      <c r="F439" s="70"/>
      <c r="G439" s="70"/>
      <c r="H439" s="70"/>
    </row>
    <row r="440" spans="1:8" ht="12.5" x14ac:dyDescent="0.25">
      <c r="A440" s="14"/>
      <c r="C440" s="68"/>
      <c r="D440" s="68"/>
      <c r="E440" s="68"/>
      <c r="F440" s="70"/>
      <c r="G440" s="70"/>
      <c r="H440" s="70"/>
    </row>
    <row r="441" spans="1:8" ht="12.5" x14ac:dyDescent="0.25">
      <c r="A441" s="14"/>
      <c r="C441" s="68"/>
      <c r="D441" s="68"/>
      <c r="E441" s="68"/>
      <c r="F441" s="70"/>
      <c r="G441" s="70"/>
      <c r="H441" s="70"/>
    </row>
    <row r="442" spans="1:8" ht="12.5" x14ac:dyDescent="0.25">
      <c r="A442" s="14"/>
      <c r="C442" s="68"/>
      <c r="D442" s="68"/>
      <c r="E442" s="68"/>
      <c r="F442" s="70"/>
      <c r="G442" s="70"/>
      <c r="H442" s="70"/>
    </row>
    <row r="443" spans="1:8" ht="12.5" x14ac:dyDescent="0.25">
      <c r="A443" s="14"/>
      <c r="C443" s="68"/>
      <c r="D443" s="68"/>
      <c r="E443" s="68"/>
      <c r="F443" s="70"/>
      <c r="G443" s="70"/>
      <c r="H443" s="70"/>
    </row>
    <row r="444" spans="1:8" ht="12.5" x14ac:dyDescent="0.25">
      <c r="A444" s="14"/>
      <c r="C444" s="68"/>
      <c r="D444" s="68"/>
      <c r="E444" s="68"/>
      <c r="F444" s="70"/>
      <c r="G444" s="70"/>
      <c r="H444" s="70"/>
    </row>
    <row r="445" spans="1:8" ht="12.5" x14ac:dyDescent="0.25">
      <c r="A445" s="14"/>
      <c r="C445" s="68"/>
      <c r="D445" s="68"/>
      <c r="E445" s="68"/>
      <c r="F445" s="70"/>
      <c r="G445" s="70"/>
      <c r="H445" s="70"/>
    </row>
    <row r="446" spans="1:8" ht="12.5" x14ac:dyDescent="0.25">
      <c r="A446" s="14"/>
      <c r="C446" s="68"/>
      <c r="D446" s="68"/>
      <c r="E446" s="68"/>
      <c r="F446" s="70"/>
      <c r="G446" s="70"/>
      <c r="H446" s="70"/>
    </row>
    <row r="447" spans="1:8" ht="12.5" x14ac:dyDescent="0.25">
      <c r="A447" s="14"/>
      <c r="C447" s="68"/>
      <c r="D447" s="68"/>
      <c r="E447" s="68"/>
      <c r="F447" s="70"/>
      <c r="G447" s="70"/>
      <c r="H447" s="70"/>
    </row>
    <row r="448" spans="1:8" ht="12.5" x14ac:dyDescent="0.25">
      <c r="A448" s="14"/>
      <c r="C448" s="68"/>
      <c r="D448" s="68"/>
      <c r="E448" s="68"/>
      <c r="F448" s="70"/>
      <c r="G448" s="70"/>
      <c r="H448" s="70"/>
    </row>
    <row r="449" spans="1:8" ht="12.5" x14ac:dyDescent="0.25">
      <c r="A449" s="14"/>
      <c r="C449" s="68"/>
      <c r="D449" s="68"/>
      <c r="E449" s="68"/>
      <c r="F449" s="70"/>
      <c r="G449" s="70"/>
      <c r="H449" s="70"/>
    </row>
    <row r="450" spans="1:8" ht="12.5" x14ac:dyDescent="0.25">
      <c r="A450" s="14"/>
      <c r="C450" s="68"/>
      <c r="D450" s="68"/>
      <c r="E450" s="68"/>
      <c r="F450" s="70"/>
      <c r="G450" s="70"/>
      <c r="H450" s="70"/>
    </row>
    <row r="451" spans="1:8" ht="12.5" x14ac:dyDescent="0.25">
      <c r="A451" s="14"/>
      <c r="C451" s="68"/>
      <c r="D451" s="68"/>
      <c r="E451" s="68"/>
      <c r="F451" s="70"/>
      <c r="G451" s="70"/>
      <c r="H451" s="70"/>
    </row>
    <row r="452" spans="1:8" ht="12.5" x14ac:dyDescent="0.25">
      <c r="A452" s="14"/>
      <c r="C452" s="68"/>
      <c r="D452" s="68"/>
      <c r="E452" s="68"/>
      <c r="F452" s="70"/>
      <c r="G452" s="70"/>
      <c r="H452" s="70"/>
    </row>
    <row r="453" spans="1:8" ht="12.5" x14ac:dyDescent="0.25">
      <c r="A453" s="14"/>
      <c r="C453" s="68"/>
      <c r="D453" s="68"/>
      <c r="E453" s="68"/>
      <c r="F453" s="70"/>
      <c r="G453" s="70"/>
      <c r="H453" s="70"/>
    </row>
    <row r="454" spans="1:8" ht="12.5" x14ac:dyDescent="0.25">
      <c r="A454" s="14"/>
      <c r="C454" s="68"/>
      <c r="D454" s="68"/>
      <c r="E454" s="68"/>
      <c r="F454" s="70"/>
      <c r="G454" s="70"/>
      <c r="H454" s="70"/>
    </row>
    <row r="455" spans="1:8" ht="12.5" x14ac:dyDescent="0.25">
      <c r="A455" s="14"/>
      <c r="C455" s="68"/>
      <c r="D455" s="68"/>
      <c r="E455" s="68"/>
      <c r="F455" s="70"/>
      <c r="G455" s="70"/>
      <c r="H455" s="70"/>
    </row>
    <row r="456" spans="1:8" ht="12.5" x14ac:dyDescent="0.25">
      <c r="A456" s="14"/>
      <c r="C456" s="68"/>
      <c r="D456" s="68"/>
      <c r="E456" s="68"/>
      <c r="F456" s="70"/>
      <c r="G456" s="70"/>
      <c r="H456" s="70"/>
    </row>
    <row r="457" spans="1:8" ht="12.5" x14ac:dyDescent="0.25">
      <c r="A457" s="14"/>
      <c r="C457" s="68"/>
      <c r="D457" s="68"/>
      <c r="E457" s="68"/>
      <c r="F457" s="70"/>
      <c r="G457" s="70"/>
      <c r="H457" s="70"/>
    </row>
    <row r="458" spans="1:8" ht="12.5" x14ac:dyDescent="0.25">
      <c r="A458" s="14"/>
      <c r="C458" s="68"/>
      <c r="D458" s="68"/>
      <c r="E458" s="68"/>
      <c r="F458" s="70"/>
      <c r="G458" s="70"/>
      <c r="H458" s="70"/>
    </row>
    <row r="459" spans="1:8" ht="12.5" x14ac:dyDescent="0.25">
      <c r="A459" s="14"/>
      <c r="C459" s="68"/>
      <c r="D459" s="68"/>
      <c r="E459" s="68"/>
      <c r="F459" s="70"/>
      <c r="G459" s="70"/>
      <c r="H459" s="70"/>
    </row>
    <row r="460" spans="1:8" ht="12.5" x14ac:dyDescent="0.25">
      <c r="A460" s="14"/>
      <c r="C460" s="68"/>
      <c r="D460" s="68"/>
      <c r="E460" s="68"/>
      <c r="F460" s="70"/>
      <c r="G460" s="70"/>
      <c r="H460" s="70"/>
    </row>
    <row r="461" spans="1:8" ht="12.5" x14ac:dyDescent="0.25">
      <c r="A461" s="14"/>
      <c r="C461" s="68"/>
      <c r="D461" s="68"/>
      <c r="E461" s="68"/>
      <c r="F461" s="70"/>
      <c r="G461" s="70"/>
      <c r="H461" s="70"/>
    </row>
    <row r="462" spans="1:8" ht="12.5" x14ac:dyDescent="0.25">
      <c r="A462" s="14"/>
      <c r="C462" s="68"/>
      <c r="D462" s="68"/>
      <c r="E462" s="68"/>
      <c r="F462" s="70"/>
      <c r="G462" s="70"/>
      <c r="H462" s="70"/>
    </row>
    <row r="463" spans="1:8" ht="12.5" x14ac:dyDescent="0.25">
      <c r="A463" s="14"/>
      <c r="C463" s="68"/>
      <c r="D463" s="68"/>
      <c r="E463" s="68"/>
      <c r="F463" s="70"/>
      <c r="G463" s="70"/>
      <c r="H463" s="70"/>
    </row>
    <row r="464" spans="1:8" ht="12.5" x14ac:dyDescent="0.25">
      <c r="A464" s="14"/>
      <c r="C464" s="68"/>
      <c r="D464" s="68"/>
      <c r="E464" s="68"/>
      <c r="F464" s="70"/>
      <c r="G464" s="70"/>
      <c r="H464" s="70"/>
    </row>
    <row r="465" spans="1:8" ht="12.5" x14ac:dyDescent="0.25">
      <c r="A465" s="14"/>
      <c r="C465" s="68"/>
      <c r="D465" s="68"/>
      <c r="E465" s="68"/>
      <c r="F465" s="70"/>
      <c r="G465" s="70"/>
      <c r="H465" s="70"/>
    </row>
    <row r="466" spans="1:8" ht="12.5" x14ac:dyDescent="0.25">
      <c r="A466" s="14"/>
      <c r="C466" s="68"/>
      <c r="D466" s="68"/>
      <c r="E466" s="68"/>
      <c r="F466" s="70"/>
      <c r="G466" s="70"/>
      <c r="H466" s="70"/>
    </row>
    <row r="467" spans="1:8" ht="12.5" x14ac:dyDescent="0.25">
      <c r="A467" s="14"/>
      <c r="C467" s="68"/>
      <c r="D467" s="68"/>
      <c r="E467" s="68"/>
      <c r="F467" s="70"/>
      <c r="G467" s="70"/>
      <c r="H467" s="70"/>
    </row>
    <row r="468" spans="1:8" ht="12.5" x14ac:dyDescent="0.25">
      <c r="A468" s="14"/>
      <c r="C468" s="68"/>
      <c r="D468" s="68"/>
      <c r="E468" s="68"/>
      <c r="F468" s="70"/>
      <c r="G468" s="70"/>
      <c r="H468" s="70"/>
    </row>
    <row r="469" spans="1:8" ht="12.5" x14ac:dyDescent="0.25">
      <c r="A469" s="14"/>
      <c r="C469" s="68"/>
      <c r="D469" s="68"/>
      <c r="E469" s="68"/>
      <c r="F469" s="70"/>
      <c r="G469" s="70"/>
      <c r="H469" s="70"/>
    </row>
    <row r="470" spans="1:8" ht="12.5" x14ac:dyDescent="0.25">
      <c r="A470" s="14"/>
      <c r="C470" s="68"/>
      <c r="D470" s="68"/>
      <c r="E470" s="68"/>
      <c r="F470" s="70"/>
      <c r="G470" s="70"/>
      <c r="H470" s="70"/>
    </row>
    <row r="471" spans="1:8" ht="12.5" x14ac:dyDescent="0.25">
      <c r="A471" s="14"/>
      <c r="C471" s="68"/>
      <c r="D471" s="68"/>
      <c r="E471" s="68"/>
      <c r="F471" s="70"/>
      <c r="G471" s="70"/>
      <c r="H471" s="70"/>
    </row>
    <row r="472" spans="1:8" ht="12.5" x14ac:dyDescent="0.25">
      <c r="A472" s="14"/>
      <c r="C472" s="68"/>
      <c r="D472" s="68"/>
      <c r="E472" s="68"/>
      <c r="F472" s="70"/>
      <c r="G472" s="70"/>
      <c r="H472" s="70"/>
    </row>
    <row r="473" spans="1:8" ht="12.5" x14ac:dyDescent="0.25">
      <c r="A473" s="14"/>
      <c r="C473" s="68"/>
      <c r="D473" s="68"/>
      <c r="E473" s="68"/>
      <c r="F473" s="70"/>
      <c r="G473" s="70"/>
      <c r="H473" s="70"/>
    </row>
    <row r="474" spans="1:8" ht="12.5" x14ac:dyDescent="0.25">
      <c r="A474" s="14"/>
      <c r="C474" s="68"/>
      <c r="D474" s="68"/>
      <c r="E474" s="68"/>
      <c r="F474" s="70"/>
      <c r="G474" s="70"/>
      <c r="H474" s="70"/>
    </row>
    <row r="475" spans="1:8" ht="12.5" x14ac:dyDescent="0.25">
      <c r="A475" s="14"/>
      <c r="C475" s="68"/>
      <c r="D475" s="68"/>
      <c r="E475" s="68"/>
      <c r="F475" s="70"/>
      <c r="G475" s="70"/>
      <c r="H475" s="70"/>
    </row>
    <row r="476" spans="1:8" ht="12.5" x14ac:dyDescent="0.25">
      <c r="A476" s="14"/>
      <c r="C476" s="68"/>
      <c r="D476" s="68"/>
      <c r="E476" s="68"/>
      <c r="F476" s="70"/>
      <c r="G476" s="70"/>
      <c r="H476" s="70"/>
    </row>
    <row r="477" spans="1:8" ht="12.5" x14ac:dyDescent="0.25">
      <c r="A477" s="14"/>
      <c r="C477" s="68"/>
      <c r="D477" s="68"/>
      <c r="E477" s="68"/>
      <c r="F477" s="70"/>
      <c r="G477" s="70"/>
      <c r="H477" s="70"/>
    </row>
    <row r="478" spans="1:8" ht="12.5" x14ac:dyDescent="0.25">
      <c r="A478" s="14"/>
      <c r="C478" s="68"/>
      <c r="D478" s="68"/>
      <c r="E478" s="68"/>
      <c r="F478" s="70"/>
      <c r="G478" s="70"/>
      <c r="H478" s="70"/>
    </row>
    <row r="479" spans="1:8" ht="12.5" x14ac:dyDescent="0.25">
      <c r="A479" s="14"/>
      <c r="C479" s="68"/>
      <c r="D479" s="68"/>
      <c r="E479" s="68"/>
      <c r="F479" s="70"/>
      <c r="G479" s="70"/>
      <c r="H479" s="70"/>
    </row>
    <row r="480" spans="1:8" ht="12.5" x14ac:dyDescent="0.25">
      <c r="A480" s="14"/>
      <c r="C480" s="68"/>
      <c r="D480" s="68"/>
      <c r="E480" s="68"/>
      <c r="F480" s="70"/>
      <c r="G480" s="70"/>
      <c r="H480" s="70"/>
    </row>
    <row r="481" spans="1:8" ht="12.5" x14ac:dyDescent="0.25">
      <c r="A481" s="14"/>
      <c r="C481" s="68"/>
      <c r="D481" s="68"/>
      <c r="E481" s="68"/>
      <c r="F481" s="70"/>
      <c r="G481" s="70"/>
      <c r="H481" s="70"/>
    </row>
    <row r="482" spans="1:8" ht="12.5" x14ac:dyDescent="0.25">
      <c r="A482" s="14"/>
      <c r="C482" s="68"/>
      <c r="D482" s="68"/>
      <c r="E482" s="68"/>
      <c r="F482" s="70"/>
      <c r="G482" s="70"/>
      <c r="H482" s="70"/>
    </row>
    <row r="483" spans="1:8" ht="12.5" x14ac:dyDescent="0.25">
      <c r="A483" s="14"/>
      <c r="C483" s="68"/>
      <c r="D483" s="68"/>
      <c r="E483" s="68"/>
      <c r="F483" s="70"/>
      <c r="G483" s="70"/>
      <c r="H483" s="70"/>
    </row>
    <row r="484" spans="1:8" ht="12.5" x14ac:dyDescent="0.25">
      <c r="A484" s="14"/>
      <c r="C484" s="68"/>
      <c r="D484" s="68"/>
      <c r="E484" s="68"/>
      <c r="F484" s="70"/>
      <c r="G484" s="70"/>
      <c r="H484" s="70"/>
    </row>
    <row r="485" spans="1:8" ht="12.5" x14ac:dyDescent="0.25">
      <c r="A485" s="14"/>
      <c r="C485" s="68"/>
      <c r="D485" s="68"/>
      <c r="E485" s="68"/>
      <c r="F485" s="70"/>
      <c r="G485" s="70"/>
      <c r="H485" s="70"/>
    </row>
    <row r="486" spans="1:8" ht="12.5" x14ac:dyDescent="0.25">
      <c r="A486" s="14"/>
      <c r="C486" s="68"/>
      <c r="D486" s="68"/>
      <c r="E486" s="68"/>
      <c r="F486" s="70"/>
      <c r="G486" s="70"/>
      <c r="H486" s="70"/>
    </row>
    <row r="487" spans="1:8" ht="12.5" x14ac:dyDescent="0.25">
      <c r="A487" s="14"/>
      <c r="C487" s="68"/>
      <c r="D487" s="68"/>
      <c r="E487" s="68"/>
      <c r="F487" s="70"/>
      <c r="G487" s="70"/>
      <c r="H487" s="70"/>
    </row>
    <row r="488" spans="1:8" ht="12.5" x14ac:dyDescent="0.25">
      <c r="A488" s="14"/>
      <c r="C488" s="68"/>
      <c r="D488" s="68"/>
      <c r="E488" s="68"/>
      <c r="F488" s="70"/>
      <c r="G488" s="70"/>
      <c r="H488" s="70"/>
    </row>
    <row r="489" spans="1:8" ht="12.5" x14ac:dyDescent="0.25">
      <c r="A489" s="14"/>
      <c r="C489" s="68"/>
      <c r="D489" s="68"/>
      <c r="E489" s="68"/>
      <c r="F489" s="70"/>
      <c r="G489" s="70"/>
      <c r="H489" s="70"/>
    </row>
    <row r="490" spans="1:8" ht="12.5" x14ac:dyDescent="0.25">
      <c r="A490" s="14"/>
      <c r="C490" s="68"/>
      <c r="D490" s="68"/>
      <c r="E490" s="68"/>
      <c r="F490" s="70"/>
      <c r="G490" s="70"/>
      <c r="H490" s="70"/>
    </row>
    <row r="491" spans="1:8" ht="12.5" x14ac:dyDescent="0.25">
      <c r="A491" s="14"/>
      <c r="C491" s="68"/>
      <c r="D491" s="68"/>
      <c r="E491" s="68"/>
      <c r="F491" s="70"/>
      <c r="G491" s="70"/>
      <c r="H491" s="70"/>
    </row>
    <row r="492" spans="1:8" ht="12.5" x14ac:dyDescent="0.25">
      <c r="A492" s="14"/>
      <c r="C492" s="68"/>
      <c r="D492" s="68"/>
      <c r="E492" s="68"/>
      <c r="F492" s="70"/>
      <c r="G492" s="70"/>
      <c r="H492" s="70"/>
    </row>
    <row r="493" spans="1:8" ht="12.5" x14ac:dyDescent="0.25">
      <c r="A493" s="14"/>
      <c r="C493" s="68"/>
      <c r="D493" s="68"/>
      <c r="E493" s="68"/>
      <c r="F493" s="70"/>
      <c r="G493" s="70"/>
      <c r="H493" s="70"/>
    </row>
    <row r="494" spans="1:8" ht="12.5" x14ac:dyDescent="0.25">
      <c r="A494" s="14"/>
      <c r="C494" s="68"/>
      <c r="D494" s="68"/>
      <c r="E494" s="68"/>
      <c r="F494" s="70"/>
      <c r="G494" s="70"/>
      <c r="H494" s="70"/>
    </row>
    <row r="495" spans="1:8" ht="12.5" x14ac:dyDescent="0.25">
      <c r="A495" s="14"/>
      <c r="C495" s="68"/>
      <c r="D495" s="68"/>
      <c r="E495" s="68"/>
      <c r="F495" s="70"/>
      <c r="G495" s="70"/>
      <c r="H495" s="70"/>
    </row>
    <row r="496" spans="1:8" ht="12.5" x14ac:dyDescent="0.25">
      <c r="A496" s="14"/>
      <c r="C496" s="68"/>
      <c r="D496" s="68"/>
      <c r="E496" s="68"/>
      <c r="F496" s="70"/>
      <c r="G496" s="70"/>
      <c r="H496" s="70"/>
    </row>
    <row r="497" spans="1:8" ht="12.5" x14ac:dyDescent="0.25">
      <c r="A497" s="14"/>
      <c r="C497" s="68"/>
      <c r="D497" s="68"/>
      <c r="E497" s="68"/>
      <c r="F497" s="70"/>
      <c r="G497" s="70"/>
      <c r="H497" s="70"/>
    </row>
    <row r="498" spans="1:8" ht="12.5" x14ac:dyDescent="0.25">
      <c r="A498" s="14"/>
      <c r="C498" s="68"/>
      <c r="D498" s="68"/>
      <c r="E498" s="68"/>
      <c r="F498" s="70"/>
      <c r="G498" s="70"/>
      <c r="H498" s="70"/>
    </row>
    <row r="499" spans="1:8" ht="12.5" x14ac:dyDescent="0.25">
      <c r="A499" s="14"/>
      <c r="C499" s="68"/>
      <c r="D499" s="68"/>
      <c r="E499" s="68"/>
      <c r="F499" s="70"/>
      <c r="G499" s="70"/>
      <c r="H499" s="70"/>
    </row>
    <row r="500" spans="1:8" ht="12.5" x14ac:dyDescent="0.25">
      <c r="A500" s="14"/>
      <c r="C500" s="68"/>
      <c r="D500" s="68"/>
      <c r="E500" s="68"/>
      <c r="F500" s="70"/>
      <c r="G500" s="70"/>
      <c r="H500" s="70"/>
    </row>
    <row r="501" spans="1:8" ht="12.5" x14ac:dyDescent="0.25">
      <c r="A501" s="14"/>
      <c r="C501" s="68"/>
      <c r="D501" s="68"/>
      <c r="E501" s="68"/>
      <c r="F501" s="70"/>
      <c r="G501" s="70"/>
      <c r="H501" s="70"/>
    </row>
    <row r="502" spans="1:8" ht="12.5" x14ac:dyDescent="0.25">
      <c r="A502" s="14"/>
      <c r="C502" s="68"/>
      <c r="D502" s="68"/>
      <c r="E502" s="68"/>
      <c r="F502" s="70"/>
      <c r="G502" s="70"/>
      <c r="H502" s="70"/>
    </row>
    <row r="503" spans="1:8" ht="12.5" x14ac:dyDescent="0.25">
      <c r="A503" s="14"/>
      <c r="C503" s="68"/>
      <c r="D503" s="68"/>
      <c r="E503" s="68"/>
      <c r="F503" s="70"/>
      <c r="G503" s="70"/>
      <c r="H503" s="70"/>
    </row>
    <row r="504" spans="1:8" ht="12.5" x14ac:dyDescent="0.25">
      <c r="A504" s="14"/>
      <c r="C504" s="68"/>
      <c r="D504" s="68"/>
      <c r="E504" s="68"/>
      <c r="F504" s="70"/>
      <c r="G504" s="70"/>
      <c r="H504" s="70"/>
    </row>
    <row r="505" spans="1:8" ht="12.5" x14ac:dyDescent="0.25">
      <c r="A505" s="14"/>
      <c r="C505" s="68"/>
      <c r="D505" s="68"/>
      <c r="E505" s="68"/>
      <c r="F505" s="70"/>
      <c r="G505" s="70"/>
      <c r="H505" s="70"/>
    </row>
    <row r="506" spans="1:8" ht="12.5" x14ac:dyDescent="0.25">
      <c r="A506" s="14"/>
      <c r="C506" s="68"/>
      <c r="D506" s="68"/>
      <c r="E506" s="68"/>
      <c r="F506" s="70"/>
      <c r="G506" s="70"/>
      <c r="H506" s="70"/>
    </row>
    <row r="507" spans="1:8" ht="12.5" x14ac:dyDescent="0.25">
      <c r="A507" s="14"/>
      <c r="C507" s="68"/>
      <c r="D507" s="68"/>
      <c r="E507" s="68"/>
      <c r="F507" s="70"/>
      <c r="G507" s="70"/>
      <c r="H507" s="70"/>
    </row>
    <row r="508" spans="1:8" ht="12.5" x14ac:dyDescent="0.25">
      <c r="A508" s="14"/>
      <c r="C508" s="68"/>
      <c r="D508" s="68"/>
      <c r="E508" s="68"/>
      <c r="F508" s="70"/>
      <c r="G508" s="70"/>
      <c r="H508" s="70"/>
    </row>
    <row r="509" spans="1:8" ht="12.5" x14ac:dyDescent="0.25">
      <c r="A509" s="14"/>
      <c r="C509" s="68"/>
      <c r="D509" s="68"/>
      <c r="E509" s="68"/>
      <c r="F509" s="70"/>
      <c r="G509" s="70"/>
      <c r="H509" s="70"/>
    </row>
    <row r="510" spans="1:8" ht="12.5" x14ac:dyDescent="0.25">
      <c r="A510" s="14"/>
      <c r="C510" s="68"/>
      <c r="D510" s="68"/>
      <c r="E510" s="68"/>
      <c r="F510" s="70"/>
      <c r="G510" s="70"/>
      <c r="H510" s="70"/>
    </row>
    <row r="511" spans="1:8" ht="12.5" x14ac:dyDescent="0.25">
      <c r="A511" s="14"/>
      <c r="C511" s="68"/>
      <c r="D511" s="68"/>
      <c r="E511" s="68"/>
      <c r="F511" s="70"/>
      <c r="G511" s="70"/>
      <c r="H511" s="70"/>
    </row>
    <row r="512" spans="1:8" ht="12.5" x14ac:dyDescent="0.25">
      <c r="A512" s="14"/>
      <c r="C512" s="68"/>
      <c r="D512" s="68"/>
      <c r="E512" s="68"/>
      <c r="F512" s="70"/>
      <c r="G512" s="70"/>
      <c r="H512" s="70"/>
    </row>
    <row r="513" spans="1:8" ht="12.5" x14ac:dyDescent="0.25">
      <c r="A513" s="14"/>
      <c r="C513" s="68"/>
      <c r="D513" s="68"/>
      <c r="E513" s="68"/>
      <c r="F513" s="70"/>
      <c r="G513" s="70"/>
      <c r="H513" s="70"/>
    </row>
    <row r="514" spans="1:8" ht="12.5" x14ac:dyDescent="0.25">
      <c r="A514" s="14"/>
      <c r="C514" s="68"/>
      <c r="D514" s="68"/>
      <c r="E514" s="68"/>
      <c r="F514" s="70"/>
      <c r="G514" s="70"/>
      <c r="H514" s="70"/>
    </row>
    <row r="515" spans="1:8" ht="12.5" x14ac:dyDescent="0.25">
      <c r="A515" s="14"/>
      <c r="C515" s="68"/>
      <c r="D515" s="68"/>
      <c r="E515" s="68"/>
      <c r="F515" s="70"/>
      <c r="G515" s="70"/>
      <c r="H515" s="70"/>
    </row>
    <row r="516" spans="1:8" ht="12.5" x14ac:dyDescent="0.25">
      <c r="A516" s="14"/>
      <c r="C516" s="68"/>
      <c r="D516" s="68"/>
      <c r="E516" s="68"/>
      <c r="F516" s="70"/>
      <c r="G516" s="70"/>
      <c r="H516" s="70"/>
    </row>
    <row r="517" spans="1:8" ht="12.5" x14ac:dyDescent="0.25">
      <c r="A517" s="14"/>
      <c r="C517" s="68"/>
      <c r="D517" s="68"/>
      <c r="E517" s="68"/>
      <c r="F517" s="70"/>
      <c r="G517" s="70"/>
      <c r="H517" s="70"/>
    </row>
    <row r="518" spans="1:8" ht="12.5" x14ac:dyDescent="0.25">
      <c r="A518" s="14"/>
      <c r="C518" s="68"/>
      <c r="D518" s="68"/>
      <c r="E518" s="68"/>
      <c r="F518" s="70"/>
      <c r="G518" s="70"/>
      <c r="H518" s="70"/>
    </row>
    <row r="519" spans="1:8" ht="12.5" x14ac:dyDescent="0.25">
      <c r="A519" s="14"/>
      <c r="C519" s="68"/>
      <c r="D519" s="68"/>
      <c r="E519" s="68"/>
      <c r="F519" s="70"/>
      <c r="G519" s="70"/>
      <c r="H519" s="70"/>
    </row>
    <row r="520" spans="1:8" ht="12.5" x14ac:dyDescent="0.25">
      <c r="A520" s="14"/>
      <c r="C520" s="68"/>
      <c r="D520" s="68"/>
      <c r="E520" s="68"/>
      <c r="F520" s="70"/>
      <c r="G520" s="70"/>
      <c r="H520" s="70"/>
    </row>
    <row r="521" spans="1:8" ht="12.5" x14ac:dyDescent="0.25">
      <c r="A521" s="14"/>
      <c r="C521" s="68"/>
      <c r="D521" s="68"/>
      <c r="E521" s="68"/>
      <c r="F521" s="70"/>
      <c r="G521" s="70"/>
      <c r="H521" s="70"/>
    </row>
    <row r="522" spans="1:8" ht="12.5" x14ac:dyDescent="0.25">
      <c r="A522" s="14"/>
      <c r="C522" s="68"/>
      <c r="D522" s="68"/>
      <c r="E522" s="68"/>
      <c r="F522" s="70"/>
      <c r="G522" s="70"/>
      <c r="H522" s="70"/>
    </row>
    <row r="523" spans="1:8" ht="12.5" x14ac:dyDescent="0.25">
      <c r="A523" s="14"/>
      <c r="C523" s="68"/>
      <c r="D523" s="68"/>
      <c r="E523" s="68"/>
      <c r="F523" s="70"/>
      <c r="G523" s="70"/>
      <c r="H523" s="70"/>
    </row>
    <row r="524" spans="1:8" ht="12.5" x14ac:dyDescent="0.25">
      <c r="A524" s="14"/>
      <c r="C524" s="68"/>
      <c r="D524" s="68"/>
      <c r="E524" s="68"/>
      <c r="F524" s="70"/>
      <c r="G524" s="70"/>
      <c r="H524" s="70"/>
    </row>
    <row r="525" spans="1:8" ht="12.5" x14ac:dyDescent="0.25">
      <c r="A525" s="14"/>
      <c r="C525" s="68"/>
      <c r="D525" s="68"/>
      <c r="E525" s="68"/>
      <c r="F525" s="70"/>
      <c r="G525" s="70"/>
      <c r="H525" s="70"/>
    </row>
    <row r="526" spans="1:8" ht="12.5" x14ac:dyDescent="0.25">
      <c r="A526" s="14"/>
      <c r="C526" s="68"/>
      <c r="D526" s="68"/>
      <c r="E526" s="68"/>
      <c r="F526" s="70"/>
      <c r="G526" s="70"/>
      <c r="H526" s="70"/>
    </row>
    <row r="527" spans="1:8" ht="12.5" x14ac:dyDescent="0.25">
      <c r="A527" s="14"/>
      <c r="C527" s="68"/>
      <c r="D527" s="68"/>
      <c r="E527" s="68"/>
      <c r="F527" s="70"/>
      <c r="G527" s="70"/>
      <c r="H527" s="70"/>
    </row>
    <row r="528" spans="1:8" ht="12.5" x14ac:dyDescent="0.25">
      <c r="A528" s="14"/>
      <c r="C528" s="68"/>
      <c r="D528" s="68"/>
      <c r="E528" s="68"/>
      <c r="F528" s="70"/>
      <c r="G528" s="70"/>
      <c r="H528" s="70"/>
    </row>
    <row r="529" spans="1:8" ht="12.5" x14ac:dyDescent="0.25">
      <c r="A529" s="14"/>
      <c r="C529" s="68"/>
      <c r="D529" s="68"/>
      <c r="E529" s="68"/>
      <c r="F529" s="70"/>
      <c r="G529" s="70"/>
      <c r="H529" s="70"/>
    </row>
    <row r="530" spans="1:8" ht="12.5" x14ac:dyDescent="0.25">
      <c r="A530" s="14"/>
      <c r="C530" s="68"/>
      <c r="D530" s="68"/>
      <c r="E530" s="68"/>
      <c r="F530" s="70"/>
      <c r="G530" s="70"/>
      <c r="H530" s="70"/>
    </row>
    <row r="531" spans="1:8" ht="12.5" x14ac:dyDescent="0.25">
      <c r="A531" s="14"/>
      <c r="C531" s="68"/>
      <c r="D531" s="68"/>
      <c r="E531" s="68"/>
      <c r="F531" s="70"/>
      <c r="G531" s="70"/>
      <c r="H531" s="70"/>
    </row>
    <row r="532" spans="1:8" ht="12.5" x14ac:dyDescent="0.25">
      <c r="A532" s="14"/>
      <c r="C532" s="68"/>
      <c r="D532" s="68"/>
      <c r="E532" s="68"/>
      <c r="F532" s="70"/>
      <c r="G532" s="70"/>
      <c r="H532" s="70"/>
    </row>
    <row r="533" spans="1:8" ht="12.5" x14ac:dyDescent="0.25">
      <c r="A533" s="14"/>
      <c r="C533" s="68"/>
      <c r="D533" s="68"/>
      <c r="E533" s="68"/>
      <c r="F533" s="70"/>
      <c r="G533" s="70"/>
      <c r="H533" s="70"/>
    </row>
    <row r="534" spans="1:8" ht="12.5" x14ac:dyDescent="0.25">
      <c r="A534" s="14"/>
      <c r="C534" s="68"/>
      <c r="D534" s="68"/>
      <c r="E534" s="68"/>
      <c r="F534" s="70"/>
      <c r="G534" s="70"/>
      <c r="H534" s="70"/>
    </row>
    <row r="535" spans="1:8" ht="12.5" x14ac:dyDescent="0.25">
      <c r="A535" s="14"/>
      <c r="C535" s="68"/>
      <c r="D535" s="68"/>
      <c r="E535" s="68"/>
      <c r="F535" s="70"/>
      <c r="G535" s="70"/>
      <c r="H535" s="70"/>
    </row>
    <row r="536" spans="1:8" ht="12.5" x14ac:dyDescent="0.25">
      <c r="A536" s="14"/>
      <c r="C536" s="68"/>
      <c r="D536" s="68"/>
      <c r="E536" s="68"/>
      <c r="F536" s="70"/>
      <c r="G536" s="70"/>
      <c r="H536" s="70"/>
    </row>
    <row r="537" spans="1:8" ht="12.5" x14ac:dyDescent="0.25">
      <c r="A537" s="14"/>
      <c r="C537" s="68"/>
      <c r="D537" s="68"/>
      <c r="E537" s="68"/>
      <c r="F537" s="70"/>
      <c r="G537" s="70"/>
      <c r="H537" s="70"/>
    </row>
    <row r="538" spans="1:8" ht="12.5" x14ac:dyDescent="0.25">
      <c r="A538" s="14"/>
      <c r="C538" s="68"/>
      <c r="D538" s="68"/>
      <c r="E538" s="68"/>
      <c r="F538" s="70"/>
      <c r="G538" s="70"/>
      <c r="H538" s="70"/>
    </row>
    <row r="539" spans="1:8" ht="12.5" x14ac:dyDescent="0.25">
      <c r="A539" s="14"/>
      <c r="C539" s="68"/>
      <c r="D539" s="68"/>
      <c r="E539" s="68"/>
      <c r="F539" s="70"/>
      <c r="G539" s="70"/>
      <c r="H539" s="70"/>
    </row>
    <row r="540" spans="1:8" ht="12.5" x14ac:dyDescent="0.25">
      <c r="A540" s="14"/>
      <c r="C540" s="68"/>
      <c r="D540" s="68"/>
      <c r="E540" s="68"/>
      <c r="F540" s="70"/>
      <c r="G540" s="70"/>
      <c r="H540" s="70"/>
    </row>
    <row r="541" spans="1:8" ht="12.5" x14ac:dyDescent="0.25">
      <c r="A541" s="14"/>
      <c r="C541" s="68"/>
      <c r="D541" s="68"/>
      <c r="E541" s="68"/>
      <c r="F541" s="70"/>
      <c r="G541" s="70"/>
      <c r="H541" s="70"/>
    </row>
    <row r="542" spans="1:8" ht="12.5" x14ac:dyDescent="0.25">
      <c r="A542" s="14"/>
      <c r="C542" s="68"/>
      <c r="D542" s="68"/>
      <c r="E542" s="68"/>
      <c r="F542" s="70"/>
      <c r="G542" s="70"/>
      <c r="H542" s="70"/>
    </row>
    <row r="543" spans="1:8" ht="12.5" x14ac:dyDescent="0.25">
      <c r="A543" s="14"/>
      <c r="C543" s="68"/>
      <c r="D543" s="68"/>
      <c r="E543" s="68"/>
      <c r="F543" s="70"/>
      <c r="G543" s="70"/>
      <c r="H543" s="70"/>
    </row>
    <row r="544" spans="1:8" ht="12.5" x14ac:dyDescent="0.25">
      <c r="A544" s="14"/>
      <c r="C544" s="68"/>
      <c r="D544" s="68"/>
      <c r="E544" s="68"/>
      <c r="F544" s="70"/>
      <c r="G544" s="70"/>
      <c r="H544" s="70"/>
    </row>
    <row r="545" spans="1:8" ht="12.5" x14ac:dyDescent="0.25">
      <c r="A545" s="14"/>
      <c r="C545" s="68"/>
      <c r="D545" s="68"/>
      <c r="E545" s="68"/>
      <c r="F545" s="70"/>
      <c r="G545" s="70"/>
      <c r="H545" s="70"/>
    </row>
    <row r="546" spans="1:8" ht="12.5" x14ac:dyDescent="0.25">
      <c r="A546" s="14"/>
      <c r="C546" s="68"/>
      <c r="D546" s="68"/>
      <c r="E546" s="68"/>
      <c r="F546" s="70"/>
      <c r="G546" s="70"/>
      <c r="H546" s="70"/>
    </row>
    <row r="547" spans="1:8" ht="12.5" x14ac:dyDescent="0.25">
      <c r="A547" s="14"/>
      <c r="C547" s="68"/>
      <c r="D547" s="68"/>
      <c r="E547" s="68"/>
      <c r="F547" s="70"/>
      <c r="G547" s="70"/>
      <c r="H547" s="70"/>
    </row>
    <row r="548" spans="1:8" ht="12.5" x14ac:dyDescent="0.25">
      <c r="A548" s="14"/>
      <c r="C548" s="68"/>
      <c r="D548" s="68"/>
      <c r="E548" s="68"/>
      <c r="F548" s="70"/>
      <c r="G548" s="70"/>
      <c r="H548" s="70"/>
    </row>
    <row r="549" spans="1:8" ht="12.5" x14ac:dyDescent="0.25">
      <c r="A549" s="14"/>
      <c r="C549" s="68"/>
      <c r="D549" s="68"/>
      <c r="E549" s="68"/>
      <c r="F549" s="70"/>
      <c r="G549" s="70"/>
      <c r="H549" s="70"/>
    </row>
    <row r="550" spans="1:8" ht="12.5" x14ac:dyDescent="0.25">
      <c r="A550" s="14"/>
      <c r="C550" s="68"/>
      <c r="D550" s="68"/>
      <c r="E550" s="68"/>
      <c r="F550" s="70"/>
      <c r="G550" s="70"/>
      <c r="H550" s="70"/>
    </row>
    <row r="551" spans="1:8" ht="12.5" x14ac:dyDescent="0.25">
      <c r="A551" s="14"/>
      <c r="C551" s="68"/>
      <c r="D551" s="68"/>
      <c r="E551" s="68"/>
      <c r="F551" s="70"/>
      <c r="G551" s="70"/>
      <c r="H551" s="70"/>
    </row>
    <row r="552" spans="1:8" ht="12.5" x14ac:dyDescent="0.25">
      <c r="A552" s="14"/>
      <c r="C552" s="68"/>
      <c r="D552" s="68"/>
      <c r="E552" s="68"/>
      <c r="F552" s="70"/>
      <c r="G552" s="70"/>
      <c r="H552" s="70"/>
    </row>
    <row r="553" spans="1:8" ht="12.5" x14ac:dyDescent="0.25">
      <c r="A553" s="14"/>
      <c r="C553" s="68"/>
      <c r="D553" s="68"/>
      <c r="E553" s="68"/>
      <c r="F553" s="70"/>
      <c r="G553" s="70"/>
      <c r="H553" s="70"/>
    </row>
    <row r="554" spans="1:8" ht="12.5" x14ac:dyDescent="0.25">
      <c r="A554" s="14"/>
      <c r="C554" s="68"/>
      <c r="D554" s="68"/>
      <c r="E554" s="68"/>
      <c r="F554" s="70"/>
      <c r="G554" s="70"/>
      <c r="H554" s="70"/>
    </row>
    <row r="555" spans="1:8" ht="12.5" x14ac:dyDescent="0.25">
      <c r="A555" s="14"/>
      <c r="C555" s="68"/>
      <c r="D555" s="68"/>
      <c r="E555" s="68"/>
      <c r="F555" s="70"/>
      <c r="G555" s="70"/>
      <c r="H555" s="70"/>
    </row>
    <row r="556" spans="1:8" ht="12.5" x14ac:dyDescent="0.25">
      <c r="A556" s="14"/>
      <c r="C556" s="68"/>
      <c r="D556" s="68"/>
      <c r="E556" s="68"/>
      <c r="F556" s="70"/>
      <c r="G556" s="70"/>
      <c r="H556" s="70"/>
    </row>
    <row r="557" spans="1:8" ht="12.5" x14ac:dyDescent="0.25">
      <c r="A557" s="14"/>
      <c r="C557" s="68"/>
      <c r="D557" s="68"/>
      <c r="E557" s="68"/>
      <c r="F557" s="70"/>
      <c r="G557" s="70"/>
      <c r="H557" s="70"/>
    </row>
    <row r="558" spans="1:8" ht="12.5" x14ac:dyDescent="0.25">
      <c r="A558" s="14"/>
      <c r="C558" s="68"/>
      <c r="D558" s="68"/>
      <c r="E558" s="68"/>
      <c r="F558" s="70"/>
      <c r="G558" s="70"/>
      <c r="H558" s="70"/>
    </row>
    <row r="559" spans="1:8" ht="12.5" x14ac:dyDescent="0.25">
      <c r="A559" s="14"/>
      <c r="C559" s="68"/>
      <c r="D559" s="68"/>
      <c r="E559" s="68"/>
      <c r="F559" s="70"/>
      <c r="G559" s="70"/>
      <c r="H559" s="70"/>
    </row>
    <row r="560" spans="1:8" ht="12.5" x14ac:dyDescent="0.25">
      <c r="A560" s="14"/>
      <c r="C560" s="68"/>
      <c r="D560" s="68"/>
      <c r="E560" s="68"/>
      <c r="F560" s="70"/>
      <c r="G560" s="70"/>
      <c r="H560" s="70"/>
    </row>
    <row r="561" spans="1:8" ht="12.5" x14ac:dyDescent="0.25">
      <c r="A561" s="14"/>
      <c r="C561" s="68"/>
      <c r="D561" s="68"/>
      <c r="E561" s="68"/>
      <c r="F561" s="70"/>
      <c r="G561" s="70"/>
      <c r="H561" s="70"/>
    </row>
    <row r="562" spans="1:8" ht="12.5" x14ac:dyDescent="0.25">
      <c r="A562" s="14"/>
      <c r="C562" s="68"/>
      <c r="D562" s="68"/>
      <c r="E562" s="68"/>
      <c r="F562" s="70"/>
      <c r="G562" s="70"/>
      <c r="H562" s="70"/>
    </row>
    <row r="563" spans="1:8" ht="12.5" x14ac:dyDescent="0.25">
      <c r="A563" s="14"/>
      <c r="C563" s="68"/>
      <c r="D563" s="68"/>
      <c r="E563" s="68"/>
      <c r="F563" s="70"/>
      <c r="G563" s="70"/>
      <c r="H563" s="70"/>
    </row>
    <row r="564" spans="1:8" ht="12.5" x14ac:dyDescent="0.25">
      <c r="A564" s="14"/>
      <c r="C564" s="68"/>
      <c r="D564" s="68"/>
      <c r="E564" s="68"/>
      <c r="F564" s="70"/>
      <c r="G564" s="70"/>
      <c r="H564" s="70"/>
    </row>
    <row r="565" spans="1:8" ht="12.5" x14ac:dyDescent="0.25">
      <c r="A565" s="14"/>
      <c r="C565" s="68"/>
      <c r="D565" s="68"/>
      <c r="E565" s="68"/>
      <c r="F565" s="70"/>
      <c r="G565" s="70"/>
      <c r="H565" s="70"/>
    </row>
    <row r="566" spans="1:8" ht="12.5" x14ac:dyDescent="0.25">
      <c r="A566" s="14"/>
      <c r="C566" s="68"/>
      <c r="D566" s="68"/>
      <c r="E566" s="68"/>
      <c r="F566" s="70"/>
      <c r="G566" s="70"/>
      <c r="H566" s="70"/>
    </row>
    <row r="567" spans="1:8" ht="12.5" x14ac:dyDescent="0.25">
      <c r="A567" s="14"/>
      <c r="C567" s="68"/>
      <c r="D567" s="68"/>
      <c r="E567" s="68"/>
      <c r="F567" s="70"/>
      <c r="G567" s="70"/>
      <c r="H567" s="70"/>
    </row>
    <row r="568" spans="1:8" ht="12.5" x14ac:dyDescent="0.25">
      <c r="A568" s="14"/>
      <c r="C568" s="68"/>
      <c r="D568" s="68"/>
      <c r="E568" s="68"/>
      <c r="F568" s="70"/>
      <c r="G568" s="70"/>
      <c r="H568" s="70"/>
    </row>
    <row r="569" spans="1:8" ht="12.5" x14ac:dyDescent="0.25">
      <c r="A569" s="14"/>
      <c r="C569" s="68"/>
      <c r="D569" s="68"/>
      <c r="E569" s="68"/>
      <c r="F569" s="70"/>
      <c r="G569" s="70"/>
      <c r="H569" s="70"/>
    </row>
    <row r="570" spans="1:8" ht="12.5" x14ac:dyDescent="0.25">
      <c r="A570" s="14"/>
      <c r="C570" s="68"/>
      <c r="D570" s="68"/>
      <c r="E570" s="68"/>
      <c r="F570" s="70"/>
      <c r="G570" s="70"/>
      <c r="H570" s="70"/>
    </row>
    <row r="571" spans="1:8" ht="12.5" x14ac:dyDescent="0.25">
      <c r="A571" s="14"/>
      <c r="C571" s="68"/>
      <c r="D571" s="68"/>
      <c r="E571" s="68"/>
      <c r="F571" s="70"/>
      <c r="G571" s="70"/>
      <c r="H571" s="70"/>
    </row>
    <row r="572" spans="1:8" ht="12.5" x14ac:dyDescent="0.25">
      <c r="A572" s="14"/>
      <c r="C572" s="68"/>
      <c r="D572" s="68"/>
      <c r="E572" s="68"/>
      <c r="F572" s="70"/>
      <c r="G572" s="70"/>
      <c r="H572" s="70"/>
    </row>
    <row r="573" spans="1:8" ht="12.5" x14ac:dyDescent="0.25">
      <c r="A573" s="14"/>
      <c r="C573" s="68"/>
      <c r="D573" s="68"/>
      <c r="E573" s="68"/>
      <c r="F573" s="70"/>
      <c r="G573" s="70"/>
      <c r="H573" s="70"/>
    </row>
    <row r="574" spans="1:8" ht="12.5" x14ac:dyDescent="0.25">
      <c r="A574" s="14"/>
      <c r="C574" s="68"/>
      <c r="D574" s="68"/>
      <c r="E574" s="68"/>
      <c r="F574" s="70"/>
      <c r="G574" s="70"/>
      <c r="H574" s="70"/>
    </row>
    <row r="575" spans="1:8" ht="12.5" x14ac:dyDescent="0.25">
      <c r="A575" s="14"/>
      <c r="C575" s="68"/>
      <c r="D575" s="68"/>
      <c r="E575" s="68"/>
      <c r="F575" s="70"/>
      <c r="G575" s="70"/>
      <c r="H575" s="70"/>
    </row>
    <row r="576" spans="1:8" ht="12.5" x14ac:dyDescent="0.25">
      <c r="A576" s="14"/>
      <c r="C576" s="68"/>
      <c r="D576" s="68"/>
      <c r="E576" s="68"/>
      <c r="F576" s="70"/>
      <c r="G576" s="70"/>
      <c r="H576" s="70"/>
    </row>
    <row r="577" spans="1:8" ht="12.5" x14ac:dyDescent="0.25">
      <c r="A577" s="14"/>
      <c r="C577" s="68"/>
      <c r="D577" s="68"/>
      <c r="E577" s="68"/>
      <c r="F577" s="70"/>
      <c r="G577" s="70"/>
      <c r="H577" s="70"/>
    </row>
    <row r="578" spans="1:8" ht="12.5" x14ac:dyDescent="0.25">
      <c r="A578" s="14"/>
      <c r="C578" s="68"/>
      <c r="D578" s="68"/>
      <c r="E578" s="68"/>
      <c r="F578" s="70"/>
      <c r="G578" s="70"/>
      <c r="H578" s="70"/>
    </row>
    <row r="579" spans="1:8" ht="12.5" x14ac:dyDescent="0.25">
      <c r="A579" s="14"/>
      <c r="C579" s="68"/>
      <c r="D579" s="68"/>
      <c r="E579" s="68"/>
      <c r="F579" s="70"/>
      <c r="G579" s="70"/>
      <c r="H579" s="70"/>
    </row>
    <row r="580" spans="1:8" ht="12.5" x14ac:dyDescent="0.25">
      <c r="A580" s="14"/>
      <c r="C580" s="68"/>
      <c r="D580" s="68"/>
      <c r="E580" s="68"/>
      <c r="F580" s="70"/>
      <c r="G580" s="70"/>
      <c r="H580" s="70"/>
    </row>
    <row r="581" spans="1:8" ht="12.5" x14ac:dyDescent="0.25">
      <c r="A581" s="14"/>
      <c r="C581" s="68"/>
      <c r="D581" s="68"/>
      <c r="E581" s="68"/>
      <c r="F581" s="70"/>
      <c r="G581" s="70"/>
      <c r="H581" s="70"/>
    </row>
    <row r="582" spans="1:8" ht="12.5" x14ac:dyDescent="0.25">
      <c r="A582" s="14"/>
      <c r="C582" s="68"/>
      <c r="D582" s="68"/>
      <c r="E582" s="68"/>
      <c r="F582" s="70"/>
      <c r="G582" s="70"/>
      <c r="H582" s="70"/>
    </row>
    <row r="583" spans="1:8" ht="12.5" x14ac:dyDescent="0.25">
      <c r="A583" s="14"/>
      <c r="C583" s="68"/>
      <c r="D583" s="68"/>
      <c r="E583" s="68"/>
      <c r="F583" s="70"/>
      <c r="G583" s="70"/>
      <c r="H583" s="70"/>
    </row>
    <row r="584" spans="1:8" ht="12.5" x14ac:dyDescent="0.25">
      <c r="A584" s="14"/>
      <c r="C584" s="68"/>
      <c r="D584" s="68"/>
      <c r="E584" s="68"/>
      <c r="F584" s="70"/>
      <c r="G584" s="70"/>
      <c r="H584" s="70"/>
    </row>
    <row r="585" spans="1:8" ht="12.5" x14ac:dyDescent="0.25">
      <c r="A585" s="14"/>
      <c r="C585" s="68"/>
      <c r="D585" s="68"/>
      <c r="E585" s="68"/>
      <c r="F585" s="70"/>
      <c r="G585" s="70"/>
      <c r="H585" s="70"/>
    </row>
    <row r="586" spans="1:8" ht="12.5" x14ac:dyDescent="0.25">
      <c r="A586" s="14"/>
      <c r="C586" s="68"/>
      <c r="D586" s="68"/>
      <c r="E586" s="68"/>
      <c r="F586" s="70"/>
      <c r="G586" s="70"/>
      <c r="H586" s="70"/>
    </row>
    <row r="587" spans="1:8" ht="12.5" x14ac:dyDescent="0.25">
      <c r="A587" s="14"/>
      <c r="C587" s="68"/>
      <c r="D587" s="68"/>
      <c r="E587" s="68"/>
      <c r="F587" s="70"/>
      <c r="G587" s="70"/>
      <c r="H587" s="70"/>
    </row>
    <row r="588" spans="1:8" ht="12.5" x14ac:dyDescent="0.25">
      <c r="A588" s="14"/>
      <c r="C588" s="68"/>
      <c r="D588" s="68"/>
      <c r="E588" s="68"/>
      <c r="F588" s="70"/>
      <c r="G588" s="70"/>
      <c r="H588" s="70"/>
    </row>
    <row r="589" spans="1:8" ht="12.5" x14ac:dyDescent="0.25">
      <c r="A589" s="14"/>
      <c r="C589" s="68"/>
      <c r="D589" s="68"/>
      <c r="E589" s="68"/>
      <c r="F589" s="70"/>
      <c r="G589" s="70"/>
      <c r="H589" s="70"/>
    </row>
    <row r="590" spans="1:8" ht="12.5" x14ac:dyDescent="0.25">
      <c r="A590" s="14"/>
      <c r="C590" s="68"/>
      <c r="D590" s="68"/>
      <c r="E590" s="68"/>
      <c r="F590" s="70"/>
      <c r="G590" s="70"/>
      <c r="H590" s="70"/>
    </row>
    <row r="591" spans="1:8" ht="12.5" x14ac:dyDescent="0.25">
      <c r="A591" s="14"/>
      <c r="C591" s="68"/>
      <c r="D591" s="68"/>
      <c r="E591" s="68"/>
      <c r="F591" s="70"/>
      <c r="G591" s="70"/>
      <c r="H591" s="70"/>
    </row>
    <row r="592" spans="1:8" ht="12.5" x14ac:dyDescent="0.25">
      <c r="A592" s="14"/>
      <c r="C592" s="68"/>
      <c r="D592" s="68"/>
      <c r="E592" s="68"/>
      <c r="F592" s="70"/>
      <c r="G592" s="70"/>
      <c r="H592" s="70"/>
    </row>
    <row r="593" spans="1:8" ht="12.5" x14ac:dyDescent="0.25">
      <c r="A593" s="14"/>
      <c r="C593" s="68"/>
      <c r="D593" s="68"/>
      <c r="E593" s="68"/>
      <c r="F593" s="70"/>
      <c r="G593" s="70"/>
      <c r="H593" s="70"/>
    </row>
    <row r="594" spans="1:8" ht="12.5" x14ac:dyDescent="0.25">
      <c r="A594" s="14"/>
      <c r="C594" s="68"/>
      <c r="D594" s="68"/>
      <c r="E594" s="68"/>
      <c r="F594" s="70"/>
      <c r="G594" s="70"/>
      <c r="H594" s="70"/>
    </row>
    <row r="595" spans="1:8" ht="12.5" x14ac:dyDescent="0.25">
      <c r="A595" s="14"/>
      <c r="C595" s="68"/>
      <c r="D595" s="68"/>
      <c r="E595" s="68"/>
      <c r="F595" s="70"/>
      <c r="G595" s="70"/>
      <c r="H595" s="70"/>
    </row>
    <row r="596" spans="1:8" ht="12.5" x14ac:dyDescent="0.25">
      <c r="A596" s="14"/>
      <c r="C596" s="68"/>
      <c r="D596" s="68"/>
      <c r="E596" s="68"/>
      <c r="F596" s="70"/>
      <c r="G596" s="70"/>
      <c r="H596" s="70"/>
    </row>
    <row r="597" spans="1:8" ht="12.5" x14ac:dyDescent="0.25">
      <c r="A597" s="14"/>
      <c r="C597" s="68"/>
      <c r="D597" s="68"/>
      <c r="E597" s="68"/>
      <c r="F597" s="70"/>
      <c r="G597" s="70"/>
      <c r="H597" s="70"/>
    </row>
    <row r="598" spans="1:8" ht="12.5" x14ac:dyDescent="0.25">
      <c r="A598" s="14"/>
      <c r="C598" s="68"/>
      <c r="D598" s="68"/>
      <c r="E598" s="68"/>
      <c r="F598" s="70"/>
      <c r="G598" s="70"/>
      <c r="H598" s="70"/>
    </row>
    <row r="599" spans="1:8" ht="12.5" x14ac:dyDescent="0.25">
      <c r="A599" s="14"/>
      <c r="C599" s="68"/>
      <c r="D599" s="68"/>
      <c r="E599" s="68"/>
      <c r="F599" s="70"/>
      <c r="G599" s="70"/>
      <c r="H599" s="70"/>
    </row>
    <row r="600" spans="1:8" ht="12.5" x14ac:dyDescent="0.25">
      <c r="A600" s="14"/>
      <c r="C600" s="68"/>
      <c r="D600" s="68"/>
      <c r="E600" s="68"/>
      <c r="F600" s="70"/>
      <c r="G600" s="70"/>
      <c r="H600" s="70"/>
    </row>
    <row r="601" spans="1:8" ht="12.5" x14ac:dyDescent="0.25">
      <c r="A601" s="14"/>
      <c r="C601" s="68"/>
      <c r="D601" s="68"/>
      <c r="E601" s="68"/>
      <c r="F601" s="70"/>
      <c r="G601" s="70"/>
      <c r="H601" s="70"/>
    </row>
    <row r="602" spans="1:8" ht="12.5" x14ac:dyDescent="0.25">
      <c r="A602" s="14"/>
      <c r="C602" s="68"/>
      <c r="D602" s="68"/>
      <c r="E602" s="68"/>
      <c r="F602" s="70"/>
      <c r="G602" s="70"/>
      <c r="H602" s="70"/>
    </row>
    <row r="603" spans="1:8" ht="12.5" x14ac:dyDescent="0.25">
      <c r="A603" s="14"/>
      <c r="C603" s="68"/>
      <c r="D603" s="68"/>
      <c r="E603" s="68"/>
      <c r="F603" s="70"/>
      <c r="G603" s="70"/>
      <c r="H603" s="70"/>
    </row>
    <row r="604" spans="1:8" ht="12.5" x14ac:dyDescent="0.25">
      <c r="A604" s="14"/>
      <c r="C604" s="68"/>
      <c r="D604" s="68"/>
      <c r="E604" s="68"/>
      <c r="F604" s="70"/>
      <c r="G604" s="70"/>
      <c r="H604" s="70"/>
    </row>
    <row r="605" spans="1:8" ht="12.5" x14ac:dyDescent="0.25">
      <c r="A605" s="14"/>
      <c r="C605" s="68"/>
      <c r="D605" s="68"/>
      <c r="E605" s="68"/>
      <c r="F605" s="70"/>
      <c r="G605" s="70"/>
      <c r="H605" s="70"/>
    </row>
    <row r="606" spans="1:8" ht="12.5" x14ac:dyDescent="0.25">
      <c r="A606" s="14"/>
      <c r="C606" s="68"/>
      <c r="D606" s="68"/>
      <c r="E606" s="68"/>
      <c r="F606" s="70"/>
      <c r="G606" s="70"/>
      <c r="H606" s="70"/>
    </row>
    <row r="607" spans="1:8" ht="12.5" x14ac:dyDescent="0.25">
      <c r="A607" s="14"/>
      <c r="C607" s="68"/>
      <c r="D607" s="68"/>
      <c r="E607" s="68"/>
      <c r="F607" s="70"/>
      <c r="G607" s="70"/>
      <c r="H607" s="70"/>
    </row>
    <row r="608" spans="1:8" ht="12.5" x14ac:dyDescent="0.25">
      <c r="A608" s="14"/>
      <c r="C608" s="68"/>
      <c r="D608" s="68"/>
      <c r="E608" s="68"/>
      <c r="F608" s="70"/>
      <c r="G608" s="70"/>
      <c r="H608" s="70"/>
    </row>
    <row r="609" spans="1:8" ht="12.5" x14ac:dyDescent="0.25">
      <c r="A609" s="14"/>
      <c r="C609" s="68"/>
      <c r="D609" s="68"/>
      <c r="E609" s="68"/>
      <c r="F609" s="70"/>
      <c r="G609" s="70"/>
      <c r="H609" s="70"/>
    </row>
    <row r="610" spans="1:8" ht="12.5" x14ac:dyDescent="0.25">
      <c r="A610" s="14"/>
      <c r="C610" s="68"/>
      <c r="D610" s="68"/>
      <c r="E610" s="68"/>
      <c r="F610" s="70"/>
      <c r="G610" s="70"/>
      <c r="H610" s="70"/>
    </row>
    <row r="611" spans="1:8" ht="12.5" x14ac:dyDescent="0.25">
      <c r="A611" s="14"/>
      <c r="C611" s="68"/>
      <c r="D611" s="68"/>
      <c r="E611" s="68"/>
      <c r="F611" s="70"/>
      <c r="G611" s="70"/>
      <c r="H611" s="70"/>
    </row>
    <row r="612" spans="1:8" ht="12.5" x14ac:dyDescent="0.25">
      <c r="A612" s="14"/>
      <c r="C612" s="68"/>
      <c r="D612" s="68"/>
      <c r="E612" s="68"/>
      <c r="F612" s="70"/>
      <c r="G612" s="70"/>
      <c r="H612" s="70"/>
    </row>
    <row r="613" spans="1:8" ht="12.5" x14ac:dyDescent="0.25">
      <c r="A613" s="14"/>
      <c r="C613" s="68"/>
      <c r="D613" s="68"/>
      <c r="E613" s="68"/>
      <c r="F613" s="70"/>
      <c r="G613" s="70"/>
      <c r="H613" s="70"/>
    </row>
    <row r="614" spans="1:8" ht="12.5" x14ac:dyDescent="0.25">
      <c r="A614" s="14"/>
      <c r="C614" s="68"/>
      <c r="D614" s="68"/>
      <c r="E614" s="68"/>
      <c r="F614" s="70"/>
      <c r="G614" s="70"/>
      <c r="H614" s="70"/>
    </row>
    <row r="615" spans="1:8" ht="12.5" x14ac:dyDescent="0.25">
      <c r="A615" s="14"/>
      <c r="C615" s="68"/>
      <c r="D615" s="68"/>
      <c r="E615" s="68"/>
      <c r="F615" s="70"/>
      <c r="G615" s="70"/>
      <c r="H615" s="70"/>
    </row>
    <row r="616" spans="1:8" ht="12.5" x14ac:dyDescent="0.25">
      <c r="A616" s="14"/>
      <c r="C616" s="68"/>
      <c r="D616" s="68"/>
      <c r="E616" s="68"/>
      <c r="F616" s="70"/>
      <c r="G616" s="70"/>
      <c r="H616" s="70"/>
    </row>
    <row r="617" spans="1:8" ht="12.5" x14ac:dyDescent="0.25">
      <c r="A617" s="14"/>
      <c r="C617" s="68"/>
      <c r="D617" s="68"/>
      <c r="E617" s="68"/>
      <c r="F617" s="70"/>
      <c r="G617" s="70"/>
      <c r="H617" s="70"/>
    </row>
    <row r="618" spans="1:8" ht="12.5" x14ac:dyDescent="0.25">
      <c r="A618" s="14"/>
      <c r="C618" s="68"/>
      <c r="D618" s="68"/>
      <c r="E618" s="68"/>
      <c r="F618" s="70"/>
      <c r="G618" s="70"/>
      <c r="H618" s="70"/>
    </row>
    <row r="619" spans="1:8" ht="12.5" x14ac:dyDescent="0.25">
      <c r="A619" s="14"/>
      <c r="C619" s="68"/>
      <c r="D619" s="68"/>
      <c r="E619" s="68"/>
      <c r="F619" s="70"/>
      <c r="G619" s="70"/>
      <c r="H619" s="70"/>
    </row>
    <row r="620" spans="1:8" ht="12.5" x14ac:dyDescent="0.25">
      <c r="A620" s="14"/>
      <c r="C620" s="68"/>
      <c r="D620" s="68"/>
      <c r="E620" s="68"/>
      <c r="F620" s="70"/>
      <c r="G620" s="70"/>
      <c r="H620" s="70"/>
    </row>
    <row r="621" spans="1:8" ht="12.5" x14ac:dyDescent="0.25">
      <c r="A621" s="14"/>
      <c r="C621" s="68"/>
      <c r="D621" s="68"/>
      <c r="E621" s="68"/>
      <c r="F621" s="70"/>
      <c r="G621" s="70"/>
      <c r="H621" s="70"/>
    </row>
    <row r="622" spans="1:8" ht="12.5" x14ac:dyDescent="0.25">
      <c r="A622" s="14"/>
      <c r="C622" s="68"/>
      <c r="D622" s="68"/>
      <c r="E622" s="68"/>
      <c r="F622" s="70"/>
      <c r="G622" s="70"/>
      <c r="H622" s="70"/>
    </row>
    <row r="623" spans="1:8" ht="12.5" x14ac:dyDescent="0.25">
      <c r="A623" s="14"/>
      <c r="C623" s="68"/>
      <c r="D623" s="68"/>
      <c r="E623" s="68"/>
      <c r="F623" s="70"/>
      <c r="G623" s="70"/>
      <c r="H623" s="70"/>
    </row>
    <row r="624" spans="1:8" ht="12.5" x14ac:dyDescent="0.25">
      <c r="A624" s="14"/>
      <c r="C624" s="68"/>
      <c r="D624" s="68"/>
      <c r="E624" s="68"/>
      <c r="F624" s="70"/>
      <c r="G624" s="70"/>
      <c r="H624" s="70"/>
    </row>
    <row r="625" spans="1:8" ht="12.5" x14ac:dyDescent="0.25">
      <c r="A625" s="14"/>
      <c r="C625" s="68"/>
      <c r="D625" s="68"/>
      <c r="E625" s="68"/>
      <c r="F625" s="70"/>
      <c r="G625" s="70"/>
      <c r="H625" s="70"/>
    </row>
    <row r="626" spans="1:8" ht="12.5" x14ac:dyDescent="0.25">
      <c r="A626" s="14"/>
      <c r="C626" s="68"/>
      <c r="D626" s="68"/>
      <c r="E626" s="68"/>
      <c r="F626" s="70"/>
      <c r="G626" s="70"/>
      <c r="H626" s="70"/>
    </row>
    <row r="627" spans="1:8" ht="12.5" x14ac:dyDescent="0.25">
      <c r="A627" s="14"/>
      <c r="C627" s="68"/>
      <c r="D627" s="68"/>
      <c r="E627" s="68"/>
      <c r="F627" s="70"/>
      <c r="G627" s="70"/>
      <c r="H627" s="70"/>
    </row>
    <row r="628" spans="1:8" ht="12.5" x14ac:dyDescent="0.25">
      <c r="A628" s="14"/>
      <c r="C628" s="68"/>
      <c r="D628" s="68"/>
      <c r="E628" s="68"/>
      <c r="F628" s="70"/>
      <c r="G628" s="70"/>
      <c r="H628" s="70"/>
    </row>
    <row r="629" spans="1:8" ht="12.5" x14ac:dyDescent="0.25">
      <c r="A629" s="14"/>
      <c r="C629" s="68"/>
      <c r="D629" s="68"/>
      <c r="E629" s="68"/>
      <c r="F629" s="70"/>
      <c r="G629" s="70"/>
      <c r="H629" s="70"/>
    </row>
    <row r="630" spans="1:8" ht="12.5" x14ac:dyDescent="0.25">
      <c r="A630" s="14"/>
      <c r="C630" s="68"/>
      <c r="D630" s="68"/>
      <c r="E630" s="68"/>
      <c r="F630" s="70"/>
      <c r="G630" s="70"/>
      <c r="H630" s="70"/>
    </row>
    <row r="631" spans="1:8" ht="12.5" x14ac:dyDescent="0.25">
      <c r="A631" s="14"/>
      <c r="C631" s="68"/>
      <c r="D631" s="68"/>
      <c r="E631" s="68"/>
      <c r="F631" s="70"/>
      <c r="G631" s="70"/>
      <c r="H631" s="70"/>
    </row>
    <row r="632" spans="1:8" ht="12.5" x14ac:dyDescent="0.25">
      <c r="A632" s="14"/>
      <c r="C632" s="68"/>
      <c r="D632" s="68"/>
      <c r="E632" s="68"/>
      <c r="F632" s="70"/>
      <c r="G632" s="70"/>
      <c r="H632" s="70"/>
    </row>
    <row r="633" spans="1:8" ht="12.5" x14ac:dyDescent="0.25">
      <c r="A633" s="14"/>
      <c r="C633" s="68"/>
      <c r="D633" s="68"/>
      <c r="E633" s="68"/>
      <c r="F633" s="70"/>
      <c r="G633" s="70"/>
      <c r="H633" s="70"/>
    </row>
    <row r="634" spans="1:8" ht="12.5" x14ac:dyDescent="0.25">
      <c r="A634" s="14"/>
      <c r="C634" s="68"/>
      <c r="D634" s="68"/>
      <c r="E634" s="68"/>
      <c r="F634" s="70"/>
      <c r="G634" s="70"/>
      <c r="H634" s="70"/>
    </row>
    <row r="635" spans="1:8" ht="12.5" x14ac:dyDescent="0.25">
      <c r="A635" s="14"/>
      <c r="C635" s="68"/>
      <c r="D635" s="68"/>
      <c r="E635" s="68"/>
      <c r="F635" s="70"/>
      <c r="G635" s="70"/>
      <c r="H635" s="70"/>
    </row>
    <row r="636" spans="1:8" ht="12.5" x14ac:dyDescent="0.25">
      <c r="A636" s="14"/>
      <c r="C636" s="68"/>
      <c r="D636" s="68"/>
      <c r="E636" s="68"/>
      <c r="F636" s="70"/>
      <c r="G636" s="70"/>
      <c r="H636" s="70"/>
    </row>
    <row r="637" spans="1:8" ht="12.5" x14ac:dyDescent="0.25">
      <c r="A637" s="14"/>
      <c r="C637" s="68"/>
      <c r="D637" s="68"/>
      <c r="E637" s="68"/>
      <c r="F637" s="70"/>
      <c r="G637" s="70"/>
      <c r="H637" s="70"/>
    </row>
    <row r="638" spans="1:8" ht="12.5" x14ac:dyDescent="0.25">
      <c r="A638" s="14"/>
      <c r="C638" s="68"/>
      <c r="D638" s="68"/>
      <c r="E638" s="68"/>
      <c r="F638" s="70"/>
      <c r="G638" s="70"/>
      <c r="H638" s="70"/>
    </row>
    <row r="639" spans="1:8" ht="12.5" x14ac:dyDescent="0.25">
      <c r="A639" s="14"/>
      <c r="C639" s="68"/>
      <c r="D639" s="68"/>
      <c r="E639" s="68"/>
      <c r="F639" s="70"/>
      <c r="G639" s="70"/>
      <c r="H639" s="70"/>
    </row>
    <row r="640" spans="1:8" ht="12.5" x14ac:dyDescent="0.25">
      <c r="A640" s="14"/>
      <c r="C640" s="68"/>
      <c r="D640" s="68"/>
      <c r="E640" s="68"/>
      <c r="F640" s="70"/>
      <c r="G640" s="70"/>
      <c r="H640" s="70"/>
    </row>
    <row r="641" spans="1:8" ht="12.5" x14ac:dyDescent="0.25">
      <c r="A641" s="14"/>
      <c r="C641" s="68"/>
      <c r="D641" s="68"/>
      <c r="E641" s="68"/>
      <c r="F641" s="70"/>
      <c r="G641" s="70"/>
      <c r="H641" s="70"/>
    </row>
    <row r="642" spans="1:8" ht="12.5" x14ac:dyDescent="0.25">
      <c r="A642" s="14"/>
      <c r="C642" s="68"/>
      <c r="D642" s="68"/>
      <c r="E642" s="68"/>
      <c r="F642" s="70"/>
      <c r="G642" s="70"/>
      <c r="H642" s="70"/>
    </row>
    <row r="643" spans="1:8" ht="12.5" x14ac:dyDescent="0.25">
      <c r="A643" s="14"/>
      <c r="C643" s="68"/>
      <c r="D643" s="68"/>
      <c r="E643" s="68"/>
      <c r="F643" s="70"/>
      <c r="G643" s="70"/>
      <c r="H643" s="70"/>
    </row>
    <row r="644" spans="1:8" ht="12.5" x14ac:dyDescent="0.25">
      <c r="A644" s="14"/>
      <c r="C644" s="68"/>
      <c r="D644" s="68"/>
      <c r="E644" s="68"/>
      <c r="F644" s="70"/>
      <c r="G644" s="70"/>
      <c r="H644" s="70"/>
    </row>
    <row r="645" spans="1:8" ht="12.5" x14ac:dyDescent="0.25">
      <c r="A645" s="14"/>
      <c r="C645" s="68"/>
      <c r="D645" s="68"/>
      <c r="E645" s="68"/>
      <c r="F645" s="70"/>
      <c r="G645" s="70"/>
      <c r="H645" s="70"/>
    </row>
    <row r="646" spans="1:8" ht="12.5" x14ac:dyDescent="0.25">
      <c r="A646" s="14"/>
      <c r="C646" s="68"/>
      <c r="D646" s="68"/>
      <c r="E646" s="68"/>
      <c r="F646" s="70"/>
      <c r="G646" s="70"/>
      <c r="H646" s="70"/>
    </row>
    <row r="647" spans="1:8" ht="12.5" x14ac:dyDescent="0.25">
      <c r="A647" s="14"/>
      <c r="C647" s="68"/>
      <c r="D647" s="68"/>
      <c r="E647" s="68"/>
      <c r="F647" s="70"/>
      <c r="G647" s="70"/>
      <c r="H647" s="70"/>
    </row>
    <row r="648" spans="1:8" ht="12.5" x14ac:dyDescent="0.25">
      <c r="A648" s="14"/>
      <c r="C648" s="68"/>
      <c r="D648" s="68"/>
      <c r="E648" s="68"/>
      <c r="F648" s="70"/>
      <c r="G648" s="70"/>
      <c r="H648" s="70"/>
    </row>
    <row r="649" spans="1:8" ht="12.5" x14ac:dyDescent="0.25">
      <c r="A649" s="14"/>
      <c r="C649" s="68"/>
      <c r="D649" s="68"/>
      <c r="E649" s="68"/>
      <c r="F649" s="70"/>
      <c r="G649" s="70"/>
      <c r="H649" s="70"/>
    </row>
    <row r="650" spans="1:8" ht="12.5" x14ac:dyDescent="0.25">
      <c r="A650" s="14"/>
      <c r="C650" s="68"/>
      <c r="D650" s="68"/>
      <c r="E650" s="68"/>
      <c r="F650" s="70"/>
      <c r="G650" s="70"/>
      <c r="H650" s="70"/>
    </row>
    <row r="651" spans="1:8" ht="12.5" x14ac:dyDescent="0.25">
      <c r="A651" s="14"/>
      <c r="C651" s="68"/>
      <c r="D651" s="68"/>
      <c r="E651" s="68"/>
      <c r="F651" s="70"/>
      <c r="G651" s="70"/>
      <c r="H651" s="70"/>
    </row>
    <row r="652" spans="1:8" ht="12.5" x14ac:dyDescent="0.25">
      <c r="A652" s="14"/>
      <c r="C652" s="68"/>
      <c r="D652" s="68"/>
      <c r="E652" s="68"/>
      <c r="F652" s="70"/>
      <c r="G652" s="70"/>
      <c r="H652" s="70"/>
    </row>
    <row r="653" spans="1:8" ht="12.5" x14ac:dyDescent="0.25">
      <c r="A653" s="14"/>
      <c r="C653" s="68"/>
      <c r="D653" s="68"/>
      <c r="E653" s="68"/>
      <c r="F653" s="70"/>
      <c r="G653" s="70"/>
      <c r="H653" s="70"/>
    </row>
    <row r="654" spans="1:8" ht="12.5" x14ac:dyDescent="0.25">
      <c r="A654" s="14"/>
      <c r="C654" s="68"/>
      <c r="D654" s="68"/>
      <c r="E654" s="68"/>
      <c r="F654" s="70"/>
      <c r="G654" s="70"/>
      <c r="H654" s="70"/>
    </row>
    <row r="655" spans="1:8" ht="12.5" x14ac:dyDescent="0.25">
      <c r="A655" s="14"/>
      <c r="C655" s="68"/>
      <c r="D655" s="68"/>
      <c r="E655" s="68"/>
      <c r="F655" s="70"/>
      <c r="G655" s="70"/>
      <c r="H655" s="70"/>
    </row>
    <row r="656" spans="1:8" ht="12.5" x14ac:dyDescent="0.25">
      <c r="A656" s="14"/>
      <c r="C656" s="68"/>
      <c r="D656" s="68"/>
      <c r="E656" s="68"/>
      <c r="F656" s="70"/>
      <c r="G656" s="70"/>
      <c r="H656" s="70"/>
    </row>
    <row r="657" spans="1:8" ht="12.5" x14ac:dyDescent="0.25">
      <c r="A657" s="14"/>
      <c r="C657" s="68"/>
      <c r="D657" s="68"/>
      <c r="E657" s="68"/>
      <c r="F657" s="70"/>
      <c r="G657" s="70"/>
      <c r="H657" s="70"/>
    </row>
    <row r="658" spans="1:8" ht="12.5" x14ac:dyDescent="0.25">
      <c r="A658" s="14"/>
      <c r="C658" s="68"/>
      <c r="D658" s="68"/>
      <c r="E658" s="68"/>
      <c r="F658" s="70"/>
      <c r="G658" s="70"/>
      <c r="H658" s="70"/>
    </row>
    <row r="659" spans="1:8" ht="12.5" x14ac:dyDescent="0.25">
      <c r="A659" s="14"/>
      <c r="C659" s="68"/>
      <c r="D659" s="68"/>
      <c r="E659" s="68"/>
      <c r="F659" s="70"/>
      <c r="G659" s="70"/>
      <c r="H659" s="70"/>
    </row>
    <row r="660" spans="1:8" ht="12.5" x14ac:dyDescent="0.25">
      <c r="A660" s="14"/>
      <c r="C660" s="68"/>
      <c r="D660" s="68"/>
      <c r="E660" s="68"/>
      <c r="F660" s="70"/>
      <c r="G660" s="70"/>
      <c r="H660" s="70"/>
    </row>
    <row r="661" spans="1:8" ht="12.5" x14ac:dyDescent="0.25">
      <c r="A661" s="14"/>
      <c r="C661" s="68"/>
      <c r="D661" s="68"/>
      <c r="E661" s="68"/>
      <c r="F661" s="70"/>
      <c r="G661" s="70"/>
      <c r="H661" s="70"/>
    </row>
    <row r="662" spans="1:8" ht="12.5" x14ac:dyDescent="0.25">
      <c r="A662" s="14"/>
      <c r="C662" s="68"/>
      <c r="D662" s="68"/>
      <c r="E662" s="68"/>
      <c r="F662" s="70"/>
      <c r="G662" s="70"/>
      <c r="H662" s="70"/>
    </row>
    <row r="663" spans="1:8" ht="12.5" x14ac:dyDescent="0.25">
      <c r="A663" s="14"/>
      <c r="C663" s="68"/>
      <c r="D663" s="68"/>
      <c r="E663" s="68"/>
      <c r="F663" s="70"/>
      <c r="G663" s="70"/>
      <c r="H663" s="70"/>
    </row>
    <row r="664" spans="1:8" ht="12.5" x14ac:dyDescent="0.25">
      <c r="A664" s="14"/>
      <c r="C664" s="68"/>
      <c r="D664" s="68"/>
      <c r="E664" s="68"/>
      <c r="F664" s="70"/>
      <c r="G664" s="70"/>
      <c r="H664" s="70"/>
    </row>
    <row r="665" spans="1:8" ht="12.5" x14ac:dyDescent="0.25">
      <c r="A665" s="14"/>
      <c r="C665" s="68"/>
      <c r="D665" s="68"/>
      <c r="E665" s="68"/>
      <c r="F665" s="70"/>
      <c r="G665" s="70"/>
      <c r="H665" s="70"/>
    </row>
    <row r="666" spans="1:8" ht="12.5" x14ac:dyDescent="0.25">
      <c r="A666" s="14"/>
      <c r="C666" s="68"/>
      <c r="D666" s="68"/>
      <c r="E666" s="68"/>
      <c r="F666" s="70"/>
      <c r="G666" s="70"/>
      <c r="H666" s="70"/>
    </row>
    <row r="667" spans="1:8" ht="12.5" x14ac:dyDescent="0.25">
      <c r="A667" s="14"/>
      <c r="C667" s="68"/>
      <c r="D667" s="68"/>
      <c r="E667" s="68"/>
      <c r="F667" s="70"/>
      <c r="G667" s="70"/>
      <c r="H667" s="70"/>
    </row>
    <row r="668" spans="1:8" ht="12.5" x14ac:dyDescent="0.25">
      <c r="A668" s="14"/>
      <c r="C668" s="68"/>
      <c r="D668" s="68"/>
      <c r="E668" s="68"/>
      <c r="F668" s="70"/>
      <c r="G668" s="70"/>
      <c r="H668" s="70"/>
    </row>
    <row r="669" spans="1:8" ht="12.5" x14ac:dyDescent="0.25">
      <c r="A669" s="14"/>
      <c r="C669" s="68"/>
      <c r="D669" s="68"/>
      <c r="E669" s="68"/>
      <c r="F669" s="70"/>
      <c r="G669" s="70"/>
      <c r="H669" s="70"/>
    </row>
    <row r="670" spans="1:8" ht="12.5" x14ac:dyDescent="0.25">
      <c r="A670" s="14"/>
      <c r="C670" s="68"/>
      <c r="D670" s="68"/>
      <c r="E670" s="68"/>
      <c r="F670" s="70"/>
      <c r="G670" s="70"/>
      <c r="H670" s="70"/>
    </row>
    <row r="671" spans="1:8" ht="12.5" x14ac:dyDescent="0.25">
      <c r="A671" s="14"/>
      <c r="C671" s="68"/>
      <c r="D671" s="68"/>
      <c r="E671" s="68"/>
      <c r="F671" s="70"/>
      <c r="G671" s="70"/>
      <c r="H671" s="70"/>
    </row>
    <row r="672" spans="1:8" ht="12.5" x14ac:dyDescent="0.25">
      <c r="A672" s="14"/>
      <c r="C672" s="68"/>
      <c r="D672" s="68"/>
      <c r="E672" s="68"/>
      <c r="F672" s="70"/>
      <c r="G672" s="70"/>
      <c r="H672" s="70"/>
    </row>
    <row r="673" spans="1:8" ht="12.5" x14ac:dyDescent="0.25">
      <c r="A673" s="14"/>
      <c r="C673" s="68"/>
      <c r="D673" s="68"/>
      <c r="E673" s="68"/>
      <c r="F673" s="70"/>
      <c r="G673" s="70"/>
      <c r="H673" s="70"/>
    </row>
    <row r="674" spans="1:8" ht="12.5" x14ac:dyDescent="0.25">
      <c r="A674" s="14"/>
      <c r="C674" s="68"/>
      <c r="D674" s="68"/>
      <c r="E674" s="68"/>
      <c r="F674" s="70"/>
      <c r="G674" s="70"/>
      <c r="H674" s="70"/>
    </row>
    <row r="675" spans="1:8" ht="12.5" x14ac:dyDescent="0.25">
      <c r="A675" s="14"/>
      <c r="C675" s="68"/>
      <c r="D675" s="68"/>
      <c r="E675" s="68"/>
      <c r="F675" s="70"/>
      <c r="G675" s="70"/>
      <c r="H675" s="70"/>
    </row>
    <row r="676" spans="1:8" ht="12.5" x14ac:dyDescent="0.25">
      <c r="A676" s="14"/>
      <c r="C676" s="68"/>
      <c r="D676" s="68"/>
      <c r="E676" s="68"/>
      <c r="F676" s="70"/>
      <c r="G676" s="70"/>
      <c r="H676" s="70"/>
    </row>
    <row r="677" spans="1:8" ht="12.5" x14ac:dyDescent="0.25">
      <c r="A677" s="14"/>
      <c r="C677" s="68"/>
      <c r="D677" s="68"/>
      <c r="E677" s="68"/>
      <c r="F677" s="70"/>
      <c r="G677" s="70"/>
      <c r="H677" s="70"/>
    </row>
    <row r="678" spans="1:8" ht="12.5" x14ac:dyDescent="0.25">
      <c r="A678" s="14"/>
      <c r="C678" s="68"/>
      <c r="D678" s="68"/>
      <c r="E678" s="68"/>
      <c r="F678" s="70"/>
      <c r="G678" s="70"/>
      <c r="H678" s="70"/>
    </row>
    <row r="679" spans="1:8" ht="12.5" x14ac:dyDescent="0.25">
      <c r="A679" s="14"/>
      <c r="C679" s="68"/>
      <c r="D679" s="68"/>
      <c r="E679" s="68"/>
      <c r="F679" s="70"/>
      <c r="G679" s="70"/>
      <c r="H679" s="70"/>
    </row>
    <row r="680" spans="1:8" ht="12.5" x14ac:dyDescent="0.25">
      <c r="A680" s="14"/>
      <c r="C680" s="68"/>
      <c r="D680" s="68"/>
      <c r="E680" s="68"/>
      <c r="F680" s="70"/>
      <c r="G680" s="70"/>
      <c r="H680" s="70"/>
    </row>
    <row r="681" spans="1:8" ht="12.5" x14ac:dyDescent="0.25">
      <c r="A681" s="14"/>
      <c r="C681" s="68"/>
      <c r="D681" s="68"/>
      <c r="E681" s="68"/>
      <c r="F681" s="70"/>
      <c r="G681" s="70"/>
      <c r="H681" s="70"/>
    </row>
    <row r="682" spans="1:8" ht="12.5" x14ac:dyDescent="0.25">
      <c r="A682" s="14"/>
      <c r="C682" s="68"/>
      <c r="D682" s="68"/>
      <c r="E682" s="68"/>
      <c r="F682" s="70"/>
      <c r="G682" s="70"/>
      <c r="H682" s="70"/>
    </row>
    <row r="683" spans="1:8" ht="12.5" x14ac:dyDescent="0.25">
      <c r="A683" s="14"/>
      <c r="C683" s="68"/>
      <c r="D683" s="68"/>
      <c r="E683" s="68"/>
      <c r="F683" s="70"/>
      <c r="G683" s="70"/>
      <c r="H683" s="70"/>
    </row>
    <row r="684" spans="1:8" ht="12.5" x14ac:dyDescent="0.25">
      <c r="A684" s="14"/>
      <c r="C684" s="68"/>
      <c r="D684" s="68"/>
      <c r="E684" s="68"/>
      <c r="F684" s="70"/>
      <c r="G684" s="70"/>
      <c r="H684" s="70"/>
    </row>
    <row r="685" spans="1:8" ht="12.5" x14ac:dyDescent="0.25">
      <c r="A685" s="14"/>
      <c r="C685" s="68"/>
      <c r="D685" s="68"/>
      <c r="E685" s="68"/>
      <c r="F685" s="70"/>
      <c r="G685" s="70"/>
      <c r="H685" s="70"/>
    </row>
    <row r="686" spans="1:8" ht="12.5" x14ac:dyDescent="0.25">
      <c r="A686" s="14"/>
      <c r="C686" s="68"/>
      <c r="D686" s="68"/>
      <c r="E686" s="68"/>
      <c r="F686" s="70"/>
      <c r="G686" s="70"/>
      <c r="H686" s="70"/>
    </row>
    <row r="687" spans="1:8" ht="12.5" x14ac:dyDescent="0.25">
      <c r="A687" s="14"/>
      <c r="C687" s="68"/>
      <c r="D687" s="68"/>
      <c r="E687" s="68"/>
      <c r="F687" s="70"/>
      <c r="G687" s="70"/>
      <c r="H687" s="70"/>
    </row>
    <row r="688" spans="1:8" ht="12.5" x14ac:dyDescent="0.25">
      <c r="A688" s="14"/>
      <c r="C688" s="68"/>
      <c r="D688" s="68"/>
      <c r="E688" s="68"/>
      <c r="F688" s="70"/>
      <c r="G688" s="70"/>
      <c r="H688" s="70"/>
    </row>
    <row r="689" spans="1:8" ht="12.5" x14ac:dyDescent="0.25">
      <c r="A689" s="14"/>
      <c r="C689" s="68"/>
      <c r="D689" s="68"/>
      <c r="E689" s="68"/>
      <c r="F689" s="70"/>
      <c r="G689" s="70"/>
      <c r="H689" s="70"/>
    </row>
    <row r="690" spans="1:8" ht="12.5" x14ac:dyDescent="0.25">
      <c r="A690" s="14"/>
      <c r="C690" s="68"/>
      <c r="D690" s="68"/>
      <c r="E690" s="68"/>
      <c r="F690" s="70"/>
      <c r="G690" s="70"/>
      <c r="H690" s="70"/>
    </row>
    <row r="691" spans="1:8" ht="12.5" x14ac:dyDescent="0.25">
      <c r="A691" s="14"/>
      <c r="C691" s="68"/>
      <c r="D691" s="68"/>
      <c r="E691" s="68"/>
      <c r="F691" s="70"/>
      <c r="G691" s="70"/>
      <c r="H691" s="70"/>
    </row>
    <row r="692" spans="1:8" ht="12.5" x14ac:dyDescent="0.25">
      <c r="A692" s="14"/>
      <c r="C692" s="68"/>
      <c r="D692" s="68"/>
      <c r="E692" s="68"/>
      <c r="F692" s="70"/>
      <c r="G692" s="70"/>
      <c r="H692" s="70"/>
    </row>
    <row r="693" spans="1:8" ht="12.5" x14ac:dyDescent="0.25">
      <c r="A693" s="14"/>
      <c r="C693" s="68"/>
      <c r="D693" s="68"/>
      <c r="E693" s="68"/>
      <c r="F693" s="70"/>
      <c r="G693" s="70"/>
      <c r="H693" s="70"/>
    </row>
    <row r="694" spans="1:8" ht="12.5" x14ac:dyDescent="0.25">
      <c r="A694" s="14"/>
      <c r="C694" s="68"/>
      <c r="D694" s="68"/>
      <c r="E694" s="68"/>
      <c r="F694" s="70"/>
      <c r="G694" s="70"/>
      <c r="H694" s="70"/>
    </row>
    <row r="695" spans="1:8" ht="12.5" x14ac:dyDescent="0.25">
      <c r="A695" s="14"/>
      <c r="C695" s="68"/>
      <c r="D695" s="68"/>
      <c r="E695" s="68"/>
      <c r="F695" s="70"/>
      <c r="G695" s="70"/>
      <c r="H695" s="70"/>
    </row>
    <row r="696" spans="1:8" ht="12.5" x14ac:dyDescent="0.25">
      <c r="A696" s="14"/>
      <c r="C696" s="68"/>
      <c r="D696" s="68"/>
      <c r="E696" s="68"/>
      <c r="F696" s="70"/>
      <c r="G696" s="70"/>
      <c r="H696" s="70"/>
    </row>
    <row r="697" spans="1:8" ht="12.5" x14ac:dyDescent="0.25">
      <c r="A697" s="14"/>
      <c r="C697" s="68"/>
      <c r="D697" s="68"/>
      <c r="E697" s="68"/>
      <c r="F697" s="70"/>
      <c r="G697" s="70"/>
      <c r="H697" s="70"/>
    </row>
    <row r="698" spans="1:8" ht="12.5" x14ac:dyDescent="0.25">
      <c r="A698" s="14"/>
      <c r="C698" s="68"/>
      <c r="D698" s="68"/>
      <c r="E698" s="68"/>
      <c r="F698" s="70"/>
      <c r="G698" s="70"/>
      <c r="H698" s="70"/>
    </row>
    <row r="699" spans="1:8" ht="12.5" x14ac:dyDescent="0.25">
      <c r="A699" s="14"/>
      <c r="C699" s="68"/>
      <c r="D699" s="68"/>
      <c r="E699" s="68"/>
      <c r="F699" s="70"/>
      <c r="G699" s="70"/>
      <c r="H699" s="70"/>
    </row>
    <row r="700" spans="1:8" ht="12.5" x14ac:dyDescent="0.25">
      <c r="A700" s="14"/>
      <c r="C700" s="68"/>
      <c r="D700" s="68"/>
      <c r="E700" s="68"/>
      <c r="F700" s="70"/>
      <c r="G700" s="70"/>
      <c r="H700" s="70"/>
    </row>
    <row r="701" spans="1:8" ht="12.5" x14ac:dyDescent="0.25">
      <c r="A701" s="14"/>
      <c r="C701" s="68"/>
      <c r="D701" s="68"/>
      <c r="E701" s="68"/>
      <c r="F701" s="70"/>
      <c r="G701" s="70"/>
      <c r="H701" s="70"/>
    </row>
    <row r="702" spans="1:8" ht="12.5" x14ac:dyDescent="0.25">
      <c r="A702" s="14"/>
      <c r="C702" s="68"/>
      <c r="D702" s="68"/>
      <c r="E702" s="68"/>
      <c r="F702" s="70"/>
      <c r="G702" s="70"/>
      <c r="H702" s="70"/>
    </row>
    <row r="703" spans="1:8" ht="12.5" x14ac:dyDescent="0.25">
      <c r="A703" s="14"/>
      <c r="C703" s="68"/>
      <c r="D703" s="68"/>
      <c r="E703" s="68"/>
      <c r="F703" s="70"/>
      <c r="G703" s="70"/>
      <c r="H703" s="70"/>
    </row>
    <row r="704" spans="1:8" ht="12.5" x14ac:dyDescent="0.25">
      <c r="A704" s="14"/>
      <c r="C704" s="68"/>
      <c r="D704" s="68"/>
      <c r="E704" s="68"/>
      <c r="F704" s="70"/>
      <c r="G704" s="70"/>
      <c r="H704" s="70"/>
    </row>
    <row r="705" spans="1:8" ht="12.5" x14ac:dyDescent="0.25">
      <c r="A705" s="14"/>
      <c r="C705" s="68"/>
      <c r="D705" s="68"/>
      <c r="E705" s="68"/>
      <c r="F705" s="70"/>
      <c r="G705" s="70"/>
      <c r="H705" s="70"/>
    </row>
    <row r="706" spans="1:8" ht="12.5" x14ac:dyDescent="0.25">
      <c r="A706" s="14"/>
      <c r="C706" s="68"/>
      <c r="D706" s="68"/>
      <c r="E706" s="68"/>
      <c r="F706" s="70"/>
      <c r="G706" s="70"/>
      <c r="H706" s="70"/>
    </row>
    <row r="707" spans="1:8" ht="12.5" x14ac:dyDescent="0.25">
      <c r="A707" s="14"/>
      <c r="C707" s="68"/>
      <c r="D707" s="68"/>
      <c r="E707" s="68"/>
      <c r="F707" s="70"/>
      <c r="G707" s="70"/>
      <c r="H707" s="70"/>
    </row>
    <row r="708" spans="1:8" ht="12.5" x14ac:dyDescent="0.25">
      <c r="A708" s="14"/>
      <c r="C708" s="68"/>
      <c r="D708" s="68"/>
      <c r="E708" s="68"/>
      <c r="F708" s="70"/>
      <c r="G708" s="70"/>
      <c r="H708" s="70"/>
    </row>
    <row r="709" spans="1:8" ht="12.5" x14ac:dyDescent="0.25">
      <c r="A709" s="14"/>
      <c r="C709" s="68"/>
      <c r="D709" s="68"/>
      <c r="E709" s="68"/>
      <c r="F709" s="70"/>
      <c r="G709" s="70"/>
      <c r="H709" s="70"/>
    </row>
    <row r="710" spans="1:8" ht="12.5" x14ac:dyDescent="0.25">
      <c r="A710" s="14"/>
      <c r="C710" s="68"/>
      <c r="D710" s="68"/>
      <c r="E710" s="68"/>
      <c r="F710" s="70"/>
      <c r="G710" s="70"/>
      <c r="H710" s="70"/>
    </row>
    <row r="711" spans="1:8" ht="12.5" x14ac:dyDescent="0.25">
      <c r="A711" s="14"/>
      <c r="C711" s="68"/>
      <c r="D711" s="68"/>
      <c r="E711" s="68"/>
      <c r="F711" s="70"/>
      <c r="G711" s="70"/>
      <c r="H711" s="70"/>
    </row>
    <row r="712" spans="1:8" ht="12.5" x14ac:dyDescent="0.25">
      <c r="A712" s="14"/>
      <c r="C712" s="68"/>
      <c r="D712" s="68"/>
      <c r="E712" s="68"/>
      <c r="F712" s="70"/>
      <c r="G712" s="70"/>
      <c r="H712" s="70"/>
    </row>
    <row r="713" spans="1:8" ht="12.5" x14ac:dyDescent="0.25">
      <c r="A713" s="14"/>
      <c r="C713" s="68"/>
      <c r="D713" s="68"/>
      <c r="E713" s="68"/>
      <c r="F713" s="70"/>
      <c r="G713" s="70"/>
      <c r="H713" s="70"/>
    </row>
    <row r="714" spans="1:8" ht="12.5" x14ac:dyDescent="0.25">
      <c r="A714" s="14"/>
      <c r="C714" s="68"/>
      <c r="D714" s="68"/>
      <c r="E714" s="68"/>
      <c r="F714" s="70"/>
      <c r="G714" s="70"/>
      <c r="H714" s="70"/>
    </row>
    <row r="715" spans="1:8" ht="12.5" x14ac:dyDescent="0.25">
      <c r="A715" s="14"/>
      <c r="C715" s="68"/>
      <c r="D715" s="68"/>
      <c r="E715" s="68"/>
      <c r="F715" s="70"/>
      <c r="G715" s="70"/>
      <c r="H715" s="70"/>
    </row>
    <row r="716" spans="1:8" ht="12.5" x14ac:dyDescent="0.25">
      <c r="A716" s="14"/>
      <c r="C716" s="68"/>
      <c r="D716" s="68"/>
      <c r="E716" s="68"/>
      <c r="F716" s="70"/>
      <c r="G716" s="70"/>
      <c r="H716" s="70"/>
    </row>
    <row r="717" spans="1:8" ht="12.5" x14ac:dyDescent="0.25">
      <c r="A717" s="14"/>
      <c r="C717" s="68"/>
      <c r="D717" s="68"/>
      <c r="E717" s="68"/>
      <c r="F717" s="70"/>
      <c r="G717" s="70"/>
      <c r="H717" s="70"/>
    </row>
    <row r="718" spans="1:8" ht="12.5" x14ac:dyDescent="0.25">
      <c r="A718" s="14"/>
      <c r="C718" s="68"/>
      <c r="D718" s="68"/>
      <c r="E718" s="68"/>
      <c r="F718" s="70"/>
      <c r="G718" s="70"/>
      <c r="H718" s="70"/>
    </row>
    <row r="719" spans="1:8" ht="12.5" x14ac:dyDescent="0.25">
      <c r="A719" s="14"/>
      <c r="C719" s="68"/>
      <c r="D719" s="68"/>
      <c r="E719" s="68"/>
      <c r="F719" s="70"/>
      <c r="G719" s="70"/>
      <c r="H719" s="70"/>
    </row>
    <row r="720" spans="1:8" ht="12.5" x14ac:dyDescent="0.25">
      <c r="A720" s="14"/>
      <c r="C720" s="68"/>
      <c r="D720" s="68"/>
      <c r="E720" s="68"/>
      <c r="F720" s="70"/>
      <c r="G720" s="70"/>
      <c r="H720" s="70"/>
    </row>
    <row r="721" spans="1:8" ht="12.5" x14ac:dyDescent="0.25">
      <c r="A721" s="14"/>
      <c r="C721" s="68"/>
      <c r="D721" s="68"/>
      <c r="E721" s="68"/>
      <c r="F721" s="70"/>
      <c r="G721" s="70"/>
      <c r="H721" s="70"/>
    </row>
    <row r="722" spans="1:8" ht="12.5" x14ac:dyDescent="0.25">
      <c r="A722" s="14"/>
      <c r="C722" s="68"/>
      <c r="D722" s="68"/>
      <c r="E722" s="68"/>
      <c r="F722" s="70"/>
      <c r="G722" s="70"/>
      <c r="H722" s="70"/>
    </row>
    <row r="723" spans="1:8" ht="12.5" x14ac:dyDescent="0.25">
      <c r="A723" s="14"/>
      <c r="C723" s="68"/>
      <c r="D723" s="68"/>
      <c r="E723" s="68"/>
      <c r="F723" s="70"/>
      <c r="G723" s="70"/>
      <c r="H723" s="70"/>
    </row>
    <row r="724" spans="1:8" ht="12.5" x14ac:dyDescent="0.25">
      <c r="A724" s="14"/>
      <c r="C724" s="68"/>
      <c r="D724" s="68"/>
      <c r="E724" s="68"/>
      <c r="F724" s="70"/>
      <c r="G724" s="70"/>
      <c r="H724" s="70"/>
    </row>
    <row r="725" spans="1:8" ht="12.5" x14ac:dyDescent="0.25">
      <c r="A725" s="14"/>
      <c r="C725" s="68"/>
      <c r="D725" s="68"/>
      <c r="E725" s="68"/>
      <c r="F725" s="70"/>
      <c r="G725" s="70"/>
      <c r="H725" s="70"/>
    </row>
    <row r="726" spans="1:8" ht="12.5" x14ac:dyDescent="0.25">
      <c r="A726" s="14"/>
      <c r="C726" s="68"/>
      <c r="D726" s="68"/>
      <c r="E726" s="68"/>
      <c r="F726" s="70"/>
      <c r="G726" s="70"/>
      <c r="H726" s="70"/>
    </row>
    <row r="727" spans="1:8" ht="12.5" x14ac:dyDescent="0.25">
      <c r="A727" s="14"/>
      <c r="C727" s="68"/>
      <c r="D727" s="68"/>
      <c r="E727" s="68"/>
      <c r="F727" s="70"/>
      <c r="G727" s="70"/>
      <c r="H727" s="70"/>
    </row>
    <row r="728" spans="1:8" ht="12.5" x14ac:dyDescent="0.25">
      <c r="A728" s="14"/>
      <c r="C728" s="68"/>
      <c r="D728" s="68"/>
      <c r="E728" s="68"/>
      <c r="F728" s="70"/>
      <c r="G728" s="70"/>
      <c r="H728" s="70"/>
    </row>
    <row r="729" spans="1:8" ht="12.5" x14ac:dyDescent="0.25">
      <c r="A729" s="14"/>
      <c r="C729" s="68"/>
      <c r="D729" s="68"/>
      <c r="E729" s="68"/>
      <c r="F729" s="70"/>
      <c r="G729" s="70"/>
      <c r="H729" s="70"/>
    </row>
    <row r="730" spans="1:8" ht="12.5" x14ac:dyDescent="0.25">
      <c r="A730" s="14"/>
      <c r="C730" s="68"/>
      <c r="D730" s="68"/>
      <c r="E730" s="68"/>
      <c r="F730" s="70"/>
      <c r="G730" s="70"/>
      <c r="H730" s="70"/>
    </row>
    <row r="731" spans="1:8" ht="12.5" x14ac:dyDescent="0.25">
      <c r="A731" s="14"/>
      <c r="C731" s="68"/>
      <c r="D731" s="68"/>
      <c r="E731" s="68"/>
      <c r="F731" s="70"/>
      <c r="G731" s="70"/>
      <c r="H731" s="70"/>
    </row>
    <row r="732" spans="1:8" ht="12.5" x14ac:dyDescent="0.25">
      <c r="A732" s="14"/>
      <c r="C732" s="68"/>
      <c r="D732" s="68"/>
      <c r="E732" s="68"/>
      <c r="F732" s="70"/>
      <c r="G732" s="70"/>
      <c r="H732" s="70"/>
    </row>
    <row r="733" spans="1:8" ht="12.5" x14ac:dyDescent="0.25">
      <c r="A733" s="14"/>
      <c r="C733" s="68"/>
      <c r="D733" s="68"/>
      <c r="E733" s="68"/>
      <c r="F733" s="70"/>
      <c r="G733" s="70"/>
      <c r="H733" s="70"/>
    </row>
    <row r="734" spans="1:8" ht="12.5" x14ac:dyDescent="0.25">
      <c r="A734" s="14"/>
      <c r="C734" s="68"/>
      <c r="D734" s="68"/>
      <c r="E734" s="68"/>
      <c r="F734" s="70"/>
      <c r="G734" s="70"/>
      <c r="H734" s="70"/>
    </row>
    <row r="735" spans="1:8" ht="12.5" x14ac:dyDescent="0.25">
      <c r="A735" s="14"/>
      <c r="C735" s="68"/>
      <c r="D735" s="68"/>
      <c r="E735" s="68"/>
      <c r="F735" s="70"/>
      <c r="G735" s="70"/>
      <c r="H735" s="70"/>
    </row>
    <row r="736" spans="1:8" ht="12.5" x14ac:dyDescent="0.25">
      <c r="A736" s="14"/>
      <c r="C736" s="68"/>
      <c r="D736" s="68"/>
      <c r="E736" s="68"/>
      <c r="F736" s="70"/>
      <c r="G736" s="70"/>
      <c r="H736" s="70"/>
    </row>
    <row r="737" spans="1:8" ht="12.5" x14ac:dyDescent="0.25">
      <c r="A737" s="14"/>
      <c r="C737" s="68"/>
      <c r="D737" s="68"/>
      <c r="E737" s="68"/>
      <c r="F737" s="70"/>
      <c r="G737" s="70"/>
      <c r="H737" s="70"/>
    </row>
    <row r="738" spans="1:8" ht="12.5" x14ac:dyDescent="0.25">
      <c r="A738" s="14"/>
      <c r="C738" s="68"/>
      <c r="D738" s="68"/>
      <c r="E738" s="68"/>
      <c r="F738" s="70"/>
      <c r="G738" s="70"/>
      <c r="H738" s="70"/>
    </row>
    <row r="739" spans="1:8" ht="12.5" x14ac:dyDescent="0.25">
      <c r="A739" s="14"/>
      <c r="C739" s="68"/>
      <c r="D739" s="68"/>
      <c r="E739" s="68"/>
      <c r="F739" s="70"/>
      <c r="G739" s="70"/>
      <c r="H739" s="70"/>
    </row>
    <row r="740" spans="1:8" ht="12.5" x14ac:dyDescent="0.25">
      <c r="A740" s="14"/>
      <c r="C740" s="68"/>
      <c r="D740" s="68"/>
      <c r="E740" s="68"/>
      <c r="F740" s="70"/>
      <c r="G740" s="70"/>
      <c r="H740" s="70"/>
    </row>
    <row r="741" spans="1:8" ht="12.5" x14ac:dyDescent="0.25">
      <c r="A741" s="14"/>
      <c r="C741" s="68"/>
      <c r="D741" s="68"/>
      <c r="E741" s="68"/>
      <c r="F741" s="70"/>
      <c r="G741" s="70"/>
      <c r="H741" s="70"/>
    </row>
    <row r="742" spans="1:8" ht="12.5" x14ac:dyDescent="0.25">
      <c r="A742" s="14"/>
      <c r="C742" s="68"/>
      <c r="D742" s="68"/>
      <c r="E742" s="68"/>
      <c r="F742" s="70"/>
      <c r="G742" s="70"/>
      <c r="H742" s="70"/>
    </row>
    <row r="743" spans="1:8" ht="12.5" x14ac:dyDescent="0.25">
      <c r="A743" s="14"/>
      <c r="C743" s="68"/>
      <c r="D743" s="68"/>
      <c r="E743" s="68"/>
      <c r="F743" s="70"/>
      <c r="G743" s="70"/>
      <c r="H743" s="70"/>
    </row>
    <row r="744" spans="1:8" ht="12.5" x14ac:dyDescent="0.25">
      <c r="A744" s="14"/>
      <c r="C744" s="68"/>
      <c r="D744" s="68"/>
      <c r="E744" s="68"/>
      <c r="F744" s="70"/>
      <c r="G744" s="70"/>
      <c r="H744" s="70"/>
    </row>
    <row r="745" spans="1:8" ht="12.5" x14ac:dyDescent="0.25">
      <c r="A745" s="14"/>
      <c r="C745" s="68"/>
      <c r="D745" s="68"/>
      <c r="E745" s="68"/>
      <c r="F745" s="70"/>
      <c r="G745" s="70"/>
      <c r="H745" s="70"/>
    </row>
    <row r="746" spans="1:8" ht="12.5" x14ac:dyDescent="0.25">
      <c r="A746" s="14"/>
      <c r="C746" s="68"/>
      <c r="D746" s="68"/>
      <c r="E746" s="68"/>
      <c r="F746" s="70"/>
      <c r="G746" s="70"/>
      <c r="H746" s="70"/>
    </row>
    <row r="747" spans="1:8" ht="12.5" x14ac:dyDescent="0.25">
      <c r="A747" s="14"/>
      <c r="C747" s="68"/>
      <c r="D747" s="68"/>
      <c r="E747" s="68"/>
      <c r="F747" s="70"/>
      <c r="G747" s="70"/>
      <c r="H747" s="70"/>
    </row>
    <row r="748" spans="1:8" ht="12.5" x14ac:dyDescent="0.25">
      <c r="A748" s="14"/>
      <c r="C748" s="68"/>
      <c r="D748" s="68"/>
      <c r="E748" s="68"/>
      <c r="F748" s="70"/>
      <c r="G748" s="70"/>
      <c r="H748" s="70"/>
    </row>
    <row r="749" spans="1:8" ht="12.5" x14ac:dyDescent="0.25">
      <c r="A749" s="14"/>
      <c r="C749" s="68"/>
      <c r="D749" s="68"/>
      <c r="E749" s="68"/>
      <c r="F749" s="70"/>
      <c r="G749" s="70"/>
      <c r="H749" s="70"/>
    </row>
    <row r="750" spans="1:8" ht="12.5" x14ac:dyDescent="0.25">
      <c r="A750" s="14"/>
      <c r="C750" s="68"/>
      <c r="D750" s="68"/>
      <c r="E750" s="68"/>
      <c r="F750" s="70"/>
      <c r="G750" s="70"/>
      <c r="H750" s="70"/>
    </row>
    <row r="751" spans="1:8" ht="12.5" x14ac:dyDescent="0.25">
      <c r="A751" s="14"/>
      <c r="C751" s="68"/>
      <c r="D751" s="68"/>
      <c r="E751" s="68"/>
      <c r="F751" s="70"/>
      <c r="G751" s="70"/>
      <c r="H751" s="70"/>
    </row>
    <row r="752" spans="1:8" ht="12.5" x14ac:dyDescent="0.25">
      <c r="A752" s="14"/>
      <c r="C752" s="68"/>
      <c r="D752" s="68"/>
      <c r="E752" s="68"/>
      <c r="F752" s="70"/>
      <c r="G752" s="70"/>
      <c r="H752" s="70"/>
    </row>
    <row r="753" spans="1:8" ht="12.5" x14ac:dyDescent="0.25">
      <c r="A753" s="14"/>
      <c r="C753" s="68"/>
      <c r="D753" s="68"/>
      <c r="E753" s="68"/>
      <c r="F753" s="70"/>
      <c r="G753" s="70"/>
      <c r="H753" s="70"/>
    </row>
    <row r="754" spans="1:8" ht="12.5" x14ac:dyDescent="0.25">
      <c r="A754" s="14"/>
      <c r="C754" s="68"/>
      <c r="D754" s="68"/>
      <c r="E754" s="68"/>
      <c r="F754" s="70"/>
      <c r="G754" s="70"/>
      <c r="H754" s="70"/>
    </row>
    <row r="755" spans="1:8" ht="12.5" x14ac:dyDescent="0.25">
      <c r="A755" s="14"/>
      <c r="C755" s="68"/>
      <c r="D755" s="68"/>
      <c r="E755" s="68"/>
      <c r="F755" s="70"/>
      <c r="G755" s="70"/>
      <c r="H755" s="70"/>
    </row>
    <row r="756" spans="1:8" ht="12.5" x14ac:dyDescent="0.25">
      <c r="A756" s="14"/>
      <c r="C756" s="68"/>
      <c r="D756" s="68"/>
      <c r="E756" s="68"/>
      <c r="F756" s="70"/>
      <c r="G756" s="70"/>
      <c r="H756" s="70"/>
    </row>
    <row r="757" spans="1:8" ht="12.5" x14ac:dyDescent="0.25">
      <c r="A757" s="14"/>
      <c r="C757" s="68"/>
      <c r="D757" s="68"/>
      <c r="E757" s="68"/>
      <c r="F757" s="70"/>
      <c r="G757" s="70"/>
      <c r="H757" s="70"/>
    </row>
    <row r="758" spans="1:8" ht="12.5" x14ac:dyDescent="0.25">
      <c r="A758" s="14"/>
      <c r="C758" s="68"/>
      <c r="D758" s="68"/>
      <c r="E758" s="68"/>
      <c r="F758" s="70"/>
      <c r="G758" s="70"/>
      <c r="H758" s="70"/>
    </row>
    <row r="759" spans="1:8" ht="12.5" x14ac:dyDescent="0.25">
      <c r="A759" s="14"/>
      <c r="C759" s="68"/>
      <c r="D759" s="68"/>
      <c r="E759" s="68"/>
      <c r="F759" s="70"/>
      <c r="G759" s="70"/>
      <c r="H759" s="70"/>
    </row>
    <row r="760" spans="1:8" ht="12.5" x14ac:dyDescent="0.25">
      <c r="A760" s="14"/>
      <c r="C760" s="68"/>
      <c r="D760" s="68"/>
      <c r="E760" s="68"/>
      <c r="F760" s="70"/>
      <c r="G760" s="70"/>
      <c r="H760" s="70"/>
    </row>
    <row r="761" spans="1:8" ht="12.5" x14ac:dyDescent="0.25">
      <c r="A761" s="14"/>
      <c r="C761" s="68"/>
      <c r="D761" s="68"/>
      <c r="E761" s="68"/>
      <c r="F761" s="70"/>
      <c r="G761" s="70"/>
      <c r="H761" s="70"/>
    </row>
    <row r="762" spans="1:8" ht="12.5" x14ac:dyDescent="0.25">
      <c r="A762" s="14"/>
      <c r="C762" s="68"/>
      <c r="D762" s="68"/>
      <c r="E762" s="68"/>
      <c r="F762" s="70"/>
      <c r="G762" s="70"/>
      <c r="H762" s="70"/>
    </row>
    <row r="763" spans="1:8" ht="12.5" x14ac:dyDescent="0.25">
      <c r="A763" s="14"/>
      <c r="C763" s="68"/>
      <c r="D763" s="68"/>
      <c r="E763" s="68"/>
      <c r="F763" s="70"/>
      <c r="G763" s="70"/>
      <c r="H763" s="70"/>
    </row>
    <row r="764" spans="1:8" ht="12.5" x14ac:dyDescent="0.25">
      <c r="A764" s="14"/>
      <c r="C764" s="68"/>
      <c r="D764" s="68"/>
      <c r="E764" s="68"/>
      <c r="F764" s="70"/>
      <c r="G764" s="70"/>
      <c r="H764" s="70"/>
    </row>
    <row r="765" spans="1:8" ht="12.5" x14ac:dyDescent="0.25">
      <c r="A765" s="14"/>
      <c r="C765" s="68"/>
      <c r="D765" s="68"/>
      <c r="E765" s="68"/>
      <c r="F765" s="70"/>
      <c r="G765" s="70"/>
      <c r="H765" s="70"/>
    </row>
    <row r="766" spans="1:8" ht="12.5" x14ac:dyDescent="0.25">
      <c r="A766" s="14"/>
      <c r="C766" s="68"/>
      <c r="D766" s="68"/>
      <c r="E766" s="68"/>
      <c r="F766" s="70"/>
      <c r="G766" s="70"/>
      <c r="H766" s="70"/>
    </row>
    <row r="767" spans="1:8" ht="12.5" x14ac:dyDescent="0.25">
      <c r="A767" s="14"/>
      <c r="C767" s="68"/>
      <c r="D767" s="68"/>
      <c r="E767" s="68"/>
      <c r="F767" s="70"/>
      <c r="G767" s="70"/>
      <c r="H767" s="70"/>
    </row>
    <row r="768" spans="1:8" ht="12.5" x14ac:dyDescent="0.25">
      <c r="A768" s="14"/>
      <c r="C768" s="68"/>
      <c r="D768" s="68"/>
      <c r="E768" s="68"/>
      <c r="F768" s="70"/>
      <c r="G768" s="70"/>
      <c r="H768" s="70"/>
    </row>
    <row r="769" spans="1:8" ht="12.5" x14ac:dyDescent="0.25">
      <c r="A769" s="14"/>
      <c r="C769" s="68"/>
      <c r="D769" s="68"/>
      <c r="E769" s="68"/>
      <c r="F769" s="70"/>
      <c r="G769" s="70"/>
      <c r="H769" s="70"/>
    </row>
    <row r="770" spans="1:8" ht="12.5" x14ac:dyDescent="0.25">
      <c r="A770" s="14"/>
      <c r="C770" s="68"/>
      <c r="D770" s="68"/>
      <c r="E770" s="68"/>
      <c r="F770" s="70"/>
      <c r="G770" s="70"/>
      <c r="H770" s="70"/>
    </row>
    <row r="771" spans="1:8" ht="12.5" x14ac:dyDescent="0.25">
      <c r="A771" s="14"/>
      <c r="C771" s="68"/>
      <c r="D771" s="68"/>
      <c r="E771" s="68"/>
      <c r="F771" s="70"/>
      <c r="G771" s="70"/>
      <c r="H771" s="70"/>
    </row>
    <row r="772" spans="1:8" ht="12.5" x14ac:dyDescent="0.25">
      <c r="A772" s="14"/>
      <c r="C772" s="68"/>
      <c r="D772" s="68"/>
      <c r="E772" s="68"/>
      <c r="F772" s="70"/>
      <c r="G772" s="70"/>
      <c r="H772" s="70"/>
    </row>
    <row r="773" spans="1:8" ht="12.5" x14ac:dyDescent="0.25">
      <c r="A773" s="14"/>
      <c r="C773" s="68"/>
      <c r="D773" s="68"/>
      <c r="E773" s="68"/>
      <c r="F773" s="70"/>
      <c r="G773" s="70"/>
      <c r="H773" s="70"/>
    </row>
    <row r="774" spans="1:8" ht="12.5" x14ac:dyDescent="0.25">
      <c r="A774" s="14"/>
      <c r="C774" s="68"/>
      <c r="D774" s="68"/>
      <c r="E774" s="68"/>
      <c r="F774" s="70"/>
      <c r="G774" s="70"/>
      <c r="H774" s="70"/>
    </row>
    <row r="775" spans="1:8" ht="12.5" x14ac:dyDescent="0.25">
      <c r="A775" s="14"/>
      <c r="C775" s="68"/>
      <c r="D775" s="68"/>
      <c r="E775" s="68"/>
      <c r="F775" s="70"/>
      <c r="G775" s="70"/>
      <c r="H775" s="70"/>
    </row>
    <row r="776" spans="1:8" ht="12.5" x14ac:dyDescent="0.25">
      <c r="A776" s="14"/>
      <c r="C776" s="68"/>
      <c r="D776" s="68"/>
      <c r="E776" s="68"/>
      <c r="F776" s="70"/>
      <c r="G776" s="70"/>
      <c r="H776" s="70"/>
    </row>
    <row r="777" spans="1:8" ht="12.5" x14ac:dyDescent="0.25">
      <c r="A777" s="14"/>
      <c r="C777" s="68"/>
      <c r="D777" s="68"/>
      <c r="E777" s="68"/>
      <c r="F777" s="70"/>
      <c r="G777" s="70"/>
      <c r="H777" s="70"/>
    </row>
    <row r="778" spans="1:8" ht="12.5" x14ac:dyDescent="0.25">
      <c r="A778" s="14"/>
      <c r="C778" s="68"/>
      <c r="D778" s="68"/>
      <c r="E778" s="68"/>
      <c r="F778" s="70"/>
      <c r="G778" s="70"/>
      <c r="H778" s="70"/>
    </row>
    <row r="779" spans="1:8" ht="12.5" x14ac:dyDescent="0.25">
      <c r="A779" s="14"/>
      <c r="C779" s="68"/>
      <c r="D779" s="68"/>
      <c r="E779" s="68"/>
      <c r="F779" s="70"/>
      <c r="G779" s="70"/>
      <c r="H779" s="70"/>
    </row>
    <row r="780" spans="1:8" ht="12.5" x14ac:dyDescent="0.25">
      <c r="A780" s="14"/>
      <c r="C780" s="68"/>
      <c r="D780" s="68"/>
      <c r="E780" s="68"/>
      <c r="F780" s="70"/>
      <c r="G780" s="70"/>
      <c r="H780" s="70"/>
    </row>
    <row r="781" spans="1:8" ht="12.5" x14ac:dyDescent="0.25">
      <c r="A781" s="14"/>
      <c r="C781" s="68"/>
      <c r="D781" s="68"/>
      <c r="E781" s="68"/>
      <c r="F781" s="70"/>
      <c r="G781" s="70"/>
      <c r="H781" s="70"/>
    </row>
    <row r="782" spans="1:8" ht="12.5" x14ac:dyDescent="0.25">
      <c r="A782" s="14"/>
      <c r="C782" s="68"/>
      <c r="D782" s="68"/>
      <c r="E782" s="68"/>
      <c r="F782" s="70"/>
      <c r="G782" s="70"/>
      <c r="H782" s="70"/>
    </row>
    <row r="783" spans="1:8" ht="12.5" x14ac:dyDescent="0.25">
      <c r="A783" s="14"/>
      <c r="C783" s="68"/>
      <c r="D783" s="68"/>
      <c r="E783" s="68"/>
      <c r="F783" s="70"/>
      <c r="G783" s="70"/>
      <c r="H783" s="70"/>
    </row>
    <row r="784" spans="1:8" ht="12.5" x14ac:dyDescent="0.25">
      <c r="A784" s="14"/>
      <c r="C784" s="68"/>
      <c r="D784" s="68"/>
      <c r="E784" s="68"/>
      <c r="F784" s="70"/>
      <c r="G784" s="70"/>
      <c r="H784" s="70"/>
    </row>
    <row r="785" spans="1:8" ht="12.5" x14ac:dyDescent="0.25">
      <c r="A785" s="14"/>
      <c r="C785" s="68"/>
      <c r="D785" s="68"/>
      <c r="E785" s="68"/>
      <c r="F785" s="70"/>
      <c r="G785" s="70"/>
      <c r="H785" s="70"/>
    </row>
    <row r="786" spans="1:8" ht="12.5" x14ac:dyDescent="0.25">
      <c r="A786" s="14"/>
      <c r="C786" s="68"/>
      <c r="D786" s="68"/>
      <c r="E786" s="68"/>
      <c r="F786" s="70"/>
      <c r="G786" s="70"/>
      <c r="H786" s="70"/>
    </row>
    <row r="787" spans="1:8" ht="12.5" x14ac:dyDescent="0.25">
      <c r="A787" s="14"/>
      <c r="C787" s="68"/>
      <c r="D787" s="68"/>
      <c r="E787" s="68"/>
      <c r="F787" s="70"/>
      <c r="G787" s="70"/>
      <c r="H787" s="70"/>
    </row>
    <row r="788" spans="1:8" ht="12.5" x14ac:dyDescent="0.25">
      <c r="A788" s="14"/>
      <c r="C788" s="68"/>
      <c r="D788" s="68"/>
      <c r="E788" s="68"/>
      <c r="F788" s="70"/>
      <c r="G788" s="70"/>
      <c r="H788" s="70"/>
    </row>
    <row r="789" spans="1:8" ht="12.5" x14ac:dyDescent="0.25">
      <c r="A789" s="14"/>
      <c r="C789" s="68"/>
      <c r="D789" s="68"/>
      <c r="E789" s="68"/>
      <c r="F789" s="70"/>
      <c r="G789" s="70"/>
      <c r="H789" s="70"/>
    </row>
    <row r="790" spans="1:8" ht="12.5" x14ac:dyDescent="0.25">
      <c r="A790" s="14"/>
      <c r="C790" s="68"/>
      <c r="D790" s="68"/>
      <c r="E790" s="68"/>
      <c r="F790" s="70"/>
      <c r="G790" s="70"/>
      <c r="H790" s="70"/>
    </row>
    <row r="791" spans="1:8" ht="12.5" x14ac:dyDescent="0.25">
      <c r="A791" s="14"/>
      <c r="C791" s="68"/>
      <c r="D791" s="68"/>
      <c r="E791" s="68"/>
      <c r="F791" s="70"/>
      <c r="G791" s="70"/>
      <c r="H791" s="70"/>
    </row>
    <row r="792" spans="1:8" ht="12.5" x14ac:dyDescent="0.25">
      <c r="A792" s="14"/>
      <c r="C792" s="68"/>
      <c r="D792" s="68"/>
      <c r="E792" s="68"/>
      <c r="F792" s="70"/>
      <c r="G792" s="70"/>
      <c r="H792" s="70"/>
    </row>
    <row r="793" spans="1:8" ht="12.5" x14ac:dyDescent="0.25">
      <c r="A793" s="14"/>
      <c r="C793" s="68"/>
      <c r="D793" s="68"/>
      <c r="E793" s="68"/>
      <c r="F793" s="70"/>
      <c r="G793" s="70"/>
      <c r="H793" s="70"/>
    </row>
    <row r="794" spans="1:8" ht="12.5" x14ac:dyDescent="0.25">
      <c r="A794" s="14"/>
      <c r="C794" s="68"/>
      <c r="D794" s="68"/>
      <c r="E794" s="68"/>
      <c r="F794" s="70"/>
      <c r="G794" s="70"/>
      <c r="H794" s="70"/>
    </row>
    <row r="795" spans="1:8" ht="12.5" x14ac:dyDescent="0.25">
      <c r="A795" s="14"/>
      <c r="C795" s="68"/>
      <c r="D795" s="68"/>
      <c r="E795" s="68"/>
      <c r="F795" s="70"/>
      <c r="G795" s="70"/>
      <c r="H795" s="70"/>
    </row>
    <row r="796" spans="1:8" ht="12.5" x14ac:dyDescent="0.25">
      <c r="A796" s="14"/>
      <c r="C796" s="68"/>
      <c r="D796" s="68"/>
      <c r="E796" s="68"/>
      <c r="F796" s="70"/>
      <c r="G796" s="70"/>
      <c r="H796" s="70"/>
    </row>
    <row r="797" spans="1:8" ht="12.5" x14ac:dyDescent="0.25">
      <c r="A797" s="14"/>
      <c r="C797" s="68"/>
      <c r="D797" s="68"/>
      <c r="E797" s="68"/>
      <c r="F797" s="70"/>
      <c r="G797" s="70"/>
      <c r="H797" s="70"/>
    </row>
    <row r="798" spans="1:8" ht="12.5" x14ac:dyDescent="0.25">
      <c r="A798" s="14"/>
      <c r="C798" s="68"/>
      <c r="D798" s="68"/>
      <c r="E798" s="68"/>
      <c r="F798" s="70"/>
      <c r="G798" s="70"/>
      <c r="H798" s="70"/>
    </row>
    <row r="799" spans="1:8" ht="12.5" x14ac:dyDescent="0.25">
      <c r="A799" s="14"/>
      <c r="C799" s="68"/>
      <c r="D799" s="68"/>
      <c r="E799" s="68"/>
      <c r="F799" s="70"/>
      <c r="G799" s="70"/>
      <c r="H799" s="70"/>
    </row>
    <row r="800" spans="1:8" ht="12.5" x14ac:dyDescent="0.25">
      <c r="A800" s="14"/>
      <c r="C800" s="68"/>
      <c r="D800" s="68"/>
      <c r="E800" s="68"/>
      <c r="F800" s="70"/>
      <c r="G800" s="70"/>
      <c r="H800" s="70"/>
    </row>
    <row r="801" spans="1:8" ht="12.5" x14ac:dyDescent="0.25">
      <c r="A801" s="14"/>
      <c r="C801" s="68"/>
      <c r="D801" s="68"/>
      <c r="E801" s="68"/>
      <c r="F801" s="70"/>
      <c r="G801" s="70"/>
      <c r="H801" s="70"/>
    </row>
    <row r="802" spans="1:8" ht="12.5" x14ac:dyDescent="0.25">
      <c r="A802" s="14"/>
      <c r="C802" s="68"/>
      <c r="D802" s="68"/>
      <c r="E802" s="68"/>
      <c r="F802" s="70"/>
      <c r="G802" s="70"/>
      <c r="H802" s="70"/>
    </row>
    <row r="803" spans="1:8" ht="12.5" x14ac:dyDescent="0.25">
      <c r="A803" s="14"/>
      <c r="C803" s="68"/>
      <c r="D803" s="68"/>
      <c r="E803" s="68"/>
      <c r="F803" s="70"/>
      <c r="G803" s="70"/>
      <c r="H803" s="70"/>
    </row>
    <row r="804" spans="1:8" ht="12.5" x14ac:dyDescent="0.25">
      <c r="A804" s="14"/>
      <c r="C804" s="68"/>
      <c r="D804" s="68"/>
      <c r="E804" s="68"/>
      <c r="F804" s="70"/>
      <c r="G804" s="70"/>
      <c r="H804" s="70"/>
    </row>
    <row r="805" spans="1:8" ht="12.5" x14ac:dyDescent="0.25">
      <c r="A805" s="14"/>
      <c r="C805" s="68"/>
      <c r="D805" s="68"/>
      <c r="E805" s="68"/>
      <c r="F805" s="70"/>
      <c r="G805" s="70"/>
      <c r="H805" s="70"/>
    </row>
    <row r="806" spans="1:8" ht="12.5" x14ac:dyDescent="0.25">
      <c r="A806" s="14"/>
      <c r="C806" s="68"/>
      <c r="D806" s="68"/>
      <c r="E806" s="68"/>
      <c r="F806" s="70"/>
      <c r="G806" s="70"/>
      <c r="H806" s="70"/>
    </row>
    <row r="807" spans="1:8" ht="12.5" x14ac:dyDescent="0.25">
      <c r="A807" s="14"/>
      <c r="C807" s="68"/>
      <c r="D807" s="68"/>
      <c r="E807" s="68"/>
      <c r="F807" s="70"/>
      <c r="G807" s="70"/>
      <c r="H807" s="70"/>
    </row>
    <row r="808" spans="1:8" ht="12.5" x14ac:dyDescent="0.25">
      <c r="A808" s="14"/>
      <c r="C808" s="68"/>
      <c r="D808" s="68"/>
      <c r="E808" s="68"/>
      <c r="F808" s="70"/>
      <c r="G808" s="70"/>
      <c r="H808" s="70"/>
    </row>
    <row r="809" spans="1:8" ht="12.5" x14ac:dyDescent="0.25">
      <c r="A809" s="14"/>
      <c r="C809" s="68"/>
      <c r="D809" s="68"/>
      <c r="E809" s="68"/>
      <c r="F809" s="70"/>
      <c r="G809" s="70"/>
      <c r="H809" s="70"/>
    </row>
    <row r="810" spans="1:8" ht="12.5" x14ac:dyDescent="0.25">
      <c r="A810" s="14"/>
      <c r="C810" s="68"/>
      <c r="D810" s="68"/>
      <c r="E810" s="68"/>
      <c r="F810" s="70"/>
      <c r="G810" s="70"/>
      <c r="H810" s="70"/>
    </row>
    <row r="811" spans="1:8" ht="12.5" x14ac:dyDescent="0.25">
      <c r="A811" s="14"/>
      <c r="C811" s="68"/>
      <c r="D811" s="68"/>
      <c r="E811" s="68"/>
      <c r="F811" s="70"/>
      <c r="G811" s="70"/>
      <c r="H811" s="70"/>
    </row>
    <row r="812" spans="1:8" ht="12.5" x14ac:dyDescent="0.25">
      <c r="A812" s="14"/>
      <c r="C812" s="68"/>
      <c r="D812" s="68"/>
      <c r="E812" s="68"/>
      <c r="F812" s="70"/>
      <c r="G812" s="70"/>
      <c r="H812" s="70"/>
    </row>
    <row r="813" spans="1:8" ht="12.5" x14ac:dyDescent="0.25">
      <c r="A813" s="14"/>
      <c r="C813" s="68"/>
      <c r="D813" s="68"/>
      <c r="E813" s="68"/>
      <c r="F813" s="70"/>
      <c r="G813" s="70"/>
      <c r="H813" s="70"/>
    </row>
    <row r="814" spans="1:8" ht="12.5" x14ac:dyDescent="0.25">
      <c r="A814" s="14"/>
      <c r="C814" s="68"/>
      <c r="D814" s="68"/>
      <c r="E814" s="68"/>
      <c r="F814" s="70"/>
      <c r="G814" s="70"/>
      <c r="H814" s="70"/>
    </row>
    <row r="815" spans="1:8" ht="12.5" x14ac:dyDescent="0.25">
      <c r="A815" s="14"/>
      <c r="C815" s="68"/>
      <c r="D815" s="68"/>
      <c r="E815" s="68"/>
      <c r="F815" s="70"/>
      <c r="G815" s="70"/>
      <c r="H815" s="70"/>
    </row>
    <row r="816" spans="1:8" ht="12.5" x14ac:dyDescent="0.25">
      <c r="A816" s="14"/>
      <c r="C816" s="68"/>
      <c r="D816" s="68"/>
      <c r="E816" s="68"/>
      <c r="F816" s="70"/>
      <c r="G816" s="70"/>
      <c r="H816" s="70"/>
    </row>
    <row r="817" spans="1:8" ht="12.5" x14ac:dyDescent="0.25">
      <c r="A817" s="14"/>
      <c r="C817" s="68"/>
      <c r="D817" s="68"/>
      <c r="E817" s="68"/>
      <c r="F817" s="70"/>
      <c r="G817" s="70"/>
      <c r="H817" s="70"/>
    </row>
    <row r="818" spans="1:8" ht="12.5" x14ac:dyDescent="0.25">
      <c r="A818" s="14"/>
      <c r="C818" s="68"/>
      <c r="D818" s="68"/>
      <c r="E818" s="68"/>
      <c r="F818" s="70"/>
      <c r="G818" s="70"/>
      <c r="H818" s="70"/>
    </row>
    <row r="819" spans="1:8" ht="12.5" x14ac:dyDescent="0.25">
      <c r="A819" s="14"/>
      <c r="C819" s="68"/>
      <c r="D819" s="68"/>
      <c r="E819" s="68"/>
      <c r="F819" s="70"/>
      <c r="G819" s="70"/>
      <c r="H819" s="70"/>
    </row>
    <row r="820" spans="1:8" ht="12.5" x14ac:dyDescent="0.25">
      <c r="A820" s="14"/>
      <c r="C820" s="68"/>
      <c r="D820" s="68"/>
      <c r="E820" s="68"/>
      <c r="F820" s="70"/>
      <c r="G820" s="70"/>
      <c r="H820" s="70"/>
    </row>
    <row r="821" spans="1:8" ht="12.5" x14ac:dyDescent="0.25">
      <c r="A821" s="14"/>
      <c r="C821" s="68"/>
      <c r="D821" s="68"/>
      <c r="E821" s="68"/>
      <c r="F821" s="70"/>
      <c r="G821" s="70"/>
      <c r="H821" s="70"/>
    </row>
    <row r="822" spans="1:8" ht="12.5" x14ac:dyDescent="0.25">
      <c r="A822" s="14"/>
      <c r="C822" s="68"/>
      <c r="D822" s="68"/>
      <c r="E822" s="68"/>
      <c r="F822" s="70"/>
      <c r="G822" s="70"/>
      <c r="H822" s="70"/>
    </row>
    <row r="823" spans="1:8" ht="12.5" x14ac:dyDescent="0.25">
      <c r="A823" s="14"/>
      <c r="C823" s="68"/>
      <c r="D823" s="68"/>
      <c r="E823" s="68"/>
      <c r="F823" s="70"/>
      <c r="G823" s="70"/>
      <c r="H823" s="70"/>
    </row>
    <row r="824" spans="1:8" ht="12.5" x14ac:dyDescent="0.25">
      <c r="A824" s="14"/>
      <c r="C824" s="68"/>
      <c r="D824" s="68"/>
      <c r="E824" s="68"/>
      <c r="F824" s="70"/>
      <c r="G824" s="70"/>
      <c r="H824" s="70"/>
    </row>
    <row r="825" spans="1:8" ht="12.5" x14ac:dyDescent="0.25">
      <c r="A825" s="14"/>
      <c r="C825" s="68"/>
      <c r="D825" s="68"/>
      <c r="E825" s="68"/>
      <c r="F825" s="70"/>
      <c r="G825" s="70"/>
      <c r="H825" s="70"/>
    </row>
    <row r="826" spans="1:8" ht="12.5" x14ac:dyDescent="0.25">
      <c r="A826" s="14"/>
      <c r="C826" s="68"/>
      <c r="D826" s="68"/>
      <c r="E826" s="68"/>
      <c r="F826" s="70"/>
      <c r="G826" s="70"/>
      <c r="H826" s="70"/>
    </row>
    <row r="827" spans="1:8" ht="12.5" x14ac:dyDescent="0.25">
      <c r="A827" s="14"/>
      <c r="C827" s="68"/>
      <c r="D827" s="68"/>
      <c r="E827" s="68"/>
      <c r="F827" s="70"/>
      <c r="G827" s="70"/>
      <c r="H827" s="70"/>
    </row>
    <row r="828" spans="1:8" ht="12.5" x14ac:dyDescent="0.25">
      <c r="A828" s="14"/>
      <c r="C828" s="68"/>
      <c r="D828" s="68"/>
      <c r="E828" s="68"/>
      <c r="F828" s="70"/>
      <c r="G828" s="70"/>
      <c r="H828" s="70"/>
    </row>
    <row r="829" spans="1:8" ht="12.5" x14ac:dyDescent="0.25">
      <c r="A829" s="14"/>
      <c r="C829" s="68"/>
      <c r="D829" s="68"/>
      <c r="E829" s="68"/>
      <c r="F829" s="70"/>
      <c r="G829" s="70"/>
      <c r="H829" s="70"/>
    </row>
    <row r="830" spans="1:8" ht="12.5" x14ac:dyDescent="0.25">
      <c r="A830" s="14"/>
      <c r="C830" s="68"/>
      <c r="D830" s="68"/>
      <c r="E830" s="68"/>
      <c r="F830" s="70"/>
      <c r="G830" s="70"/>
      <c r="H830" s="70"/>
    </row>
    <row r="831" spans="1:8" ht="12.5" x14ac:dyDescent="0.25">
      <c r="A831" s="14"/>
      <c r="C831" s="68"/>
      <c r="D831" s="68"/>
      <c r="E831" s="68"/>
      <c r="F831" s="70"/>
      <c r="G831" s="70"/>
      <c r="H831" s="70"/>
    </row>
    <row r="832" spans="1:8" ht="12.5" x14ac:dyDescent="0.25">
      <c r="A832" s="14"/>
      <c r="C832" s="68"/>
      <c r="D832" s="68"/>
      <c r="E832" s="68"/>
      <c r="F832" s="70"/>
      <c r="G832" s="70"/>
      <c r="H832" s="70"/>
    </row>
    <row r="833" spans="1:8" ht="12.5" x14ac:dyDescent="0.25">
      <c r="A833" s="14"/>
      <c r="C833" s="68"/>
      <c r="D833" s="68"/>
      <c r="E833" s="68"/>
      <c r="F833" s="70"/>
      <c r="G833" s="70"/>
      <c r="H833" s="70"/>
    </row>
    <row r="834" spans="1:8" ht="12.5" x14ac:dyDescent="0.25">
      <c r="A834" s="14"/>
      <c r="C834" s="68"/>
      <c r="D834" s="68"/>
      <c r="E834" s="68"/>
      <c r="F834" s="70"/>
      <c r="G834" s="70"/>
      <c r="H834" s="70"/>
    </row>
    <row r="835" spans="1:8" ht="12.5" x14ac:dyDescent="0.25">
      <c r="A835" s="14"/>
      <c r="C835" s="68"/>
      <c r="D835" s="68"/>
      <c r="E835" s="68"/>
      <c r="F835" s="70"/>
      <c r="G835" s="70"/>
      <c r="H835" s="70"/>
    </row>
    <row r="836" spans="1:8" ht="12.5" x14ac:dyDescent="0.25">
      <c r="A836" s="14"/>
      <c r="C836" s="68"/>
      <c r="D836" s="68"/>
      <c r="E836" s="68"/>
      <c r="F836" s="70"/>
      <c r="G836" s="70"/>
      <c r="H836" s="70"/>
    </row>
    <row r="837" spans="1:8" ht="12.5" x14ac:dyDescent="0.25">
      <c r="A837" s="14"/>
      <c r="C837" s="68"/>
      <c r="D837" s="68"/>
      <c r="E837" s="68"/>
      <c r="F837" s="70"/>
      <c r="G837" s="70"/>
      <c r="H837" s="70"/>
    </row>
    <row r="838" spans="1:8" ht="12.5" x14ac:dyDescent="0.25">
      <c r="A838" s="14"/>
      <c r="C838" s="68"/>
      <c r="D838" s="68"/>
      <c r="E838" s="68"/>
      <c r="F838" s="70"/>
      <c r="G838" s="70"/>
      <c r="H838" s="70"/>
    </row>
    <row r="839" spans="1:8" ht="12.5" x14ac:dyDescent="0.25">
      <c r="A839" s="14"/>
      <c r="C839" s="68"/>
      <c r="D839" s="68"/>
      <c r="E839" s="68"/>
      <c r="F839" s="70"/>
      <c r="G839" s="70"/>
      <c r="H839" s="70"/>
    </row>
    <row r="840" spans="1:8" ht="12.5" x14ac:dyDescent="0.25">
      <c r="A840" s="14"/>
      <c r="C840" s="68"/>
      <c r="D840" s="68"/>
      <c r="E840" s="68"/>
      <c r="F840" s="70"/>
      <c r="G840" s="70"/>
      <c r="H840" s="70"/>
    </row>
    <row r="841" spans="1:8" ht="12.5" x14ac:dyDescent="0.25">
      <c r="A841" s="14"/>
      <c r="C841" s="68"/>
      <c r="D841" s="68"/>
      <c r="E841" s="68"/>
      <c r="F841" s="70"/>
      <c r="G841" s="70"/>
      <c r="H841" s="70"/>
    </row>
    <row r="842" spans="1:8" ht="12.5" x14ac:dyDescent="0.25">
      <c r="A842" s="14"/>
      <c r="C842" s="68"/>
      <c r="D842" s="68"/>
      <c r="E842" s="68"/>
      <c r="F842" s="70"/>
      <c r="G842" s="70"/>
      <c r="H842" s="70"/>
    </row>
    <row r="843" spans="1:8" ht="12.5" x14ac:dyDescent="0.25">
      <c r="A843" s="14"/>
      <c r="C843" s="68"/>
      <c r="D843" s="68"/>
      <c r="E843" s="68"/>
      <c r="F843" s="70"/>
      <c r="G843" s="70"/>
      <c r="H843" s="70"/>
    </row>
    <row r="844" spans="1:8" ht="12.5" x14ac:dyDescent="0.25">
      <c r="A844" s="14"/>
      <c r="C844" s="68"/>
      <c r="D844" s="68"/>
      <c r="E844" s="68"/>
      <c r="F844" s="70"/>
      <c r="G844" s="70"/>
      <c r="H844" s="70"/>
    </row>
    <row r="845" spans="1:8" ht="12.5" x14ac:dyDescent="0.25">
      <c r="A845" s="14"/>
      <c r="C845" s="68"/>
      <c r="D845" s="68"/>
      <c r="E845" s="68"/>
      <c r="F845" s="70"/>
      <c r="G845" s="70"/>
      <c r="H845" s="70"/>
    </row>
    <row r="846" spans="1:8" ht="12.5" x14ac:dyDescent="0.25">
      <c r="A846" s="14"/>
      <c r="C846" s="68"/>
      <c r="D846" s="68"/>
      <c r="E846" s="68"/>
      <c r="F846" s="70"/>
      <c r="G846" s="70"/>
      <c r="H846" s="70"/>
    </row>
    <row r="847" spans="1:8" ht="12.5" x14ac:dyDescent="0.25">
      <c r="A847" s="14"/>
      <c r="C847" s="68"/>
      <c r="D847" s="68"/>
      <c r="E847" s="68"/>
      <c r="F847" s="70"/>
      <c r="G847" s="70"/>
      <c r="H847" s="70"/>
    </row>
    <row r="848" spans="1:8" ht="12.5" x14ac:dyDescent="0.25">
      <c r="A848" s="14"/>
      <c r="C848" s="68"/>
      <c r="D848" s="68"/>
      <c r="E848" s="68"/>
      <c r="F848" s="70"/>
      <c r="G848" s="70"/>
      <c r="H848" s="70"/>
    </row>
    <row r="849" spans="1:8" ht="12.5" x14ac:dyDescent="0.25">
      <c r="A849" s="14"/>
      <c r="C849" s="68"/>
      <c r="D849" s="68"/>
      <c r="E849" s="68"/>
      <c r="F849" s="70"/>
      <c r="G849" s="70"/>
      <c r="H849" s="70"/>
    </row>
    <row r="850" spans="1:8" ht="12.5" x14ac:dyDescent="0.25">
      <c r="A850" s="14"/>
      <c r="C850" s="68"/>
      <c r="D850" s="68"/>
      <c r="E850" s="68"/>
      <c r="F850" s="70"/>
      <c r="G850" s="70"/>
      <c r="H850" s="70"/>
    </row>
    <row r="851" spans="1:8" ht="12.5" x14ac:dyDescent="0.25">
      <c r="A851" s="14"/>
      <c r="C851" s="68"/>
      <c r="D851" s="68"/>
      <c r="E851" s="68"/>
      <c r="F851" s="70"/>
      <c r="G851" s="70"/>
      <c r="H851" s="70"/>
    </row>
    <row r="852" spans="1:8" ht="12.5" x14ac:dyDescent="0.25">
      <c r="A852" s="14"/>
      <c r="C852" s="68"/>
      <c r="D852" s="68"/>
      <c r="E852" s="68"/>
      <c r="F852" s="70"/>
      <c r="G852" s="70"/>
      <c r="H852" s="70"/>
    </row>
    <row r="853" spans="1:8" ht="12.5" x14ac:dyDescent="0.25">
      <c r="A853" s="14"/>
      <c r="C853" s="68"/>
      <c r="D853" s="68"/>
      <c r="E853" s="68"/>
      <c r="F853" s="70"/>
      <c r="G853" s="70"/>
      <c r="H853" s="70"/>
    </row>
    <row r="854" spans="1:8" ht="12.5" x14ac:dyDescent="0.25">
      <c r="A854" s="14"/>
      <c r="C854" s="68"/>
      <c r="D854" s="68"/>
      <c r="E854" s="68"/>
      <c r="F854" s="70"/>
      <c r="G854" s="70"/>
      <c r="H854" s="70"/>
    </row>
    <row r="855" spans="1:8" ht="12.5" x14ac:dyDescent="0.25">
      <c r="A855" s="14"/>
      <c r="C855" s="68"/>
      <c r="D855" s="68"/>
      <c r="E855" s="68"/>
      <c r="F855" s="70"/>
      <c r="G855" s="70"/>
      <c r="H855" s="70"/>
    </row>
    <row r="856" spans="1:8" ht="12.5" x14ac:dyDescent="0.25">
      <c r="A856" s="14"/>
      <c r="C856" s="68"/>
      <c r="D856" s="68"/>
      <c r="E856" s="68"/>
      <c r="F856" s="70"/>
      <c r="G856" s="70"/>
      <c r="H856" s="70"/>
    </row>
    <row r="857" spans="1:8" ht="12.5" x14ac:dyDescent="0.25">
      <c r="A857" s="14"/>
      <c r="C857" s="68"/>
      <c r="D857" s="68"/>
      <c r="E857" s="68"/>
      <c r="F857" s="70"/>
      <c r="G857" s="70"/>
      <c r="H857" s="70"/>
    </row>
    <row r="858" spans="1:8" ht="12.5" x14ac:dyDescent="0.25">
      <c r="A858" s="14"/>
      <c r="C858" s="68"/>
      <c r="D858" s="68"/>
      <c r="E858" s="68"/>
      <c r="F858" s="70"/>
      <c r="G858" s="70"/>
      <c r="H858" s="70"/>
    </row>
    <row r="859" spans="1:8" ht="12.5" x14ac:dyDescent="0.25">
      <c r="A859" s="14"/>
      <c r="C859" s="68"/>
      <c r="D859" s="68"/>
      <c r="E859" s="68"/>
      <c r="F859" s="70"/>
      <c r="G859" s="70"/>
      <c r="H859" s="70"/>
    </row>
    <row r="860" spans="1:8" ht="12.5" x14ac:dyDescent="0.25">
      <c r="A860" s="14"/>
      <c r="C860" s="68"/>
      <c r="D860" s="68"/>
      <c r="E860" s="68"/>
      <c r="F860" s="70"/>
      <c r="G860" s="70"/>
      <c r="H860" s="70"/>
    </row>
    <row r="861" spans="1:8" ht="12.5" x14ac:dyDescent="0.25">
      <c r="A861" s="14"/>
      <c r="C861" s="68"/>
      <c r="D861" s="68"/>
      <c r="E861" s="68"/>
      <c r="F861" s="70"/>
      <c r="G861" s="70"/>
      <c r="H861" s="70"/>
    </row>
    <row r="862" spans="1:8" ht="12.5" x14ac:dyDescent="0.25">
      <c r="A862" s="14"/>
      <c r="C862" s="68"/>
      <c r="D862" s="68"/>
      <c r="E862" s="68"/>
      <c r="F862" s="70"/>
      <c r="G862" s="70"/>
      <c r="H862" s="70"/>
    </row>
    <row r="863" spans="1:8" ht="12.5" x14ac:dyDescent="0.25">
      <c r="A863" s="14"/>
      <c r="C863" s="68"/>
      <c r="D863" s="68"/>
      <c r="E863" s="68"/>
      <c r="F863" s="70"/>
      <c r="G863" s="70"/>
      <c r="H863" s="70"/>
    </row>
    <row r="864" spans="1:8" ht="12.5" x14ac:dyDescent="0.25">
      <c r="A864" s="14"/>
      <c r="C864" s="68"/>
      <c r="D864" s="68"/>
      <c r="E864" s="68"/>
      <c r="F864" s="70"/>
      <c r="G864" s="70"/>
      <c r="H864" s="70"/>
    </row>
    <row r="865" spans="1:8" ht="12.5" x14ac:dyDescent="0.25">
      <c r="A865" s="14"/>
      <c r="C865" s="68"/>
      <c r="D865" s="68"/>
      <c r="E865" s="68"/>
      <c r="F865" s="70"/>
      <c r="G865" s="70"/>
      <c r="H865" s="70"/>
    </row>
    <row r="866" spans="1:8" ht="12.5" x14ac:dyDescent="0.25">
      <c r="A866" s="14"/>
      <c r="C866" s="68"/>
      <c r="D866" s="68"/>
      <c r="E866" s="68"/>
      <c r="F866" s="70"/>
      <c r="G866" s="70"/>
      <c r="H866" s="70"/>
    </row>
    <row r="867" spans="1:8" ht="12.5" x14ac:dyDescent="0.25">
      <c r="A867" s="14"/>
      <c r="C867" s="68"/>
      <c r="D867" s="68"/>
      <c r="E867" s="68"/>
      <c r="F867" s="70"/>
      <c r="G867" s="70"/>
      <c r="H867" s="70"/>
    </row>
    <row r="868" spans="1:8" ht="12.5" x14ac:dyDescent="0.25">
      <c r="A868" s="14"/>
      <c r="C868" s="68"/>
      <c r="D868" s="68"/>
      <c r="E868" s="68"/>
      <c r="F868" s="70"/>
      <c r="G868" s="70"/>
      <c r="H868" s="70"/>
    </row>
    <row r="869" spans="1:8" ht="12.5" x14ac:dyDescent="0.25">
      <c r="A869" s="14"/>
      <c r="C869" s="68"/>
      <c r="D869" s="68"/>
      <c r="E869" s="68"/>
      <c r="F869" s="70"/>
      <c r="G869" s="70"/>
      <c r="H869" s="70"/>
    </row>
    <row r="870" spans="1:8" ht="12.5" x14ac:dyDescent="0.25">
      <c r="A870" s="14"/>
      <c r="C870" s="68"/>
      <c r="D870" s="68"/>
      <c r="E870" s="68"/>
      <c r="F870" s="70"/>
      <c r="G870" s="70"/>
      <c r="H870" s="70"/>
    </row>
    <row r="871" spans="1:8" ht="12.5" x14ac:dyDescent="0.25">
      <c r="A871" s="14"/>
      <c r="C871" s="68"/>
      <c r="D871" s="68"/>
      <c r="E871" s="68"/>
      <c r="F871" s="70"/>
      <c r="G871" s="70"/>
      <c r="H871" s="70"/>
    </row>
    <row r="872" spans="1:8" ht="12.5" x14ac:dyDescent="0.25">
      <c r="A872" s="14"/>
      <c r="C872" s="68"/>
      <c r="D872" s="68"/>
      <c r="E872" s="68"/>
      <c r="F872" s="70"/>
      <c r="G872" s="70"/>
      <c r="H872" s="70"/>
    </row>
    <row r="873" spans="1:8" ht="12.5" x14ac:dyDescent="0.25">
      <c r="A873" s="14"/>
      <c r="C873" s="68"/>
      <c r="D873" s="68"/>
      <c r="E873" s="68"/>
      <c r="F873" s="70"/>
      <c r="G873" s="70"/>
      <c r="H873" s="70"/>
    </row>
    <row r="874" spans="1:8" ht="12.5" x14ac:dyDescent="0.25">
      <c r="A874" s="14"/>
      <c r="C874" s="68"/>
      <c r="D874" s="68"/>
      <c r="E874" s="68"/>
      <c r="F874" s="70"/>
      <c r="G874" s="70"/>
      <c r="H874" s="70"/>
    </row>
    <row r="875" spans="1:8" ht="12.5" x14ac:dyDescent="0.25">
      <c r="A875" s="14"/>
      <c r="C875" s="68"/>
      <c r="D875" s="68"/>
      <c r="E875" s="68"/>
      <c r="F875" s="70"/>
      <c r="G875" s="70"/>
      <c r="H875" s="70"/>
    </row>
    <row r="876" spans="1:8" ht="12.5" x14ac:dyDescent="0.25">
      <c r="A876" s="14"/>
      <c r="C876" s="68"/>
      <c r="D876" s="68"/>
      <c r="E876" s="68"/>
      <c r="F876" s="70"/>
      <c r="G876" s="70"/>
      <c r="H876" s="70"/>
    </row>
    <row r="877" spans="1:8" ht="12.5" x14ac:dyDescent="0.25">
      <c r="A877" s="14"/>
      <c r="C877" s="68"/>
      <c r="D877" s="68"/>
      <c r="E877" s="68"/>
      <c r="F877" s="70"/>
      <c r="G877" s="70"/>
      <c r="H877" s="70"/>
    </row>
    <row r="878" spans="1:8" ht="12.5" x14ac:dyDescent="0.25">
      <c r="A878" s="14"/>
      <c r="C878" s="68"/>
      <c r="D878" s="68"/>
      <c r="E878" s="68"/>
      <c r="F878" s="70"/>
      <c r="G878" s="70"/>
      <c r="H878" s="70"/>
    </row>
    <row r="879" spans="1:8" ht="12.5" x14ac:dyDescent="0.25">
      <c r="A879" s="14"/>
      <c r="C879" s="68"/>
      <c r="D879" s="68"/>
      <c r="E879" s="68"/>
      <c r="F879" s="70"/>
      <c r="G879" s="70"/>
      <c r="H879" s="70"/>
    </row>
    <row r="880" spans="1:8" ht="12.5" x14ac:dyDescent="0.25">
      <c r="A880" s="14"/>
      <c r="C880" s="68"/>
      <c r="D880" s="68"/>
      <c r="E880" s="68"/>
      <c r="F880" s="70"/>
      <c r="G880" s="70"/>
      <c r="H880" s="70"/>
    </row>
    <row r="881" spans="1:8" ht="12.5" x14ac:dyDescent="0.25">
      <c r="A881" s="14"/>
      <c r="C881" s="68"/>
      <c r="D881" s="68"/>
      <c r="E881" s="68"/>
      <c r="F881" s="70"/>
      <c r="G881" s="70"/>
      <c r="H881" s="70"/>
    </row>
    <row r="882" spans="1:8" ht="12.5" x14ac:dyDescent="0.25">
      <c r="A882" s="14"/>
      <c r="C882" s="68"/>
      <c r="D882" s="68"/>
      <c r="E882" s="68"/>
      <c r="F882" s="70"/>
      <c r="G882" s="70"/>
      <c r="H882" s="70"/>
    </row>
    <row r="883" spans="1:8" ht="12.5" x14ac:dyDescent="0.25">
      <c r="A883" s="14"/>
      <c r="C883" s="68"/>
      <c r="D883" s="68"/>
      <c r="E883" s="68"/>
      <c r="F883" s="70"/>
      <c r="G883" s="70"/>
      <c r="H883" s="70"/>
    </row>
    <row r="884" spans="1:8" ht="12.5" x14ac:dyDescent="0.25">
      <c r="A884" s="14"/>
      <c r="C884" s="68"/>
      <c r="D884" s="68"/>
      <c r="E884" s="68"/>
      <c r="F884" s="70"/>
      <c r="G884" s="70"/>
      <c r="H884" s="70"/>
    </row>
    <row r="885" spans="1:8" ht="12.5" x14ac:dyDescent="0.25">
      <c r="A885" s="14"/>
      <c r="C885" s="68"/>
      <c r="D885" s="68"/>
      <c r="E885" s="68"/>
      <c r="F885" s="70"/>
      <c r="G885" s="70"/>
      <c r="H885" s="70"/>
    </row>
    <row r="886" spans="1:8" ht="12.5" x14ac:dyDescent="0.25">
      <c r="A886" s="14"/>
      <c r="C886" s="68"/>
      <c r="D886" s="68"/>
      <c r="E886" s="68"/>
      <c r="F886" s="70"/>
      <c r="G886" s="70"/>
      <c r="H886" s="70"/>
    </row>
    <row r="887" spans="1:8" ht="12.5" x14ac:dyDescent="0.25">
      <c r="A887" s="14"/>
      <c r="C887" s="68"/>
      <c r="D887" s="68"/>
      <c r="E887" s="68"/>
      <c r="F887" s="70"/>
      <c r="G887" s="70"/>
      <c r="H887" s="70"/>
    </row>
    <row r="888" spans="1:8" ht="12.5" x14ac:dyDescent="0.25">
      <c r="A888" s="14"/>
      <c r="C888" s="68"/>
      <c r="D888" s="68"/>
      <c r="E888" s="68"/>
      <c r="F888" s="70"/>
      <c r="G888" s="70"/>
      <c r="H888" s="70"/>
    </row>
    <row r="889" spans="1:8" ht="12.5" x14ac:dyDescent="0.25">
      <c r="A889" s="14"/>
      <c r="C889" s="68"/>
      <c r="D889" s="68"/>
      <c r="E889" s="68"/>
      <c r="F889" s="70"/>
      <c r="G889" s="70"/>
      <c r="H889" s="70"/>
    </row>
    <row r="890" spans="1:8" ht="12.5" x14ac:dyDescent="0.25">
      <c r="A890" s="14"/>
      <c r="C890" s="68"/>
      <c r="D890" s="68"/>
      <c r="E890" s="68"/>
      <c r="F890" s="70"/>
      <c r="G890" s="70"/>
      <c r="H890" s="70"/>
    </row>
    <row r="891" spans="1:8" ht="12.5" x14ac:dyDescent="0.25">
      <c r="A891" s="14"/>
      <c r="C891" s="68"/>
      <c r="D891" s="68"/>
      <c r="E891" s="68"/>
      <c r="F891" s="70"/>
      <c r="G891" s="70"/>
      <c r="H891" s="70"/>
    </row>
    <row r="892" spans="1:8" ht="12.5" x14ac:dyDescent="0.25">
      <c r="A892" s="14"/>
      <c r="C892" s="68"/>
      <c r="D892" s="68"/>
      <c r="E892" s="68"/>
      <c r="F892" s="70"/>
      <c r="G892" s="70"/>
      <c r="H892" s="70"/>
    </row>
    <row r="893" spans="1:8" ht="12.5" x14ac:dyDescent="0.25">
      <c r="A893" s="14"/>
      <c r="C893" s="68"/>
      <c r="D893" s="68"/>
      <c r="E893" s="68"/>
      <c r="F893" s="70"/>
      <c r="G893" s="70"/>
      <c r="H893" s="70"/>
    </row>
    <row r="894" spans="1:8" ht="12.5" x14ac:dyDescent="0.25">
      <c r="A894" s="14"/>
      <c r="C894" s="68"/>
      <c r="D894" s="68"/>
      <c r="E894" s="68"/>
      <c r="F894" s="70"/>
      <c r="G894" s="70"/>
      <c r="H894" s="70"/>
    </row>
    <row r="895" spans="1:8" ht="12.5" x14ac:dyDescent="0.25">
      <c r="A895" s="14"/>
      <c r="C895" s="68"/>
      <c r="D895" s="68"/>
      <c r="E895" s="68"/>
      <c r="F895" s="70"/>
      <c r="G895" s="70"/>
      <c r="H895" s="70"/>
    </row>
    <row r="896" spans="1:8" ht="12.5" x14ac:dyDescent="0.25">
      <c r="A896" s="14"/>
      <c r="C896" s="68"/>
      <c r="D896" s="68"/>
      <c r="E896" s="68"/>
      <c r="F896" s="70"/>
      <c r="G896" s="70"/>
      <c r="H896" s="70"/>
    </row>
    <row r="897" spans="1:8" ht="12.5" x14ac:dyDescent="0.25">
      <c r="A897" s="14"/>
      <c r="C897" s="68"/>
      <c r="D897" s="68"/>
      <c r="E897" s="68"/>
      <c r="F897" s="70"/>
      <c r="G897" s="70"/>
      <c r="H897" s="70"/>
    </row>
    <row r="898" spans="1:8" ht="12.5" x14ac:dyDescent="0.25">
      <c r="A898" s="14"/>
      <c r="C898" s="68"/>
      <c r="D898" s="68"/>
      <c r="E898" s="68"/>
      <c r="F898" s="70"/>
      <c r="G898" s="70"/>
      <c r="H898" s="70"/>
    </row>
    <row r="899" spans="1:8" ht="12.5" x14ac:dyDescent="0.25">
      <c r="A899" s="14"/>
      <c r="C899" s="68"/>
      <c r="D899" s="68"/>
      <c r="E899" s="68"/>
      <c r="F899" s="70"/>
      <c r="G899" s="70"/>
      <c r="H899" s="70"/>
    </row>
    <row r="900" spans="1:8" ht="12.5" x14ac:dyDescent="0.25">
      <c r="A900" s="14"/>
      <c r="C900" s="68"/>
      <c r="D900" s="68"/>
      <c r="E900" s="68"/>
      <c r="F900" s="70"/>
      <c r="G900" s="70"/>
      <c r="H900" s="70"/>
    </row>
    <row r="901" spans="1:8" ht="12.5" x14ac:dyDescent="0.25">
      <c r="A901" s="14"/>
      <c r="C901" s="68"/>
      <c r="D901" s="68"/>
      <c r="E901" s="68"/>
      <c r="F901" s="70"/>
      <c r="G901" s="70"/>
      <c r="H901" s="70"/>
    </row>
    <row r="902" spans="1:8" ht="12.5" x14ac:dyDescent="0.25">
      <c r="A902" s="14"/>
      <c r="C902" s="68"/>
      <c r="D902" s="68"/>
      <c r="E902" s="68"/>
      <c r="F902" s="70"/>
      <c r="G902" s="70"/>
      <c r="H902" s="70"/>
    </row>
    <row r="903" spans="1:8" ht="12.5" x14ac:dyDescent="0.25">
      <c r="A903" s="14"/>
      <c r="C903" s="68"/>
      <c r="D903" s="68"/>
      <c r="E903" s="68"/>
      <c r="F903" s="70"/>
      <c r="G903" s="70"/>
      <c r="H903" s="70"/>
    </row>
    <row r="904" spans="1:8" ht="12.5" x14ac:dyDescent="0.25">
      <c r="A904" s="14"/>
      <c r="C904" s="68"/>
      <c r="D904" s="68"/>
      <c r="E904" s="68"/>
      <c r="F904" s="70"/>
      <c r="G904" s="70"/>
      <c r="H904" s="70"/>
    </row>
    <row r="905" spans="1:8" ht="12.5" x14ac:dyDescent="0.25">
      <c r="A905" s="14"/>
      <c r="C905" s="68"/>
      <c r="D905" s="68"/>
      <c r="E905" s="68"/>
      <c r="F905" s="70"/>
      <c r="G905" s="70"/>
      <c r="H905" s="70"/>
    </row>
    <row r="906" spans="1:8" ht="12.5" x14ac:dyDescent="0.25">
      <c r="A906" s="14"/>
      <c r="C906" s="68"/>
      <c r="D906" s="68"/>
      <c r="E906" s="68"/>
      <c r="F906" s="70"/>
      <c r="G906" s="70"/>
      <c r="H906" s="70"/>
    </row>
    <row r="907" spans="1:8" ht="12.5" x14ac:dyDescent="0.25">
      <c r="A907" s="14"/>
      <c r="C907" s="68"/>
      <c r="D907" s="68"/>
      <c r="E907" s="68"/>
      <c r="F907" s="70"/>
      <c r="G907" s="70"/>
      <c r="H907" s="70"/>
    </row>
    <row r="908" spans="1:8" ht="12.5" x14ac:dyDescent="0.25">
      <c r="A908" s="14"/>
      <c r="C908" s="68"/>
      <c r="D908" s="68"/>
      <c r="E908" s="68"/>
      <c r="F908" s="70"/>
      <c r="G908" s="70"/>
      <c r="H908" s="70"/>
    </row>
    <row r="909" spans="1:8" ht="12.5" x14ac:dyDescent="0.25">
      <c r="A909" s="14"/>
      <c r="C909" s="68"/>
      <c r="D909" s="68"/>
      <c r="E909" s="68"/>
      <c r="F909" s="70"/>
      <c r="G909" s="70"/>
      <c r="H909" s="70"/>
    </row>
    <row r="910" spans="1:8" ht="12.5" x14ac:dyDescent="0.25">
      <c r="A910" s="14"/>
      <c r="C910" s="68"/>
      <c r="D910" s="68"/>
      <c r="E910" s="68"/>
      <c r="F910" s="70"/>
      <c r="G910" s="70"/>
      <c r="H910" s="70"/>
    </row>
    <row r="911" spans="1:8" ht="12.5" x14ac:dyDescent="0.25">
      <c r="A911" s="14"/>
      <c r="C911" s="68"/>
      <c r="D911" s="68"/>
      <c r="E911" s="68"/>
      <c r="F911" s="70"/>
      <c r="G911" s="70"/>
      <c r="H911" s="70"/>
    </row>
    <row r="912" spans="1:8" ht="12.5" x14ac:dyDescent="0.25">
      <c r="A912" s="14"/>
      <c r="C912" s="68"/>
      <c r="D912" s="68"/>
      <c r="E912" s="68"/>
      <c r="F912" s="70"/>
      <c r="G912" s="70"/>
      <c r="H912" s="70"/>
    </row>
    <row r="913" spans="1:8" ht="12.5" x14ac:dyDescent="0.25">
      <c r="A913" s="14"/>
      <c r="C913" s="68"/>
      <c r="D913" s="68"/>
      <c r="E913" s="68"/>
      <c r="F913" s="70"/>
      <c r="G913" s="70"/>
      <c r="H913" s="70"/>
    </row>
    <row r="914" spans="1:8" ht="12.5" x14ac:dyDescent="0.25">
      <c r="A914" s="14"/>
      <c r="C914" s="68"/>
      <c r="D914" s="68"/>
      <c r="E914" s="68"/>
      <c r="F914" s="70"/>
      <c r="G914" s="70"/>
      <c r="H914" s="70"/>
    </row>
    <row r="915" spans="1:8" ht="12.5" x14ac:dyDescent="0.25">
      <c r="A915" s="14"/>
      <c r="C915" s="68"/>
      <c r="D915" s="68"/>
      <c r="E915" s="68"/>
      <c r="F915" s="70"/>
      <c r="G915" s="70"/>
      <c r="H915" s="70"/>
    </row>
    <row r="916" spans="1:8" ht="12.5" x14ac:dyDescent="0.25">
      <c r="A916" s="14"/>
      <c r="C916" s="68"/>
      <c r="D916" s="68"/>
      <c r="E916" s="68"/>
      <c r="F916" s="70"/>
      <c r="G916" s="70"/>
      <c r="H916" s="70"/>
    </row>
    <row r="917" spans="1:8" ht="12.5" x14ac:dyDescent="0.25">
      <c r="A917" s="14"/>
      <c r="C917" s="68"/>
      <c r="D917" s="68"/>
      <c r="E917" s="68"/>
      <c r="F917" s="70"/>
      <c r="G917" s="70"/>
      <c r="H917" s="70"/>
    </row>
    <row r="918" spans="1:8" ht="12.5" x14ac:dyDescent="0.25">
      <c r="A918" s="14"/>
      <c r="C918" s="68"/>
      <c r="D918" s="68"/>
      <c r="E918" s="68"/>
      <c r="F918" s="70"/>
      <c r="G918" s="70"/>
      <c r="H918" s="70"/>
    </row>
    <row r="919" spans="1:8" ht="12.5" x14ac:dyDescent="0.25">
      <c r="A919" s="14"/>
      <c r="C919" s="68"/>
      <c r="D919" s="68"/>
      <c r="E919" s="68"/>
      <c r="F919" s="70"/>
      <c r="G919" s="70"/>
      <c r="H919" s="70"/>
    </row>
    <row r="920" spans="1:8" ht="12.5" x14ac:dyDescent="0.25">
      <c r="A920" s="14"/>
      <c r="C920" s="68"/>
      <c r="D920" s="68"/>
      <c r="E920" s="68"/>
      <c r="F920" s="70"/>
      <c r="G920" s="70"/>
      <c r="H920" s="70"/>
    </row>
    <row r="921" spans="1:8" ht="12.5" x14ac:dyDescent="0.25">
      <c r="A921" s="14"/>
      <c r="C921" s="68"/>
      <c r="D921" s="68"/>
      <c r="E921" s="68"/>
      <c r="F921" s="70"/>
      <c r="G921" s="70"/>
      <c r="H921" s="70"/>
    </row>
    <row r="922" spans="1:8" ht="12.5" x14ac:dyDescent="0.25">
      <c r="A922" s="14"/>
      <c r="C922" s="68"/>
      <c r="D922" s="68"/>
      <c r="E922" s="68"/>
      <c r="F922" s="70"/>
      <c r="G922" s="70"/>
      <c r="H922" s="70"/>
    </row>
    <row r="923" spans="1:8" ht="12.5" x14ac:dyDescent="0.25">
      <c r="A923" s="14"/>
      <c r="C923" s="68"/>
      <c r="D923" s="68"/>
      <c r="E923" s="68"/>
      <c r="F923" s="70"/>
      <c r="G923" s="70"/>
      <c r="H923" s="70"/>
    </row>
    <row r="924" spans="1:8" ht="12.5" x14ac:dyDescent="0.25">
      <c r="A924" s="14"/>
      <c r="C924" s="68"/>
      <c r="D924" s="68"/>
      <c r="E924" s="68"/>
      <c r="F924" s="70"/>
      <c r="G924" s="70"/>
      <c r="H924" s="70"/>
    </row>
    <row r="925" spans="1:8" ht="12.5" x14ac:dyDescent="0.25">
      <c r="A925" s="14"/>
      <c r="C925" s="68"/>
      <c r="D925" s="68"/>
      <c r="E925" s="68"/>
      <c r="F925" s="70"/>
      <c r="G925" s="70"/>
      <c r="H925" s="70"/>
    </row>
    <row r="926" spans="1:8" ht="12.5" x14ac:dyDescent="0.25">
      <c r="A926" s="14"/>
      <c r="C926" s="68"/>
      <c r="D926" s="68"/>
      <c r="E926" s="68"/>
      <c r="F926" s="70"/>
      <c r="G926" s="70"/>
      <c r="H926" s="70"/>
    </row>
    <row r="927" spans="1:8" ht="12.5" x14ac:dyDescent="0.25">
      <c r="A927" s="14"/>
      <c r="C927" s="68"/>
      <c r="D927" s="68"/>
      <c r="E927" s="68"/>
      <c r="F927" s="70"/>
      <c r="G927" s="70"/>
      <c r="H927" s="70"/>
    </row>
    <row r="928" spans="1:8" ht="12.5" x14ac:dyDescent="0.25">
      <c r="A928" s="14"/>
      <c r="C928" s="68"/>
      <c r="D928" s="68"/>
      <c r="E928" s="68"/>
      <c r="F928" s="70"/>
      <c r="G928" s="70"/>
      <c r="H928" s="70"/>
    </row>
    <row r="929" spans="1:8" ht="12.5" x14ac:dyDescent="0.25">
      <c r="A929" s="14"/>
      <c r="C929" s="68"/>
      <c r="D929" s="68"/>
      <c r="E929" s="68"/>
      <c r="F929" s="70"/>
      <c r="G929" s="70"/>
      <c r="H929" s="70"/>
    </row>
    <row r="930" spans="1:8" ht="12.5" x14ac:dyDescent="0.25">
      <c r="A930" s="14"/>
      <c r="C930" s="68"/>
      <c r="D930" s="68"/>
      <c r="E930" s="68"/>
      <c r="F930" s="70"/>
      <c r="G930" s="70"/>
      <c r="H930" s="70"/>
    </row>
    <row r="931" spans="1:8" ht="12.5" x14ac:dyDescent="0.25">
      <c r="A931" s="14"/>
      <c r="C931" s="68"/>
      <c r="D931" s="68"/>
      <c r="E931" s="68"/>
      <c r="F931" s="70"/>
      <c r="G931" s="70"/>
      <c r="H931" s="70"/>
    </row>
    <row r="932" spans="1:8" ht="12.5" x14ac:dyDescent="0.25">
      <c r="A932" s="14"/>
      <c r="C932" s="68"/>
      <c r="D932" s="68"/>
      <c r="E932" s="68"/>
      <c r="F932" s="70"/>
      <c r="G932" s="70"/>
      <c r="H932" s="70"/>
    </row>
    <row r="933" spans="1:8" ht="12.5" x14ac:dyDescent="0.25">
      <c r="A933" s="14"/>
      <c r="C933" s="68"/>
      <c r="D933" s="68"/>
      <c r="E933" s="68"/>
      <c r="F933" s="70"/>
      <c r="G933" s="70"/>
      <c r="H933" s="70"/>
    </row>
    <row r="934" spans="1:8" ht="12.5" x14ac:dyDescent="0.25">
      <c r="A934" s="14"/>
      <c r="C934" s="68"/>
      <c r="D934" s="68"/>
      <c r="E934" s="68"/>
      <c r="F934" s="70"/>
      <c r="G934" s="70"/>
      <c r="H934" s="70"/>
    </row>
    <row r="935" spans="1:8" ht="12.5" x14ac:dyDescent="0.25">
      <c r="A935" s="14"/>
      <c r="C935" s="68"/>
      <c r="D935" s="68"/>
      <c r="E935" s="68"/>
      <c r="F935" s="70"/>
      <c r="G935" s="70"/>
      <c r="H935" s="70"/>
    </row>
    <row r="936" spans="1:8" ht="12.5" x14ac:dyDescent="0.25">
      <c r="A936" s="14"/>
      <c r="C936" s="68"/>
      <c r="D936" s="68"/>
      <c r="E936" s="68"/>
      <c r="F936" s="70"/>
      <c r="G936" s="70"/>
      <c r="H936" s="70"/>
    </row>
    <row r="937" spans="1:8" ht="12.5" x14ac:dyDescent="0.25">
      <c r="A937" s="14"/>
      <c r="C937" s="68"/>
      <c r="D937" s="68"/>
      <c r="E937" s="68"/>
      <c r="F937" s="70"/>
      <c r="G937" s="70"/>
      <c r="H937" s="70"/>
    </row>
    <row r="938" spans="1:8" ht="12.5" x14ac:dyDescent="0.25">
      <c r="A938" s="14"/>
      <c r="C938" s="68"/>
      <c r="D938" s="68"/>
      <c r="E938" s="68"/>
      <c r="F938" s="70"/>
      <c r="G938" s="70"/>
      <c r="H938" s="70"/>
    </row>
    <row r="939" spans="1:8" ht="12.5" x14ac:dyDescent="0.25">
      <c r="A939" s="14"/>
      <c r="C939" s="68"/>
      <c r="D939" s="68"/>
      <c r="E939" s="68"/>
      <c r="F939" s="70"/>
      <c r="G939" s="70"/>
      <c r="H939" s="70"/>
    </row>
    <row r="940" spans="1:8" ht="12.5" x14ac:dyDescent="0.25">
      <c r="A940" s="14"/>
      <c r="C940" s="68"/>
      <c r="D940" s="68"/>
      <c r="E940" s="68"/>
      <c r="F940" s="70"/>
      <c r="G940" s="70"/>
      <c r="H940" s="70"/>
    </row>
    <row r="941" spans="1:8" ht="12.5" x14ac:dyDescent="0.25">
      <c r="A941" s="14"/>
      <c r="C941" s="68"/>
      <c r="D941" s="68"/>
      <c r="E941" s="68"/>
      <c r="F941" s="70"/>
      <c r="G941" s="70"/>
      <c r="H941" s="70"/>
    </row>
    <row r="942" spans="1:8" ht="12.5" x14ac:dyDescent="0.25">
      <c r="A942" s="14"/>
      <c r="C942" s="68"/>
      <c r="D942" s="68"/>
      <c r="E942" s="68"/>
      <c r="F942" s="70"/>
      <c r="G942" s="70"/>
      <c r="H942" s="70"/>
    </row>
    <row r="943" spans="1:8" ht="12.5" x14ac:dyDescent="0.25">
      <c r="A943" s="14"/>
      <c r="C943" s="68"/>
      <c r="D943" s="68"/>
      <c r="E943" s="68"/>
      <c r="F943" s="70"/>
      <c r="G943" s="70"/>
      <c r="H943" s="70"/>
    </row>
    <row r="944" spans="1:8" ht="12.5" x14ac:dyDescent="0.25">
      <c r="A944" s="14"/>
      <c r="C944" s="68"/>
      <c r="D944" s="68"/>
      <c r="E944" s="68"/>
      <c r="F944" s="70"/>
      <c r="G944" s="70"/>
      <c r="H944" s="70"/>
    </row>
    <row r="945" spans="1:8" ht="12.5" x14ac:dyDescent="0.25">
      <c r="A945" s="14"/>
      <c r="C945" s="68"/>
      <c r="D945" s="68"/>
      <c r="E945" s="68"/>
      <c r="F945" s="70"/>
      <c r="G945" s="70"/>
      <c r="H945" s="70"/>
    </row>
    <row r="946" spans="1:8" ht="12.5" x14ac:dyDescent="0.25">
      <c r="A946" s="14"/>
      <c r="C946" s="68"/>
      <c r="D946" s="68"/>
      <c r="E946" s="68"/>
      <c r="F946" s="70"/>
      <c r="G946" s="70"/>
      <c r="H946" s="70"/>
    </row>
    <row r="947" spans="1:8" ht="12.5" x14ac:dyDescent="0.25">
      <c r="A947" s="14"/>
      <c r="C947" s="68"/>
      <c r="D947" s="68"/>
      <c r="E947" s="68"/>
      <c r="F947" s="70"/>
      <c r="G947" s="70"/>
      <c r="H947" s="70"/>
    </row>
    <row r="948" spans="1:8" ht="12.5" x14ac:dyDescent="0.25">
      <c r="A948" s="14"/>
      <c r="C948" s="68"/>
      <c r="D948" s="68"/>
      <c r="E948" s="68"/>
      <c r="F948" s="70"/>
      <c r="G948" s="70"/>
      <c r="H948" s="70"/>
    </row>
    <row r="949" spans="1:8" ht="12.5" x14ac:dyDescent="0.25">
      <c r="A949" s="14"/>
      <c r="C949" s="68"/>
      <c r="D949" s="68"/>
      <c r="E949" s="68"/>
      <c r="F949" s="70"/>
      <c r="G949" s="70"/>
      <c r="H949" s="70"/>
    </row>
    <row r="950" spans="1:8" ht="12.5" x14ac:dyDescent="0.25">
      <c r="A950" s="14"/>
      <c r="C950" s="68"/>
      <c r="D950" s="68"/>
      <c r="E950" s="68"/>
      <c r="F950" s="70"/>
      <c r="G950" s="70"/>
      <c r="H950" s="70"/>
    </row>
    <row r="951" spans="1:8" ht="12.5" x14ac:dyDescent="0.25">
      <c r="A951" s="14"/>
      <c r="C951" s="68"/>
      <c r="D951" s="68"/>
      <c r="E951" s="68"/>
      <c r="F951" s="70"/>
      <c r="G951" s="70"/>
      <c r="H951" s="70"/>
    </row>
    <row r="952" spans="1:8" ht="12.5" x14ac:dyDescent="0.25">
      <c r="A952" s="14"/>
      <c r="C952" s="68"/>
      <c r="D952" s="68"/>
      <c r="E952" s="68"/>
      <c r="F952" s="70"/>
      <c r="G952" s="70"/>
      <c r="H952" s="70"/>
    </row>
    <row r="953" spans="1:8" ht="12.5" x14ac:dyDescent="0.25">
      <c r="A953" s="14"/>
      <c r="C953" s="68"/>
      <c r="D953" s="68"/>
      <c r="E953" s="68"/>
      <c r="F953" s="70"/>
      <c r="G953" s="70"/>
      <c r="H953" s="7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000"/>
  <sheetViews>
    <sheetView workbookViewId="0"/>
  </sheetViews>
  <sheetFormatPr baseColWidth="10" defaultColWidth="12.6328125" defaultRowHeight="15.75" customHeight="1" x14ac:dyDescent="0.25"/>
  <cols>
    <col min="1" max="1" width="24" customWidth="1"/>
    <col min="3" max="11" width="9.7265625" customWidth="1"/>
  </cols>
  <sheetData>
    <row r="1" spans="1:16" ht="15.75" customHeight="1" x14ac:dyDescent="0.25">
      <c r="A1" s="367" t="s">
        <v>1</v>
      </c>
      <c r="B1" s="368" t="s">
        <v>2041</v>
      </c>
      <c r="C1" s="68"/>
      <c r="D1" s="68"/>
      <c r="E1" s="68"/>
      <c r="F1" s="68"/>
      <c r="G1" s="68"/>
      <c r="H1" s="68"/>
      <c r="I1" s="68"/>
      <c r="J1" s="68"/>
      <c r="K1" s="68"/>
      <c r="L1" s="68"/>
    </row>
    <row r="2" spans="1:16" x14ac:dyDescent="0.3">
      <c r="A2" s="23" t="s">
        <v>290</v>
      </c>
      <c r="C2" s="68"/>
      <c r="D2" s="68"/>
      <c r="E2" s="68"/>
      <c r="F2" s="68"/>
      <c r="G2" s="68"/>
      <c r="H2" s="68"/>
      <c r="I2" s="68"/>
      <c r="J2" s="68"/>
      <c r="K2" s="68"/>
      <c r="L2" s="68"/>
    </row>
    <row r="3" spans="1:16" ht="15.75" customHeight="1" x14ac:dyDescent="0.25">
      <c r="A3" s="348" t="s">
        <v>2033</v>
      </c>
      <c r="B3" s="350"/>
      <c r="C3" s="348" t="s">
        <v>8</v>
      </c>
      <c r="D3" s="349" t="s">
        <v>7</v>
      </c>
      <c r="E3" s="350"/>
      <c r="F3" s="350"/>
      <c r="G3" s="350"/>
      <c r="H3" s="350"/>
      <c r="I3" s="350"/>
      <c r="J3" s="350"/>
      <c r="K3" s="351"/>
      <c r="L3" s="68"/>
    </row>
    <row r="4" spans="1:16" ht="15.75" customHeight="1" x14ac:dyDescent="0.5">
      <c r="A4" s="352"/>
      <c r="B4" s="394"/>
      <c r="C4" s="347">
        <v>2022</v>
      </c>
      <c r="D4" s="350"/>
      <c r="E4" s="350"/>
      <c r="F4" s="347" t="s">
        <v>113</v>
      </c>
      <c r="G4" s="350"/>
      <c r="H4" s="350"/>
      <c r="I4" s="347" t="s">
        <v>20</v>
      </c>
      <c r="J4" s="350"/>
      <c r="K4" s="351"/>
      <c r="L4" s="68"/>
      <c r="N4" s="73">
        <v>52</v>
      </c>
      <c r="O4" s="73">
        <v>42</v>
      </c>
      <c r="P4" s="73">
        <v>6</v>
      </c>
    </row>
    <row r="5" spans="1:16" ht="15.75" customHeight="1" x14ac:dyDescent="0.5">
      <c r="A5" s="348" t="s">
        <v>2</v>
      </c>
      <c r="B5" s="348" t="s">
        <v>3</v>
      </c>
      <c r="C5" s="353" t="s">
        <v>19</v>
      </c>
      <c r="D5" s="369" t="s">
        <v>23</v>
      </c>
      <c r="E5" s="369" t="s">
        <v>25</v>
      </c>
      <c r="F5" s="353" t="s">
        <v>19</v>
      </c>
      <c r="G5" s="369" t="s">
        <v>23</v>
      </c>
      <c r="H5" s="369" t="s">
        <v>25</v>
      </c>
      <c r="I5" s="353" t="s">
        <v>19</v>
      </c>
      <c r="J5" s="369" t="s">
        <v>23</v>
      </c>
      <c r="K5" s="370" t="s">
        <v>25</v>
      </c>
      <c r="L5" s="68"/>
      <c r="N5" s="74">
        <v>75</v>
      </c>
      <c r="O5" s="74">
        <v>21</v>
      </c>
      <c r="P5" s="74">
        <v>4</v>
      </c>
    </row>
    <row r="6" spans="1:16" ht="15.75" customHeight="1" x14ac:dyDescent="0.5">
      <c r="A6" s="347" t="s">
        <v>15</v>
      </c>
      <c r="B6" s="347" t="s">
        <v>45</v>
      </c>
      <c r="C6" s="356">
        <v>13</v>
      </c>
      <c r="D6" s="379">
        <v>10</v>
      </c>
      <c r="E6" s="379">
        <v>1</v>
      </c>
      <c r="F6" s="356">
        <v>128</v>
      </c>
      <c r="G6" s="379">
        <v>107</v>
      </c>
      <c r="H6" s="379">
        <v>18</v>
      </c>
      <c r="I6" s="356">
        <v>171</v>
      </c>
      <c r="J6" s="379">
        <v>32</v>
      </c>
      <c r="K6" s="390">
        <v>24</v>
      </c>
      <c r="L6" s="68"/>
      <c r="N6" s="73">
        <v>46</v>
      </c>
      <c r="O6" s="73">
        <v>42</v>
      </c>
      <c r="P6" s="73">
        <v>12</v>
      </c>
    </row>
    <row r="7" spans="1:16" ht="15.75" customHeight="1" x14ac:dyDescent="0.5">
      <c r="A7" s="352"/>
      <c r="B7" s="372" t="s">
        <v>16</v>
      </c>
      <c r="C7" s="360">
        <v>20</v>
      </c>
      <c r="D7" s="381">
        <v>9</v>
      </c>
      <c r="E7" s="381">
        <v>13</v>
      </c>
      <c r="F7" s="360">
        <v>174</v>
      </c>
      <c r="G7" s="381">
        <v>52</v>
      </c>
      <c r="H7" s="381">
        <v>9</v>
      </c>
      <c r="I7" s="360">
        <v>166</v>
      </c>
      <c r="J7" s="381">
        <v>35</v>
      </c>
      <c r="K7" s="391">
        <v>5</v>
      </c>
      <c r="L7" s="68"/>
      <c r="N7" s="74">
        <v>64</v>
      </c>
      <c r="O7" s="74">
        <v>33</v>
      </c>
      <c r="P7" s="74">
        <v>3</v>
      </c>
    </row>
    <row r="8" spans="1:16" ht="15.75" customHeight="1" x14ac:dyDescent="0.5">
      <c r="A8" s="352"/>
      <c r="B8" s="372" t="s">
        <v>37</v>
      </c>
      <c r="C8" s="360">
        <v>19</v>
      </c>
      <c r="D8" s="381">
        <v>34</v>
      </c>
      <c r="E8" s="381">
        <v>16</v>
      </c>
      <c r="F8" s="360">
        <v>105</v>
      </c>
      <c r="G8" s="381">
        <v>93</v>
      </c>
      <c r="H8" s="381">
        <v>25</v>
      </c>
      <c r="I8" s="360">
        <v>170</v>
      </c>
      <c r="J8" s="381">
        <v>39</v>
      </c>
      <c r="K8" s="391">
        <v>10</v>
      </c>
      <c r="L8" s="68"/>
      <c r="N8" s="73">
        <v>66</v>
      </c>
      <c r="O8" s="73">
        <v>31</v>
      </c>
      <c r="P8" s="73">
        <v>2</v>
      </c>
    </row>
    <row r="9" spans="1:16" ht="15.75" customHeight="1" x14ac:dyDescent="0.25">
      <c r="A9" s="347" t="s">
        <v>41</v>
      </c>
      <c r="B9" s="347" t="s">
        <v>42</v>
      </c>
      <c r="C9" s="356">
        <v>89</v>
      </c>
      <c r="D9" s="379">
        <v>6</v>
      </c>
      <c r="E9" s="379">
        <v>13</v>
      </c>
      <c r="F9" s="356">
        <v>81</v>
      </c>
      <c r="G9" s="379">
        <v>41</v>
      </c>
      <c r="H9" s="379">
        <v>3</v>
      </c>
      <c r="I9" s="356">
        <v>191</v>
      </c>
      <c r="J9" s="379">
        <v>28</v>
      </c>
      <c r="K9" s="390"/>
      <c r="L9" s="68"/>
    </row>
    <row r="10" spans="1:16" ht="15.75" customHeight="1" x14ac:dyDescent="0.25">
      <c r="A10" s="398"/>
      <c r="B10" s="400" t="s">
        <v>43</v>
      </c>
      <c r="C10" s="401">
        <v>88</v>
      </c>
      <c r="D10" s="402">
        <v>18</v>
      </c>
      <c r="E10" s="402">
        <v>6</v>
      </c>
      <c r="F10" s="401">
        <v>66</v>
      </c>
      <c r="G10" s="402">
        <v>28</v>
      </c>
      <c r="H10" s="402">
        <v>2</v>
      </c>
      <c r="I10" s="401">
        <v>166</v>
      </c>
      <c r="J10" s="402">
        <v>28</v>
      </c>
      <c r="K10" s="403">
        <v>1</v>
      </c>
      <c r="L10" s="68"/>
    </row>
    <row r="11" spans="1:16" ht="15.75" customHeight="1" x14ac:dyDescent="0.25">
      <c r="A11" s="14"/>
      <c r="C11" s="68"/>
      <c r="D11" s="68"/>
      <c r="E11" s="68"/>
      <c r="F11" s="68"/>
      <c r="G11" s="68"/>
      <c r="H11" s="68"/>
      <c r="I11" s="68"/>
      <c r="J11" s="68"/>
      <c r="K11" s="68"/>
      <c r="L11" s="68"/>
    </row>
    <row r="12" spans="1:16" ht="15.75" customHeight="1" x14ac:dyDescent="0.25">
      <c r="A12" s="14"/>
      <c r="C12" s="68"/>
      <c r="D12" s="68"/>
      <c r="E12" s="68"/>
      <c r="F12" s="68"/>
      <c r="G12" s="68"/>
      <c r="H12" s="68"/>
      <c r="I12" s="68"/>
      <c r="J12" s="68"/>
      <c r="K12" s="68"/>
      <c r="L12" s="68"/>
    </row>
    <row r="13" spans="1:16" ht="15.75" customHeight="1" x14ac:dyDescent="0.25">
      <c r="A13" s="14"/>
      <c r="C13" s="68"/>
      <c r="D13" s="68"/>
      <c r="E13" s="68"/>
      <c r="F13" s="68"/>
      <c r="G13" s="68"/>
      <c r="H13" s="68"/>
      <c r="I13" s="68"/>
      <c r="J13" s="68"/>
      <c r="K13" s="68"/>
      <c r="L13" s="68"/>
    </row>
    <row r="14" spans="1:16" ht="15.75" customHeight="1" x14ac:dyDescent="0.25">
      <c r="A14" s="14"/>
      <c r="C14" s="68"/>
      <c r="D14" s="68"/>
      <c r="E14" s="68"/>
      <c r="F14" s="68"/>
      <c r="G14" s="68"/>
      <c r="H14" s="68"/>
      <c r="I14" s="68"/>
      <c r="J14" s="68"/>
      <c r="K14" s="68"/>
      <c r="L14" s="68"/>
    </row>
    <row r="15" spans="1:16" ht="15.75" customHeight="1" x14ac:dyDescent="0.25">
      <c r="A15" s="14"/>
      <c r="B15" s="295" t="s">
        <v>3</v>
      </c>
      <c r="C15" s="297">
        <f>C4</f>
        <v>2022</v>
      </c>
      <c r="D15" s="296"/>
      <c r="E15" s="296"/>
      <c r="F15" s="297" t="str">
        <f>F4</f>
        <v>2023</v>
      </c>
      <c r="G15" s="296"/>
      <c r="H15" s="296"/>
      <c r="I15" s="297" t="str">
        <f>I4</f>
        <v>2024</v>
      </c>
      <c r="J15" s="296"/>
      <c r="K15" s="296"/>
      <c r="L15" s="68"/>
    </row>
    <row r="16" spans="1:16" ht="15.75" customHeight="1" x14ac:dyDescent="0.25">
      <c r="A16" s="14"/>
      <c r="B16" s="296"/>
      <c r="C16" s="71" t="s">
        <v>19</v>
      </c>
      <c r="D16" s="71" t="s">
        <v>23</v>
      </c>
      <c r="E16" s="71" t="s">
        <v>25</v>
      </c>
      <c r="F16" s="71" t="s">
        <v>19</v>
      </c>
      <c r="G16" s="71" t="s">
        <v>23</v>
      </c>
      <c r="H16" s="71" t="s">
        <v>25</v>
      </c>
      <c r="I16" s="71" t="s">
        <v>19</v>
      </c>
      <c r="J16" s="71" t="s">
        <v>23</v>
      </c>
      <c r="K16" s="71" t="s">
        <v>25</v>
      </c>
      <c r="L16" s="68"/>
    </row>
    <row r="17" spans="1:12" ht="15.75" customHeight="1" x14ac:dyDescent="0.25">
      <c r="A17" s="14"/>
      <c r="B17" s="24" t="s">
        <v>45</v>
      </c>
      <c r="C17" s="76">
        <f t="shared" ref="C17:E17" si="0">C6/SUM($C6:$E6)</f>
        <v>0.54166666666666663</v>
      </c>
      <c r="D17" s="76">
        <f t="shared" si="0"/>
        <v>0.41666666666666669</v>
      </c>
      <c r="E17" s="76">
        <f t="shared" si="0"/>
        <v>4.1666666666666664E-2</v>
      </c>
      <c r="F17" s="76">
        <v>0.52</v>
      </c>
      <c r="G17" s="76">
        <v>0.42</v>
      </c>
      <c r="H17" s="76">
        <v>0.06</v>
      </c>
      <c r="I17" s="76">
        <f t="shared" ref="I17:K17" si="1">ROUND(I6/SUM($I6:$K6),2)</f>
        <v>0.75</v>
      </c>
      <c r="J17" s="76">
        <f t="shared" si="1"/>
        <v>0.14000000000000001</v>
      </c>
      <c r="K17" s="76">
        <f t="shared" si="1"/>
        <v>0.11</v>
      </c>
      <c r="L17" s="68"/>
    </row>
    <row r="18" spans="1:12" ht="15.75" customHeight="1" x14ac:dyDescent="0.25">
      <c r="A18" s="14"/>
      <c r="B18" s="24" t="s">
        <v>16</v>
      </c>
      <c r="C18" s="76">
        <f t="shared" ref="C18:E18" si="2">C7/SUM($C7:$E7)</f>
        <v>0.47619047619047616</v>
      </c>
      <c r="D18" s="76">
        <f t="shared" si="2"/>
        <v>0.21428571428571427</v>
      </c>
      <c r="E18" s="76">
        <f t="shared" si="2"/>
        <v>0.30952380952380953</v>
      </c>
      <c r="F18" s="76">
        <v>0.75</v>
      </c>
      <c r="G18" s="76">
        <v>0.21</v>
      </c>
      <c r="H18" s="76">
        <v>0.04</v>
      </c>
      <c r="I18" s="76">
        <f t="shared" ref="I18:K18" si="3">ROUND(I7/SUM($I7:$K7),2)</f>
        <v>0.81</v>
      </c>
      <c r="J18" s="76">
        <f t="shared" si="3"/>
        <v>0.17</v>
      </c>
      <c r="K18" s="76">
        <f t="shared" si="3"/>
        <v>0.02</v>
      </c>
      <c r="L18" s="68"/>
    </row>
    <row r="19" spans="1:12" ht="15.75" customHeight="1" x14ac:dyDescent="0.25">
      <c r="A19" s="14"/>
      <c r="B19" s="24" t="s">
        <v>37</v>
      </c>
      <c r="C19" s="76">
        <f t="shared" ref="C19:E19" si="4">C8/SUM($C8:$E8)</f>
        <v>0.27536231884057971</v>
      </c>
      <c r="D19" s="76">
        <f t="shared" si="4"/>
        <v>0.49275362318840582</v>
      </c>
      <c r="E19" s="76">
        <f t="shared" si="4"/>
        <v>0.2318840579710145</v>
      </c>
      <c r="F19" s="76">
        <v>0.46</v>
      </c>
      <c r="G19" s="76">
        <v>0.42</v>
      </c>
      <c r="H19" s="76">
        <v>0.12</v>
      </c>
      <c r="I19" s="76">
        <f t="shared" ref="I19:K19" si="5">ROUND(I8/SUM($I8:$K8),2)</f>
        <v>0.78</v>
      </c>
      <c r="J19" s="76">
        <f t="shared" si="5"/>
        <v>0.18</v>
      </c>
      <c r="K19" s="76">
        <f t="shared" si="5"/>
        <v>0.05</v>
      </c>
      <c r="L19" s="68"/>
    </row>
    <row r="20" spans="1:12" ht="15.75" customHeight="1" x14ac:dyDescent="0.25">
      <c r="A20" s="14"/>
      <c r="B20" s="24" t="s">
        <v>42</v>
      </c>
      <c r="C20" s="76">
        <f t="shared" ref="C20:E20" si="6">C9/SUM($C9:$E9)</f>
        <v>0.82407407407407407</v>
      </c>
      <c r="D20" s="76">
        <f t="shared" si="6"/>
        <v>5.5555555555555552E-2</v>
      </c>
      <c r="E20" s="76">
        <f t="shared" si="6"/>
        <v>0.12037037037037036</v>
      </c>
      <c r="F20" s="76">
        <v>0.64</v>
      </c>
      <c r="G20" s="76">
        <v>0.33</v>
      </c>
      <c r="H20" s="76">
        <v>0.03</v>
      </c>
      <c r="I20" s="76">
        <f t="shared" ref="I20:K20" si="7">ROUND(I9/SUM($I9:$K9),2)</f>
        <v>0.87</v>
      </c>
      <c r="J20" s="76">
        <f t="shared" si="7"/>
        <v>0.13</v>
      </c>
      <c r="K20" s="76">
        <f t="shared" si="7"/>
        <v>0</v>
      </c>
      <c r="L20" s="68"/>
    </row>
    <row r="21" spans="1:12" ht="15.75" customHeight="1" x14ac:dyDescent="0.25">
      <c r="A21" s="14"/>
      <c r="B21" s="24" t="s">
        <v>43</v>
      </c>
      <c r="C21" s="76">
        <f t="shared" ref="C21:E21" si="8">C10/SUM($C10:$E10)</f>
        <v>0.7857142857142857</v>
      </c>
      <c r="D21" s="76">
        <f t="shared" si="8"/>
        <v>0.16071428571428573</v>
      </c>
      <c r="E21" s="76">
        <f t="shared" si="8"/>
        <v>5.3571428571428568E-2</v>
      </c>
      <c r="F21" s="76">
        <v>0.66</v>
      </c>
      <c r="G21" s="76">
        <v>0.31</v>
      </c>
      <c r="H21" s="76">
        <v>0.02</v>
      </c>
      <c r="I21" s="76">
        <f t="shared" ref="I21:K21" si="9">ROUND(I10/SUM($I10:$K10),2)</f>
        <v>0.85</v>
      </c>
      <c r="J21" s="76">
        <f t="shared" si="9"/>
        <v>0.14000000000000001</v>
      </c>
      <c r="K21" s="76">
        <f t="shared" si="9"/>
        <v>0.01</v>
      </c>
      <c r="L21" s="68"/>
    </row>
    <row r="22" spans="1:12" ht="15.75" customHeight="1" x14ac:dyDescent="0.25">
      <c r="A22" s="14"/>
      <c r="C22" s="68"/>
      <c r="D22" s="68"/>
      <c r="E22" s="68"/>
      <c r="F22" s="68"/>
      <c r="G22" s="68"/>
      <c r="H22" s="68"/>
      <c r="I22" s="68"/>
      <c r="J22" s="68"/>
      <c r="K22" s="68"/>
      <c r="L22" s="68"/>
    </row>
    <row r="23" spans="1:12" ht="15.75" customHeight="1" x14ac:dyDescent="0.25">
      <c r="A23" s="14"/>
      <c r="C23" s="68"/>
      <c r="D23" s="68"/>
      <c r="E23" s="68"/>
      <c r="F23" s="68"/>
      <c r="G23" s="68"/>
      <c r="H23" s="68"/>
      <c r="I23" s="76">
        <f t="shared" ref="I23:K23" si="10">I6/SUM($I6:$K6)</f>
        <v>0.75330396475770922</v>
      </c>
      <c r="J23" s="76">
        <f t="shared" si="10"/>
        <v>0.14096916299559473</v>
      </c>
      <c r="K23" s="76">
        <f t="shared" si="10"/>
        <v>0.10572687224669604</v>
      </c>
      <c r="L23" s="68"/>
    </row>
    <row r="24" spans="1:12" ht="12.5" x14ac:dyDescent="0.25">
      <c r="A24" s="367" t="s">
        <v>1</v>
      </c>
      <c r="B24" s="368" t="s">
        <v>89</v>
      </c>
      <c r="C24" s="68"/>
      <c r="D24" s="68"/>
      <c r="E24" s="68"/>
      <c r="F24" s="68"/>
      <c r="G24" s="68"/>
      <c r="H24" s="68"/>
      <c r="I24" s="76">
        <f t="shared" ref="I24:K24" si="11">I7/SUM($I7:$K7)</f>
        <v>0.80582524271844658</v>
      </c>
      <c r="J24" s="76">
        <f t="shared" si="11"/>
        <v>0.16990291262135923</v>
      </c>
      <c r="K24" s="76">
        <f t="shared" si="11"/>
        <v>2.4271844660194174E-2</v>
      </c>
      <c r="L24" s="68"/>
    </row>
    <row r="25" spans="1:12" ht="12.5" x14ac:dyDescent="0.25">
      <c r="A25" s="14" t="s">
        <v>291</v>
      </c>
      <c r="C25" s="68"/>
      <c r="D25" s="68"/>
      <c r="E25" s="68"/>
      <c r="F25" s="68"/>
      <c r="G25" s="68"/>
      <c r="H25" s="68"/>
      <c r="I25" s="76">
        <f t="shared" ref="I25:K25" si="12">I8/SUM($I8:$K8)</f>
        <v>0.77625570776255703</v>
      </c>
      <c r="J25" s="76">
        <f t="shared" si="12"/>
        <v>0.17808219178082191</v>
      </c>
      <c r="K25" s="76">
        <f t="shared" si="12"/>
        <v>4.5662100456621002E-2</v>
      </c>
      <c r="L25" s="68"/>
    </row>
    <row r="26" spans="1:12" ht="12.5" x14ac:dyDescent="0.25">
      <c r="A26" s="348" t="s">
        <v>2033</v>
      </c>
      <c r="B26" s="350"/>
      <c r="C26" s="348" t="s">
        <v>8</v>
      </c>
      <c r="D26" s="349" t="s">
        <v>7</v>
      </c>
      <c r="E26" s="351"/>
      <c r="F26" s="68"/>
      <c r="G26" s="68"/>
      <c r="H26" s="68"/>
      <c r="I26" s="76">
        <f t="shared" ref="I26:K26" si="13">I9/SUM($I9:$K9)</f>
        <v>0.87214611872146119</v>
      </c>
      <c r="J26" s="76">
        <f t="shared" si="13"/>
        <v>0.12785388127853881</v>
      </c>
      <c r="K26" s="76">
        <f t="shared" si="13"/>
        <v>0</v>
      </c>
      <c r="L26" s="68"/>
    </row>
    <row r="27" spans="1:12" ht="12.5" x14ac:dyDescent="0.25">
      <c r="A27" s="352"/>
      <c r="B27" s="394"/>
      <c r="C27" s="347" t="s">
        <v>20</v>
      </c>
      <c r="D27" s="350"/>
      <c r="E27" s="351"/>
      <c r="F27" s="68"/>
      <c r="G27" s="68"/>
      <c r="H27" s="68"/>
      <c r="I27" s="76">
        <f t="shared" ref="I27:K27" si="14">I10/SUM($I10:$K10)</f>
        <v>0.85128205128205126</v>
      </c>
      <c r="J27" s="76">
        <f t="shared" si="14"/>
        <v>0.14358974358974358</v>
      </c>
      <c r="K27" s="76">
        <f t="shared" si="14"/>
        <v>5.1282051282051282E-3</v>
      </c>
      <c r="L27" s="68"/>
    </row>
    <row r="28" spans="1:12" ht="12.5" x14ac:dyDescent="0.25">
      <c r="A28" s="348" t="s">
        <v>2</v>
      </c>
      <c r="B28" s="348" t="s">
        <v>3</v>
      </c>
      <c r="C28" s="353" t="s">
        <v>19</v>
      </c>
      <c r="D28" s="369" t="s">
        <v>23</v>
      </c>
      <c r="E28" s="370" t="s">
        <v>25</v>
      </c>
      <c r="F28" s="68"/>
      <c r="G28" s="68"/>
      <c r="H28" s="68"/>
      <c r="I28" s="68"/>
      <c r="J28" s="68"/>
      <c r="K28" s="68"/>
      <c r="L28" s="68"/>
    </row>
    <row r="29" spans="1:12" ht="12.5" x14ac:dyDescent="0.25">
      <c r="A29" s="347" t="s">
        <v>41</v>
      </c>
      <c r="B29" s="347" t="s">
        <v>42</v>
      </c>
      <c r="C29" s="356">
        <v>5</v>
      </c>
      <c r="D29" s="379">
        <v>12</v>
      </c>
      <c r="E29" s="390"/>
      <c r="F29" s="68"/>
      <c r="G29" s="68"/>
      <c r="H29" s="68"/>
      <c r="I29" s="68"/>
      <c r="J29" s="68"/>
      <c r="K29" s="68"/>
      <c r="L29" s="68"/>
    </row>
    <row r="30" spans="1:12" ht="12.5" x14ac:dyDescent="0.25">
      <c r="A30" s="398"/>
      <c r="B30" s="400" t="s">
        <v>43</v>
      </c>
      <c r="C30" s="401">
        <v>3</v>
      </c>
      <c r="D30" s="402">
        <v>8</v>
      </c>
      <c r="E30" s="403">
        <v>13</v>
      </c>
      <c r="F30" s="68"/>
      <c r="G30" s="68"/>
      <c r="H30" s="68"/>
      <c r="I30" s="68"/>
      <c r="J30" s="68"/>
      <c r="K30" s="68"/>
      <c r="L30" s="68"/>
    </row>
    <row r="31" spans="1:12" ht="12.5" x14ac:dyDescent="0.25">
      <c r="A31" s="14"/>
      <c r="C31" s="68"/>
      <c r="D31" s="68"/>
      <c r="E31" s="68"/>
      <c r="F31" s="68"/>
      <c r="G31" s="68"/>
      <c r="H31" s="68"/>
      <c r="I31" s="68"/>
      <c r="J31" s="68"/>
      <c r="K31" s="68"/>
      <c r="L31" s="68"/>
    </row>
    <row r="32" spans="1:12" ht="12.5" x14ac:dyDescent="0.25">
      <c r="A32" s="14"/>
      <c r="C32" s="68"/>
      <c r="D32" s="68"/>
      <c r="E32" s="68"/>
      <c r="F32" s="68"/>
      <c r="G32" s="68"/>
      <c r="H32" s="68"/>
      <c r="I32" s="68"/>
      <c r="J32" s="68"/>
      <c r="K32" s="68"/>
      <c r="L32" s="68"/>
    </row>
    <row r="33" spans="1:12" ht="12.5" x14ac:dyDescent="0.25">
      <c r="A33" s="14"/>
      <c r="C33" s="68"/>
      <c r="D33" s="68"/>
      <c r="E33" s="68"/>
      <c r="F33" s="68"/>
      <c r="G33" s="68"/>
      <c r="H33" s="68"/>
      <c r="I33" s="68"/>
      <c r="J33" s="68"/>
      <c r="K33" s="68"/>
      <c r="L33" s="68"/>
    </row>
    <row r="34" spans="1:12" ht="12.5" x14ac:dyDescent="0.25">
      <c r="A34" s="14"/>
      <c r="C34" s="68"/>
      <c r="D34" s="68"/>
      <c r="E34" s="68"/>
      <c r="F34" s="68"/>
      <c r="G34" s="68"/>
      <c r="H34" s="68"/>
      <c r="I34" s="68"/>
      <c r="J34" s="68"/>
      <c r="K34" s="68"/>
      <c r="L34" s="68"/>
    </row>
    <row r="35" spans="1:12" ht="12.5" x14ac:dyDescent="0.25">
      <c r="A35" s="14"/>
      <c r="C35" s="68"/>
      <c r="D35" s="68"/>
      <c r="E35" s="68"/>
      <c r="F35" s="68"/>
      <c r="G35" s="68"/>
      <c r="H35" s="68"/>
      <c r="I35" s="68"/>
      <c r="J35" s="68"/>
      <c r="K35" s="68"/>
      <c r="L35" s="68"/>
    </row>
    <row r="36" spans="1:12" ht="12.5" x14ac:dyDescent="0.25">
      <c r="A36" s="14"/>
      <c r="C36" s="68"/>
      <c r="D36" s="68"/>
      <c r="E36" s="68"/>
      <c r="F36" s="68"/>
      <c r="G36" s="68"/>
      <c r="H36" s="68"/>
      <c r="I36" s="68"/>
      <c r="J36" s="68"/>
      <c r="K36" s="68"/>
      <c r="L36" s="68"/>
    </row>
    <row r="37" spans="1:12" ht="12.5" x14ac:dyDescent="0.25">
      <c r="A37" s="14"/>
      <c r="C37" s="68"/>
      <c r="D37" s="68"/>
      <c r="E37" s="68"/>
      <c r="F37" s="68"/>
      <c r="G37" s="68"/>
      <c r="H37" s="68"/>
      <c r="I37" s="68"/>
      <c r="J37" s="68"/>
      <c r="K37" s="68"/>
      <c r="L37" s="68"/>
    </row>
    <row r="38" spans="1:12" ht="12.5" x14ac:dyDescent="0.25">
      <c r="A38" s="14"/>
      <c r="B38" s="295" t="s">
        <v>3</v>
      </c>
      <c r="C38" s="297" t="str">
        <f>C27</f>
        <v>2024</v>
      </c>
      <c r="D38" s="296"/>
      <c r="E38" s="296"/>
      <c r="F38" s="298">
        <f>F27</f>
        <v>0</v>
      </c>
      <c r="G38" s="296"/>
      <c r="H38" s="296"/>
      <c r="I38" s="299">
        <f>I27</f>
        <v>0.85128205128205126</v>
      </c>
      <c r="J38" s="296"/>
      <c r="K38" s="296"/>
      <c r="L38" s="68"/>
    </row>
    <row r="39" spans="1:12" ht="12.5" x14ac:dyDescent="0.25">
      <c r="A39" s="14"/>
      <c r="B39" s="296"/>
      <c r="C39" s="71" t="s">
        <v>19</v>
      </c>
      <c r="D39" s="71" t="s">
        <v>23</v>
      </c>
      <c r="E39" s="71" t="s">
        <v>25</v>
      </c>
      <c r="F39" s="71" t="s">
        <v>19</v>
      </c>
      <c r="G39" s="71" t="s">
        <v>23</v>
      </c>
      <c r="H39" s="71" t="s">
        <v>25</v>
      </c>
      <c r="I39" s="71" t="s">
        <v>19</v>
      </c>
      <c r="J39" s="71" t="s">
        <v>23</v>
      </c>
      <c r="K39" s="71" t="s">
        <v>25</v>
      </c>
      <c r="L39" s="68"/>
    </row>
    <row r="40" spans="1:12" ht="12.5" x14ac:dyDescent="0.25">
      <c r="A40" s="14"/>
      <c r="B40" s="24" t="s">
        <v>45</v>
      </c>
      <c r="C40" s="76">
        <v>0.68</v>
      </c>
      <c r="D40" s="76">
        <v>0.27</v>
      </c>
      <c r="E40" s="76">
        <v>0.05</v>
      </c>
      <c r="F40" s="76">
        <v>0.43</v>
      </c>
      <c r="G40" s="76">
        <v>0.4</v>
      </c>
      <c r="H40" s="76">
        <v>0.17</v>
      </c>
      <c r="I40" s="76" t="e">
        <f t="shared" ref="I40:K40" si="15">I29/SUM($I29:$K29)</f>
        <v>#DIV/0!</v>
      </c>
      <c r="J40" s="76" t="e">
        <f t="shared" si="15"/>
        <v>#DIV/0!</v>
      </c>
      <c r="K40" s="76" t="e">
        <f t="shared" si="15"/>
        <v>#DIV/0!</v>
      </c>
      <c r="L40" s="68"/>
    </row>
    <row r="41" spans="1:12" ht="12.5" x14ac:dyDescent="0.25">
      <c r="A41" s="14"/>
      <c r="B41" s="24" t="s">
        <v>16</v>
      </c>
      <c r="C41" s="76">
        <v>0.56000000000000005</v>
      </c>
      <c r="D41" s="76">
        <v>0.4</v>
      </c>
      <c r="E41" s="76">
        <v>0.04</v>
      </c>
      <c r="F41" s="76">
        <v>0.52</v>
      </c>
      <c r="G41" s="76">
        <v>0.4</v>
      </c>
      <c r="H41" s="76">
        <v>0.08</v>
      </c>
      <c r="I41" s="76" t="e">
        <f t="shared" ref="I41:K41" si="16">I30/SUM($I30:$K30)</f>
        <v>#DIV/0!</v>
      </c>
      <c r="J41" s="76" t="e">
        <f t="shared" si="16"/>
        <v>#DIV/0!</v>
      </c>
      <c r="K41" s="76" t="e">
        <f t="shared" si="16"/>
        <v>#DIV/0!</v>
      </c>
      <c r="L41" s="68"/>
    </row>
    <row r="42" spans="1:12" ht="12.5" x14ac:dyDescent="0.25">
      <c r="A42" s="14"/>
      <c r="B42" s="24" t="s">
        <v>37</v>
      </c>
      <c r="C42" s="76">
        <v>0.6</v>
      </c>
      <c r="D42" s="76">
        <v>0.38</v>
      </c>
      <c r="E42" s="76">
        <v>0.02</v>
      </c>
      <c r="F42" s="76">
        <v>0.37</v>
      </c>
      <c r="G42" s="76">
        <v>0.57999999999999996</v>
      </c>
      <c r="H42" s="76">
        <v>0.05</v>
      </c>
      <c r="I42" s="76" t="e">
        <f t="shared" ref="I42:K42" si="17">I31/SUM($I31:$K31)</f>
        <v>#DIV/0!</v>
      </c>
      <c r="J42" s="76" t="e">
        <f t="shared" si="17"/>
        <v>#DIV/0!</v>
      </c>
      <c r="K42" s="76" t="e">
        <f t="shared" si="17"/>
        <v>#DIV/0!</v>
      </c>
      <c r="L42" s="68"/>
    </row>
    <row r="43" spans="1:12" ht="12.5" x14ac:dyDescent="0.25">
      <c r="A43" s="14"/>
      <c r="B43" s="24" t="s">
        <v>42</v>
      </c>
      <c r="C43" s="76"/>
      <c r="D43" s="76"/>
      <c r="E43" s="76"/>
      <c r="F43" s="76"/>
      <c r="G43" s="76"/>
      <c r="H43" s="76"/>
      <c r="I43" s="76" t="e">
        <f t="shared" ref="I43:K43" si="18">I32/SUM($I32:$K32)</f>
        <v>#DIV/0!</v>
      </c>
      <c r="J43" s="76" t="e">
        <f t="shared" si="18"/>
        <v>#DIV/0!</v>
      </c>
      <c r="K43" s="76" t="e">
        <f t="shared" si="18"/>
        <v>#DIV/0!</v>
      </c>
      <c r="L43" s="68"/>
    </row>
    <row r="44" spans="1:12" ht="12.5" x14ac:dyDescent="0.25">
      <c r="A44" s="14"/>
      <c r="B44" s="24" t="s">
        <v>43</v>
      </c>
      <c r="C44" s="76"/>
      <c r="D44" s="76"/>
      <c r="E44" s="76"/>
      <c r="F44" s="76"/>
      <c r="G44" s="76"/>
      <c r="H44" s="76"/>
      <c r="I44" s="76" t="e">
        <f t="shared" ref="I44:K44" si="19">I33/SUM($I33:$K33)</f>
        <v>#DIV/0!</v>
      </c>
      <c r="J44" s="76" t="e">
        <f t="shared" si="19"/>
        <v>#DIV/0!</v>
      </c>
      <c r="K44" s="76" t="e">
        <f t="shared" si="19"/>
        <v>#DIV/0!</v>
      </c>
      <c r="L44" s="68"/>
    </row>
    <row r="45" spans="1:12" ht="12.5" x14ac:dyDescent="0.25">
      <c r="A45" s="367" t="s">
        <v>1</v>
      </c>
      <c r="B45" s="368" t="s">
        <v>89</v>
      </c>
      <c r="C45" s="68"/>
      <c r="D45" s="68"/>
      <c r="E45" s="68"/>
      <c r="F45" s="68"/>
      <c r="G45" s="68"/>
      <c r="H45" s="68"/>
      <c r="I45" s="68"/>
      <c r="J45" s="68"/>
      <c r="K45" s="68"/>
      <c r="L45" s="68"/>
    </row>
    <row r="46" spans="1:12" ht="12.5" x14ac:dyDescent="0.25">
      <c r="A46" s="367" t="s">
        <v>11</v>
      </c>
      <c r="B46" s="395" t="s">
        <v>21</v>
      </c>
      <c r="C46" s="68"/>
      <c r="D46" s="68"/>
      <c r="E46" s="68"/>
      <c r="F46" s="68"/>
      <c r="G46" s="68"/>
      <c r="H46" s="68"/>
      <c r="I46" s="68"/>
      <c r="J46" s="68"/>
      <c r="K46" s="68"/>
      <c r="L46" s="68"/>
    </row>
    <row r="47" spans="1:12" ht="12.5" x14ac:dyDescent="0.25">
      <c r="A47" s="14"/>
      <c r="C47" s="68"/>
      <c r="D47" s="68"/>
      <c r="E47" s="68"/>
      <c r="F47" s="68"/>
      <c r="G47" s="68"/>
      <c r="H47" s="68"/>
      <c r="I47" s="68"/>
      <c r="J47" s="68"/>
      <c r="K47" s="68"/>
      <c r="L47" s="68"/>
    </row>
    <row r="48" spans="1:12" ht="13" x14ac:dyDescent="0.25">
      <c r="A48" s="348" t="s">
        <v>2033</v>
      </c>
      <c r="B48" s="350"/>
      <c r="C48" s="348" t="s">
        <v>7</v>
      </c>
      <c r="D48" s="393" t="s">
        <v>8</v>
      </c>
      <c r="F48" s="77"/>
      <c r="G48" s="68"/>
      <c r="H48" s="68"/>
      <c r="I48" s="68"/>
      <c r="J48" s="68"/>
      <c r="K48" s="68"/>
      <c r="L48" s="68"/>
    </row>
    <row r="49" spans="1:12" ht="13" x14ac:dyDescent="0.3">
      <c r="A49" s="352"/>
      <c r="B49" s="394"/>
      <c r="C49" s="352"/>
      <c r="D49" s="396"/>
      <c r="F49" s="77"/>
      <c r="G49" s="78"/>
      <c r="H49" s="68"/>
      <c r="I49" s="68"/>
      <c r="J49" s="68"/>
      <c r="K49" s="68"/>
      <c r="L49" s="68"/>
    </row>
    <row r="50" spans="1:12" ht="12.5" x14ac:dyDescent="0.25">
      <c r="A50" s="397" t="s">
        <v>4</v>
      </c>
      <c r="B50" s="397" t="s">
        <v>3</v>
      </c>
      <c r="C50" s="398"/>
      <c r="D50" s="399"/>
      <c r="F50" s="68"/>
      <c r="G50" s="68"/>
      <c r="H50" s="68"/>
      <c r="I50" s="68"/>
      <c r="J50" s="68"/>
      <c r="K50" s="68"/>
      <c r="L50" s="68"/>
    </row>
    <row r="51" spans="1:12" ht="12.5" x14ac:dyDescent="0.25">
      <c r="F51" s="68"/>
      <c r="G51" s="68"/>
      <c r="H51" s="68"/>
      <c r="I51" s="68"/>
      <c r="J51" s="68"/>
      <c r="K51" s="68"/>
      <c r="L51" s="68"/>
    </row>
    <row r="52" spans="1:12" ht="12.5" x14ac:dyDescent="0.25">
      <c r="F52" s="68"/>
      <c r="G52" s="68"/>
      <c r="H52" s="68"/>
      <c r="I52" s="68"/>
      <c r="J52" s="68"/>
      <c r="K52" s="68"/>
      <c r="L52" s="68"/>
    </row>
    <row r="53" spans="1:12" ht="12.5" x14ac:dyDescent="0.25">
      <c r="F53" s="68"/>
      <c r="G53" s="68"/>
      <c r="H53" s="68"/>
      <c r="I53" s="68"/>
      <c r="J53" s="68"/>
      <c r="K53" s="68"/>
      <c r="L53" s="68"/>
    </row>
    <row r="54" spans="1:12" ht="12.5" x14ac:dyDescent="0.25">
      <c r="F54" s="68"/>
      <c r="G54" s="68"/>
      <c r="H54" s="68"/>
      <c r="I54" s="68"/>
      <c r="J54" s="68"/>
      <c r="K54" s="68"/>
      <c r="L54" s="68"/>
    </row>
    <row r="55" spans="1:12" ht="12.5" x14ac:dyDescent="0.25">
      <c r="F55" s="68"/>
      <c r="G55" s="68"/>
      <c r="H55" s="68"/>
      <c r="I55" s="68"/>
      <c r="J55" s="68"/>
      <c r="K55" s="68"/>
      <c r="L55" s="68"/>
    </row>
    <row r="56" spans="1:12" ht="12.5" x14ac:dyDescent="0.25">
      <c r="F56" s="68"/>
      <c r="G56" s="68"/>
      <c r="H56" s="68"/>
      <c r="I56" s="68"/>
      <c r="J56" s="68"/>
      <c r="K56" s="68"/>
      <c r="L56" s="68"/>
    </row>
    <row r="57" spans="1:12" ht="12.5" x14ac:dyDescent="0.25">
      <c r="F57" s="68"/>
      <c r="G57" s="68"/>
      <c r="H57" s="68"/>
      <c r="I57" s="68"/>
      <c r="J57" s="68"/>
      <c r="K57" s="68"/>
      <c r="L57" s="68"/>
    </row>
    <row r="58" spans="1:12" ht="12.5" x14ac:dyDescent="0.25">
      <c r="A58" s="14"/>
      <c r="C58" s="68"/>
      <c r="D58" s="68"/>
      <c r="E58" s="68"/>
      <c r="F58" s="68"/>
      <c r="G58" s="68"/>
      <c r="H58" s="68"/>
      <c r="I58" s="68"/>
      <c r="J58" s="68"/>
      <c r="K58" s="68"/>
      <c r="L58" s="68"/>
    </row>
    <row r="59" spans="1:12" ht="12.5" x14ac:dyDescent="0.25">
      <c r="A59" s="14"/>
      <c r="C59" s="68"/>
      <c r="D59" s="68"/>
      <c r="E59" s="68"/>
      <c r="F59" s="68"/>
      <c r="G59" s="68"/>
      <c r="H59" s="68"/>
      <c r="I59" s="68"/>
      <c r="J59" s="68"/>
      <c r="K59" s="68"/>
      <c r="L59" s="68"/>
    </row>
    <row r="60" spans="1:12" ht="12.5" x14ac:dyDescent="0.25">
      <c r="A60" s="14"/>
      <c r="C60" s="68"/>
      <c r="D60" s="68"/>
      <c r="E60" s="68"/>
      <c r="F60" s="68"/>
      <c r="G60" s="68"/>
      <c r="H60" s="68"/>
      <c r="I60" s="68"/>
      <c r="J60" s="68"/>
      <c r="K60" s="68"/>
      <c r="L60" s="68"/>
    </row>
    <row r="61" spans="1:12" ht="12.5" x14ac:dyDescent="0.25">
      <c r="A61" s="14"/>
      <c r="C61" s="68"/>
      <c r="D61" s="68"/>
      <c r="E61" s="68"/>
      <c r="F61" s="68"/>
      <c r="G61" s="68"/>
      <c r="H61" s="68"/>
      <c r="I61" s="68"/>
      <c r="J61" s="68"/>
      <c r="K61" s="68"/>
      <c r="L61" s="68"/>
    </row>
    <row r="62" spans="1:12" ht="12.5" x14ac:dyDescent="0.25">
      <c r="A62" s="14"/>
      <c r="C62" s="68"/>
      <c r="D62" s="68"/>
      <c r="E62" s="68"/>
      <c r="F62" s="68"/>
      <c r="G62" s="68"/>
      <c r="H62" s="68"/>
      <c r="I62" s="68"/>
      <c r="J62" s="68"/>
      <c r="K62" s="68"/>
      <c r="L62" s="68"/>
    </row>
    <row r="63" spans="1:12" ht="12.5" x14ac:dyDescent="0.25">
      <c r="A63" s="14"/>
      <c r="C63" s="68"/>
      <c r="D63" s="68"/>
      <c r="E63" s="68"/>
      <c r="F63" s="68"/>
      <c r="G63" s="68"/>
      <c r="H63" s="68"/>
      <c r="I63" s="68"/>
      <c r="J63" s="68"/>
      <c r="K63" s="68"/>
      <c r="L63" s="68"/>
    </row>
    <row r="64" spans="1:12" ht="12.5" x14ac:dyDescent="0.25">
      <c r="A64" s="14"/>
      <c r="C64" s="68"/>
      <c r="D64" s="68"/>
      <c r="E64" s="68"/>
      <c r="F64" s="68"/>
      <c r="G64" s="68"/>
      <c r="H64" s="68"/>
      <c r="I64" s="68"/>
      <c r="J64" s="68"/>
      <c r="K64" s="68"/>
      <c r="L64" s="68"/>
    </row>
    <row r="65" spans="1:12" ht="12.5" x14ac:dyDescent="0.25">
      <c r="A65" s="14"/>
      <c r="C65" s="68"/>
      <c r="D65" s="68"/>
      <c r="E65" s="68"/>
      <c r="F65" s="68"/>
      <c r="G65" s="68"/>
      <c r="H65" s="68"/>
      <c r="I65" s="68"/>
      <c r="J65" s="68"/>
      <c r="K65" s="68"/>
      <c r="L65" s="68"/>
    </row>
    <row r="66" spans="1:12" ht="12.5" x14ac:dyDescent="0.25">
      <c r="A66" s="14"/>
      <c r="C66" s="68"/>
      <c r="D66" s="68"/>
      <c r="E66" s="68"/>
      <c r="F66" s="68"/>
      <c r="G66" s="68"/>
      <c r="H66" s="68"/>
      <c r="I66" s="68"/>
      <c r="J66" s="68"/>
      <c r="K66" s="68"/>
      <c r="L66" s="68"/>
    </row>
    <row r="67" spans="1:12" ht="12.5" x14ac:dyDescent="0.25">
      <c r="A67" s="14"/>
      <c r="C67" s="68"/>
      <c r="D67" s="68"/>
      <c r="E67" s="68"/>
      <c r="F67" s="68"/>
      <c r="G67" s="68"/>
      <c r="H67" s="68"/>
      <c r="I67" s="68"/>
      <c r="J67" s="68"/>
      <c r="K67" s="68"/>
      <c r="L67" s="68"/>
    </row>
    <row r="68" spans="1:12" ht="12.5" x14ac:dyDescent="0.25">
      <c r="A68" s="14"/>
      <c r="C68" s="68"/>
      <c r="D68" s="68"/>
      <c r="E68" s="68"/>
      <c r="F68" s="68"/>
      <c r="G68" s="68"/>
      <c r="H68" s="68"/>
      <c r="I68" s="68"/>
      <c r="J68" s="68"/>
      <c r="K68" s="68"/>
      <c r="L68" s="68"/>
    </row>
    <row r="69" spans="1:12" ht="12.5" x14ac:dyDescent="0.25">
      <c r="A69" s="14"/>
      <c r="C69" s="68"/>
      <c r="D69" s="68"/>
      <c r="E69" s="68"/>
      <c r="F69" s="68"/>
      <c r="G69" s="68"/>
      <c r="H69" s="68"/>
      <c r="I69" s="68"/>
      <c r="J69" s="68"/>
      <c r="K69" s="68"/>
      <c r="L69" s="68"/>
    </row>
    <row r="70" spans="1:12" ht="12.5" x14ac:dyDescent="0.25">
      <c r="A70" s="14"/>
      <c r="C70" s="68"/>
      <c r="D70" s="68"/>
      <c r="E70" s="68"/>
      <c r="F70" s="68"/>
      <c r="G70" s="68"/>
      <c r="H70" s="68"/>
      <c r="I70" s="68"/>
      <c r="J70" s="68"/>
      <c r="K70" s="68"/>
      <c r="L70" s="68"/>
    </row>
    <row r="71" spans="1:12" ht="12.5" x14ac:dyDescent="0.25">
      <c r="A71" s="14"/>
      <c r="C71" s="68"/>
      <c r="D71" s="68"/>
      <c r="E71" s="68"/>
      <c r="F71" s="68"/>
      <c r="G71" s="68"/>
      <c r="H71" s="68"/>
      <c r="I71" s="68"/>
      <c r="J71" s="68"/>
      <c r="K71" s="68"/>
      <c r="L71" s="68"/>
    </row>
    <row r="72" spans="1:12" ht="12.5" x14ac:dyDescent="0.25">
      <c r="A72" s="14"/>
      <c r="C72" s="68"/>
      <c r="D72" s="68"/>
      <c r="E72" s="68"/>
      <c r="F72" s="68"/>
      <c r="G72" s="68"/>
      <c r="H72" s="68"/>
      <c r="I72" s="68"/>
      <c r="J72" s="68"/>
      <c r="K72" s="68"/>
      <c r="L72" s="68"/>
    </row>
    <row r="73" spans="1:12" ht="12.5" x14ac:dyDescent="0.25">
      <c r="A73" s="14"/>
      <c r="C73" s="68"/>
      <c r="D73" s="68"/>
      <c r="E73" s="68"/>
      <c r="F73" s="68"/>
      <c r="G73" s="68"/>
      <c r="H73" s="68"/>
      <c r="I73" s="68"/>
      <c r="J73" s="68"/>
      <c r="K73" s="68"/>
      <c r="L73" s="68"/>
    </row>
    <row r="74" spans="1:12" ht="12.5" x14ac:dyDescent="0.25">
      <c r="A74" s="14"/>
      <c r="C74" s="68"/>
      <c r="D74" s="68"/>
      <c r="E74" s="68"/>
      <c r="F74" s="68"/>
      <c r="G74" s="68"/>
      <c r="H74" s="68"/>
      <c r="I74" s="68"/>
      <c r="J74" s="68"/>
      <c r="K74" s="68"/>
      <c r="L74" s="68"/>
    </row>
    <row r="75" spans="1:12" ht="12.5" x14ac:dyDescent="0.25">
      <c r="A75" s="14"/>
      <c r="C75" s="68"/>
      <c r="D75" s="68"/>
      <c r="E75" s="68"/>
      <c r="F75" s="68"/>
      <c r="G75" s="68"/>
      <c r="H75" s="68"/>
      <c r="I75" s="68"/>
      <c r="J75" s="68"/>
      <c r="K75" s="68"/>
      <c r="L75" s="68"/>
    </row>
    <row r="76" spans="1:12" ht="12.5" x14ac:dyDescent="0.25">
      <c r="A76" s="14"/>
      <c r="C76" s="68"/>
      <c r="D76" s="68"/>
      <c r="E76" s="68"/>
      <c r="F76" s="68"/>
      <c r="G76" s="68"/>
      <c r="H76" s="68"/>
      <c r="I76" s="68"/>
      <c r="J76" s="68"/>
      <c r="K76" s="68"/>
      <c r="L76" s="68"/>
    </row>
    <row r="77" spans="1:12" ht="12.5" x14ac:dyDescent="0.25">
      <c r="A77" s="14"/>
      <c r="C77" s="68"/>
      <c r="D77" s="68"/>
      <c r="E77" s="68"/>
      <c r="F77" s="68"/>
      <c r="G77" s="68"/>
      <c r="H77" s="68"/>
      <c r="I77" s="68"/>
      <c r="J77" s="68"/>
      <c r="K77" s="68"/>
      <c r="L77" s="68"/>
    </row>
    <row r="78" spans="1:12" ht="12.5" x14ac:dyDescent="0.25">
      <c r="A78" s="14"/>
      <c r="C78" s="68"/>
      <c r="D78" s="68"/>
      <c r="E78" s="68"/>
      <c r="F78" s="68"/>
      <c r="G78" s="68"/>
      <c r="H78" s="68"/>
      <c r="I78" s="68"/>
      <c r="J78" s="68"/>
      <c r="K78" s="68"/>
      <c r="L78" s="68"/>
    </row>
    <row r="79" spans="1:12" ht="12.5" x14ac:dyDescent="0.25">
      <c r="A79" s="14"/>
      <c r="C79" s="68"/>
      <c r="D79" s="68"/>
      <c r="E79" s="68"/>
      <c r="F79" s="68"/>
      <c r="G79" s="68"/>
      <c r="H79" s="68"/>
      <c r="I79" s="68"/>
      <c r="J79" s="68"/>
      <c r="K79" s="68"/>
      <c r="L79" s="68"/>
    </row>
    <row r="80" spans="1:12" ht="12.5" x14ac:dyDescent="0.25">
      <c r="A80" s="14"/>
      <c r="C80" s="68"/>
      <c r="D80" s="68"/>
      <c r="E80" s="68"/>
      <c r="F80" s="68"/>
      <c r="G80" s="68"/>
      <c r="H80" s="68"/>
      <c r="I80" s="68"/>
      <c r="J80" s="68"/>
      <c r="K80" s="68"/>
      <c r="L80" s="68"/>
    </row>
    <row r="81" spans="1:12" ht="12.5" x14ac:dyDescent="0.25">
      <c r="A81" s="14"/>
      <c r="C81" s="68"/>
      <c r="D81" s="68"/>
      <c r="E81" s="68"/>
      <c r="F81" s="68"/>
      <c r="G81" s="68"/>
      <c r="H81" s="68"/>
      <c r="I81" s="68"/>
      <c r="J81" s="68"/>
      <c r="K81" s="68"/>
      <c r="L81" s="68"/>
    </row>
    <row r="82" spans="1:12" ht="12.5" x14ac:dyDescent="0.25">
      <c r="A82" s="14"/>
      <c r="C82" s="68"/>
      <c r="D82" s="68"/>
      <c r="E82" s="68"/>
      <c r="F82" s="68"/>
      <c r="G82" s="68"/>
      <c r="H82" s="68"/>
      <c r="I82" s="68"/>
      <c r="J82" s="68"/>
      <c r="K82" s="68"/>
      <c r="L82" s="68"/>
    </row>
    <row r="83" spans="1:12" ht="12.5" x14ac:dyDescent="0.25">
      <c r="A83" s="14"/>
      <c r="C83" s="68"/>
      <c r="D83" s="68"/>
      <c r="E83" s="68"/>
      <c r="F83" s="68"/>
      <c r="G83" s="68"/>
      <c r="H83" s="68"/>
      <c r="I83" s="68"/>
      <c r="J83" s="68"/>
      <c r="K83" s="68"/>
      <c r="L83" s="68"/>
    </row>
    <row r="84" spans="1:12" ht="12.5" x14ac:dyDescent="0.25">
      <c r="A84" s="14"/>
      <c r="C84" s="68"/>
      <c r="D84" s="68"/>
      <c r="E84" s="68"/>
      <c r="F84" s="68"/>
      <c r="G84" s="68"/>
      <c r="H84" s="68"/>
      <c r="I84" s="68"/>
      <c r="J84" s="68"/>
      <c r="K84" s="68"/>
      <c r="L84" s="68"/>
    </row>
    <row r="85" spans="1:12" ht="12.5" x14ac:dyDescent="0.25">
      <c r="A85" s="14"/>
      <c r="C85" s="68"/>
      <c r="D85" s="68"/>
      <c r="E85" s="68"/>
      <c r="F85" s="68"/>
      <c r="G85" s="68"/>
      <c r="H85" s="68"/>
      <c r="I85" s="68"/>
      <c r="J85" s="68"/>
      <c r="K85" s="68"/>
      <c r="L85" s="68"/>
    </row>
    <row r="86" spans="1:12" ht="12.5" x14ac:dyDescent="0.25">
      <c r="A86" s="14"/>
      <c r="C86" s="68"/>
      <c r="D86" s="68"/>
      <c r="E86" s="68"/>
      <c r="F86" s="68"/>
      <c r="G86" s="68"/>
      <c r="H86" s="68"/>
      <c r="I86" s="68"/>
      <c r="J86" s="68"/>
      <c r="K86" s="68"/>
      <c r="L86" s="68"/>
    </row>
    <row r="87" spans="1:12" ht="12.5" x14ac:dyDescent="0.25">
      <c r="A87" s="14"/>
      <c r="C87" s="68"/>
      <c r="D87" s="68"/>
      <c r="E87" s="68"/>
      <c r="F87" s="68"/>
      <c r="G87" s="68"/>
      <c r="H87" s="68"/>
      <c r="I87" s="68"/>
      <c r="J87" s="68"/>
      <c r="K87" s="68"/>
      <c r="L87" s="68"/>
    </row>
    <row r="88" spans="1:12" ht="12.5" x14ac:dyDescent="0.25">
      <c r="A88" s="14"/>
      <c r="C88" s="68"/>
      <c r="D88" s="68"/>
      <c r="E88" s="68"/>
      <c r="F88" s="68"/>
      <c r="G88" s="68"/>
      <c r="H88" s="68"/>
      <c r="I88" s="68"/>
      <c r="J88" s="68"/>
      <c r="K88" s="68"/>
      <c r="L88" s="68"/>
    </row>
    <row r="89" spans="1:12" ht="12.5" x14ac:dyDescent="0.25">
      <c r="A89" s="14"/>
      <c r="C89" s="68"/>
      <c r="D89" s="68"/>
      <c r="E89" s="68"/>
      <c r="F89" s="68"/>
      <c r="G89" s="68"/>
      <c r="H89" s="68"/>
      <c r="I89" s="68"/>
      <c r="J89" s="68"/>
      <c r="K89" s="68"/>
      <c r="L89" s="68"/>
    </row>
    <row r="90" spans="1:12" ht="12.5" x14ac:dyDescent="0.25">
      <c r="A90" s="14"/>
      <c r="C90" s="68"/>
      <c r="D90" s="68"/>
      <c r="E90" s="68"/>
      <c r="F90" s="68"/>
      <c r="G90" s="68"/>
      <c r="H90" s="68"/>
      <c r="I90" s="68"/>
      <c r="J90" s="68"/>
      <c r="K90" s="68"/>
      <c r="L90" s="68"/>
    </row>
    <row r="91" spans="1:12" ht="12.5" x14ac:dyDescent="0.25">
      <c r="A91" s="14"/>
      <c r="C91" s="68"/>
      <c r="D91" s="68"/>
      <c r="E91" s="68"/>
      <c r="F91" s="68"/>
      <c r="G91" s="68"/>
      <c r="H91" s="68"/>
      <c r="I91" s="68"/>
      <c r="J91" s="68"/>
      <c r="K91" s="68"/>
      <c r="L91" s="68"/>
    </row>
    <row r="92" spans="1:12" ht="12.5" x14ac:dyDescent="0.25">
      <c r="A92" s="14"/>
      <c r="C92" s="68"/>
      <c r="D92" s="68"/>
      <c r="E92" s="68"/>
      <c r="F92" s="68"/>
      <c r="G92" s="68"/>
      <c r="H92" s="68"/>
      <c r="I92" s="68"/>
      <c r="J92" s="68"/>
      <c r="K92" s="68"/>
      <c r="L92" s="68"/>
    </row>
    <row r="93" spans="1:12" ht="12.5" x14ac:dyDescent="0.25">
      <c r="A93" s="14"/>
      <c r="C93" s="68"/>
      <c r="D93" s="68"/>
      <c r="E93" s="68"/>
      <c r="F93" s="68"/>
      <c r="G93" s="68"/>
      <c r="H93" s="68"/>
      <c r="I93" s="68"/>
      <c r="J93" s="68"/>
      <c r="K93" s="68"/>
      <c r="L93" s="68"/>
    </row>
    <row r="94" spans="1:12" ht="12.5" x14ac:dyDescent="0.25">
      <c r="A94" s="14"/>
      <c r="C94" s="68"/>
      <c r="D94" s="68"/>
      <c r="E94" s="68"/>
      <c r="F94" s="68"/>
      <c r="G94" s="68"/>
      <c r="H94" s="68"/>
      <c r="I94" s="68"/>
      <c r="J94" s="68"/>
      <c r="K94" s="68"/>
      <c r="L94" s="68"/>
    </row>
    <row r="95" spans="1:12" ht="12.5" x14ac:dyDescent="0.25">
      <c r="A95" s="14"/>
      <c r="C95" s="68"/>
      <c r="D95" s="68"/>
      <c r="E95" s="68"/>
      <c r="F95" s="68"/>
      <c r="G95" s="68"/>
      <c r="H95" s="68"/>
      <c r="I95" s="68"/>
      <c r="J95" s="68"/>
      <c r="K95" s="68"/>
      <c r="L95" s="68"/>
    </row>
    <row r="96" spans="1:12" ht="12.5" x14ac:dyDescent="0.25">
      <c r="A96" s="14"/>
      <c r="C96" s="68"/>
      <c r="D96" s="68"/>
      <c r="E96" s="68"/>
      <c r="F96" s="68"/>
      <c r="G96" s="68"/>
      <c r="H96" s="68"/>
      <c r="I96" s="68"/>
      <c r="J96" s="68"/>
      <c r="K96" s="68"/>
      <c r="L96" s="68"/>
    </row>
    <row r="97" spans="1:12" ht="12.5" x14ac:dyDescent="0.25">
      <c r="A97" s="14"/>
      <c r="C97" s="68"/>
      <c r="D97" s="68"/>
      <c r="E97" s="68"/>
      <c r="F97" s="68"/>
      <c r="G97" s="68"/>
      <c r="H97" s="68"/>
      <c r="I97" s="68"/>
      <c r="J97" s="68"/>
      <c r="K97" s="68"/>
      <c r="L97" s="68"/>
    </row>
    <row r="98" spans="1:12" ht="12.5" x14ac:dyDescent="0.25">
      <c r="A98" s="14"/>
      <c r="C98" s="68"/>
      <c r="D98" s="68"/>
      <c r="E98" s="68"/>
      <c r="F98" s="68"/>
      <c r="G98" s="68"/>
      <c r="H98" s="68"/>
      <c r="I98" s="68"/>
      <c r="J98" s="68"/>
      <c r="K98" s="68"/>
      <c r="L98" s="68"/>
    </row>
    <row r="99" spans="1:12" ht="12.5" x14ac:dyDescent="0.25">
      <c r="A99" s="14"/>
      <c r="C99" s="68"/>
      <c r="D99" s="68"/>
      <c r="E99" s="68"/>
      <c r="F99" s="68"/>
      <c r="G99" s="68"/>
      <c r="H99" s="68"/>
      <c r="I99" s="68"/>
      <c r="J99" s="68"/>
      <c r="K99" s="68"/>
      <c r="L99" s="68"/>
    </row>
    <row r="100" spans="1:12" ht="12.5" x14ac:dyDescent="0.25">
      <c r="A100" s="14"/>
      <c r="C100" s="68"/>
      <c r="D100" s="68"/>
      <c r="E100" s="68"/>
      <c r="F100" s="68"/>
      <c r="G100" s="68"/>
      <c r="H100" s="68"/>
      <c r="I100" s="68"/>
      <c r="J100" s="68"/>
      <c r="K100" s="68"/>
      <c r="L100" s="68"/>
    </row>
    <row r="101" spans="1:12" ht="12.5" x14ac:dyDescent="0.25">
      <c r="A101" s="14"/>
      <c r="C101" s="68"/>
      <c r="D101" s="68"/>
      <c r="E101" s="68"/>
      <c r="F101" s="68"/>
      <c r="G101" s="68"/>
      <c r="H101" s="68"/>
      <c r="I101" s="68"/>
      <c r="J101" s="68"/>
      <c r="K101" s="68"/>
      <c r="L101" s="68"/>
    </row>
    <row r="102" spans="1:12" ht="12.5" x14ac:dyDescent="0.25">
      <c r="A102" s="14"/>
      <c r="C102" s="68"/>
      <c r="D102" s="68"/>
      <c r="E102" s="68"/>
      <c r="F102" s="68"/>
      <c r="G102" s="68"/>
      <c r="H102" s="68"/>
      <c r="I102" s="68"/>
      <c r="J102" s="68"/>
      <c r="K102" s="68"/>
      <c r="L102" s="68"/>
    </row>
    <row r="103" spans="1:12" ht="12.5" x14ac:dyDescent="0.25">
      <c r="A103" s="14"/>
      <c r="C103" s="68"/>
      <c r="D103" s="68"/>
      <c r="E103" s="68"/>
      <c r="F103" s="68"/>
      <c r="G103" s="68"/>
      <c r="H103" s="68"/>
      <c r="I103" s="68"/>
      <c r="J103" s="68"/>
      <c r="K103" s="68"/>
      <c r="L103" s="68"/>
    </row>
    <row r="104" spans="1:12" ht="12.5" x14ac:dyDescent="0.25">
      <c r="A104" s="14"/>
      <c r="C104" s="68"/>
      <c r="D104" s="68"/>
      <c r="E104" s="68"/>
      <c r="F104" s="68"/>
      <c r="G104" s="68"/>
      <c r="H104" s="68"/>
      <c r="I104" s="68"/>
      <c r="J104" s="68"/>
      <c r="K104" s="68"/>
      <c r="L104" s="68"/>
    </row>
    <row r="105" spans="1:12" ht="12.5" x14ac:dyDescent="0.25">
      <c r="A105" s="14"/>
      <c r="C105" s="68"/>
      <c r="D105" s="68"/>
      <c r="E105" s="68"/>
      <c r="F105" s="68"/>
      <c r="G105" s="68"/>
      <c r="H105" s="68"/>
      <c r="I105" s="68"/>
      <c r="J105" s="68"/>
      <c r="K105" s="68"/>
      <c r="L105" s="68"/>
    </row>
    <row r="106" spans="1:12" ht="12.5" x14ac:dyDescent="0.25">
      <c r="A106" s="14"/>
      <c r="C106" s="68"/>
      <c r="D106" s="68"/>
      <c r="E106" s="68"/>
      <c r="F106" s="68"/>
      <c r="G106" s="68"/>
      <c r="H106" s="68"/>
      <c r="I106" s="68"/>
      <c r="J106" s="68"/>
      <c r="K106" s="68"/>
      <c r="L106" s="68"/>
    </row>
    <row r="107" spans="1:12" ht="12.5" x14ac:dyDescent="0.25">
      <c r="A107" s="14"/>
      <c r="C107" s="68"/>
      <c r="D107" s="68"/>
      <c r="E107" s="68"/>
      <c r="F107" s="68"/>
      <c r="G107" s="68"/>
      <c r="H107" s="68"/>
      <c r="I107" s="68"/>
      <c r="J107" s="68"/>
      <c r="K107" s="68"/>
      <c r="L107" s="68"/>
    </row>
    <row r="108" spans="1:12" ht="12.5" x14ac:dyDescent="0.25">
      <c r="A108" s="14"/>
      <c r="C108" s="68"/>
      <c r="D108" s="68"/>
      <c r="E108" s="68"/>
      <c r="F108" s="68"/>
      <c r="G108" s="68"/>
      <c r="H108" s="68"/>
      <c r="I108" s="68"/>
      <c r="J108" s="68"/>
      <c r="K108" s="68"/>
      <c r="L108" s="68"/>
    </row>
    <row r="109" spans="1:12" ht="12.5" x14ac:dyDescent="0.25">
      <c r="A109" s="14"/>
      <c r="C109" s="68"/>
      <c r="D109" s="68"/>
      <c r="E109" s="68"/>
      <c r="F109" s="68"/>
      <c r="G109" s="68"/>
      <c r="H109" s="68"/>
      <c r="I109" s="68"/>
      <c r="J109" s="68"/>
      <c r="K109" s="68"/>
      <c r="L109" s="68"/>
    </row>
    <row r="110" spans="1:12" ht="12.5" x14ac:dyDescent="0.25">
      <c r="A110" s="14"/>
      <c r="C110" s="68"/>
      <c r="D110" s="68"/>
      <c r="E110" s="68"/>
      <c r="F110" s="68"/>
      <c r="G110" s="68"/>
      <c r="H110" s="68"/>
      <c r="I110" s="68"/>
      <c r="J110" s="68"/>
      <c r="K110" s="68"/>
      <c r="L110" s="68"/>
    </row>
    <row r="111" spans="1:12" ht="12.5" x14ac:dyDescent="0.25">
      <c r="A111" s="14"/>
      <c r="C111" s="68"/>
      <c r="D111" s="68"/>
      <c r="E111" s="68"/>
      <c r="F111" s="68"/>
      <c r="G111" s="68"/>
      <c r="H111" s="68"/>
      <c r="I111" s="68"/>
      <c r="J111" s="68"/>
      <c r="K111" s="68"/>
      <c r="L111" s="68"/>
    </row>
    <row r="112" spans="1:12" ht="12.5" x14ac:dyDescent="0.25">
      <c r="A112" s="14"/>
      <c r="C112" s="68"/>
      <c r="D112" s="68"/>
      <c r="E112" s="68"/>
      <c r="F112" s="68"/>
      <c r="G112" s="68"/>
      <c r="H112" s="68"/>
      <c r="I112" s="68"/>
      <c r="J112" s="68"/>
      <c r="K112" s="68"/>
      <c r="L112" s="68"/>
    </row>
    <row r="113" spans="1:12" ht="12.5" x14ac:dyDescent="0.25">
      <c r="A113" s="14"/>
      <c r="C113" s="68"/>
      <c r="D113" s="68"/>
      <c r="E113" s="68"/>
      <c r="F113" s="68"/>
      <c r="G113" s="68"/>
      <c r="H113" s="68"/>
      <c r="I113" s="68"/>
      <c r="J113" s="68"/>
      <c r="K113" s="68"/>
      <c r="L113" s="68"/>
    </row>
    <row r="114" spans="1:12" ht="12.5" x14ac:dyDescent="0.25">
      <c r="A114" s="14"/>
      <c r="C114" s="68"/>
      <c r="D114" s="68"/>
      <c r="E114" s="68"/>
      <c r="F114" s="68"/>
      <c r="G114" s="68"/>
      <c r="H114" s="68"/>
      <c r="I114" s="68"/>
      <c r="J114" s="68"/>
      <c r="K114" s="68"/>
      <c r="L114" s="68"/>
    </row>
    <row r="115" spans="1:12" ht="12.5" x14ac:dyDescent="0.25">
      <c r="A115" s="14"/>
      <c r="C115" s="68"/>
      <c r="D115" s="68"/>
      <c r="E115" s="68"/>
      <c r="F115" s="68"/>
      <c r="G115" s="68"/>
      <c r="H115" s="68"/>
      <c r="I115" s="68"/>
      <c r="J115" s="68"/>
      <c r="K115" s="68"/>
      <c r="L115" s="68"/>
    </row>
    <row r="116" spans="1:12" ht="12.5" x14ac:dyDescent="0.25">
      <c r="A116" s="14"/>
      <c r="C116" s="68"/>
      <c r="D116" s="68"/>
      <c r="E116" s="68"/>
      <c r="F116" s="68"/>
      <c r="G116" s="68"/>
      <c r="H116" s="68"/>
      <c r="I116" s="68"/>
      <c r="J116" s="68"/>
      <c r="K116" s="68"/>
      <c r="L116" s="68"/>
    </row>
    <row r="117" spans="1:12" ht="12.5" x14ac:dyDescent="0.25">
      <c r="A117" s="14"/>
      <c r="C117" s="68"/>
      <c r="D117" s="68"/>
      <c r="E117" s="68"/>
      <c r="F117" s="68"/>
      <c r="G117" s="68"/>
      <c r="H117" s="68"/>
      <c r="I117" s="68"/>
      <c r="J117" s="68"/>
      <c r="K117" s="68"/>
      <c r="L117" s="68"/>
    </row>
    <row r="118" spans="1:12" ht="12.5" x14ac:dyDescent="0.25">
      <c r="A118" s="14"/>
      <c r="C118" s="68"/>
      <c r="D118" s="68"/>
      <c r="E118" s="68"/>
      <c r="F118" s="68"/>
      <c r="G118" s="68"/>
      <c r="H118" s="68"/>
      <c r="I118" s="68"/>
      <c r="J118" s="68"/>
      <c r="K118" s="68"/>
      <c r="L118" s="68"/>
    </row>
    <row r="119" spans="1:12" ht="12.5" x14ac:dyDescent="0.25">
      <c r="A119" s="14"/>
      <c r="C119" s="68"/>
      <c r="D119" s="68"/>
      <c r="E119" s="68"/>
      <c r="F119" s="68"/>
      <c r="G119" s="68"/>
      <c r="H119" s="68"/>
      <c r="I119" s="68"/>
      <c r="J119" s="68"/>
      <c r="K119" s="68"/>
      <c r="L119" s="68"/>
    </row>
    <row r="120" spans="1:12" ht="12.5" x14ac:dyDescent="0.25">
      <c r="A120" s="14"/>
      <c r="C120" s="68"/>
      <c r="D120" s="68"/>
      <c r="E120" s="68"/>
      <c r="F120" s="68"/>
      <c r="G120" s="68"/>
      <c r="H120" s="68"/>
      <c r="I120" s="68"/>
      <c r="J120" s="68"/>
      <c r="K120" s="68"/>
      <c r="L120" s="68"/>
    </row>
    <row r="121" spans="1:12" ht="12.5" x14ac:dyDescent="0.25">
      <c r="A121" s="14"/>
      <c r="C121" s="68"/>
      <c r="D121" s="68"/>
      <c r="E121" s="68"/>
      <c r="F121" s="68"/>
      <c r="G121" s="68"/>
      <c r="H121" s="68"/>
      <c r="I121" s="68"/>
      <c r="J121" s="68"/>
      <c r="K121" s="68"/>
      <c r="L121" s="68"/>
    </row>
    <row r="122" spans="1:12" ht="12.5" x14ac:dyDescent="0.25">
      <c r="A122" s="14"/>
      <c r="C122" s="68"/>
      <c r="D122" s="68"/>
      <c r="E122" s="68"/>
      <c r="F122" s="68"/>
      <c r="G122" s="68"/>
      <c r="H122" s="68"/>
      <c r="I122" s="68"/>
      <c r="J122" s="68"/>
      <c r="K122" s="68"/>
      <c r="L122" s="68"/>
    </row>
    <row r="123" spans="1:12" ht="12.5" x14ac:dyDescent="0.25">
      <c r="A123" s="14"/>
      <c r="C123" s="68"/>
      <c r="D123" s="68"/>
      <c r="E123" s="68"/>
      <c r="F123" s="68"/>
      <c r="G123" s="68"/>
      <c r="H123" s="68"/>
      <c r="I123" s="68"/>
      <c r="J123" s="68"/>
      <c r="K123" s="68"/>
      <c r="L123" s="68"/>
    </row>
    <row r="124" spans="1:12" ht="12.5" x14ac:dyDescent="0.25">
      <c r="A124" s="14"/>
      <c r="C124" s="68"/>
      <c r="D124" s="68"/>
      <c r="E124" s="68"/>
      <c r="F124" s="68"/>
      <c r="G124" s="68"/>
      <c r="H124" s="68"/>
      <c r="I124" s="68"/>
      <c r="J124" s="68"/>
      <c r="K124" s="68"/>
      <c r="L124" s="68"/>
    </row>
    <row r="125" spans="1:12" ht="12.5" x14ac:dyDescent="0.25">
      <c r="A125" s="14"/>
      <c r="C125" s="68"/>
      <c r="D125" s="68"/>
      <c r="E125" s="68"/>
      <c r="F125" s="68"/>
      <c r="G125" s="68"/>
      <c r="H125" s="68"/>
      <c r="I125" s="68"/>
      <c r="J125" s="68"/>
      <c r="K125" s="68"/>
      <c r="L125" s="68"/>
    </row>
    <row r="126" spans="1:12" ht="12.5" x14ac:dyDescent="0.25">
      <c r="A126" s="14"/>
      <c r="C126" s="68"/>
      <c r="D126" s="68"/>
      <c r="E126" s="68"/>
      <c r="F126" s="68"/>
      <c r="G126" s="68"/>
      <c r="H126" s="68"/>
      <c r="I126" s="68"/>
      <c r="J126" s="68"/>
      <c r="K126" s="68"/>
      <c r="L126" s="68"/>
    </row>
    <row r="127" spans="1:12" ht="12.5" x14ac:dyDescent="0.25">
      <c r="A127" s="14"/>
      <c r="C127" s="68"/>
      <c r="D127" s="68"/>
      <c r="E127" s="68"/>
      <c r="F127" s="68"/>
      <c r="G127" s="68"/>
      <c r="H127" s="68"/>
      <c r="I127" s="68"/>
      <c r="J127" s="68"/>
      <c r="K127" s="68"/>
      <c r="L127" s="68"/>
    </row>
    <row r="128" spans="1:12" ht="12.5" x14ac:dyDescent="0.25">
      <c r="A128" s="14"/>
      <c r="C128" s="68"/>
      <c r="D128" s="68"/>
      <c r="E128" s="68"/>
      <c r="F128" s="68"/>
      <c r="G128" s="68"/>
      <c r="H128" s="68"/>
      <c r="I128" s="68"/>
      <c r="J128" s="68"/>
      <c r="K128" s="68"/>
      <c r="L128" s="68"/>
    </row>
    <row r="129" spans="1:12" ht="12.5" x14ac:dyDescent="0.25">
      <c r="A129" s="14"/>
      <c r="C129" s="68"/>
      <c r="D129" s="68"/>
      <c r="E129" s="68"/>
      <c r="F129" s="68"/>
      <c r="G129" s="68"/>
      <c r="H129" s="68"/>
      <c r="I129" s="68"/>
      <c r="J129" s="68"/>
      <c r="K129" s="68"/>
      <c r="L129" s="68"/>
    </row>
    <row r="130" spans="1:12" ht="12.5" x14ac:dyDescent="0.25">
      <c r="A130" s="14"/>
      <c r="C130" s="68"/>
      <c r="D130" s="68"/>
      <c r="E130" s="68"/>
      <c r="F130" s="68"/>
      <c r="G130" s="68"/>
      <c r="H130" s="68"/>
      <c r="I130" s="68"/>
      <c r="J130" s="68"/>
      <c r="K130" s="68"/>
      <c r="L130" s="68"/>
    </row>
    <row r="131" spans="1:12" ht="12.5" x14ac:dyDescent="0.25">
      <c r="A131" s="14"/>
      <c r="C131" s="68"/>
      <c r="D131" s="68"/>
      <c r="E131" s="68"/>
      <c r="F131" s="68"/>
      <c r="G131" s="68"/>
      <c r="H131" s="68"/>
      <c r="I131" s="68"/>
      <c r="J131" s="68"/>
      <c r="K131" s="68"/>
      <c r="L131" s="68"/>
    </row>
    <row r="132" spans="1:12" ht="12.5" x14ac:dyDescent="0.25">
      <c r="A132" s="14"/>
      <c r="C132" s="68"/>
      <c r="D132" s="68"/>
      <c r="E132" s="68"/>
      <c r="F132" s="68"/>
      <c r="G132" s="68"/>
      <c r="H132" s="68"/>
      <c r="I132" s="68"/>
      <c r="J132" s="68"/>
      <c r="K132" s="68"/>
      <c r="L132" s="68"/>
    </row>
    <row r="133" spans="1:12" ht="12.5" x14ac:dyDescent="0.25">
      <c r="A133" s="14"/>
      <c r="C133" s="68"/>
      <c r="D133" s="68"/>
      <c r="E133" s="68"/>
      <c r="F133" s="68"/>
      <c r="G133" s="68"/>
      <c r="H133" s="68"/>
      <c r="I133" s="68"/>
      <c r="J133" s="68"/>
      <c r="K133" s="68"/>
      <c r="L133" s="68"/>
    </row>
    <row r="134" spans="1:12" ht="12.5" x14ac:dyDescent="0.25">
      <c r="A134" s="14"/>
      <c r="C134" s="68"/>
      <c r="D134" s="68"/>
      <c r="E134" s="68"/>
      <c r="F134" s="68"/>
      <c r="G134" s="68"/>
      <c r="H134" s="68"/>
      <c r="I134" s="68"/>
      <c r="J134" s="68"/>
      <c r="K134" s="68"/>
      <c r="L134" s="68"/>
    </row>
    <row r="135" spans="1:12" ht="12.5" x14ac:dyDescent="0.25">
      <c r="A135" s="14"/>
      <c r="C135" s="68"/>
      <c r="D135" s="68"/>
      <c r="E135" s="68"/>
      <c r="F135" s="68"/>
      <c r="G135" s="68"/>
      <c r="H135" s="68"/>
      <c r="I135" s="68"/>
      <c r="J135" s="68"/>
      <c r="K135" s="68"/>
      <c r="L135" s="68"/>
    </row>
    <row r="136" spans="1:12" ht="12.5" x14ac:dyDescent="0.25">
      <c r="A136" s="14"/>
      <c r="C136" s="68"/>
      <c r="D136" s="68"/>
      <c r="E136" s="68"/>
      <c r="F136" s="68"/>
      <c r="G136" s="68"/>
      <c r="H136" s="68"/>
      <c r="I136" s="68"/>
      <c r="J136" s="68"/>
      <c r="K136" s="68"/>
      <c r="L136" s="68"/>
    </row>
    <row r="137" spans="1:12" ht="12.5" x14ac:dyDescent="0.25">
      <c r="A137" s="14"/>
      <c r="C137" s="68"/>
      <c r="D137" s="68"/>
      <c r="E137" s="68"/>
      <c r="F137" s="68"/>
      <c r="G137" s="68"/>
      <c r="H137" s="68"/>
      <c r="I137" s="68"/>
      <c r="J137" s="68"/>
      <c r="K137" s="68"/>
      <c r="L137" s="68"/>
    </row>
    <row r="138" spans="1:12" ht="12.5" x14ac:dyDescent="0.25">
      <c r="A138" s="14"/>
      <c r="C138" s="68"/>
      <c r="D138" s="68"/>
      <c r="E138" s="68"/>
      <c r="F138" s="68"/>
      <c r="G138" s="68"/>
      <c r="H138" s="68"/>
      <c r="I138" s="68"/>
      <c r="J138" s="68"/>
      <c r="K138" s="68"/>
      <c r="L138" s="68"/>
    </row>
    <row r="139" spans="1:12" ht="12.5" x14ac:dyDescent="0.25">
      <c r="A139" s="14"/>
      <c r="C139" s="68"/>
      <c r="D139" s="68"/>
      <c r="E139" s="68"/>
      <c r="F139" s="68"/>
      <c r="G139" s="68"/>
      <c r="H139" s="68"/>
      <c r="I139" s="68"/>
      <c r="J139" s="68"/>
      <c r="K139" s="68"/>
      <c r="L139" s="68"/>
    </row>
    <row r="140" spans="1:12" ht="12.5" x14ac:dyDescent="0.25">
      <c r="A140" s="14"/>
      <c r="C140" s="68"/>
      <c r="D140" s="68"/>
      <c r="E140" s="68"/>
      <c r="F140" s="68"/>
      <c r="G140" s="68"/>
      <c r="H140" s="68"/>
      <c r="I140" s="68"/>
      <c r="J140" s="68"/>
      <c r="K140" s="68"/>
      <c r="L140" s="68"/>
    </row>
    <row r="141" spans="1:12" ht="12.5" x14ac:dyDescent="0.25">
      <c r="A141" s="14"/>
      <c r="C141" s="68"/>
      <c r="D141" s="68"/>
      <c r="E141" s="68"/>
      <c r="F141" s="68"/>
      <c r="G141" s="68"/>
      <c r="H141" s="68"/>
      <c r="I141" s="68"/>
      <c r="J141" s="68"/>
      <c r="K141" s="68"/>
      <c r="L141" s="68"/>
    </row>
    <row r="142" spans="1:12" ht="12.5" x14ac:dyDescent="0.25">
      <c r="A142" s="14"/>
      <c r="C142" s="68"/>
      <c r="D142" s="68"/>
      <c r="E142" s="68"/>
      <c r="F142" s="68"/>
      <c r="G142" s="68"/>
      <c r="H142" s="68"/>
      <c r="I142" s="68"/>
      <c r="J142" s="68"/>
      <c r="K142" s="68"/>
      <c r="L142" s="68"/>
    </row>
    <row r="143" spans="1:12" ht="12.5" x14ac:dyDescent="0.25">
      <c r="A143" s="14"/>
      <c r="C143" s="68"/>
      <c r="D143" s="68"/>
      <c r="E143" s="68"/>
      <c r="F143" s="68"/>
      <c r="G143" s="68"/>
      <c r="H143" s="68"/>
      <c r="I143" s="68"/>
      <c r="J143" s="68"/>
      <c r="K143" s="68"/>
      <c r="L143" s="68"/>
    </row>
    <row r="144" spans="1:12" ht="12.5" x14ac:dyDescent="0.25">
      <c r="A144" s="14"/>
      <c r="C144" s="68"/>
      <c r="D144" s="68"/>
      <c r="E144" s="68"/>
      <c r="F144" s="68"/>
      <c r="G144" s="68"/>
      <c r="H144" s="68"/>
      <c r="I144" s="68"/>
      <c r="J144" s="68"/>
      <c r="K144" s="68"/>
      <c r="L144" s="68"/>
    </row>
    <row r="145" spans="1:12" ht="12.5" x14ac:dyDescent="0.25">
      <c r="A145" s="14"/>
      <c r="C145" s="68"/>
      <c r="D145" s="68"/>
      <c r="E145" s="68"/>
      <c r="F145" s="68"/>
      <c r="G145" s="68"/>
      <c r="H145" s="68"/>
      <c r="I145" s="68"/>
      <c r="J145" s="68"/>
      <c r="K145" s="68"/>
      <c r="L145" s="68"/>
    </row>
    <row r="146" spans="1:12" ht="12.5" x14ac:dyDescent="0.25">
      <c r="A146" s="14"/>
      <c r="C146" s="68"/>
      <c r="D146" s="68"/>
      <c r="E146" s="68"/>
      <c r="F146" s="68"/>
      <c r="G146" s="68"/>
      <c r="H146" s="68"/>
      <c r="I146" s="68"/>
      <c r="J146" s="68"/>
      <c r="K146" s="68"/>
      <c r="L146" s="68"/>
    </row>
    <row r="147" spans="1:12" ht="12.5" x14ac:dyDescent="0.25">
      <c r="A147" s="14"/>
      <c r="C147" s="68"/>
      <c r="D147" s="68"/>
      <c r="E147" s="68"/>
      <c r="F147" s="68"/>
      <c r="G147" s="68"/>
      <c r="H147" s="68"/>
      <c r="I147" s="68"/>
      <c r="J147" s="68"/>
      <c r="K147" s="68"/>
      <c r="L147" s="68"/>
    </row>
    <row r="148" spans="1:12" ht="12.5" x14ac:dyDescent="0.25">
      <c r="A148" s="14"/>
      <c r="C148" s="68"/>
      <c r="D148" s="68"/>
      <c r="E148" s="68"/>
      <c r="F148" s="68"/>
      <c r="G148" s="68"/>
      <c r="H148" s="68"/>
      <c r="I148" s="68"/>
      <c r="J148" s="68"/>
      <c r="K148" s="68"/>
      <c r="L148" s="68"/>
    </row>
    <row r="149" spans="1:12" ht="12.5" x14ac:dyDescent="0.25">
      <c r="A149" s="14"/>
      <c r="C149" s="68"/>
      <c r="D149" s="68"/>
      <c r="E149" s="68"/>
      <c r="F149" s="68"/>
      <c r="G149" s="68"/>
      <c r="H149" s="68"/>
      <c r="I149" s="68"/>
      <c r="J149" s="68"/>
      <c r="K149" s="68"/>
      <c r="L149" s="68"/>
    </row>
    <row r="150" spans="1:12" ht="12.5" x14ac:dyDescent="0.25">
      <c r="A150" s="14"/>
      <c r="C150" s="68"/>
      <c r="D150" s="68"/>
      <c r="E150" s="68"/>
      <c r="F150" s="68"/>
      <c r="G150" s="68"/>
      <c r="H150" s="68"/>
      <c r="I150" s="68"/>
      <c r="J150" s="68"/>
      <c r="K150" s="68"/>
      <c r="L150" s="68"/>
    </row>
    <row r="151" spans="1:12" ht="12.5" x14ac:dyDescent="0.25">
      <c r="A151" s="14"/>
      <c r="C151" s="68"/>
      <c r="D151" s="68"/>
      <c r="E151" s="68"/>
      <c r="F151" s="68"/>
      <c r="G151" s="68"/>
      <c r="H151" s="68"/>
      <c r="I151" s="68"/>
      <c r="J151" s="68"/>
      <c r="K151" s="68"/>
      <c r="L151" s="68"/>
    </row>
    <row r="152" spans="1:12" ht="12.5" x14ac:dyDescent="0.25">
      <c r="A152" s="14"/>
      <c r="C152" s="68"/>
      <c r="D152" s="68"/>
      <c r="E152" s="68"/>
      <c r="F152" s="68"/>
      <c r="G152" s="68"/>
      <c r="H152" s="68"/>
      <c r="I152" s="68"/>
      <c r="J152" s="68"/>
      <c r="K152" s="68"/>
      <c r="L152" s="68"/>
    </row>
    <row r="153" spans="1:12" ht="12.5" x14ac:dyDescent="0.25">
      <c r="A153" s="14"/>
      <c r="C153" s="68"/>
      <c r="D153" s="68"/>
      <c r="E153" s="68"/>
      <c r="F153" s="68"/>
      <c r="G153" s="68"/>
      <c r="H153" s="68"/>
      <c r="I153" s="68"/>
      <c r="J153" s="68"/>
      <c r="K153" s="68"/>
      <c r="L153" s="68"/>
    </row>
    <row r="154" spans="1:12" ht="12.5" x14ac:dyDescent="0.25">
      <c r="A154" s="14"/>
      <c r="C154" s="68"/>
      <c r="D154" s="68"/>
      <c r="E154" s="68"/>
      <c r="F154" s="68"/>
      <c r="G154" s="68"/>
      <c r="H154" s="68"/>
      <c r="I154" s="68"/>
      <c r="J154" s="68"/>
      <c r="K154" s="68"/>
      <c r="L154" s="68"/>
    </row>
    <row r="155" spans="1:12" ht="12.5" x14ac:dyDescent="0.25">
      <c r="A155" s="14"/>
      <c r="C155" s="68"/>
      <c r="D155" s="68"/>
      <c r="E155" s="68"/>
      <c r="F155" s="68"/>
      <c r="G155" s="68"/>
      <c r="H155" s="68"/>
      <c r="I155" s="68"/>
      <c r="J155" s="68"/>
      <c r="K155" s="68"/>
      <c r="L155" s="68"/>
    </row>
    <row r="156" spans="1:12" ht="12.5" x14ac:dyDescent="0.25">
      <c r="A156" s="14"/>
      <c r="C156" s="68"/>
      <c r="D156" s="68"/>
      <c r="E156" s="68"/>
      <c r="F156" s="68"/>
      <c r="G156" s="68"/>
      <c r="H156" s="68"/>
      <c r="I156" s="68"/>
      <c r="J156" s="68"/>
      <c r="K156" s="68"/>
      <c r="L156" s="68"/>
    </row>
    <row r="157" spans="1:12" ht="12.5" x14ac:dyDescent="0.25">
      <c r="A157" s="14"/>
      <c r="C157" s="68"/>
      <c r="D157" s="68"/>
      <c r="E157" s="68"/>
      <c r="F157" s="68"/>
      <c r="G157" s="68"/>
      <c r="H157" s="68"/>
      <c r="I157" s="68"/>
      <c r="J157" s="68"/>
      <c r="K157" s="68"/>
      <c r="L157" s="68"/>
    </row>
    <row r="158" spans="1:12" ht="12.5" x14ac:dyDescent="0.25">
      <c r="A158" s="14"/>
      <c r="C158" s="68"/>
      <c r="D158" s="68"/>
      <c r="E158" s="68"/>
      <c r="F158" s="68"/>
      <c r="G158" s="68"/>
      <c r="H158" s="68"/>
      <c r="I158" s="68"/>
      <c r="J158" s="68"/>
      <c r="K158" s="68"/>
      <c r="L158" s="68"/>
    </row>
    <row r="159" spans="1:12" ht="12.5" x14ac:dyDescent="0.25">
      <c r="A159" s="14"/>
      <c r="C159" s="68"/>
      <c r="D159" s="68"/>
      <c r="E159" s="68"/>
      <c r="F159" s="68"/>
      <c r="G159" s="68"/>
      <c r="H159" s="68"/>
      <c r="I159" s="68"/>
      <c r="J159" s="68"/>
      <c r="K159" s="68"/>
      <c r="L159" s="68"/>
    </row>
    <row r="160" spans="1:12" ht="12.5" x14ac:dyDescent="0.25">
      <c r="A160" s="14"/>
      <c r="C160" s="68"/>
      <c r="D160" s="68"/>
      <c r="E160" s="68"/>
      <c r="F160" s="68"/>
      <c r="G160" s="68"/>
      <c r="H160" s="68"/>
      <c r="I160" s="68"/>
      <c r="J160" s="68"/>
      <c r="K160" s="68"/>
      <c r="L160" s="68"/>
    </row>
    <row r="161" spans="1:12" ht="12.5" x14ac:dyDescent="0.25">
      <c r="A161" s="14"/>
      <c r="C161" s="68"/>
      <c r="D161" s="68"/>
      <c r="E161" s="68"/>
      <c r="F161" s="68"/>
      <c r="G161" s="68"/>
      <c r="H161" s="68"/>
      <c r="I161" s="68"/>
      <c r="J161" s="68"/>
      <c r="K161" s="68"/>
      <c r="L161" s="68"/>
    </row>
    <row r="162" spans="1:12" ht="12.5" x14ac:dyDescent="0.25">
      <c r="A162" s="14"/>
      <c r="C162" s="68"/>
      <c r="D162" s="68"/>
      <c r="E162" s="68"/>
      <c r="F162" s="68"/>
      <c r="G162" s="68"/>
      <c r="H162" s="68"/>
      <c r="I162" s="68"/>
      <c r="J162" s="68"/>
      <c r="K162" s="68"/>
      <c r="L162" s="68"/>
    </row>
    <row r="163" spans="1:12" ht="12.5" x14ac:dyDescent="0.25">
      <c r="A163" s="14"/>
      <c r="C163" s="68"/>
      <c r="D163" s="68"/>
      <c r="E163" s="68"/>
      <c r="F163" s="68"/>
      <c r="G163" s="68"/>
      <c r="H163" s="68"/>
      <c r="I163" s="68"/>
      <c r="J163" s="68"/>
      <c r="K163" s="68"/>
      <c r="L163" s="68"/>
    </row>
    <row r="164" spans="1:12" ht="12.5" x14ac:dyDescent="0.25">
      <c r="A164" s="14"/>
      <c r="C164" s="68"/>
      <c r="D164" s="68"/>
      <c r="E164" s="68"/>
      <c r="F164" s="68"/>
      <c r="G164" s="68"/>
      <c r="H164" s="68"/>
      <c r="I164" s="68"/>
      <c r="J164" s="68"/>
      <c r="K164" s="68"/>
      <c r="L164" s="68"/>
    </row>
    <row r="165" spans="1:12" ht="12.5" x14ac:dyDescent="0.25">
      <c r="A165" s="14"/>
      <c r="C165" s="68"/>
      <c r="D165" s="68"/>
      <c r="E165" s="68"/>
      <c r="F165" s="68"/>
      <c r="G165" s="68"/>
      <c r="H165" s="68"/>
      <c r="I165" s="68"/>
      <c r="J165" s="68"/>
      <c r="K165" s="68"/>
      <c r="L165" s="68"/>
    </row>
    <row r="166" spans="1:12" ht="12.5" x14ac:dyDescent="0.25">
      <c r="A166" s="14"/>
      <c r="C166" s="68"/>
      <c r="D166" s="68"/>
      <c r="E166" s="68"/>
      <c r="F166" s="68"/>
      <c r="G166" s="68"/>
      <c r="H166" s="68"/>
      <c r="I166" s="68"/>
      <c r="J166" s="68"/>
      <c r="K166" s="68"/>
      <c r="L166" s="68"/>
    </row>
    <row r="167" spans="1:12" ht="12.5" x14ac:dyDescent="0.25">
      <c r="A167" s="14"/>
      <c r="C167" s="68"/>
      <c r="D167" s="68"/>
      <c r="E167" s="68"/>
      <c r="F167" s="68"/>
      <c r="G167" s="68"/>
      <c r="H167" s="68"/>
      <c r="I167" s="68"/>
      <c r="J167" s="68"/>
      <c r="K167" s="68"/>
      <c r="L167" s="68"/>
    </row>
    <row r="168" spans="1:12" ht="12.5" x14ac:dyDescent="0.25">
      <c r="A168" s="14"/>
      <c r="C168" s="68"/>
      <c r="D168" s="68"/>
      <c r="E168" s="68"/>
      <c r="F168" s="68"/>
      <c r="G168" s="68"/>
      <c r="H168" s="68"/>
      <c r="I168" s="68"/>
      <c r="J168" s="68"/>
      <c r="K168" s="68"/>
      <c r="L168" s="68"/>
    </row>
    <row r="169" spans="1:12" ht="12.5" x14ac:dyDescent="0.25">
      <c r="A169" s="14"/>
      <c r="C169" s="68"/>
      <c r="D169" s="68"/>
      <c r="E169" s="68"/>
      <c r="F169" s="68"/>
      <c r="G169" s="68"/>
      <c r="H169" s="68"/>
      <c r="I169" s="68"/>
      <c r="J169" s="68"/>
      <c r="K169" s="68"/>
      <c r="L169" s="68"/>
    </row>
    <row r="170" spans="1:12" ht="12.5" x14ac:dyDescent="0.25">
      <c r="A170" s="14"/>
      <c r="C170" s="68"/>
      <c r="D170" s="68"/>
      <c r="E170" s="68"/>
      <c r="F170" s="68"/>
      <c r="G170" s="68"/>
      <c r="H170" s="68"/>
      <c r="I170" s="68"/>
      <c r="J170" s="68"/>
      <c r="K170" s="68"/>
      <c r="L170" s="68"/>
    </row>
    <row r="171" spans="1:12" ht="12.5" x14ac:dyDescent="0.25">
      <c r="A171" s="14"/>
      <c r="C171" s="68"/>
      <c r="D171" s="68"/>
      <c r="E171" s="68"/>
      <c r="F171" s="68"/>
      <c r="G171" s="68"/>
      <c r="H171" s="68"/>
      <c r="I171" s="68"/>
      <c r="J171" s="68"/>
      <c r="K171" s="68"/>
      <c r="L171" s="68"/>
    </row>
    <row r="172" spans="1:12" ht="12.5" x14ac:dyDescent="0.25">
      <c r="A172" s="14"/>
      <c r="C172" s="68"/>
      <c r="D172" s="68"/>
      <c r="E172" s="68"/>
      <c r="F172" s="68"/>
      <c r="G172" s="68"/>
      <c r="H172" s="68"/>
      <c r="I172" s="68"/>
      <c r="J172" s="68"/>
      <c r="K172" s="68"/>
      <c r="L172" s="68"/>
    </row>
    <row r="173" spans="1:12" ht="12.5" x14ac:dyDescent="0.25">
      <c r="A173" s="14"/>
      <c r="C173" s="68"/>
      <c r="D173" s="68"/>
      <c r="E173" s="68"/>
      <c r="F173" s="68"/>
      <c r="G173" s="68"/>
      <c r="H173" s="68"/>
      <c r="I173" s="68"/>
      <c r="J173" s="68"/>
      <c r="K173" s="68"/>
      <c r="L173" s="68"/>
    </row>
    <row r="174" spans="1:12" ht="12.5" x14ac:dyDescent="0.25">
      <c r="A174" s="14"/>
      <c r="C174" s="68"/>
      <c r="D174" s="68"/>
      <c r="E174" s="68"/>
      <c r="F174" s="68"/>
      <c r="G174" s="68"/>
      <c r="H174" s="68"/>
      <c r="I174" s="68"/>
      <c r="J174" s="68"/>
      <c r="K174" s="68"/>
      <c r="L174" s="68"/>
    </row>
    <row r="175" spans="1:12" ht="12.5" x14ac:dyDescent="0.25">
      <c r="A175" s="14"/>
      <c r="C175" s="68"/>
      <c r="D175" s="68"/>
      <c r="E175" s="68"/>
      <c r="F175" s="68"/>
      <c r="G175" s="68"/>
      <c r="H175" s="68"/>
      <c r="I175" s="68"/>
      <c r="J175" s="68"/>
      <c r="K175" s="68"/>
      <c r="L175" s="68"/>
    </row>
    <row r="176" spans="1:12" ht="12.5" x14ac:dyDescent="0.25">
      <c r="A176" s="14"/>
      <c r="C176" s="68"/>
      <c r="D176" s="68"/>
      <c r="E176" s="68"/>
      <c r="F176" s="68"/>
      <c r="G176" s="68"/>
      <c r="H176" s="68"/>
      <c r="I176" s="68"/>
      <c r="J176" s="68"/>
      <c r="K176" s="68"/>
      <c r="L176" s="68"/>
    </row>
    <row r="177" spans="1:12" ht="12.5" x14ac:dyDescent="0.25">
      <c r="A177" s="14"/>
      <c r="C177" s="68"/>
      <c r="D177" s="68"/>
      <c r="E177" s="68"/>
      <c r="F177" s="68"/>
      <c r="G177" s="68"/>
      <c r="H177" s="68"/>
      <c r="I177" s="68"/>
      <c r="J177" s="68"/>
      <c r="K177" s="68"/>
      <c r="L177" s="68"/>
    </row>
    <row r="178" spans="1:12" ht="12.5" x14ac:dyDescent="0.25">
      <c r="A178" s="14"/>
      <c r="C178" s="68"/>
      <c r="D178" s="68"/>
      <c r="E178" s="68"/>
      <c r="F178" s="68"/>
      <c r="G178" s="68"/>
      <c r="H178" s="68"/>
      <c r="I178" s="68"/>
      <c r="J178" s="68"/>
      <c r="K178" s="68"/>
      <c r="L178" s="68"/>
    </row>
    <row r="179" spans="1:12" ht="12.5" x14ac:dyDescent="0.25">
      <c r="A179" s="14"/>
      <c r="C179" s="68"/>
      <c r="D179" s="68"/>
      <c r="E179" s="68"/>
      <c r="F179" s="68"/>
      <c r="G179" s="68"/>
      <c r="H179" s="68"/>
      <c r="I179" s="68"/>
      <c r="J179" s="68"/>
      <c r="K179" s="68"/>
      <c r="L179" s="68"/>
    </row>
    <row r="180" spans="1:12" ht="12.5" x14ac:dyDescent="0.25">
      <c r="A180" s="14"/>
      <c r="C180" s="68"/>
      <c r="D180" s="68"/>
      <c r="E180" s="68"/>
      <c r="F180" s="68"/>
      <c r="G180" s="68"/>
      <c r="H180" s="68"/>
      <c r="I180" s="68"/>
      <c r="J180" s="68"/>
      <c r="K180" s="68"/>
      <c r="L180" s="68"/>
    </row>
    <row r="181" spans="1:12" ht="12.5" x14ac:dyDescent="0.25">
      <c r="A181" s="14"/>
      <c r="C181" s="68"/>
      <c r="D181" s="68"/>
      <c r="E181" s="68"/>
      <c r="F181" s="68"/>
      <c r="G181" s="68"/>
      <c r="H181" s="68"/>
      <c r="I181" s="68"/>
      <c r="J181" s="68"/>
      <c r="K181" s="68"/>
      <c r="L181" s="68"/>
    </row>
    <row r="182" spans="1:12" ht="12.5" x14ac:dyDescent="0.25">
      <c r="A182" s="14"/>
      <c r="C182" s="68"/>
      <c r="D182" s="68"/>
      <c r="E182" s="68"/>
      <c r="F182" s="68"/>
      <c r="G182" s="68"/>
      <c r="H182" s="68"/>
      <c r="I182" s="68"/>
      <c r="J182" s="68"/>
      <c r="K182" s="68"/>
      <c r="L182" s="68"/>
    </row>
    <row r="183" spans="1:12" ht="12.5" x14ac:dyDescent="0.25">
      <c r="A183" s="14"/>
      <c r="C183" s="68"/>
      <c r="D183" s="68"/>
      <c r="E183" s="68"/>
      <c r="F183" s="68"/>
      <c r="G183" s="68"/>
      <c r="H183" s="68"/>
      <c r="I183" s="68"/>
      <c r="J183" s="68"/>
      <c r="K183" s="68"/>
      <c r="L183" s="68"/>
    </row>
    <row r="184" spans="1:12" ht="12.5" x14ac:dyDescent="0.25">
      <c r="A184" s="14"/>
      <c r="C184" s="68"/>
      <c r="D184" s="68"/>
      <c r="E184" s="68"/>
      <c r="F184" s="68"/>
      <c r="G184" s="68"/>
      <c r="H184" s="68"/>
      <c r="I184" s="68"/>
      <c r="J184" s="68"/>
      <c r="K184" s="68"/>
      <c r="L184" s="68"/>
    </row>
    <row r="185" spans="1:12" ht="12.5" x14ac:dyDescent="0.25">
      <c r="A185" s="14"/>
      <c r="C185" s="68"/>
      <c r="D185" s="68"/>
      <c r="E185" s="68"/>
      <c r="F185" s="68"/>
      <c r="G185" s="68"/>
      <c r="H185" s="68"/>
      <c r="I185" s="68"/>
      <c r="J185" s="68"/>
      <c r="K185" s="68"/>
      <c r="L185" s="68"/>
    </row>
    <row r="186" spans="1:12" ht="12.5" x14ac:dyDescent="0.25">
      <c r="A186" s="14"/>
      <c r="C186" s="68"/>
      <c r="D186" s="68"/>
      <c r="E186" s="68"/>
      <c r="F186" s="68"/>
      <c r="G186" s="68"/>
      <c r="H186" s="68"/>
      <c r="I186" s="68"/>
      <c r="J186" s="68"/>
      <c r="K186" s="68"/>
      <c r="L186" s="68"/>
    </row>
    <row r="187" spans="1:12" ht="12.5" x14ac:dyDescent="0.25">
      <c r="A187" s="14"/>
      <c r="C187" s="68"/>
      <c r="D187" s="68"/>
      <c r="E187" s="68"/>
      <c r="F187" s="68"/>
      <c r="G187" s="68"/>
      <c r="H187" s="68"/>
      <c r="I187" s="68"/>
      <c r="J187" s="68"/>
      <c r="K187" s="68"/>
      <c r="L187" s="68"/>
    </row>
    <row r="188" spans="1:12" ht="12.5" x14ac:dyDescent="0.25">
      <c r="A188" s="14"/>
      <c r="C188" s="68"/>
      <c r="D188" s="68"/>
      <c r="E188" s="68"/>
      <c r="F188" s="68"/>
      <c r="G188" s="68"/>
      <c r="H188" s="68"/>
      <c r="I188" s="68"/>
      <c r="J188" s="68"/>
      <c r="K188" s="68"/>
      <c r="L188" s="68"/>
    </row>
    <row r="189" spans="1:12" ht="12.5" x14ac:dyDescent="0.25">
      <c r="A189" s="14"/>
      <c r="C189" s="68"/>
      <c r="D189" s="68"/>
      <c r="E189" s="68"/>
      <c r="F189" s="68"/>
      <c r="G189" s="68"/>
      <c r="H189" s="68"/>
      <c r="I189" s="68"/>
      <c r="J189" s="68"/>
      <c r="K189" s="68"/>
      <c r="L189" s="68"/>
    </row>
    <row r="190" spans="1:12" ht="12.5" x14ac:dyDescent="0.25">
      <c r="A190" s="14"/>
      <c r="C190" s="68"/>
      <c r="D190" s="68"/>
      <c r="E190" s="68"/>
      <c r="F190" s="68"/>
      <c r="G190" s="68"/>
      <c r="H190" s="68"/>
      <c r="I190" s="68"/>
      <c r="J190" s="68"/>
      <c r="K190" s="68"/>
      <c r="L190" s="68"/>
    </row>
    <row r="191" spans="1:12" ht="12.5" x14ac:dyDescent="0.25">
      <c r="A191" s="14"/>
      <c r="C191" s="68"/>
      <c r="D191" s="68"/>
      <c r="E191" s="68"/>
      <c r="F191" s="68"/>
      <c r="G191" s="68"/>
      <c r="H191" s="68"/>
      <c r="I191" s="68"/>
      <c r="J191" s="68"/>
      <c r="K191" s="68"/>
      <c r="L191" s="68"/>
    </row>
    <row r="192" spans="1:12" ht="12.5" x14ac:dyDescent="0.25">
      <c r="A192" s="14"/>
      <c r="C192" s="68"/>
      <c r="D192" s="68"/>
      <c r="E192" s="68"/>
      <c r="F192" s="68"/>
      <c r="G192" s="68"/>
      <c r="H192" s="68"/>
      <c r="I192" s="68"/>
      <c r="J192" s="68"/>
      <c r="K192" s="68"/>
      <c r="L192" s="68"/>
    </row>
    <row r="193" spans="1:12" ht="12.5" x14ac:dyDescent="0.25">
      <c r="A193" s="14"/>
      <c r="C193" s="68"/>
      <c r="D193" s="68"/>
      <c r="E193" s="68"/>
      <c r="F193" s="68"/>
      <c r="G193" s="68"/>
      <c r="H193" s="68"/>
      <c r="I193" s="68"/>
      <c r="J193" s="68"/>
      <c r="K193" s="68"/>
      <c r="L193" s="68"/>
    </row>
    <row r="194" spans="1:12" ht="12.5" x14ac:dyDescent="0.25">
      <c r="A194" s="14"/>
      <c r="C194" s="68"/>
      <c r="D194" s="68"/>
      <c r="E194" s="68"/>
      <c r="F194" s="68"/>
      <c r="G194" s="68"/>
      <c r="H194" s="68"/>
      <c r="I194" s="68"/>
      <c r="J194" s="68"/>
      <c r="K194" s="68"/>
      <c r="L194" s="68"/>
    </row>
    <row r="195" spans="1:12" ht="12.5" x14ac:dyDescent="0.25">
      <c r="A195" s="14"/>
      <c r="C195" s="68"/>
      <c r="D195" s="68"/>
      <c r="E195" s="68"/>
      <c r="F195" s="68"/>
      <c r="G195" s="68"/>
      <c r="H195" s="68"/>
      <c r="I195" s="68"/>
      <c r="J195" s="68"/>
      <c r="K195" s="68"/>
      <c r="L195" s="68"/>
    </row>
    <row r="196" spans="1:12" ht="12.5" x14ac:dyDescent="0.25">
      <c r="A196" s="14"/>
      <c r="C196" s="68"/>
      <c r="D196" s="68"/>
      <c r="E196" s="68"/>
      <c r="F196" s="68"/>
      <c r="G196" s="68"/>
      <c r="H196" s="68"/>
      <c r="I196" s="68"/>
      <c r="J196" s="68"/>
      <c r="K196" s="68"/>
      <c r="L196" s="68"/>
    </row>
    <row r="197" spans="1:12" ht="12.5" x14ac:dyDescent="0.25">
      <c r="A197" s="14"/>
      <c r="C197" s="68"/>
      <c r="D197" s="68"/>
      <c r="E197" s="68"/>
      <c r="F197" s="68"/>
      <c r="G197" s="68"/>
      <c r="H197" s="68"/>
      <c r="I197" s="68"/>
      <c r="J197" s="68"/>
      <c r="K197" s="68"/>
      <c r="L197" s="68"/>
    </row>
    <row r="198" spans="1:12" ht="12.5" x14ac:dyDescent="0.25">
      <c r="A198" s="14"/>
      <c r="C198" s="68"/>
      <c r="D198" s="68"/>
      <c r="E198" s="68"/>
      <c r="F198" s="68"/>
      <c r="G198" s="68"/>
      <c r="H198" s="68"/>
      <c r="I198" s="68"/>
      <c r="J198" s="68"/>
      <c r="K198" s="68"/>
      <c r="L198" s="68"/>
    </row>
    <row r="199" spans="1:12" ht="12.5" x14ac:dyDescent="0.25">
      <c r="A199" s="14"/>
      <c r="C199" s="68"/>
      <c r="D199" s="68"/>
      <c r="E199" s="68"/>
      <c r="F199" s="68"/>
      <c r="G199" s="68"/>
      <c r="H199" s="68"/>
      <c r="I199" s="68"/>
      <c r="J199" s="68"/>
      <c r="K199" s="68"/>
      <c r="L199" s="68"/>
    </row>
    <row r="200" spans="1:12" ht="12.5" x14ac:dyDescent="0.25">
      <c r="A200" s="14"/>
      <c r="C200" s="68"/>
      <c r="D200" s="68"/>
      <c r="E200" s="68"/>
      <c r="F200" s="68"/>
      <c r="G200" s="68"/>
      <c r="H200" s="68"/>
      <c r="I200" s="68"/>
      <c r="J200" s="68"/>
      <c r="K200" s="68"/>
      <c r="L200" s="68"/>
    </row>
    <row r="201" spans="1:12" ht="12.5" x14ac:dyDescent="0.25">
      <c r="A201" s="14"/>
      <c r="C201" s="68"/>
      <c r="D201" s="68"/>
      <c r="E201" s="68"/>
      <c r="F201" s="68"/>
      <c r="G201" s="68"/>
      <c r="H201" s="68"/>
      <c r="I201" s="68"/>
      <c r="J201" s="68"/>
      <c r="K201" s="68"/>
      <c r="L201" s="68"/>
    </row>
    <row r="202" spans="1:12" ht="12.5" x14ac:dyDescent="0.25">
      <c r="A202" s="14"/>
      <c r="C202" s="68"/>
      <c r="D202" s="68"/>
      <c r="E202" s="68"/>
      <c r="F202" s="68"/>
      <c r="G202" s="68"/>
      <c r="H202" s="68"/>
      <c r="I202" s="68"/>
      <c r="J202" s="68"/>
      <c r="K202" s="68"/>
      <c r="L202" s="68"/>
    </row>
    <row r="203" spans="1:12" ht="12.5" x14ac:dyDescent="0.25">
      <c r="A203" s="14"/>
      <c r="C203" s="68"/>
      <c r="D203" s="68"/>
      <c r="E203" s="68"/>
      <c r="F203" s="68"/>
      <c r="G203" s="68"/>
      <c r="H203" s="68"/>
      <c r="I203" s="68"/>
      <c r="J203" s="68"/>
      <c r="K203" s="68"/>
      <c r="L203" s="68"/>
    </row>
    <row r="204" spans="1:12" ht="12.5" x14ac:dyDescent="0.25">
      <c r="A204" s="14"/>
      <c r="C204" s="68"/>
      <c r="D204" s="68"/>
      <c r="E204" s="68"/>
      <c r="F204" s="68"/>
      <c r="G204" s="68"/>
      <c r="H204" s="68"/>
      <c r="I204" s="68"/>
      <c r="J204" s="68"/>
      <c r="K204" s="68"/>
      <c r="L204" s="68"/>
    </row>
    <row r="205" spans="1:12" ht="12.5" x14ac:dyDescent="0.25">
      <c r="A205" s="14"/>
      <c r="C205" s="68"/>
      <c r="D205" s="68"/>
      <c r="E205" s="68"/>
      <c r="F205" s="68"/>
      <c r="G205" s="68"/>
      <c r="H205" s="68"/>
      <c r="I205" s="68"/>
      <c r="J205" s="68"/>
      <c r="K205" s="68"/>
      <c r="L205" s="68"/>
    </row>
    <row r="206" spans="1:12" ht="12.5" x14ac:dyDescent="0.25">
      <c r="A206" s="14"/>
      <c r="C206" s="68"/>
      <c r="D206" s="68"/>
      <c r="E206" s="68"/>
      <c r="F206" s="68"/>
      <c r="G206" s="68"/>
      <c r="H206" s="68"/>
      <c r="I206" s="68"/>
      <c r="J206" s="68"/>
      <c r="K206" s="68"/>
      <c r="L206" s="68"/>
    </row>
    <row r="207" spans="1:12" ht="12.5" x14ac:dyDescent="0.25">
      <c r="A207" s="14"/>
      <c r="C207" s="68"/>
      <c r="D207" s="68"/>
      <c r="E207" s="68"/>
      <c r="F207" s="68"/>
      <c r="G207" s="68"/>
      <c r="H207" s="68"/>
      <c r="I207" s="68"/>
      <c r="J207" s="68"/>
      <c r="K207" s="68"/>
      <c r="L207" s="68"/>
    </row>
    <row r="208" spans="1:12" ht="12.5" x14ac:dyDescent="0.25">
      <c r="A208" s="14"/>
      <c r="C208" s="68"/>
      <c r="D208" s="68"/>
      <c r="E208" s="68"/>
      <c r="F208" s="68"/>
      <c r="G208" s="68"/>
      <c r="H208" s="68"/>
      <c r="I208" s="68"/>
      <c r="J208" s="68"/>
      <c r="K208" s="68"/>
      <c r="L208" s="68"/>
    </row>
    <row r="209" spans="1:12" ht="12.5" x14ac:dyDescent="0.25">
      <c r="A209" s="14"/>
      <c r="C209" s="68"/>
      <c r="D209" s="68"/>
      <c r="E209" s="68"/>
      <c r="F209" s="68"/>
      <c r="G209" s="68"/>
      <c r="H209" s="68"/>
      <c r="I209" s="68"/>
      <c r="J209" s="68"/>
      <c r="K209" s="68"/>
      <c r="L209" s="68"/>
    </row>
    <row r="210" spans="1:12" ht="12.5" x14ac:dyDescent="0.25">
      <c r="A210" s="14"/>
      <c r="C210" s="68"/>
      <c r="D210" s="68"/>
      <c r="E210" s="68"/>
      <c r="F210" s="68"/>
      <c r="G210" s="68"/>
      <c r="H210" s="68"/>
      <c r="I210" s="68"/>
      <c r="J210" s="68"/>
      <c r="K210" s="68"/>
      <c r="L210" s="68"/>
    </row>
    <row r="211" spans="1:12" ht="12.5" x14ac:dyDescent="0.25">
      <c r="A211" s="14"/>
      <c r="C211" s="68"/>
      <c r="D211" s="68"/>
      <c r="E211" s="68"/>
      <c r="F211" s="68"/>
      <c r="G211" s="68"/>
      <c r="H211" s="68"/>
      <c r="I211" s="68"/>
      <c r="J211" s="68"/>
      <c r="K211" s="68"/>
      <c r="L211" s="68"/>
    </row>
    <row r="212" spans="1:12" ht="12.5" x14ac:dyDescent="0.25">
      <c r="A212" s="14"/>
      <c r="C212" s="68"/>
      <c r="D212" s="68"/>
      <c r="E212" s="68"/>
      <c r="F212" s="68"/>
      <c r="G212" s="68"/>
      <c r="H212" s="68"/>
      <c r="I212" s="68"/>
      <c r="J212" s="68"/>
      <c r="K212" s="68"/>
      <c r="L212" s="68"/>
    </row>
    <row r="213" spans="1:12" ht="12.5" x14ac:dyDescent="0.25">
      <c r="A213" s="14"/>
      <c r="C213" s="68"/>
      <c r="D213" s="68"/>
      <c r="E213" s="68"/>
      <c r="F213" s="68"/>
      <c r="G213" s="68"/>
      <c r="H213" s="68"/>
      <c r="I213" s="68"/>
      <c r="J213" s="68"/>
      <c r="K213" s="68"/>
      <c r="L213" s="68"/>
    </row>
    <row r="214" spans="1:12" ht="12.5" x14ac:dyDescent="0.25">
      <c r="A214" s="14"/>
      <c r="C214" s="68"/>
      <c r="D214" s="68"/>
      <c r="E214" s="68"/>
      <c r="F214" s="68"/>
      <c r="G214" s="68"/>
      <c r="H214" s="68"/>
      <c r="I214" s="68"/>
      <c r="J214" s="68"/>
      <c r="K214" s="68"/>
      <c r="L214" s="68"/>
    </row>
    <row r="215" spans="1:12" ht="12.5" x14ac:dyDescent="0.25">
      <c r="A215" s="14"/>
      <c r="C215" s="68"/>
      <c r="D215" s="68"/>
      <c r="E215" s="68"/>
      <c r="F215" s="68"/>
      <c r="G215" s="68"/>
      <c r="H215" s="68"/>
      <c r="I215" s="68"/>
      <c r="J215" s="68"/>
      <c r="K215" s="68"/>
      <c r="L215" s="68"/>
    </row>
    <row r="216" spans="1:12" ht="12.5" x14ac:dyDescent="0.25">
      <c r="A216" s="14"/>
      <c r="C216" s="68"/>
      <c r="D216" s="68"/>
      <c r="E216" s="68"/>
      <c r="F216" s="68"/>
      <c r="G216" s="68"/>
      <c r="H216" s="68"/>
      <c r="I216" s="68"/>
      <c r="J216" s="68"/>
      <c r="K216" s="68"/>
      <c r="L216" s="68"/>
    </row>
    <row r="217" spans="1:12" ht="12.5" x14ac:dyDescent="0.25">
      <c r="A217" s="14"/>
      <c r="C217" s="68"/>
      <c r="D217" s="68"/>
      <c r="E217" s="68"/>
      <c r="F217" s="68"/>
      <c r="G217" s="68"/>
      <c r="H217" s="68"/>
      <c r="I217" s="68"/>
      <c r="J217" s="68"/>
      <c r="K217" s="68"/>
      <c r="L217" s="68"/>
    </row>
    <row r="218" spans="1:12" ht="12.5" x14ac:dyDescent="0.25">
      <c r="A218" s="14"/>
      <c r="C218" s="68"/>
      <c r="D218" s="68"/>
      <c r="E218" s="68"/>
      <c r="F218" s="68"/>
      <c r="G218" s="68"/>
      <c r="H218" s="68"/>
      <c r="I218" s="68"/>
      <c r="J218" s="68"/>
      <c r="K218" s="68"/>
      <c r="L218" s="68"/>
    </row>
    <row r="219" spans="1:12" ht="12.5" x14ac:dyDescent="0.25">
      <c r="A219" s="14"/>
      <c r="C219" s="68"/>
      <c r="D219" s="68"/>
      <c r="E219" s="68"/>
      <c r="F219" s="68"/>
      <c r="G219" s="68"/>
      <c r="H219" s="68"/>
      <c r="I219" s="68"/>
      <c r="J219" s="68"/>
      <c r="K219" s="68"/>
      <c r="L219" s="68"/>
    </row>
    <row r="220" spans="1:12" ht="12.5" x14ac:dyDescent="0.25">
      <c r="A220" s="14"/>
      <c r="C220" s="68"/>
      <c r="D220" s="68"/>
      <c r="E220" s="68"/>
      <c r="F220" s="68"/>
      <c r="G220" s="68"/>
      <c r="H220" s="68"/>
      <c r="I220" s="68"/>
      <c r="J220" s="68"/>
      <c r="K220" s="68"/>
      <c r="L220" s="68"/>
    </row>
    <row r="221" spans="1:12" ht="12.5" x14ac:dyDescent="0.25">
      <c r="A221" s="14"/>
      <c r="C221" s="68"/>
      <c r="D221" s="68"/>
      <c r="E221" s="68"/>
      <c r="F221" s="68"/>
      <c r="G221" s="68"/>
      <c r="H221" s="68"/>
      <c r="I221" s="68"/>
      <c r="J221" s="68"/>
      <c r="K221" s="68"/>
      <c r="L221" s="68"/>
    </row>
    <row r="222" spans="1:12" ht="12.5" x14ac:dyDescent="0.25">
      <c r="A222" s="14"/>
      <c r="C222" s="68"/>
      <c r="D222" s="68"/>
      <c r="E222" s="68"/>
      <c r="F222" s="68"/>
      <c r="G222" s="68"/>
      <c r="H222" s="68"/>
      <c r="I222" s="68"/>
      <c r="J222" s="68"/>
      <c r="K222" s="68"/>
      <c r="L222" s="68"/>
    </row>
    <row r="223" spans="1:12" ht="12.5" x14ac:dyDescent="0.25">
      <c r="A223" s="14"/>
      <c r="C223" s="68"/>
      <c r="D223" s="68"/>
      <c r="E223" s="68"/>
      <c r="F223" s="68"/>
      <c r="G223" s="68"/>
      <c r="H223" s="68"/>
      <c r="I223" s="68"/>
      <c r="J223" s="68"/>
      <c r="K223" s="68"/>
      <c r="L223" s="68"/>
    </row>
    <row r="224" spans="1:12" ht="12.5" x14ac:dyDescent="0.25">
      <c r="A224" s="14"/>
      <c r="C224" s="68"/>
      <c r="D224" s="68"/>
      <c r="E224" s="68"/>
      <c r="F224" s="68"/>
      <c r="G224" s="68"/>
      <c r="H224" s="68"/>
      <c r="I224" s="68"/>
      <c r="J224" s="68"/>
      <c r="K224" s="68"/>
      <c r="L224" s="68"/>
    </row>
    <row r="225" spans="1:12" ht="12.5" x14ac:dyDescent="0.25">
      <c r="A225" s="14"/>
      <c r="C225" s="68"/>
      <c r="D225" s="68"/>
      <c r="E225" s="68"/>
      <c r="F225" s="68"/>
      <c r="G225" s="68"/>
      <c r="H225" s="68"/>
      <c r="I225" s="68"/>
      <c r="J225" s="68"/>
      <c r="K225" s="68"/>
      <c r="L225" s="68"/>
    </row>
    <row r="226" spans="1:12" ht="12.5" x14ac:dyDescent="0.25">
      <c r="A226" s="14"/>
      <c r="C226" s="68"/>
      <c r="D226" s="68"/>
      <c r="E226" s="68"/>
      <c r="F226" s="68"/>
      <c r="G226" s="68"/>
      <c r="H226" s="68"/>
      <c r="I226" s="68"/>
      <c r="J226" s="68"/>
      <c r="K226" s="68"/>
      <c r="L226" s="68"/>
    </row>
    <row r="227" spans="1:12" ht="12.5" x14ac:dyDescent="0.25">
      <c r="A227" s="14"/>
      <c r="C227" s="68"/>
      <c r="D227" s="68"/>
      <c r="E227" s="68"/>
      <c r="F227" s="68"/>
      <c r="G227" s="68"/>
      <c r="H227" s="68"/>
      <c r="I227" s="68"/>
      <c r="J227" s="68"/>
      <c r="K227" s="68"/>
      <c r="L227" s="68"/>
    </row>
    <row r="228" spans="1:12" ht="12.5" x14ac:dyDescent="0.25">
      <c r="A228" s="14"/>
      <c r="C228" s="68"/>
      <c r="D228" s="68"/>
      <c r="E228" s="68"/>
      <c r="F228" s="68"/>
      <c r="G228" s="68"/>
      <c r="H228" s="68"/>
      <c r="I228" s="68"/>
      <c r="J228" s="68"/>
      <c r="K228" s="68"/>
      <c r="L228" s="68"/>
    </row>
    <row r="229" spans="1:12" ht="12.5" x14ac:dyDescent="0.25">
      <c r="A229" s="14"/>
      <c r="C229" s="68"/>
      <c r="D229" s="68"/>
      <c r="E229" s="68"/>
      <c r="F229" s="68"/>
      <c r="G229" s="68"/>
      <c r="H229" s="68"/>
      <c r="I229" s="68"/>
      <c r="J229" s="68"/>
      <c r="K229" s="68"/>
      <c r="L229" s="68"/>
    </row>
    <row r="230" spans="1:12" ht="12.5" x14ac:dyDescent="0.25">
      <c r="A230" s="14"/>
      <c r="C230" s="68"/>
      <c r="D230" s="68"/>
      <c r="E230" s="68"/>
      <c r="F230" s="68"/>
      <c r="G230" s="68"/>
      <c r="H230" s="68"/>
      <c r="I230" s="68"/>
      <c r="J230" s="68"/>
      <c r="K230" s="68"/>
      <c r="L230" s="68"/>
    </row>
    <row r="231" spans="1:12" ht="12.5" x14ac:dyDescent="0.25">
      <c r="A231" s="14"/>
      <c r="C231" s="68"/>
      <c r="D231" s="68"/>
      <c r="E231" s="68"/>
      <c r="F231" s="68"/>
      <c r="G231" s="68"/>
      <c r="H231" s="68"/>
      <c r="I231" s="68"/>
      <c r="J231" s="68"/>
      <c r="K231" s="68"/>
      <c r="L231" s="68"/>
    </row>
    <row r="232" spans="1:12" ht="12.5" x14ac:dyDescent="0.25">
      <c r="A232" s="14"/>
      <c r="C232" s="68"/>
      <c r="D232" s="68"/>
      <c r="E232" s="68"/>
      <c r="F232" s="68"/>
      <c r="G232" s="68"/>
      <c r="H232" s="68"/>
      <c r="I232" s="68"/>
      <c r="J232" s="68"/>
      <c r="K232" s="68"/>
      <c r="L232" s="68"/>
    </row>
    <row r="233" spans="1:12" ht="12.5" x14ac:dyDescent="0.25">
      <c r="A233" s="14"/>
      <c r="C233" s="68"/>
      <c r="D233" s="68"/>
      <c r="E233" s="68"/>
      <c r="F233" s="68"/>
      <c r="G233" s="68"/>
      <c r="H233" s="68"/>
      <c r="I233" s="68"/>
      <c r="J233" s="68"/>
      <c r="K233" s="68"/>
      <c r="L233" s="68"/>
    </row>
    <row r="234" spans="1:12" ht="12.5" x14ac:dyDescent="0.25">
      <c r="A234" s="14"/>
      <c r="C234" s="68"/>
      <c r="D234" s="68"/>
      <c r="E234" s="68"/>
      <c r="F234" s="68"/>
      <c r="G234" s="68"/>
      <c r="H234" s="68"/>
      <c r="I234" s="68"/>
      <c r="J234" s="68"/>
      <c r="K234" s="68"/>
      <c r="L234" s="68"/>
    </row>
    <row r="235" spans="1:12" ht="12.5" x14ac:dyDescent="0.25">
      <c r="A235" s="14"/>
      <c r="C235" s="68"/>
      <c r="D235" s="68"/>
      <c r="E235" s="68"/>
      <c r="F235" s="68"/>
      <c r="G235" s="68"/>
      <c r="H235" s="68"/>
      <c r="I235" s="68"/>
      <c r="J235" s="68"/>
      <c r="K235" s="68"/>
      <c r="L235" s="68"/>
    </row>
    <row r="236" spans="1:12" ht="12.5" x14ac:dyDescent="0.25">
      <c r="A236" s="14"/>
      <c r="C236" s="68"/>
      <c r="D236" s="68"/>
      <c r="E236" s="68"/>
      <c r="F236" s="68"/>
      <c r="G236" s="68"/>
      <c r="H236" s="68"/>
      <c r="I236" s="68"/>
      <c r="J236" s="68"/>
      <c r="K236" s="68"/>
      <c r="L236" s="68"/>
    </row>
    <row r="237" spans="1:12" ht="12.5" x14ac:dyDescent="0.25">
      <c r="A237" s="14"/>
      <c r="C237" s="68"/>
      <c r="D237" s="68"/>
      <c r="E237" s="68"/>
      <c r="F237" s="68"/>
      <c r="G237" s="68"/>
      <c r="H237" s="68"/>
      <c r="I237" s="68"/>
      <c r="J237" s="68"/>
      <c r="K237" s="68"/>
      <c r="L237" s="68"/>
    </row>
    <row r="238" spans="1:12" ht="12.5" x14ac:dyDescent="0.25">
      <c r="A238" s="14"/>
      <c r="C238" s="68"/>
      <c r="D238" s="68"/>
      <c r="E238" s="68"/>
      <c r="F238" s="68"/>
      <c r="G238" s="68"/>
      <c r="H238" s="68"/>
      <c r="I238" s="68"/>
      <c r="J238" s="68"/>
      <c r="K238" s="68"/>
      <c r="L238" s="68"/>
    </row>
    <row r="239" spans="1:12" ht="12.5" x14ac:dyDescent="0.25">
      <c r="A239" s="14"/>
      <c r="C239" s="68"/>
      <c r="D239" s="68"/>
      <c r="E239" s="68"/>
      <c r="F239" s="68"/>
      <c r="G239" s="68"/>
      <c r="H239" s="68"/>
      <c r="I239" s="68"/>
      <c r="J239" s="68"/>
      <c r="K239" s="68"/>
      <c r="L239" s="68"/>
    </row>
    <row r="240" spans="1:12" ht="12.5" x14ac:dyDescent="0.25">
      <c r="A240" s="14"/>
      <c r="C240" s="68"/>
      <c r="D240" s="68"/>
      <c r="E240" s="68"/>
      <c r="F240" s="68"/>
      <c r="G240" s="68"/>
      <c r="H240" s="68"/>
      <c r="I240" s="68"/>
      <c r="J240" s="68"/>
      <c r="K240" s="68"/>
      <c r="L240" s="68"/>
    </row>
    <row r="241" spans="1:12" ht="12.5" x14ac:dyDescent="0.25">
      <c r="A241" s="14"/>
      <c r="C241" s="68"/>
      <c r="D241" s="68"/>
      <c r="E241" s="68"/>
      <c r="F241" s="68"/>
      <c r="G241" s="68"/>
      <c r="H241" s="68"/>
      <c r="I241" s="68"/>
      <c r="J241" s="68"/>
      <c r="K241" s="68"/>
      <c r="L241" s="68"/>
    </row>
    <row r="242" spans="1:12" ht="12.5" x14ac:dyDescent="0.25">
      <c r="A242" s="14"/>
      <c r="C242" s="68"/>
      <c r="D242" s="68"/>
      <c r="E242" s="68"/>
      <c r="F242" s="68"/>
      <c r="G242" s="68"/>
      <c r="H242" s="68"/>
      <c r="I242" s="68"/>
      <c r="J242" s="68"/>
      <c r="K242" s="68"/>
      <c r="L242" s="68"/>
    </row>
    <row r="243" spans="1:12" ht="12.5" x14ac:dyDescent="0.25">
      <c r="A243" s="14"/>
      <c r="C243" s="68"/>
      <c r="D243" s="68"/>
      <c r="E243" s="68"/>
      <c r="F243" s="68"/>
      <c r="G243" s="68"/>
      <c r="H243" s="68"/>
      <c r="I243" s="68"/>
      <c r="J243" s="68"/>
      <c r="K243" s="68"/>
      <c r="L243" s="68"/>
    </row>
    <row r="244" spans="1:12" ht="12.5" x14ac:dyDescent="0.25">
      <c r="A244" s="14"/>
      <c r="C244" s="68"/>
      <c r="D244" s="68"/>
      <c r="E244" s="68"/>
      <c r="F244" s="68"/>
      <c r="G244" s="68"/>
      <c r="H244" s="68"/>
      <c r="I244" s="68"/>
      <c r="J244" s="68"/>
      <c r="K244" s="68"/>
      <c r="L244" s="68"/>
    </row>
    <row r="245" spans="1:12" ht="12.5" x14ac:dyDescent="0.25">
      <c r="A245" s="14"/>
      <c r="C245" s="68"/>
      <c r="D245" s="68"/>
      <c r="E245" s="68"/>
      <c r="F245" s="68"/>
      <c r="G245" s="68"/>
      <c r="H245" s="68"/>
      <c r="I245" s="68"/>
      <c r="J245" s="68"/>
      <c r="K245" s="68"/>
      <c r="L245" s="68"/>
    </row>
    <row r="246" spans="1:12" ht="12.5" x14ac:dyDescent="0.25">
      <c r="A246" s="14"/>
      <c r="C246" s="68"/>
      <c r="D246" s="68"/>
      <c r="E246" s="68"/>
      <c r="F246" s="68"/>
      <c r="G246" s="68"/>
      <c r="H246" s="68"/>
      <c r="I246" s="68"/>
      <c r="J246" s="68"/>
      <c r="K246" s="68"/>
      <c r="L246" s="68"/>
    </row>
    <row r="247" spans="1:12" ht="12.5" x14ac:dyDescent="0.25">
      <c r="A247" s="14"/>
      <c r="C247" s="68"/>
      <c r="D247" s="68"/>
      <c r="E247" s="68"/>
      <c r="F247" s="68"/>
      <c r="G247" s="68"/>
      <c r="H247" s="68"/>
      <c r="I247" s="68"/>
      <c r="J247" s="68"/>
      <c r="K247" s="68"/>
      <c r="L247" s="68"/>
    </row>
    <row r="248" spans="1:12" ht="12.5" x14ac:dyDescent="0.25">
      <c r="A248" s="14"/>
      <c r="C248" s="68"/>
      <c r="D248" s="68"/>
      <c r="E248" s="68"/>
      <c r="F248" s="68"/>
      <c r="G248" s="68"/>
      <c r="H248" s="68"/>
      <c r="I248" s="68"/>
      <c r="J248" s="68"/>
      <c r="K248" s="68"/>
      <c r="L248" s="68"/>
    </row>
    <row r="249" spans="1:12" ht="12.5" x14ac:dyDescent="0.25">
      <c r="A249" s="14"/>
      <c r="C249" s="68"/>
      <c r="D249" s="68"/>
      <c r="E249" s="68"/>
      <c r="F249" s="68"/>
      <c r="G249" s="68"/>
      <c r="H249" s="68"/>
      <c r="I249" s="68"/>
      <c r="J249" s="68"/>
      <c r="K249" s="68"/>
      <c r="L249" s="68"/>
    </row>
    <row r="250" spans="1:12" ht="12.5" x14ac:dyDescent="0.25">
      <c r="A250" s="14"/>
      <c r="C250" s="68"/>
      <c r="D250" s="68"/>
      <c r="E250" s="68"/>
      <c r="F250" s="68"/>
      <c r="G250" s="68"/>
      <c r="H250" s="68"/>
      <c r="I250" s="68"/>
      <c r="J250" s="68"/>
      <c r="K250" s="68"/>
      <c r="L250" s="68"/>
    </row>
    <row r="251" spans="1:12" ht="12.5" x14ac:dyDescent="0.25">
      <c r="A251" s="14"/>
      <c r="C251" s="68"/>
      <c r="D251" s="68"/>
      <c r="E251" s="68"/>
      <c r="F251" s="68"/>
      <c r="G251" s="68"/>
      <c r="H251" s="68"/>
      <c r="I251" s="68"/>
      <c r="J251" s="68"/>
      <c r="K251" s="68"/>
      <c r="L251" s="68"/>
    </row>
    <row r="252" spans="1:12" ht="12.5" x14ac:dyDescent="0.25">
      <c r="A252" s="14"/>
      <c r="C252" s="68"/>
      <c r="D252" s="68"/>
      <c r="E252" s="68"/>
      <c r="F252" s="68"/>
      <c r="G252" s="68"/>
      <c r="H252" s="68"/>
      <c r="I252" s="68"/>
      <c r="J252" s="68"/>
      <c r="K252" s="68"/>
      <c r="L252" s="68"/>
    </row>
    <row r="253" spans="1:12" ht="12.5" x14ac:dyDescent="0.25">
      <c r="A253" s="14"/>
      <c r="C253" s="68"/>
      <c r="D253" s="68"/>
      <c r="E253" s="68"/>
      <c r="F253" s="68"/>
      <c r="G253" s="68"/>
      <c r="H253" s="68"/>
      <c r="I253" s="68"/>
      <c r="J253" s="68"/>
      <c r="K253" s="68"/>
      <c r="L253" s="68"/>
    </row>
    <row r="254" spans="1:12" ht="12.5" x14ac:dyDescent="0.25">
      <c r="A254" s="14"/>
      <c r="C254" s="68"/>
      <c r="D254" s="68"/>
      <c r="E254" s="68"/>
      <c r="F254" s="68"/>
      <c r="G254" s="68"/>
      <c r="H254" s="68"/>
      <c r="I254" s="68"/>
      <c r="J254" s="68"/>
      <c r="K254" s="68"/>
      <c r="L254" s="68"/>
    </row>
    <row r="255" spans="1:12" ht="12.5" x14ac:dyDescent="0.25">
      <c r="A255" s="14"/>
      <c r="C255" s="68"/>
      <c r="D255" s="68"/>
      <c r="E255" s="68"/>
      <c r="F255" s="68"/>
      <c r="G255" s="68"/>
      <c r="H255" s="68"/>
      <c r="I255" s="68"/>
      <c r="J255" s="68"/>
      <c r="K255" s="68"/>
      <c r="L255" s="68"/>
    </row>
    <row r="256" spans="1:12" ht="12.5" x14ac:dyDescent="0.25">
      <c r="A256" s="14"/>
      <c r="C256" s="68"/>
      <c r="D256" s="68"/>
      <c r="E256" s="68"/>
      <c r="F256" s="68"/>
      <c r="G256" s="68"/>
      <c r="H256" s="68"/>
      <c r="I256" s="68"/>
      <c r="J256" s="68"/>
      <c r="K256" s="68"/>
      <c r="L256" s="68"/>
    </row>
    <row r="257" spans="1:12" ht="12.5" x14ac:dyDescent="0.25">
      <c r="A257" s="14"/>
      <c r="C257" s="68"/>
      <c r="D257" s="68"/>
      <c r="E257" s="68"/>
      <c r="F257" s="68"/>
      <c r="G257" s="68"/>
      <c r="H257" s="68"/>
      <c r="I257" s="68"/>
      <c r="J257" s="68"/>
      <c r="K257" s="68"/>
      <c r="L257" s="68"/>
    </row>
    <row r="258" spans="1:12" ht="12.5" x14ac:dyDescent="0.25">
      <c r="A258" s="14"/>
      <c r="C258" s="68"/>
      <c r="D258" s="68"/>
      <c r="E258" s="68"/>
      <c r="F258" s="68"/>
      <c r="G258" s="68"/>
      <c r="H258" s="68"/>
      <c r="I258" s="68"/>
      <c r="J258" s="68"/>
      <c r="K258" s="68"/>
      <c r="L258" s="68"/>
    </row>
    <row r="259" spans="1:12" ht="12.5" x14ac:dyDescent="0.25">
      <c r="A259" s="14"/>
      <c r="C259" s="68"/>
      <c r="D259" s="68"/>
      <c r="E259" s="68"/>
      <c r="F259" s="68"/>
      <c r="G259" s="68"/>
      <c r="H259" s="68"/>
      <c r="I259" s="68"/>
      <c r="J259" s="68"/>
      <c r="K259" s="68"/>
      <c r="L259" s="68"/>
    </row>
    <row r="260" spans="1:12" ht="12.5" x14ac:dyDescent="0.25">
      <c r="A260" s="14"/>
      <c r="C260" s="68"/>
      <c r="D260" s="68"/>
      <c r="E260" s="68"/>
      <c r="F260" s="68"/>
      <c r="G260" s="68"/>
      <c r="H260" s="68"/>
      <c r="I260" s="68"/>
      <c r="J260" s="68"/>
      <c r="K260" s="68"/>
      <c r="L260" s="68"/>
    </row>
    <row r="261" spans="1:12" ht="12.5" x14ac:dyDescent="0.25">
      <c r="A261" s="14"/>
      <c r="C261" s="68"/>
      <c r="D261" s="68"/>
      <c r="E261" s="68"/>
      <c r="F261" s="68"/>
      <c r="G261" s="68"/>
      <c r="H261" s="68"/>
      <c r="I261" s="68"/>
      <c r="J261" s="68"/>
      <c r="K261" s="68"/>
      <c r="L261" s="68"/>
    </row>
    <row r="262" spans="1:12" ht="12.5" x14ac:dyDescent="0.25">
      <c r="A262" s="14"/>
      <c r="C262" s="68"/>
      <c r="D262" s="68"/>
      <c r="E262" s="68"/>
      <c r="F262" s="68"/>
      <c r="G262" s="68"/>
      <c r="H262" s="68"/>
      <c r="I262" s="68"/>
      <c r="J262" s="68"/>
      <c r="K262" s="68"/>
      <c r="L262" s="68"/>
    </row>
    <row r="263" spans="1:12" ht="12.5" x14ac:dyDescent="0.25">
      <c r="A263" s="14"/>
      <c r="C263" s="68"/>
      <c r="D263" s="68"/>
      <c r="E263" s="68"/>
      <c r="F263" s="68"/>
      <c r="G263" s="68"/>
      <c r="H263" s="68"/>
      <c r="I263" s="68"/>
      <c r="J263" s="68"/>
      <c r="K263" s="68"/>
      <c r="L263" s="68"/>
    </row>
    <row r="264" spans="1:12" ht="12.5" x14ac:dyDescent="0.25">
      <c r="A264" s="14"/>
      <c r="C264" s="68"/>
      <c r="D264" s="68"/>
      <c r="E264" s="68"/>
      <c r="F264" s="68"/>
      <c r="G264" s="68"/>
      <c r="H264" s="68"/>
      <c r="I264" s="68"/>
      <c r="J264" s="68"/>
      <c r="K264" s="68"/>
      <c r="L264" s="68"/>
    </row>
    <row r="265" spans="1:12" ht="12.5" x14ac:dyDescent="0.25">
      <c r="A265" s="14"/>
      <c r="C265" s="68"/>
      <c r="D265" s="68"/>
      <c r="E265" s="68"/>
      <c r="F265" s="68"/>
      <c r="G265" s="68"/>
      <c r="H265" s="68"/>
      <c r="I265" s="68"/>
      <c r="J265" s="68"/>
      <c r="K265" s="68"/>
      <c r="L265" s="68"/>
    </row>
    <row r="266" spans="1:12" ht="12.5" x14ac:dyDescent="0.25">
      <c r="A266" s="14"/>
      <c r="C266" s="68"/>
      <c r="D266" s="68"/>
      <c r="E266" s="68"/>
      <c r="F266" s="68"/>
      <c r="G266" s="68"/>
      <c r="H266" s="68"/>
      <c r="I266" s="68"/>
      <c r="J266" s="68"/>
      <c r="K266" s="68"/>
      <c r="L266" s="68"/>
    </row>
    <row r="267" spans="1:12" ht="12.5" x14ac:dyDescent="0.25">
      <c r="A267" s="14"/>
      <c r="C267" s="68"/>
      <c r="D267" s="68"/>
      <c r="E267" s="68"/>
      <c r="F267" s="68"/>
      <c r="G267" s="68"/>
      <c r="H267" s="68"/>
      <c r="I267" s="68"/>
      <c r="J267" s="68"/>
      <c r="K267" s="68"/>
      <c r="L267" s="68"/>
    </row>
    <row r="268" spans="1:12" ht="12.5" x14ac:dyDescent="0.25">
      <c r="A268" s="14"/>
      <c r="C268" s="68"/>
      <c r="D268" s="68"/>
      <c r="E268" s="68"/>
      <c r="F268" s="68"/>
      <c r="G268" s="68"/>
      <c r="H268" s="68"/>
      <c r="I268" s="68"/>
      <c r="J268" s="68"/>
      <c r="K268" s="68"/>
      <c r="L268" s="68"/>
    </row>
    <row r="269" spans="1:12" ht="12.5" x14ac:dyDescent="0.25">
      <c r="A269" s="14"/>
      <c r="C269" s="68"/>
      <c r="D269" s="68"/>
      <c r="E269" s="68"/>
      <c r="F269" s="68"/>
      <c r="G269" s="68"/>
      <c r="H269" s="68"/>
      <c r="I269" s="68"/>
      <c r="J269" s="68"/>
      <c r="K269" s="68"/>
      <c r="L269" s="68"/>
    </row>
    <row r="270" spans="1:12" ht="12.5" x14ac:dyDescent="0.25">
      <c r="A270" s="14"/>
      <c r="C270" s="68"/>
      <c r="D270" s="68"/>
      <c r="E270" s="68"/>
      <c r="F270" s="68"/>
      <c r="G270" s="68"/>
      <c r="H270" s="68"/>
      <c r="I270" s="68"/>
      <c r="J270" s="68"/>
      <c r="K270" s="68"/>
      <c r="L270" s="68"/>
    </row>
    <row r="271" spans="1:12" ht="12.5" x14ac:dyDescent="0.25">
      <c r="A271" s="14"/>
      <c r="C271" s="68"/>
      <c r="D271" s="68"/>
      <c r="E271" s="68"/>
      <c r="F271" s="68"/>
      <c r="G271" s="68"/>
      <c r="H271" s="68"/>
      <c r="I271" s="68"/>
      <c r="J271" s="68"/>
      <c r="K271" s="68"/>
      <c r="L271" s="68"/>
    </row>
    <row r="272" spans="1:12" ht="12.5" x14ac:dyDescent="0.25">
      <c r="A272" s="14"/>
      <c r="C272" s="68"/>
      <c r="D272" s="68"/>
      <c r="E272" s="68"/>
      <c r="F272" s="68"/>
      <c r="G272" s="68"/>
      <c r="H272" s="68"/>
      <c r="I272" s="68"/>
      <c r="J272" s="68"/>
      <c r="K272" s="68"/>
      <c r="L272" s="68"/>
    </row>
    <row r="273" spans="1:12" ht="12.5" x14ac:dyDescent="0.25">
      <c r="A273" s="14"/>
      <c r="C273" s="68"/>
      <c r="D273" s="68"/>
      <c r="E273" s="68"/>
      <c r="F273" s="68"/>
      <c r="G273" s="68"/>
      <c r="H273" s="68"/>
      <c r="I273" s="68"/>
      <c r="J273" s="68"/>
      <c r="K273" s="68"/>
      <c r="L273" s="68"/>
    </row>
    <row r="274" spans="1:12" ht="12.5" x14ac:dyDescent="0.25">
      <c r="A274" s="14"/>
      <c r="C274" s="68"/>
      <c r="D274" s="68"/>
      <c r="E274" s="68"/>
      <c r="F274" s="68"/>
      <c r="G274" s="68"/>
      <c r="H274" s="68"/>
      <c r="I274" s="68"/>
      <c r="J274" s="68"/>
      <c r="K274" s="68"/>
      <c r="L274" s="68"/>
    </row>
    <row r="275" spans="1:12" ht="12.5" x14ac:dyDescent="0.25">
      <c r="A275" s="14"/>
      <c r="C275" s="68"/>
      <c r="D275" s="68"/>
      <c r="E275" s="68"/>
      <c r="F275" s="68"/>
      <c r="G275" s="68"/>
      <c r="H275" s="68"/>
      <c r="I275" s="68"/>
      <c r="J275" s="68"/>
      <c r="K275" s="68"/>
      <c r="L275" s="68"/>
    </row>
    <row r="276" spans="1:12" ht="12.5" x14ac:dyDescent="0.25">
      <c r="A276" s="14"/>
      <c r="C276" s="68"/>
      <c r="D276" s="68"/>
      <c r="E276" s="68"/>
      <c r="F276" s="68"/>
      <c r="G276" s="68"/>
      <c r="H276" s="68"/>
      <c r="I276" s="68"/>
      <c r="J276" s="68"/>
      <c r="K276" s="68"/>
      <c r="L276" s="68"/>
    </row>
    <row r="277" spans="1:12" ht="12.5" x14ac:dyDescent="0.25">
      <c r="A277" s="14"/>
      <c r="C277" s="68"/>
      <c r="D277" s="68"/>
      <c r="E277" s="68"/>
      <c r="F277" s="68"/>
      <c r="G277" s="68"/>
      <c r="H277" s="68"/>
      <c r="I277" s="68"/>
      <c r="J277" s="68"/>
      <c r="K277" s="68"/>
      <c r="L277" s="68"/>
    </row>
    <row r="278" spans="1:12" ht="12.5" x14ac:dyDescent="0.25">
      <c r="A278" s="14"/>
      <c r="C278" s="68"/>
      <c r="D278" s="68"/>
      <c r="E278" s="68"/>
      <c r="F278" s="68"/>
      <c r="G278" s="68"/>
      <c r="H278" s="68"/>
      <c r="I278" s="68"/>
      <c r="J278" s="68"/>
      <c r="K278" s="68"/>
      <c r="L278" s="68"/>
    </row>
    <row r="279" spans="1:12" ht="12.5" x14ac:dyDescent="0.25">
      <c r="A279" s="14"/>
      <c r="C279" s="68"/>
      <c r="D279" s="68"/>
      <c r="E279" s="68"/>
      <c r="F279" s="68"/>
      <c r="G279" s="68"/>
      <c r="H279" s="68"/>
      <c r="I279" s="68"/>
      <c r="J279" s="68"/>
      <c r="K279" s="68"/>
      <c r="L279" s="68"/>
    </row>
    <row r="280" spans="1:12" ht="12.5" x14ac:dyDescent="0.25">
      <c r="A280" s="14"/>
      <c r="C280" s="68"/>
      <c r="D280" s="68"/>
      <c r="E280" s="68"/>
      <c r="F280" s="68"/>
      <c r="G280" s="68"/>
      <c r="H280" s="68"/>
      <c r="I280" s="68"/>
      <c r="J280" s="68"/>
      <c r="K280" s="68"/>
      <c r="L280" s="68"/>
    </row>
    <row r="281" spans="1:12" ht="12.5" x14ac:dyDescent="0.25">
      <c r="A281" s="14"/>
      <c r="C281" s="68"/>
      <c r="D281" s="68"/>
      <c r="E281" s="68"/>
      <c r="F281" s="68"/>
      <c r="G281" s="68"/>
      <c r="H281" s="68"/>
      <c r="I281" s="68"/>
      <c r="J281" s="68"/>
      <c r="K281" s="68"/>
      <c r="L281" s="68"/>
    </row>
    <row r="282" spans="1:12" ht="12.5" x14ac:dyDescent="0.25">
      <c r="A282" s="14"/>
      <c r="C282" s="68"/>
      <c r="D282" s="68"/>
      <c r="E282" s="68"/>
      <c r="F282" s="68"/>
      <c r="G282" s="68"/>
      <c r="H282" s="68"/>
      <c r="I282" s="68"/>
      <c r="J282" s="68"/>
      <c r="K282" s="68"/>
      <c r="L282" s="68"/>
    </row>
    <row r="283" spans="1:12" ht="12.5" x14ac:dyDescent="0.25">
      <c r="A283" s="14"/>
      <c r="C283" s="68"/>
      <c r="D283" s="68"/>
      <c r="E283" s="68"/>
      <c r="F283" s="68"/>
      <c r="G283" s="68"/>
      <c r="H283" s="68"/>
      <c r="I283" s="68"/>
      <c r="J283" s="68"/>
      <c r="K283" s="68"/>
      <c r="L283" s="68"/>
    </row>
    <row r="284" spans="1:12" ht="12.5" x14ac:dyDescent="0.25">
      <c r="A284" s="14"/>
      <c r="C284" s="68"/>
      <c r="D284" s="68"/>
      <c r="E284" s="68"/>
      <c r="F284" s="68"/>
      <c r="G284" s="68"/>
      <c r="H284" s="68"/>
      <c r="I284" s="68"/>
      <c r="J284" s="68"/>
      <c r="K284" s="68"/>
      <c r="L284" s="68"/>
    </row>
    <row r="285" spans="1:12" ht="12.5" x14ac:dyDescent="0.25">
      <c r="A285" s="14"/>
      <c r="C285" s="68"/>
      <c r="D285" s="68"/>
      <c r="E285" s="68"/>
      <c r="F285" s="68"/>
      <c r="G285" s="68"/>
      <c r="H285" s="68"/>
      <c r="I285" s="68"/>
      <c r="J285" s="68"/>
      <c r="K285" s="68"/>
      <c r="L285" s="68"/>
    </row>
    <row r="286" spans="1:12" ht="12.5" x14ac:dyDescent="0.25">
      <c r="A286" s="14"/>
      <c r="C286" s="68"/>
      <c r="D286" s="68"/>
      <c r="E286" s="68"/>
      <c r="F286" s="68"/>
      <c r="G286" s="68"/>
      <c r="H286" s="68"/>
      <c r="I286" s="68"/>
      <c r="J286" s="68"/>
      <c r="K286" s="68"/>
      <c r="L286" s="68"/>
    </row>
    <row r="287" spans="1:12" ht="12.5" x14ac:dyDescent="0.25">
      <c r="A287" s="14"/>
      <c r="C287" s="68"/>
      <c r="D287" s="68"/>
      <c r="E287" s="68"/>
      <c r="F287" s="68"/>
      <c r="G287" s="68"/>
      <c r="H287" s="68"/>
      <c r="I287" s="68"/>
      <c r="J287" s="68"/>
      <c r="K287" s="68"/>
      <c r="L287" s="68"/>
    </row>
    <row r="288" spans="1:12" ht="12.5" x14ac:dyDescent="0.25">
      <c r="A288" s="14"/>
      <c r="C288" s="68"/>
      <c r="D288" s="68"/>
      <c r="E288" s="68"/>
      <c r="F288" s="68"/>
      <c r="G288" s="68"/>
      <c r="H288" s="68"/>
      <c r="I288" s="68"/>
      <c r="J288" s="68"/>
      <c r="K288" s="68"/>
      <c r="L288" s="68"/>
    </row>
    <row r="289" spans="1:12" ht="12.5" x14ac:dyDescent="0.25">
      <c r="A289" s="14"/>
      <c r="C289" s="68"/>
      <c r="D289" s="68"/>
      <c r="E289" s="68"/>
      <c r="F289" s="68"/>
      <c r="G289" s="68"/>
      <c r="H289" s="68"/>
      <c r="I289" s="68"/>
      <c r="J289" s="68"/>
      <c r="K289" s="68"/>
      <c r="L289" s="68"/>
    </row>
    <row r="290" spans="1:12" ht="12.5" x14ac:dyDescent="0.25">
      <c r="A290" s="14"/>
      <c r="C290" s="68"/>
      <c r="D290" s="68"/>
      <c r="E290" s="68"/>
      <c r="F290" s="68"/>
      <c r="G290" s="68"/>
      <c r="H290" s="68"/>
      <c r="I290" s="68"/>
      <c r="J290" s="68"/>
      <c r="K290" s="68"/>
      <c r="L290" s="68"/>
    </row>
    <row r="291" spans="1:12" ht="12.5" x14ac:dyDescent="0.25">
      <c r="A291" s="14"/>
      <c r="C291" s="68"/>
      <c r="D291" s="68"/>
      <c r="E291" s="68"/>
      <c r="F291" s="68"/>
      <c r="G291" s="68"/>
      <c r="H291" s="68"/>
      <c r="I291" s="68"/>
      <c r="J291" s="68"/>
      <c r="K291" s="68"/>
      <c r="L291" s="68"/>
    </row>
    <row r="292" spans="1:12" ht="12.5" x14ac:dyDescent="0.25">
      <c r="A292" s="14"/>
      <c r="C292" s="68"/>
      <c r="D292" s="68"/>
      <c r="E292" s="68"/>
      <c r="F292" s="68"/>
      <c r="G292" s="68"/>
      <c r="H292" s="68"/>
      <c r="I292" s="68"/>
      <c r="J292" s="68"/>
      <c r="K292" s="68"/>
      <c r="L292" s="68"/>
    </row>
    <row r="293" spans="1:12" ht="12.5" x14ac:dyDescent="0.25">
      <c r="A293" s="14"/>
      <c r="C293" s="68"/>
      <c r="D293" s="68"/>
      <c r="E293" s="68"/>
      <c r="F293" s="68"/>
      <c r="G293" s="68"/>
      <c r="H293" s="68"/>
      <c r="I293" s="68"/>
      <c r="J293" s="68"/>
      <c r="K293" s="68"/>
      <c r="L293" s="68"/>
    </row>
    <row r="294" spans="1:12" ht="12.5" x14ac:dyDescent="0.25">
      <c r="A294" s="14"/>
      <c r="C294" s="68"/>
      <c r="D294" s="68"/>
      <c r="E294" s="68"/>
      <c r="F294" s="68"/>
      <c r="G294" s="68"/>
      <c r="H294" s="68"/>
      <c r="I294" s="68"/>
      <c r="J294" s="68"/>
      <c r="K294" s="68"/>
      <c r="L294" s="68"/>
    </row>
    <row r="295" spans="1:12" ht="12.5" x14ac:dyDescent="0.25">
      <c r="A295" s="14"/>
      <c r="C295" s="68"/>
      <c r="D295" s="68"/>
      <c r="E295" s="68"/>
      <c r="F295" s="68"/>
      <c r="G295" s="68"/>
      <c r="H295" s="68"/>
      <c r="I295" s="68"/>
      <c r="J295" s="68"/>
      <c r="K295" s="68"/>
      <c r="L295" s="68"/>
    </row>
    <row r="296" spans="1:12" ht="12.5" x14ac:dyDescent="0.25">
      <c r="A296" s="14"/>
      <c r="C296" s="68"/>
      <c r="D296" s="68"/>
      <c r="E296" s="68"/>
      <c r="F296" s="68"/>
      <c r="G296" s="68"/>
      <c r="H296" s="68"/>
      <c r="I296" s="68"/>
      <c r="J296" s="68"/>
      <c r="K296" s="68"/>
      <c r="L296" s="68"/>
    </row>
    <row r="297" spans="1:12" ht="12.5" x14ac:dyDescent="0.25">
      <c r="A297" s="14"/>
      <c r="C297" s="68"/>
      <c r="D297" s="68"/>
      <c r="E297" s="68"/>
      <c r="F297" s="68"/>
      <c r="G297" s="68"/>
      <c r="H297" s="68"/>
      <c r="I297" s="68"/>
      <c r="J297" s="68"/>
      <c r="K297" s="68"/>
      <c r="L297" s="68"/>
    </row>
    <row r="298" spans="1:12" ht="12.5" x14ac:dyDescent="0.25">
      <c r="A298" s="14"/>
      <c r="C298" s="68"/>
      <c r="D298" s="68"/>
      <c r="E298" s="68"/>
      <c r="F298" s="68"/>
      <c r="G298" s="68"/>
      <c r="H298" s="68"/>
      <c r="I298" s="68"/>
      <c r="J298" s="68"/>
      <c r="K298" s="68"/>
      <c r="L298" s="68"/>
    </row>
    <row r="299" spans="1:12" ht="12.5" x14ac:dyDescent="0.25">
      <c r="A299" s="14"/>
      <c r="C299" s="68"/>
      <c r="D299" s="68"/>
      <c r="E299" s="68"/>
      <c r="F299" s="68"/>
      <c r="G299" s="68"/>
      <c r="H299" s="68"/>
      <c r="I299" s="68"/>
      <c r="J299" s="68"/>
      <c r="K299" s="68"/>
      <c r="L299" s="68"/>
    </row>
    <row r="300" spans="1:12" ht="12.5" x14ac:dyDescent="0.25">
      <c r="A300" s="14"/>
      <c r="C300" s="68"/>
      <c r="D300" s="68"/>
      <c r="E300" s="68"/>
      <c r="F300" s="68"/>
      <c r="G300" s="68"/>
      <c r="H300" s="68"/>
      <c r="I300" s="68"/>
      <c r="J300" s="68"/>
      <c r="K300" s="68"/>
      <c r="L300" s="68"/>
    </row>
    <row r="301" spans="1:12" ht="12.5" x14ac:dyDescent="0.25">
      <c r="A301" s="14"/>
      <c r="C301" s="68"/>
      <c r="D301" s="68"/>
      <c r="E301" s="68"/>
      <c r="F301" s="68"/>
      <c r="G301" s="68"/>
      <c r="H301" s="68"/>
      <c r="I301" s="68"/>
      <c r="J301" s="68"/>
      <c r="K301" s="68"/>
      <c r="L301" s="68"/>
    </row>
    <row r="302" spans="1:12" ht="12.5" x14ac:dyDescent="0.25">
      <c r="A302" s="14"/>
      <c r="C302" s="68"/>
      <c r="D302" s="68"/>
      <c r="E302" s="68"/>
      <c r="F302" s="68"/>
      <c r="G302" s="68"/>
      <c r="H302" s="68"/>
      <c r="I302" s="68"/>
      <c r="J302" s="68"/>
      <c r="K302" s="68"/>
      <c r="L302" s="68"/>
    </row>
    <row r="303" spans="1:12" ht="12.5" x14ac:dyDescent="0.25">
      <c r="A303" s="14"/>
      <c r="C303" s="68"/>
      <c r="D303" s="68"/>
      <c r="E303" s="68"/>
      <c r="F303" s="68"/>
      <c r="G303" s="68"/>
      <c r="H303" s="68"/>
      <c r="I303" s="68"/>
      <c r="J303" s="68"/>
      <c r="K303" s="68"/>
      <c r="L303" s="68"/>
    </row>
    <row r="304" spans="1:12" ht="12.5" x14ac:dyDescent="0.25">
      <c r="A304" s="14"/>
      <c r="C304" s="68"/>
      <c r="D304" s="68"/>
      <c r="E304" s="68"/>
      <c r="F304" s="68"/>
      <c r="G304" s="68"/>
      <c r="H304" s="68"/>
      <c r="I304" s="68"/>
      <c r="J304" s="68"/>
      <c r="K304" s="68"/>
      <c r="L304" s="68"/>
    </row>
    <row r="305" spans="1:12" ht="12.5" x14ac:dyDescent="0.25">
      <c r="A305" s="14"/>
      <c r="C305" s="68"/>
      <c r="D305" s="68"/>
      <c r="E305" s="68"/>
      <c r="F305" s="68"/>
      <c r="G305" s="68"/>
      <c r="H305" s="68"/>
      <c r="I305" s="68"/>
      <c r="J305" s="68"/>
      <c r="K305" s="68"/>
      <c r="L305" s="68"/>
    </row>
    <row r="306" spans="1:12" ht="12.5" x14ac:dyDescent="0.25">
      <c r="A306" s="14"/>
      <c r="C306" s="68"/>
      <c r="D306" s="68"/>
      <c r="E306" s="68"/>
      <c r="F306" s="68"/>
      <c r="G306" s="68"/>
      <c r="H306" s="68"/>
      <c r="I306" s="68"/>
      <c r="J306" s="68"/>
      <c r="K306" s="68"/>
      <c r="L306" s="68"/>
    </row>
    <row r="307" spans="1:12" ht="12.5" x14ac:dyDescent="0.25">
      <c r="A307" s="14"/>
      <c r="C307" s="68"/>
      <c r="D307" s="68"/>
      <c r="E307" s="68"/>
      <c r="F307" s="68"/>
      <c r="G307" s="68"/>
      <c r="H307" s="68"/>
      <c r="I307" s="68"/>
      <c r="J307" s="68"/>
      <c r="K307" s="68"/>
      <c r="L307" s="68"/>
    </row>
    <row r="308" spans="1:12" ht="12.5" x14ac:dyDescent="0.25">
      <c r="A308" s="14"/>
      <c r="C308" s="68"/>
      <c r="D308" s="68"/>
      <c r="E308" s="68"/>
      <c r="F308" s="68"/>
      <c r="G308" s="68"/>
      <c r="H308" s="68"/>
      <c r="I308" s="68"/>
      <c r="J308" s="68"/>
      <c r="K308" s="68"/>
      <c r="L308" s="68"/>
    </row>
    <row r="309" spans="1:12" ht="12.5" x14ac:dyDescent="0.25">
      <c r="A309" s="14"/>
      <c r="C309" s="68"/>
      <c r="D309" s="68"/>
      <c r="E309" s="68"/>
      <c r="F309" s="68"/>
      <c r="G309" s="68"/>
      <c r="H309" s="68"/>
      <c r="I309" s="68"/>
      <c r="J309" s="68"/>
      <c r="K309" s="68"/>
      <c r="L309" s="68"/>
    </row>
    <row r="310" spans="1:12" ht="12.5" x14ac:dyDescent="0.25">
      <c r="A310" s="14"/>
      <c r="C310" s="68"/>
      <c r="D310" s="68"/>
      <c r="E310" s="68"/>
      <c r="F310" s="68"/>
      <c r="G310" s="68"/>
      <c r="H310" s="68"/>
      <c r="I310" s="68"/>
      <c r="J310" s="68"/>
      <c r="K310" s="68"/>
      <c r="L310" s="68"/>
    </row>
    <row r="311" spans="1:12" ht="12.5" x14ac:dyDescent="0.25">
      <c r="A311" s="14"/>
      <c r="C311" s="68"/>
      <c r="D311" s="68"/>
      <c r="E311" s="68"/>
      <c r="F311" s="68"/>
      <c r="G311" s="68"/>
      <c r="H311" s="68"/>
      <c r="I311" s="68"/>
      <c r="J311" s="68"/>
      <c r="K311" s="68"/>
      <c r="L311" s="68"/>
    </row>
    <row r="312" spans="1:12" ht="12.5" x14ac:dyDescent="0.25">
      <c r="A312" s="14"/>
      <c r="C312" s="68"/>
      <c r="D312" s="68"/>
      <c r="E312" s="68"/>
      <c r="F312" s="68"/>
      <c r="G312" s="68"/>
      <c r="H312" s="68"/>
      <c r="I312" s="68"/>
      <c r="J312" s="68"/>
      <c r="K312" s="68"/>
      <c r="L312" s="68"/>
    </row>
    <row r="313" spans="1:12" ht="12.5" x14ac:dyDescent="0.25">
      <c r="A313" s="14"/>
      <c r="C313" s="68"/>
      <c r="D313" s="68"/>
      <c r="E313" s="68"/>
      <c r="F313" s="68"/>
      <c r="G313" s="68"/>
      <c r="H313" s="68"/>
      <c r="I313" s="68"/>
      <c r="J313" s="68"/>
      <c r="K313" s="68"/>
      <c r="L313" s="68"/>
    </row>
    <row r="314" spans="1:12" ht="12.5" x14ac:dyDescent="0.25">
      <c r="A314" s="14"/>
      <c r="C314" s="68"/>
      <c r="D314" s="68"/>
      <c r="E314" s="68"/>
      <c r="F314" s="68"/>
      <c r="G314" s="68"/>
      <c r="H314" s="68"/>
      <c r="I314" s="68"/>
      <c r="J314" s="68"/>
      <c r="K314" s="68"/>
      <c r="L314" s="68"/>
    </row>
    <row r="315" spans="1:12" ht="12.5" x14ac:dyDescent="0.25">
      <c r="A315" s="14"/>
      <c r="C315" s="68"/>
      <c r="D315" s="68"/>
      <c r="E315" s="68"/>
      <c r="F315" s="68"/>
      <c r="G315" s="68"/>
      <c r="H315" s="68"/>
      <c r="I315" s="68"/>
      <c r="J315" s="68"/>
      <c r="K315" s="68"/>
      <c r="L315" s="68"/>
    </row>
    <row r="316" spans="1:12" ht="12.5" x14ac:dyDescent="0.25">
      <c r="A316" s="14"/>
      <c r="C316" s="68"/>
      <c r="D316" s="68"/>
      <c r="E316" s="68"/>
      <c r="F316" s="68"/>
      <c r="G316" s="68"/>
      <c r="H316" s="68"/>
      <c r="I316" s="68"/>
      <c r="J316" s="68"/>
      <c r="K316" s="68"/>
      <c r="L316" s="68"/>
    </row>
    <row r="317" spans="1:12" ht="12.5" x14ac:dyDescent="0.25">
      <c r="A317" s="14"/>
      <c r="C317" s="68"/>
      <c r="D317" s="68"/>
      <c r="E317" s="68"/>
      <c r="F317" s="68"/>
      <c r="G317" s="68"/>
      <c r="H317" s="68"/>
      <c r="I317" s="68"/>
      <c r="J317" s="68"/>
      <c r="K317" s="68"/>
      <c r="L317" s="68"/>
    </row>
    <row r="318" spans="1:12" ht="12.5" x14ac:dyDescent="0.25">
      <c r="A318" s="14"/>
      <c r="C318" s="68"/>
      <c r="D318" s="68"/>
      <c r="E318" s="68"/>
      <c r="F318" s="68"/>
      <c r="G318" s="68"/>
      <c r="H318" s="68"/>
      <c r="I318" s="68"/>
      <c r="J318" s="68"/>
      <c r="K318" s="68"/>
      <c r="L318" s="68"/>
    </row>
    <row r="319" spans="1:12" ht="12.5" x14ac:dyDescent="0.25">
      <c r="A319" s="14"/>
      <c r="C319" s="68"/>
      <c r="D319" s="68"/>
      <c r="E319" s="68"/>
      <c r="F319" s="68"/>
      <c r="G319" s="68"/>
      <c r="H319" s="68"/>
      <c r="I319" s="68"/>
      <c r="J319" s="68"/>
      <c r="K319" s="68"/>
      <c r="L319" s="68"/>
    </row>
    <row r="320" spans="1:12" ht="12.5" x14ac:dyDescent="0.25">
      <c r="A320" s="14"/>
      <c r="C320" s="68"/>
      <c r="D320" s="68"/>
      <c r="E320" s="68"/>
      <c r="F320" s="68"/>
      <c r="G320" s="68"/>
      <c r="H320" s="68"/>
      <c r="I320" s="68"/>
      <c r="J320" s="68"/>
      <c r="K320" s="68"/>
      <c r="L320" s="68"/>
    </row>
    <row r="321" spans="1:12" ht="12.5" x14ac:dyDescent="0.25">
      <c r="A321" s="14"/>
      <c r="C321" s="68"/>
      <c r="D321" s="68"/>
      <c r="E321" s="68"/>
      <c r="F321" s="68"/>
      <c r="G321" s="68"/>
      <c r="H321" s="68"/>
      <c r="I321" s="68"/>
      <c r="J321" s="68"/>
      <c r="K321" s="68"/>
      <c r="L321" s="68"/>
    </row>
    <row r="322" spans="1:12" ht="12.5" x14ac:dyDescent="0.25">
      <c r="A322" s="14"/>
      <c r="C322" s="68"/>
      <c r="D322" s="68"/>
      <c r="E322" s="68"/>
      <c r="F322" s="68"/>
      <c r="G322" s="68"/>
      <c r="H322" s="68"/>
      <c r="I322" s="68"/>
      <c r="J322" s="68"/>
      <c r="K322" s="68"/>
      <c r="L322" s="68"/>
    </row>
    <row r="323" spans="1:12" ht="12.5" x14ac:dyDescent="0.25">
      <c r="A323" s="14"/>
      <c r="C323" s="68"/>
      <c r="D323" s="68"/>
      <c r="E323" s="68"/>
      <c r="F323" s="68"/>
      <c r="G323" s="68"/>
      <c r="H323" s="68"/>
      <c r="I323" s="68"/>
      <c r="J323" s="68"/>
      <c r="K323" s="68"/>
      <c r="L323" s="68"/>
    </row>
    <row r="324" spans="1:12" ht="12.5" x14ac:dyDescent="0.25">
      <c r="A324" s="14"/>
      <c r="C324" s="68"/>
      <c r="D324" s="68"/>
      <c r="E324" s="68"/>
      <c r="F324" s="68"/>
      <c r="G324" s="68"/>
      <c r="H324" s="68"/>
      <c r="I324" s="68"/>
      <c r="J324" s="68"/>
      <c r="K324" s="68"/>
      <c r="L324" s="68"/>
    </row>
    <row r="325" spans="1:12" ht="12.5" x14ac:dyDescent="0.25">
      <c r="A325" s="14"/>
      <c r="C325" s="68"/>
      <c r="D325" s="68"/>
      <c r="E325" s="68"/>
      <c r="F325" s="68"/>
      <c r="G325" s="68"/>
      <c r="H325" s="68"/>
      <c r="I325" s="68"/>
      <c r="J325" s="68"/>
      <c r="K325" s="68"/>
      <c r="L325" s="68"/>
    </row>
    <row r="326" spans="1:12" ht="12.5" x14ac:dyDescent="0.25">
      <c r="A326" s="14"/>
      <c r="C326" s="68"/>
      <c r="D326" s="68"/>
      <c r="E326" s="68"/>
      <c r="F326" s="68"/>
      <c r="G326" s="68"/>
      <c r="H326" s="68"/>
      <c r="I326" s="68"/>
      <c r="J326" s="68"/>
      <c r="K326" s="68"/>
      <c r="L326" s="68"/>
    </row>
    <row r="327" spans="1:12" ht="12.5" x14ac:dyDescent="0.25">
      <c r="A327" s="14"/>
      <c r="C327" s="68"/>
      <c r="D327" s="68"/>
      <c r="E327" s="68"/>
      <c r="F327" s="68"/>
      <c r="G327" s="68"/>
      <c r="H327" s="68"/>
      <c r="I327" s="68"/>
      <c r="J327" s="68"/>
      <c r="K327" s="68"/>
      <c r="L327" s="68"/>
    </row>
    <row r="328" spans="1:12" ht="12.5" x14ac:dyDescent="0.25">
      <c r="A328" s="14"/>
      <c r="C328" s="68"/>
      <c r="D328" s="68"/>
      <c r="E328" s="68"/>
      <c r="F328" s="68"/>
      <c r="G328" s="68"/>
      <c r="H328" s="68"/>
      <c r="I328" s="68"/>
      <c r="J328" s="68"/>
      <c r="K328" s="68"/>
      <c r="L328" s="68"/>
    </row>
    <row r="329" spans="1:12" ht="12.5" x14ac:dyDescent="0.25">
      <c r="A329" s="14"/>
      <c r="C329" s="68"/>
      <c r="D329" s="68"/>
      <c r="E329" s="68"/>
      <c r="F329" s="68"/>
      <c r="G329" s="68"/>
      <c r="H329" s="68"/>
      <c r="I329" s="68"/>
      <c r="J329" s="68"/>
      <c r="K329" s="68"/>
      <c r="L329" s="68"/>
    </row>
    <row r="330" spans="1:12" ht="12.5" x14ac:dyDescent="0.25">
      <c r="A330" s="14"/>
      <c r="C330" s="68"/>
      <c r="D330" s="68"/>
      <c r="E330" s="68"/>
      <c r="F330" s="68"/>
      <c r="G330" s="68"/>
      <c r="H330" s="68"/>
      <c r="I330" s="68"/>
      <c r="J330" s="68"/>
      <c r="K330" s="68"/>
      <c r="L330" s="68"/>
    </row>
    <row r="331" spans="1:12" ht="12.5" x14ac:dyDescent="0.25">
      <c r="A331" s="14"/>
      <c r="C331" s="68"/>
      <c r="D331" s="68"/>
      <c r="E331" s="68"/>
      <c r="F331" s="68"/>
      <c r="G331" s="68"/>
      <c r="H331" s="68"/>
      <c r="I331" s="68"/>
      <c r="J331" s="68"/>
      <c r="K331" s="68"/>
      <c r="L331" s="68"/>
    </row>
    <row r="332" spans="1:12" ht="12.5" x14ac:dyDescent="0.25">
      <c r="A332" s="14"/>
      <c r="C332" s="68"/>
      <c r="D332" s="68"/>
      <c r="E332" s="68"/>
      <c r="F332" s="68"/>
      <c r="G332" s="68"/>
      <c r="H332" s="68"/>
      <c r="I332" s="68"/>
      <c r="J332" s="68"/>
      <c r="K332" s="68"/>
      <c r="L332" s="68"/>
    </row>
    <row r="333" spans="1:12" ht="12.5" x14ac:dyDescent="0.25">
      <c r="A333" s="14"/>
      <c r="C333" s="68"/>
      <c r="D333" s="68"/>
      <c r="E333" s="68"/>
      <c r="F333" s="68"/>
      <c r="G333" s="68"/>
      <c r="H333" s="68"/>
      <c r="I333" s="68"/>
      <c r="J333" s="68"/>
      <c r="K333" s="68"/>
      <c r="L333" s="68"/>
    </row>
    <row r="334" spans="1:12" ht="12.5" x14ac:dyDescent="0.25">
      <c r="A334" s="14"/>
      <c r="C334" s="68"/>
      <c r="D334" s="68"/>
      <c r="E334" s="68"/>
      <c r="F334" s="68"/>
      <c r="G334" s="68"/>
      <c r="H334" s="68"/>
      <c r="I334" s="68"/>
      <c r="J334" s="68"/>
      <c r="K334" s="68"/>
      <c r="L334" s="68"/>
    </row>
    <row r="335" spans="1:12" ht="12.5" x14ac:dyDescent="0.25">
      <c r="A335" s="14"/>
      <c r="C335" s="68"/>
      <c r="D335" s="68"/>
      <c r="E335" s="68"/>
      <c r="F335" s="68"/>
      <c r="G335" s="68"/>
      <c r="H335" s="68"/>
      <c r="I335" s="68"/>
      <c r="J335" s="68"/>
      <c r="K335" s="68"/>
      <c r="L335" s="68"/>
    </row>
    <row r="336" spans="1:12" ht="12.5" x14ac:dyDescent="0.25">
      <c r="A336" s="14"/>
      <c r="C336" s="68"/>
      <c r="D336" s="68"/>
      <c r="E336" s="68"/>
      <c r="F336" s="68"/>
      <c r="G336" s="68"/>
      <c r="H336" s="68"/>
      <c r="I336" s="68"/>
      <c r="J336" s="68"/>
      <c r="K336" s="68"/>
      <c r="L336" s="68"/>
    </row>
    <row r="337" spans="1:12" ht="12.5" x14ac:dyDescent="0.25">
      <c r="A337" s="14"/>
      <c r="C337" s="68"/>
      <c r="D337" s="68"/>
      <c r="E337" s="68"/>
      <c r="F337" s="68"/>
      <c r="G337" s="68"/>
      <c r="H337" s="68"/>
      <c r="I337" s="68"/>
      <c r="J337" s="68"/>
      <c r="K337" s="68"/>
      <c r="L337" s="68"/>
    </row>
    <row r="338" spans="1:12" ht="12.5" x14ac:dyDescent="0.25">
      <c r="A338" s="14"/>
      <c r="C338" s="68"/>
      <c r="D338" s="68"/>
      <c r="E338" s="68"/>
      <c r="F338" s="68"/>
      <c r="G338" s="68"/>
      <c r="H338" s="68"/>
      <c r="I338" s="68"/>
      <c r="J338" s="68"/>
      <c r="K338" s="68"/>
      <c r="L338" s="68"/>
    </row>
    <row r="339" spans="1:12" ht="12.5" x14ac:dyDescent="0.25">
      <c r="A339" s="14"/>
      <c r="C339" s="68"/>
      <c r="D339" s="68"/>
      <c r="E339" s="68"/>
      <c r="F339" s="68"/>
      <c r="G339" s="68"/>
      <c r="H339" s="68"/>
      <c r="I339" s="68"/>
      <c r="J339" s="68"/>
      <c r="K339" s="68"/>
      <c r="L339" s="68"/>
    </row>
    <row r="340" spans="1:12" ht="12.5" x14ac:dyDescent="0.25">
      <c r="A340" s="14"/>
      <c r="C340" s="68"/>
      <c r="D340" s="68"/>
      <c r="E340" s="68"/>
      <c r="F340" s="68"/>
      <c r="G340" s="68"/>
      <c r="H340" s="68"/>
      <c r="I340" s="68"/>
      <c r="J340" s="68"/>
      <c r="K340" s="68"/>
      <c r="L340" s="68"/>
    </row>
    <row r="341" spans="1:12" ht="12.5" x14ac:dyDescent="0.25">
      <c r="A341" s="14"/>
      <c r="C341" s="68"/>
      <c r="D341" s="68"/>
      <c r="E341" s="68"/>
      <c r="F341" s="68"/>
      <c r="G341" s="68"/>
      <c r="H341" s="68"/>
      <c r="I341" s="68"/>
      <c r="J341" s="68"/>
      <c r="K341" s="68"/>
      <c r="L341" s="68"/>
    </row>
    <row r="342" spans="1:12" ht="12.5" x14ac:dyDescent="0.25">
      <c r="A342" s="14"/>
      <c r="C342" s="68"/>
      <c r="D342" s="68"/>
      <c r="E342" s="68"/>
      <c r="F342" s="68"/>
      <c r="G342" s="68"/>
      <c r="H342" s="68"/>
      <c r="I342" s="68"/>
      <c r="J342" s="68"/>
      <c r="K342" s="68"/>
      <c r="L342" s="68"/>
    </row>
    <row r="343" spans="1:12" ht="12.5" x14ac:dyDescent="0.25">
      <c r="A343" s="14"/>
      <c r="C343" s="68"/>
      <c r="D343" s="68"/>
      <c r="E343" s="68"/>
      <c r="F343" s="68"/>
      <c r="G343" s="68"/>
      <c r="H343" s="68"/>
      <c r="I343" s="68"/>
      <c r="J343" s="68"/>
      <c r="K343" s="68"/>
      <c r="L343" s="68"/>
    </row>
    <row r="344" spans="1:12" ht="12.5" x14ac:dyDescent="0.25">
      <c r="A344" s="14"/>
      <c r="C344" s="68"/>
      <c r="D344" s="68"/>
      <c r="E344" s="68"/>
      <c r="F344" s="68"/>
      <c r="G344" s="68"/>
      <c r="H344" s="68"/>
      <c r="I344" s="68"/>
      <c r="J344" s="68"/>
      <c r="K344" s="68"/>
      <c r="L344" s="68"/>
    </row>
    <row r="345" spans="1:12" ht="12.5" x14ac:dyDescent="0.25">
      <c r="A345" s="14"/>
      <c r="C345" s="68"/>
      <c r="D345" s="68"/>
      <c r="E345" s="68"/>
      <c r="F345" s="68"/>
      <c r="G345" s="68"/>
      <c r="H345" s="68"/>
      <c r="I345" s="68"/>
      <c r="J345" s="68"/>
      <c r="K345" s="68"/>
      <c r="L345" s="68"/>
    </row>
    <row r="346" spans="1:12" ht="12.5" x14ac:dyDescent="0.25">
      <c r="A346" s="14"/>
      <c r="C346" s="68"/>
      <c r="D346" s="68"/>
      <c r="E346" s="68"/>
      <c r="F346" s="68"/>
      <c r="G346" s="68"/>
      <c r="H346" s="68"/>
      <c r="I346" s="68"/>
      <c r="J346" s="68"/>
      <c r="K346" s="68"/>
      <c r="L346" s="68"/>
    </row>
    <row r="347" spans="1:12" ht="12.5" x14ac:dyDescent="0.25">
      <c r="A347" s="14"/>
      <c r="C347" s="68"/>
      <c r="D347" s="68"/>
      <c r="E347" s="68"/>
      <c r="F347" s="68"/>
      <c r="G347" s="68"/>
      <c r="H347" s="68"/>
      <c r="I347" s="68"/>
      <c r="J347" s="68"/>
      <c r="K347" s="68"/>
      <c r="L347" s="68"/>
    </row>
    <row r="348" spans="1:12" ht="12.5" x14ac:dyDescent="0.25">
      <c r="A348" s="14"/>
      <c r="C348" s="68"/>
      <c r="D348" s="68"/>
      <c r="E348" s="68"/>
      <c r="F348" s="68"/>
      <c r="G348" s="68"/>
      <c r="H348" s="68"/>
      <c r="I348" s="68"/>
      <c r="J348" s="68"/>
      <c r="K348" s="68"/>
      <c r="L348" s="68"/>
    </row>
    <row r="349" spans="1:12" ht="12.5" x14ac:dyDescent="0.25">
      <c r="A349" s="14"/>
      <c r="C349" s="68"/>
      <c r="D349" s="68"/>
      <c r="E349" s="68"/>
      <c r="F349" s="68"/>
      <c r="G349" s="68"/>
      <c r="H349" s="68"/>
      <c r="I349" s="68"/>
      <c r="J349" s="68"/>
      <c r="K349" s="68"/>
      <c r="L349" s="68"/>
    </row>
    <row r="350" spans="1:12" ht="12.5" x14ac:dyDescent="0.25">
      <c r="A350" s="14"/>
      <c r="C350" s="68"/>
      <c r="D350" s="68"/>
      <c r="E350" s="68"/>
      <c r="F350" s="68"/>
      <c r="G350" s="68"/>
      <c r="H350" s="68"/>
      <c r="I350" s="68"/>
      <c r="J350" s="68"/>
      <c r="K350" s="68"/>
      <c r="L350" s="68"/>
    </row>
    <row r="351" spans="1:12" ht="12.5" x14ac:dyDescent="0.25">
      <c r="A351" s="14"/>
      <c r="C351" s="68"/>
      <c r="D351" s="68"/>
      <c r="E351" s="68"/>
      <c r="F351" s="68"/>
      <c r="G351" s="68"/>
      <c r="H351" s="68"/>
      <c r="I351" s="68"/>
      <c r="J351" s="68"/>
      <c r="K351" s="68"/>
      <c r="L351" s="68"/>
    </row>
    <row r="352" spans="1:12" ht="12.5" x14ac:dyDescent="0.25">
      <c r="A352" s="14"/>
      <c r="C352" s="68"/>
      <c r="D352" s="68"/>
      <c r="E352" s="68"/>
      <c r="F352" s="68"/>
      <c r="G352" s="68"/>
      <c r="H352" s="68"/>
      <c r="I352" s="68"/>
      <c r="J352" s="68"/>
      <c r="K352" s="68"/>
      <c r="L352" s="68"/>
    </row>
    <row r="353" spans="1:12" ht="12.5" x14ac:dyDescent="0.25">
      <c r="A353" s="14"/>
      <c r="C353" s="68"/>
      <c r="D353" s="68"/>
      <c r="E353" s="68"/>
      <c r="F353" s="68"/>
      <c r="G353" s="68"/>
      <c r="H353" s="68"/>
      <c r="I353" s="68"/>
      <c r="J353" s="68"/>
      <c r="K353" s="68"/>
      <c r="L353" s="68"/>
    </row>
    <row r="354" spans="1:12" ht="12.5" x14ac:dyDescent="0.25">
      <c r="A354" s="14"/>
      <c r="C354" s="68"/>
      <c r="D354" s="68"/>
      <c r="E354" s="68"/>
      <c r="F354" s="68"/>
      <c r="G354" s="68"/>
      <c r="H354" s="68"/>
      <c r="I354" s="68"/>
      <c r="J354" s="68"/>
      <c r="K354" s="68"/>
      <c r="L354" s="68"/>
    </row>
    <row r="355" spans="1:12" ht="12.5" x14ac:dyDescent="0.25">
      <c r="A355" s="14"/>
      <c r="C355" s="68"/>
      <c r="D355" s="68"/>
      <c r="E355" s="68"/>
      <c r="F355" s="68"/>
      <c r="G355" s="68"/>
      <c r="H355" s="68"/>
      <c r="I355" s="68"/>
      <c r="J355" s="68"/>
      <c r="K355" s="68"/>
      <c r="L355" s="68"/>
    </row>
    <row r="356" spans="1:12" ht="12.5" x14ac:dyDescent="0.25">
      <c r="A356" s="14"/>
      <c r="C356" s="68"/>
      <c r="D356" s="68"/>
      <c r="E356" s="68"/>
      <c r="F356" s="68"/>
      <c r="G356" s="68"/>
      <c r="H356" s="68"/>
      <c r="I356" s="68"/>
      <c r="J356" s="68"/>
      <c r="K356" s="68"/>
      <c r="L356" s="68"/>
    </row>
    <row r="357" spans="1:12" ht="12.5" x14ac:dyDescent="0.25">
      <c r="A357" s="14"/>
      <c r="C357" s="68"/>
      <c r="D357" s="68"/>
      <c r="E357" s="68"/>
      <c r="F357" s="68"/>
      <c r="G357" s="68"/>
      <c r="H357" s="68"/>
      <c r="I357" s="68"/>
      <c r="J357" s="68"/>
      <c r="K357" s="68"/>
      <c r="L357" s="68"/>
    </row>
    <row r="358" spans="1:12" ht="12.5" x14ac:dyDescent="0.25">
      <c r="A358" s="14"/>
      <c r="C358" s="68"/>
      <c r="D358" s="68"/>
      <c r="E358" s="68"/>
      <c r="F358" s="68"/>
      <c r="G358" s="68"/>
      <c r="H358" s="68"/>
      <c r="I358" s="68"/>
      <c r="J358" s="68"/>
      <c r="K358" s="68"/>
      <c r="L358" s="68"/>
    </row>
    <row r="359" spans="1:12" ht="12.5" x14ac:dyDescent="0.25">
      <c r="A359" s="14"/>
      <c r="C359" s="68"/>
      <c r="D359" s="68"/>
      <c r="E359" s="68"/>
      <c r="F359" s="68"/>
      <c r="G359" s="68"/>
      <c r="H359" s="68"/>
      <c r="I359" s="68"/>
      <c r="J359" s="68"/>
      <c r="K359" s="68"/>
      <c r="L359" s="68"/>
    </row>
    <row r="360" spans="1:12" ht="12.5" x14ac:dyDescent="0.25">
      <c r="A360" s="14"/>
      <c r="C360" s="68"/>
      <c r="D360" s="68"/>
      <c r="E360" s="68"/>
      <c r="F360" s="68"/>
      <c r="G360" s="68"/>
      <c r="H360" s="68"/>
      <c r="I360" s="68"/>
      <c r="J360" s="68"/>
      <c r="K360" s="68"/>
      <c r="L360" s="68"/>
    </row>
    <row r="361" spans="1:12" ht="12.5" x14ac:dyDescent="0.25">
      <c r="A361" s="14"/>
      <c r="C361" s="68"/>
      <c r="D361" s="68"/>
      <c r="E361" s="68"/>
      <c r="F361" s="68"/>
      <c r="G361" s="68"/>
      <c r="H361" s="68"/>
      <c r="I361" s="68"/>
      <c r="J361" s="68"/>
      <c r="K361" s="68"/>
      <c r="L361" s="68"/>
    </row>
    <row r="362" spans="1:12" ht="12.5" x14ac:dyDescent="0.25">
      <c r="A362" s="14"/>
      <c r="C362" s="68"/>
      <c r="D362" s="68"/>
      <c r="E362" s="68"/>
      <c r="F362" s="68"/>
      <c r="G362" s="68"/>
      <c r="H362" s="68"/>
      <c r="I362" s="68"/>
      <c r="J362" s="68"/>
      <c r="K362" s="68"/>
      <c r="L362" s="68"/>
    </row>
    <row r="363" spans="1:12" ht="12.5" x14ac:dyDescent="0.25">
      <c r="A363" s="14"/>
      <c r="C363" s="68"/>
      <c r="D363" s="68"/>
      <c r="E363" s="68"/>
      <c r="F363" s="68"/>
      <c r="G363" s="68"/>
      <c r="H363" s="68"/>
      <c r="I363" s="68"/>
      <c r="J363" s="68"/>
      <c r="K363" s="68"/>
      <c r="L363" s="68"/>
    </row>
    <row r="364" spans="1:12" ht="12.5" x14ac:dyDescent="0.25">
      <c r="A364" s="14"/>
      <c r="C364" s="68"/>
      <c r="D364" s="68"/>
      <c r="E364" s="68"/>
      <c r="F364" s="68"/>
      <c r="G364" s="68"/>
      <c r="H364" s="68"/>
      <c r="I364" s="68"/>
      <c r="J364" s="68"/>
      <c r="K364" s="68"/>
      <c r="L364" s="68"/>
    </row>
    <row r="365" spans="1:12" ht="12.5" x14ac:dyDescent="0.25">
      <c r="A365" s="14"/>
      <c r="C365" s="68"/>
      <c r="D365" s="68"/>
      <c r="E365" s="68"/>
      <c r="F365" s="68"/>
      <c r="G365" s="68"/>
      <c r="H365" s="68"/>
      <c r="I365" s="68"/>
      <c r="J365" s="68"/>
      <c r="K365" s="68"/>
      <c r="L365" s="68"/>
    </row>
    <row r="366" spans="1:12" ht="12.5" x14ac:dyDescent="0.25">
      <c r="A366" s="14"/>
      <c r="C366" s="68"/>
      <c r="D366" s="68"/>
      <c r="E366" s="68"/>
      <c r="F366" s="68"/>
      <c r="G366" s="68"/>
      <c r="H366" s="68"/>
      <c r="I366" s="68"/>
      <c r="J366" s="68"/>
      <c r="K366" s="68"/>
      <c r="L366" s="68"/>
    </row>
    <row r="367" spans="1:12" ht="12.5" x14ac:dyDescent="0.25">
      <c r="A367" s="14"/>
      <c r="C367" s="68"/>
      <c r="D367" s="68"/>
      <c r="E367" s="68"/>
      <c r="F367" s="68"/>
      <c r="G367" s="68"/>
      <c r="H367" s="68"/>
      <c r="I367" s="68"/>
      <c r="J367" s="68"/>
      <c r="K367" s="68"/>
      <c r="L367" s="68"/>
    </row>
    <row r="368" spans="1:12" ht="12.5" x14ac:dyDescent="0.25">
      <c r="A368" s="14"/>
      <c r="C368" s="68"/>
      <c r="D368" s="68"/>
      <c r="E368" s="68"/>
      <c r="F368" s="68"/>
      <c r="G368" s="68"/>
      <c r="H368" s="68"/>
      <c r="I368" s="68"/>
      <c r="J368" s="68"/>
      <c r="K368" s="68"/>
      <c r="L368" s="68"/>
    </row>
    <row r="369" spans="1:12" ht="12.5" x14ac:dyDescent="0.25">
      <c r="A369" s="14"/>
      <c r="C369" s="68"/>
      <c r="D369" s="68"/>
      <c r="E369" s="68"/>
      <c r="F369" s="68"/>
      <c r="G369" s="68"/>
      <c r="H369" s="68"/>
      <c r="I369" s="68"/>
      <c r="J369" s="68"/>
      <c r="K369" s="68"/>
      <c r="L369" s="68"/>
    </row>
    <row r="370" spans="1:12" ht="12.5" x14ac:dyDescent="0.25">
      <c r="A370" s="14"/>
      <c r="C370" s="68"/>
      <c r="D370" s="68"/>
      <c r="E370" s="68"/>
      <c r="F370" s="68"/>
      <c r="G370" s="68"/>
      <c r="H370" s="68"/>
      <c r="I370" s="68"/>
      <c r="J370" s="68"/>
      <c r="K370" s="68"/>
      <c r="L370" s="68"/>
    </row>
    <row r="371" spans="1:12" ht="12.5" x14ac:dyDescent="0.25">
      <c r="A371" s="14"/>
      <c r="C371" s="68"/>
      <c r="D371" s="68"/>
      <c r="E371" s="68"/>
      <c r="F371" s="68"/>
      <c r="G371" s="68"/>
      <c r="H371" s="68"/>
      <c r="I371" s="68"/>
      <c r="J371" s="68"/>
      <c r="K371" s="68"/>
      <c r="L371" s="68"/>
    </row>
    <row r="372" spans="1:12" ht="12.5" x14ac:dyDescent="0.25">
      <c r="A372" s="14"/>
      <c r="C372" s="68"/>
      <c r="D372" s="68"/>
      <c r="E372" s="68"/>
      <c r="F372" s="68"/>
      <c r="G372" s="68"/>
      <c r="H372" s="68"/>
      <c r="I372" s="68"/>
      <c r="J372" s="68"/>
      <c r="K372" s="68"/>
      <c r="L372" s="68"/>
    </row>
    <row r="373" spans="1:12" ht="12.5" x14ac:dyDescent="0.25">
      <c r="A373" s="14"/>
      <c r="C373" s="68"/>
      <c r="D373" s="68"/>
      <c r="E373" s="68"/>
      <c r="F373" s="68"/>
      <c r="G373" s="68"/>
      <c r="H373" s="68"/>
      <c r="I373" s="68"/>
      <c r="J373" s="68"/>
      <c r="K373" s="68"/>
      <c r="L373" s="68"/>
    </row>
    <row r="374" spans="1:12" ht="12.5" x14ac:dyDescent="0.25">
      <c r="A374" s="14"/>
      <c r="C374" s="68"/>
      <c r="D374" s="68"/>
      <c r="E374" s="68"/>
      <c r="F374" s="68"/>
      <c r="G374" s="68"/>
      <c r="H374" s="68"/>
      <c r="I374" s="68"/>
      <c r="J374" s="68"/>
      <c r="K374" s="68"/>
      <c r="L374" s="68"/>
    </row>
    <row r="375" spans="1:12" ht="12.5" x14ac:dyDescent="0.25">
      <c r="A375" s="14"/>
      <c r="C375" s="68"/>
      <c r="D375" s="68"/>
      <c r="E375" s="68"/>
      <c r="F375" s="68"/>
      <c r="G375" s="68"/>
      <c r="H375" s="68"/>
      <c r="I375" s="68"/>
      <c r="J375" s="68"/>
      <c r="K375" s="68"/>
      <c r="L375" s="68"/>
    </row>
    <row r="376" spans="1:12" ht="12.5" x14ac:dyDescent="0.25">
      <c r="A376" s="14"/>
      <c r="C376" s="68"/>
      <c r="D376" s="68"/>
      <c r="E376" s="68"/>
      <c r="F376" s="68"/>
      <c r="G376" s="68"/>
      <c r="H376" s="68"/>
      <c r="I376" s="68"/>
      <c r="J376" s="68"/>
      <c r="K376" s="68"/>
      <c r="L376" s="68"/>
    </row>
    <row r="377" spans="1:12" ht="12.5" x14ac:dyDescent="0.25">
      <c r="A377" s="14"/>
      <c r="C377" s="68"/>
      <c r="D377" s="68"/>
      <c r="E377" s="68"/>
      <c r="F377" s="68"/>
      <c r="G377" s="68"/>
      <c r="H377" s="68"/>
      <c r="I377" s="68"/>
      <c r="J377" s="68"/>
      <c r="K377" s="68"/>
      <c r="L377" s="68"/>
    </row>
    <row r="378" spans="1:12" ht="12.5" x14ac:dyDescent="0.25">
      <c r="A378" s="14"/>
      <c r="C378" s="68"/>
      <c r="D378" s="68"/>
      <c r="E378" s="68"/>
      <c r="F378" s="68"/>
      <c r="G378" s="68"/>
      <c r="H378" s="68"/>
      <c r="I378" s="68"/>
      <c r="J378" s="68"/>
      <c r="K378" s="68"/>
      <c r="L378" s="68"/>
    </row>
    <row r="379" spans="1:12" ht="12.5" x14ac:dyDescent="0.25">
      <c r="A379" s="14"/>
      <c r="C379" s="68"/>
      <c r="D379" s="68"/>
      <c r="E379" s="68"/>
      <c r="F379" s="68"/>
      <c r="G379" s="68"/>
      <c r="H379" s="68"/>
      <c r="I379" s="68"/>
      <c r="J379" s="68"/>
      <c r="K379" s="68"/>
      <c r="L379" s="68"/>
    </row>
    <row r="380" spans="1:12" ht="12.5" x14ac:dyDescent="0.25">
      <c r="A380" s="14"/>
      <c r="C380" s="68"/>
      <c r="D380" s="68"/>
      <c r="E380" s="68"/>
      <c r="F380" s="68"/>
      <c r="G380" s="68"/>
      <c r="H380" s="68"/>
      <c r="I380" s="68"/>
      <c r="J380" s="68"/>
      <c r="K380" s="68"/>
      <c r="L380" s="68"/>
    </row>
    <row r="381" spans="1:12" ht="12.5" x14ac:dyDescent="0.25">
      <c r="A381" s="14"/>
      <c r="C381" s="68"/>
      <c r="D381" s="68"/>
      <c r="E381" s="68"/>
      <c r="F381" s="68"/>
      <c r="G381" s="68"/>
      <c r="H381" s="68"/>
      <c r="I381" s="68"/>
      <c r="J381" s="68"/>
      <c r="K381" s="68"/>
      <c r="L381" s="68"/>
    </row>
    <row r="382" spans="1:12" ht="12.5" x14ac:dyDescent="0.25">
      <c r="A382" s="14"/>
      <c r="C382" s="68"/>
      <c r="D382" s="68"/>
      <c r="E382" s="68"/>
      <c r="F382" s="68"/>
      <c r="G382" s="68"/>
      <c r="H382" s="68"/>
      <c r="I382" s="68"/>
      <c r="J382" s="68"/>
      <c r="K382" s="68"/>
      <c r="L382" s="68"/>
    </row>
    <row r="383" spans="1:12" ht="12.5" x14ac:dyDescent="0.25">
      <c r="A383" s="14"/>
      <c r="C383" s="68"/>
      <c r="D383" s="68"/>
      <c r="E383" s="68"/>
      <c r="F383" s="68"/>
      <c r="G383" s="68"/>
      <c r="H383" s="68"/>
      <c r="I383" s="68"/>
      <c r="J383" s="68"/>
      <c r="K383" s="68"/>
      <c r="L383" s="68"/>
    </row>
    <row r="384" spans="1:12" ht="12.5" x14ac:dyDescent="0.25">
      <c r="A384" s="14"/>
      <c r="C384" s="68"/>
      <c r="D384" s="68"/>
      <c r="E384" s="68"/>
      <c r="F384" s="68"/>
      <c r="G384" s="68"/>
      <c r="H384" s="68"/>
      <c r="I384" s="68"/>
      <c r="J384" s="68"/>
      <c r="K384" s="68"/>
      <c r="L384" s="68"/>
    </row>
    <row r="385" spans="1:12" ht="12.5" x14ac:dyDescent="0.25">
      <c r="A385" s="14"/>
      <c r="C385" s="68"/>
      <c r="D385" s="68"/>
      <c r="E385" s="68"/>
      <c r="F385" s="68"/>
      <c r="G385" s="68"/>
      <c r="H385" s="68"/>
      <c r="I385" s="68"/>
      <c r="J385" s="68"/>
      <c r="K385" s="68"/>
      <c r="L385" s="68"/>
    </row>
    <row r="386" spans="1:12" ht="12.5" x14ac:dyDescent="0.25">
      <c r="A386" s="14"/>
      <c r="C386" s="68"/>
      <c r="D386" s="68"/>
      <c r="E386" s="68"/>
      <c r="F386" s="68"/>
      <c r="G386" s="68"/>
      <c r="H386" s="68"/>
      <c r="I386" s="68"/>
      <c r="J386" s="68"/>
      <c r="K386" s="68"/>
      <c r="L386" s="68"/>
    </row>
    <row r="387" spans="1:12" ht="12.5" x14ac:dyDescent="0.25">
      <c r="A387" s="14"/>
      <c r="C387" s="68"/>
      <c r="D387" s="68"/>
      <c r="E387" s="68"/>
      <c r="F387" s="68"/>
      <c r="G387" s="68"/>
      <c r="H387" s="68"/>
      <c r="I387" s="68"/>
      <c r="J387" s="68"/>
      <c r="K387" s="68"/>
      <c r="L387" s="68"/>
    </row>
    <row r="388" spans="1:12" ht="12.5" x14ac:dyDescent="0.25">
      <c r="A388" s="14"/>
      <c r="C388" s="68"/>
      <c r="D388" s="68"/>
      <c r="E388" s="68"/>
      <c r="F388" s="68"/>
      <c r="G388" s="68"/>
      <c r="H388" s="68"/>
      <c r="I388" s="68"/>
      <c r="J388" s="68"/>
      <c r="K388" s="68"/>
      <c r="L388" s="68"/>
    </row>
    <row r="389" spans="1:12" ht="12.5" x14ac:dyDescent="0.25">
      <c r="A389" s="14"/>
      <c r="C389" s="68"/>
      <c r="D389" s="68"/>
      <c r="E389" s="68"/>
      <c r="F389" s="68"/>
      <c r="G389" s="68"/>
      <c r="H389" s="68"/>
      <c r="I389" s="68"/>
      <c r="J389" s="68"/>
      <c r="K389" s="68"/>
      <c r="L389" s="68"/>
    </row>
    <row r="390" spans="1:12" ht="12.5" x14ac:dyDescent="0.25">
      <c r="A390" s="14"/>
      <c r="C390" s="68"/>
      <c r="D390" s="68"/>
      <c r="E390" s="68"/>
      <c r="F390" s="68"/>
      <c r="G390" s="68"/>
      <c r="H390" s="68"/>
      <c r="I390" s="68"/>
      <c r="J390" s="68"/>
      <c r="K390" s="68"/>
      <c r="L390" s="68"/>
    </row>
    <row r="391" spans="1:12" ht="12.5" x14ac:dyDescent="0.25">
      <c r="A391" s="14"/>
      <c r="C391" s="68"/>
      <c r="D391" s="68"/>
      <c r="E391" s="68"/>
      <c r="F391" s="68"/>
      <c r="G391" s="68"/>
      <c r="H391" s="68"/>
      <c r="I391" s="68"/>
      <c r="J391" s="68"/>
      <c r="K391" s="68"/>
      <c r="L391" s="68"/>
    </row>
    <row r="392" spans="1:12" ht="12.5" x14ac:dyDescent="0.25">
      <c r="A392" s="14"/>
      <c r="C392" s="68"/>
      <c r="D392" s="68"/>
      <c r="E392" s="68"/>
      <c r="F392" s="68"/>
      <c r="G392" s="68"/>
      <c r="H392" s="68"/>
      <c r="I392" s="68"/>
      <c r="J392" s="68"/>
      <c r="K392" s="68"/>
      <c r="L392" s="68"/>
    </row>
    <row r="393" spans="1:12" ht="12.5" x14ac:dyDescent="0.25">
      <c r="A393" s="14"/>
      <c r="C393" s="68"/>
      <c r="D393" s="68"/>
      <c r="E393" s="68"/>
      <c r="F393" s="68"/>
      <c r="G393" s="68"/>
      <c r="H393" s="68"/>
      <c r="I393" s="68"/>
      <c r="J393" s="68"/>
      <c r="K393" s="68"/>
      <c r="L393" s="68"/>
    </row>
    <row r="394" spans="1:12" ht="12.5" x14ac:dyDescent="0.25">
      <c r="A394" s="14"/>
      <c r="C394" s="68"/>
      <c r="D394" s="68"/>
      <c r="E394" s="68"/>
      <c r="F394" s="68"/>
      <c r="G394" s="68"/>
      <c r="H394" s="68"/>
      <c r="I394" s="68"/>
      <c r="J394" s="68"/>
      <c r="K394" s="68"/>
      <c r="L394" s="68"/>
    </row>
    <row r="395" spans="1:12" ht="12.5" x14ac:dyDescent="0.25">
      <c r="A395" s="14"/>
      <c r="C395" s="68"/>
      <c r="D395" s="68"/>
      <c r="E395" s="68"/>
      <c r="F395" s="68"/>
      <c r="G395" s="68"/>
      <c r="H395" s="68"/>
      <c r="I395" s="68"/>
      <c r="J395" s="68"/>
      <c r="K395" s="68"/>
      <c r="L395" s="68"/>
    </row>
    <row r="396" spans="1:12" ht="12.5" x14ac:dyDescent="0.25">
      <c r="A396" s="14"/>
      <c r="C396" s="68"/>
      <c r="D396" s="68"/>
      <c r="E396" s="68"/>
      <c r="F396" s="68"/>
      <c r="G396" s="68"/>
      <c r="H396" s="68"/>
      <c r="I396" s="68"/>
      <c r="J396" s="68"/>
      <c r="K396" s="68"/>
      <c r="L396" s="68"/>
    </row>
    <row r="397" spans="1:12" ht="12.5" x14ac:dyDescent="0.25">
      <c r="A397" s="14"/>
      <c r="C397" s="68"/>
      <c r="D397" s="68"/>
      <c r="E397" s="68"/>
      <c r="F397" s="68"/>
      <c r="G397" s="68"/>
      <c r="H397" s="68"/>
      <c r="I397" s="68"/>
      <c r="J397" s="68"/>
      <c r="K397" s="68"/>
      <c r="L397" s="68"/>
    </row>
    <row r="398" spans="1:12" ht="12.5" x14ac:dyDescent="0.25">
      <c r="A398" s="14"/>
      <c r="C398" s="68"/>
      <c r="D398" s="68"/>
      <c r="E398" s="68"/>
      <c r="F398" s="68"/>
      <c r="G398" s="68"/>
      <c r="H398" s="68"/>
      <c r="I398" s="68"/>
      <c r="J398" s="68"/>
      <c r="K398" s="68"/>
      <c r="L398" s="68"/>
    </row>
    <row r="399" spans="1:12" ht="12.5" x14ac:dyDescent="0.25">
      <c r="A399" s="14"/>
      <c r="C399" s="68"/>
      <c r="D399" s="68"/>
      <c r="E399" s="68"/>
      <c r="F399" s="68"/>
      <c r="G399" s="68"/>
      <c r="H399" s="68"/>
      <c r="I399" s="68"/>
      <c r="J399" s="68"/>
      <c r="K399" s="68"/>
      <c r="L399" s="68"/>
    </row>
    <row r="400" spans="1:12" ht="12.5" x14ac:dyDescent="0.25">
      <c r="A400" s="14"/>
      <c r="C400" s="68"/>
      <c r="D400" s="68"/>
      <c r="E400" s="68"/>
      <c r="F400" s="68"/>
      <c r="G400" s="68"/>
      <c r="H400" s="68"/>
      <c r="I400" s="68"/>
      <c r="J400" s="68"/>
      <c r="K400" s="68"/>
      <c r="L400" s="68"/>
    </row>
    <row r="401" spans="1:12" ht="12.5" x14ac:dyDescent="0.25">
      <c r="A401" s="14"/>
      <c r="C401" s="68"/>
      <c r="D401" s="68"/>
      <c r="E401" s="68"/>
      <c r="F401" s="68"/>
      <c r="G401" s="68"/>
      <c r="H401" s="68"/>
      <c r="I401" s="68"/>
      <c r="J401" s="68"/>
      <c r="K401" s="68"/>
      <c r="L401" s="68"/>
    </row>
    <row r="402" spans="1:12" ht="12.5" x14ac:dyDescent="0.25">
      <c r="A402" s="14"/>
      <c r="C402" s="68"/>
      <c r="D402" s="68"/>
      <c r="E402" s="68"/>
      <c r="F402" s="68"/>
      <c r="G402" s="68"/>
      <c r="H402" s="68"/>
      <c r="I402" s="68"/>
      <c r="J402" s="68"/>
      <c r="K402" s="68"/>
      <c r="L402" s="68"/>
    </row>
    <row r="403" spans="1:12" ht="12.5" x14ac:dyDescent="0.25">
      <c r="A403" s="14"/>
      <c r="C403" s="68"/>
      <c r="D403" s="68"/>
      <c r="E403" s="68"/>
      <c r="F403" s="68"/>
      <c r="G403" s="68"/>
      <c r="H403" s="68"/>
      <c r="I403" s="68"/>
      <c r="J403" s="68"/>
      <c r="K403" s="68"/>
      <c r="L403" s="68"/>
    </row>
    <row r="404" spans="1:12" ht="12.5" x14ac:dyDescent="0.25">
      <c r="A404" s="14"/>
      <c r="C404" s="68"/>
      <c r="D404" s="68"/>
      <c r="E404" s="68"/>
      <c r="F404" s="68"/>
      <c r="G404" s="68"/>
      <c r="H404" s="68"/>
      <c r="I404" s="68"/>
      <c r="J404" s="68"/>
      <c r="K404" s="68"/>
      <c r="L404" s="68"/>
    </row>
    <row r="405" spans="1:12" ht="12.5" x14ac:dyDescent="0.25">
      <c r="A405" s="14"/>
      <c r="C405" s="68"/>
      <c r="D405" s="68"/>
      <c r="E405" s="68"/>
      <c r="F405" s="68"/>
      <c r="G405" s="68"/>
      <c r="H405" s="68"/>
      <c r="I405" s="68"/>
      <c r="J405" s="68"/>
      <c r="K405" s="68"/>
      <c r="L405" s="68"/>
    </row>
    <row r="406" spans="1:12" ht="12.5" x14ac:dyDescent="0.25">
      <c r="A406" s="14"/>
      <c r="C406" s="68"/>
      <c r="D406" s="68"/>
      <c r="E406" s="68"/>
      <c r="F406" s="68"/>
      <c r="G406" s="68"/>
      <c r="H406" s="68"/>
      <c r="I406" s="68"/>
      <c r="J406" s="68"/>
      <c r="K406" s="68"/>
      <c r="L406" s="68"/>
    </row>
    <row r="407" spans="1:12" ht="12.5" x14ac:dyDescent="0.25">
      <c r="A407" s="14"/>
      <c r="C407" s="68"/>
      <c r="D407" s="68"/>
      <c r="E407" s="68"/>
      <c r="F407" s="68"/>
      <c r="G407" s="68"/>
      <c r="H407" s="68"/>
      <c r="I407" s="68"/>
      <c r="J407" s="68"/>
      <c r="K407" s="68"/>
      <c r="L407" s="68"/>
    </row>
    <row r="408" spans="1:12" ht="12.5" x14ac:dyDescent="0.25">
      <c r="A408" s="14"/>
      <c r="C408" s="68"/>
      <c r="D408" s="68"/>
      <c r="E408" s="68"/>
      <c r="F408" s="68"/>
      <c r="G408" s="68"/>
      <c r="H408" s="68"/>
      <c r="I408" s="68"/>
      <c r="J408" s="68"/>
      <c r="K408" s="68"/>
      <c r="L408" s="68"/>
    </row>
    <row r="409" spans="1:12" ht="12.5" x14ac:dyDescent="0.25">
      <c r="A409" s="14"/>
      <c r="C409" s="68"/>
      <c r="D409" s="68"/>
      <c r="E409" s="68"/>
      <c r="F409" s="68"/>
      <c r="G409" s="68"/>
      <c r="H409" s="68"/>
      <c r="I409" s="68"/>
      <c r="J409" s="68"/>
      <c r="K409" s="68"/>
      <c r="L409" s="68"/>
    </row>
    <row r="410" spans="1:12" ht="12.5" x14ac:dyDescent="0.25">
      <c r="A410" s="14"/>
      <c r="C410" s="68"/>
      <c r="D410" s="68"/>
      <c r="E410" s="68"/>
      <c r="F410" s="68"/>
      <c r="G410" s="68"/>
      <c r="H410" s="68"/>
      <c r="I410" s="68"/>
      <c r="J410" s="68"/>
      <c r="K410" s="68"/>
      <c r="L410" s="68"/>
    </row>
    <row r="411" spans="1:12" ht="12.5" x14ac:dyDescent="0.25">
      <c r="A411" s="14"/>
      <c r="C411" s="68"/>
      <c r="D411" s="68"/>
      <c r="E411" s="68"/>
      <c r="F411" s="68"/>
      <c r="G411" s="68"/>
      <c r="H411" s="68"/>
      <c r="I411" s="68"/>
      <c r="J411" s="68"/>
      <c r="K411" s="68"/>
      <c r="L411" s="68"/>
    </row>
    <row r="412" spans="1:12" ht="12.5" x14ac:dyDescent="0.25">
      <c r="A412" s="14"/>
      <c r="C412" s="68"/>
      <c r="D412" s="68"/>
      <c r="E412" s="68"/>
      <c r="F412" s="68"/>
      <c r="G412" s="68"/>
      <c r="H412" s="68"/>
      <c r="I412" s="68"/>
      <c r="J412" s="68"/>
      <c r="K412" s="68"/>
      <c r="L412" s="68"/>
    </row>
    <row r="413" spans="1:12" ht="12.5" x14ac:dyDescent="0.25">
      <c r="A413" s="14"/>
      <c r="C413" s="68"/>
      <c r="D413" s="68"/>
      <c r="E413" s="68"/>
      <c r="F413" s="68"/>
      <c r="G413" s="68"/>
      <c r="H413" s="68"/>
      <c r="I413" s="68"/>
      <c r="J413" s="68"/>
      <c r="K413" s="68"/>
      <c r="L413" s="68"/>
    </row>
    <row r="414" spans="1:12" ht="12.5" x14ac:dyDescent="0.25">
      <c r="A414" s="14"/>
      <c r="C414" s="68"/>
      <c r="D414" s="68"/>
      <c r="E414" s="68"/>
      <c r="F414" s="68"/>
      <c r="G414" s="68"/>
      <c r="H414" s="68"/>
      <c r="I414" s="68"/>
      <c r="J414" s="68"/>
      <c r="K414" s="68"/>
      <c r="L414" s="68"/>
    </row>
    <row r="415" spans="1:12" ht="12.5" x14ac:dyDescent="0.25">
      <c r="A415" s="14"/>
      <c r="C415" s="68"/>
      <c r="D415" s="68"/>
      <c r="E415" s="68"/>
      <c r="F415" s="68"/>
      <c r="G415" s="68"/>
      <c r="H415" s="68"/>
      <c r="I415" s="68"/>
      <c r="J415" s="68"/>
      <c r="K415" s="68"/>
      <c r="L415" s="68"/>
    </row>
    <row r="416" spans="1:12" ht="12.5" x14ac:dyDescent="0.25">
      <c r="A416" s="14"/>
      <c r="C416" s="68"/>
      <c r="D416" s="68"/>
      <c r="E416" s="68"/>
      <c r="F416" s="68"/>
      <c r="G416" s="68"/>
      <c r="H416" s="68"/>
      <c r="I416" s="68"/>
      <c r="J416" s="68"/>
      <c r="K416" s="68"/>
      <c r="L416" s="68"/>
    </row>
    <row r="417" spans="1:12" ht="12.5" x14ac:dyDescent="0.25">
      <c r="A417" s="14"/>
      <c r="C417" s="68"/>
      <c r="D417" s="68"/>
      <c r="E417" s="68"/>
      <c r="F417" s="68"/>
      <c r="G417" s="68"/>
      <c r="H417" s="68"/>
      <c r="I417" s="68"/>
      <c r="J417" s="68"/>
      <c r="K417" s="68"/>
      <c r="L417" s="68"/>
    </row>
    <row r="418" spans="1:12" ht="12.5" x14ac:dyDescent="0.25">
      <c r="A418" s="14"/>
      <c r="C418" s="68"/>
      <c r="D418" s="68"/>
      <c r="E418" s="68"/>
      <c r="F418" s="68"/>
      <c r="G418" s="68"/>
      <c r="H418" s="68"/>
      <c r="I418" s="68"/>
      <c r="J418" s="68"/>
      <c r="K418" s="68"/>
      <c r="L418" s="68"/>
    </row>
    <row r="419" spans="1:12" ht="12.5" x14ac:dyDescent="0.25">
      <c r="A419" s="14"/>
      <c r="C419" s="68"/>
      <c r="D419" s="68"/>
      <c r="E419" s="68"/>
      <c r="F419" s="68"/>
      <c r="G419" s="68"/>
      <c r="H419" s="68"/>
      <c r="I419" s="68"/>
      <c r="J419" s="68"/>
      <c r="K419" s="68"/>
      <c r="L419" s="68"/>
    </row>
    <row r="420" spans="1:12" ht="12.5" x14ac:dyDescent="0.25">
      <c r="A420" s="14"/>
      <c r="C420" s="68"/>
      <c r="D420" s="68"/>
      <c r="E420" s="68"/>
      <c r="F420" s="68"/>
      <c r="G420" s="68"/>
      <c r="H420" s="68"/>
      <c r="I420" s="68"/>
      <c r="J420" s="68"/>
      <c r="K420" s="68"/>
      <c r="L420" s="68"/>
    </row>
    <row r="421" spans="1:12" ht="12.5" x14ac:dyDescent="0.25">
      <c r="A421" s="14"/>
      <c r="C421" s="68"/>
      <c r="D421" s="68"/>
      <c r="E421" s="68"/>
      <c r="F421" s="68"/>
      <c r="G421" s="68"/>
      <c r="H421" s="68"/>
      <c r="I421" s="68"/>
      <c r="J421" s="68"/>
      <c r="K421" s="68"/>
      <c r="L421" s="68"/>
    </row>
    <row r="422" spans="1:12" ht="12.5" x14ac:dyDescent="0.25">
      <c r="A422" s="14"/>
      <c r="C422" s="68"/>
      <c r="D422" s="68"/>
      <c r="E422" s="68"/>
      <c r="F422" s="68"/>
      <c r="G422" s="68"/>
      <c r="H422" s="68"/>
      <c r="I422" s="68"/>
      <c r="J422" s="68"/>
      <c r="K422" s="68"/>
      <c r="L422" s="68"/>
    </row>
    <row r="423" spans="1:12" ht="12.5" x14ac:dyDescent="0.25">
      <c r="A423" s="14"/>
      <c r="C423" s="68"/>
      <c r="D423" s="68"/>
      <c r="E423" s="68"/>
      <c r="F423" s="68"/>
      <c r="G423" s="68"/>
      <c r="H423" s="68"/>
      <c r="I423" s="68"/>
      <c r="J423" s="68"/>
      <c r="K423" s="68"/>
      <c r="L423" s="68"/>
    </row>
    <row r="424" spans="1:12" ht="12.5" x14ac:dyDescent="0.25">
      <c r="A424" s="14"/>
      <c r="C424" s="68"/>
      <c r="D424" s="68"/>
      <c r="E424" s="68"/>
      <c r="F424" s="68"/>
      <c r="G424" s="68"/>
      <c r="H424" s="68"/>
      <c r="I424" s="68"/>
      <c r="J424" s="68"/>
      <c r="K424" s="68"/>
      <c r="L424" s="68"/>
    </row>
    <row r="425" spans="1:12" ht="12.5" x14ac:dyDescent="0.25">
      <c r="A425" s="14"/>
      <c r="C425" s="68"/>
      <c r="D425" s="68"/>
      <c r="E425" s="68"/>
      <c r="F425" s="68"/>
      <c r="G425" s="68"/>
      <c r="H425" s="68"/>
      <c r="I425" s="68"/>
      <c r="J425" s="68"/>
      <c r="K425" s="68"/>
      <c r="L425" s="68"/>
    </row>
    <row r="426" spans="1:12" ht="12.5" x14ac:dyDescent="0.25">
      <c r="A426" s="14"/>
      <c r="C426" s="68"/>
      <c r="D426" s="68"/>
      <c r="E426" s="68"/>
      <c r="F426" s="68"/>
      <c r="G426" s="68"/>
      <c r="H426" s="68"/>
      <c r="I426" s="68"/>
      <c r="J426" s="68"/>
      <c r="K426" s="68"/>
      <c r="L426" s="68"/>
    </row>
    <row r="427" spans="1:12" ht="12.5" x14ac:dyDescent="0.25">
      <c r="A427" s="14"/>
      <c r="C427" s="68"/>
      <c r="D427" s="68"/>
      <c r="E427" s="68"/>
      <c r="F427" s="68"/>
      <c r="G427" s="68"/>
      <c r="H427" s="68"/>
      <c r="I427" s="68"/>
      <c r="J427" s="68"/>
      <c r="K427" s="68"/>
      <c r="L427" s="68"/>
    </row>
    <row r="428" spans="1:12" ht="12.5" x14ac:dyDescent="0.25">
      <c r="A428" s="14"/>
      <c r="C428" s="68"/>
      <c r="D428" s="68"/>
      <c r="E428" s="68"/>
      <c r="F428" s="68"/>
      <c r="G428" s="68"/>
      <c r="H428" s="68"/>
      <c r="I428" s="68"/>
      <c r="J428" s="68"/>
      <c r="K428" s="68"/>
      <c r="L428" s="68"/>
    </row>
    <row r="429" spans="1:12" ht="12.5" x14ac:dyDescent="0.25">
      <c r="A429" s="14"/>
      <c r="C429" s="68"/>
      <c r="D429" s="68"/>
      <c r="E429" s="68"/>
      <c r="F429" s="68"/>
      <c r="G429" s="68"/>
      <c r="H429" s="68"/>
      <c r="I429" s="68"/>
      <c r="J429" s="68"/>
      <c r="K429" s="68"/>
      <c r="L429" s="68"/>
    </row>
    <row r="430" spans="1:12" ht="12.5" x14ac:dyDescent="0.25">
      <c r="A430" s="14"/>
      <c r="C430" s="68"/>
      <c r="D430" s="68"/>
      <c r="E430" s="68"/>
      <c r="F430" s="68"/>
      <c r="G430" s="68"/>
      <c r="H430" s="68"/>
      <c r="I430" s="68"/>
      <c r="J430" s="68"/>
      <c r="K430" s="68"/>
      <c r="L430" s="68"/>
    </row>
    <row r="431" spans="1:12" ht="12.5" x14ac:dyDescent="0.25">
      <c r="A431" s="14"/>
      <c r="C431" s="68"/>
      <c r="D431" s="68"/>
      <c r="E431" s="68"/>
      <c r="F431" s="68"/>
      <c r="G431" s="68"/>
      <c r="H431" s="68"/>
      <c r="I431" s="68"/>
      <c r="J431" s="68"/>
      <c r="K431" s="68"/>
      <c r="L431" s="68"/>
    </row>
    <row r="432" spans="1:12" ht="12.5" x14ac:dyDescent="0.25">
      <c r="A432" s="14"/>
      <c r="C432" s="68"/>
      <c r="D432" s="68"/>
      <c r="E432" s="68"/>
      <c r="F432" s="68"/>
      <c r="G432" s="68"/>
      <c r="H432" s="68"/>
      <c r="I432" s="68"/>
      <c r="J432" s="68"/>
      <c r="K432" s="68"/>
      <c r="L432" s="68"/>
    </row>
    <row r="433" spans="1:12" ht="12.5" x14ac:dyDescent="0.25">
      <c r="A433" s="14"/>
      <c r="C433" s="68"/>
      <c r="D433" s="68"/>
      <c r="E433" s="68"/>
      <c r="F433" s="68"/>
      <c r="G433" s="68"/>
      <c r="H433" s="68"/>
      <c r="I433" s="68"/>
      <c r="J433" s="68"/>
      <c r="K433" s="68"/>
      <c r="L433" s="68"/>
    </row>
    <row r="434" spans="1:12" ht="12.5" x14ac:dyDescent="0.25">
      <c r="A434" s="14"/>
      <c r="C434" s="68"/>
      <c r="D434" s="68"/>
      <c r="E434" s="68"/>
      <c r="F434" s="68"/>
      <c r="G434" s="68"/>
      <c r="H434" s="68"/>
      <c r="I434" s="68"/>
      <c r="J434" s="68"/>
      <c r="K434" s="68"/>
      <c r="L434" s="68"/>
    </row>
    <row r="435" spans="1:12" ht="12.5" x14ac:dyDescent="0.25">
      <c r="A435" s="14"/>
      <c r="C435" s="68"/>
      <c r="D435" s="68"/>
      <c r="E435" s="68"/>
      <c r="F435" s="68"/>
      <c r="G435" s="68"/>
      <c r="H435" s="68"/>
      <c r="I435" s="68"/>
      <c r="J435" s="68"/>
      <c r="K435" s="68"/>
      <c r="L435" s="68"/>
    </row>
    <row r="436" spans="1:12" ht="12.5" x14ac:dyDescent="0.25">
      <c r="A436" s="14"/>
      <c r="C436" s="68"/>
      <c r="D436" s="68"/>
      <c r="E436" s="68"/>
      <c r="F436" s="68"/>
      <c r="G436" s="68"/>
      <c r="H436" s="68"/>
      <c r="I436" s="68"/>
      <c r="J436" s="68"/>
      <c r="K436" s="68"/>
      <c r="L436" s="68"/>
    </row>
    <row r="437" spans="1:12" ht="12.5" x14ac:dyDescent="0.25">
      <c r="A437" s="14"/>
      <c r="C437" s="68"/>
      <c r="D437" s="68"/>
      <c r="E437" s="68"/>
      <c r="F437" s="68"/>
      <c r="G437" s="68"/>
      <c r="H437" s="68"/>
      <c r="I437" s="68"/>
      <c r="J437" s="68"/>
      <c r="K437" s="68"/>
      <c r="L437" s="68"/>
    </row>
    <row r="438" spans="1:12" ht="12.5" x14ac:dyDescent="0.25">
      <c r="A438" s="14"/>
      <c r="C438" s="68"/>
      <c r="D438" s="68"/>
      <c r="E438" s="68"/>
      <c r="F438" s="68"/>
      <c r="G438" s="68"/>
      <c r="H438" s="68"/>
      <c r="I438" s="68"/>
      <c r="J438" s="68"/>
      <c r="K438" s="68"/>
      <c r="L438" s="68"/>
    </row>
    <row r="439" spans="1:12" ht="12.5" x14ac:dyDescent="0.25">
      <c r="A439" s="14"/>
      <c r="C439" s="68"/>
      <c r="D439" s="68"/>
      <c r="E439" s="68"/>
      <c r="F439" s="68"/>
      <c r="G439" s="68"/>
      <c r="H439" s="68"/>
      <c r="I439" s="68"/>
      <c r="J439" s="68"/>
      <c r="K439" s="68"/>
      <c r="L439" s="68"/>
    </row>
    <row r="440" spans="1:12" ht="12.5" x14ac:dyDescent="0.25">
      <c r="A440" s="14"/>
      <c r="C440" s="68"/>
      <c r="D440" s="68"/>
      <c r="E440" s="68"/>
      <c r="F440" s="68"/>
      <c r="G440" s="68"/>
      <c r="H440" s="68"/>
      <c r="I440" s="68"/>
      <c r="J440" s="68"/>
      <c r="K440" s="68"/>
      <c r="L440" s="68"/>
    </row>
    <row r="441" spans="1:12" ht="12.5" x14ac:dyDescent="0.25">
      <c r="A441" s="14"/>
      <c r="C441" s="68"/>
      <c r="D441" s="68"/>
      <c r="E441" s="68"/>
      <c r="F441" s="68"/>
      <c r="G441" s="68"/>
      <c r="H441" s="68"/>
      <c r="I441" s="68"/>
      <c r="J441" s="68"/>
      <c r="K441" s="68"/>
      <c r="L441" s="68"/>
    </row>
    <row r="442" spans="1:12" ht="12.5" x14ac:dyDescent="0.25">
      <c r="A442" s="14"/>
      <c r="C442" s="68"/>
      <c r="D442" s="68"/>
      <c r="E442" s="68"/>
      <c r="F442" s="68"/>
      <c r="G442" s="68"/>
      <c r="H442" s="68"/>
      <c r="I442" s="68"/>
      <c r="J442" s="68"/>
      <c r="K442" s="68"/>
      <c r="L442" s="68"/>
    </row>
    <row r="443" spans="1:12" ht="12.5" x14ac:dyDescent="0.25">
      <c r="A443" s="14"/>
      <c r="C443" s="68"/>
      <c r="D443" s="68"/>
      <c r="E443" s="68"/>
      <c r="F443" s="68"/>
      <c r="G443" s="68"/>
      <c r="H443" s="68"/>
      <c r="I443" s="68"/>
      <c r="J443" s="68"/>
      <c r="K443" s="68"/>
      <c r="L443" s="68"/>
    </row>
    <row r="444" spans="1:12" ht="12.5" x14ac:dyDescent="0.25">
      <c r="A444" s="14"/>
      <c r="C444" s="68"/>
      <c r="D444" s="68"/>
      <c r="E444" s="68"/>
      <c r="F444" s="68"/>
      <c r="G444" s="68"/>
      <c r="H444" s="68"/>
      <c r="I444" s="68"/>
      <c r="J444" s="68"/>
      <c r="K444" s="68"/>
      <c r="L444" s="68"/>
    </row>
    <row r="445" spans="1:12" ht="12.5" x14ac:dyDescent="0.25">
      <c r="A445" s="14"/>
      <c r="C445" s="68"/>
      <c r="D445" s="68"/>
      <c r="E445" s="68"/>
      <c r="F445" s="68"/>
      <c r="G445" s="68"/>
      <c r="H445" s="68"/>
      <c r="I445" s="68"/>
      <c r="J445" s="68"/>
      <c r="K445" s="68"/>
      <c r="L445" s="68"/>
    </row>
    <row r="446" spans="1:12" ht="12.5" x14ac:dyDescent="0.25">
      <c r="A446" s="14"/>
      <c r="C446" s="68"/>
      <c r="D446" s="68"/>
      <c r="E446" s="68"/>
      <c r="F446" s="68"/>
      <c r="G446" s="68"/>
      <c r="H446" s="68"/>
      <c r="I446" s="68"/>
      <c r="J446" s="68"/>
      <c r="K446" s="68"/>
      <c r="L446" s="68"/>
    </row>
    <row r="447" spans="1:12" ht="12.5" x14ac:dyDescent="0.25">
      <c r="A447" s="14"/>
      <c r="C447" s="68"/>
      <c r="D447" s="68"/>
      <c r="E447" s="68"/>
      <c r="F447" s="68"/>
      <c r="G447" s="68"/>
      <c r="H447" s="68"/>
      <c r="I447" s="68"/>
      <c r="J447" s="68"/>
      <c r="K447" s="68"/>
      <c r="L447" s="68"/>
    </row>
    <row r="448" spans="1:12" ht="12.5" x14ac:dyDescent="0.25">
      <c r="A448" s="14"/>
      <c r="C448" s="68"/>
      <c r="D448" s="68"/>
      <c r="E448" s="68"/>
      <c r="F448" s="68"/>
      <c r="G448" s="68"/>
      <c r="H448" s="68"/>
      <c r="I448" s="68"/>
      <c r="J448" s="68"/>
      <c r="K448" s="68"/>
      <c r="L448" s="68"/>
    </row>
    <row r="449" spans="1:12" ht="12.5" x14ac:dyDescent="0.25">
      <c r="A449" s="14"/>
      <c r="C449" s="68"/>
      <c r="D449" s="68"/>
      <c r="E449" s="68"/>
      <c r="F449" s="68"/>
      <c r="G449" s="68"/>
      <c r="H449" s="68"/>
      <c r="I449" s="68"/>
      <c r="J449" s="68"/>
      <c r="K449" s="68"/>
      <c r="L449" s="68"/>
    </row>
    <row r="450" spans="1:12" ht="12.5" x14ac:dyDescent="0.25">
      <c r="A450" s="14"/>
      <c r="C450" s="68"/>
      <c r="D450" s="68"/>
      <c r="E450" s="68"/>
      <c r="F450" s="68"/>
      <c r="G450" s="68"/>
      <c r="H450" s="68"/>
      <c r="I450" s="68"/>
      <c r="J450" s="68"/>
      <c r="K450" s="68"/>
      <c r="L450" s="68"/>
    </row>
    <row r="451" spans="1:12" ht="12.5" x14ac:dyDescent="0.25">
      <c r="A451" s="14"/>
      <c r="C451" s="68"/>
      <c r="D451" s="68"/>
      <c r="E451" s="68"/>
      <c r="F451" s="68"/>
      <c r="G451" s="68"/>
      <c r="H451" s="68"/>
      <c r="I451" s="68"/>
      <c r="J451" s="68"/>
      <c r="K451" s="68"/>
      <c r="L451" s="68"/>
    </row>
    <row r="452" spans="1:12" ht="12.5" x14ac:dyDescent="0.25">
      <c r="A452" s="14"/>
      <c r="C452" s="68"/>
      <c r="D452" s="68"/>
      <c r="E452" s="68"/>
      <c r="F452" s="68"/>
      <c r="G452" s="68"/>
      <c r="H452" s="68"/>
      <c r="I452" s="68"/>
      <c r="J452" s="68"/>
      <c r="K452" s="68"/>
      <c r="L452" s="68"/>
    </row>
    <row r="453" spans="1:12" ht="12.5" x14ac:dyDescent="0.25">
      <c r="A453" s="14"/>
      <c r="C453" s="68"/>
      <c r="D453" s="68"/>
      <c r="E453" s="68"/>
      <c r="F453" s="68"/>
      <c r="G453" s="68"/>
      <c r="H453" s="68"/>
      <c r="I453" s="68"/>
      <c r="J453" s="68"/>
      <c r="K453" s="68"/>
      <c r="L453" s="68"/>
    </row>
    <row r="454" spans="1:12" ht="12.5" x14ac:dyDescent="0.25">
      <c r="A454" s="14"/>
      <c r="C454" s="68"/>
      <c r="D454" s="68"/>
      <c r="E454" s="68"/>
      <c r="F454" s="68"/>
      <c r="G454" s="68"/>
      <c r="H454" s="68"/>
      <c r="I454" s="68"/>
      <c r="J454" s="68"/>
      <c r="K454" s="68"/>
      <c r="L454" s="68"/>
    </row>
    <row r="455" spans="1:12" ht="12.5" x14ac:dyDescent="0.25">
      <c r="A455" s="14"/>
      <c r="C455" s="68"/>
      <c r="D455" s="68"/>
      <c r="E455" s="68"/>
      <c r="F455" s="68"/>
      <c r="G455" s="68"/>
      <c r="H455" s="68"/>
      <c r="I455" s="68"/>
      <c r="J455" s="68"/>
      <c r="K455" s="68"/>
      <c r="L455" s="68"/>
    </row>
    <row r="456" spans="1:12" ht="12.5" x14ac:dyDescent="0.25">
      <c r="A456" s="14"/>
      <c r="C456" s="68"/>
      <c r="D456" s="68"/>
      <c r="E456" s="68"/>
      <c r="F456" s="68"/>
      <c r="G456" s="68"/>
      <c r="H456" s="68"/>
      <c r="I456" s="68"/>
      <c r="J456" s="68"/>
      <c r="K456" s="68"/>
      <c r="L456" s="68"/>
    </row>
    <row r="457" spans="1:12" ht="12.5" x14ac:dyDescent="0.25">
      <c r="A457" s="14"/>
      <c r="C457" s="68"/>
      <c r="D457" s="68"/>
      <c r="E457" s="68"/>
      <c r="F457" s="68"/>
      <c r="G457" s="68"/>
      <c r="H457" s="68"/>
      <c r="I457" s="68"/>
      <c r="J457" s="68"/>
      <c r="K457" s="68"/>
      <c r="L457" s="68"/>
    </row>
    <row r="458" spans="1:12" ht="12.5" x14ac:dyDescent="0.25">
      <c r="A458" s="14"/>
      <c r="C458" s="68"/>
      <c r="D458" s="68"/>
      <c r="E458" s="68"/>
      <c r="F458" s="68"/>
      <c r="G458" s="68"/>
      <c r="H458" s="68"/>
      <c r="I458" s="68"/>
      <c r="J458" s="68"/>
      <c r="K458" s="68"/>
      <c r="L458" s="68"/>
    </row>
    <row r="459" spans="1:12" ht="12.5" x14ac:dyDescent="0.25">
      <c r="A459" s="14"/>
      <c r="C459" s="68"/>
      <c r="D459" s="68"/>
      <c r="E459" s="68"/>
      <c r="F459" s="68"/>
      <c r="G459" s="68"/>
      <c r="H459" s="68"/>
      <c r="I459" s="68"/>
      <c r="J459" s="68"/>
      <c r="K459" s="68"/>
      <c r="L459" s="68"/>
    </row>
    <row r="460" spans="1:12" ht="12.5" x14ac:dyDescent="0.25">
      <c r="A460" s="14"/>
      <c r="C460" s="68"/>
      <c r="D460" s="68"/>
      <c r="E460" s="68"/>
      <c r="F460" s="68"/>
      <c r="G460" s="68"/>
      <c r="H460" s="68"/>
      <c r="I460" s="68"/>
      <c r="J460" s="68"/>
      <c r="K460" s="68"/>
      <c r="L460" s="68"/>
    </row>
    <row r="461" spans="1:12" ht="12.5" x14ac:dyDescent="0.25">
      <c r="A461" s="14"/>
      <c r="C461" s="68"/>
      <c r="D461" s="68"/>
      <c r="E461" s="68"/>
      <c r="F461" s="68"/>
      <c r="G461" s="68"/>
      <c r="H461" s="68"/>
      <c r="I461" s="68"/>
      <c r="J461" s="68"/>
      <c r="K461" s="68"/>
      <c r="L461" s="68"/>
    </row>
    <row r="462" spans="1:12" ht="12.5" x14ac:dyDescent="0.25">
      <c r="A462" s="14"/>
      <c r="C462" s="68"/>
      <c r="D462" s="68"/>
      <c r="E462" s="68"/>
      <c r="F462" s="68"/>
      <c r="G462" s="68"/>
      <c r="H462" s="68"/>
      <c r="I462" s="68"/>
      <c r="J462" s="68"/>
      <c r="K462" s="68"/>
      <c r="L462" s="68"/>
    </row>
    <row r="463" spans="1:12" ht="12.5" x14ac:dyDescent="0.25">
      <c r="A463" s="14"/>
      <c r="C463" s="68"/>
      <c r="D463" s="68"/>
      <c r="E463" s="68"/>
      <c r="F463" s="68"/>
      <c r="G463" s="68"/>
      <c r="H463" s="68"/>
      <c r="I463" s="68"/>
      <c r="J463" s="68"/>
      <c r="K463" s="68"/>
      <c r="L463" s="68"/>
    </row>
    <row r="464" spans="1:12" ht="12.5" x14ac:dyDescent="0.25">
      <c r="A464" s="14"/>
      <c r="C464" s="68"/>
      <c r="D464" s="68"/>
      <c r="E464" s="68"/>
      <c r="F464" s="68"/>
      <c r="G464" s="68"/>
      <c r="H464" s="68"/>
      <c r="I464" s="68"/>
      <c r="J464" s="68"/>
      <c r="K464" s="68"/>
      <c r="L464" s="68"/>
    </row>
    <row r="465" spans="1:12" ht="12.5" x14ac:dyDescent="0.25">
      <c r="A465" s="14"/>
      <c r="C465" s="68"/>
      <c r="D465" s="68"/>
      <c r="E465" s="68"/>
      <c r="F465" s="68"/>
      <c r="G465" s="68"/>
      <c r="H465" s="68"/>
      <c r="I465" s="68"/>
      <c r="J465" s="68"/>
      <c r="K465" s="68"/>
      <c r="L465" s="68"/>
    </row>
    <row r="466" spans="1:12" ht="12.5" x14ac:dyDescent="0.25">
      <c r="A466" s="14"/>
      <c r="C466" s="68"/>
      <c r="D466" s="68"/>
      <c r="E466" s="68"/>
      <c r="F466" s="68"/>
      <c r="G466" s="68"/>
      <c r="H466" s="68"/>
      <c r="I466" s="68"/>
      <c r="J466" s="68"/>
      <c r="K466" s="68"/>
      <c r="L466" s="68"/>
    </row>
    <row r="467" spans="1:12" ht="12.5" x14ac:dyDescent="0.25">
      <c r="A467" s="14"/>
      <c r="C467" s="68"/>
      <c r="D467" s="68"/>
      <c r="E467" s="68"/>
      <c r="F467" s="68"/>
      <c r="G467" s="68"/>
      <c r="H467" s="68"/>
      <c r="I467" s="68"/>
      <c r="J467" s="68"/>
      <c r="K467" s="68"/>
      <c r="L467" s="68"/>
    </row>
    <row r="468" spans="1:12" ht="12.5" x14ac:dyDescent="0.25">
      <c r="A468" s="14"/>
      <c r="C468" s="68"/>
      <c r="D468" s="68"/>
      <c r="E468" s="68"/>
      <c r="F468" s="68"/>
      <c r="G468" s="68"/>
      <c r="H468" s="68"/>
      <c r="I468" s="68"/>
      <c r="J468" s="68"/>
      <c r="K468" s="68"/>
      <c r="L468" s="68"/>
    </row>
    <row r="469" spans="1:12" ht="12.5" x14ac:dyDescent="0.25">
      <c r="A469" s="14"/>
      <c r="C469" s="68"/>
      <c r="D469" s="68"/>
      <c r="E469" s="68"/>
      <c r="F469" s="68"/>
      <c r="G469" s="68"/>
      <c r="H469" s="68"/>
      <c r="I469" s="68"/>
      <c r="J469" s="68"/>
      <c r="K469" s="68"/>
      <c r="L469" s="68"/>
    </row>
    <row r="470" spans="1:12" ht="12.5" x14ac:dyDescent="0.25">
      <c r="A470" s="14"/>
      <c r="C470" s="68"/>
      <c r="D470" s="68"/>
      <c r="E470" s="68"/>
      <c r="F470" s="68"/>
      <c r="G470" s="68"/>
      <c r="H470" s="68"/>
      <c r="I470" s="68"/>
      <c r="J470" s="68"/>
      <c r="K470" s="68"/>
      <c r="L470" s="68"/>
    </row>
    <row r="471" spans="1:12" ht="12.5" x14ac:dyDescent="0.25">
      <c r="A471" s="14"/>
      <c r="C471" s="68"/>
      <c r="D471" s="68"/>
      <c r="E471" s="68"/>
      <c r="F471" s="68"/>
      <c r="G471" s="68"/>
      <c r="H471" s="68"/>
      <c r="I471" s="68"/>
      <c r="J471" s="68"/>
      <c r="K471" s="68"/>
      <c r="L471" s="68"/>
    </row>
    <row r="472" spans="1:12" ht="12.5" x14ac:dyDescent="0.25">
      <c r="A472" s="14"/>
      <c r="C472" s="68"/>
      <c r="D472" s="68"/>
      <c r="E472" s="68"/>
      <c r="F472" s="68"/>
      <c r="G472" s="68"/>
      <c r="H472" s="68"/>
      <c r="I472" s="68"/>
      <c r="J472" s="68"/>
      <c r="K472" s="68"/>
      <c r="L472" s="68"/>
    </row>
    <row r="473" spans="1:12" ht="12.5" x14ac:dyDescent="0.25">
      <c r="A473" s="14"/>
      <c r="C473" s="68"/>
      <c r="D473" s="68"/>
      <c r="E473" s="68"/>
      <c r="F473" s="68"/>
      <c r="G473" s="68"/>
      <c r="H473" s="68"/>
      <c r="I473" s="68"/>
      <c r="J473" s="68"/>
      <c r="K473" s="68"/>
      <c r="L473" s="68"/>
    </row>
    <row r="474" spans="1:12" ht="12.5" x14ac:dyDescent="0.25">
      <c r="A474" s="14"/>
      <c r="C474" s="68"/>
      <c r="D474" s="68"/>
      <c r="E474" s="68"/>
      <c r="F474" s="68"/>
      <c r="G474" s="68"/>
      <c r="H474" s="68"/>
      <c r="I474" s="68"/>
      <c r="J474" s="68"/>
      <c r="K474" s="68"/>
      <c r="L474" s="68"/>
    </row>
    <row r="475" spans="1:12" ht="12.5" x14ac:dyDescent="0.25">
      <c r="A475" s="14"/>
      <c r="C475" s="68"/>
      <c r="D475" s="68"/>
      <c r="E475" s="68"/>
      <c r="F475" s="68"/>
      <c r="G475" s="68"/>
      <c r="H475" s="68"/>
      <c r="I475" s="68"/>
      <c r="J475" s="68"/>
      <c r="K475" s="68"/>
      <c r="L475" s="68"/>
    </row>
    <row r="476" spans="1:12" ht="12.5" x14ac:dyDescent="0.25">
      <c r="A476" s="14"/>
      <c r="C476" s="68"/>
      <c r="D476" s="68"/>
      <c r="E476" s="68"/>
      <c r="F476" s="68"/>
      <c r="G476" s="68"/>
      <c r="H476" s="68"/>
      <c r="I476" s="68"/>
      <c r="J476" s="68"/>
      <c r="K476" s="68"/>
      <c r="L476" s="68"/>
    </row>
    <row r="477" spans="1:12" ht="12.5" x14ac:dyDescent="0.25">
      <c r="A477" s="14"/>
      <c r="C477" s="68"/>
      <c r="D477" s="68"/>
      <c r="E477" s="68"/>
      <c r="F477" s="68"/>
      <c r="G477" s="68"/>
      <c r="H477" s="68"/>
      <c r="I477" s="68"/>
      <c r="J477" s="68"/>
      <c r="K477" s="68"/>
      <c r="L477" s="68"/>
    </row>
    <row r="478" spans="1:12" ht="12.5" x14ac:dyDescent="0.25">
      <c r="A478" s="14"/>
      <c r="C478" s="68"/>
      <c r="D478" s="68"/>
      <c r="E478" s="68"/>
      <c r="F478" s="68"/>
      <c r="G478" s="68"/>
      <c r="H478" s="68"/>
      <c r="I478" s="68"/>
      <c r="J478" s="68"/>
      <c r="K478" s="68"/>
      <c r="L478" s="68"/>
    </row>
    <row r="479" spans="1:12" ht="12.5" x14ac:dyDescent="0.25">
      <c r="A479" s="14"/>
      <c r="C479" s="68"/>
      <c r="D479" s="68"/>
      <c r="E479" s="68"/>
      <c r="F479" s="68"/>
      <c r="G479" s="68"/>
      <c r="H479" s="68"/>
      <c r="I479" s="68"/>
      <c r="J479" s="68"/>
      <c r="K479" s="68"/>
      <c r="L479" s="68"/>
    </row>
    <row r="480" spans="1:12" ht="12.5" x14ac:dyDescent="0.25">
      <c r="A480" s="14"/>
      <c r="C480" s="68"/>
      <c r="D480" s="68"/>
      <c r="E480" s="68"/>
      <c r="F480" s="68"/>
      <c r="G480" s="68"/>
      <c r="H480" s="68"/>
      <c r="I480" s="68"/>
      <c r="J480" s="68"/>
      <c r="K480" s="68"/>
      <c r="L480" s="68"/>
    </row>
    <row r="481" spans="1:12" ht="12.5" x14ac:dyDescent="0.25">
      <c r="A481" s="14"/>
      <c r="C481" s="68"/>
      <c r="D481" s="68"/>
      <c r="E481" s="68"/>
      <c r="F481" s="68"/>
      <c r="G481" s="68"/>
      <c r="H481" s="68"/>
      <c r="I481" s="68"/>
      <c r="J481" s="68"/>
      <c r="K481" s="68"/>
      <c r="L481" s="68"/>
    </row>
    <row r="482" spans="1:12" ht="12.5" x14ac:dyDescent="0.25">
      <c r="A482" s="14"/>
      <c r="C482" s="68"/>
      <c r="D482" s="68"/>
      <c r="E482" s="68"/>
      <c r="F482" s="68"/>
      <c r="G482" s="68"/>
      <c r="H482" s="68"/>
      <c r="I482" s="68"/>
      <c r="J482" s="68"/>
      <c r="K482" s="68"/>
      <c r="L482" s="68"/>
    </row>
    <row r="483" spans="1:12" ht="12.5" x14ac:dyDescent="0.25">
      <c r="A483" s="14"/>
      <c r="C483" s="68"/>
      <c r="D483" s="68"/>
      <c r="E483" s="68"/>
      <c r="F483" s="68"/>
      <c r="G483" s="68"/>
      <c r="H483" s="68"/>
      <c r="I483" s="68"/>
      <c r="J483" s="68"/>
      <c r="K483" s="68"/>
      <c r="L483" s="68"/>
    </row>
    <row r="484" spans="1:12" ht="12.5" x14ac:dyDescent="0.25">
      <c r="A484" s="14"/>
      <c r="C484" s="68"/>
      <c r="D484" s="68"/>
      <c r="E484" s="68"/>
      <c r="F484" s="68"/>
      <c r="G484" s="68"/>
      <c r="H484" s="68"/>
      <c r="I484" s="68"/>
      <c r="J484" s="68"/>
      <c r="K484" s="68"/>
      <c r="L484" s="68"/>
    </row>
    <row r="485" spans="1:12" ht="12.5" x14ac:dyDescent="0.25">
      <c r="A485" s="14"/>
      <c r="C485" s="68"/>
      <c r="D485" s="68"/>
      <c r="E485" s="68"/>
      <c r="F485" s="68"/>
      <c r="G485" s="68"/>
      <c r="H485" s="68"/>
      <c r="I485" s="68"/>
      <c r="J485" s="68"/>
      <c r="K485" s="68"/>
      <c r="L485" s="68"/>
    </row>
    <row r="486" spans="1:12" ht="12.5" x14ac:dyDescent="0.25">
      <c r="A486" s="14"/>
      <c r="C486" s="68"/>
      <c r="D486" s="68"/>
      <c r="E486" s="68"/>
      <c r="F486" s="68"/>
      <c r="G486" s="68"/>
      <c r="H486" s="68"/>
      <c r="I486" s="68"/>
      <c r="J486" s="68"/>
      <c r="K486" s="68"/>
      <c r="L486" s="68"/>
    </row>
    <row r="487" spans="1:12" ht="12.5" x14ac:dyDescent="0.25">
      <c r="A487" s="14"/>
      <c r="C487" s="68"/>
      <c r="D487" s="68"/>
      <c r="E487" s="68"/>
      <c r="F487" s="68"/>
      <c r="G487" s="68"/>
      <c r="H487" s="68"/>
      <c r="I487" s="68"/>
      <c r="J487" s="68"/>
      <c r="K487" s="68"/>
      <c r="L487" s="68"/>
    </row>
    <row r="488" spans="1:12" ht="12.5" x14ac:dyDescent="0.25">
      <c r="A488" s="14"/>
      <c r="C488" s="68"/>
      <c r="D488" s="68"/>
      <c r="E488" s="68"/>
      <c r="F488" s="68"/>
      <c r="G488" s="68"/>
      <c r="H488" s="68"/>
      <c r="I488" s="68"/>
      <c r="J488" s="68"/>
      <c r="K488" s="68"/>
      <c r="L488" s="68"/>
    </row>
    <row r="489" spans="1:12" ht="12.5" x14ac:dyDescent="0.25">
      <c r="A489" s="14"/>
      <c r="C489" s="68"/>
      <c r="D489" s="68"/>
      <c r="E489" s="68"/>
      <c r="F489" s="68"/>
      <c r="G489" s="68"/>
      <c r="H489" s="68"/>
      <c r="I489" s="68"/>
      <c r="J489" s="68"/>
      <c r="K489" s="68"/>
      <c r="L489" s="68"/>
    </row>
    <row r="490" spans="1:12" ht="12.5" x14ac:dyDescent="0.25">
      <c r="A490" s="14"/>
      <c r="C490" s="68"/>
      <c r="D490" s="68"/>
      <c r="E490" s="68"/>
      <c r="F490" s="68"/>
      <c r="G490" s="68"/>
      <c r="H490" s="68"/>
      <c r="I490" s="68"/>
      <c r="J490" s="68"/>
      <c r="K490" s="68"/>
      <c r="L490" s="68"/>
    </row>
    <row r="491" spans="1:12" ht="12.5" x14ac:dyDescent="0.25">
      <c r="A491" s="14"/>
      <c r="C491" s="68"/>
      <c r="D491" s="68"/>
      <c r="E491" s="68"/>
      <c r="F491" s="68"/>
      <c r="G491" s="68"/>
      <c r="H491" s="68"/>
      <c r="I491" s="68"/>
      <c r="J491" s="68"/>
      <c r="K491" s="68"/>
      <c r="L491" s="68"/>
    </row>
    <row r="492" spans="1:12" ht="12.5" x14ac:dyDescent="0.25">
      <c r="A492" s="14"/>
      <c r="C492" s="68"/>
      <c r="D492" s="68"/>
      <c r="E492" s="68"/>
      <c r="F492" s="68"/>
      <c r="G492" s="68"/>
      <c r="H492" s="68"/>
      <c r="I492" s="68"/>
      <c r="J492" s="68"/>
      <c r="K492" s="68"/>
      <c r="L492" s="68"/>
    </row>
    <row r="493" spans="1:12" ht="12.5" x14ac:dyDescent="0.25">
      <c r="A493" s="14"/>
      <c r="C493" s="68"/>
      <c r="D493" s="68"/>
      <c r="E493" s="68"/>
      <c r="F493" s="68"/>
      <c r="G493" s="68"/>
      <c r="H493" s="68"/>
      <c r="I493" s="68"/>
      <c r="J493" s="68"/>
      <c r="K493" s="68"/>
      <c r="L493" s="68"/>
    </row>
    <row r="494" spans="1:12" ht="12.5" x14ac:dyDescent="0.25">
      <c r="A494" s="14"/>
      <c r="C494" s="68"/>
      <c r="D494" s="68"/>
      <c r="E494" s="68"/>
      <c r="F494" s="68"/>
      <c r="G494" s="68"/>
      <c r="H494" s="68"/>
      <c r="I494" s="68"/>
      <c r="J494" s="68"/>
      <c r="K494" s="68"/>
      <c r="L494" s="68"/>
    </row>
    <row r="495" spans="1:12" ht="12.5" x14ac:dyDescent="0.25">
      <c r="A495" s="14"/>
      <c r="C495" s="68"/>
      <c r="D495" s="68"/>
      <c r="E495" s="68"/>
      <c r="F495" s="68"/>
      <c r="G495" s="68"/>
      <c r="H495" s="68"/>
      <c r="I495" s="68"/>
      <c r="J495" s="68"/>
      <c r="K495" s="68"/>
      <c r="L495" s="68"/>
    </row>
    <row r="496" spans="1:12" ht="12.5" x14ac:dyDescent="0.25">
      <c r="A496" s="14"/>
      <c r="C496" s="68"/>
      <c r="D496" s="68"/>
      <c r="E496" s="68"/>
      <c r="F496" s="68"/>
      <c r="G496" s="68"/>
      <c r="H496" s="68"/>
      <c r="I496" s="68"/>
      <c r="J496" s="68"/>
      <c r="K496" s="68"/>
      <c r="L496" s="68"/>
    </row>
    <row r="497" spans="1:12" ht="12.5" x14ac:dyDescent="0.25">
      <c r="A497" s="14"/>
      <c r="C497" s="68"/>
      <c r="D497" s="68"/>
      <c r="E497" s="68"/>
      <c r="F497" s="68"/>
      <c r="G497" s="68"/>
      <c r="H497" s="68"/>
      <c r="I497" s="68"/>
      <c r="J497" s="68"/>
      <c r="K497" s="68"/>
      <c r="L497" s="68"/>
    </row>
    <row r="498" spans="1:12" ht="12.5" x14ac:dyDescent="0.25">
      <c r="A498" s="14"/>
      <c r="C498" s="68"/>
      <c r="D498" s="68"/>
      <c r="E498" s="68"/>
      <c r="F498" s="68"/>
      <c r="G498" s="68"/>
      <c r="H498" s="68"/>
      <c r="I498" s="68"/>
      <c r="J498" s="68"/>
      <c r="K498" s="68"/>
      <c r="L498" s="68"/>
    </row>
    <row r="499" spans="1:12" ht="12.5" x14ac:dyDescent="0.25">
      <c r="A499" s="14"/>
      <c r="C499" s="68"/>
      <c r="D499" s="68"/>
      <c r="E499" s="68"/>
      <c r="F499" s="68"/>
      <c r="G499" s="68"/>
      <c r="H499" s="68"/>
      <c r="I499" s="68"/>
      <c r="J499" s="68"/>
      <c r="K499" s="68"/>
      <c r="L499" s="68"/>
    </row>
    <row r="500" spans="1:12" ht="12.5" x14ac:dyDescent="0.25">
      <c r="A500" s="14"/>
      <c r="C500" s="68"/>
      <c r="D500" s="68"/>
      <c r="E500" s="68"/>
      <c r="F500" s="68"/>
      <c r="G500" s="68"/>
      <c r="H500" s="68"/>
      <c r="I500" s="68"/>
      <c r="J500" s="68"/>
      <c r="K500" s="68"/>
      <c r="L500" s="68"/>
    </row>
    <row r="501" spans="1:12" ht="12.5" x14ac:dyDescent="0.25">
      <c r="A501" s="14"/>
      <c r="C501" s="68"/>
      <c r="D501" s="68"/>
      <c r="E501" s="68"/>
      <c r="F501" s="68"/>
      <c r="G501" s="68"/>
      <c r="H501" s="68"/>
      <c r="I501" s="68"/>
      <c r="J501" s="68"/>
      <c r="K501" s="68"/>
      <c r="L501" s="68"/>
    </row>
    <row r="502" spans="1:12" ht="12.5" x14ac:dyDescent="0.25">
      <c r="A502" s="14"/>
      <c r="C502" s="68"/>
      <c r="D502" s="68"/>
      <c r="E502" s="68"/>
      <c r="F502" s="68"/>
      <c r="G502" s="68"/>
      <c r="H502" s="68"/>
      <c r="I502" s="68"/>
      <c r="J502" s="68"/>
      <c r="K502" s="68"/>
      <c r="L502" s="68"/>
    </row>
    <row r="503" spans="1:12" ht="12.5" x14ac:dyDescent="0.25">
      <c r="A503" s="14"/>
      <c r="C503" s="68"/>
      <c r="D503" s="68"/>
      <c r="E503" s="68"/>
      <c r="F503" s="68"/>
      <c r="G503" s="68"/>
      <c r="H503" s="68"/>
      <c r="I503" s="68"/>
      <c r="J503" s="68"/>
      <c r="K503" s="68"/>
      <c r="L503" s="68"/>
    </row>
    <row r="504" spans="1:12" ht="12.5" x14ac:dyDescent="0.25">
      <c r="A504" s="14"/>
      <c r="C504" s="68"/>
      <c r="D504" s="68"/>
      <c r="E504" s="68"/>
      <c r="F504" s="68"/>
      <c r="G504" s="68"/>
      <c r="H504" s="68"/>
      <c r="I504" s="68"/>
      <c r="J504" s="68"/>
      <c r="K504" s="68"/>
      <c r="L504" s="68"/>
    </row>
    <row r="505" spans="1:12" ht="12.5" x14ac:dyDescent="0.25">
      <c r="A505" s="14"/>
      <c r="C505" s="68"/>
      <c r="D505" s="68"/>
      <c r="E505" s="68"/>
      <c r="F505" s="68"/>
      <c r="G505" s="68"/>
      <c r="H505" s="68"/>
      <c r="I505" s="68"/>
      <c r="J505" s="68"/>
      <c r="K505" s="68"/>
      <c r="L505" s="68"/>
    </row>
    <row r="506" spans="1:12" ht="12.5" x14ac:dyDescent="0.25">
      <c r="A506" s="14"/>
      <c r="C506" s="68"/>
      <c r="D506" s="68"/>
      <c r="E506" s="68"/>
      <c r="F506" s="68"/>
      <c r="G506" s="68"/>
      <c r="H506" s="68"/>
      <c r="I506" s="68"/>
      <c r="J506" s="68"/>
      <c r="K506" s="68"/>
      <c r="L506" s="68"/>
    </row>
    <row r="507" spans="1:12" ht="12.5" x14ac:dyDescent="0.25">
      <c r="A507" s="14"/>
      <c r="C507" s="68"/>
      <c r="D507" s="68"/>
      <c r="E507" s="68"/>
      <c r="F507" s="68"/>
      <c r="G507" s="68"/>
      <c r="H507" s="68"/>
      <c r="I507" s="68"/>
      <c r="J507" s="68"/>
      <c r="K507" s="68"/>
      <c r="L507" s="68"/>
    </row>
    <row r="508" spans="1:12" ht="12.5" x14ac:dyDescent="0.25">
      <c r="A508" s="14"/>
      <c r="C508" s="68"/>
      <c r="D508" s="68"/>
      <c r="E508" s="68"/>
      <c r="F508" s="68"/>
      <c r="G508" s="68"/>
      <c r="H508" s="68"/>
      <c r="I508" s="68"/>
      <c r="J508" s="68"/>
      <c r="K508" s="68"/>
      <c r="L508" s="68"/>
    </row>
    <row r="509" spans="1:12" ht="12.5" x14ac:dyDescent="0.25">
      <c r="A509" s="14"/>
      <c r="C509" s="68"/>
      <c r="D509" s="68"/>
      <c r="E509" s="68"/>
      <c r="F509" s="68"/>
      <c r="G509" s="68"/>
      <c r="H509" s="68"/>
      <c r="I509" s="68"/>
      <c r="J509" s="68"/>
      <c r="K509" s="68"/>
      <c r="L509" s="68"/>
    </row>
    <row r="510" spans="1:12" ht="12.5" x14ac:dyDescent="0.25">
      <c r="A510" s="14"/>
      <c r="C510" s="68"/>
      <c r="D510" s="68"/>
      <c r="E510" s="68"/>
      <c r="F510" s="68"/>
      <c r="G510" s="68"/>
      <c r="H510" s="68"/>
      <c r="I510" s="68"/>
      <c r="J510" s="68"/>
      <c r="K510" s="68"/>
      <c r="L510" s="68"/>
    </row>
    <row r="511" spans="1:12" ht="12.5" x14ac:dyDescent="0.25">
      <c r="A511" s="14"/>
      <c r="C511" s="68"/>
      <c r="D511" s="68"/>
      <c r="E511" s="68"/>
      <c r="F511" s="68"/>
      <c r="G511" s="68"/>
      <c r="H511" s="68"/>
      <c r="I511" s="68"/>
      <c r="J511" s="68"/>
      <c r="K511" s="68"/>
      <c r="L511" s="68"/>
    </row>
    <row r="512" spans="1:12" ht="12.5" x14ac:dyDescent="0.25">
      <c r="A512" s="14"/>
      <c r="C512" s="68"/>
      <c r="D512" s="68"/>
      <c r="E512" s="68"/>
      <c r="F512" s="68"/>
      <c r="G512" s="68"/>
      <c r="H512" s="68"/>
      <c r="I512" s="68"/>
      <c r="J512" s="68"/>
      <c r="K512" s="68"/>
      <c r="L512" s="68"/>
    </row>
    <row r="513" spans="1:12" ht="12.5" x14ac:dyDescent="0.25">
      <c r="A513" s="14"/>
      <c r="C513" s="68"/>
      <c r="D513" s="68"/>
      <c r="E513" s="68"/>
      <c r="F513" s="68"/>
      <c r="G513" s="68"/>
      <c r="H513" s="68"/>
      <c r="I513" s="68"/>
      <c r="J513" s="68"/>
      <c r="K513" s="68"/>
      <c r="L513" s="68"/>
    </row>
    <row r="514" spans="1:12" ht="12.5" x14ac:dyDescent="0.25">
      <c r="A514" s="14"/>
      <c r="C514" s="68"/>
      <c r="D514" s="68"/>
      <c r="E514" s="68"/>
      <c r="F514" s="68"/>
      <c r="G514" s="68"/>
      <c r="H514" s="68"/>
      <c r="I514" s="68"/>
      <c r="J514" s="68"/>
      <c r="K514" s="68"/>
      <c r="L514" s="68"/>
    </row>
    <row r="515" spans="1:12" ht="12.5" x14ac:dyDescent="0.25">
      <c r="A515" s="14"/>
      <c r="C515" s="68"/>
      <c r="D515" s="68"/>
      <c r="E515" s="68"/>
      <c r="F515" s="68"/>
      <c r="G515" s="68"/>
      <c r="H515" s="68"/>
      <c r="I515" s="68"/>
      <c r="J515" s="68"/>
      <c r="K515" s="68"/>
      <c r="L515" s="68"/>
    </row>
    <row r="516" spans="1:12" ht="12.5" x14ac:dyDescent="0.25">
      <c r="A516" s="14"/>
      <c r="C516" s="68"/>
      <c r="D516" s="68"/>
      <c r="E516" s="68"/>
      <c r="F516" s="68"/>
      <c r="G516" s="68"/>
      <c r="H516" s="68"/>
      <c r="I516" s="68"/>
      <c r="J516" s="68"/>
      <c r="K516" s="68"/>
      <c r="L516" s="68"/>
    </row>
    <row r="517" spans="1:12" ht="12.5" x14ac:dyDescent="0.25">
      <c r="A517" s="14"/>
      <c r="C517" s="68"/>
      <c r="D517" s="68"/>
      <c r="E517" s="68"/>
      <c r="F517" s="68"/>
      <c r="G517" s="68"/>
      <c r="H517" s="68"/>
      <c r="I517" s="68"/>
      <c r="J517" s="68"/>
      <c r="K517" s="68"/>
      <c r="L517" s="68"/>
    </row>
    <row r="518" spans="1:12" ht="12.5" x14ac:dyDescent="0.25">
      <c r="A518" s="14"/>
      <c r="C518" s="68"/>
      <c r="D518" s="68"/>
      <c r="E518" s="68"/>
      <c r="F518" s="68"/>
      <c r="G518" s="68"/>
      <c r="H518" s="68"/>
      <c r="I518" s="68"/>
      <c r="J518" s="68"/>
      <c r="K518" s="68"/>
      <c r="L518" s="68"/>
    </row>
    <row r="519" spans="1:12" ht="12.5" x14ac:dyDescent="0.25">
      <c r="A519" s="14"/>
      <c r="C519" s="68"/>
      <c r="D519" s="68"/>
      <c r="E519" s="68"/>
      <c r="F519" s="68"/>
      <c r="G519" s="68"/>
      <c r="H519" s="68"/>
      <c r="I519" s="68"/>
      <c r="J519" s="68"/>
      <c r="K519" s="68"/>
      <c r="L519" s="68"/>
    </row>
    <row r="520" spans="1:12" ht="12.5" x14ac:dyDescent="0.25">
      <c r="A520" s="14"/>
      <c r="C520" s="68"/>
      <c r="D520" s="68"/>
      <c r="E520" s="68"/>
      <c r="F520" s="68"/>
      <c r="G520" s="68"/>
      <c r="H520" s="68"/>
      <c r="I520" s="68"/>
      <c r="J520" s="68"/>
      <c r="K520" s="68"/>
      <c r="L520" s="68"/>
    </row>
    <row r="521" spans="1:12" ht="12.5" x14ac:dyDescent="0.25">
      <c r="A521" s="14"/>
      <c r="C521" s="68"/>
      <c r="D521" s="68"/>
      <c r="E521" s="68"/>
      <c r="F521" s="68"/>
      <c r="G521" s="68"/>
      <c r="H521" s="68"/>
      <c r="I521" s="68"/>
      <c r="J521" s="68"/>
      <c r="K521" s="68"/>
      <c r="L521" s="68"/>
    </row>
    <row r="522" spans="1:12" ht="12.5" x14ac:dyDescent="0.25">
      <c r="A522" s="14"/>
      <c r="C522" s="68"/>
      <c r="D522" s="68"/>
      <c r="E522" s="68"/>
      <c r="F522" s="68"/>
      <c r="G522" s="68"/>
      <c r="H522" s="68"/>
      <c r="I522" s="68"/>
      <c r="J522" s="68"/>
      <c r="K522" s="68"/>
      <c r="L522" s="68"/>
    </row>
    <row r="523" spans="1:12" ht="12.5" x14ac:dyDescent="0.25">
      <c r="A523" s="14"/>
      <c r="C523" s="68"/>
      <c r="D523" s="68"/>
      <c r="E523" s="68"/>
      <c r="F523" s="68"/>
      <c r="G523" s="68"/>
      <c r="H523" s="68"/>
      <c r="I523" s="68"/>
      <c r="J523" s="68"/>
      <c r="K523" s="68"/>
      <c r="L523" s="68"/>
    </row>
    <row r="524" spans="1:12" ht="12.5" x14ac:dyDescent="0.25">
      <c r="A524" s="14"/>
      <c r="C524" s="68"/>
      <c r="D524" s="68"/>
      <c r="E524" s="68"/>
      <c r="F524" s="68"/>
      <c r="G524" s="68"/>
      <c r="H524" s="68"/>
      <c r="I524" s="68"/>
      <c r="J524" s="68"/>
      <c r="K524" s="68"/>
      <c r="L524" s="68"/>
    </row>
    <row r="525" spans="1:12" ht="12.5" x14ac:dyDescent="0.25">
      <c r="A525" s="14"/>
      <c r="C525" s="68"/>
      <c r="D525" s="68"/>
      <c r="E525" s="68"/>
      <c r="F525" s="68"/>
      <c r="G525" s="68"/>
      <c r="H525" s="68"/>
      <c r="I525" s="68"/>
      <c r="J525" s="68"/>
      <c r="K525" s="68"/>
      <c r="L525" s="68"/>
    </row>
    <row r="526" spans="1:12" ht="12.5" x14ac:dyDescent="0.25">
      <c r="A526" s="14"/>
      <c r="C526" s="68"/>
      <c r="D526" s="68"/>
      <c r="E526" s="68"/>
      <c r="F526" s="68"/>
      <c r="G526" s="68"/>
      <c r="H526" s="68"/>
      <c r="I526" s="68"/>
      <c r="J526" s="68"/>
      <c r="K526" s="68"/>
      <c r="L526" s="68"/>
    </row>
    <row r="527" spans="1:12" ht="12.5" x14ac:dyDescent="0.25">
      <c r="A527" s="14"/>
      <c r="C527" s="68"/>
      <c r="D527" s="68"/>
      <c r="E527" s="68"/>
      <c r="F527" s="68"/>
      <c r="G527" s="68"/>
      <c r="H527" s="68"/>
      <c r="I527" s="68"/>
      <c r="J527" s="68"/>
      <c r="K527" s="68"/>
      <c r="L527" s="68"/>
    </row>
    <row r="528" spans="1:12" ht="12.5" x14ac:dyDescent="0.25">
      <c r="A528" s="14"/>
      <c r="C528" s="68"/>
      <c r="D528" s="68"/>
      <c r="E528" s="68"/>
      <c r="F528" s="68"/>
      <c r="G528" s="68"/>
      <c r="H528" s="68"/>
      <c r="I528" s="68"/>
      <c r="J528" s="68"/>
      <c r="K528" s="68"/>
      <c r="L528" s="68"/>
    </row>
    <row r="529" spans="1:12" ht="12.5" x14ac:dyDescent="0.25">
      <c r="A529" s="14"/>
      <c r="C529" s="68"/>
      <c r="D529" s="68"/>
      <c r="E529" s="68"/>
      <c r="F529" s="68"/>
      <c r="G529" s="68"/>
      <c r="H529" s="68"/>
      <c r="I529" s="68"/>
      <c r="J529" s="68"/>
      <c r="K529" s="68"/>
      <c r="L529" s="68"/>
    </row>
    <row r="530" spans="1:12" ht="12.5" x14ac:dyDescent="0.25">
      <c r="A530" s="14"/>
      <c r="C530" s="68"/>
      <c r="D530" s="68"/>
      <c r="E530" s="68"/>
      <c r="F530" s="68"/>
      <c r="G530" s="68"/>
      <c r="H530" s="68"/>
      <c r="I530" s="68"/>
      <c r="J530" s="68"/>
      <c r="K530" s="68"/>
      <c r="L530" s="68"/>
    </row>
    <row r="531" spans="1:12" ht="12.5" x14ac:dyDescent="0.25">
      <c r="A531" s="14"/>
      <c r="C531" s="68"/>
      <c r="D531" s="68"/>
      <c r="E531" s="68"/>
      <c r="F531" s="68"/>
      <c r="G531" s="68"/>
      <c r="H531" s="68"/>
      <c r="I531" s="68"/>
      <c r="J531" s="68"/>
      <c r="K531" s="68"/>
      <c r="L531" s="68"/>
    </row>
    <row r="532" spans="1:12" ht="12.5" x14ac:dyDescent="0.25">
      <c r="A532" s="14"/>
      <c r="C532" s="68"/>
      <c r="D532" s="68"/>
      <c r="E532" s="68"/>
      <c r="F532" s="68"/>
      <c r="G532" s="68"/>
      <c r="H532" s="68"/>
      <c r="I532" s="68"/>
      <c r="J532" s="68"/>
      <c r="K532" s="68"/>
      <c r="L532" s="68"/>
    </row>
    <row r="533" spans="1:12" ht="12.5" x14ac:dyDescent="0.25">
      <c r="A533" s="14"/>
      <c r="C533" s="68"/>
      <c r="D533" s="68"/>
      <c r="E533" s="68"/>
      <c r="F533" s="68"/>
      <c r="G533" s="68"/>
      <c r="H533" s="68"/>
      <c r="I533" s="68"/>
      <c r="J533" s="68"/>
      <c r="K533" s="68"/>
      <c r="L533" s="68"/>
    </row>
    <row r="534" spans="1:12" ht="12.5" x14ac:dyDescent="0.25">
      <c r="A534" s="14"/>
      <c r="C534" s="68"/>
      <c r="D534" s="68"/>
      <c r="E534" s="68"/>
      <c r="F534" s="68"/>
      <c r="G534" s="68"/>
      <c r="H534" s="68"/>
      <c r="I534" s="68"/>
      <c r="J534" s="68"/>
      <c r="K534" s="68"/>
      <c r="L534" s="68"/>
    </row>
    <row r="535" spans="1:12" ht="12.5" x14ac:dyDescent="0.25">
      <c r="A535" s="14"/>
      <c r="C535" s="68"/>
      <c r="D535" s="68"/>
      <c r="E535" s="68"/>
      <c r="F535" s="68"/>
      <c r="G535" s="68"/>
      <c r="H535" s="68"/>
      <c r="I535" s="68"/>
      <c r="J535" s="68"/>
      <c r="K535" s="68"/>
      <c r="L535" s="68"/>
    </row>
    <row r="536" spans="1:12" ht="12.5" x14ac:dyDescent="0.25">
      <c r="A536" s="14"/>
      <c r="C536" s="68"/>
      <c r="D536" s="68"/>
      <c r="E536" s="68"/>
      <c r="F536" s="68"/>
      <c r="G536" s="68"/>
      <c r="H536" s="68"/>
      <c r="I536" s="68"/>
      <c r="J536" s="68"/>
      <c r="K536" s="68"/>
      <c r="L536" s="68"/>
    </row>
    <row r="537" spans="1:12" ht="12.5" x14ac:dyDescent="0.25">
      <c r="A537" s="14"/>
      <c r="C537" s="68"/>
      <c r="D537" s="68"/>
      <c r="E537" s="68"/>
      <c r="F537" s="68"/>
      <c r="G537" s="68"/>
      <c r="H537" s="68"/>
      <c r="I537" s="68"/>
      <c r="J537" s="68"/>
      <c r="K537" s="68"/>
      <c r="L537" s="68"/>
    </row>
    <row r="538" spans="1:12" ht="12.5" x14ac:dyDescent="0.25">
      <c r="A538" s="14"/>
      <c r="C538" s="68"/>
      <c r="D538" s="68"/>
      <c r="E538" s="68"/>
      <c r="F538" s="68"/>
      <c r="G538" s="68"/>
      <c r="H538" s="68"/>
      <c r="I538" s="68"/>
      <c r="J538" s="68"/>
      <c r="K538" s="68"/>
      <c r="L538" s="68"/>
    </row>
    <row r="539" spans="1:12" ht="12.5" x14ac:dyDescent="0.25">
      <c r="A539" s="14"/>
      <c r="C539" s="68"/>
      <c r="D539" s="68"/>
      <c r="E539" s="68"/>
      <c r="F539" s="68"/>
      <c r="G539" s="68"/>
      <c r="H539" s="68"/>
      <c r="I539" s="68"/>
      <c r="J539" s="68"/>
      <c r="K539" s="68"/>
      <c r="L539" s="68"/>
    </row>
    <row r="540" spans="1:12" ht="12.5" x14ac:dyDescent="0.25">
      <c r="A540" s="14"/>
      <c r="C540" s="68"/>
      <c r="D540" s="68"/>
      <c r="E540" s="68"/>
      <c r="F540" s="68"/>
      <c r="G540" s="68"/>
      <c r="H540" s="68"/>
      <c r="I540" s="68"/>
      <c r="J540" s="68"/>
      <c r="K540" s="68"/>
      <c r="L540" s="68"/>
    </row>
    <row r="541" spans="1:12" ht="12.5" x14ac:dyDescent="0.25">
      <c r="A541" s="14"/>
      <c r="C541" s="68"/>
      <c r="D541" s="68"/>
      <c r="E541" s="68"/>
      <c r="F541" s="68"/>
      <c r="G541" s="68"/>
      <c r="H541" s="68"/>
      <c r="I541" s="68"/>
      <c r="J541" s="68"/>
      <c r="K541" s="68"/>
      <c r="L541" s="68"/>
    </row>
    <row r="542" spans="1:12" ht="12.5" x14ac:dyDescent="0.25">
      <c r="A542" s="14"/>
      <c r="C542" s="68"/>
      <c r="D542" s="68"/>
      <c r="E542" s="68"/>
      <c r="F542" s="68"/>
      <c r="G542" s="68"/>
      <c r="H542" s="68"/>
      <c r="I542" s="68"/>
      <c r="J542" s="68"/>
      <c r="K542" s="68"/>
      <c r="L542" s="68"/>
    </row>
    <row r="543" spans="1:12" ht="12.5" x14ac:dyDescent="0.25">
      <c r="A543" s="14"/>
      <c r="C543" s="68"/>
      <c r="D543" s="68"/>
      <c r="E543" s="68"/>
      <c r="F543" s="68"/>
      <c r="G543" s="68"/>
      <c r="H543" s="68"/>
      <c r="I543" s="68"/>
      <c r="J543" s="68"/>
      <c r="K543" s="68"/>
      <c r="L543" s="68"/>
    </row>
    <row r="544" spans="1:12" ht="12.5" x14ac:dyDescent="0.25">
      <c r="A544" s="14"/>
      <c r="C544" s="68"/>
      <c r="D544" s="68"/>
      <c r="E544" s="68"/>
      <c r="F544" s="68"/>
      <c r="G544" s="68"/>
      <c r="H544" s="68"/>
      <c r="I544" s="68"/>
      <c r="J544" s="68"/>
      <c r="K544" s="68"/>
      <c r="L544" s="68"/>
    </row>
    <row r="545" spans="1:12" ht="12.5" x14ac:dyDescent="0.25">
      <c r="A545" s="14"/>
      <c r="C545" s="68"/>
      <c r="D545" s="68"/>
      <c r="E545" s="68"/>
      <c r="F545" s="68"/>
      <c r="G545" s="68"/>
      <c r="H545" s="68"/>
      <c r="I545" s="68"/>
      <c r="J545" s="68"/>
      <c r="K545" s="68"/>
      <c r="L545" s="68"/>
    </row>
    <row r="546" spans="1:12" ht="12.5" x14ac:dyDescent="0.25">
      <c r="A546" s="14"/>
      <c r="C546" s="68"/>
      <c r="D546" s="68"/>
      <c r="E546" s="68"/>
      <c r="F546" s="68"/>
      <c r="G546" s="68"/>
      <c r="H546" s="68"/>
      <c r="I546" s="68"/>
      <c r="J546" s="68"/>
      <c r="K546" s="68"/>
      <c r="L546" s="68"/>
    </row>
    <row r="547" spans="1:12" ht="12.5" x14ac:dyDescent="0.25">
      <c r="A547" s="14"/>
      <c r="C547" s="68"/>
      <c r="D547" s="68"/>
      <c r="E547" s="68"/>
      <c r="F547" s="68"/>
      <c r="G547" s="68"/>
      <c r="H547" s="68"/>
      <c r="I547" s="68"/>
      <c r="J547" s="68"/>
      <c r="K547" s="68"/>
      <c r="L547" s="68"/>
    </row>
    <row r="548" spans="1:12" ht="12.5" x14ac:dyDescent="0.25">
      <c r="A548" s="14"/>
      <c r="C548" s="68"/>
      <c r="D548" s="68"/>
      <c r="E548" s="68"/>
      <c r="F548" s="68"/>
      <c r="G548" s="68"/>
      <c r="H548" s="68"/>
      <c r="I548" s="68"/>
      <c r="J548" s="68"/>
      <c r="K548" s="68"/>
      <c r="L548" s="68"/>
    </row>
    <row r="549" spans="1:12" ht="12.5" x14ac:dyDescent="0.25">
      <c r="A549" s="14"/>
      <c r="C549" s="68"/>
      <c r="D549" s="68"/>
      <c r="E549" s="68"/>
      <c r="F549" s="68"/>
      <c r="G549" s="68"/>
      <c r="H549" s="68"/>
      <c r="I549" s="68"/>
      <c r="J549" s="68"/>
      <c r="K549" s="68"/>
      <c r="L549" s="68"/>
    </row>
    <row r="550" spans="1:12" ht="12.5" x14ac:dyDescent="0.25">
      <c r="A550" s="14"/>
      <c r="C550" s="68"/>
      <c r="D550" s="68"/>
      <c r="E550" s="68"/>
      <c r="F550" s="68"/>
      <c r="G550" s="68"/>
      <c r="H550" s="68"/>
      <c r="I550" s="68"/>
      <c r="J550" s="68"/>
      <c r="K550" s="68"/>
      <c r="L550" s="68"/>
    </row>
    <row r="551" spans="1:12" ht="12.5" x14ac:dyDescent="0.25">
      <c r="A551" s="14"/>
      <c r="C551" s="68"/>
      <c r="D551" s="68"/>
      <c r="E551" s="68"/>
      <c r="F551" s="68"/>
      <c r="G551" s="68"/>
      <c r="H551" s="68"/>
      <c r="I551" s="68"/>
      <c r="J551" s="68"/>
      <c r="K551" s="68"/>
      <c r="L551" s="68"/>
    </row>
    <row r="552" spans="1:12" ht="12.5" x14ac:dyDescent="0.25">
      <c r="A552" s="14"/>
      <c r="C552" s="68"/>
      <c r="D552" s="68"/>
      <c r="E552" s="68"/>
      <c r="F552" s="68"/>
      <c r="G552" s="68"/>
      <c r="H552" s="68"/>
      <c r="I552" s="68"/>
      <c r="J552" s="68"/>
      <c r="K552" s="68"/>
      <c r="L552" s="68"/>
    </row>
    <row r="553" spans="1:12" ht="12.5" x14ac:dyDescent="0.25">
      <c r="A553" s="14"/>
      <c r="C553" s="68"/>
      <c r="D553" s="68"/>
      <c r="E553" s="68"/>
      <c r="F553" s="68"/>
      <c r="G553" s="68"/>
      <c r="H553" s="68"/>
      <c r="I553" s="68"/>
      <c r="J553" s="68"/>
      <c r="K553" s="68"/>
      <c r="L553" s="68"/>
    </row>
    <row r="554" spans="1:12" ht="12.5" x14ac:dyDescent="0.25">
      <c r="A554" s="14"/>
      <c r="C554" s="68"/>
      <c r="D554" s="68"/>
      <c r="E554" s="68"/>
      <c r="F554" s="68"/>
      <c r="G554" s="68"/>
      <c r="H554" s="68"/>
      <c r="I554" s="68"/>
      <c r="J554" s="68"/>
      <c r="K554" s="68"/>
      <c r="L554" s="68"/>
    </row>
    <row r="555" spans="1:12" ht="12.5" x14ac:dyDescent="0.25">
      <c r="A555" s="14"/>
      <c r="C555" s="68"/>
      <c r="D555" s="68"/>
      <c r="E555" s="68"/>
      <c r="F555" s="68"/>
      <c r="G555" s="68"/>
      <c r="H555" s="68"/>
      <c r="I555" s="68"/>
      <c r="J555" s="68"/>
      <c r="K555" s="68"/>
      <c r="L555" s="68"/>
    </row>
    <row r="556" spans="1:12" ht="12.5" x14ac:dyDescent="0.25">
      <c r="A556" s="14"/>
      <c r="C556" s="68"/>
      <c r="D556" s="68"/>
      <c r="E556" s="68"/>
      <c r="F556" s="68"/>
      <c r="G556" s="68"/>
      <c r="H556" s="68"/>
      <c r="I556" s="68"/>
      <c r="J556" s="68"/>
      <c r="K556" s="68"/>
      <c r="L556" s="68"/>
    </row>
    <row r="557" spans="1:12" ht="12.5" x14ac:dyDescent="0.25">
      <c r="A557" s="14"/>
      <c r="C557" s="68"/>
      <c r="D557" s="68"/>
      <c r="E557" s="68"/>
      <c r="F557" s="68"/>
      <c r="G557" s="68"/>
      <c r="H557" s="68"/>
      <c r="I557" s="68"/>
      <c r="J557" s="68"/>
      <c r="K557" s="68"/>
      <c r="L557" s="68"/>
    </row>
    <row r="558" spans="1:12" ht="12.5" x14ac:dyDescent="0.25">
      <c r="A558" s="14"/>
      <c r="C558" s="68"/>
      <c r="D558" s="68"/>
      <c r="E558" s="68"/>
      <c r="F558" s="68"/>
      <c r="G558" s="68"/>
      <c r="H558" s="68"/>
      <c r="I558" s="68"/>
      <c r="J558" s="68"/>
      <c r="K558" s="68"/>
      <c r="L558" s="68"/>
    </row>
    <row r="559" spans="1:12" ht="12.5" x14ac:dyDescent="0.25">
      <c r="A559" s="14"/>
      <c r="C559" s="68"/>
      <c r="D559" s="68"/>
      <c r="E559" s="68"/>
      <c r="F559" s="68"/>
      <c r="G559" s="68"/>
      <c r="H559" s="68"/>
      <c r="I559" s="68"/>
      <c r="J559" s="68"/>
      <c r="K559" s="68"/>
      <c r="L559" s="68"/>
    </row>
    <row r="560" spans="1:12" ht="12.5" x14ac:dyDescent="0.25">
      <c r="A560" s="14"/>
      <c r="C560" s="68"/>
      <c r="D560" s="68"/>
      <c r="E560" s="68"/>
      <c r="F560" s="68"/>
      <c r="G560" s="68"/>
      <c r="H560" s="68"/>
      <c r="I560" s="68"/>
      <c r="J560" s="68"/>
      <c r="K560" s="68"/>
      <c r="L560" s="68"/>
    </row>
    <row r="561" spans="1:12" ht="12.5" x14ac:dyDescent="0.25">
      <c r="A561" s="14"/>
      <c r="C561" s="68"/>
      <c r="D561" s="68"/>
      <c r="E561" s="68"/>
      <c r="F561" s="68"/>
      <c r="G561" s="68"/>
      <c r="H561" s="68"/>
      <c r="I561" s="68"/>
      <c r="J561" s="68"/>
      <c r="K561" s="68"/>
      <c r="L561" s="68"/>
    </row>
    <row r="562" spans="1:12" ht="12.5" x14ac:dyDescent="0.25">
      <c r="A562" s="14"/>
      <c r="C562" s="68"/>
      <c r="D562" s="68"/>
      <c r="E562" s="68"/>
      <c r="F562" s="68"/>
      <c r="G562" s="68"/>
      <c r="H562" s="68"/>
      <c r="I562" s="68"/>
      <c r="J562" s="68"/>
      <c r="K562" s="68"/>
      <c r="L562" s="68"/>
    </row>
    <row r="563" spans="1:12" ht="12.5" x14ac:dyDescent="0.25">
      <c r="A563" s="14"/>
      <c r="C563" s="68"/>
      <c r="D563" s="68"/>
      <c r="E563" s="68"/>
      <c r="F563" s="68"/>
      <c r="G563" s="68"/>
      <c r="H563" s="68"/>
      <c r="I563" s="68"/>
      <c r="J563" s="68"/>
      <c r="K563" s="68"/>
      <c r="L563" s="68"/>
    </row>
    <row r="564" spans="1:12" ht="12.5" x14ac:dyDescent="0.25">
      <c r="A564" s="14"/>
      <c r="C564" s="68"/>
      <c r="D564" s="68"/>
      <c r="E564" s="68"/>
      <c r="F564" s="68"/>
      <c r="G564" s="68"/>
      <c r="H564" s="68"/>
      <c r="I564" s="68"/>
      <c r="J564" s="68"/>
      <c r="K564" s="68"/>
      <c r="L564" s="68"/>
    </row>
    <row r="565" spans="1:12" ht="12.5" x14ac:dyDescent="0.25">
      <c r="A565" s="14"/>
      <c r="C565" s="68"/>
      <c r="D565" s="68"/>
      <c r="E565" s="68"/>
      <c r="F565" s="68"/>
      <c r="G565" s="68"/>
      <c r="H565" s="68"/>
      <c r="I565" s="68"/>
      <c r="J565" s="68"/>
      <c r="K565" s="68"/>
      <c r="L565" s="68"/>
    </row>
    <row r="566" spans="1:12" ht="12.5" x14ac:dyDescent="0.25">
      <c r="A566" s="14"/>
      <c r="C566" s="68"/>
      <c r="D566" s="68"/>
      <c r="E566" s="68"/>
      <c r="F566" s="68"/>
      <c r="G566" s="68"/>
      <c r="H566" s="68"/>
      <c r="I566" s="68"/>
      <c r="J566" s="68"/>
      <c r="K566" s="68"/>
      <c r="L566" s="68"/>
    </row>
    <row r="567" spans="1:12" ht="12.5" x14ac:dyDescent="0.25">
      <c r="A567" s="14"/>
      <c r="C567" s="68"/>
      <c r="D567" s="68"/>
      <c r="E567" s="68"/>
      <c r="F567" s="68"/>
      <c r="G567" s="68"/>
      <c r="H567" s="68"/>
      <c r="I567" s="68"/>
      <c r="J567" s="68"/>
      <c r="K567" s="68"/>
      <c r="L567" s="68"/>
    </row>
    <row r="568" spans="1:12" ht="12.5" x14ac:dyDescent="0.25">
      <c r="A568" s="14"/>
      <c r="C568" s="68"/>
      <c r="D568" s="68"/>
      <c r="E568" s="68"/>
      <c r="F568" s="68"/>
      <c r="G568" s="68"/>
      <c r="H568" s="68"/>
      <c r="I568" s="68"/>
      <c r="J568" s="68"/>
      <c r="K568" s="68"/>
      <c r="L568" s="68"/>
    </row>
    <row r="569" spans="1:12" ht="12.5" x14ac:dyDescent="0.25">
      <c r="A569" s="14"/>
      <c r="C569" s="68"/>
      <c r="D569" s="68"/>
      <c r="E569" s="68"/>
      <c r="F569" s="68"/>
      <c r="G569" s="68"/>
      <c r="H569" s="68"/>
      <c r="I569" s="68"/>
      <c r="J569" s="68"/>
      <c r="K569" s="68"/>
      <c r="L569" s="68"/>
    </row>
    <row r="570" spans="1:12" ht="12.5" x14ac:dyDescent="0.25">
      <c r="A570" s="14"/>
      <c r="C570" s="68"/>
      <c r="D570" s="68"/>
      <c r="E570" s="68"/>
      <c r="F570" s="68"/>
      <c r="G570" s="68"/>
      <c r="H570" s="68"/>
      <c r="I570" s="68"/>
      <c r="J570" s="68"/>
      <c r="K570" s="68"/>
      <c r="L570" s="68"/>
    </row>
    <row r="571" spans="1:12" ht="12.5" x14ac:dyDescent="0.25">
      <c r="A571" s="14"/>
      <c r="C571" s="68"/>
      <c r="D571" s="68"/>
      <c r="E571" s="68"/>
      <c r="F571" s="68"/>
      <c r="G571" s="68"/>
      <c r="H571" s="68"/>
      <c r="I571" s="68"/>
      <c r="J571" s="68"/>
      <c r="K571" s="68"/>
      <c r="L571" s="68"/>
    </row>
    <row r="572" spans="1:12" ht="12.5" x14ac:dyDescent="0.25">
      <c r="A572" s="14"/>
      <c r="C572" s="68"/>
      <c r="D572" s="68"/>
      <c r="E572" s="68"/>
      <c r="F572" s="68"/>
      <c r="G572" s="68"/>
      <c r="H572" s="68"/>
      <c r="I572" s="68"/>
      <c r="J572" s="68"/>
      <c r="K572" s="68"/>
      <c r="L572" s="68"/>
    </row>
    <row r="573" spans="1:12" ht="12.5" x14ac:dyDescent="0.25">
      <c r="A573" s="14"/>
      <c r="C573" s="68"/>
      <c r="D573" s="68"/>
      <c r="E573" s="68"/>
      <c r="F573" s="68"/>
      <c r="G573" s="68"/>
      <c r="H573" s="68"/>
      <c r="I573" s="68"/>
      <c r="J573" s="68"/>
      <c r="K573" s="68"/>
      <c r="L573" s="68"/>
    </row>
    <row r="574" spans="1:12" ht="12.5" x14ac:dyDescent="0.25">
      <c r="A574" s="14"/>
      <c r="C574" s="68"/>
      <c r="D574" s="68"/>
      <c r="E574" s="68"/>
      <c r="F574" s="68"/>
      <c r="G574" s="68"/>
      <c r="H574" s="68"/>
      <c r="I574" s="68"/>
      <c r="J574" s="68"/>
      <c r="K574" s="68"/>
      <c r="L574" s="68"/>
    </row>
    <row r="575" spans="1:12" ht="12.5" x14ac:dyDescent="0.25">
      <c r="A575" s="14"/>
      <c r="C575" s="68"/>
      <c r="D575" s="68"/>
      <c r="E575" s="68"/>
      <c r="F575" s="68"/>
      <c r="G575" s="68"/>
      <c r="H575" s="68"/>
      <c r="I575" s="68"/>
      <c r="J575" s="68"/>
      <c r="K575" s="68"/>
      <c r="L575" s="68"/>
    </row>
    <row r="576" spans="1:12" ht="12.5" x14ac:dyDescent="0.25">
      <c r="A576" s="14"/>
      <c r="C576" s="68"/>
      <c r="D576" s="68"/>
      <c r="E576" s="68"/>
      <c r="F576" s="68"/>
      <c r="G576" s="68"/>
      <c r="H576" s="68"/>
      <c r="I576" s="68"/>
      <c r="J576" s="68"/>
      <c r="K576" s="68"/>
      <c r="L576" s="68"/>
    </row>
    <row r="577" spans="1:12" ht="12.5" x14ac:dyDescent="0.25">
      <c r="A577" s="14"/>
      <c r="C577" s="68"/>
      <c r="D577" s="68"/>
      <c r="E577" s="68"/>
      <c r="F577" s="68"/>
      <c r="G577" s="68"/>
      <c r="H577" s="68"/>
      <c r="I577" s="68"/>
      <c r="J577" s="68"/>
      <c r="K577" s="68"/>
      <c r="L577" s="68"/>
    </row>
    <row r="578" spans="1:12" ht="12.5" x14ac:dyDescent="0.25">
      <c r="A578" s="14"/>
      <c r="C578" s="68"/>
      <c r="D578" s="68"/>
      <c r="E578" s="68"/>
      <c r="F578" s="68"/>
      <c r="G578" s="68"/>
      <c r="H578" s="68"/>
      <c r="I578" s="68"/>
      <c r="J578" s="68"/>
      <c r="K578" s="68"/>
      <c r="L578" s="68"/>
    </row>
    <row r="579" spans="1:12" ht="12.5" x14ac:dyDescent="0.25">
      <c r="A579" s="14"/>
      <c r="C579" s="68"/>
      <c r="D579" s="68"/>
      <c r="E579" s="68"/>
      <c r="F579" s="68"/>
      <c r="G579" s="68"/>
      <c r="H579" s="68"/>
      <c r="I579" s="68"/>
      <c r="J579" s="68"/>
      <c r="K579" s="68"/>
      <c r="L579" s="68"/>
    </row>
    <row r="580" spans="1:12" ht="12.5" x14ac:dyDescent="0.25">
      <c r="A580" s="14"/>
      <c r="C580" s="68"/>
      <c r="D580" s="68"/>
      <c r="E580" s="68"/>
      <c r="F580" s="68"/>
      <c r="G580" s="68"/>
      <c r="H580" s="68"/>
      <c r="I580" s="68"/>
      <c r="J580" s="68"/>
      <c r="K580" s="68"/>
      <c r="L580" s="68"/>
    </row>
    <row r="581" spans="1:12" ht="12.5" x14ac:dyDescent="0.25">
      <c r="A581" s="14"/>
      <c r="C581" s="68"/>
      <c r="D581" s="68"/>
      <c r="E581" s="68"/>
      <c r="F581" s="68"/>
      <c r="G581" s="68"/>
      <c r="H581" s="68"/>
      <c r="I581" s="68"/>
      <c r="J581" s="68"/>
      <c r="K581" s="68"/>
      <c r="L581" s="68"/>
    </row>
    <row r="582" spans="1:12" ht="12.5" x14ac:dyDescent="0.25">
      <c r="A582" s="14"/>
      <c r="C582" s="68"/>
      <c r="D582" s="68"/>
      <c r="E582" s="68"/>
      <c r="F582" s="68"/>
      <c r="G582" s="68"/>
      <c r="H582" s="68"/>
      <c r="I582" s="68"/>
      <c r="J582" s="68"/>
      <c r="K582" s="68"/>
      <c r="L582" s="68"/>
    </row>
    <row r="583" spans="1:12" ht="12.5" x14ac:dyDescent="0.25">
      <c r="A583" s="14"/>
      <c r="C583" s="68"/>
      <c r="D583" s="68"/>
      <c r="E583" s="68"/>
      <c r="F583" s="68"/>
      <c r="G583" s="68"/>
      <c r="H583" s="68"/>
      <c r="I583" s="68"/>
      <c r="J583" s="68"/>
      <c r="K583" s="68"/>
      <c r="L583" s="68"/>
    </row>
    <row r="584" spans="1:12" ht="12.5" x14ac:dyDescent="0.25">
      <c r="A584" s="14"/>
      <c r="C584" s="68"/>
      <c r="D584" s="68"/>
      <c r="E584" s="68"/>
      <c r="F584" s="68"/>
      <c r="G584" s="68"/>
      <c r="H584" s="68"/>
      <c r="I584" s="68"/>
      <c r="J584" s="68"/>
      <c r="K584" s="68"/>
      <c r="L584" s="68"/>
    </row>
    <row r="585" spans="1:12" ht="12.5" x14ac:dyDescent="0.25">
      <c r="A585" s="14"/>
      <c r="C585" s="68"/>
      <c r="D585" s="68"/>
      <c r="E585" s="68"/>
      <c r="F585" s="68"/>
      <c r="G585" s="68"/>
      <c r="H585" s="68"/>
      <c r="I585" s="68"/>
      <c r="J585" s="68"/>
      <c r="K585" s="68"/>
      <c r="L585" s="68"/>
    </row>
    <row r="586" spans="1:12" ht="12.5" x14ac:dyDescent="0.25">
      <c r="A586" s="14"/>
      <c r="C586" s="68"/>
      <c r="D586" s="68"/>
      <c r="E586" s="68"/>
      <c r="F586" s="68"/>
      <c r="G586" s="68"/>
      <c r="H586" s="68"/>
      <c r="I586" s="68"/>
      <c r="J586" s="68"/>
      <c r="K586" s="68"/>
      <c r="L586" s="68"/>
    </row>
    <row r="587" spans="1:12" ht="12.5" x14ac:dyDescent="0.25">
      <c r="A587" s="14"/>
      <c r="C587" s="68"/>
      <c r="D587" s="68"/>
      <c r="E587" s="68"/>
      <c r="F587" s="68"/>
      <c r="G587" s="68"/>
      <c r="H587" s="68"/>
      <c r="I587" s="68"/>
      <c r="J587" s="68"/>
      <c r="K587" s="68"/>
      <c r="L587" s="68"/>
    </row>
    <row r="588" spans="1:12" ht="12.5" x14ac:dyDescent="0.25">
      <c r="A588" s="14"/>
      <c r="C588" s="68"/>
      <c r="D588" s="68"/>
      <c r="E588" s="68"/>
      <c r="F588" s="68"/>
      <c r="G588" s="68"/>
      <c r="H588" s="68"/>
      <c r="I588" s="68"/>
      <c r="J588" s="68"/>
      <c r="K588" s="68"/>
      <c r="L588" s="68"/>
    </row>
    <row r="589" spans="1:12" ht="12.5" x14ac:dyDescent="0.25">
      <c r="A589" s="14"/>
      <c r="C589" s="68"/>
      <c r="D589" s="68"/>
      <c r="E589" s="68"/>
      <c r="F589" s="68"/>
      <c r="G589" s="68"/>
      <c r="H589" s="68"/>
      <c r="I589" s="68"/>
      <c r="J589" s="68"/>
      <c r="K589" s="68"/>
      <c r="L589" s="68"/>
    </row>
    <row r="590" spans="1:12" ht="12.5" x14ac:dyDescent="0.25">
      <c r="A590" s="14"/>
      <c r="C590" s="68"/>
      <c r="D590" s="68"/>
      <c r="E590" s="68"/>
      <c r="F590" s="68"/>
      <c r="G590" s="68"/>
      <c r="H590" s="68"/>
      <c r="I590" s="68"/>
      <c r="J590" s="68"/>
      <c r="K590" s="68"/>
      <c r="L590" s="68"/>
    </row>
    <row r="591" spans="1:12" ht="12.5" x14ac:dyDescent="0.25">
      <c r="A591" s="14"/>
      <c r="C591" s="68"/>
      <c r="D591" s="68"/>
      <c r="E591" s="68"/>
      <c r="F591" s="68"/>
      <c r="G591" s="68"/>
      <c r="H591" s="68"/>
      <c r="I591" s="68"/>
      <c r="J591" s="68"/>
      <c r="K591" s="68"/>
      <c r="L591" s="68"/>
    </row>
    <row r="592" spans="1:12" ht="12.5" x14ac:dyDescent="0.25">
      <c r="A592" s="14"/>
      <c r="C592" s="68"/>
      <c r="D592" s="68"/>
      <c r="E592" s="68"/>
      <c r="F592" s="68"/>
      <c r="G592" s="68"/>
      <c r="H592" s="68"/>
      <c r="I592" s="68"/>
      <c r="J592" s="68"/>
      <c r="K592" s="68"/>
      <c r="L592" s="68"/>
    </row>
    <row r="593" spans="1:12" ht="12.5" x14ac:dyDescent="0.25">
      <c r="A593" s="14"/>
      <c r="C593" s="68"/>
      <c r="D593" s="68"/>
      <c r="E593" s="68"/>
      <c r="F593" s="68"/>
      <c r="G593" s="68"/>
      <c r="H593" s="68"/>
      <c r="I593" s="68"/>
      <c r="J593" s="68"/>
      <c r="K593" s="68"/>
      <c r="L593" s="68"/>
    </row>
    <row r="594" spans="1:12" ht="12.5" x14ac:dyDescent="0.25">
      <c r="A594" s="14"/>
      <c r="C594" s="68"/>
      <c r="D594" s="68"/>
      <c r="E594" s="68"/>
      <c r="F594" s="68"/>
      <c r="G594" s="68"/>
      <c r="H594" s="68"/>
      <c r="I594" s="68"/>
      <c r="J594" s="68"/>
      <c r="K594" s="68"/>
      <c r="L594" s="68"/>
    </row>
    <row r="595" spans="1:12" ht="12.5" x14ac:dyDescent="0.25">
      <c r="A595" s="14"/>
      <c r="C595" s="68"/>
      <c r="D595" s="68"/>
      <c r="E595" s="68"/>
      <c r="F595" s="68"/>
      <c r="G595" s="68"/>
      <c r="H595" s="68"/>
      <c r="I595" s="68"/>
      <c r="J595" s="68"/>
      <c r="K595" s="68"/>
      <c r="L595" s="68"/>
    </row>
    <row r="596" spans="1:12" ht="12.5" x14ac:dyDescent="0.25">
      <c r="A596" s="14"/>
      <c r="C596" s="68"/>
      <c r="D596" s="68"/>
      <c r="E596" s="68"/>
      <c r="F596" s="68"/>
      <c r="G596" s="68"/>
      <c r="H596" s="68"/>
      <c r="I596" s="68"/>
      <c r="J596" s="68"/>
      <c r="K596" s="68"/>
      <c r="L596" s="68"/>
    </row>
    <row r="597" spans="1:12" ht="12.5" x14ac:dyDescent="0.25">
      <c r="A597" s="14"/>
      <c r="C597" s="68"/>
      <c r="D597" s="68"/>
      <c r="E597" s="68"/>
      <c r="F597" s="68"/>
      <c r="G597" s="68"/>
      <c r="H597" s="68"/>
      <c r="I597" s="68"/>
      <c r="J597" s="68"/>
      <c r="K597" s="68"/>
      <c r="L597" s="68"/>
    </row>
    <row r="598" spans="1:12" ht="12.5" x14ac:dyDescent="0.25">
      <c r="A598" s="14"/>
      <c r="C598" s="68"/>
      <c r="D598" s="68"/>
      <c r="E598" s="68"/>
      <c r="F598" s="68"/>
      <c r="G598" s="68"/>
      <c r="H598" s="68"/>
      <c r="I598" s="68"/>
      <c r="J598" s="68"/>
      <c r="K598" s="68"/>
      <c r="L598" s="68"/>
    </row>
    <row r="599" spans="1:12" ht="12.5" x14ac:dyDescent="0.25">
      <c r="A599" s="14"/>
      <c r="C599" s="68"/>
      <c r="D599" s="68"/>
      <c r="E599" s="68"/>
      <c r="F599" s="68"/>
      <c r="G599" s="68"/>
      <c r="H599" s="68"/>
      <c r="I599" s="68"/>
      <c r="J599" s="68"/>
      <c r="K599" s="68"/>
      <c r="L599" s="68"/>
    </row>
    <row r="600" spans="1:12" ht="12.5" x14ac:dyDescent="0.25">
      <c r="A600" s="14"/>
      <c r="C600" s="68"/>
      <c r="D600" s="68"/>
      <c r="E600" s="68"/>
      <c r="F600" s="68"/>
      <c r="G600" s="68"/>
      <c r="H600" s="68"/>
      <c r="I600" s="68"/>
      <c r="J600" s="68"/>
      <c r="K600" s="68"/>
      <c r="L600" s="68"/>
    </row>
    <row r="601" spans="1:12" ht="12.5" x14ac:dyDescent="0.25">
      <c r="A601" s="14"/>
      <c r="C601" s="68"/>
      <c r="D601" s="68"/>
      <c r="E601" s="68"/>
      <c r="F601" s="68"/>
      <c r="G601" s="68"/>
      <c r="H601" s="68"/>
      <c r="I601" s="68"/>
      <c r="J601" s="68"/>
      <c r="K601" s="68"/>
      <c r="L601" s="68"/>
    </row>
    <row r="602" spans="1:12" ht="12.5" x14ac:dyDescent="0.25">
      <c r="A602" s="14"/>
      <c r="C602" s="68"/>
      <c r="D602" s="68"/>
      <c r="E602" s="68"/>
      <c r="F602" s="68"/>
      <c r="G602" s="68"/>
      <c r="H602" s="68"/>
      <c r="I602" s="68"/>
      <c r="J602" s="68"/>
      <c r="K602" s="68"/>
      <c r="L602" s="68"/>
    </row>
    <row r="603" spans="1:12" ht="12.5" x14ac:dyDescent="0.25">
      <c r="A603" s="14"/>
      <c r="C603" s="68"/>
      <c r="D603" s="68"/>
      <c r="E603" s="68"/>
      <c r="F603" s="68"/>
      <c r="G603" s="68"/>
      <c r="H603" s="68"/>
      <c r="I603" s="68"/>
      <c r="J603" s="68"/>
      <c r="K603" s="68"/>
      <c r="L603" s="68"/>
    </row>
    <row r="604" spans="1:12" ht="12.5" x14ac:dyDescent="0.25">
      <c r="A604" s="14"/>
      <c r="C604" s="68"/>
      <c r="D604" s="68"/>
      <c r="E604" s="68"/>
      <c r="F604" s="68"/>
      <c r="G604" s="68"/>
      <c r="H604" s="68"/>
      <c r="I604" s="68"/>
      <c r="J604" s="68"/>
      <c r="K604" s="68"/>
      <c r="L604" s="68"/>
    </row>
    <row r="605" spans="1:12" ht="12.5" x14ac:dyDescent="0.25">
      <c r="A605" s="14"/>
      <c r="C605" s="68"/>
      <c r="D605" s="68"/>
      <c r="E605" s="68"/>
      <c r="F605" s="68"/>
      <c r="G605" s="68"/>
      <c r="H605" s="68"/>
      <c r="I605" s="68"/>
      <c r="J605" s="68"/>
      <c r="K605" s="68"/>
      <c r="L605" s="68"/>
    </row>
    <row r="606" spans="1:12" ht="12.5" x14ac:dyDescent="0.25">
      <c r="A606" s="14"/>
      <c r="C606" s="68"/>
      <c r="D606" s="68"/>
      <c r="E606" s="68"/>
      <c r="F606" s="68"/>
      <c r="G606" s="68"/>
      <c r="H606" s="68"/>
      <c r="I606" s="68"/>
      <c r="J606" s="68"/>
      <c r="K606" s="68"/>
      <c r="L606" s="68"/>
    </row>
    <row r="607" spans="1:12" ht="12.5" x14ac:dyDescent="0.25">
      <c r="A607" s="14"/>
      <c r="C607" s="68"/>
      <c r="D607" s="68"/>
      <c r="E607" s="68"/>
      <c r="F607" s="68"/>
      <c r="G607" s="68"/>
      <c r="H607" s="68"/>
      <c r="I607" s="68"/>
      <c r="J607" s="68"/>
      <c r="K607" s="68"/>
      <c r="L607" s="68"/>
    </row>
    <row r="608" spans="1:12" ht="12.5" x14ac:dyDescent="0.25">
      <c r="A608" s="14"/>
      <c r="C608" s="68"/>
      <c r="D608" s="68"/>
      <c r="E608" s="68"/>
      <c r="F608" s="68"/>
      <c r="G608" s="68"/>
      <c r="H608" s="68"/>
      <c r="I608" s="68"/>
      <c r="J608" s="68"/>
      <c r="K608" s="68"/>
      <c r="L608" s="68"/>
    </row>
    <row r="609" spans="1:12" ht="12.5" x14ac:dyDescent="0.25">
      <c r="A609" s="14"/>
      <c r="C609" s="68"/>
      <c r="D609" s="68"/>
      <c r="E609" s="68"/>
      <c r="F609" s="68"/>
      <c r="G609" s="68"/>
      <c r="H609" s="68"/>
      <c r="I609" s="68"/>
      <c r="J609" s="68"/>
      <c r="K609" s="68"/>
      <c r="L609" s="68"/>
    </row>
    <row r="610" spans="1:12" ht="12.5" x14ac:dyDescent="0.25">
      <c r="A610" s="14"/>
      <c r="C610" s="68"/>
      <c r="D610" s="68"/>
      <c r="E610" s="68"/>
      <c r="F610" s="68"/>
      <c r="G610" s="68"/>
      <c r="H610" s="68"/>
      <c r="I610" s="68"/>
      <c r="J610" s="68"/>
      <c r="K610" s="68"/>
      <c r="L610" s="68"/>
    </row>
    <row r="611" spans="1:12" ht="12.5" x14ac:dyDescent="0.25">
      <c r="A611" s="14"/>
      <c r="C611" s="68"/>
      <c r="D611" s="68"/>
      <c r="E611" s="68"/>
      <c r="F611" s="68"/>
      <c r="G611" s="68"/>
      <c r="H611" s="68"/>
      <c r="I611" s="68"/>
      <c r="J611" s="68"/>
      <c r="K611" s="68"/>
      <c r="L611" s="68"/>
    </row>
    <row r="612" spans="1:12" ht="12.5" x14ac:dyDescent="0.25">
      <c r="A612" s="14"/>
      <c r="C612" s="68"/>
      <c r="D612" s="68"/>
      <c r="E612" s="68"/>
      <c r="F612" s="68"/>
      <c r="G612" s="68"/>
      <c r="H612" s="68"/>
      <c r="I612" s="68"/>
      <c r="J612" s="68"/>
      <c r="K612" s="68"/>
      <c r="L612" s="68"/>
    </row>
    <row r="613" spans="1:12" ht="12.5" x14ac:dyDescent="0.25">
      <c r="A613" s="14"/>
      <c r="C613" s="68"/>
      <c r="D613" s="68"/>
      <c r="E613" s="68"/>
      <c r="F613" s="68"/>
      <c r="G613" s="68"/>
      <c r="H613" s="68"/>
      <c r="I613" s="68"/>
      <c r="J613" s="68"/>
      <c r="K613" s="68"/>
      <c r="L613" s="68"/>
    </row>
    <row r="614" spans="1:12" ht="12.5" x14ac:dyDescent="0.25">
      <c r="A614" s="14"/>
      <c r="C614" s="68"/>
      <c r="D614" s="68"/>
      <c r="E614" s="68"/>
      <c r="F614" s="68"/>
      <c r="G614" s="68"/>
      <c r="H614" s="68"/>
      <c r="I614" s="68"/>
      <c r="J614" s="68"/>
      <c r="K614" s="68"/>
      <c r="L614" s="68"/>
    </row>
    <row r="615" spans="1:12" ht="12.5" x14ac:dyDescent="0.25">
      <c r="A615" s="14"/>
      <c r="C615" s="68"/>
      <c r="D615" s="68"/>
      <c r="E615" s="68"/>
      <c r="F615" s="68"/>
      <c r="G615" s="68"/>
      <c r="H615" s="68"/>
      <c r="I615" s="68"/>
      <c r="J615" s="68"/>
      <c r="K615" s="68"/>
      <c r="L615" s="68"/>
    </row>
    <row r="616" spans="1:12" ht="12.5" x14ac:dyDescent="0.25">
      <c r="A616" s="14"/>
      <c r="C616" s="68"/>
      <c r="D616" s="68"/>
      <c r="E616" s="68"/>
      <c r="F616" s="68"/>
      <c r="G616" s="68"/>
      <c r="H616" s="68"/>
      <c r="I616" s="68"/>
      <c r="J616" s="68"/>
      <c r="K616" s="68"/>
      <c r="L616" s="68"/>
    </row>
    <row r="617" spans="1:12" ht="12.5" x14ac:dyDescent="0.25">
      <c r="A617" s="14"/>
      <c r="C617" s="68"/>
      <c r="D617" s="68"/>
      <c r="E617" s="68"/>
      <c r="F617" s="68"/>
      <c r="G617" s="68"/>
      <c r="H617" s="68"/>
      <c r="I617" s="68"/>
      <c r="J617" s="68"/>
      <c r="K617" s="68"/>
      <c r="L617" s="68"/>
    </row>
    <row r="618" spans="1:12" ht="12.5" x14ac:dyDescent="0.25">
      <c r="A618" s="14"/>
      <c r="C618" s="68"/>
      <c r="D618" s="68"/>
      <c r="E618" s="68"/>
      <c r="F618" s="68"/>
      <c r="G618" s="68"/>
      <c r="H618" s="68"/>
      <c r="I618" s="68"/>
      <c r="J618" s="68"/>
      <c r="K618" s="68"/>
      <c r="L618" s="68"/>
    </row>
    <row r="619" spans="1:12" ht="12.5" x14ac:dyDescent="0.25">
      <c r="A619" s="14"/>
      <c r="C619" s="68"/>
      <c r="D619" s="68"/>
      <c r="E619" s="68"/>
      <c r="F619" s="68"/>
      <c r="G619" s="68"/>
      <c r="H619" s="68"/>
      <c r="I619" s="68"/>
      <c r="J619" s="68"/>
      <c r="K619" s="68"/>
      <c r="L619" s="68"/>
    </row>
    <row r="620" spans="1:12" ht="12.5" x14ac:dyDescent="0.25">
      <c r="A620" s="14"/>
      <c r="C620" s="68"/>
      <c r="D620" s="68"/>
      <c r="E620" s="68"/>
      <c r="F620" s="68"/>
      <c r="G620" s="68"/>
      <c r="H620" s="68"/>
      <c r="I620" s="68"/>
      <c r="J620" s="68"/>
      <c r="K620" s="68"/>
      <c r="L620" s="68"/>
    </row>
    <row r="621" spans="1:12" ht="12.5" x14ac:dyDescent="0.25">
      <c r="A621" s="14"/>
      <c r="C621" s="68"/>
      <c r="D621" s="68"/>
      <c r="E621" s="68"/>
      <c r="F621" s="68"/>
      <c r="G621" s="68"/>
      <c r="H621" s="68"/>
      <c r="I621" s="68"/>
      <c r="J621" s="68"/>
      <c r="K621" s="68"/>
      <c r="L621" s="68"/>
    </row>
    <row r="622" spans="1:12" ht="12.5" x14ac:dyDescent="0.25">
      <c r="A622" s="14"/>
      <c r="C622" s="68"/>
      <c r="D622" s="68"/>
      <c r="E622" s="68"/>
      <c r="F622" s="68"/>
      <c r="G622" s="68"/>
      <c r="H622" s="68"/>
      <c r="I622" s="68"/>
      <c r="J622" s="68"/>
      <c r="K622" s="68"/>
      <c r="L622" s="68"/>
    </row>
    <row r="623" spans="1:12" ht="12.5" x14ac:dyDescent="0.25">
      <c r="A623" s="14"/>
      <c r="C623" s="68"/>
      <c r="D623" s="68"/>
      <c r="E623" s="68"/>
      <c r="F623" s="68"/>
      <c r="G623" s="68"/>
      <c r="H623" s="68"/>
      <c r="I623" s="68"/>
      <c r="J623" s="68"/>
      <c r="K623" s="68"/>
      <c r="L623" s="68"/>
    </row>
    <row r="624" spans="1:12" ht="12.5" x14ac:dyDescent="0.25">
      <c r="A624" s="14"/>
      <c r="C624" s="68"/>
      <c r="D624" s="68"/>
      <c r="E624" s="68"/>
      <c r="F624" s="68"/>
      <c r="G624" s="68"/>
      <c r="H624" s="68"/>
      <c r="I624" s="68"/>
      <c r="J624" s="68"/>
      <c r="K624" s="68"/>
      <c r="L624" s="68"/>
    </row>
    <row r="625" spans="1:12" ht="12.5" x14ac:dyDescent="0.25">
      <c r="A625" s="14"/>
      <c r="C625" s="68"/>
      <c r="D625" s="68"/>
      <c r="E625" s="68"/>
      <c r="F625" s="68"/>
      <c r="G625" s="68"/>
      <c r="H625" s="68"/>
      <c r="I625" s="68"/>
      <c r="J625" s="68"/>
      <c r="K625" s="68"/>
      <c r="L625" s="68"/>
    </row>
    <row r="626" spans="1:12" ht="12.5" x14ac:dyDescent="0.25">
      <c r="A626" s="14"/>
      <c r="C626" s="68"/>
      <c r="D626" s="68"/>
      <c r="E626" s="68"/>
      <c r="F626" s="68"/>
      <c r="G626" s="68"/>
      <c r="H626" s="68"/>
      <c r="I626" s="68"/>
      <c r="J626" s="68"/>
      <c r="K626" s="68"/>
      <c r="L626" s="68"/>
    </row>
    <row r="627" spans="1:12" ht="12.5" x14ac:dyDescent="0.25">
      <c r="A627" s="14"/>
      <c r="C627" s="68"/>
      <c r="D627" s="68"/>
      <c r="E627" s="68"/>
      <c r="F627" s="68"/>
      <c r="G627" s="68"/>
      <c r="H627" s="68"/>
      <c r="I627" s="68"/>
      <c r="J627" s="68"/>
      <c r="K627" s="68"/>
      <c r="L627" s="68"/>
    </row>
    <row r="628" spans="1:12" ht="12.5" x14ac:dyDescent="0.25">
      <c r="A628" s="14"/>
      <c r="C628" s="68"/>
      <c r="D628" s="68"/>
      <c r="E628" s="68"/>
      <c r="F628" s="68"/>
      <c r="G628" s="68"/>
      <c r="H628" s="68"/>
      <c r="I628" s="68"/>
      <c r="J628" s="68"/>
      <c r="K628" s="68"/>
      <c r="L628" s="68"/>
    </row>
    <row r="629" spans="1:12" ht="12.5" x14ac:dyDescent="0.25">
      <c r="A629" s="14"/>
      <c r="C629" s="68"/>
      <c r="D629" s="68"/>
      <c r="E629" s="68"/>
      <c r="F629" s="68"/>
      <c r="G629" s="68"/>
      <c r="H629" s="68"/>
      <c r="I629" s="68"/>
      <c r="J629" s="68"/>
      <c r="K629" s="68"/>
      <c r="L629" s="68"/>
    </row>
    <row r="630" spans="1:12" ht="12.5" x14ac:dyDescent="0.25">
      <c r="A630" s="14"/>
      <c r="C630" s="68"/>
      <c r="D630" s="68"/>
      <c r="E630" s="68"/>
      <c r="F630" s="68"/>
      <c r="G630" s="68"/>
      <c r="H630" s="68"/>
      <c r="I630" s="68"/>
      <c r="J630" s="68"/>
      <c r="K630" s="68"/>
      <c r="L630" s="68"/>
    </row>
    <row r="631" spans="1:12" ht="12.5" x14ac:dyDescent="0.25">
      <c r="A631" s="14"/>
      <c r="C631" s="68"/>
      <c r="D631" s="68"/>
      <c r="E631" s="68"/>
      <c r="F631" s="68"/>
      <c r="G631" s="68"/>
      <c r="H631" s="68"/>
      <c r="I631" s="68"/>
      <c r="J631" s="68"/>
      <c r="K631" s="68"/>
      <c r="L631" s="68"/>
    </row>
    <row r="632" spans="1:12" ht="12.5" x14ac:dyDescent="0.25">
      <c r="A632" s="14"/>
      <c r="C632" s="68"/>
      <c r="D632" s="68"/>
      <c r="E632" s="68"/>
      <c r="F632" s="68"/>
      <c r="G632" s="68"/>
      <c r="H632" s="68"/>
      <c r="I632" s="68"/>
      <c r="J632" s="68"/>
      <c r="K632" s="68"/>
      <c r="L632" s="68"/>
    </row>
    <row r="633" spans="1:12" ht="12.5" x14ac:dyDescent="0.25">
      <c r="A633" s="14"/>
      <c r="C633" s="68"/>
      <c r="D633" s="68"/>
      <c r="E633" s="68"/>
      <c r="F633" s="68"/>
      <c r="G633" s="68"/>
      <c r="H633" s="68"/>
      <c r="I633" s="68"/>
      <c r="J633" s="68"/>
      <c r="K633" s="68"/>
      <c r="L633" s="68"/>
    </row>
    <row r="634" spans="1:12" ht="12.5" x14ac:dyDescent="0.25">
      <c r="A634" s="14"/>
      <c r="C634" s="68"/>
      <c r="D634" s="68"/>
      <c r="E634" s="68"/>
      <c r="F634" s="68"/>
      <c r="G634" s="68"/>
      <c r="H634" s="68"/>
      <c r="I634" s="68"/>
      <c r="J634" s="68"/>
      <c r="K634" s="68"/>
      <c r="L634" s="68"/>
    </row>
    <row r="635" spans="1:12" ht="12.5" x14ac:dyDescent="0.25">
      <c r="A635" s="14"/>
      <c r="C635" s="68"/>
      <c r="D635" s="68"/>
      <c r="E635" s="68"/>
      <c r="F635" s="68"/>
      <c r="G635" s="68"/>
      <c r="H635" s="68"/>
      <c r="I635" s="68"/>
      <c r="J635" s="68"/>
      <c r="K635" s="68"/>
      <c r="L635" s="68"/>
    </row>
    <row r="636" spans="1:12" ht="12.5" x14ac:dyDescent="0.25">
      <c r="A636" s="14"/>
      <c r="C636" s="68"/>
      <c r="D636" s="68"/>
      <c r="E636" s="68"/>
      <c r="F636" s="68"/>
      <c r="G636" s="68"/>
      <c r="H636" s="68"/>
      <c r="I636" s="68"/>
      <c r="J636" s="68"/>
      <c r="K636" s="68"/>
      <c r="L636" s="68"/>
    </row>
    <row r="637" spans="1:12" ht="12.5" x14ac:dyDescent="0.25">
      <c r="A637" s="14"/>
      <c r="C637" s="68"/>
      <c r="D637" s="68"/>
      <c r="E637" s="68"/>
      <c r="F637" s="68"/>
      <c r="G637" s="68"/>
      <c r="H637" s="68"/>
      <c r="I637" s="68"/>
      <c r="J637" s="68"/>
      <c r="K637" s="68"/>
      <c r="L637" s="68"/>
    </row>
    <row r="638" spans="1:12" ht="12.5" x14ac:dyDescent="0.25">
      <c r="A638" s="14"/>
      <c r="C638" s="68"/>
      <c r="D638" s="68"/>
      <c r="E638" s="68"/>
      <c r="F638" s="68"/>
      <c r="G638" s="68"/>
      <c r="H638" s="68"/>
      <c r="I638" s="68"/>
      <c r="J638" s="68"/>
      <c r="K638" s="68"/>
      <c r="L638" s="68"/>
    </row>
    <row r="639" spans="1:12" ht="12.5" x14ac:dyDescent="0.25">
      <c r="A639" s="14"/>
      <c r="C639" s="68"/>
      <c r="D639" s="68"/>
      <c r="E639" s="68"/>
      <c r="F639" s="68"/>
      <c r="G639" s="68"/>
      <c r="H639" s="68"/>
      <c r="I639" s="68"/>
      <c r="J639" s="68"/>
      <c r="K639" s="68"/>
      <c r="L639" s="68"/>
    </row>
    <row r="640" spans="1:12" ht="12.5" x14ac:dyDescent="0.25">
      <c r="A640" s="14"/>
      <c r="C640" s="68"/>
      <c r="D640" s="68"/>
      <c r="E640" s="68"/>
      <c r="F640" s="68"/>
      <c r="G640" s="68"/>
      <c r="H640" s="68"/>
      <c r="I640" s="68"/>
      <c r="J640" s="68"/>
      <c r="K640" s="68"/>
      <c r="L640" s="68"/>
    </row>
    <row r="641" spans="1:12" ht="12.5" x14ac:dyDescent="0.25">
      <c r="A641" s="14"/>
      <c r="C641" s="68"/>
      <c r="D641" s="68"/>
      <c r="E641" s="68"/>
      <c r="F641" s="68"/>
      <c r="G641" s="68"/>
      <c r="H641" s="68"/>
      <c r="I641" s="68"/>
      <c r="J641" s="68"/>
      <c r="K641" s="68"/>
      <c r="L641" s="68"/>
    </row>
    <row r="642" spans="1:12" ht="12.5" x14ac:dyDescent="0.25">
      <c r="A642" s="14"/>
      <c r="C642" s="68"/>
      <c r="D642" s="68"/>
      <c r="E642" s="68"/>
      <c r="F642" s="68"/>
      <c r="G642" s="68"/>
      <c r="H642" s="68"/>
      <c r="I642" s="68"/>
      <c r="J642" s="68"/>
      <c r="K642" s="68"/>
      <c r="L642" s="68"/>
    </row>
    <row r="643" spans="1:12" ht="12.5" x14ac:dyDescent="0.25">
      <c r="A643" s="14"/>
      <c r="C643" s="68"/>
      <c r="D643" s="68"/>
      <c r="E643" s="68"/>
      <c r="F643" s="68"/>
      <c r="G643" s="68"/>
      <c r="H643" s="68"/>
      <c r="I643" s="68"/>
      <c r="J643" s="68"/>
      <c r="K643" s="68"/>
      <c r="L643" s="68"/>
    </row>
    <row r="644" spans="1:12" ht="12.5" x14ac:dyDescent="0.25">
      <c r="A644" s="14"/>
      <c r="C644" s="68"/>
      <c r="D644" s="68"/>
      <c r="E644" s="68"/>
      <c r="F644" s="68"/>
      <c r="G644" s="68"/>
      <c r="H644" s="68"/>
      <c r="I644" s="68"/>
      <c r="J644" s="68"/>
      <c r="K644" s="68"/>
      <c r="L644" s="68"/>
    </row>
    <row r="645" spans="1:12" ht="12.5" x14ac:dyDescent="0.25">
      <c r="A645" s="14"/>
      <c r="C645" s="68"/>
      <c r="D645" s="68"/>
      <c r="E645" s="68"/>
      <c r="F645" s="68"/>
      <c r="G645" s="68"/>
      <c r="H645" s="68"/>
      <c r="I645" s="68"/>
      <c r="J645" s="68"/>
      <c r="K645" s="68"/>
      <c r="L645" s="68"/>
    </row>
    <row r="646" spans="1:12" ht="12.5" x14ac:dyDescent="0.25">
      <c r="A646" s="14"/>
      <c r="C646" s="68"/>
      <c r="D646" s="68"/>
      <c r="E646" s="68"/>
      <c r="F646" s="68"/>
      <c r="G646" s="68"/>
      <c r="H646" s="68"/>
      <c r="I646" s="68"/>
      <c r="J646" s="68"/>
      <c r="K646" s="68"/>
      <c r="L646" s="68"/>
    </row>
    <row r="647" spans="1:12" ht="12.5" x14ac:dyDescent="0.25">
      <c r="A647" s="14"/>
      <c r="C647" s="68"/>
      <c r="D647" s="68"/>
      <c r="E647" s="68"/>
      <c r="F647" s="68"/>
      <c r="G647" s="68"/>
      <c r="H647" s="68"/>
      <c r="I647" s="68"/>
      <c r="J647" s="68"/>
      <c r="K647" s="68"/>
      <c r="L647" s="68"/>
    </row>
    <row r="648" spans="1:12" ht="12.5" x14ac:dyDescent="0.25">
      <c r="A648" s="14"/>
      <c r="C648" s="68"/>
      <c r="D648" s="68"/>
      <c r="E648" s="68"/>
      <c r="F648" s="68"/>
      <c r="G648" s="68"/>
      <c r="H648" s="68"/>
      <c r="I648" s="68"/>
      <c r="J648" s="68"/>
      <c r="K648" s="68"/>
      <c r="L648" s="68"/>
    </row>
    <row r="649" spans="1:12" ht="12.5" x14ac:dyDescent="0.25">
      <c r="A649" s="14"/>
      <c r="C649" s="68"/>
      <c r="D649" s="68"/>
      <c r="E649" s="68"/>
      <c r="F649" s="68"/>
      <c r="G649" s="68"/>
      <c r="H649" s="68"/>
      <c r="I649" s="68"/>
      <c r="J649" s="68"/>
      <c r="K649" s="68"/>
      <c r="L649" s="68"/>
    </row>
    <row r="650" spans="1:12" ht="12.5" x14ac:dyDescent="0.25">
      <c r="A650" s="14"/>
      <c r="C650" s="68"/>
      <c r="D650" s="68"/>
      <c r="E650" s="68"/>
      <c r="F650" s="68"/>
      <c r="G650" s="68"/>
      <c r="H650" s="68"/>
      <c r="I650" s="68"/>
      <c r="J650" s="68"/>
      <c r="K650" s="68"/>
      <c r="L650" s="68"/>
    </row>
    <row r="651" spans="1:12" ht="12.5" x14ac:dyDescent="0.25">
      <c r="A651" s="14"/>
      <c r="C651" s="68"/>
      <c r="D651" s="68"/>
      <c r="E651" s="68"/>
      <c r="F651" s="68"/>
      <c r="G651" s="68"/>
      <c r="H651" s="68"/>
      <c r="I651" s="68"/>
      <c r="J651" s="68"/>
      <c r="K651" s="68"/>
      <c r="L651" s="68"/>
    </row>
    <row r="652" spans="1:12" ht="12.5" x14ac:dyDescent="0.25">
      <c r="A652" s="14"/>
      <c r="C652" s="68"/>
      <c r="D652" s="68"/>
      <c r="E652" s="68"/>
      <c r="F652" s="68"/>
      <c r="G652" s="68"/>
      <c r="H652" s="68"/>
      <c r="I652" s="68"/>
      <c r="J652" s="68"/>
      <c r="K652" s="68"/>
      <c r="L652" s="68"/>
    </row>
    <row r="653" spans="1:12" ht="12.5" x14ac:dyDescent="0.25">
      <c r="A653" s="14"/>
      <c r="C653" s="68"/>
      <c r="D653" s="68"/>
      <c r="E653" s="68"/>
      <c r="F653" s="68"/>
      <c r="G653" s="68"/>
      <c r="H653" s="68"/>
      <c r="I653" s="68"/>
      <c r="J653" s="68"/>
      <c r="K653" s="68"/>
      <c r="L653" s="68"/>
    </row>
    <row r="654" spans="1:12" ht="12.5" x14ac:dyDescent="0.25">
      <c r="A654" s="14"/>
      <c r="C654" s="68"/>
      <c r="D654" s="68"/>
      <c r="E654" s="68"/>
      <c r="F654" s="68"/>
      <c r="G654" s="68"/>
      <c r="H654" s="68"/>
      <c r="I654" s="68"/>
      <c r="J654" s="68"/>
      <c r="K654" s="68"/>
      <c r="L654" s="68"/>
    </row>
    <row r="655" spans="1:12" ht="12.5" x14ac:dyDescent="0.25">
      <c r="A655" s="14"/>
      <c r="C655" s="68"/>
      <c r="D655" s="68"/>
      <c r="E655" s="68"/>
      <c r="F655" s="68"/>
      <c r="G655" s="68"/>
      <c r="H655" s="68"/>
      <c r="I655" s="68"/>
      <c r="J655" s="68"/>
      <c r="K655" s="68"/>
      <c r="L655" s="68"/>
    </row>
    <row r="656" spans="1:12" ht="12.5" x14ac:dyDescent="0.25">
      <c r="A656" s="14"/>
      <c r="C656" s="68"/>
      <c r="D656" s="68"/>
      <c r="E656" s="68"/>
      <c r="F656" s="68"/>
      <c r="G656" s="68"/>
      <c r="H656" s="68"/>
      <c r="I656" s="68"/>
      <c r="J656" s="68"/>
      <c r="K656" s="68"/>
      <c r="L656" s="68"/>
    </row>
    <row r="657" spans="1:12" ht="12.5" x14ac:dyDescent="0.25">
      <c r="A657" s="14"/>
      <c r="C657" s="68"/>
      <c r="D657" s="68"/>
      <c r="E657" s="68"/>
      <c r="F657" s="68"/>
      <c r="G657" s="68"/>
      <c r="H657" s="68"/>
      <c r="I657" s="68"/>
      <c r="J657" s="68"/>
      <c r="K657" s="68"/>
      <c r="L657" s="68"/>
    </row>
    <row r="658" spans="1:12" ht="12.5" x14ac:dyDescent="0.25">
      <c r="A658" s="14"/>
      <c r="C658" s="68"/>
      <c r="D658" s="68"/>
      <c r="E658" s="68"/>
      <c r="F658" s="68"/>
      <c r="G658" s="68"/>
      <c r="H658" s="68"/>
      <c r="I658" s="68"/>
      <c r="J658" s="68"/>
      <c r="K658" s="68"/>
      <c r="L658" s="68"/>
    </row>
    <row r="659" spans="1:12" ht="12.5" x14ac:dyDescent="0.25">
      <c r="A659" s="14"/>
      <c r="C659" s="68"/>
      <c r="D659" s="68"/>
      <c r="E659" s="68"/>
      <c r="F659" s="68"/>
      <c r="G659" s="68"/>
      <c r="H659" s="68"/>
      <c r="I659" s="68"/>
      <c r="J659" s="68"/>
      <c r="K659" s="68"/>
      <c r="L659" s="68"/>
    </row>
    <row r="660" spans="1:12" ht="12.5" x14ac:dyDescent="0.25">
      <c r="A660" s="14"/>
      <c r="C660" s="68"/>
      <c r="D660" s="68"/>
      <c r="E660" s="68"/>
      <c r="F660" s="68"/>
      <c r="G660" s="68"/>
      <c r="H660" s="68"/>
      <c r="I660" s="68"/>
      <c r="J660" s="68"/>
      <c r="K660" s="68"/>
      <c r="L660" s="68"/>
    </row>
    <row r="661" spans="1:12" ht="12.5" x14ac:dyDescent="0.25">
      <c r="A661" s="14"/>
      <c r="C661" s="68"/>
      <c r="D661" s="68"/>
      <c r="E661" s="68"/>
      <c r="F661" s="68"/>
      <c r="G661" s="68"/>
      <c r="H661" s="68"/>
      <c r="I661" s="68"/>
      <c r="J661" s="68"/>
      <c r="K661" s="68"/>
      <c r="L661" s="68"/>
    </row>
    <row r="662" spans="1:12" ht="12.5" x14ac:dyDescent="0.25">
      <c r="A662" s="14"/>
      <c r="C662" s="68"/>
      <c r="D662" s="68"/>
      <c r="E662" s="68"/>
      <c r="F662" s="68"/>
      <c r="G662" s="68"/>
      <c r="H662" s="68"/>
      <c r="I662" s="68"/>
      <c r="J662" s="68"/>
      <c r="K662" s="68"/>
      <c r="L662" s="68"/>
    </row>
    <row r="663" spans="1:12" ht="12.5" x14ac:dyDescent="0.25">
      <c r="A663" s="14"/>
      <c r="C663" s="68"/>
      <c r="D663" s="68"/>
      <c r="E663" s="68"/>
      <c r="F663" s="68"/>
      <c r="G663" s="68"/>
      <c r="H663" s="68"/>
      <c r="I663" s="68"/>
      <c r="J663" s="68"/>
      <c r="K663" s="68"/>
      <c r="L663" s="68"/>
    </row>
    <row r="664" spans="1:12" ht="12.5" x14ac:dyDescent="0.25">
      <c r="A664" s="14"/>
      <c r="C664" s="68"/>
      <c r="D664" s="68"/>
      <c r="E664" s="68"/>
      <c r="F664" s="68"/>
      <c r="G664" s="68"/>
      <c r="H664" s="68"/>
      <c r="I664" s="68"/>
      <c r="J664" s="68"/>
      <c r="K664" s="68"/>
      <c r="L664" s="68"/>
    </row>
    <row r="665" spans="1:12" ht="12.5" x14ac:dyDescent="0.25">
      <c r="A665" s="14"/>
      <c r="C665" s="68"/>
      <c r="D665" s="68"/>
      <c r="E665" s="68"/>
      <c r="F665" s="68"/>
      <c r="G665" s="68"/>
      <c r="H665" s="68"/>
      <c r="I665" s="68"/>
      <c r="J665" s="68"/>
      <c r="K665" s="68"/>
      <c r="L665" s="68"/>
    </row>
    <row r="666" spans="1:12" ht="12.5" x14ac:dyDescent="0.25">
      <c r="A666" s="14"/>
      <c r="C666" s="68"/>
      <c r="D666" s="68"/>
      <c r="E666" s="68"/>
      <c r="F666" s="68"/>
      <c r="G666" s="68"/>
      <c r="H666" s="68"/>
      <c r="I666" s="68"/>
      <c r="J666" s="68"/>
      <c r="K666" s="68"/>
      <c r="L666" s="68"/>
    </row>
    <row r="667" spans="1:12" ht="12.5" x14ac:dyDescent="0.25">
      <c r="A667" s="14"/>
      <c r="C667" s="68"/>
      <c r="D667" s="68"/>
      <c r="E667" s="68"/>
      <c r="F667" s="68"/>
      <c r="G667" s="68"/>
      <c r="H667" s="68"/>
      <c r="I667" s="68"/>
      <c r="J667" s="68"/>
      <c r="K667" s="68"/>
      <c r="L667" s="68"/>
    </row>
    <row r="668" spans="1:12" ht="12.5" x14ac:dyDescent="0.25">
      <c r="A668" s="14"/>
      <c r="C668" s="68"/>
      <c r="D668" s="68"/>
      <c r="E668" s="68"/>
      <c r="F668" s="68"/>
      <c r="G668" s="68"/>
      <c r="H668" s="68"/>
      <c r="I668" s="68"/>
      <c r="J668" s="68"/>
      <c r="K668" s="68"/>
      <c r="L668" s="68"/>
    </row>
    <row r="669" spans="1:12" ht="12.5" x14ac:dyDescent="0.25">
      <c r="A669" s="14"/>
      <c r="C669" s="68"/>
      <c r="D669" s="68"/>
      <c r="E669" s="68"/>
      <c r="F669" s="68"/>
      <c r="G669" s="68"/>
      <c r="H669" s="68"/>
      <c r="I669" s="68"/>
      <c r="J669" s="68"/>
      <c r="K669" s="68"/>
      <c r="L669" s="68"/>
    </row>
    <row r="670" spans="1:12" ht="12.5" x14ac:dyDescent="0.25">
      <c r="A670" s="14"/>
      <c r="C670" s="68"/>
      <c r="D670" s="68"/>
      <c r="E670" s="68"/>
      <c r="F670" s="68"/>
      <c r="G670" s="68"/>
      <c r="H670" s="68"/>
      <c r="I670" s="68"/>
      <c r="J670" s="68"/>
      <c r="K670" s="68"/>
      <c r="L670" s="68"/>
    </row>
    <row r="671" spans="1:12" ht="12.5" x14ac:dyDescent="0.25">
      <c r="A671" s="14"/>
      <c r="C671" s="68"/>
      <c r="D671" s="68"/>
      <c r="E671" s="68"/>
      <c r="F671" s="68"/>
      <c r="G671" s="68"/>
      <c r="H671" s="68"/>
      <c r="I671" s="68"/>
      <c r="J671" s="68"/>
      <c r="K671" s="68"/>
      <c r="L671" s="68"/>
    </row>
    <row r="672" spans="1:12" ht="12.5" x14ac:dyDescent="0.25">
      <c r="A672" s="14"/>
      <c r="C672" s="68"/>
      <c r="D672" s="68"/>
      <c r="E672" s="68"/>
      <c r="F672" s="68"/>
      <c r="G672" s="68"/>
      <c r="H672" s="68"/>
      <c r="I672" s="68"/>
      <c r="J672" s="68"/>
      <c r="K672" s="68"/>
      <c r="L672" s="68"/>
    </row>
    <row r="673" spans="1:12" ht="12.5" x14ac:dyDescent="0.25">
      <c r="A673" s="14"/>
      <c r="C673" s="68"/>
      <c r="D673" s="68"/>
      <c r="E673" s="68"/>
      <c r="F673" s="68"/>
      <c r="G673" s="68"/>
      <c r="H673" s="68"/>
      <c r="I673" s="68"/>
      <c r="J673" s="68"/>
      <c r="K673" s="68"/>
      <c r="L673" s="68"/>
    </row>
    <row r="674" spans="1:12" ht="12.5" x14ac:dyDescent="0.25">
      <c r="A674" s="14"/>
      <c r="C674" s="68"/>
      <c r="D674" s="68"/>
      <c r="E674" s="68"/>
      <c r="F674" s="68"/>
      <c r="G674" s="68"/>
      <c r="H674" s="68"/>
      <c r="I674" s="68"/>
      <c r="J674" s="68"/>
      <c r="K674" s="68"/>
      <c r="L674" s="68"/>
    </row>
    <row r="675" spans="1:12" ht="12.5" x14ac:dyDescent="0.25">
      <c r="A675" s="14"/>
      <c r="C675" s="68"/>
      <c r="D675" s="68"/>
      <c r="E675" s="68"/>
      <c r="F675" s="68"/>
      <c r="G675" s="68"/>
      <c r="H675" s="68"/>
      <c r="I675" s="68"/>
      <c r="J675" s="68"/>
      <c r="K675" s="68"/>
      <c r="L675" s="68"/>
    </row>
    <row r="676" spans="1:12" ht="12.5" x14ac:dyDescent="0.25">
      <c r="A676" s="14"/>
      <c r="C676" s="68"/>
      <c r="D676" s="68"/>
      <c r="E676" s="68"/>
      <c r="F676" s="68"/>
      <c r="G676" s="68"/>
      <c r="H676" s="68"/>
      <c r="I676" s="68"/>
      <c r="J676" s="68"/>
      <c r="K676" s="68"/>
      <c r="L676" s="68"/>
    </row>
    <row r="677" spans="1:12" ht="12.5" x14ac:dyDescent="0.25">
      <c r="A677" s="14"/>
      <c r="C677" s="68"/>
      <c r="D677" s="68"/>
      <c r="E677" s="68"/>
      <c r="F677" s="68"/>
      <c r="G677" s="68"/>
      <c r="H677" s="68"/>
      <c r="I677" s="68"/>
      <c r="J677" s="68"/>
      <c r="K677" s="68"/>
      <c r="L677" s="68"/>
    </row>
    <row r="678" spans="1:12" ht="12.5" x14ac:dyDescent="0.25">
      <c r="A678" s="14"/>
      <c r="C678" s="68"/>
      <c r="D678" s="68"/>
      <c r="E678" s="68"/>
      <c r="F678" s="68"/>
      <c r="G678" s="68"/>
      <c r="H678" s="68"/>
      <c r="I678" s="68"/>
      <c r="J678" s="68"/>
      <c r="K678" s="68"/>
      <c r="L678" s="68"/>
    </row>
    <row r="679" spans="1:12" ht="12.5" x14ac:dyDescent="0.25">
      <c r="A679" s="14"/>
      <c r="C679" s="68"/>
      <c r="D679" s="68"/>
      <c r="E679" s="68"/>
      <c r="F679" s="68"/>
      <c r="G679" s="68"/>
      <c r="H679" s="68"/>
      <c r="I679" s="68"/>
      <c r="J679" s="68"/>
      <c r="K679" s="68"/>
      <c r="L679" s="68"/>
    </row>
    <row r="680" spans="1:12" ht="12.5" x14ac:dyDescent="0.25">
      <c r="A680" s="14"/>
      <c r="C680" s="68"/>
      <c r="D680" s="68"/>
      <c r="E680" s="68"/>
      <c r="F680" s="68"/>
      <c r="G680" s="68"/>
      <c r="H680" s="68"/>
      <c r="I680" s="68"/>
      <c r="J680" s="68"/>
      <c r="K680" s="68"/>
      <c r="L680" s="68"/>
    </row>
    <row r="681" spans="1:12" ht="12.5" x14ac:dyDescent="0.25">
      <c r="A681" s="14"/>
      <c r="C681" s="68"/>
      <c r="D681" s="68"/>
      <c r="E681" s="68"/>
      <c r="F681" s="68"/>
      <c r="G681" s="68"/>
      <c r="H681" s="68"/>
      <c r="I681" s="68"/>
      <c r="J681" s="68"/>
      <c r="K681" s="68"/>
      <c r="L681" s="68"/>
    </row>
    <row r="682" spans="1:12" ht="12.5" x14ac:dyDescent="0.25">
      <c r="A682" s="14"/>
      <c r="C682" s="68"/>
      <c r="D682" s="68"/>
      <c r="E682" s="68"/>
      <c r="F682" s="68"/>
      <c r="G682" s="68"/>
      <c r="H682" s="68"/>
      <c r="I682" s="68"/>
      <c r="J682" s="68"/>
      <c r="K682" s="68"/>
      <c r="L682" s="68"/>
    </row>
    <row r="683" spans="1:12" ht="12.5" x14ac:dyDescent="0.25">
      <c r="A683" s="14"/>
      <c r="C683" s="68"/>
      <c r="D683" s="68"/>
      <c r="E683" s="68"/>
      <c r="F683" s="68"/>
      <c r="G683" s="68"/>
      <c r="H683" s="68"/>
      <c r="I683" s="68"/>
      <c r="J683" s="68"/>
      <c r="K683" s="68"/>
      <c r="L683" s="68"/>
    </row>
    <row r="684" spans="1:12" ht="12.5" x14ac:dyDescent="0.25">
      <c r="A684" s="14"/>
      <c r="C684" s="68"/>
      <c r="D684" s="68"/>
      <c r="E684" s="68"/>
      <c r="F684" s="68"/>
      <c r="G684" s="68"/>
      <c r="H684" s="68"/>
      <c r="I684" s="68"/>
      <c r="J684" s="68"/>
      <c r="K684" s="68"/>
      <c r="L684" s="68"/>
    </row>
    <row r="685" spans="1:12" ht="12.5" x14ac:dyDescent="0.25">
      <c r="A685" s="14"/>
      <c r="C685" s="68"/>
      <c r="D685" s="68"/>
      <c r="E685" s="68"/>
      <c r="F685" s="68"/>
      <c r="G685" s="68"/>
      <c r="H685" s="68"/>
      <c r="I685" s="68"/>
      <c r="J685" s="68"/>
      <c r="K685" s="68"/>
      <c r="L685" s="68"/>
    </row>
    <row r="686" spans="1:12" ht="12.5" x14ac:dyDescent="0.25">
      <c r="A686" s="14"/>
      <c r="C686" s="68"/>
      <c r="D686" s="68"/>
      <c r="E686" s="68"/>
      <c r="F686" s="68"/>
      <c r="G686" s="68"/>
      <c r="H686" s="68"/>
      <c r="I686" s="68"/>
      <c r="J686" s="68"/>
      <c r="K686" s="68"/>
      <c r="L686" s="68"/>
    </row>
    <row r="687" spans="1:12" ht="12.5" x14ac:dyDescent="0.25">
      <c r="A687" s="14"/>
      <c r="C687" s="68"/>
      <c r="D687" s="68"/>
      <c r="E687" s="68"/>
      <c r="F687" s="68"/>
      <c r="G687" s="68"/>
      <c r="H687" s="68"/>
      <c r="I687" s="68"/>
      <c r="J687" s="68"/>
      <c r="K687" s="68"/>
      <c r="L687" s="68"/>
    </row>
    <row r="688" spans="1:12" ht="12.5" x14ac:dyDescent="0.25">
      <c r="A688" s="14"/>
      <c r="C688" s="68"/>
      <c r="D688" s="68"/>
      <c r="E688" s="68"/>
      <c r="F688" s="68"/>
      <c r="G688" s="68"/>
      <c r="H688" s="68"/>
      <c r="I688" s="68"/>
      <c r="J688" s="68"/>
      <c r="K688" s="68"/>
      <c r="L688" s="68"/>
    </row>
    <row r="689" spans="1:12" ht="12.5" x14ac:dyDescent="0.25">
      <c r="A689" s="14"/>
      <c r="C689" s="68"/>
      <c r="D689" s="68"/>
      <c r="E689" s="68"/>
      <c r="F689" s="68"/>
      <c r="G689" s="68"/>
      <c r="H689" s="68"/>
      <c r="I689" s="68"/>
      <c r="J689" s="68"/>
      <c r="K689" s="68"/>
      <c r="L689" s="68"/>
    </row>
    <row r="690" spans="1:12" ht="12.5" x14ac:dyDescent="0.25">
      <c r="A690" s="14"/>
      <c r="C690" s="68"/>
      <c r="D690" s="68"/>
      <c r="E690" s="68"/>
      <c r="F690" s="68"/>
      <c r="G690" s="68"/>
      <c r="H690" s="68"/>
      <c r="I690" s="68"/>
      <c r="J690" s="68"/>
      <c r="K690" s="68"/>
      <c r="L690" s="68"/>
    </row>
    <row r="691" spans="1:12" ht="12.5" x14ac:dyDescent="0.25">
      <c r="A691" s="14"/>
      <c r="C691" s="68"/>
      <c r="D691" s="68"/>
      <c r="E691" s="68"/>
      <c r="F691" s="68"/>
      <c r="G691" s="68"/>
      <c r="H691" s="68"/>
      <c r="I691" s="68"/>
      <c r="J691" s="68"/>
      <c r="K691" s="68"/>
      <c r="L691" s="68"/>
    </row>
    <row r="692" spans="1:12" ht="12.5" x14ac:dyDescent="0.25">
      <c r="A692" s="14"/>
      <c r="C692" s="68"/>
      <c r="D692" s="68"/>
      <c r="E692" s="68"/>
      <c r="F692" s="68"/>
      <c r="G692" s="68"/>
      <c r="H692" s="68"/>
      <c r="I692" s="68"/>
      <c r="J692" s="68"/>
      <c r="K692" s="68"/>
      <c r="L692" s="68"/>
    </row>
    <row r="693" spans="1:12" ht="12.5" x14ac:dyDescent="0.25">
      <c r="A693" s="14"/>
      <c r="C693" s="68"/>
      <c r="D693" s="68"/>
      <c r="E693" s="68"/>
      <c r="F693" s="68"/>
      <c r="G693" s="68"/>
      <c r="H693" s="68"/>
      <c r="I693" s="68"/>
      <c r="J693" s="68"/>
      <c r="K693" s="68"/>
      <c r="L693" s="68"/>
    </row>
    <row r="694" spans="1:12" ht="12.5" x14ac:dyDescent="0.25">
      <c r="A694" s="14"/>
      <c r="C694" s="68"/>
      <c r="D694" s="68"/>
      <c r="E694" s="68"/>
      <c r="F694" s="68"/>
      <c r="G694" s="68"/>
      <c r="H694" s="68"/>
      <c r="I694" s="68"/>
      <c r="J694" s="68"/>
      <c r="K694" s="68"/>
      <c r="L694" s="68"/>
    </row>
    <row r="695" spans="1:12" ht="12.5" x14ac:dyDescent="0.25">
      <c r="A695" s="14"/>
      <c r="C695" s="68"/>
      <c r="D695" s="68"/>
      <c r="E695" s="68"/>
      <c r="F695" s="68"/>
      <c r="G695" s="68"/>
      <c r="H695" s="68"/>
      <c r="I695" s="68"/>
      <c r="J695" s="68"/>
      <c r="K695" s="68"/>
      <c r="L695" s="68"/>
    </row>
    <row r="696" spans="1:12" ht="12.5" x14ac:dyDescent="0.25">
      <c r="A696" s="14"/>
      <c r="C696" s="68"/>
      <c r="D696" s="68"/>
      <c r="E696" s="68"/>
      <c r="F696" s="68"/>
      <c r="G696" s="68"/>
      <c r="H696" s="68"/>
      <c r="I696" s="68"/>
      <c r="J696" s="68"/>
      <c r="K696" s="68"/>
      <c r="L696" s="68"/>
    </row>
    <row r="697" spans="1:12" ht="12.5" x14ac:dyDescent="0.25">
      <c r="A697" s="14"/>
      <c r="C697" s="68"/>
      <c r="D697" s="68"/>
      <c r="E697" s="68"/>
      <c r="F697" s="68"/>
      <c r="G697" s="68"/>
      <c r="H697" s="68"/>
      <c r="I697" s="68"/>
      <c r="J697" s="68"/>
      <c r="K697" s="68"/>
      <c r="L697" s="68"/>
    </row>
    <row r="698" spans="1:12" ht="12.5" x14ac:dyDescent="0.25">
      <c r="A698" s="14"/>
      <c r="C698" s="68"/>
      <c r="D698" s="68"/>
      <c r="E698" s="68"/>
      <c r="F698" s="68"/>
      <c r="G698" s="68"/>
      <c r="H698" s="68"/>
      <c r="I698" s="68"/>
      <c r="J698" s="68"/>
      <c r="K698" s="68"/>
      <c r="L698" s="68"/>
    </row>
    <row r="699" spans="1:12" ht="12.5" x14ac:dyDescent="0.25">
      <c r="A699" s="14"/>
      <c r="C699" s="68"/>
      <c r="D699" s="68"/>
      <c r="E699" s="68"/>
      <c r="F699" s="68"/>
      <c r="G699" s="68"/>
      <c r="H699" s="68"/>
      <c r="I699" s="68"/>
      <c r="J699" s="68"/>
      <c r="K699" s="68"/>
      <c r="L699" s="68"/>
    </row>
    <row r="700" spans="1:12" ht="12.5" x14ac:dyDescent="0.25">
      <c r="A700" s="14"/>
      <c r="C700" s="68"/>
      <c r="D700" s="68"/>
      <c r="E700" s="68"/>
      <c r="F700" s="68"/>
      <c r="G700" s="68"/>
      <c r="H700" s="68"/>
      <c r="I700" s="68"/>
      <c r="J700" s="68"/>
      <c r="K700" s="68"/>
      <c r="L700" s="68"/>
    </row>
    <row r="701" spans="1:12" ht="12.5" x14ac:dyDescent="0.25">
      <c r="A701" s="14"/>
      <c r="C701" s="68"/>
      <c r="D701" s="68"/>
      <c r="E701" s="68"/>
      <c r="F701" s="68"/>
      <c r="G701" s="68"/>
      <c r="H701" s="68"/>
      <c r="I701" s="68"/>
      <c r="J701" s="68"/>
      <c r="K701" s="68"/>
      <c r="L701" s="68"/>
    </row>
    <row r="702" spans="1:12" ht="12.5" x14ac:dyDescent="0.25">
      <c r="A702" s="14"/>
      <c r="C702" s="68"/>
      <c r="D702" s="68"/>
      <c r="E702" s="68"/>
      <c r="F702" s="68"/>
      <c r="G702" s="68"/>
      <c r="H702" s="68"/>
      <c r="I702" s="68"/>
      <c r="J702" s="68"/>
      <c r="K702" s="68"/>
      <c r="L702" s="68"/>
    </row>
    <row r="703" spans="1:12" ht="12.5" x14ac:dyDescent="0.25">
      <c r="A703" s="14"/>
      <c r="C703" s="68"/>
      <c r="D703" s="68"/>
      <c r="E703" s="68"/>
      <c r="F703" s="68"/>
      <c r="G703" s="68"/>
      <c r="H703" s="68"/>
      <c r="I703" s="68"/>
      <c r="J703" s="68"/>
      <c r="K703" s="68"/>
      <c r="L703" s="68"/>
    </row>
    <row r="704" spans="1:12" ht="12.5" x14ac:dyDescent="0.25">
      <c r="A704" s="14"/>
      <c r="C704" s="68"/>
      <c r="D704" s="68"/>
      <c r="E704" s="68"/>
      <c r="F704" s="68"/>
      <c r="G704" s="68"/>
      <c r="H704" s="68"/>
      <c r="I704" s="68"/>
      <c r="J704" s="68"/>
      <c r="K704" s="68"/>
      <c r="L704" s="68"/>
    </row>
    <row r="705" spans="1:12" ht="12.5" x14ac:dyDescent="0.25">
      <c r="A705" s="14"/>
      <c r="C705" s="68"/>
      <c r="D705" s="68"/>
      <c r="E705" s="68"/>
      <c r="F705" s="68"/>
      <c r="G705" s="68"/>
      <c r="H705" s="68"/>
      <c r="I705" s="68"/>
      <c r="J705" s="68"/>
      <c r="K705" s="68"/>
      <c r="L705" s="68"/>
    </row>
    <row r="706" spans="1:12" ht="12.5" x14ac:dyDescent="0.25">
      <c r="A706" s="14"/>
      <c r="C706" s="68"/>
      <c r="D706" s="68"/>
      <c r="E706" s="68"/>
      <c r="F706" s="68"/>
      <c r="G706" s="68"/>
      <c r="H706" s="68"/>
      <c r="I706" s="68"/>
      <c r="J706" s="68"/>
      <c r="K706" s="68"/>
      <c r="L706" s="68"/>
    </row>
    <row r="707" spans="1:12" ht="12.5" x14ac:dyDescent="0.25">
      <c r="A707" s="14"/>
      <c r="C707" s="68"/>
      <c r="D707" s="68"/>
      <c r="E707" s="68"/>
      <c r="F707" s="68"/>
      <c r="G707" s="68"/>
      <c r="H707" s="68"/>
      <c r="I707" s="68"/>
      <c r="J707" s="68"/>
      <c r="K707" s="68"/>
      <c r="L707" s="68"/>
    </row>
    <row r="708" spans="1:12" ht="12.5" x14ac:dyDescent="0.25">
      <c r="A708" s="14"/>
      <c r="C708" s="68"/>
      <c r="D708" s="68"/>
      <c r="E708" s="68"/>
      <c r="F708" s="68"/>
      <c r="G708" s="68"/>
      <c r="H708" s="68"/>
      <c r="I708" s="68"/>
      <c r="J708" s="68"/>
      <c r="K708" s="68"/>
      <c r="L708" s="68"/>
    </row>
    <row r="709" spans="1:12" ht="12.5" x14ac:dyDescent="0.25">
      <c r="A709" s="14"/>
      <c r="C709" s="68"/>
      <c r="D709" s="68"/>
      <c r="E709" s="68"/>
      <c r="F709" s="68"/>
      <c r="G709" s="68"/>
      <c r="H709" s="68"/>
      <c r="I709" s="68"/>
      <c r="J709" s="68"/>
      <c r="K709" s="68"/>
      <c r="L709" s="68"/>
    </row>
    <row r="710" spans="1:12" ht="12.5" x14ac:dyDescent="0.25">
      <c r="A710" s="14"/>
      <c r="C710" s="68"/>
      <c r="D710" s="68"/>
      <c r="E710" s="68"/>
      <c r="F710" s="68"/>
      <c r="G710" s="68"/>
      <c r="H710" s="68"/>
      <c r="I710" s="68"/>
      <c r="J710" s="68"/>
      <c r="K710" s="68"/>
      <c r="L710" s="68"/>
    </row>
    <row r="711" spans="1:12" ht="12.5" x14ac:dyDescent="0.25">
      <c r="A711" s="14"/>
      <c r="C711" s="68"/>
      <c r="D711" s="68"/>
      <c r="E711" s="68"/>
      <c r="F711" s="68"/>
      <c r="G711" s="68"/>
      <c r="H711" s="68"/>
      <c r="I711" s="68"/>
      <c r="J711" s="68"/>
      <c r="K711" s="68"/>
      <c r="L711" s="68"/>
    </row>
    <row r="712" spans="1:12" ht="12.5" x14ac:dyDescent="0.25">
      <c r="A712" s="14"/>
      <c r="C712" s="68"/>
      <c r="D712" s="68"/>
      <c r="E712" s="68"/>
      <c r="F712" s="68"/>
      <c r="G712" s="68"/>
      <c r="H712" s="68"/>
      <c r="I712" s="68"/>
      <c r="J712" s="68"/>
      <c r="K712" s="68"/>
      <c r="L712" s="68"/>
    </row>
    <row r="713" spans="1:12" ht="12.5" x14ac:dyDescent="0.25">
      <c r="A713" s="14"/>
      <c r="C713" s="68"/>
      <c r="D713" s="68"/>
      <c r="E713" s="68"/>
      <c r="F713" s="68"/>
      <c r="G713" s="68"/>
      <c r="H713" s="68"/>
      <c r="I713" s="68"/>
      <c r="J713" s="68"/>
      <c r="K713" s="68"/>
      <c r="L713" s="68"/>
    </row>
    <row r="714" spans="1:12" ht="12.5" x14ac:dyDescent="0.25">
      <c r="A714" s="14"/>
      <c r="C714" s="68"/>
      <c r="D714" s="68"/>
      <c r="E714" s="68"/>
      <c r="F714" s="68"/>
      <c r="G714" s="68"/>
      <c r="H714" s="68"/>
      <c r="I714" s="68"/>
      <c r="J714" s="68"/>
      <c r="K714" s="68"/>
      <c r="L714" s="68"/>
    </row>
    <row r="715" spans="1:12" ht="12.5" x14ac:dyDescent="0.25">
      <c r="A715" s="14"/>
      <c r="C715" s="68"/>
      <c r="D715" s="68"/>
      <c r="E715" s="68"/>
      <c r="F715" s="68"/>
      <c r="G715" s="68"/>
      <c r="H715" s="68"/>
      <c r="I715" s="68"/>
      <c r="J715" s="68"/>
      <c r="K715" s="68"/>
      <c r="L715" s="68"/>
    </row>
    <row r="716" spans="1:12" ht="12.5" x14ac:dyDescent="0.25">
      <c r="A716" s="14"/>
      <c r="C716" s="68"/>
      <c r="D716" s="68"/>
      <c r="E716" s="68"/>
      <c r="F716" s="68"/>
      <c r="G716" s="68"/>
      <c r="H716" s="68"/>
      <c r="I716" s="68"/>
      <c r="J716" s="68"/>
      <c r="K716" s="68"/>
      <c r="L716" s="68"/>
    </row>
    <row r="717" spans="1:12" ht="12.5" x14ac:dyDescent="0.25">
      <c r="A717" s="14"/>
      <c r="C717" s="68"/>
      <c r="D717" s="68"/>
      <c r="E717" s="68"/>
      <c r="F717" s="68"/>
      <c r="G717" s="68"/>
      <c r="H717" s="68"/>
      <c r="I717" s="68"/>
      <c r="J717" s="68"/>
      <c r="K717" s="68"/>
      <c r="L717" s="68"/>
    </row>
    <row r="718" spans="1:12" ht="12.5" x14ac:dyDescent="0.25">
      <c r="A718" s="14"/>
      <c r="C718" s="68"/>
      <c r="D718" s="68"/>
      <c r="E718" s="68"/>
      <c r="F718" s="68"/>
      <c r="G718" s="68"/>
      <c r="H718" s="68"/>
      <c r="I718" s="68"/>
      <c r="J718" s="68"/>
      <c r="K718" s="68"/>
      <c r="L718" s="68"/>
    </row>
    <row r="719" spans="1:12" ht="12.5" x14ac:dyDescent="0.25">
      <c r="A719" s="14"/>
      <c r="C719" s="68"/>
      <c r="D719" s="68"/>
      <c r="E719" s="68"/>
      <c r="F719" s="68"/>
      <c r="G719" s="68"/>
      <c r="H719" s="68"/>
      <c r="I719" s="68"/>
      <c r="J719" s="68"/>
      <c r="K719" s="68"/>
      <c r="L719" s="68"/>
    </row>
    <row r="720" spans="1:12" ht="12.5" x14ac:dyDescent="0.25">
      <c r="A720" s="14"/>
      <c r="C720" s="68"/>
      <c r="D720" s="68"/>
      <c r="E720" s="68"/>
      <c r="F720" s="68"/>
      <c r="G720" s="68"/>
      <c r="H720" s="68"/>
      <c r="I720" s="68"/>
      <c r="J720" s="68"/>
      <c r="K720" s="68"/>
      <c r="L720" s="68"/>
    </row>
    <row r="721" spans="1:12" ht="12.5" x14ac:dyDescent="0.25">
      <c r="A721" s="14"/>
      <c r="C721" s="68"/>
      <c r="D721" s="68"/>
      <c r="E721" s="68"/>
      <c r="F721" s="68"/>
      <c r="G721" s="68"/>
      <c r="H721" s="68"/>
      <c r="I721" s="68"/>
      <c r="J721" s="68"/>
      <c r="K721" s="68"/>
      <c r="L721" s="68"/>
    </row>
    <row r="722" spans="1:12" ht="12.5" x14ac:dyDescent="0.25">
      <c r="A722" s="14"/>
      <c r="C722" s="68"/>
      <c r="D722" s="68"/>
      <c r="E722" s="68"/>
      <c r="F722" s="68"/>
      <c r="G722" s="68"/>
      <c r="H722" s="68"/>
      <c r="I722" s="68"/>
      <c r="J722" s="68"/>
      <c r="K722" s="68"/>
      <c r="L722" s="68"/>
    </row>
    <row r="723" spans="1:12" ht="12.5" x14ac:dyDescent="0.25">
      <c r="A723" s="14"/>
      <c r="C723" s="68"/>
      <c r="D723" s="68"/>
      <c r="E723" s="68"/>
      <c r="F723" s="68"/>
      <c r="G723" s="68"/>
      <c r="H723" s="68"/>
      <c r="I723" s="68"/>
      <c r="J723" s="68"/>
      <c r="K723" s="68"/>
      <c r="L723" s="68"/>
    </row>
    <row r="724" spans="1:12" ht="12.5" x14ac:dyDescent="0.25">
      <c r="A724" s="14"/>
      <c r="C724" s="68"/>
      <c r="D724" s="68"/>
      <c r="E724" s="68"/>
      <c r="F724" s="68"/>
      <c r="G724" s="68"/>
      <c r="H724" s="68"/>
      <c r="I724" s="68"/>
      <c r="J724" s="68"/>
      <c r="K724" s="68"/>
      <c r="L724" s="68"/>
    </row>
    <row r="725" spans="1:12" ht="12.5" x14ac:dyDescent="0.25">
      <c r="A725" s="14"/>
      <c r="C725" s="68"/>
      <c r="D725" s="68"/>
      <c r="E725" s="68"/>
      <c r="F725" s="68"/>
      <c r="G725" s="68"/>
      <c r="H725" s="68"/>
      <c r="I725" s="68"/>
      <c r="J725" s="68"/>
      <c r="K725" s="68"/>
      <c r="L725" s="68"/>
    </row>
    <row r="726" spans="1:12" ht="12.5" x14ac:dyDescent="0.25">
      <c r="A726" s="14"/>
      <c r="C726" s="68"/>
      <c r="D726" s="68"/>
      <c r="E726" s="68"/>
      <c r="F726" s="68"/>
      <c r="G726" s="68"/>
      <c r="H726" s="68"/>
      <c r="I726" s="68"/>
      <c r="J726" s="68"/>
      <c r="K726" s="68"/>
      <c r="L726" s="68"/>
    </row>
    <row r="727" spans="1:12" ht="12.5" x14ac:dyDescent="0.25">
      <c r="A727" s="14"/>
      <c r="C727" s="68"/>
      <c r="D727" s="68"/>
      <c r="E727" s="68"/>
      <c r="F727" s="68"/>
      <c r="G727" s="68"/>
      <c r="H727" s="68"/>
      <c r="I727" s="68"/>
      <c r="J727" s="68"/>
      <c r="K727" s="68"/>
      <c r="L727" s="68"/>
    </row>
    <row r="728" spans="1:12" ht="12.5" x14ac:dyDescent="0.25">
      <c r="A728" s="14"/>
      <c r="C728" s="68"/>
      <c r="D728" s="68"/>
      <c r="E728" s="68"/>
      <c r="F728" s="68"/>
      <c r="G728" s="68"/>
      <c r="H728" s="68"/>
      <c r="I728" s="68"/>
      <c r="J728" s="68"/>
      <c r="K728" s="68"/>
      <c r="L728" s="68"/>
    </row>
    <row r="729" spans="1:12" ht="12.5" x14ac:dyDescent="0.25">
      <c r="A729" s="14"/>
      <c r="C729" s="68"/>
      <c r="D729" s="68"/>
      <c r="E729" s="68"/>
      <c r="F729" s="68"/>
      <c r="G729" s="68"/>
      <c r="H729" s="68"/>
      <c r="I729" s="68"/>
      <c r="J729" s="68"/>
      <c r="K729" s="68"/>
      <c r="L729" s="68"/>
    </row>
    <row r="730" spans="1:12" ht="12.5" x14ac:dyDescent="0.25">
      <c r="A730" s="14"/>
      <c r="C730" s="68"/>
      <c r="D730" s="68"/>
      <c r="E730" s="68"/>
      <c r="F730" s="68"/>
      <c r="G730" s="68"/>
      <c r="H730" s="68"/>
      <c r="I730" s="68"/>
      <c r="J730" s="68"/>
      <c r="K730" s="68"/>
      <c r="L730" s="68"/>
    </row>
    <row r="731" spans="1:12" ht="12.5" x14ac:dyDescent="0.25">
      <c r="A731" s="14"/>
      <c r="C731" s="68"/>
      <c r="D731" s="68"/>
      <c r="E731" s="68"/>
      <c r="F731" s="68"/>
      <c r="G731" s="68"/>
      <c r="H731" s="68"/>
      <c r="I731" s="68"/>
      <c r="J731" s="68"/>
      <c r="K731" s="68"/>
      <c r="L731" s="68"/>
    </row>
    <row r="732" spans="1:12" ht="12.5" x14ac:dyDescent="0.25">
      <c r="A732" s="14"/>
      <c r="C732" s="68"/>
      <c r="D732" s="68"/>
      <c r="E732" s="68"/>
      <c r="F732" s="68"/>
      <c r="G732" s="68"/>
      <c r="H732" s="68"/>
      <c r="I732" s="68"/>
      <c r="J732" s="68"/>
      <c r="K732" s="68"/>
      <c r="L732" s="68"/>
    </row>
    <row r="733" spans="1:12" ht="12.5" x14ac:dyDescent="0.25">
      <c r="A733" s="14"/>
      <c r="C733" s="68"/>
      <c r="D733" s="68"/>
      <c r="E733" s="68"/>
      <c r="F733" s="68"/>
      <c r="G733" s="68"/>
      <c r="H733" s="68"/>
      <c r="I733" s="68"/>
      <c r="J733" s="68"/>
      <c r="K733" s="68"/>
      <c r="L733" s="68"/>
    </row>
    <row r="734" spans="1:12" ht="12.5" x14ac:dyDescent="0.25">
      <c r="A734" s="14"/>
      <c r="C734" s="68"/>
      <c r="D734" s="68"/>
      <c r="E734" s="68"/>
      <c r="F734" s="68"/>
      <c r="G734" s="68"/>
      <c r="H734" s="68"/>
      <c r="I734" s="68"/>
      <c r="J734" s="68"/>
      <c r="K734" s="68"/>
      <c r="L734" s="68"/>
    </row>
    <row r="735" spans="1:12" ht="12.5" x14ac:dyDescent="0.25">
      <c r="A735" s="14"/>
      <c r="C735" s="68"/>
      <c r="D735" s="68"/>
      <c r="E735" s="68"/>
      <c r="F735" s="68"/>
      <c r="G735" s="68"/>
      <c r="H735" s="68"/>
      <c r="I735" s="68"/>
      <c r="J735" s="68"/>
      <c r="K735" s="68"/>
      <c r="L735" s="68"/>
    </row>
    <row r="736" spans="1:12" ht="12.5" x14ac:dyDescent="0.25">
      <c r="A736" s="14"/>
      <c r="C736" s="68"/>
      <c r="D736" s="68"/>
      <c r="E736" s="68"/>
      <c r="F736" s="68"/>
      <c r="G736" s="68"/>
      <c r="H736" s="68"/>
      <c r="I736" s="68"/>
      <c r="J736" s="68"/>
      <c r="K736" s="68"/>
      <c r="L736" s="68"/>
    </row>
    <row r="737" spans="1:12" ht="12.5" x14ac:dyDescent="0.25">
      <c r="A737" s="14"/>
      <c r="C737" s="68"/>
      <c r="D737" s="68"/>
      <c r="E737" s="68"/>
      <c r="F737" s="68"/>
      <c r="G737" s="68"/>
      <c r="H737" s="68"/>
      <c r="I737" s="68"/>
      <c r="J737" s="68"/>
      <c r="K737" s="68"/>
      <c r="L737" s="68"/>
    </row>
    <row r="738" spans="1:12" ht="12.5" x14ac:dyDescent="0.25">
      <c r="A738" s="14"/>
      <c r="C738" s="68"/>
      <c r="D738" s="68"/>
      <c r="E738" s="68"/>
      <c r="F738" s="68"/>
      <c r="G738" s="68"/>
      <c r="H738" s="68"/>
      <c r="I738" s="68"/>
      <c r="J738" s="68"/>
      <c r="K738" s="68"/>
      <c r="L738" s="68"/>
    </row>
    <row r="739" spans="1:12" ht="12.5" x14ac:dyDescent="0.25">
      <c r="A739" s="14"/>
      <c r="C739" s="68"/>
      <c r="D739" s="68"/>
      <c r="E739" s="68"/>
      <c r="F739" s="68"/>
      <c r="G739" s="68"/>
      <c r="H739" s="68"/>
      <c r="I739" s="68"/>
      <c r="J739" s="68"/>
      <c r="K739" s="68"/>
      <c r="L739" s="68"/>
    </row>
    <row r="740" spans="1:12" ht="12.5" x14ac:dyDescent="0.25">
      <c r="A740" s="14"/>
      <c r="C740" s="68"/>
      <c r="D740" s="68"/>
      <c r="E740" s="68"/>
      <c r="F740" s="68"/>
      <c r="G740" s="68"/>
      <c r="H740" s="68"/>
      <c r="I740" s="68"/>
      <c r="J740" s="68"/>
      <c r="K740" s="68"/>
      <c r="L740" s="68"/>
    </row>
    <row r="741" spans="1:12" ht="12.5" x14ac:dyDescent="0.25">
      <c r="A741" s="14"/>
      <c r="C741" s="68"/>
      <c r="D741" s="68"/>
      <c r="E741" s="68"/>
      <c r="F741" s="68"/>
      <c r="G741" s="68"/>
      <c r="H741" s="68"/>
      <c r="I741" s="68"/>
      <c r="J741" s="68"/>
      <c r="K741" s="68"/>
      <c r="L741" s="68"/>
    </row>
    <row r="742" spans="1:12" ht="12.5" x14ac:dyDescent="0.25">
      <c r="A742" s="14"/>
      <c r="C742" s="68"/>
      <c r="D742" s="68"/>
      <c r="E742" s="68"/>
      <c r="F742" s="68"/>
      <c r="G742" s="68"/>
      <c r="H742" s="68"/>
      <c r="I742" s="68"/>
      <c r="J742" s="68"/>
      <c r="K742" s="68"/>
      <c r="L742" s="68"/>
    </row>
    <row r="743" spans="1:12" ht="12.5" x14ac:dyDescent="0.25">
      <c r="A743" s="14"/>
      <c r="C743" s="68"/>
      <c r="D743" s="68"/>
      <c r="E743" s="68"/>
      <c r="F743" s="68"/>
      <c r="G743" s="68"/>
      <c r="H743" s="68"/>
      <c r="I743" s="68"/>
      <c r="J743" s="68"/>
      <c r="K743" s="68"/>
      <c r="L743" s="68"/>
    </row>
    <row r="744" spans="1:12" ht="12.5" x14ac:dyDescent="0.25">
      <c r="A744" s="14"/>
      <c r="C744" s="68"/>
      <c r="D744" s="68"/>
      <c r="E744" s="68"/>
      <c r="F744" s="68"/>
      <c r="G744" s="68"/>
      <c r="H744" s="68"/>
      <c r="I744" s="68"/>
      <c r="J744" s="68"/>
      <c r="K744" s="68"/>
      <c r="L744" s="68"/>
    </row>
    <row r="745" spans="1:12" ht="12.5" x14ac:dyDescent="0.25">
      <c r="A745" s="14"/>
      <c r="C745" s="68"/>
      <c r="D745" s="68"/>
      <c r="E745" s="68"/>
      <c r="F745" s="68"/>
      <c r="G745" s="68"/>
      <c r="H745" s="68"/>
      <c r="I745" s="68"/>
      <c r="J745" s="68"/>
      <c r="K745" s="68"/>
      <c r="L745" s="68"/>
    </row>
    <row r="746" spans="1:12" ht="12.5" x14ac:dyDescent="0.25">
      <c r="A746" s="14"/>
      <c r="C746" s="68"/>
      <c r="D746" s="68"/>
      <c r="E746" s="68"/>
      <c r="F746" s="68"/>
      <c r="G746" s="68"/>
      <c r="H746" s="68"/>
      <c r="I746" s="68"/>
      <c r="J746" s="68"/>
      <c r="K746" s="68"/>
      <c r="L746" s="68"/>
    </row>
    <row r="747" spans="1:12" ht="12.5" x14ac:dyDescent="0.25">
      <c r="A747" s="14"/>
      <c r="C747" s="68"/>
      <c r="D747" s="68"/>
      <c r="E747" s="68"/>
      <c r="F747" s="68"/>
      <c r="G747" s="68"/>
      <c r="H747" s="68"/>
      <c r="I747" s="68"/>
      <c r="J747" s="68"/>
      <c r="K747" s="68"/>
      <c r="L747" s="68"/>
    </row>
    <row r="748" spans="1:12" ht="12.5" x14ac:dyDescent="0.25">
      <c r="A748" s="14"/>
      <c r="C748" s="68"/>
      <c r="D748" s="68"/>
      <c r="E748" s="68"/>
      <c r="F748" s="68"/>
      <c r="G748" s="68"/>
      <c r="H748" s="68"/>
      <c r="I748" s="68"/>
      <c r="J748" s="68"/>
      <c r="K748" s="68"/>
      <c r="L748" s="68"/>
    </row>
    <row r="749" spans="1:12" ht="12.5" x14ac:dyDescent="0.25">
      <c r="A749" s="14"/>
      <c r="C749" s="68"/>
      <c r="D749" s="68"/>
      <c r="E749" s="68"/>
      <c r="F749" s="68"/>
      <c r="G749" s="68"/>
      <c r="H749" s="68"/>
      <c r="I749" s="68"/>
      <c r="J749" s="68"/>
      <c r="K749" s="68"/>
      <c r="L749" s="68"/>
    </row>
    <row r="750" spans="1:12" ht="12.5" x14ac:dyDescent="0.25">
      <c r="A750" s="14"/>
      <c r="C750" s="68"/>
      <c r="D750" s="68"/>
      <c r="E750" s="68"/>
      <c r="F750" s="68"/>
      <c r="G750" s="68"/>
      <c r="H750" s="68"/>
      <c r="I750" s="68"/>
      <c r="J750" s="68"/>
      <c r="K750" s="68"/>
      <c r="L750" s="68"/>
    </row>
    <row r="751" spans="1:12" ht="12.5" x14ac:dyDescent="0.25">
      <c r="A751" s="14"/>
      <c r="C751" s="68"/>
      <c r="D751" s="68"/>
      <c r="E751" s="68"/>
      <c r="F751" s="68"/>
      <c r="G751" s="68"/>
      <c r="H751" s="68"/>
      <c r="I751" s="68"/>
      <c r="J751" s="68"/>
      <c r="K751" s="68"/>
      <c r="L751" s="68"/>
    </row>
    <row r="752" spans="1:12" ht="12.5" x14ac:dyDescent="0.25">
      <c r="A752" s="14"/>
      <c r="C752" s="68"/>
      <c r="D752" s="68"/>
      <c r="E752" s="68"/>
      <c r="F752" s="68"/>
      <c r="G752" s="68"/>
      <c r="H752" s="68"/>
      <c r="I752" s="68"/>
      <c r="J752" s="68"/>
      <c r="K752" s="68"/>
      <c r="L752" s="68"/>
    </row>
    <row r="753" spans="1:12" ht="12.5" x14ac:dyDescent="0.25">
      <c r="A753" s="14"/>
      <c r="C753" s="68"/>
      <c r="D753" s="68"/>
      <c r="E753" s="68"/>
      <c r="F753" s="68"/>
      <c r="G753" s="68"/>
      <c r="H753" s="68"/>
      <c r="I753" s="68"/>
      <c r="J753" s="68"/>
      <c r="K753" s="68"/>
      <c r="L753" s="68"/>
    </row>
    <row r="754" spans="1:12" ht="12.5" x14ac:dyDescent="0.25">
      <c r="A754" s="14"/>
      <c r="C754" s="68"/>
      <c r="D754" s="68"/>
      <c r="E754" s="68"/>
      <c r="F754" s="68"/>
      <c r="G754" s="68"/>
      <c r="H754" s="68"/>
      <c r="I754" s="68"/>
      <c r="J754" s="68"/>
      <c r="K754" s="68"/>
      <c r="L754" s="68"/>
    </row>
    <row r="755" spans="1:12" ht="12.5" x14ac:dyDescent="0.25">
      <c r="A755" s="14"/>
      <c r="C755" s="68"/>
      <c r="D755" s="68"/>
      <c r="E755" s="68"/>
      <c r="F755" s="68"/>
      <c r="G755" s="68"/>
      <c r="H755" s="68"/>
      <c r="I755" s="68"/>
      <c r="J755" s="68"/>
      <c r="K755" s="68"/>
      <c r="L755" s="68"/>
    </row>
    <row r="756" spans="1:12" ht="12.5" x14ac:dyDescent="0.25">
      <c r="A756" s="14"/>
      <c r="C756" s="68"/>
      <c r="D756" s="68"/>
      <c r="E756" s="68"/>
      <c r="F756" s="68"/>
      <c r="G756" s="68"/>
      <c r="H756" s="68"/>
      <c r="I756" s="68"/>
      <c r="J756" s="68"/>
      <c r="K756" s="68"/>
      <c r="L756" s="68"/>
    </row>
    <row r="757" spans="1:12" ht="12.5" x14ac:dyDescent="0.25">
      <c r="A757" s="14"/>
      <c r="C757" s="68"/>
      <c r="D757" s="68"/>
      <c r="E757" s="68"/>
      <c r="F757" s="68"/>
      <c r="G757" s="68"/>
      <c r="H757" s="68"/>
      <c r="I757" s="68"/>
      <c r="J757" s="68"/>
      <c r="K757" s="68"/>
      <c r="L757" s="68"/>
    </row>
    <row r="758" spans="1:12" ht="12.5" x14ac:dyDescent="0.25">
      <c r="A758" s="14"/>
      <c r="C758" s="68"/>
      <c r="D758" s="68"/>
      <c r="E758" s="68"/>
      <c r="F758" s="68"/>
      <c r="G758" s="68"/>
      <c r="H758" s="68"/>
      <c r="I758" s="68"/>
      <c r="J758" s="68"/>
      <c r="K758" s="68"/>
      <c r="L758" s="68"/>
    </row>
    <row r="759" spans="1:12" ht="12.5" x14ac:dyDescent="0.25">
      <c r="A759" s="14"/>
      <c r="C759" s="68"/>
      <c r="D759" s="68"/>
      <c r="E759" s="68"/>
      <c r="F759" s="68"/>
      <c r="G759" s="68"/>
      <c r="H759" s="68"/>
      <c r="I759" s="68"/>
      <c r="J759" s="68"/>
      <c r="K759" s="68"/>
      <c r="L759" s="68"/>
    </row>
    <row r="760" spans="1:12" ht="12.5" x14ac:dyDescent="0.25">
      <c r="A760" s="14"/>
      <c r="C760" s="68"/>
      <c r="D760" s="68"/>
      <c r="E760" s="68"/>
      <c r="F760" s="68"/>
      <c r="G760" s="68"/>
      <c r="H760" s="68"/>
      <c r="I760" s="68"/>
      <c r="J760" s="68"/>
      <c r="K760" s="68"/>
      <c r="L760" s="68"/>
    </row>
    <row r="761" spans="1:12" ht="12.5" x14ac:dyDescent="0.25">
      <c r="A761" s="14"/>
      <c r="C761" s="68"/>
      <c r="D761" s="68"/>
      <c r="E761" s="68"/>
      <c r="F761" s="68"/>
      <c r="G761" s="68"/>
      <c r="H761" s="68"/>
      <c r="I761" s="68"/>
      <c r="J761" s="68"/>
      <c r="K761" s="68"/>
      <c r="L761" s="68"/>
    </row>
    <row r="762" spans="1:12" ht="12.5" x14ac:dyDescent="0.25">
      <c r="A762" s="14"/>
      <c r="C762" s="68"/>
      <c r="D762" s="68"/>
      <c r="E762" s="68"/>
      <c r="F762" s="68"/>
      <c r="G762" s="68"/>
      <c r="H762" s="68"/>
      <c r="I762" s="68"/>
      <c r="J762" s="68"/>
      <c r="K762" s="68"/>
      <c r="L762" s="68"/>
    </row>
    <row r="763" spans="1:12" ht="12.5" x14ac:dyDescent="0.25">
      <c r="A763" s="14"/>
      <c r="C763" s="68"/>
      <c r="D763" s="68"/>
      <c r="E763" s="68"/>
      <c r="F763" s="68"/>
      <c r="G763" s="68"/>
      <c r="H763" s="68"/>
      <c r="I763" s="68"/>
      <c r="J763" s="68"/>
      <c r="K763" s="68"/>
      <c r="L763" s="68"/>
    </row>
    <row r="764" spans="1:12" ht="12.5" x14ac:dyDescent="0.25">
      <c r="A764" s="14"/>
      <c r="C764" s="68"/>
      <c r="D764" s="68"/>
      <c r="E764" s="68"/>
      <c r="F764" s="68"/>
      <c r="G764" s="68"/>
      <c r="H764" s="68"/>
      <c r="I764" s="68"/>
      <c r="J764" s="68"/>
      <c r="K764" s="68"/>
      <c r="L764" s="68"/>
    </row>
    <row r="765" spans="1:12" ht="12.5" x14ac:dyDescent="0.25">
      <c r="A765" s="14"/>
      <c r="C765" s="68"/>
      <c r="D765" s="68"/>
      <c r="E765" s="68"/>
      <c r="F765" s="68"/>
      <c r="G765" s="68"/>
      <c r="H765" s="68"/>
      <c r="I765" s="68"/>
      <c r="J765" s="68"/>
      <c r="K765" s="68"/>
      <c r="L765" s="68"/>
    </row>
    <row r="766" spans="1:12" ht="12.5" x14ac:dyDescent="0.25">
      <c r="A766" s="14"/>
      <c r="C766" s="68"/>
      <c r="D766" s="68"/>
      <c r="E766" s="68"/>
      <c r="F766" s="68"/>
      <c r="G766" s="68"/>
      <c r="H766" s="68"/>
      <c r="I766" s="68"/>
      <c r="J766" s="68"/>
      <c r="K766" s="68"/>
      <c r="L766" s="68"/>
    </row>
    <row r="767" spans="1:12" ht="12.5" x14ac:dyDescent="0.25">
      <c r="A767" s="14"/>
      <c r="C767" s="68"/>
      <c r="D767" s="68"/>
      <c r="E767" s="68"/>
      <c r="F767" s="68"/>
      <c r="G767" s="68"/>
      <c r="H767" s="68"/>
      <c r="I767" s="68"/>
      <c r="J767" s="68"/>
      <c r="K767" s="68"/>
      <c r="L767" s="68"/>
    </row>
    <row r="768" spans="1:12" ht="12.5" x14ac:dyDescent="0.25">
      <c r="A768" s="14"/>
      <c r="C768" s="68"/>
      <c r="D768" s="68"/>
      <c r="E768" s="68"/>
      <c r="F768" s="68"/>
      <c r="G768" s="68"/>
      <c r="H768" s="68"/>
      <c r="I768" s="68"/>
      <c r="J768" s="68"/>
      <c r="K768" s="68"/>
      <c r="L768" s="68"/>
    </row>
    <row r="769" spans="1:12" ht="12.5" x14ac:dyDescent="0.25">
      <c r="A769" s="14"/>
      <c r="C769" s="68"/>
      <c r="D769" s="68"/>
      <c r="E769" s="68"/>
      <c r="F769" s="68"/>
      <c r="G769" s="68"/>
      <c r="H769" s="68"/>
      <c r="I769" s="68"/>
      <c r="J769" s="68"/>
      <c r="K769" s="68"/>
      <c r="L769" s="68"/>
    </row>
    <row r="770" spans="1:12" ht="12.5" x14ac:dyDescent="0.25">
      <c r="A770" s="14"/>
      <c r="C770" s="68"/>
      <c r="D770" s="68"/>
      <c r="E770" s="68"/>
      <c r="F770" s="68"/>
      <c r="G770" s="68"/>
      <c r="H770" s="68"/>
      <c r="I770" s="68"/>
      <c r="J770" s="68"/>
      <c r="K770" s="68"/>
      <c r="L770" s="68"/>
    </row>
    <row r="771" spans="1:12" ht="12.5" x14ac:dyDescent="0.25">
      <c r="A771" s="14"/>
      <c r="C771" s="68"/>
      <c r="D771" s="68"/>
      <c r="E771" s="68"/>
      <c r="F771" s="68"/>
      <c r="G771" s="68"/>
      <c r="H771" s="68"/>
      <c r="I771" s="68"/>
      <c r="J771" s="68"/>
      <c r="K771" s="68"/>
      <c r="L771" s="68"/>
    </row>
    <row r="772" spans="1:12" ht="12.5" x14ac:dyDescent="0.25">
      <c r="A772" s="14"/>
      <c r="C772" s="68"/>
      <c r="D772" s="68"/>
      <c r="E772" s="68"/>
      <c r="F772" s="68"/>
      <c r="G772" s="68"/>
      <c r="H772" s="68"/>
      <c r="I772" s="68"/>
      <c r="J772" s="68"/>
      <c r="K772" s="68"/>
      <c r="L772" s="68"/>
    </row>
    <row r="773" spans="1:12" ht="12.5" x14ac:dyDescent="0.25">
      <c r="A773" s="14"/>
      <c r="C773" s="68"/>
      <c r="D773" s="68"/>
      <c r="E773" s="68"/>
      <c r="F773" s="68"/>
      <c r="G773" s="68"/>
      <c r="H773" s="68"/>
      <c r="I773" s="68"/>
      <c r="J773" s="68"/>
      <c r="K773" s="68"/>
      <c r="L773" s="68"/>
    </row>
    <row r="774" spans="1:12" ht="12.5" x14ac:dyDescent="0.25">
      <c r="A774" s="14"/>
      <c r="C774" s="68"/>
      <c r="D774" s="68"/>
      <c r="E774" s="68"/>
      <c r="F774" s="68"/>
      <c r="G774" s="68"/>
      <c r="H774" s="68"/>
      <c r="I774" s="68"/>
      <c r="J774" s="68"/>
      <c r="K774" s="68"/>
      <c r="L774" s="68"/>
    </row>
    <row r="775" spans="1:12" ht="12.5" x14ac:dyDescent="0.25">
      <c r="A775" s="14"/>
      <c r="C775" s="68"/>
      <c r="D775" s="68"/>
      <c r="E775" s="68"/>
      <c r="F775" s="68"/>
      <c r="G775" s="68"/>
      <c r="H775" s="68"/>
      <c r="I775" s="68"/>
      <c r="J775" s="68"/>
      <c r="K775" s="68"/>
      <c r="L775" s="68"/>
    </row>
    <row r="776" spans="1:12" ht="12.5" x14ac:dyDescent="0.25">
      <c r="A776" s="14"/>
      <c r="C776" s="68"/>
      <c r="D776" s="68"/>
      <c r="E776" s="68"/>
      <c r="F776" s="68"/>
      <c r="G776" s="68"/>
      <c r="H776" s="68"/>
      <c r="I776" s="68"/>
      <c r="J776" s="68"/>
      <c r="K776" s="68"/>
      <c r="L776" s="68"/>
    </row>
    <row r="777" spans="1:12" ht="12.5" x14ac:dyDescent="0.25">
      <c r="A777" s="14"/>
      <c r="C777" s="68"/>
      <c r="D777" s="68"/>
      <c r="E777" s="68"/>
      <c r="F777" s="68"/>
      <c r="G777" s="68"/>
      <c r="H777" s="68"/>
      <c r="I777" s="68"/>
      <c r="J777" s="68"/>
      <c r="K777" s="68"/>
      <c r="L777" s="68"/>
    </row>
    <row r="778" spans="1:12" ht="12.5" x14ac:dyDescent="0.25">
      <c r="A778" s="14"/>
      <c r="C778" s="68"/>
      <c r="D778" s="68"/>
      <c r="E778" s="68"/>
      <c r="F778" s="68"/>
      <c r="G778" s="68"/>
      <c r="H778" s="68"/>
      <c r="I778" s="68"/>
      <c r="J778" s="68"/>
      <c r="K778" s="68"/>
      <c r="L778" s="68"/>
    </row>
    <row r="779" spans="1:12" ht="12.5" x14ac:dyDescent="0.25">
      <c r="A779" s="14"/>
      <c r="C779" s="68"/>
      <c r="D779" s="68"/>
      <c r="E779" s="68"/>
      <c r="F779" s="68"/>
      <c r="G779" s="68"/>
      <c r="H779" s="68"/>
      <c r="I779" s="68"/>
      <c r="J779" s="68"/>
      <c r="K779" s="68"/>
      <c r="L779" s="68"/>
    </row>
    <row r="780" spans="1:12" ht="12.5" x14ac:dyDescent="0.25">
      <c r="A780" s="14"/>
      <c r="C780" s="68"/>
      <c r="D780" s="68"/>
      <c r="E780" s="68"/>
      <c r="F780" s="68"/>
      <c r="G780" s="68"/>
      <c r="H780" s="68"/>
      <c r="I780" s="68"/>
      <c r="J780" s="68"/>
      <c r="K780" s="68"/>
      <c r="L780" s="68"/>
    </row>
    <row r="781" spans="1:12" ht="12.5" x14ac:dyDescent="0.25">
      <c r="A781" s="14"/>
      <c r="C781" s="68"/>
      <c r="D781" s="68"/>
      <c r="E781" s="68"/>
      <c r="F781" s="68"/>
      <c r="G781" s="68"/>
      <c r="H781" s="68"/>
      <c r="I781" s="68"/>
      <c r="J781" s="68"/>
      <c r="K781" s="68"/>
      <c r="L781" s="68"/>
    </row>
    <row r="782" spans="1:12" ht="12.5" x14ac:dyDescent="0.25">
      <c r="A782" s="14"/>
      <c r="C782" s="68"/>
      <c r="D782" s="68"/>
      <c r="E782" s="68"/>
      <c r="F782" s="68"/>
      <c r="G782" s="68"/>
      <c r="H782" s="68"/>
      <c r="I782" s="68"/>
      <c r="J782" s="68"/>
      <c r="K782" s="68"/>
      <c r="L782" s="68"/>
    </row>
    <row r="783" spans="1:12" ht="12.5" x14ac:dyDescent="0.25">
      <c r="A783" s="14"/>
      <c r="C783" s="68"/>
      <c r="D783" s="68"/>
      <c r="E783" s="68"/>
      <c r="F783" s="68"/>
      <c r="G783" s="68"/>
      <c r="H783" s="68"/>
      <c r="I783" s="68"/>
      <c r="J783" s="68"/>
      <c r="K783" s="68"/>
      <c r="L783" s="68"/>
    </row>
    <row r="784" spans="1:12" ht="12.5" x14ac:dyDescent="0.25">
      <c r="A784" s="14"/>
      <c r="C784" s="68"/>
      <c r="D784" s="68"/>
      <c r="E784" s="68"/>
      <c r="F784" s="68"/>
      <c r="G784" s="68"/>
      <c r="H784" s="68"/>
      <c r="I784" s="68"/>
      <c r="J784" s="68"/>
      <c r="K784" s="68"/>
      <c r="L784" s="68"/>
    </row>
    <row r="785" spans="1:12" ht="12.5" x14ac:dyDescent="0.25">
      <c r="A785" s="14"/>
      <c r="C785" s="68"/>
      <c r="D785" s="68"/>
      <c r="E785" s="68"/>
      <c r="F785" s="68"/>
      <c r="G785" s="68"/>
      <c r="H785" s="68"/>
      <c r="I785" s="68"/>
      <c r="J785" s="68"/>
      <c r="K785" s="68"/>
      <c r="L785" s="68"/>
    </row>
    <row r="786" spans="1:12" ht="12.5" x14ac:dyDescent="0.25">
      <c r="A786" s="14"/>
      <c r="C786" s="68"/>
      <c r="D786" s="68"/>
      <c r="E786" s="68"/>
      <c r="F786" s="68"/>
      <c r="G786" s="68"/>
      <c r="H786" s="68"/>
      <c r="I786" s="68"/>
      <c r="J786" s="68"/>
      <c r="K786" s="68"/>
      <c r="L786" s="68"/>
    </row>
    <row r="787" spans="1:12" ht="12.5" x14ac:dyDescent="0.25">
      <c r="A787" s="14"/>
      <c r="C787" s="68"/>
      <c r="D787" s="68"/>
      <c r="E787" s="68"/>
      <c r="F787" s="68"/>
      <c r="G787" s="68"/>
      <c r="H787" s="68"/>
      <c r="I787" s="68"/>
      <c r="J787" s="68"/>
      <c r="K787" s="68"/>
      <c r="L787" s="68"/>
    </row>
    <row r="788" spans="1:12" ht="12.5" x14ac:dyDescent="0.25">
      <c r="A788" s="14"/>
      <c r="C788" s="68"/>
      <c r="D788" s="68"/>
      <c r="E788" s="68"/>
      <c r="F788" s="68"/>
      <c r="G788" s="68"/>
      <c r="H788" s="68"/>
      <c r="I788" s="68"/>
      <c r="J788" s="68"/>
      <c r="K788" s="68"/>
      <c r="L788" s="68"/>
    </row>
    <row r="789" spans="1:12" ht="12.5" x14ac:dyDescent="0.25">
      <c r="A789" s="14"/>
      <c r="C789" s="68"/>
      <c r="D789" s="68"/>
      <c r="E789" s="68"/>
      <c r="F789" s="68"/>
      <c r="G789" s="68"/>
      <c r="H789" s="68"/>
      <c r="I789" s="68"/>
      <c r="J789" s="68"/>
      <c r="K789" s="68"/>
      <c r="L789" s="68"/>
    </row>
    <row r="790" spans="1:12" ht="12.5" x14ac:dyDescent="0.25">
      <c r="A790" s="14"/>
      <c r="C790" s="68"/>
      <c r="D790" s="68"/>
      <c r="E790" s="68"/>
      <c r="F790" s="68"/>
      <c r="G790" s="68"/>
      <c r="H790" s="68"/>
      <c r="I790" s="68"/>
      <c r="J790" s="68"/>
      <c r="K790" s="68"/>
      <c r="L790" s="68"/>
    </row>
    <row r="791" spans="1:12" ht="12.5" x14ac:dyDescent="0.25">
      <c r="A791" s="14"/>
      <c r="C791" s="68"/>
      <c r="D791" s="68"/>
      <c r="E791" s="68"/>
      <c r="F791" s="68"/>
      <c r="G791" s="68"/>
      <c r="H791" s="68"/>
      <c r="I791" s="68"/>
      <c r="J791" s="68"/>
      <c r="K791" s="68"/>
      <c r="L791" s="68"/>
    </row>
    <row r="792" spans="1:12" ht="12.5" x14ac:dyDescent="0.25">
      <c r="A792" s="14"/>
      <c r="C792" s="68"/>
      <c r="D792" s="68"/>
      <c r="E792" s="68"/>
      <c r="F792" s="68"/>
      <c r="G792" s="68"/>
      <c r="H792" s="68"/>
      <c r="I792" s="68"/>
      <c r="J792" s="68"/>
      <c r="K792" s="68"/>
      <c r="L792" s="68"/>
    </row>
    <row r="793" spans="1:12" ht="12.5" x14ac:dyDescent="0.25">
      <c r="A793" s="14"/>
      <c r="C793" s="68"/>
      <c r="D793" s="68"/>
      <c r="E793" s="68"/>
      <c r="F793" s="68"/>
      <c r="G793" s="68"/>
      <c r="H793" s="68"/>
      <c r="I793" s="68"/>
      <c r="J793" s="68"/>
      <c r="K793" s="68"/>
      <c r="L793" s="68"/>
    </row>
    <row r="794" spans="1:12" ht="12.5" x14ac:dyDescent="0.25">
      <c r="A794" s="14"/>
      <c r="C794" s="68"/>
      <c r="D794" s="68"/>
      <c r="E794" s="68"/>
      <c r="F794" s="68"/>
      <c r="G794" s="68"/>
      <c r="H794" s="68"/>
      <c r="I794" s="68"/>
      <c r="J794" s="68"/>
      <c r="K794" s="68"/>
      <c r="L794" s="68"/>
    </row>
    <row r="795" spans="1:12" ht="12.5" x14ac:dyDescent="0.25">
      <c r="A795" s="14"/>
      <c r="C795" s="68"/>
      <c r="D795" s="68"/>
      <c r="E795" s="68"/>
      <c r="F795" s="68"/>
      <c r="G795" s="68"/>
      <c r="H795" s="68"/>
      <c r="I795" s="68"/>
      <c r="J795" s="68"/>
      <c r="K795" s="68"/>
      <c r="L795" s="68"/>
    </row>
    <row r="796" spans="1:12" ht="12.5" x14ac:dyDescent="0.25">
      <c r="A796" s="14"/>
      <c r="C796" s="68"/>
      <c r="D796" s="68"/>
      <c r="E796" s="68"/>
      <c r="F796" s="68"/>
      <c r="G796" s="68"/>
      <c r="H796" s="68"/>
      <c r="I796" s="68"/>
      <c r="J796" s="68"/>
      <c r="K796" s="68"/>
      <c r="L796" s="68"/>
    </row>
    <row r="797" spans="1:12" ht="12.5" x14ac:dyDescent="0.25">
      <c r="A797" s="14"/>
      <c r="C797" s="68"/>
      <c r="D797" s="68"/>
      <c r="E797" s="68"/>
      <c r="F797" s="68"/>
      <c r="G797" s="68"/>
      <c r="H797" s="68"/>
      <c r="I797" s="68"/>
      <c r="J797" s="68"/>
      <c r="K797" s="68"/>
      <c r="L797" s="68"/>
    </row>
    <row r="798" spans="1:12" ht="12.5" x14ac:dyDescent="0.25">
      <c r="A798" s="14"/>
      <c r="C798" s="68"/>
      <c r="D798" s="68"/>
      <c r="E798" s="68"/>
      <c r="F798" s="68"/>
      <c r="G798" s="68"/>
      <c r="H798" s="68"/>
      <c r="I798" s="68"/>
      <c r="J798" s="68"/>
      <c r="K798" s="68"/>
      <c r="L798" s="68"/>
    </row>
    <row r="799" spans="1:12" ht="12.5" x14ac:dyDescent="0.25">
      <c r="A799" s="14"/>
      <c r="C799" s="68"/>
      <c r="D799" s="68"/>
      <c r="E799" s="68"/>
      <c r="F799" s="68"/>
      <c r="G799" s="68"/>
      <c r="H799" s="68"/>
      <c r="I799" s="68"/>
      <c r="J799" s="68"/>
      <c r="K799" s="68"/>
      <c r="L799" s="68"/>
    </row>
    <row r="800" spans="1:12" ht="12.5" x14ac:dyDescent="0.25">
      <c r="A800" s="14"/>
      <c r="C800" s="68"/>
      <c r="D800" s="68"/>
      <c r="E800" s="68"/>
      <c r="F800" s="68"/>
      <c r="G800" s="68"/>
      <c r="H800" s="68"/>
      <c r="I800" s="68"/>
      <c r="J800" s="68"/>
      <c r="K800" s="68"/>
      <c r="L800" s="68"/>
    </row>
    <row r="801" spans="1:12" ht="12.5" x14ac:dyDescent="0.25">
      <c r="A801" s="14"/>
      <c r="C801" s="68"/>
      <c r="D801" s="68"/>
      <c r="E801" s="68"/>
      <c r="F801" s="68"/>
      <c r="G801" s="68"/>
      <c r="H801" s="68"/>
      <c r="I801" s="68"/>
      <c r="J801" s="68"/>
      <c r="K801" s="68"/>
      <c r="L801" s="68"/>
    </row>
    <row r="802" spans="1:12" ht="12.5" x14ac:dyDescent="0.25">
      <c r="A802" s="14"/>
      <c r="C802" s="68"/>
      <c r="D802" s="68"/>
      <c r="E802" s="68"/>
      <c r="F802" s="68"/>
      <c r="G802" s="68"/>
      <c r="H802" s="68"/>
      <c r="I802" s="68"/>
      <c r="J802" s="68"/>
      <c r="K802" s="68"/>
      <c r="L802" s="68"/>
    </row>
    <row r="803" spans="1:12" ht="12.5" x14ac:dyDescent="0.25">
      <c r="A803" s="14"/>
      <c r="C803" s="68"/>
      <c r="D803" s="68"/>
      <c r="E803" s="68"/>
      <c r="F803" s="68"/>
      <c r="G803" s="68"/>
      <c r="H803" s="68"/>
      <c r="I803" s="68"/>
      <c r="J803" s="68"/>
      <c r="K803" s="68"/>
      <c r="L803" s="68"/>
    </row>
    <row r="804" spans="1:12" ht="12.5" x14ac:dyDescent="0.25">
      <c r="A804" s="14"/>
      <c r="C804" s="68"/>
      <c r="D804" s="68"/>
      <c r="E804" s="68"/>
      <c r="F804" s="68"/>
      <c r="G804" s="68"/>
      <c r="H804" s="68"/>
      <c r="I804" s="68"/>
      <c r="J804" s="68"/>
      <c r="K804" s="68"/>
      <c r="L804" s="68"/>
    </row>
    <row r="805" spans="1:12" ht="12.5" x14ac:dyDescent="0.25">
      <c r="A805" s="14"/>
      <c r="C805" s="68"/>
      <c r="D805" s="68"/>
      <c r="E805" s="68"/>
      <c r="F805" s="68"/>
      <c r="G805" s="68"/>
      <c r="H805" s="68"/>
      <c r="I805" s="68"/>
      <c r="J805" s="68"/>
      <c r="K805" s="68"/>
      <c r="L805" s="68"/>
    </row>
    <row r="806" spans="1:12" ht="12.5" x14ac:dyDescent="0.25">
      <c r="A806" s="14"/>
      <c r="C806" s="68"/>
      <c r="D806" s="68"/>
      <c r="E806" s="68"/>
      <c r="F806" s="68"/>
      <c r="G806" s="68"/>
      <c r="H806" s="68"/>
      <c r="I806" s="68"/>
      <c r="J806" s="68"/>
      <c r="K806" s="68"/>
      <c r="L806" s="68"/>
    </row>
    <row r="807" spans="1:12" ht="12.5" x14ac:dyDescent="0.25">
      <c r="A807" s="14"/>
      <c r="C807" s="68"/>
      <c r="D807" s="68"/>
      <c r="E807" s="68"/>
      <c r="F807" s="68"/>
      <c r="G807" s="68"/>
      <c r="H807" s="68"/>
      <c r="I807" s="68"/>
      <c r="J807" s="68"/>
      <c r="K807" s="68"/>
      <c r="L807" s="68"/>
    </row>
    <row r="808" spans="1:12" ht="12.5" x14ac:dyDescent="0.25">
      <c r="A808" s="14"/>
      <c r="C808" s="68"/>
      <c r="D808" s="68"/>
      <c r="E808" s="68"/>
      <c r="F808" s="68"/>
      <c r="G808" s="68"/>
      <c r="H808" s="68"/>
      <c r="I808" s="68"/>
      <c r="J808" s="68"/>
      <c r="K808" s="68"/>
      <c r="L808" s="68"/>
    </row>
    <row r="809" spans="1:12" ht="12.5" x14ac:dyDescent="0.25">
      <c r="A809" s="14"/>
      <c r="C809" s="68"/>
      <c r="D809" s="68"/>
      <c r="E809" s="68"/>
      <c r="F809" s="68"/>
      <c r="G809" s="68"/>
      <c r="H809" s="68"/>
      <c r="I809" s="68"/>
      <c r="J809" s="68"/>
      <c r="K809" s="68"/>
      <c r="L809" s="68"/>
    </row>
    <row r="810" spans="1:12" ht="12.5" x14ac:dyDescent="0.25">
      <c r="A810" s="14"/>
      <c r="C810" s="68"/>
      <c r="D810" s="68"/>
      <c r="E810" s="68"/>
      <c r="F810" s="68"/>
      <c r="G810" s="68"/>
      <c r="H810" s="68"/>
      <c r="I810" s="68"/>
      <c r="J810" s="68"/>
      <c r="K810" s="68"/>
      <c r="L810" s="68"/>
    </row>
    <row r="811" spans="1:12" ht="12.5" x14ac:dyDescent="0.25">
      <c r="A811" s="14"/>
      <c r="C811" s="68"/>
      <c r="D811" s="68"/>
      <c r="E811" s="68"/>
      <c r="F811" s="68"/>
      <c r="G811" s="68"/>
      <c r="H811" s="68"/>
      <c r="I811" s="68"/>
      <c r="J811" s="68"/>
      <c r="K811" s="68"/>
      <c r="L811" s="68"/>
    </row>
    <row r="812" spans="1:12" ht="12.5" x14ac:dyDescent="0.25">
      <c r="A812" s="14"/>
      <c r="C812" s="68"/>
      <c r="D812" s="68"/>
      <c r="E812" s="68"/>
      <c r="F812" s="68"/>
      <c r="G812" s="68"/>
      <c r="H812" s="68"/>
      <c r="I812" s="68"/>
      <c r="J812" s="68"/>
      <c r="K812" s="68"/>
      <c r="L812" s="68"/>
    </row>
    <row r="813" spans="1:12" ht="12.5" x14ac:dyDescent="0.25">
      <c r="A813" s="14"/>
      <c r="C813" s="68"/>
      <c r="D813" s="68"/>
      <c r="E813" s="68"/>
      <c r="F813" s="68"/>
      <c r="G813" s="68"/>
      <c r="H813" s="68"/>
      <c r="I813" s="68"/>
      <c r="J813" s="68"/>
      <c r="K813" s="68"/>
      <c r="L813" s="68"/>
    </row>
    <row r="814" spans="1:12" ht="12.5" x14ac:dyDescent="0.25">
      <c r="A814" s="14"/>
      <c r="C814" s="68"/>
      <c r="D814" s="68"/>
      <c r="E814" s="68"/>
      <c r="F814" s="68"/>
      <c r="G814" s="68"/>
      <c r="H814" s="68"/>
      <c r="I814" s="68"/>
      <c r="J814" s="68"/>
      <c r="K814" s="68"/>
      <c r="L814" s="68"/>
    </row>
    <row r="815" spans="1:12" ht="12.5" x14ac:dyDescent="0.25">
      <c r="A815" s="14"/>
      <c r="C815" s="68"/>
      <c r="D815" s="68"/>
      <c r="E815" s="68"/>
      <c r="F815" s="68"/>
      <c r="G815" s="68"/>
      <c r="H815" s="68"/>
      <c r="I815" s="68"/>
      <c r="J815" s="68"/>
      <c r="K815" s="68"/>
      <c r="L815" s="68"/>
    </row>
    <row r="816" spans="1:12" ht="12.5" x14ac:dyDescent="0.25">
      <c r="A816" s="14"/>
      <c r="C816" s="68"/>
      <c r="D816" s="68"/>
      <c r="E816" s="68"/>
      <c r="F816" s="68"/>
      <c r="G816" s="68"/>
      <c r="H816" s="68"/>
      <c r="I816" s="68"/>
      <c r="J816" s="68"/>
      <c r="K816" s="68"/>
      <c r="L816" s="68"/>
    </row>
    <row r="817" spans="1:12" ht="12.5" x14ac:dyDescent="0.25">
      <c r="A817" s="14"/>
      <c r="C817" s="68"/>
      <c r="D817" s="68"/>
      <c r="E817" s="68"/>
      <c r="F817" s="68"/>
      <c r="G817" s="68"/>
      <c r="H817" s="68"/>
      <c r="I817" s="68"/>
      <c r="J817" s="68"/>
      <c r="K817" s="68"/>
      <c r="L817" s="68"/>
    </row>
    <row r="818" spans="1:12" ht="12.5" x14ac:dyDescent="0.25">
      <c r="A818" s="14"/>
      <c r="C818" s="68"/>
      <c r="D818" s="68"/>
      <c r="E818" s="68"/>
      <c r="F818" s="68"/>
      <c r="G818" s="68"/>
      <c r="H818" s="68"/>
      <c r="I818" s="68"/>
      <c r="J818" s="68"/>
      <c r="K818" s="68"/>
      <c r="L818" s="68"/>
    </row>
    <row r="819" spans="1:12" ht="12.5" x14ac:dyDescent="0.25">
      <c r="A819" s="14"/>
      <c r="C819" s="68"/>
      <c r="D819" s="68"/>
      <c r="E819" s="68"/>
      <c r="F819" s="68"/>
      <c r="G819" s="68"/>
      <c r="H819" s="68"/>
      <c r="I819" s="68"/>
      <c r="J819" s="68"/>
      <c r="K819" s="68"/>
      <c r="L819" s="68"/>
    </row>
    <row r="820" spans="1:12" ht="12.5" x14ac:dyDescent="0.25">
      <c r="A820" s="14"/>
      <c r="C820" s="68"/>
      <c r="D820" s="68"/>
      <c r="E820" s="68"/>
      <c r="F820" s="68"/>
      <c r="G820" s="68"/>
      <c r="H820" s="68"/>
      <c r="I820" s="68"/>
      <c r="J820" s="68"/>
      <c r="K820" s="68"/>
      <c r="L820" s="68"/>
    </row>
    <row r="821" spans="1:12" ht="12.5" x14ac:dyDescent="0.25">
      <c r="A821" s="14"/>
      <c r="C821" s="68"/>
      <c r="D821" s="68"/>
      <c r="E821" s="68"/>
      <c r="F821" s="68"/>
      <c r="G821" s="68"/>
      <c r="H821" s="68"/>
      <c r="I821" s="68"/>
      <c r="J821" s="68"/>
      <c r="K821" s="68"/>
      <c r="L821" s="68"/>
    </row>
    <row r="822" spans="1:12" ht="12.5" x14ac:dyDescent="0.25">
      <c r="A822" s="14"/>
      <c r="C822" s="68"/>
      <c r="D822" s="68"/>
      <c r="E822" s="68"/>
      <c r="F822" s="68"/>
      <c r="G822" s="68"/>
      <c r="H822" s="68"/>
      <c r="I822" s="68"/>
      <c r="J822" s="68"/>
      <c r="K822" s="68"/>
      <c r="L822" s="68"/>
    </row>
    <row r="823" spans="1:12" ht="12.5" x14ac:dyDescent="0.25">
      <c r="A823" s="14"/>
      <c r="C823" s="68"/>
      <c r="D823" s="68"/>
      <c r="E823" s="68"/>
      <c r="F823" s="68"/>
      <c r="G823" s="68"/>
      <c r="H823" s="68"/>
      <c r="I823" s="68"/>
      <c r="J823" s="68"/>
      <c r="K823" s="68"/>
      <c r="L823" s="68"/>
    </row>
    <row r="824" spans="1:12" ht="12.5" x14ac:dyDescent="0.25">
      <c r="A824" s="14"/>
      <c r="C824" s="68"/>
      <c r="D824" s="68"/>
      <c r="E824" s="68"/>
      <c r="F824" s="68"/>
      <c r="G824" s="68"/>
      <c r="H824" s="68"/>
      <c r="I824" s="68"/>
      <c r="J824" s="68"/>
      <c r="K824" s="68"/>
      <c r="L824" s="68"/>
    </row>
    <row r="825" spans="1:12" ht="12.5" x14ac:dyDescent="0.25">
      <c r="A825" s="14"/>
      <c r="C825" s="68"/>
      <c r="D825" s="68"/>
      <c r="E825" s="68"/>
      <c r="F825" s="68"/>
      <c r="G825" s="68"/>
      <c r="H825" s="68"/>
      <c r="I825" s="68"/>
      <c r="J825" s="68"/>
      <c r="K825" s="68"/>
      <c r="L825" s="68"/>
    </row>
    <row r="826" spans="1:12" ht="12.5" x14ac:dyDescent="0.25">
      <c r="A826" s="14"/>
      <c r="C826" s="68"/>
      <c r="D826" s="68"/>
      <c r="E826" s="68"/>
      <c r="F826" s="68"/>
      <c r="G826" s="68"/>
      <c r="H826" s="68"/>
      <c r="I826" s="68"/>
      <c r="J826" s="68"/>
      <c r="K826" s="68"/>
      <c r="L826" s="68"/>
    </row>
    <row r="827" spans="1:12" ht="12.5" x14ac:dyDescent="0.25">
      <c r="A827" s="14"/>
      <c r="C827" s="68"/>
      <c r="D827" s="68"/>
      <c r="E827" s="68"/>
      <c r="F827" s="68"/>
      <c r="G827" s="68"/>
      <c r="H827" s="68"/>
      <c r="I827" s="68"/>
      <c r="J827" s="68"/>
      <c r="K827" s="68"/>
      <c r="L827" s="68"/>
    </row>
    <row r="828" spans="1:12" ht="12.5" x14ac:dyDescent="0.25">
      <c r="A828" s="14"/>
      <c r="C828" s="68"/>
      <c r="D828" s="68"/>
      <c r="E828" s="68"/>
      <c r="F828" s="68"/>
      <c r="G828" s="68"/>
      <c r="H828" s="68"/>
      <c r="I828" s="68"/>
      <c r="J828" s="68"/>
      <c r="K828" s="68"/>
      <c r="L828" s="68"/>
    </row>
    <row r="829" spans="1:12" ht="12.5" x14ac:dyDescent="0.25">
      <c r="A829" s="14"/>
      <c r="C829" s="68"/>
      <c r="D829" s="68"/>
      <c r="E829" s="68"/>
      <c r="F829" s="68"/>
      <c r="G829" s="68"/>
      <c r="H829" s="68"/>
      <c r="I829" s="68"/>
      <c r="J829" s="68"/>
      <c r="K829" s="68"/>
      <c r="L829" s="68"/>
    </row>
    <row r="830" spans="1:12" ht="12.5" x14ac:dyDescent="0.25">
      <c r="A830" s="14"/>
      <c r="C830" s="68"/>
      <c r="D830" s="68"/>
      <c r="E830" s="68"/>
      <c r="F830" s="68"/>
      <c r="G830" s="68"/>
      <c r="H830" s="68"/>
      <c r="I830" s="68"/>
      <c r="J830" s="68"/>
      <c r="K830" s="68"/>
      <c r="L830" s="68"/>
    </row>
    <row r="831" spans="1:12" ht="12.5" x14ac:dyDescent="0.25">
      <c r="A831" s="14"/>
      <c r="C831" s="68"/>
      <c r="D831" s="68"/>
      <c r="E831" s="68"/>
      <c r="F831" s="68"/>
      <c r="G831" s="68"/>
      <c r="H831" s="68"/>
      <c r="I831" s="68"/>
      <c r="J831" s="68"/>
      <c r="K831" s="68"/>
      <c r="L831" s="68"/>
    </row>
    <row r="832" spans="1:12" ht="12.5" x14ac:dyDescent="0.25">
      <c r="A832" s="14"/>
      <c r="C832" s="68"/>
      <c r="D832" s="68"/>
      <c r="E832" s="68"/>
      <c r="F832" s="68"/>
      <c r="G832" s="68"/>
      <c r="H832" s="68"/>
      <c r="I832" s="68"/>
      <c r="J832" s="68"/>
      <c r="K832" s="68"/>
      <c r="L832" s="68"/>
    </row>
    <row r="833" spans="1:12" ht="12.5" x14ac:dyDescent="0.25">
      <c r="A833" s="14"/>
      <c r="C833" s="68"/>
      <c r="D833" s="68"/>
      <c r="E833" s="68"/>
      <c r="F833" s="68"/>
      <c r="G833" s="68"/>
      <c r="H833" s="68"/>
      <c r="I833" s="68"/>
      <c r="J833" s="68"/>
      <c r="K833" s="68"/>
      <c r="L833" s="68"/>
    </row>
    <row r="834" spans="1:12" ht="12.5" x14ac:dyDescent="0.25">
      <c r="A834" s="14"/>
      <c r="C834" s="68"/>
      <c r="D834" s="68"/>
      <c r="E834" s="68"/>
      <c r="F834" s="68"/>
      <c r="G834" s="68"/>
      <c r="H834" s="68"/>
      <c r="I834" s="68"/>
      <c r="J834" s="68"/>
      <c r="K834" s="68"/>
      <c r="L834" s="68"/>
    </row>
    <row r="835" spans="1:12" ht="12.5" x14ac:dyDescent="0.25">
      <c r="A835" s="14"/>
      <c r="C835" s="68"/>
      <c r="D835" s="68"/>
      <c r="E835" s="68"/>
      <c r="F835" s="68"/>
      <c r="G835" s="68"/>
      <c r="H835" s="68"/>
      <c r="I835" s="68"/>
      <c r="J835" s="68"/>
      <c r="K835" s="68"/>
      <c r="L835" s="68"/>
    </row>
    <row r="836" spans="1:12" ht="12.5" x14ac:dyDescent="0.25">
      <c r="A836" s="14"/>
      <c r="C836" s="68"/>
      <c r="D836" s="68"/>
      <c r="E836" s="68"/>
      <c r="F836" s="68"/>
      <c r="G836" s="68"/>
      <c r="H836" s="68"/>
      <c r="I836" s="68"/>
      <c r="J836" s="68"/>
      <c r="K836" s="68"/>
      <c r="L836" s="68"/>
    </row>
    <row r="837" spans="1:12" ht="12.5" x14ac:dyDescent="0.25">
      <c r="A837" s="14"/>
      <c r="C837" s="68"/>
      <c r="D837" s="68"/>
      <c r="E837" s="68"/>
      <c r="F837" s="68"/>
      <c r="G837" s="68"/>
      <c r="H837" s="68"/>
      <c r="I837" s="68"/>
      <c r="J837" s="68"/>
      <c r="K837" s="68"/>
      <c r="L837" s="68"/>
    </row>
    <row r="838" spans="1:12" ht="12.5" x14ac:dyDescent="0.25">
      <c r="A838" s="14"/>
      <c r="C838" s="68"/>
      <c r="D838" s="68"/>
      <c r="E838" s="68"/>
      <c r="F838" s="68"/>
      <c r="G838" s="68"/>
      <c r="H838" s="68"/>
      <c r="I838" s="68"/>
      <c r="J838" s="68"/>
      <c r="K838" s="68"/>
      <c r="L838" s="68"/>
    </row>
    <row r="839" spans="1:12" ht="12.5" x14ac:dyDescent="0.25">
      <c r="A839" s="14"/>
      <c r="C839" s="68"/>
      <c r="D839" s="68"/>
      <c r="E839" s="68"/>
      <c r="F839" s="68"/>
      <c r="G839" s="68"/>
      <c r="H839" s="68"/>
      <c r="I839" s="68"/>
      <c r="J839" s="68"/>
      <c r="K839" s="68"/>
      <c r="L839" s="68"/>
    </row>
    <row r="840" spans="1:12" ht="12.5" x14ac:dyDescent="0.25">
      <c r="A840" s="14"/>
      <c r="C840" s="68"/>
      <c r="D840" s="68"/>
      <c r="E840" s="68"/>
      <c r="F840" s="68"/>
      <c r="G840" s="68"/>
      <c r="H840" s="68"/>
      <c r="I840" s="68"/>
      <c r="J840" s="68"/>
      <c r="K840" s="68"/>
      <c r="L840" s="68"/>
    </row>
    <row r="841" spans="1:12" ht="12.5" x14ac:dyDescent="0.25">
      <c r="A841" s="14"/>
      <c r="C841" s="68"/>
      <c r="D841" s="68"/>
      <c r="E841" s="68"/>
      <c r="F841" s="68"/>
      <c r="G841" s="68"/>
      <c r="H841" s="68"/>
      <c r="I841" s="68"/>
      <c r="J841" s="68"/>
      <c r="K841" s="68"/>
      <c r="L841" s="68"/>
    </row>
    <row r="842" spans="1:12" ht="12.5" x14ac:dyDescent="0.25">
      <c r="A842" s="14"/>
      <c r="C842" s="68"/>
      <c r="D842" s="68"/>
      <c r="E842" s="68"/>
      <c r="F842" s="68"/>
      <c r="G842" s="68"/>
      <c r="H842" s="68"/>
      <c r="I842" s="68"/>
      <c r="J842" s="68"/>
      <c r="K842" s="68"/>
      <c r="L842" s="68"/>
    </row>
    <row r="843" spans="1:12" ht="12.5" x14ac:dyDescent="0.25">
      <c r="A843" s="14"/>
      <c r="C843" s="68"/>
      <c r="D843" s="68"/>
      <c r="E843" s="68"/>
      <c r="F843" s="68"/>
      <c r="G843" s="68"/>
      <c r="H843" s="68"/>
      <c r="I843" s="68"/>
      <c r="J843" s="68"/>
      <c r="K843" s="68"/>
      <c r="L843" s="68"/>
    </row>
    <row r="844" spans="1:12" ht="12.5" x14ac:dyDescent="0.25">
      <c r="A844" s="14"/>
      <c r="C844" s="68"/>
      <c r="D844" s="68"/>
      <c r="E844" s="68"/>
      <c r="F844" s="68"/>
      <c r="G844" s="68"/>
      <c r="H844" s="68"/>
      <c r="I844" s="68"/>
      <c r="J844" s="68"/>
      <c r="K844" s="68"/>
      <c r="L844" s="68"/>
    </row>
    <row r="845" spans="1:12" ht="12.5" x14ac:dyDescent="0.25">
      <c r="A845" s="14"/>
      <c r="C845" s="68"/>
      <c r="D845" s="68"/>
      <c r="E845" s="68"/>
      <c r="F845" s="68"/>
      <c r="G845" s="68"/>
      <c r="H845" s="68"/>
      <c r="I845" s="68"/>
      <c r="J845" s="68"/>
      <c r="K845" s="68"/>
      <c r="L845" s="68"/>
    </row>
    <row r="846" spans="1:12" ht="12.5" x14ac:dyDescent="0.25">
      <c r="A846" s="14"/>
      <c r="C846" s="68"/>
      <c r="D846" s="68"/>
      <c r="E846" s="68"/>
      <c r="F846" s="68"/>
      <c r="G846" s="68"/>
      <c r="H846" s="68"/>
      <c r="I846" s="68"/>
      <c r="J846" s="68"/>
      <c r="K846" s="68"/>
      <c r="L846" s="68"/>
    </row>
    <row r="847" spans="1:12" ht="12.5" x14ac:dyDescent="0.25">
      <c r="A847" s="14"/>
      <c r="C847" s="68"/>
      <c r="D847" s="68"/>
      <c r="E847" s="68"/>
      <c r="F847" s="68"/>
      <c r="G847" s="68"/>
      <c r="H847" s="68"/>
      <c r="I847" s="68"/>
      <c r="J847" s="68"/>
      <c r="K847" s="68"/>
      <c r="L847" s="68"/>
    </row>
    <row r="848" spans="1:12" ht="12.5" x14ac:dyDescent="0.25">
      <c r="A848" s="14"/>
      <c r="C848" s="68"/>
      <c r="D848" s="68"/>
      <c r="E848" s="68"/>
      <c r="F848" s="68"/>
      <c r="G848" s="68"/>
      <c r="H848" s="68"/>
      <c r="I848" s="68"/>
      <c r="J848" s="68"/>
      <c r="K848" s="68"/>
      <c r="L848" s="68"/>
    </row>
    <row r="849" spans="1:12" ht="12.5" x14ac:dyDescent="0.25">
      <c r="A849" s="14"/>
      <c r="C849" s="68"/>
      <c r="D849" s="68"/>
      <c r="E849" s="68"/>
      <c r="F849" s="68"/>
      <c r="G849" s="68"/>
      <c r="H849" s="68"/>
      <c r="I849" s="68"/>
      <c r="J849" s="68"/>
      <c r="K849" s="68"/>
      <c r="L849" s="68"/>
    </row>
    <row r="850" spans="1:12" ht="12.5" x14ac:dyDescent="0.25">
      <c r="A850" s="14"/>
      <c r="C850" s="68"/>
      <c r="D850" s="68"/>
      <c r="E850" s="68"/>
      <c r="F850" s="68"/>
      <c r="G850" s="68"/>
      <c r="H850" s="68"/>
      <c r="I850" s="68"/>
      <c r="J850" s="68"/>
      <c r="K850" s="68"/>
      <c r="L850" s="68"/>
    </row>
    <row r="851" spans="1:12" ht="12.5" x14ac:dyDescent="0.25">
      <c r="A851" s="14"/>
      <c r="C851" s="68"/>
      <c r="D851" s="68"/>
      <c r="E851" s="68"/>
      <c r="F851" s="68"/>
      <c r="G851" s="68"/>
      <c r="H851" s="68"/>
      <c r="I851" s="68"/>
      <c r="J851" s="68"/>
      <c r="K851" s="68"/>
      <c r="L851" s="68"/>
    </row>
    <row r="852" spans="1:12" ht="12.5" x14ac:dyDescent="0.25">
      <c r="A852" s="14"/>
      <c r="C852" s="68"/>
      <c r="D852" s="68"/>
      <c r="E852" s="68"/>
      <c r="F852" s="68"/>
      <c r="G852" s="68"/>
      <c r="H852" s="68"/>
      <c r="I852" s="68"/>
      <c r="J852" s="68"/>
      <c r="K852" s="68"/>
      <c r="L852" s="68"/>
    </row>
    <row r="853" spans="1:12" ht="12.5" x14ac:dyDescent="0.25">
      <c r="A853" s="14"/>
      <c r="C853" s="68"/>
      <c r="D853" s="68"/>
      <c r="E853" s="68"/>
      <c r="F853" s="68"/>
      <c r="G853" s="68"/>
      <c r="H853" s="68"/>
      <c r="I853" s="68"/>
      <c r="J853" s="68"/>
      <c r="K853" s="68"/>
      <c r="L853" s="68"/>
    </row>
    <row r="854" spans="1:12" ht="12.5" x14ac:dyDescent="0.25">
      <c r="A854" s="14"/>
      <c r="C854" s="68"/>
      <c r="D854" s="68"/>
      <c r="E854" s="68"/>
      <c r="F854" s="68"/>
      <c r="G854" s="68"/>
      <c r="H854" s="68"/>
      <c r="I854" s="68"/>
      <c r="J854" s="68"/>
      <c r="K854" s="68"/>
      <c r="L854" s="68"/>
    </row>
    <row r="855" spans="1:12" ht="12.5" x14ac:dyDescent="0.25">
      <c r="A855" s="14"/>
      <c r="C855" s="68"/>
      <c r="D855" s="68"/>
      <c r="E855" s="68"/>
      <c r="F855" s="68"/>
      <c r="G855" s="68"/>
      <c r="H855" s="68"/>
      <c r="I855" s="68"/>
      <c r="J855" s="68"/>
      <c r="K855" s="68"/>
      <c r="L855" s="68"/>
    </row>
    <row r="856" spans="1:12" ht="12.5" x14ac:dyDescent="0.25">
      <c r="A856" s="14"/>
      <c r="C856" s="68"/>
      <c r="D856" s="68"/>
      <c r="E856" s="68"/>
      <c r="F856" s="68"/>
      <c r="G856" s="68"/>
      <c r="H856" s="68"/>
      <c r="I856" s="68"/>
      <c r="J856" s="68"/>
      <c r="K856" s="68"/>
      <c r="L856" s="68"/>
    </row>
    <row r="857" spans="1:12" ht="12.5" x14ac:dyDescent="0.25">
      <c r="A857" s="14"/>
      <c r="C857" s="68"/>
      <c r="D857" s="68"/>
      <c r="E857" s="68"/>
      <c r="F857" s="68"/>
      <c r="G857" s="68"/>
      <c r="H857" s="68"/>
      <c r="I857" s="68"/>
      <c r="J857" s="68"/>
      <c r="K857" s="68"/>
      <c r="L857" s="68"/>
    </row>
    <row r="858" spans="1:12" ht="12.5" x14ac:dyDescent="0.25">
      <c r="A858" s="14"/>
      <c r="C858" s="68"/>
      <c r="D858" s="68"/>
      <c r="E858" s="68"/>
      <c r="F858" s="68"/>
      <c r="G858" s="68"/>
      <c r="H858" s="68"/>
      <c r="I858" s="68"/>
      <c r="J858" s="68"/>
      <c r="K858" s="68"/>
      <c r="L858" s="68"/>
    </row>
    <row r="859" spans="1:12" ht="12.5" x14ac:dyDescent="0.25">
      <c r="A859" s="14"/>
      <c r="C859" s="68"/>
      <c r="D859" s="68"/>
      <c r="E859" s="68"/>
      <c r="F859" s="68"/>
      <c r="G859" s="68"/>
      <c r="H859" s="68"/>
      <c r="I859" s="68"/>
      <c r="J859" s="68"/>
      <c r="K859" s="68"/>
      <c r="L859" s="68"/>
    </row>
    <row r="860" spans="1:12" ht="12.5" x14ac:dyDescent="0.25">
      <c r="A860" s="14"/>
      <c r="C860" s="68"/>
      <c r="D860" s="68"/>
      <c r="E860" s="68"/>
      <c r="F860" s="68"/>
      <c r="G860" s="68"/>
      <c r="H860" s="68"/>
      <c r="I860" s="68"/>
      <c r="J860" s="68"/>
      <c r="K860" s="68"/>
      <c r="L860" s="68"/>
    </row>
    <row r="861" spans="1:12" ht="12.5" x14ac:dyDescent="0.25">
      <c r="A861" s="14"/>
      <c r="C861" s="68"/>
      <c r="D861" s="68"/>
      <c r="E861" s="68"/>
      <c r="F861" s="68"/>
      <c r="G861" s="68"/>
      <c r="H861" s="68"/>
      <c r="I861" s="68"/>
      <c r="J861" s="68"/>
      <c r="K861" s="68"/>
      <c r="L861" s="68"/>
    </row>
    <row r="862" spans="1:12" ht="12.5" x14ac:dyDescent="0.25">
      <c r="A862" s="14"/>
      <c r="C862" s="68"/>
      <c r="D862" s="68"/>
      <c r="E862" s="68"/>
      <c r="F862" s="68"/>
      <c r="G862" s="68"/>
      <c r="H862" s="68"/>
      <c r="I862" s="68"/>
      <c r="J862" s="68"/>
      <c r="K862" s="68"/>
      <c r="L862" s="68"/>
    </row>
    <row r="863" spans="1:12" ht="12.5" x14ac:dyDescent="0.25">
      <c r="A863" s="14"/>
      <c r="C863" s="68"/>
      <c r="D863" s="68"/>
      <c r="E863" s="68"/>
      <c r="F863" s="68"/>
      <c r="G863" s="68"/>
      <c r="H863" s="68"/>
      <c r="I863" s="68"/>
      <c r="J863" s="68"/>
      <c r="K863" s="68"/>
      <c r="L863" s="68"/>
    </row>
    <row r="864" spans="1:12" ht="12.5" x14ac:dyDescent="0.25">
      <c r="A864" s="14"/>
      <c r="C864" s="68"/>
      <c r="D864" s="68"/>
      <c r="E864" s="68"/>
      <c r="F864" s="68"/>
      <c r="G864" s="68"/>
      <c r="H864" s="68"/>
      <c r="I864" s="68"/>
      <c r="J864" s="68"/>
      <c r="K864" s="68"/>
      <c r="L864" s="68"/>
    </row>
    <row r="865" spans="1:12" ht="12.5" x14ac:dyDescent="0.25">
      <c r="A865" s="14"/>
      <c r="C865" s="68"/>
      <c r="D865" s="68"/>
      <c r="E865" s="68"/>
      <c r="F865" s="68"/>
      <c r="G865" s="68"/>
      <c r="H865" s="68"/>
      <c r="I865" s="68"/>
      <c r="J865" s="68"/>
      <c r="K865" s="68"/>
      <c r="L865" s="68"/>
    </row>
    <row r="866" spans="1:12" ht="12.5" x14ac:dyDescent="0.25">
      <c r="A866" s="14"/>
      <c r="C866" s="68"/>
      <c r="D866" s="68"/>
      <c r="E866" s="68"/>
      <c r="F866" s="68"/>
      <c r="G866" s="68"/>
      <c r="H866" s="68"/>
      <c r="I866" s="68"/>
      <c r="J866" s="68"/>
      <c r="K866" s="68"/>
      <c r="L866" s="68"/>
    </row>
    <row r="867" spans="1:12" ht="12.5" x14ac:dyDescent="0.25">
      <c r="A867" s="14"/>
      <c r="C867" s="68"/>
      <c r="D867" s="68"/>
      <c r="E867" s="68"/>
      <c r="F867" s="68"/>
      <c r="G867" s="68"/>
      <c r="H867" s="68"/>
      <c r="I867" s="68"/>
      <c r="J867" s="68"/>
      <c r="K867" s="68"/>
      <c r="L867" s="68"/>
    </row>
    <row r="868" spans="1:12" ht="12.5" x14ac:dyDescent="0.25">
      <c r="A868" s="14"/>
      <c r="C868" s="68"/>
      <c r="D868" s="68"/>
      <c r="E868" s="68"/>
      <c r="F868" s="68"/>
      <c r="G868" s="68"/>
      <c r="H868" s="68"/>
      <c r="I868" s="68"/>
      <c r="J868" s="68"/>
      <c r="K868" s="68"/>
      <c r="L868" s="68"/>
    </row>
    <row r="869" spans="1:12" ht="12.5" x14ac:dyDescent="0.25">
      <c r="A869" s="14"/>
      <c r="C869" s="68"/>
      <c r="D869" s="68"/>
      <c r="E869" s="68"/>
      <c r="F869" s="68"/>
      <c r="G869" s="68"/>
      <c r="H869" s="68"/>
      <c r="I869" s="68"/>
      <c r="J869" s="68"/>
      <c r="K869" s="68"/>
      <c r="L869" s="68"/>
    </row>
    <row r="870" spans="1:12" ht="12.5" x14ac:dyDescent="0.25">
      <c r="A870" s="14"/>
      <c r="C870" s="68"/>
      <c r="D870" s="68"/>
      <c r="E870" s="68"/>
      <c r="F870" s="68"/>
      <c r="G870" s="68"/>
      <c r="H870" s="68"/>
      <c r="I870" s="68"/>
      <c r="J870" s="68"/>
      <c r="K870" s="68"/>
      <c r="L870" s="68"/>
    </row>
    <row r="871" spans="1:12" ht="12.5" x14ac:dyDescent="0.25">
      <c r="A871" s="14"/>
      <c r="C871" s="68"/>
      <c r="D871" s="68"/>
      <c r="E871" s="68"/>
      <c r="F871" s="68"/>
      <c r="G871" s="68"/>
      <c r="H871" s="68"/>
      <c r="I871" s="68"/>
      <c r="J871" s="68"/>
      <c r="K871" s="68"/>
      <c r="L871" s="68"/>
    </row>
    <row r="872" spans="1:12" ht="12.5" x14ac:dyDescent="0.25">
      <c r="A872" s="14"/>
      <c r="C872" s="68"/>
      <c r="D872" s="68"/>
      <c r="E872" s="68"/>
      <c r="F872" s="68"/>
      <c r="G872" s="68"/>
      <c r="H872" s="68"/>
      <c r="I872" s="68"/>
      <c r="J872" s="68"/>
      <c r="K872" s="68"/>
      <c r="L872" s="68"/>
    </row>
    <row r="873" spans="1:12" ht="12.5" x14ac:dyDescent="0.25">
      <c r="A873" s="14"/>
      <c r="C873" s="68"/>
      <c r="D873" s="68"/>
      <c r="E873" s="68"/>
      <c r="F873" s="68"/>
      <c r="G873" s="68"/>
      <c r="H873" s="68"/>
      <c r="I873" s="68"/>
      <c r="J873" s="68"/>
      <c r="K873" s="68"/>
      <c r="L873" s="68"/>
    </row>
    <row r="874" spans="1:12" ht="12.5" x14ac:dyDescent="0.25">
      <c r="A874" s="14"/>
      <c r="C874" s="68"/>
      <c r="D874" s="68"/>
      <c r="E874" s="68"/>
      <c r="F874" s="68"/>
      <c r="G874" s="68"/>
      <c r="H874" s="68"/>
      <c r="I874" s="68"/>
      <c r="J874" s="68"/>
      <c r="K874" s="68"/>
      <c r="L874" s="68"/>
    </row>
    <row r="875" spans="1:12" ht="12.5" x14ac:dyDescent="0.25">
      <c r="A875" s="14"/>
      <c r="C875" s="68"/>
      <c r="D875" s="68"/>
      <c r="E875" s="68"/>
      <c r="F875" s="68"/>
      <c r="G875" s="68"/>
      <c r="H875" s="68"/>
      <c r="I875" s="68"/>
      <c r="J875" s="68"/>
      <c r="K875" s="68"/>
      <c r="L875" s="68"/>
    </row>
    <row r="876" spans="1:12" ht="12.5" x14ac:dyDescent="0.25">
      <c r="A876" s="14"/>
      <c r="C876" s="68"/>
      <c r="D876" s="68"/>
      <c r="E876" s="68"/>
      <c r="F876" s="68"/>
      <c r="G876" s="68"/>
      <c r="H876" s="68"/>
      <c r="I876" s="68"/>
      <c r="J876" s="68"/>
      <c r="K876" s="68"/>
      <c r="L876" s="68"/>
    </row>
    <row r="877" spans="1:12" ht="12.5" x14ac:dyDescent="0.25">
      <c r="A877" s="14"/>
      <c r="C877" s="68"/>
      <c r="D877" s="68"/>
      <c r="E877" s="68"/>
      <c r="F877" s="68"/>
      <c r="G877" s="68"/>
      <c r="H877" s="68"/>
      <c r="I877" s="68"/>
      <c r="J877" s="68"/>
      <c r="K877" s="68"/>
      <c r="L877" s="68"/>
    </row>
    <row r="878" spans="1:12" ht="12.5" x14ac:dyDescent="0.25">
      <c r="A878" s="14"/>
      <c r="C878" s="68"/>
      <c r="D878" s="68"/>
      <c r="E878" s="68"/>
      <c r="F878" s="68"/>
      <c r="G878" s="68"/>
      <c r="H878" s="68"/>
      <c r="I878" s="68"/>
      <c r="J878" s="68"/>
      <c r="K878" s="68"/>
      <c r="L878" s="68"/>
    </row>
    <row r="879" spans="1:12" ht="12.5" x14ac:dyDescent="0.25">
      <c r="A879" s="14"/>
      <c r="C879" s="68"/>
      <c r="D879" s="68"/>
      <c r="E879" s="68"/>
      <c r="F879" s="68"/>
      <c r="G879" s="68"/>
      <c r="H879" s="68"/>
      <c r="I879" s="68"/>
      <c r="J879" s="68"/>
      <c r="K879" s="68"/>
      <c r="L879" s="68"/>
    </row>
    <row r="880" spans="1:12" ht="12.5" x14ac:dyDescent="0.25">
      <c r="A880" s="14"/>
      <c r="C880" s="68"/>
      <c r="D880" s="68"/>
      <c r="E880" s="68"/>
      <c r="F880" s="68"/>
      <c r="G880" s="68"/>
      <c r="H880" s="68"/>
      <c r="I880" s="68"/>
      <c r="J880" s="68"/>
      <c r="K880" s="68"/>
      <c r="L880" s="68"/>
    </row>
    <row r="881" spans="1:12" ht="12.5" x14ac:dyDescent="0.25">
      <c r="A881" s="14"/>
      <c r="C881" s="68"/>
      <c r="D881" s="68"/>
      <c r="E881" s="68"/>
      <c r="F881" s="68"/>
      <c r="G881" s="68"/>
      <c r="H881" s="68"/>
      <c r="I881" s="68"/>
      <c r="J881" s="68"/>
      <c r="K881" s="68"/>
      <c r="L881" s="68"/>
    </row>
    <row r="882" spans="1:12" ht="12.5" x14ac:dyDescent="0.25">
      <c r="A882" s="14"/>
      <c r="C882" s="68"/>
      <c r="D882" s="68"/>
      <c r="E882" s="68"/>
      <c r="F882" s="68"/>
      <c r="G882" s="68"/>
      <c r="H882" s="68"/>
      <c r="I882" s="68"/>
      <c r="J882" s="68"/>
      <c r="K882" s="68"/>
      <c r="L882" s="68"/>
    </row>
    <row r="883" spans="1:12" ht="12.5" x14ac:dyDescent="0.25">
      <c r="A883" s="14"/>
      <c r="C883" s="68"/>
      <c r="D883" s="68"/>
      <c r="E883" s="68"/>
      <c r="F883" s="68"/>
      <c r="G883" s="68"/>
      <c r="H883" s="68"/>
      <c r="I883" s="68"/>
      <c r="J883" s="68"/>
      <c r="K883" s="68"/>
      <c r="L883" s="68"/>
    </row>
    <row r="884" spans="1:12" ht="12.5" x14ac:dyDescent="0.25">
      <c r="A884" s="14"/>
      <c r="C884" s="68"/>
      <c r="D884" s="68"/>
      <c r="E884" s="68"/>
      <c r="F884" s="68"/>
      <c r="G884" s="68"/>
      <c r="H884" s="68"/>
      <c r="I884" s="68"/>
      <c r="J884" s="68"/>
      <c r="K884" s="68"/>
      <c r="L884" s="68"/>
    </row>
    <row r="885" spans="1:12" ht="12.5" x14ac:dyDescent="0.25">
      <c r="A885" s="14"/>
      <c r="C885" s="68"/>
      <c r="D885" s="68"/>
      <c r="E885" s="68"/>
      <c r="F885" s="68"/>
      <c r="G885" s="68"/>
      <c r="H885" s="68"/>
      <c r="I885" s="68"/>
      <c r="J885" s="68"/>
      <c r="K885" s="68"/>
      <c r="L885" s="68"/>
    </row>
    <row r="886" spans="1:12" ht="12.5" x14ac:dyDescent="0.25">
      <c r="A886" s="14"/>
      <c r="C886" s="68"/>
      <c r="D886" s="68"/>
      <c r="E886" s="68"/>
      <c r="F886" s="68"/>
      <c r="G886" s="68"/>
      <c r="H886" s="68"/>
      <c r="I886" s="68"/>
      <c r="J886" s="68"/>
      <c r="K886" s="68"/>
      <c r="L886" s="68"/>
    </row>
    <row r="887" spans="1:12" ht="12.5" x14ac:dyDescent="0.25">
      <c r="A887" s="14"/>
      <c r="C887" s="68"/>
      <c r="D887" s="68"/>
      <c r="E887" s="68"/>
      <c r="F887" s="68"/>
      <c r="G887" s="68"/>
      <c r="H887" s="68"/>
      <c r="I887" s="68"/>
      <c r="J887" s="68"/>
      <c r="K887" s="68"/>
      <c r="L887" s="68"/>
    </row>
    <row r="888" spans="1:12" ht="12.5" x14ac:dyDescent="0.25">
      <c r="A888" s="14"/>
      <c r="C888" s="68"/>
      <c r="D888" s="68"/>
      <c r="E888" s="68"/>
      <c r="F888" s="68"/>
      <c r="G888" s="68"/>
      <c r="H888" s="68"/>
      <c r="I888" s="68"/>
      <c r="J888" s="68"/>
      <c r="K888" s="68"/>
      <c r="L888" s="68"/>
    </row>
    <row r="889" spans="1:12" ht="12.5" x14ac:dyDescent="0.25">
      <c r="A889" s="14"/>
      <c r="C889" s="68"/>
      <c r="D889" s="68"/>
      <c r="E889" s="68"/>
      <c r="F889" s="68"/>
      <c r="G889" s="68"/>
      <c r="H889" s="68"/>
      <c r="I889" s="68"/>
      <c r="J889" s="68"/>
      <c r="K889" s="68"/>
      <c r="L889" s="68"/>
    </row>
    <row r="890" spans="1:12" ht="12.5" x14ac:dyDescent="0.25">
      <c r="A890" s="14"/>
      <c r="C890" s="68"/>
      <c r="D890" s="68"/>
      <c r="E890" s="68"/>
      <c r="F890" s="68"/>
      <c r="G890" s="68"/>
      <c r="H890" s="68"/>
      <c r="I890" s="68"/>
      <c r="J890" s="68"/>
      <c r="K890" s="68"/>
      <c r="L890" s="68"/>
    </row>
    <row r="891" spans="1:12" ht="12.5" x14ac:dyDescent="0.25">
      <c r="A891" s="14"/>
      <c r="C891" s="68"/>
      <c r="D891" s="68"/>
      <c r="E891" s="68"/>
      <c r="F891" s="68"/>
      <c r="G891" s="68"/>
      <c r="H891" s="68"/>
      <c r="I891" s="68"/>
      <c r="J891" s="68"/>
      <c r="K891" s="68"/>
      <c r="L891" s="68"/>
    </row>
    <row r="892" spans="1:12" ht="12.5" x14ac:dyDescent="0.25">
      <c r="A892" s="14"/>
      <c r="C892" s="68"/>
      <c r="D892" s="68"/>
      <c r="E892" s="68"/>
      <c r="F892" s="68"/>
      <c r="G892" s="68"/>
      <c r="H892" s="68"/>
      <c r="I892" s="68"/>
      <c r="J892" s="68"/>
      <c r="K892" s="68"/>
      <c r="L892" s="68"/>
    </row>
    <row r="893" spans="1:12" ht="12.5" x14ac:dyDescent="0.25">
      <c r="A893" s="14"/>
      <c r="C893" s="68"/>
      <c r="D893" s="68"/>
      <c r="E893" s="68"/>
      <c r="F893" s="68"/>
      <c r="G893" s="68"/>
      <c r="H893" s="68"/>
      <c r="I893" s="68"/>
      <c r="J893" s="68"/>
      <c r="K893" s="68"/>
      <c r="L893" s="68"/>
    </row>
    <row r="894" spans="1:12" ht="12.5" x14ac:dyDescent="0.25">
      <c r="A894" s="14"/>
      <c r="C894" s="68"/>
      <c r="D894" s="68"/>
      <c r="E894" s="68"/>
      <c r="F894" s="68"/>
      <c r="G894" s="68"/>
      <c r="H894" s="68"/>
      <c r="I894" s="68"/>
      <c r="J894" s="68"/>
      <c r="K894" s="68"/>
      <c r="L894" s="68"/>
    </row>
    <row r="895" spans="1:12" ht="12.5" x14ac:dyDescent="0.25">
      <c r="A895" s="14"/>
      <c r="C895" s="68"/>
      <c r="D895" s="68"/>
      <c r="E895" s="68"/>
      <c r="F895" s="68"/>
      <c r="G895" s="68"/>
      <c r="H895" s="68"/>
      <c r="I895" s="68"/>
      <c r="J895" s="68"/>
      <c r="K895" s="68"/>
      <c r="L895" s="68"/>
    </row>
    <row r="896" spans="1:12" ht="12.5" x14ac:dyDescent="0.25">
      <c r="A896" s="14"/>
      <c r="C896" s="68"/>
      <c r="D896" s="68"/>
      <c r="E896" s="68"/>
      <c r="F896" s="68"/>
      <c r="G896" s="68"/>
      <c r="H896" s="68"/>
      <c r="I896" s="68"/>
      <c r="J896" s="68"/>
      <c r="K896" s="68"/>
      <c r="L896" s="68"/>
    </row>
    <row r="897" spans="1:12" ht="12.5" x14ac:dyDescent="0.25">
      <c r="A897" s="14"/>
      <c r="C897" s="68"/>
      <c r="D897" s="68"/>
      <c r="E897" s="68"/>
      <c r="F897" s="68"/>
      <c r="G897" s="68"/>
      <c r="H897" s="68"/>
      <c r="I897" s="68"/>
      <c r="J897" s="68"/>
      <c r="K897" s="68"/>
      <c r="L897" s="68"/>
    </row>
    <row r="898" spans="1:12" ht="12.5" x14ac:dyDescent="0.25">
      <c r="A898" s="14"/>
      <c r="C898" s="68"/>
      <c r="D898" s="68"/>
      <c r="E898" s="68"/>
      <c r="F898" s="68"/>
      <c r="G898" s="68"/>
      <c r="H898" s="68"/>
      <c r="I898" s="68"/>
      <c r="J898" s="68"/>
      <c r="K898" s="68"/>
      <c r="L898" s="68"/>
    </row>
    <row r="899" spans="1:12" ht="12.5" x14ac:dyDescent="0.25">
      <c r="A899" s="14"/>
      <c r="C899" s="68"/>
      <c r="D899" s="68"/>
      <c r="E899" s="68"/>
      <c r="F899" s="68"/>
      <c r="G899" s="68"/>
      <c r="H899" s="68"/>
      <c r="I899" s="68"/>
      <c r="J899" s="68"/>
      <c r="K899" s="68"/>
      <c r="L899" s="68"/>
    </row>
    <row r="900" spans="1:12" ht="12.5" x14ac:dyDescent="0.25">
      <c r="A900" s="14"/>
      <c r="C900" s="68"/>
      <c r="D900" s="68"/>
      <c r="E900" s="68"/>
      <c r="F900" s="68"/>
      <c r="G900" s="68"/>
      <c r="H900" s="68"/>
      <c r="I900" s="68"/>
      <c r="J900" s="68"/>
      <c r="K900" s="68"/>
      <c r="L900" s="68"/>
    </row>
    <row r="901" spans="1:12" ht="12.5" x14ac:dyDescent="0.25">
      <c r="A901" s="14"/>
      <c r="C901" s="68"/>
      <c r="D901" s="68"/>
      <c r="E901" s="68"/>
      <c r="F901" s="68"/>
      <c r="G901" s="68"/>
      <c r="H901" s="68"/>
      <c r="I901" s="68"/>
      <c r="J901" s="68"/>
      <c r="K901" s="68"/>
      <c r="L901" s="68"/>
    </row>
    <row r="902" spans="1:12" ht="12.5" x14ac:dyDescent="0.25">
      <c r="A902" s="14"/>
      <c r="C902" s="68"/>
      <c r="D902" s="68"/>
      <c r="E902" s="68"/>
      <c r="F902" s="68"/>
      <c r="G902" s="68"/>
      <c r="H902" s="68"/>
      <c r="I902" s="68"/>
      <c r="J902" s="68"/>
      <c r="K902" s="68"/>
      <c r="L902" s="68"/>
    </row>
    <row r="903" spans="1:12" ht="12.5" x14ac:dyDescent="0.25">
      <c r="A903" s="14"/>
      <c r="C903" s="68"/>
      <c r="D903" s="68"/>
      <c r="E903" s="68"/>
      <c r="F903" s="68"/>
      <c r="G903" s="68"/>
      <c r="H903" s="68"/>
      <c r="I903" s="68"/>
      <c r="J903" s="68"/>
      <c r="K903" s="68"/>
      <c r="L903" s="68"/>
    </row>
    <row r="904" spans="1:12" ht="12.5" x14ac:dyDescent="0.25">
      <c r="A904" s="14"/>
      <c r="C904" s="68"/>
      <c r="D904" s="68"/>
      <c r="E904" s="68"/>
      <c r="F904" s="68"/>
      <c r="G904" s="68"/>
      <c r="H904" s="68"/>
      <c r="I904" s="68"/>
      <c r="J904" s="68"/>
      <c r="K904" s="68"/>
      <c r="L904" s="68"/>
    </row>
    <row r="905" spans="1:12" ht="12.5" x14ac:dyDescent="0.25">
      <c r="A905" s="14"/>
      <c r="C905" s="68"/>
      <c r="D905" s="68"/>
      <c r="E905" s="68"/>
      <c r="F905" s="68"/>
      <c r="G905" s="68"/>
      <c r="H905" s="68"/>
      <c r="I905" s="68"/>
      <c r="J905" s="68"/>
      <c r="K905" s="68"/>
      <c r="L905" s="68"/>
    </row>
    <row r="906" spans="1:12" ht="12.5" x14ac:dyDescent="0.25">
      <c r="A906" s="14"/>
      <c r="C906" s="68"/>
      <c r="D906" s="68"/>
      <c r="E906" s="68"/>
      <c r="F906" s="68"/>
      <c r="G906" s="68"/>
      <c r="H906" s="68"/>
      <c r="I906" s="68"/>
      <c r="J906" s="68"/>
      <c r="K906" s="68"/>
      <c r="L906" s="68"/>
    </row>
    <row r="907" spans="1:12" ht="12.5" x14ac:dyDescent="0.25">
      <c r="A907" s="14"/>
      <c r="C907" s="68"/>
      <c r="D907" s="68"/>
      <c r="E907" s="68"/>
      <c r="F907" s="68"/>
      <c r="G907" s="68"/>
      <c r="H907" s="68"/>
      <c r="I907" s="68"/>
      <c r="J907" s="68"/>
      <c r="K907" s="68"/>
      <c r="L907" s="68"/>
    </row>
    <row r="908" spans="1:12" ht="12.5" x14ac:dyDescent="0.25">
      <c r="A908" s="14"/>
      <c r="C908" s="68"/>
      <c r="D908" s="68"/>
      <c r="E908" s="68"/>
      <c r="F908" s="68"/>
      <c r="G908" s="68"/>
      <c r="H908" s="68"/>
      <c r="I908" s="68"/>
      <c r="J908" s="68"/>
      <c r="K908" s="68"/>
      <c r="L908" s="68"/>
    </row>
    <row r="909" spans="1:12" ht="12.5" x14ac:dyDescent="0.25">
      <c r="A909" s="14"/>
      <c r="C909" s="68"/>
      <c r="D909" s="68"/>
      <c r="E909" s="68"/>
      <c r="F909" s="68"/>
      <c r="G909" s="68"/>
      <c r="H909" s="68"/>
      <c r="I909" s="68"/>
      <c r="J909" s="68"/>
      <c r="K909" s="68"/>
      <c r="L909" s="68"/>
    </row>
    <row r="910" spans="1:12" ht="12.5" x14ac:dyDescent="0.25">
      <c r="A910" s="14"/>
      <c r="C910" s="68"/>
      <c r="D910" s="68"/>
      <c r="E910" s="68"/>
      <c r="F910" s="68"/>
      <c r="G910" s="68"/>
      <c r="H910" s="68"/>
      <c r="I910" s="68"/>
      <c r="J910" s="68"/>
      <c r="K910" s="68"/>
      <c r="L910" s="68"/>
    </row>
    <row r="911" spans="1:12" ht="12.5" x14ac:dyDescent="0.25">
      <c r="A911" s="14"/>
      <c r="C911" s="68"/>
      <c r="D911" s="68"/>
      <c r="E911" s="68"/>
      <c r="F911" s="68"/>
      <c r="G911" s="68"/>
      <c r="H911" s="68"/>
      <c r="I911" s="68"/>
      <c r="J911" s="68"/>
      <c r="K911" s="68"/>
      <c r="L911" s="68"/>
    </row>
    <row r="912" spans="1:12" ht="12.5" x14ac:dyDescent="0.25">
      <c r="A912" s="14"/>
      <c r="C912" s="68"/>
      <c r="D912" s="68"/>
      <c r="E912" s="68"/>
      <c r="F912" s="68"/>
      <c r="G912" s="68"/>
      <c r="H912" s="68"/>
      <c r="I912" s="68"/>
      <c r="J912" s="68"/>
      <c r="K912" s="68"/>
      <c r="L912" s="68"/>
    </row>
    <row r="913" spans="1:12" ht="12.5" x14ac:dyDescent="0.25">
      <c r="A913" s="14"/>
      <c r="C913" s="68"/>
      <c r="D913" s="68"/>
      <c r="E913" s="68"/>
      <c r="F913" s="68"/>
      <c r="G913" s="68"/>
      <c r="H913" s="68"/>
      <c r="I913" s="68"/>
      <c r="J913" s="68"/>
      <c r="K913" s="68"/>
      <c r="L913" s="68"/>
    </row>
    <row r="914" spans="1:12" ht="12.5" x14ac:dyDescent="0.25">
      <c r="A914" s="14"/>
      <c r="C914" s="68"/>
      <c r="D914" s="68"/>
      <c r="E914" s="68"/>
      <c r="F914" s="68"/>
      <c r="G914" s="68"/>
      <c r="H914" s="68"/>
      <c r="I914" s="68"/>
      <c r="J914" s="68"/>
      <c r="K914" s="68"/>
      <c r="L914" s="68"/>
    </row>
    <row r="915" spans="1:12" ht="12.5" x14ac:dyDescent="0.25">
      <c r="A915" s="14"/>
      <c r="C915" s="68"/>
      <c r="D915" s="68"/>
      <c r="E915" s="68"/>
      <c r="F915" s="68"/>
      <c r="G915" s="68"/>
      <c r="H915" s="68"/>
      <c r="I915" s="68"/>
      <c r="J915" s="68"/>
      <c r="K915" s="68"/>
      <c r="L915" s="68"/>
    </row>
    <row r="916" spans="1:12" ht="12.5" x14ac:dyDescent="0.25">
      <c r="A916" s="14"/>
      <c r="C916" s="68"/>
      <c r="D916" s="68"/>
      <c r="E916" s="68"/>
      <c r="F916" s="68"/>
      <c r="G916" s="68"/>
      <c r="H916" s="68"/>
      <c r="I916" s="68"/>
      <c r="J916" s="68"/>
      <c r="K916" s="68"/>
      <c r="L916" s="68"/>
    </row>
    <row r="917" spans="1:12" ht="12.5" x14ac:dyDescent="0.25">
      <c r="A917" s="14"/>
      <c r="C917" s="68"/>
      <c r="D917" s="68"/>
      <c r="E917" s="68"/>
      <c r="F917" s="68"/>
      <c r="G917" s="68"/>
      <c r="H917" s="68"/>
      <c r="I917" s="68"/>
      <c r="J917" s="68"/>
      <c r="K917" s="68"/>
      <c r="L917" s="68"/>
    </row>
    <row r="918" spans="1:12" ht="12.5" x14ac:dyDescent="0.25">
      <c r="A918" s="14"/>
      <c r="C918" s="68"/>
      <c r="D918" s="68"/>
      <c r="E918" s="68"/>
      <c r="F918" s="68"/>
      <c r="G918" s="68"/>
      <c r="H918" s="68"/>
      <c r="I918" s="68"/>
      <c r="J918" s="68"/>
      <c r="K918" s="68"/>
      <c r="L918" s="68"/>
    </row>
    <row r="919" spans="1:12" ht="12.5" x14ac:dyDescent="0.25">
      <c r="A919" s="14"/>
      <c r="C919" s="68"/>
      <c r="D919" s="68"/>
      <c r="E919" s="68"/>
      <c r="F919" s="68"/>
      <c r="G919" s="68"/>
      <c r="H919" s="68"/>
      <c r="I919" s="68"/>
      <c r="J919" s="68"/>
      <c r="K919" s="68"/>
      <c r="L919" s="68"/>
    </row>
    <row r="920" spans="1:12" ht="12.5" x14ac:dyDescent="0.25">
      <c r="A920" s="14"/>
      <c r="C920" s="68"/>
      <c r="D920" s="68"/>
      <c r="E920" s="68"/>
      <c r="F920" s="68"/>
      <c r="G920" s="68"/>
      <c r="H920" s="68"/>
      <c r="I920" s="68"/>
      <c r="J920" s="68"/>
      <c r="K920" s="68"/>
      <c r="L920" s="68"/>
    </row>
    <row r="921" spans="1:12" ht="12.5" x14ac:dyDescent="0.25">
      <c r="A921" s="14"/>
      <c r="C921" s="68"/>
      <c r="D921" s="68"/>
      <c r="E921" s="68"/>
      <c r="F921" s="68"/>
      <c r="G921" s="68"/>
      <c r="H921" s="68"/>
      <c r="I921" s="68"/>
      <c r="J921" s="68"/>
      <c r="K921" s="68"/>
      <c r="L921" s="68"/>
    </row>
    <row r="922" spans="1:12" ht="12.5" x14ac:dyDescent="0.25">
      <c r="A922" s="14"/>
      <c r="C922" s="68"/>
      <c r="D922" s="68"/>
      <c r="E922" s="68"/>
      <c r="F922" s="68"/>
      <c r="G922" s="68"/>
      <c r="H922" s="68"/>
      <c r="I922" s="68"/>
      <c r="J922" s="68"/>
      <c r="K922" s="68"/>
      <c r="L922" s="68"/>
    </row>
    <row r="923" spans="1:12" ht="12.5" x14ac:dyDescent="0.25">
      <c r="A923" s="14"/>
      <c r="C923" s="68"/>
      <c r="D923" s="68"/>
      <c r="E923" s="68"/>
      <c r="F923" s="68"/>
      <c r="G923" s="68"/>
      <c r="H923" s="68"/>
      <c r="I923" s="68"/>
      <c r="J923" s="68"/>
      <c r="K923" s="68"/>
      <c r="L923" s="68"/>
    </row>
    <row r="924" spans="1:12" ht="12.5" x14ac:dyDescent="0.25">
      <c r="A924" s="14"/>
      <c r="C924" s="68"/>
      <c r="D924" s="68"/>
      <c r="E924" s="68"/>
      <c r="F924" s="68"/>
      <c r="G924" s="68"/>
      <c r="H924" s="68"/>
      <c r="I924" s="68"/>
      <c r="J924" s="68"/>
      <c r="K924" s="68"/>
      <c r="L924" s="68"/>
    </row>
    <row r="925" spans="1:12" ht="12.5" x14ac:dyDescent="0.25">
      <c r="A925" s="14"/>
      <c r="C925" s="68"/>
      <c r="D925" s="68"/>
      <c r="E925" s="68"/>
      <c r="F925" s="68"/>
      <c r="G925" s="68"/>
      <c r="H925" s="68"/>
      <c r="I925" s="68"/>
      <c r="J925" s="68"/>
      <c r="K925" s="68"/>
      <c r="L925" s="68"/>
    </row>
    <row r="926" spans="1:12" ht="12.5" x14ac:dyDescent="0.25">
      <c r="A926" s="14"/>
      <c r="C926" s="68"/>
      <c r="D926" s="68"/>
      <c r="E926" s="68"/>
      <c r="F926" s="68"/>
      <c r="G926" s="68"/>
      <c r="H926" s="68"/>
      <c r="I926" s="68"/>
      <c r="J926" s="68"/>
      <c r="K926" s="68"/>
      <c r="L926" s="68"/>
    </row>
    <row r="927" spans="1:12" ht="12.5" x14ac:dyDescent="0.25">
      <c r="A927" s="14"/>
      <c r="C927" s="68"/>
      <c r="D927" s="68"/>
      <c r="E927" s="68"/>
      <c r="F927" s="68"/>
      <c r="G927" s="68"/>
      <c r="H927" s="68"/>
      <c r="I927" s="68"/>
      <c r="J927" s="68"/>
      <c r="K927" s="68"/>
      <c r="L927" s="68"/>
    </row>
    <row r="928" spans="1:12" ht="12.5" x14ac:dyDescent="0.25">
      <c r="A928" s="14"/>
      <c r="C928" s="68"/>
      <c r="D928" s="68"/>
      <c r="E928" s="68"/>
      <c r="F928" s="68"/>
      <c r="G928" s="68"/>
      <c r="H928" s="68"/>
      <c r="I928" s="68"/>
      <c r="J928" s="68"/>
      <c r="K928" s="68"/>
      <c r="L928" s="68"/>
    </row>
    <row r="929" spans="1:12" ht="12.5" x14ac:dyDescent="0.25">
      <c r="A929" s="14"/>
      <c r="C929" s="68"/>
      <c r="D929" s="68"/>
      <c r="E929" s="68"/>
      <c r="F929" s="68"/>
      <c r="G929" s="68"/>
      <c r="H929" s="68"/>
      <c r="I929" s="68"/>
      <c r="J929" s="68"/>
      <c r="K929" s="68"/>
      <c r="L929" s="68"/>
    </row>
    <row r="930" spans="1:12" ht="12.5" x14ac:dyDescent="0.25">
      <c r="A930" s="14"/>
      <c r="C930" s="68"/>
      <c r="D930" s="68"/>
      <c r="E930" s="68"/>
      <c r="F930" s="68"/>
      <c r="G930" s="68"/>
      <c r="H930" s="68"/>
      <c r="I930" s="68"/>
      <c r="J930" s="68"/>
      <c r="K930" s="68"/>
      <c r="L930" s="68"/>
    </row>
    <row r="931" spans="1:12" ht="12.5" x14ac:dyDescent="0.25">
      <c r="A931" s="14"/>
      <c r="C931" s="68"/>
      <c r="D931" s="68"/>
      <c r="E931" s="68"/>
      <c r="F931" s="68"/>
      <c r="G931" s="68"/>
      <c r="H931" s="68"/>
      <c r="I931" s="68"/>
      <c r="J931" s="68"/>
      <c r="K931" s="68"/>
      <c r="L931" s="68"/>
    </row>
    <row r="932" spans="1:12" ht="12.5" x14ac:dyDescent="0.25">
      <c r="A932" s="14"/>
      <c r="C932" s="68"/>
      <c r="D932" s="68"/>
      <c r="E932" s="68"/>
      <c r="F932" s="68"/>
      <c r="G932" s="68"/>
      <c r="H932" s="68"/>
      <c r="I932" s="68"/>
      <c r="J932" s="68"/>
      <c r="K932" s="68"/>
      <c r="L932" s="68"/>
    </row>
    <row r="933" spans="1:12" ht="12.5" x14ac:dyDescent="0.25">
      <c r="A933" s="14"/>
      <c r="C933" s="68"/>
      <c r="D933" s="68"/>
      <c r="E933" s="68"/>
      <c r="F933" s="68"/>
      <c r="G933" s="68"/>
      <c r="H933" s="68"/>
      <c r="I933" s="68"/>
      <c r="J933" s="68"/>
      <c r="K933" s="68"/>
      <c r="L933" s="68"/>
    </row>
    <row r="934" spans="1:12" ht="12.5" x14ac:dyDescent="0.25">
      <c r="A934" s="14"/>
      <c r="C934" s="68"/>
      <c r="D934" s="68"/>
      <c r="E934" s="68"/>
      <c r="F934" s="68"/>
      <c r="G934" s="68"/>
      <c r="H934" s="68"/>
      <c r="I934" s="68"/>
      <c r="J934" s="68"/>
      <c r="K934" s="68"/>
      <c r="L934" s="68"/>
    </row>
    <row r="935" spans="1:12" ht="12.5" x14ac:dyDescent="0.25">
      <c r="A935" s="14"/>
      <c r="C935" s="68"/>
      <c r="D935" s="68"/>
      <c r="E935" s="68"/>
      <c r="F935" s="68"/>
      <c r="G935" s="68"/>
      <c r="H935" s="68"/>
      <c r="I935" s="68"/>
      <c r="J935" s="68"/>
      <c r="K935" s="68"/>
      <c r="L935" s="68"/>
    </row>
    <row r="936" spans="1:12" ht="12.5" x14ac:dyDescent="0.25">
      <c r="A936" s="14"/>
      <c r="C936" s="68"/>
      <c r="D936" s="68"/>
      <c r="E936" s="68"/>
      <c r="F936" s="68"/>
      <c r="G936" s="68"/>
      <c r="H936" s="68"/>
      <c r="I936" s="68"/>
      <c r="J936" s="68"/>
      <c r="K936" s="68"/>
      <c r="L936" s="68"/>
    </row>
    <row r="937" spans="1:12" ht="12.5" x14ac:dyDescent="0.25">
      <c r="A937" s="14"/>
      <c r="C937" s="68"/>
      <c r="D937" s="68"/>
      <c r="E937" s="68"/>
      <c r="F937" s="68"/>
      <c r="G937" s="68"/>
      <c r="H937" s="68"/>
      <c r="I937" s="68"/>
      <c r="J937" s="68"/>
      <c r="K937" s="68"/>
      <c r="L937" s="68"/>
    </row>
    <row r="938" spans="1:12" ht="12.5" x14ac:dyDescent="0.25">
      <c r="A938" s="14"/>
      <c r="C938" s="68"/>
      <c r="D938" s="68"/>
      <c r="E938" s="68"/>
      <c r="F938" s="68"/>
      <c r="G938" s="68"/>
      <c r="H938" s="68"/>
      <c r="I938" s="68"/>
      <c r="J938" s="68"/>
      <c r="K938" s="68"/>
      <c r="L938" s="68"/>
    </row>
    <row r="939" spans="1:12" ht="12.5" x14ac:dyDescent="0.25">
      <c r="A939" s="14"/>
      <c r="C939" s="68"/>
      <c r="D939" s="68"/>
      <c r="E939" s="68"/>
      <c r="F939" s="68"/>
      <c r="G939" s="68"/>
      <c r="H939" s="68"/>
      <c r="I939" s="68"/>
      <c r="J939" s="68"/>
      <c r="K939" s="68"/>
      <c r="L939" s="68"/>
    </row>
    <row r="940" spans="1:12" ht="12.5" x14ac:dyDescent="0.25">
      <c r="A940" s="14"/>
      <c r="C940" s="68"/>
      <c r="D940" s="68"/>
      <c r="E940" s="68"/>
      <c r="F940" s="68"/>
      <c r="G940" s="68"/>
      <c r="H940" s="68"/>
      <c r="I940" s="68"/>
      <c r="J940" s="68"/>
      <c r="K940" s="68"/>
      <c r="L940" s="68"/>
    </row>
    <row r="941" spans="1:12" ht="12.5" x14ac:dyDescent="0.25">
      <c r="A941" s="14"/>
      <c r="C941" s="68"/>
      <c r="D941" s="68"/>
      <c r="E941" s="68"/>
      <c r="F941" s="68"/>
      <c r="G941" s="68"/>
      <c r="H941" s="68"/>
      <c r="I941" s="68"/>
      <c r="J941" s="68"/>
      <c r="K941" s="68"/>
      <c r="L941" s="68"/>
    </row>
    <row r="942" spans="1:12" ht="12.5" x14ac:dyDescent="0.25">
      <c r="A942" s="14"/>
      <c r="C942" s="68"/>
      <c r="D942" s="68"/>
      <c r="E942" s="68"/>
      <c r="F942" s="68"/>
      <c r="G942" s="68"/>
      <c r="H942" s="68"/>
      <c r="I942" s="68"/>
      <c r="J942" s="68"/>
      <c r="K942" s="68"/>
      <c r="L942" s="68"/>
    </row>
    <row r="943" spans="1:12" ht="12.5" x14ac:dyDescent="0.25">
      <c r="A943" s="14"/>
      <c r="C943" s="68"/>
      <c r="D943" s="68"/>
      <c r="E943" s="68"/>
      <c r="F943" s="68"/>
      <c r="G943" s="68"/>
      <c r="H943" s="68"/>
      <c r="I943" s="68"/>
      <c r="J943" s="68"/>
      <c r="K943" s="68"/>
      <c r="L943" s="68"/>
    </row>
    <row r="944" spans="1:12" ht="12.5" x14ac:dyDescent="0.25">
      <c r="A944" s="14"/>
      <c r="C944" s="68"/>
      <c r="D944" s="68"/>
      <c r="E944" s="68"/>
      <c r="F944" s="68"/>
      <c r="G944" s="68"/>
      <c r="H944" s="68"/>
      <c r="I944" s="68"/>
      <c r="J944" s="68"/>
      <c r="K944" s="68"/>
      <c r="L944" s="68"/>
    </row>
    <row r="945" spans="1:12" ht="12.5" x14ac:dyDescent="0.25">
      <c r="A945" s="14"/>
      <c r="C945" s="68"/>
      <c r="D945" s="68"/>
      <c r="E945" s="68"/>
      <c r="F945" s="68"/>
      <c r="G945" s="68"/>
      <c r="H945" s="68"/>
      <c r="I945" s="68"/>
      <c r="J945" s="68"/>
      <c r="K945" s="68"/>
      <c r="L945" s="68"/>
    </row>
    <row r="946" spans="1:12" ht="12.5" x14ac:dyDescent="0.25">
      <c r="A946" s="14"/>
      <c r="C946" s="68"/>
      <c r="D946" s="68"/>
      <c r="E946" s="68"/>
      <c r="F946" s="68"/>
      <c r="G946" s="68"/>
      <c r="H946" s="68"/>
      <c r="I946" s="68"/>
      <c r="J946" s="68"/>
      <c r="K946" s="68"/>
      <c r="L946" s="68"/>
    </row>
    <row r="947" spans="1:12" ht="12.5" x14ac:dyDescent="0.25">
      <c r="A947" s="14"/>
      <c r="C947" s="68"/>
      <c r="D947" s="68"/>
      <c r="E947" s="68"/>
      <c r="F947" s="68"/>
      <c r="G947" s="68"/>
      <c r="H947" s="68"/>
      <c r="I947" s="68"/>
      <c r="J947" s="68"/>
      <c r="K947" s="68"/>
      <c r="L947" s="68"/>
    </row>
    <row r="948" spans="1:12" ht="12.5" x14ac:dyDescent="0.25">
      <c r="A948" s="14"/>
      <c r="C948" s="68"/>
      <c r="D948" s="68"/>
      <c r="E948" s="68"/>
      <c r="F948" s="68"/>
      <c r="G948" s="68"/>
      <c r="H948" s="68"/>
      <c r="I948" s="68"/>
      <c r="J948" s="68"/>
      <c r="K948" s="68"/>
      <c r="L948" s="68"/>
    </row>
    <row r="949" spans="1:12" ht="12.5" x14ac:dyDescent="0.25">
      <c r="A949" s="14"/>
      <c r="C949" s="68"/>
      <c r="D949" s="68"/>
      <c r="E949" s="68"/>
      <c r="F949" s="68"/>
      <c r="G949" s="68"/>
      <c r="H949" s="68"/>
      <c r="I949" s="68"/>
      <c r="J949" s="68"/>
      <c r="K949" s="68"/>
      <c r="L949" s="68"/>
    </row>
    <row r="950" spans="1:12" ht="12.5" x14ac:dyDescent="0.25">
      <c r="A950" s="14"/>
      <c r="C950" s="68"/>
      <c r="D950" s="68"/>
      <c r="E950" s="68"/>
      <c r="F950" s="68"/>
      <c r="G950" s="68"/>
      <c r="H950" s="68"/>
      <c r="I950" s="68"/>
      <c r="J950" s="68"/>
      <c r="K950" s="68"/>
      <c r="L950" s="68"/>
    </row>
    <row r="951" spans="1:12" ht="12.5" x14ac:dyDescent="0.25">
      <c r="A951" s="14"/>
      <c r="C951" s="68"/>
      <c r="D951" s="68"/>
      <c r="E951" s="68"/>
      <c r="F951" s="68"/>
      <c r="G951" s="68"/>
      <c r="H951" s="68"/>
      <c r="I951" s="68"/>
      <c r="J951" s="68"/>
      <c r="K951" s="68"/>
      <c r="L951" s="68"/>
    </row>
    <row r="952" spans="1:12" ht="12.5" x14ac:dyDescent="0.25">
      <c r="A952" s="14"/>
      <c r="C952" s="68"/>
      <c r="D952" s="68"/>
      <c r="E952" s="68"/>
      <c r="F952" s="68"/>
      <c r="G952" s="68"/>
      <c r="H952" s="68"/>
      <c r="I952" s="68"/>
      <c r="J952" s="68"/>
      <c r="K952" s="68"/>
      <c r="L952" s="68"/>
    </row>
    <row r="953" spans="1:12" ht="12.5" x14ac:dyDescent="0.25">
      <c r="A953" s="14"/>
      <c r="C953" s="68"/>
      <c r="D953" s="68"/>
      <c r="E953" s="68"/>
      <c r="F953" s="68"/>
      <c r="G953" s="68"/>
      <c r="H953" s="68"/>
      <c r="I953" s="68"/>
      <c r="J953" s="68"/>
      <c r="K953" s="68"/>
      <c r="L953" s="68"/>
    </row>
    <row r="954" spans="1:12" ht="12.5" x14ac:dyDescent="0.25">
      <c r="A954" s="14"/>
      <c r="C954" s="68"/>
      <c r="D954" s="68"/>
      <c r="E954" s="68"/>
      <c r="F954" s="68"/>
      <c r="G954" s="68"/>
      <c r="H954" s="68"/>
      <c r="I954" s="68"/>
      <c r="J954" s="68"/>
      <c r="K954" s="68"/>
      <c r="L954" s="68"/>
    </row>
    <row r="955" spans="1:12" ht="12.5" x14ac:dyDescent="0.25">
      <c r="A955" s="14"/>
      <c r="C955" s="68"/>
      <c r="D955" s="68"/>
      <c r="E955" s="68"/>
      <c r="F955" s="68"/>
      <c r="G955" s="68"/>
      <c r="H955" s="68"/>
      <c r="I955" s="68"/>
      <c r="J955" s="68"/>
      <c r="K955" s="68"/>
      <c r="L955" s="68"/>
    </row>
    <row r="956" spans="1:12" ht="12.5" x14ac:dyDescent="0.25">
      <c r="A956" s="14"/>
      <c r="C956" s="68"/>
      <c r="D956" s="68"/>
      <c r="E956" s="68"/>
      <c r="F956" s="68"/>
      <c r="G956" s="68"/>
      <c r="H956" s="68"/>
      <c r="I956" s="68"/>
      <c r="J956" s="68"/>
      <c r="K956" s="68"/>
      <c r="L956" s="68"/>
    </row>
    <row r="957" spans="1:12" ht="12.5" x14ac:dyDescent="0.25">
      <c r="A957" s="14"/>
      <c r="C957" s="68"/>
      <c r="D957" s="68"/>
      <c r="E957" s="68"/>
      <c r="F957" s="68"/>
      <c r="G957" s="68"/>
      <c r="H957" s="68"/>
      <c r="I957" s="68"/>
      <c r="J957" s="68"/>
      <c r="K957" s="68"/>
      <c r="L957" s="68"/>
    </row>
    <row r="958" spans="1:12" ht="12.5" x14ac:dyDescent="0.25">
      <c r="A958" s="14"/>
      <c r="C958" s="68"/>
      <c r="D958" s="68"/>
      <c r="E958" s="68"/>
      <c r="F958" s="68"/>
      <c r="G958" s="68"/>
      <c r="H958" s="68"/>
      <c r="I958" s="68"/>
      <c r="J958" s="68"/>
      <c r="K958" s="68"/>
      <c r="L958" s="68"/>
    </row>
    <row r="959" spans="1:12" ht="12.5" x14ac:dyDescent="0.25">
      <c r="A959" s="14"/>
      <c r="C959" s="68"/>
      <c r="D959" s="68"/>
      <c r="E959" s="68"/>
      <c r="F959" s="68"/>
      <c r="G959" s="68"/>
      <c r="H959" s="68"/>
      <c r="I959" s="68"/>
      <c r="J959" s="68"/>
      <c r="K959" s="68"/>
      <c r="L959" s="68"/>
    </row>
    <row r="960" spans="1:12" ht="12.5" x14ac:dyDescent="0.25">
      <c r="A960" s="14"/>
      <c r="C960" s="68"/>
      <c r="D960" s="68"/>
      <c r="E960" s="68"/>
      <c r="F960" s="68"/>
      <c r="G960" s="68"/>
      <c r="H960" s="68"/>
      <c r="I960" s="68"/>
      <c r="J960" s="68"/>
      <c r="K960" s="68"/>
      <c r="L960" s="68"/>
    </row>
    <row r="961" spans="1:12" ht="12.5" x14ac:dyDescent="0.25">
      <c r="A961" s="14"/>
      <c r="C961" s="68"/>
      <c r="D961" s="68"/>
      <c r="E961" s="68"/>
      <c r="F961" s="68"/>
      <c r="G961" s="68"/>
      <c r="H961" s="68"/>
      <c r="I961" s="68"/>
      <c r="J961" s="68"/>
      <c r="K961" s="68"/>
      <c r="L961" s="68"/>
    </row>
    <row r="962" spans="1:12" ht="12.5" x14ac:dyDescent="0.25">
      <c r="A962" s="14"/>
      <c r="C962" s="68"/>
      <c r="D962" s="68"/>
      <c r="E962" s="68"/>
      <c r="F962" s="68"/>
      <c r="G962" s="68"/>
      <c r="H962" s="68"/>
      <c r="I962" s="68"/>
      <c r="J962" s="68"/>
      <c r="K962" s="68"/>
      <c r="L962" s="68"/>
    </row>
    <row r="963" spans="1:12" ht="12.5" x14ac:dyDescent="0.25">
      <c r="A963" s="14"/>
      <c r="C963" s="68"/>
      <c r="D963" s="68"/>
      <c r="E963" s="68"/>
      <c r="F963" s="68"/>
      <c r="G963" s="68"/>
      <c r="H963" s="68"/>
      <c r="I963" s="68"/>
      <c r="J963" s="68"/>
      <c r="K963" s="68"/>
      <c r="L963" s="68"/>
    </row>
    <row r="964" spans="1:12" ht="12.5" x14ac:dyDescent="0.25">
      <c r="A964" s="14"/>
      <c r="C964" s="68"/>
      <c r="D964" s="68"/>
      <c r="E964" s="68"/>
      <c r="F964" s="68"/>
      <c r="G964" s="68"/>
      <c r="H964" s="68"/>
      <c r="I964" s="68"/>
      <c r="J964" s="68"/>
      <c r="K964" s="68"/>
      <c r="L964" s="68"/>
    </row>
    <row r="965" spans="1:12" ht="12.5" x14ac:dyDescent="0.25">
      <c r="A965" s="14"/>
      <c r="C965" s="68"/>
      <c r="D965" s="68"/>
      <c r="E965" s="68"/>
      <c r="F965" s="68"/>
      <c r="G965" s="68"/>
      <c r="H965" s="68"/>
      <c r="I965" s="68"/>
      <c r="J965" s="68"/>
      <c r="K965" s="68"/>
      <c r="L965" s="68"/>
    </row>
    <row r="966" spans="1:12" ht="12.5" x14ac:dyDescent="0.25">
      <c r="A966" s="14"/>
      <c r="C966" s="68"/>
      <c r="D966" s="68"/>
      <c r="E966" s="68"/>
      <c r="F966" s="68"/>
      <c r="G966" s="68"/>
      <c r="H966" s="68"/>
      <c r="I966" s="68"/>
      <c r="J966" s="68"/>
      <c r="K966" s="68"/>
      <c r="L966" s="68"/>
    </row>
    <row r="967" spans="1:12" ht="12.5" x14ac:dyDescent="0.25">
      <c r="A967" s="14"/>
      <c r="C967" s="68"/>
      <c r="D967" s="68"/>
      <c r="E967" s="68"/>
      <c r="F967" s="68"/>
      <c r="G967" s="68"/>
      <c r="H967" s="68"/>
      <c r="I967" s="68"/>
      <c r="J967" s="68"/>
      <c r="K967" s="68"/>
      <c r="L967" s="68"/>
    </row>
    <row r="968" spans="1:12" ht="12.5" x14ac:dyDescent="0.25">
      <c r="A968" s="14"/>
      <c r="C968" s="68"/>
      <c r="D968" s="68"/>
      <c r="E968" s="68"/>
      <c r="F968" s="68"/>
      <c r="G968" s="68"/>
      <c r="H968" s="68"/>
      <c r="I968" s="68"/>
      <c r="J968" s="68"/>
      <c r="K968" s="68"/>
      <c r="L968" s="68"/>
    </row>
    <row r="969" spans="1:12" ht="12.5" x14ac:dyDescent="0.25">
      <c r="A969" s="14"/>
      <c r="C969" s="68"/>
      <c r="D969" s="68"/>
      <c r="E969" s="68"/>
      <c r="F969" s="68"/>
      <c r="G969" s="68"/>
      <c r="H969" s="68"/>
      <c r="I969" s="68"/>
      <c r="J969" s="68"/>
      <c r="K969" s="68"/>
      <c r="L969" s="68"/>
    </row>
    <row r="970" spans="1:12" ht="12.5" x14ac:dyDescent="0.25">
      <c r="A970" s="14"/>
      <c r="C970" s="68"/>
      <c r="D970" s="68"/>
      <c r="E970" s="68"/>
      <c r="F970" s="68"/>
      <c r="G970" s="68"/>
      <c r="H970" s="68"/>
      <c r="I970" s="68"/>
      <c r="J970" s="68"/>
      <c r="K970" s="68"/>
      <c r="L970" s="68"/>
    </row>
    <row r="971" spans="1:12" ht="12.5" x14ac:dyDescent="0.25">
      <c r="A971" s="14"/>
      <c r="C971" s="68"/>
      <c r="D971" s="68"/>
      <c r="E971" s="68"/>
      <c r="F971" s="68"/>
      <c r="G971" s="68"/>
      <c r="H971" s="68"/>
      <c r="I971" s="68"/>
      <c r="J971" s="68"/>
      <c r="K971" s="68"/>
      <c r="L971" s="68"/>
    </row>
    <row r="972" spans="1:12" ht="12.5" x14ac:dyDescent="0.25">
      <c r="A972" s="14"/>
      <c r="C972" s="68"/>
      <c r="D972" s="68"/>
      <c r="E972" s="68"/>
      <c r="F972" s="68"/>
      <c r="G972" s="68"/>
      <c r="H972" s="68"/>
      <c r="I972" s="68"/>
      <c r="J972" s="68"/>
      <c r="K972" s="68"/>
      <c r="L972" s="68"/>
    </row>
    <row r="973" spans="1:12" ht="12.5" x14ac:dyDescent="0.25">
      <c r="A973" s="14"/>
      <c r="C973" s="68"/>
      <c r="D973" s="68"/>
      <c r="E973" s="68"/>
      <c r="F973" s="68"/>
      <c r="G973" s="68"/>
      <c r="H973" s="68"/>
      <c r="I973" s="68"/>
      <c r="J973" s="68"/>
      <c r="K973" s="68"/>
      <c r="L973" s="68"/>
    </row>
    <row r="974" spans="1:12" ht="12.5" x14ac:dyDescent="0.25">
      <c r="A974" s="14"/>
      <c r="C974" s="68"/>
      <c r="D974" s="68"/>
      <c r="E974" s="68"/>
      <c r="F974" s="68"/>
      <c r="G974" s="68"/>
      <c r="H974" s="68"/>
      <c r="I974" s="68"/>
      <c r="J974" s="68"/>
      <c r="K974" s="68"/>
      <c r="L974" s="68"/>
    </row>
    <row r="975" spans="1:12" ht="12.5" x14ac:dyDescent="0.25">
      <c r="A975" s="14"/>
      <c r="C975" s="68"/>
      <c r="D975" s="68"/>
      <c r="E975" s="68"/>
      <c r="F975" s="68"/>
      <c r="G975" s="68"/>
      <c r="H975" s="68"/>
      <c r="I975" s="68"/>
      <c r="J975" s="68"/>
      <c r="K975" s="68"/>
      <c r="L975" s="68"/>
    </row>
    <row r="976" spans="1:12" ht="12.5" x14ac:dyDescent="0.25">
      <c r="A976" s="14"/>
      <c r="C976" s="68"/>
      <c r="D976" s="68"/>
      <c r="E976" s="68"/>
      <c r="F976" s="68"/>
      <c r="G976" s="68"/>
      <c r="H976" s="68"/>
      <c r="I976" s="68"/>
      <c r="J976" s="68"/>
      <c r="K976" s="68"/>
      <c r="L976" s="68"/>
    </row>
    <row r="977" spans="1:12" ht="12.5" x14ac:dyDescent="0.25">
      <c r="A977" s="14"/>
      <c r="C977" s="68"/>
      <c r="D977" s="68"/>
      <c r="E977" s="68"/>
      <c r="F977" s="68"/>
      <c r="G977" s="68"/>
      <c r="H977" s="68"/>
      <c r="I977" s="68"/>
      <c r="J977" s="68"/>
      <c r="K977" s="68"/>
      <c r="L977" s="68"/>
    </row>
    <row r="978" spans="1:12" ht="12.5" x14ac:dyDescent="0.25">
      <c r="A978" s="14"/>
      <c r="C978" s="68"/>
      <c r="D978" s="68"/>
      <c r="E978" s="68"/>
      <c r="F978" s="68"/>
      <c r="G978" s="68"/>
      <c r="H978" s="68"/>
      <c r="I978" s="68"/>
      <c r="J978" s="68"/>
      <c r="K978" s="68"/>
      <c r="L978" s="68"/>
    </row>
    <row r="979" spans="1:12" ht="12.5" x14ac:dyDescent="0.25">
      <c r="A979" s="14"/>
      <c r="C979" s="68"/>
      <c r="D979" s="68"/>
      <c r="E979" s="68"/>
      <c r="F979" s="68"/>
      <c r="G979" s="68"/>
      <c r="H979" s="68"/>
      <c r="I979" s="68"/>
      <c r="J979" s="68"/>
      <c r="K979" s="68"/>
      <c r="L979" s="68"/>
    </row>
    <row r="980" spans="1:12" ht="12.5" x14ac:dyDescent="0.25">
      <c r="A980" s="14"/>
      <c r="C980" s="68"/>
      <c r="D980" s="68"/>
      <c r="E980" s="68"/>
      <c r="F980" s="68"/>
      <c r="G980" s="68"/>
      <c r="H980" s="68"/>
      <c r="I980" s="68"/>
      <c r="J980" s="68"/>
      <c r="K980" s="68"/>
      <c r="L980" s="68"/>
    </row>
    <row r="981" spans="1:12" ht="12.5" x14ac:dyDescent="0.25">
      <c r="A981" s="14"/>
      <c r="C981" s="68"/>
      <c r="D981" s="68"/>
      <c r="E981" s="68"/>
      <c r="F981" s="68"/>
      <c r="G981" s="68"/>
      <c r="H981" s="68"/>
      <c r="I981" s="68"/>
      <c r="J981" s="68"/>
      <c r="K981" s="68"/>
      <c r="L981" s="68"/>
    </row>
    <row r="982" spans="1:12" ht="12.5" x14ac:dyDescent="0.25">
      <c r="A982" s="14"/>
      <c r="C982" s="68"/>
      <c r="D982" s="68"/>
      <c r="E982" s="68"/>
      <c r="F982" s="68"/>
      <c r="G982" s="68"/>
      <c r="H982" s="68"/>
      <c r="I982" s="68"/>
      <c r="J982" s="68"/>
      <c r="K982" s="68"/>
      <c r="L982" s="68"/>
    </row>
    <row r="983" spans="1:12" ht="12.5" x14ac:dyDescent="0.25">
      <c r="A983" s="14"/>
      <c r="C983" s="68"/>
      <c r="D983" s="68"/>
      <c r="E983" s="68"/>
      <c r="F983" s="68"/>
      <c r="G983" s="68"/>
      <c r="H983" s="68"/>
      <c r="I983" s="68"/>
      <c r="J983" s="68"/>
      <c r="K983" s="68"/>
      <c r="L983" s="68"/>
    </row>
    <row r="984" spans="1:12" ht="12.5" x14ac:dyDescent="0.25">
      <c r="A984" s="14"/>
      <c r="C984" s="68"/>
      <c r="D984" s="68"/>
      <c r="E984" s="68"/>
      <c r="F984" s="68"/>
      <c r="G984" s="68"/>
      <c r="H984" s="68"/>
      <c r="I984" s="68"/>
      <c r="J984" s="68"/>
      <c r="K984" s="68"/>
      <c r="L984" s="68"/>
    </row>
    <row r="985" spans="1:12" ht="12.5" x14ac:dyDescent="0.25">
      <c r="A985" s="14"/>
      <c r="C985" s="68"/>
      <c r="D985" s="68"/>
      <c r="E985" s="68"/>
      <c r="F985" s="68"/>
      <c r="G985" s="68"/>
      <c r="H985" s="68"/>
      <c r="I985" s="68"/>
      <c r="J985" s="68"/>
      <c r="K985" s="68"/>
      <c r="L985" s="68"/>
    </row>
    <row r="986" spans="1:12" ht="12.5" x14ac:dyDescent="0.25">
      <c r="A986" s="14"/>
      <c r="C986" s="68"/>
      <c r="D986" s="68"/>
      <c r="E986" s="68"/>
      <c r="F986" s="68"/>
      <c r="G986" s="68"/>
      <c r="H986" s="68"/>
      <c r="I986" s="68"/>
      <c r="J986" s="68"/>
      <c r="K986" s="68"/>
      <c r="L986" s="68"/>
    </row>
    <row r="987" spans="1:12" ht="12.5" x14ac:dyDescent="0.25">
      <c r="A987" s="14"/>
      <c r="C987" s="68"/>
      <c r="D987" s="68"/>
      <c r="E987" s="68"/>
      <c r="F987" s="68"/>
      <c r="G987" s="68"/>
      <c r="H987" s="68"/>
      <c r="I987" s="68"/>
      <c r="J987" s="68"/>
      <c r="K987" s="68"/>
      <c r="L987" s="68"/>
    </row>
    <row r="988" spans="1:12" ht="12.5" x14ac:dyDescent="0.25">
      <c r="A988" s="14"/>
      <c r="C988" s="68"/>
      <c r="D988" s="68"/>
      <c r="E988" s="68"/>
      <c r="F988" s="68"/>
      <c r="G988" s="68"/>
      <c r="H988" s="68"/>
      <c r="I988" s="68"/>
      <c r="J988" s="68"/>
      <c r="K988" s="68"/>
      <c r="L988" s="68"/>
    </row>
    <row r="989" spans="1:12" ht="12.5" x14ac:dyDescent="0.25">
      <c r="A989" s="14"/>
      <c r="C989" s="68"/>
      <c r="D989" s="68"/>
      <c r="E989" s="68"/>
      <c r="F989" s="68"/>
      <c r="G989" s="68"/>
      <c r="H989" s="68"/>
      <c r="I989" s="68"/>
      <c r="J989" s="68"/>
      <c r="K989" s="68"/>
      <c r="L989" s="68"/>
    </row>
    <row r="990" spans="1:12" ht="12.5" x14ac:dyDescent="0.25">
      <c r="A990" s="14"/>
      <c r="C990" s="68"/>
      <c r="D990" s="68"/>
      <c r="E990" s="68"/>
      <c r="F990" s="68"/>
      <c r="G990" s="68"/>
      <c r="H990" s="68"/>
      <c r="I990" s="68"/>
      <c r="J990" s="68"/>
      <c r="K990" s="68"/>
      <c r="L990" s="68"/>
    </row>
    <row r="991" spans="1:12" ht="12.5" x14ac:dyDescent="0.25">
      <c r="A991" s="14"/>
      <c r="C991" s="68"/>
      <c r="D991" s="68"/>
      <c r="E991" s="68"/>
      <c r="F991" s="68"/>
      <c r="G991" s="68"/>
      <c r="H991" s="68"/>
      <c r="I991" s="68"/>
      <c r="J991" s="68"/>
      <c r="K991" s="68"/>
      <c r="L991" s="68"/>
    </row>
    <row r="992" spans="1:12" ht="12.5" x14ac:dyDescent="0.25">
      <c r="A992" s="14"/>
      <c r="C992" s="68"/>
      <c r="D992" s="68"/>
      <c r="E992" s="68"/>
      <c r="F992" s="68"/>
      <c r="G992" s="68"/>
      <c r="H992" s="68"/>
      <c r="I992" s="68"/>
      <c r="J992" s="68"/>
      <c r="K992" s="68"/>
      <c r="L992" s="68"/>
    </row>
    <row r="993" spans="1:12" ht="12.5" x14ac:dyDescent="0.25">
      <c r="A993" s="14"/>
      <c r="C993" s="68"/>
      <c r="D993" s="68"/>
      <c r="E993" s="68"/>
      <c r="F993" s="68"/>
      <c r="G993" s="68"/>
      <c r="H993" s="68"/>
      <c r="I993" s="68"/>
      <c r="J993" s="68"/>
      <c r="K993" s="68"/>
      <c r="L993" s="68"/>
    </row>
    <row r="994" spans="1:12" ht="12.5" x14ac:dyDescent="0.25">
      <c r="A994" s="14"/>
      <c r="C994" s="68"/>
      <c r="D994" s="68"/>
      <c r="E994" s="68"/>
      <c r="F994" s="68"/>
      <c r="G994" s="68"/>
      <c r="H994" s="68"/>
      <c r="I994" s="68"/>
      <c r="J994" s="68"/>
      <c r="K994" s="68"/>
      <c r="L994" s="68"/>
    </row>
    <row r="995" spans="1:12" ht="12.5" x14ac:dyDescent="0.25">
      <c r="A995" s="14"/>
      <c r="C995" s="68"/>
      <c r="D995" s="68"/>
      <c r="E995" s="68"/>
      <c r="F995" s="68"/>
      <c r="G995" s="68"/>
      <c r="H995" s="68"/>
      <c r="I995" s="68"/>
      <c r="J995" s="68"/>
      <c r="K995" s="68"/>
      <c r="L995" s="68"/>
    </row>
    <row r="996" spans="1:12" ht="12.5" x14ac:dyDescent="0.25">
      <c r="A996" s="14"/>
      <c r="C996" s="68"/>
      <c r="D996" s="68"/>
      <c r="E996" s="68"/>
      <c r="F996" s="68"/>
      <c r="G996" s="68"/>
      <c r="H996" s="68"/>
      <c r="I996" s="68"/>
      <c r="J996" s="68"/>
      <c r="K996" s="68"/>
      <c r="L996" s="68"/>
    </row>
    <row r="997" spans="1:12" ht="12.5" x14ac:dyDescent="0.25">
      <c r="A997" s="14"/>
      <c r="C997" s="68"/>
      <c r="D997" s="68"/>
      <c r="E997" s="68"/>
      <c r="F997" s="68"/>
      <c r="G997" s="68"/>
      <c r="H997" s="68"/>
      <c r="I997" s="68"/>
      <c r="J997" s="68"/>
      <c r="K997" s="68"/>
      <c r="L997" s="68"/>
    </row>
    <row r="998" spans="1:12" ht="12.5" x14ac:dyDescent="0.25">
      <c r="A998" s="14"/>
      <c r="C998" s="68"/>
      <c r="D998" s="68"/>
      <c r="E998" s="68"/>
      <c r="F998" s="68"/>
      <c r="G998" s="68"/>
      <c r="H998" s="68"/>
      <c r="I998" s="68"/>
      <c r="J998" s="68"/>
      <c r="K998" s="68"/>
      <c r="L998" s="68"/>
    </row>
    <row r="999" spans="1:12" ht="12.5" x14ac:dyDescent="0.25">
      <c r="A999" s="14"/>
      <c r="C999" s="68"/>
      <c r="D999" s="68"/>
      <c r="E999" s="68"/>
      <c r="F999" s="68"/>
      <c r="G999" s="68"/>
      <c r="H999" s="68"/>
      <c r="I999" s="68"/>
      <c r="J999" s="68"/>
      <c r="K999" s="68"/>
      <c r="L999" s="68"/>
    </row>
    <row r="1000" spans="1:12" ht="12.5" x14ac:dyDescent="0.25">
      <c r="A1000" s="14"/>
      <c r="C1000" s="68"/>
      <c r="D1000" s="68"/>
      <c r="E1000" s="68"/>
      <c r="F1000" s="68"/>
      <c r="G1000" s="68"/>
      <c r="H1000" s="68"/>
      <c r="I1000" s="68"/>
      <c r="J1000" s="68"/>
      <c r="K1000" s="68"/>
      <c r="L1000" s="68"/>
    </row>
  </sheetData>
  <mergeCells count="8">
    <mergeCell ref="B15:B16"/>
    <mergeCell ref="C15:E15"/>
    <mergeCell ref="F15:H15"/>
    <mergeCell ref="I15:K15"/>
    <mergeCell ref="B38:B39"/>
    <mergeCell ref="C38:E38"/>
    <mergeCell ref="F38:H38"/>
    <mergeCell ref="I38:K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953"/>
  <sheetViews>
    <sheetView workbookViewId="0"/>
  </sheetViews>
  <sheetFormatPr baseColWidth="10" defaultColWidth="12.6328125" defaultRowHeight="15.75" customHeight="1" x14ac:dyDescent="0.25"/>
  <cols>
    <col min="1" max="1" width="13.36328125" customWidth="1"/>
    <col min="2" max="2" width="27.6328125" customWidth="1"/>
    <col min="4" max="4" width="10.90625" customWidth="1"/>
    <col min="5" max="11" width="5.90625" customWidth="1"/>
    <col min="12" max="13" width="6" customWidth="1"/>
    <col min="15" max="15" width="17.6328125" customWidth="1"/>
    <col min="17" max="25" width="6.7265625" customWidth="1"/>
  </cols>
  <sheetData>
    <row r="1" spans="1:25" ht="15.75" customHeight="1" x14ac:dyDescent="0.25">
      <c r="A1" s="367" t="s">
        <v>9</v>
      </c>
      <c r="B1" s="395" t="s">
        <v>2038</v>
      </c>
      <c r="N1" s="75"/>
      <c r="O1" s="79"/>
    </row>
    <row r="2" spans="1:25" ht="15.75" customHeight="1" x14ac:dyDescent="0.25">
      <c r="N2" s="75"/>
      <c r="O2" s="300" t="s">
        <v>292</v>
      </c>
      <c r="P2" s="301" t="s">
        <v>293</v>
      </c>
      <c r="Q2" s="298">
        <f>D2</f>
        <v>0</v>
      </c>
      <c r="R2" s="296"/>
      <c r="S2" s="296"/>
      <c r="T2" s="298">
        <f>G2</f>
        <v>0</v>
      </c>
      <c r="U2" s="296"/>
      <c r="V2" s="296"/>
      <c r="W2" s="298">
        <f>J2</f>
        <v>0</v>
      </c>
      <c r="X2" s="296"/>
      <c r="Y2" s="296"/>
    </row>
    <row r="3" spans="1:25" ht="15.75" customHeight="1" x14ac:dyDescent="0.25">
      <c r="A3" s="348" t="s">
        <v>2033</v>
      </c>
      <c r="B3" s="350"/>
      <c r="C3" s="350"/>
      <c r="D3" s="350"/>
      <c r="E3" s="348" t="s">
        <v>8</v>
      </c>
      <c r="F3" s="349" t="s">
        <v>7</v>
      </c>
      <c r="G3" s="350"/>
      <c r="H3" s="350"/>
      <c r="I3" s="350"/>
      <c r="J3" s="350"/>
      <c r="K3" s="350"/>
      <c r="L3" s="350"/>
      <c r="M3" s="351"/>
      <c r="N3" s="75"/>
      <c r="O3" s="296"/>
      <c r="P3" s="296"/>
      <c r="Q3" s="71" t="s">
        <v>19</v>
      </c>
      <c r="R3" s="71" t="s">
        <v>23</v>
      </c>
      <c r="S3" s="71" t="s">
        <v>25</v>
      </c>
      <c r="T3" s="71" t="s">
        <v>19</v>
      </c>
      <c r="U3" s="71" t="s">
        <v>23</v>
      </c>
      <c r="V3" s="71" t="s">
        <v>25</v>
      </c>
      <c r="W3" s="71" t="s">
        <v>19</v>
      </c>
      <c r="X3" s="71" t="s">
        <v>23</v>
      </c>
      <c r="Y3" s="71" t="s">
        <v>25</v>
      </c>
    </row>
    <row r="4" spans="1:25" ht="15.75" customHeight="1" x14ac:dyDescent="0.25">
      <c r="A4" s="352"/>
      <c r="B4" s="394"/>
      <c r="C4" s="394"/>
      <c r="D4" s="394"/>
      <c r="E4" s="347">
        <v>2022</v>
      </c>
      <c r="F4" s="350"/>
      <c r="G4" s="350"/>
      <c r="H4" s="347" t="s">
        <v>113</v>
      </c>
      <c r="I4" s="350"/>
      <c r="J4" s="350"/>
      <c r="K4" s="347" t="s">
        <v>20</v>
      </c>
      <c r="L4" s="350"/>
      <c r="M4" s="351"/>
      <c r="N4" s="75"/>
      <c r="O4" s="302">
        <f>B4</f>
        <v>0</v>
      </c>
      <c r="P4" s="24">
        <f t="shared" ref="P4:P72" si="0">D4</f>
        <v>0</v>
      </c>
      <c r="Q4" s="76">
        <f t="shared" ref="Q4:S4" si="1">E4/SUM($E4:$G4)</f>
        <v>1</v>
      </c>
      <c r="R4" s="76">
        <f t="shared" si="1"/>
        <v>0</v>
      </c>
      <c r="S4" s="76">
        <f t="shared" si="1"/>
        <v>0</v>
      </c>
      <c r="T4" s="76" t="e">
        <f t="shared" ref="T4:V4" si="2">H4/SUM($H4:$J4)</f>
        <v>#DIV/0!</v>
      </c>
      <c r="U4" s="76" t="e">
        <f t="shared" si="2"/>
        <v>#DIV/0!</v>
      </c>
      <c r="V4" s="76" t="e">
        <f t="shared" si="2"/>
        <v>#DIV/0!</v>
      </c>
      <c r="W4" s="76" t="e">
        <f t="shared" ref="W4:Y4" si="3">K4/SUM($K4:$M4)</f>
        <v>#DIV/0!</v>
      </c>
      <c r="X4" s="76" t="e">
        <f t="shared" si="3"/>
        <v>#DIV/0!</v>
      </c>
      <c r="Y4" s="76" t="e">
        <f t="shared" si="3"/>
        <v>#DIV/0!</v>
      </c>
    </row>
    <row r="5" spans="1:25" ht="15.75" customHeight="1" x14ac:dyDescent="0.25">
      <c r="A5" s="348" t="s">
        <v>1</v>
      </c>
      <c r="B5" s="348" t="s">
        <v>4</v>
      </c>
      <c r="C5" s="348" t="s">
        <v>2</v>
      </c>
      <c r="D5" s="348" t="s">
        <v>3</v>
      </c>
      <c r="E5" s="353" t="s">
        <v>19</v>
      </c>
      <c r="F5" s="369" t="s">
        <v>23</v>
      </c>
      <c r="G5" s="369" t="s">
        <v>25</v>
      </c>
      <c r="H5" s="353" t="s">
        <v>19</v>
      </c>
      <c r="I5" s="369" t="s">
        <v>23</v>
      </c>
      <c r="J5" s="369" t="s">
        <v>25</v>
      </c>
      <c r="K5" s="353" t="s">
        <v>19</v>
      </c>
      <c r="L5" s="369" t="s">
        <v>23</v>
      </c>
      <c r="M5" s="370" t="s">
        <v>25</v>
      </c>
      <c r="N5" s="75"/>
      <c r="O5" s="296"/>
      <c r="P5" s="24" t="str">
        <f t="shared" si="0"/>
        <v>Grado</v>
      </c>
      <c r="Q5" s="76" t="e">
        <f t="shared" ref="Q5:S5" si="4">E5/SUM($E5:$G5)</f>
        <v>#VALUE!</v>
      </c>
      <c r="R5" s="76" t="e">
        <f t="shared" si="4"/>
        <v>#VALUE!</v>
      </c>
      <c r="S5" s="76" t="e">
        <f t="shared" si="4"/>
        <v>#VALUE!</v>
      </c>
      <c r="T5" s="76" t="e">
        <f t="shared" ref="T5:V5" si="5">H5/SUM($H5:$J5)</f>
        <v>#VALUE!</v>
      </c>
      <c r="U5" s="76" t="e">
        <f t="shared" si="5"/>
        <v>#VALUE!</v>
      </c>
      <c r="V5" s="76" t="e">
        <f t="shared" si="5"/>
        <v>#VALUE!</v>
      </c>
      <c r="W5" s="76" t="e">
        <f t="shared" ref="W5:Y5" si="6">K5/SUM($K5:$M5)</f>
        <v>#VALUE!</v>
      </c>
      <c r="X5" s="76" t="e">
        <f t="shared" si="6"/>
        <v>#VALUE!</v>
      </c>
      <c r="Y5" s="76" t="e">
        <f t="shared" si="6"/>
        <v>#VALUE!</v>
      </c>
    </row>
    <row r="6" spans="1:25" ht="15.75" customHeight="1" x14ac:dyDescent="0.25">
      <c r="A6" s="347" t="s">
        <v>60</v>
      </c>
      <c r="B6" s="353" t="s">
        <v>160</v>
      </c>
      <c r="C6" s="347" t="s">
        <v>15</v>
      </c>
      <c r="D6" s="347" t="s">
        <v>16</v>
      </c>
      <c r="E6" s="356">
        <v>9</v>
      </c>
      <c r="F6" s="379"/>
      <c r="G6" s="379"/>
      <c r="H6" s="356">
        <v>8</v>
      </c>
      <c r="I6" s="379"/>
      <c r="J6" s="379"/>
      <c r="K6" s="356">
        <v>2</v>
      </c>
      <c r="L6" s="379"/>
      <c r="M6" s="390"/>
      <c r="N6" s="75"/>
      <c r="O6" s="296"/>
      <c r="P6" s="24" t="str">
        <f t="shared" si="0"/>
        <v>4 Primaria</v>
      </c>
      <c r="Q6" s="76">
        <f t="shared" ref="Q6:S6" si="7">E6/SUM($E6:$G6)</f>
        <v>1</v>
      </c>
      <c r="R6" s="76">
        <f t="shared" si="7"/>
        <v>0</v>
      </c>
      <c r="S6" s="76">
        <f t="shared" si="7"/>
        <v>0</v>
      </c>
      <c r="T6" s="76">
        <f t="shared" ref="T6:V6" si="8">H6/SUM($H6:$J6)</f>
        <v>1</v>
      </c>
      <c r="U6" s="76">
        <f t="shared" si="8"/>
        <v>0</v>
      </c>
      <c r="V6" s="76">
        <f t="shared" si="8"/>
        <v>0</v>
      </c>
      <c r="W6" s="76">
        <f t="shared" ref="W6:Y6" si="9">K6/SUM($K6:$M6)</f>
        <v>1</v>
      </c>
      <c r="X6" s="76">
        <f t="shared" si="9"/>
        <v>0</v>
      </c>
      <c r="Y6" s="76">
        <f t="shared" si="9"/>
        <v>0</v>
      </c>
    </row>
    <row r="7" spans="1:25" ht="15.75" customHeight="1" x14ac:dyDescent="0.25">
      <c r="A7" s="352"/>
      <c r="B7" s="352"/>
      <c r="C7" s="352"/>
      <c r="D7" s="372" t="s">
        <v>37</v>
      </c>
      <c r="E7" s="360">
        <v>4</v>
      </c>
      <c r="F7" s="381"/>
      <c r="G7" s="381"/>
      <c r="H7" s="360">
        <v>3</v>
      </c>
      <c r="I7" s="381">
        <v>2</v>
      </c>
      <c r="J7" s="381"/>
      <c r="K7" s="360">
        <v>4</v>
      </c>
      <c r="L7" s="381"/>
      <c r="M7" s="391"/>
      <c r="N7" s="75"/>
      <c r="O7" s="296"/>
      <c r="P7" s="24" t="str">
        <f t="shared" si="0"/>
        <v>6 Primaria</v>
      </c>
      <c r="Q7" s="76">
        <f t="shared" ref="Q7:S7" si="10">E7/SUM($E7:$G7)</f>
        <v>1</v>
      </c>
      <c r="R7" s="76">
        <f t="shared" si="10"/>
        <v>0</v>
      </c>
      <c r="S7" s="76">
        <f t="shared" si="10"/>
        <v>0</v>
      </c>
      <c r="T7" s="76">
        <f t="shared" ref="T7:V7" si="11">H7/SUM($H7:$J7)</f>
        <v>0.6</v>
      </c>
      <c r="U7" s="76">
        <f t="shared" si="11"/>
        <v>0.4</v>
      </c>
      <c r="V7" s="76">
        <f t="shared" si="11"/>
        <v>0</v>
      </c>
      <c r="W7" s="76">
        <f t="shared" ref="W7:Y7" si="12">K7/SUM($K7:$M7)</f>
        <v>1</v>
      </c>
      <c r="X7" s="76">
        <f t="shared" si="12"/>
        <v>0</v>
      </c>
      <c r="Y7" s="76">
        <f t="shared" si="12"/>
        <v>0</v>
      </c>
    </row>
    <row r="8" spans="1:25" ht="15.75" customHeight="1" x14ac:dyDescent="0.25">
      <c r="A8" s="352"/>
      <c r="B8" s="352"/>
      <c r="C8" s="347" t="s">
        <v>41</v>
      </c>
      <c r="D8" s="347" t="s">
        <v>42</v>
      </c>
      <c r="E8" s="356">
        <v>7</v>
      </c>
      <c r="F8" s="379"/>
      <c r="G8" s="379"/>
      <c r="H8" s="356">
        <v>2</v>
      </c>
      <c r="I8" s="379">
        <v>7</v>
      </c>
      <c r="J8" s="379"/>
      <c r="K8" s="356">
        <v>8</v>
      </c>
      <c r="L8" s="379"/>
      <c r="M8" s="390"/>
      <c r="N8" s="75"/>
      <c r="O8" s="302">
        <f>B8</f>
        <v>0</v>
      </c>
      <c r="P8" s="24" t="str">
        <f t="shared" si="0"/>
        <v>2 Secundaria</v>
      </c>
      <c r="Q8" s="76">
        <f t="shared" ref="Q8:S8" si="13">E8/SUM($E8:$G8)</f>
        <v>1</v>
      </c>
      <c r="R8" s="76">
        <f t="shared" si="13"/>
        <v>0</v>
      </c>
      <c r="S8" s="76">
        <f t="shared" si="13"/>
        <v>0</v>
      </c>
      <c r="T8" s="76">
        <f t="shared" ref="T8:V8" si="14">H8/SUM($H8:$J8)</f>
        <v>0.22222222222222221</v>
      </c>
      <c r="U8" s="76">
        <f t="shared" si="14"/>
        <v>0.77777777777777779</v>
      </c>
      <c r="V8" s="76">
        <f t="shared" si="14"/>
        <v>0</v>
      </c>
      <c r="W8" s="76">
        <f t="shared" ref="W8:Y8" si="15">K8/SUM($K8:$M8)</f>
        <v>1</v>
      </c>
      <c r="X8" s="76">
        <f t="shared" si="15"/>
        <v>0</v>
      </c>
      <c r="Y8" s="76">
        <f t="shared" si="15"/>
        <v>0</v>
      </c>
    </row>
    <row r="9" spans="1:25" ht="15.75" customHeight="1" x14ac:dyDescent="0.25">
      <c r="A9" s="352"/>
      <c r="B9" s="352"/>
      <c r="C9" s="352"/>
      <c r="D9" s="372" t="s">
        <v>43</v>
      </c>
      <c r="E9" s="360">
        <v>9</v>
      </c>
      <c r="F9" s="381"/>
      <c r="G9" s="381"/>
      <c r="H9" s="360">
        <v>2</v>
      </c>
      <c r="I9" s="381">
        <v>3</v>
      </c>
      <c r="J9" s="381"/>
      <c r="K9" s="360">
        <v>3</v>
      </c>
      <c r="L9" s="381"/>
      <c r="M9" s="391"/>
      <c r="N9" s="75"/>
      <c r="O9" s="296"/>
      <c r="P9" s="24" t="str">
        <f t="shared" si="0"/>
        <v>4 Secundaria</v>
      </c>
      <c r="Q9" s="76">
        <f t="shared" ref="Q9:S9" si="16">E9/SUM($E9:$G9)</f>
        <v>1</v>
      </c>
      <c r="R9" s="76">
        <f t="shared" si="16"/>
        <v>0</v>
      </c>
      <c r="S9" s="76">
        <f t="shared" si="16"/>
        <v>0</v>
      </c>
      <c r="T9" s="76">
        <f t="shared" ref="T9:V9" si="17">H9/SUM($H9:$J9)</f>
        <v>0.4</v>
      </c>
      <c r="U9" s="76">
        <f t="shared" si="17"/>
        <v>0.6</v>
      </c>
      <c r="V9" s="76">
        <f t="shared" si="17"/>
        <v>0</v>
      </c>
      <c r="W9" s="76">
        <f t="shared" ref="W9:Y9" si="18">K9/SUM($K9:$M9)</f>
        <v>1</v>
      </c>
      <c r="X9" s="76">
        <f t="shared" si="18"/>
        <v>0</v>
      </c>
      <c r="Y9" s="76">
        <f t="shared" si="18"/>
        <v>0</v>
      </c>
    </row>
    <row r="10" spans="1:25" ht="15.75" customHeight="1" x14ac:dyDescent="0.25">
      <c r="A10" s="352"/>
      <c r="B10" s="353" t="s">
        <v>92</v>
      </c>
      <c r="C10" s="347" t="s">
        <v>15</v>
      </c>
      <c r="D10" s="347" t="s">
        <v>45</v>
      </c>
      <c r="E10" s="356">
        <v>1</v>
      </c>
      <c r="F10" s="379"/>
      <c r="G10" s="379"/>
      <c r="H10" s="356">
        <v>9</v>
      </c>
      <c r="I10" s="379">
        <v>5</v>
      </c>
      <c r="J10" s="379"/>
      <c r="K10" s="356">
        <v>10</v>
      </c>
      <c r="L10" s="379">
        <v>1</v>
      </c>
      <c r="M10" s="390"/>
      <c r="N10" s="75"/>
      <c r="O10" s="296"/>
      <c r="P10" s="24" t="str">
        <f t="shared" si="0"/>
        <v>2 Primaria</v>
      </c>
      <c r="Q10" s="76">
        <f t="shared" ref="Q10:S10" si="19">E10/SUM($E10:$G10)</f>
        <v>1</v>
      </c>
      <c r="R10" s="76">
        <f t="shared" si="19"/>
        <v>0</v>
      </c>
      <c r="S10" s="76">
        <f t="shared" si="19"/>
        <v>0</v>
      </c>
      <c r="T10" s="76">
        <f t="shared" ref="T10:V10" si="20">H10/SUM($H10:$J10)</f>
        <v>0.6428571428571429</v>
      </c>
      <c r="U10" s="76">
        <f t="shared" si="20"/>
        <v>0.35714285714285715</v>
      </c>
      <c r="V10" s="76">
        <f t="shared" si="20"/>
        <v>0</v>
      </c>
      <c r="W10" s="76">
        <f t="shared" ref="W10:Y10" si="21">K10/SUM($K10:$M10)</f>
        <v>0.90909090909090906</v>
      </c>
      <c r="X10" s="76">
        <f t="shared" si="21"/>
        <v>9.0909090909090912E-2</v>
      </c>
      <c r="Y10" s="76">
        <f t="shared" si="21"/>
        <v>0</v>
      </c>
    </row>
    <row r="11" spans="1:25" ht="15.75" customHeight="1" x14ac:dyDescent="0.25">
      <c r="A11" s="352"/>
      <c r="B11" s="352"/>
      <c r="C11" s="352"/>
      <c r="D11" s="372" t="s">
        <v>37</v>
      </c>
      <c r="E11" s="360">
        <v>2</v>
      </c>
      <c r="F11" s="381">
        <v>1</v>
      </c>
      <c r="G11" s="381"/>
      <c r="H11" s="360">
        <v>22</v>
      </c>
      <c r="I11" s="381">
        <v>2</v>
      </c>
      <c r="J11" s="381"/>
      <c r="K11" s="360">
        <v>12</v>
      </c>
      <c r="L11" s="381"/>
      <c r="M11" s="391"/>
      <c r="N11" s="75"/>
      <c r="O11" s="296"/>
      <c r="P11" s="24" t="str">
        <f t="shared" si="0"/>
        <v>6 Primaria</v>
      </c>
      <c r="Q11" s="76">
        <f t="shared" ref="Q11:S11" si="22">E11/SUM($E11:$G11)</f>
        <v>0.66666666666666663</v>
      </c>
      <c r="R11" s="76">
        <f t="shared" si="22"/>
        <v>0.33333333333333331</v>
      </c>
      <c r="S11" s="76">
        <f t="shared" si="22"/>
        <v>0</v>
      </c>
      <c r="T11" s="76">
        <f t="shared" ref="T11:V11" si="23">H11/SUM($H11:$J11)</f>
        <v>0.91666666666666663</v>
      </c>
      <c r="U11" s="76">
        <f t="shared" si="23"/>
        <v>8.3333333333333329E-2</v>
      </c>
      <c r="V11" s="76">
        <f t="shared" si="23"/>
        <v>0</v>
      </c>
      <c r="W11" s="76">
        <f t="shared" ref="W11:Y11" si="24">K11/SUM($K11:$M11)</f>
        <v>1</v>
      </c>
      <c r="X11" s="76">
        <f t="shared" si="24"/>
        <v>0</v>
      </c>
      <c r="Y11" s="76">
        <f t="shared" si="24"/>
        <v>0</v>
      </c>
    </row>
    <row r="12" spans="1:25" ht="15.75" customHeight="1" x14ac:dyDescent="0.25">
      <c r="A12" s="352"/>
      <c r="B12" s="352"/>
      <c r="C12" s="347" t="s">
        <v>41</v>
      </c>
      <c r="D12" s="347" t="s">
        <v>42</v>
      </c>
      <c r="E12" s="356">
        <v>31</v>
      </c>
      <c r="F12" s="379"/>
      <c r="G12" s="379"/>
      <c r="H12" s="356"/>
      <c r="I12" s="379">
        <v>22</v>
      </c>
      <c r="J12" s="379"/>
      <c r="K12" s="356">
        <v>25</v>
      </c>
      <c r="L12" s="379"/>
      <c r="M12" s="390"/>
      <c r="N12" s="75"/>
      <c r="O12" s="302">
        <f>B12</f>
        <v>0</v>
      </c>
      <c r="P12" s="24" t="str">
        <f t="shared" si="0"/>
        <v>2 Secundaria</v>
      </c>
      <c r="Q12" s="76">
        <f t="shared" ref="Q12:S12" si="25">E12/SUM($E12:$G12)</f>
        <v>1</v>
      </c>
      <c r="R12" s="76">
        <f t="shared" si="25"/>
        <v>0</v>
      </c>
      <c r="S12" s="76">
        <f t="shared" si="25"/>
        <v>0</v>
      </c>
      <c r="T12" s="76">
        <f t="shared" ref="T12:V12" si="26">H12/SUM($H12:$J12)</f>
        <v>0</v>
      </c>
      <c r="U12" s="76">
        <f t="shared" si="26"/>
        <v>1</v>
      </c>
      <c r="V12" s="76">
        <f t="shared" si="26"/>
        <v>0</v>
      </c>
      <c r="W12" s="76">
        <f t="shared" ref="W12:Y12" si="27">K12/SUM($K12:$M12)</f>
        <v>1</v>
      </c>
      <c r="X12" s="76">
        <f t="shared" si="27"/>
        <v>0</v>
      </c>
      <c r="Y12" s="76">
        <f t="shared" si="27"/>
        <v>0</v>
      </c>
    </row>
    <row r="13" spans="1:25" ht="15.75" customHeight="1" x14ac:dyDescent="0.25">
      <c r="A13" s="352"/>
      <c r="B13" s="352"/>
      <c r="C13" s="352"/>
      <c r="D13" s="372" t="s">
        <v>43</v>
      </c>
      <c r="E13" s="360">
        <v>18</v>
      </c>
      <c r="F13" s="381"/>
      <c r="G13" s="381"/>
      <c r="H13" s="360">
        <v>1</v>
      </c>
      <c r="I13" s="381">
        <v>13</v>
      </c>
      <c r="J13" s="381"/>
      <c r="K13" s="360">
        <v>20</v>
      </c>
      <c r="L13" s="381">
        <v>2</v>
      </c>
      <c r="M13" s="391"/>
      <c r="N13" s="75"/>
      <c r="O13" s="296"/>
      <c r="P13" s="24" t="str">
        <f t="shared" si="0"/>
        <v>4 Secundaria</v>
      </c>
      <c r="Q13" s="76">
        <f t="shared" ref="Q13:S13" si="28">E13/SUM($E13:$G13)</f>
        <v>1</v>
      </c>
      <c r="R13" s="76">
        <f t="shared" si="28"/>
        <v>0</v>
      </c>
      <c r="S13" s="76">
        <f t="shared" si="28"/>
        <v>0</v>
      </c>
      <c r="T13" s="76">
        <f t="shared" ref="T13:V13" si="29">H13/SUM($H13:$J13)</f>
        <v>7.1428571428571425E-2</v>
      </c>
      <c r="U13" s="76">
        <f t="shared" si="29"/>
        <v>0.9285714285714286</v>
      </c>
      <c r="V13" s="76">
        <f t="shared" si="29"/>
        <v>0</v>
      </c>
      <c r="W13" s="76">
        <f t="shared" ref="W13:Y13" si="30">K13/SUM($K13:$M13)</f>
        <v>0.90909090909090906</v>
      </c>
      <c r="X13" s="76">
        <f t="shared" si="30"/>
        <v>9.0909090909090912E-2</v>
      </c>
      <c r="Y13" s="76">
        <f t="shared" si="30"/>
        <v>0</v>
      </c>
    </row>
    <row r="14" spans="1:25" ht="15.75" customHeight="1" x14ac:dyDescent="0.25">
      <c r="A14" s="352"/>
      <c r="B14" s="353" t="s">
        <v>91</v>
      </c>
      <c r="C14" s="347" t="s">
        <v>15</v>
      </c>
      <c r="D14" s="347" t="s">
        <v>45</v>
      </c>
      <c r="E14" s="356"/>
      <c r="F14" s="379">
        <v>1</v>
      </c>
      <c r="G14" s="379"/>
      <c r="H14" s="356">
        <v>20</v>
      </c>
      <c r="I14" s="379">
        <v>2</v>
      </c>
      <c r="J14" s="379"/>
      <c r="K14" s="356">
        <v>9</v>
      </c>
      <c r="L14" s="379"/>
      <c r="M14" s="390"/>
      <c r="N14" s="75"/>
      <c r="O14" s="296"/>
      <c r="P14" s="24" t="str">
        <f t="shared" si="0"/>
        <v>2 Primaria</v>
      </c>
      <c r="Q14" s="76">
        <f t="shared" ref="Q14:S14" si="31">E14/SUM($E14:$G14)</f>
        <v>0</v>
      </c>
      <c r="R14" s="76">
        <f t="shared" si="31"/>
        <v>1</v>
      </c>
      <c r="S14" s="76">
        <f t="shared" si="31"/>
        <v>0</v>
      </c>
      <c r="T14" s="76">
        <f t="shared" ref="T14:V14" si="32">H14/SUM($H14:$J14)</f>
        <v>0.90909090909090906</v>
      </c>
      <c r="U14" s="76">
        <f t="shared" si="32"/>
        <v>9.0909090909090912E-2</v>
      </c>
      <c r="V14" s="76">
        <f t="shared" si="32"/>
        <v>0</v>
      </c>
      <c r="W14" s="76">
        <f t="shared" ref="W14:Y14" si="33">K14/SUM($K14:$M14)</f>
        <v>1</v>
      </c>
      <c r="X14" s="76">
        <f t="shared" si="33"/>
        <v>0</v>
      </c>
      <c r="Y14" s="76">
        <f t="shared" si="33"/>
        <v>0</v>
      </c>
    </row>
    <row r="15" spans="1:25" ht="15.75" customHeight="1" x14ac:dyDescent="0.25">
      <c r="A15" s="352"/>
      <c r="B15" s="352"/>
      <c r="C15" s="352"/>
      <c r="D15" s="372" t="s">
        <v>16</v>
      </c>
      <c r="E15" s="360"/>
      <c r="F15" s="381"/>
      <c r="G15" s="381">
        <v>1</v>
      </c>
      <c r="H15" s="360">
        <v>12</v>
      </c>
      <c r="I15" s="381">
        <v>1</v>
      </c>
      <c r="J15" s="381"/>
      <c r="K15" s="360">
        <v>5</v>
      </c>
      <c r="L15" s="381">
        <v>2</v>
      </c>
      <c r="M15" s="391"/>
      <c r="N15" s="75"/>
      <c r="O15" s="296"/>
      <c r="P15" s="24" t="str">
        <f t="shared" si="0"/>
        <v>4 Primaria</v>
      </c>
      <c r="Q15" s="76">
        <f t="shared" ref="Q15:S15" si="34">E15/SUM($E15:$G15)</f>
        <v>0</v>
      </c>
      <c r="R15" s="76">
        <f t="shared" si="34"/>
        <v>0</v>
      </c>
      <c r="S15" s="76">
        <f t="shared" si="34"/>
        <v>1</v>
      </c>
      <c r="T15" s="76">
        <f t="shared" ref="T15:V15" si="35">H15/SUM($H15:$J15)</f>
        <v>0.92307692307692313</v>
      </c>
      <c r="U15" s="76">
        <f t="shared" si="35"/>
        <v>7.6923076923076927E-2</v>
      </c>
      <c r="V15" s="76">
        <f t="shared" si="35"/>
        <v>0</v>
      </c>
      <c r="W15" s="76">
        <f t="shared" ref="W15:Y15" si="36">K15/SUM($K15:$M15)</f>
        <v>0.7142857142857143</v>
      </c>
      <c r="X15" s="76">
        <f t="shared" si="36"/>
        <v>0.2857142857142857</v>
      </c>
      <c r="Y15" s="76">
        <f t="shared" si="36"/>
        <v>0</v>
      </c>
    </row>
    <row r="16" spans="1:25" ht="15.75" customHeight="1" x14ac:dyDescent="0.25">
      <c r="A16" s="352"/>
      <c r="B16" s="352"/>
      <c r="C16" s="352"/>
      <c r="D16" s="372" t="s">
        <v>37</v>
      </c>
      <c r="E16" s="360">
        <v>9</v>
      </c>
      <c r="F16" s="381"/>
      <c r="G16" s="381"/>
      <c r="H16" s="360">
        <v>17</v>
      </c>
      <c r="I16" s="381">
        <v>1</v>
      </c>
      <c r="J16" s="381"/>
      <c r="K16" s="360"/>
      <c r="L16" s="381">
        <v>8</v>
      </c>
      <c r="M16" s="391">
        <v>1</v>
      </c>
      <c r="N16" s="75"/>
      <c r="O16" s="296"/>
      <c r="P16" s="24" t="str">
        <f t="shared" si="0"/>
        <v>6 Primaria</v>
      </c>
      <c r="Q16" s="76">
        <f t="shared" ref="Q16:S16" si="37">E16/SUM($E16:$G16)</f>
        <v>1</v>
      </c>
      <c r="R16" s="76">
        <f t="shared" si="37"/>
        <v>0</v>
      </c>
      <c r="S16" s="76">
        <f t="shared" si="37"/>
        <v>0</v>
      </c>
      <c r="T16" s="76">
        <f t="shared" ref="T16:V16" si="38">H16/SUM($H16:$J16)</f>
        <v>0.94444444444444442</v>
      </c>
      <c r="U16" s="76">
        <f t="shared" si="38"/>
        <v>5.5555555555555552E-2</v>
      </c>
      <c r="V16" s="76">
        <f t="shared" si="38"/>
        <v>0</v>
      </c>
      <c r="W16" s="76">
        <f t="shared" ref="W16:Y16" si="39">K16/SUM($K16:$M16)</f>
        <v>0</v>
      </c>
      <c r="X16" s="76">
        <f t="shared" si="39"/>
        <v>0.88888888888888884</v>
      </c>
      <c r="Y16" s="76">
        <f t="shared" si="39"/>
        <v>0.1111111111111111</v>
      </c>
    </row>
    <row r="17" spans="1:25" ht="15.75" customHeight="1" x14ac:dyDescent="0.25">
      <c r="A17" s="352"/>
      <c r="B17" s="352"/>
      <c r="C17" s="347" t="s">
        <v>41</v>
      </c>
      <c r="D17" s="347" t="s">
        <v>42</v>
      </c>
      <c r="E17" s="356">
        <v>13</v>
      </c>
      <c r="F17" s="379"/>
      <c r="G17" s="379">
        <v>1</v>
      </c>
      <c r="H17" s="356">
        <v>10</v>
      </c>
      <c r="I17" s="379">
        <v>4</v>
      </c>
      <c r="J17" s="379"/>
      <c r="K17" s="356">
        <v>4</v>
      </c>
      <c r="L17" s="379">
        <v>8</v>
      </c>
      <c r="M17" s="390"/>
      <c r="N17" s="75"/>
      <c r="O17" s="80">
        <f t="shared" ref="O17:O18" si="40">B17</f>
        <v>0</v>
      </c>
      <c r="P17" s="24" t="str">
        <f t="shared" si="0"/>
        <v>2 Secundaria</v>
      </c>
      <c r="Q17" s="76">
        <f t="shared" ref="Q17:S17" si="41">E17/SUM($E17:$G17)</f>
        <v>0.9285714285714286</v>
      </c>
      <c r="R17" s="76">
        <f t="shared" si="41"/>
        <v>0</v>
      </c>
      <c r="S17" s="76">
        <f t="shared" si="41"/>
        <v>7.1428571428571425E-2</v>
      </c>
      <c r="T17" s="76">
        <f t="shared" ref="T17:V17" si="42">H17/SUM($H17:$J17)</f>
        <v>0.7142857142857143</v>
      </c>
      <c r="U17" s="76">
        <f t="shared" si="42"/>
        <v>0.2857142857142857</v>
      </c>
      <c r="V17" s="76">
        <f t="shared" si="42"/>
        <v>0</v>
      </c>
      <c r="W17" s="76">
        <f t="shared" ref="W17:Y17" si="43">K17/SUM($K17:$M17)</f>
        <v>0.33333333333333331</v>
      </c>
      <c r="X17" s="76">
        <f t="shared" si="43"/>
        <v>0.66666666666666663</v>
      </c>
      <c r="Y17" s="76">
        <f t="shared" si="43"/>
        <v>0</v>
      </c>
    </row>
    <row r="18" spans="1:25" ht="15.75" customHeight="1" x14ac:dyDescent="0.25">
      <c r="A18" s="352"/>
      <c r="B18" s="352"/>
      <c r="C18" s="352"/>
      <c r="D18" s="372" t="s">
        <v>43</v>
      </c>
      <c r="E18" s="360">
        <v>10</v>
      </c>
      <c r="F18" s="381">
        <v>2</v>
      </c>
      <c r="G18" s="381">
        <v>4</v>
      </c>
      <c r="H18" s="360">
        <v>15</v>
      </c>
      <c r="I18" s="381"/>
      <c r="J18" s="381"/>
      <c r="K18" s="360">
        <v>2</v>
      </c>
      <c r="L18" s="381">
        <v>9</v>
      </c>
      <c r="M18" s="391"/>
      <c r="N18" s="75"/>
      <c r="O18" s="302">
        <f t="shared" si="40"/>
        <v>0</v>
      </c>
      <c r="P18" s="24" t="str">
        <f t="shared" si="0"/>
        <v>4 Secundaria</v>
      </c>
      <c r="Q18" s="76">
        <f t="shared" ref="Q18:S18" si="44">E18/SUM($E18:$G18)</f>
        <v>0.625</v>
      </c>
      <c r="R18" s="76">
        <f t="shared" si="44"/>
        <v>0.125</v>
      </c>
      <c r="S18" s="76">
        <f t="shared" si="44"/>
        <v>0.25</v>
      </c>
      <c r="T18" s="76">
        <f t="shared" ref="T18:V18" si="45">H18/SUM($H18:$J18)</f>
        <v>1</v>
      </c>
      <c r="U18" s="76">
        <f t="shared" si="45"/>
        <v>0</v>
      </c>
      <c r="V18" s="76">
        <f t="shared" si="45"/>
        <v>0</v>
      </c>
      <c r="W18" s="76">
        <f t="shared" ref="W18:Y18" si="46">K18/SUM($K18:$M18)</f>
        <v>0.18181818181818182</v>
      </c>
      <c r="X18" s="76">
        <f t="shared" si="46"/>
        <v>0.81818181818181823</v>
      </c>
      <c r="Y18" s="76">
        <f t="shared" si="46"/>
        <v>0</v>
      </c>
    </row>
    <row r="19" spans="1:25" ht="15.75" customHeight="1" x14ac:dyDescent="0.25">
      <c r="A19" s="352"/>
      <c r="B19" s="353" t="s">
        <v>94</v>
      </c>
      <c r="C19" s="347" t="s">
        <v>15</v>
      </c>
      <c r="D19" s="347" t="s">
        <v>16</v>
      </c>
      <c r="E19" s="356">
        <v>3</v>
      </c>
      <c r="F19" s="379"/>
      <c r="G19" s="379"/>
      <c r="H19" s="356">
        <v>4</v>
      </c>
      <c r="I19" s="379">
        <v>2</v>
      </c>
      <c r="J19" s="379">
        <v>1</v>
      </c>
      <c r="K19" s="356">
        <v>2</v>
      </c>
      <c r="L19" s="379"/>
      <c r="M19" s="390"/>
      <c r="N19" s="75"/>
      <c r="O19" s="296"/>
      <c r="P19" s="24" t="str">
        <f t="shared" si="0"/>
        <v>4 Primaria</v>
      </c>
      <c r="Q19" s="76">
        <f t="shared" ref="Q19:S19" si="47">E19/SUM($E19:$G19)</f>
        <v>1</v>
      </c>
      <c r="R19" s="76">
        <f t="shared" si="47"/>
        <v>0</v>
      </c>
      <c r="S19" s="76">
        <f t="shared" si="47"/>
        <v>0</v>
      </c>
      <c r="T19" s="76">
        <f t="shared" ref="T19:V19" si="48">H19/SUM($H19:$J19)</f>
        <v>0.5714285714285714</v>
      </c>
      <c r="U19" s="76">
        <f t="shared" si="48"/>
        <v>0.2857142857142857</v>
      </c>
      <c r="V19" s="76">
        <f t="shared" si="48"/>
        <v>0.14285714285714285</v>
      </c>
      <c r="W19" s="76">
        <f t="shared" ref="W19:Y19" si="49">K19/SUM($K19:$M19)</f>
        <v>1</v>
      </c>
      <c r="X19" s="76">
        <f t="shared" si="49"/>
        <v>0</v>
      </c>
      <c r="Y19" s="76">
        <f t="shared" si="49"/>
        <v>0</v>
      </c>
    </row>
    <row r="20" spans="1:25" ht="15.75" customHeight="1" x14ac:dyDescent="0.25">
      <c r="A20" s="352"/>
      <c r="B20" s="353" t="s">
        <v>65</v>
      </c>
      <c r="C20" s="347" t="s">
        <v>41</v>
      </c>
      <c r="D20" s="347" t="s">
        <v>42</v>
      </c>
      <c r="E20" s="356">
        <v>15</v>
      </c>
      <c r="F20" s="379"/>
      <c r="G20" s="379"/>
      <c r="H20" s="356">
        <v>33</v>
      </c>
      <c r="I20" s="379">
        <v>5</v>
      </c>
      <c r="J20" s="379">
        <v>2</v>
      </c>
      <c r="K20" s="356">
        <v>22</v>
      </c>
      <c r="L20" s="379">
        <v>4</v>
      </c>
      <c r="M20" s="390"/>
      <c r="N20" s="75"/>
      <c r="O20" s="79" t="str">
        <f t="shared" ref="O20:O21" si="50">B20</f>
        <v>EL MILAGRO</v>
      </c>
      <c r="P20" s="24" t="str">
        <f t="shared" si="0"/>
        <v>2 Secundaria</v>
      </c>
      <c r="Q20" s="76">
        <f t="shared" ref="Q20:S20" si="51">E20/SUM($E20:$G20)</f>
        <v>1</v>
      </c>
      <c r="R20" s="76">
        <f t="shared" si="51"/>
        <v>0</v>
      </c>
      <c r="S20" s="76">
        <f t="shared" si="51"/>
        <v>0</v>
      </c>
      <c r="T20" s="76">
        <f t="shared" ref="T20:V20" si="52">H20/SUM($H20:$J20)</f>
        <v>0.82499999999999996</v>
      </c>
      <c r="U20" s="76">
        <f t="shared" si="52"/>
        <v>0.125</v>
      </c>
      <c r="V20" s="76">
        <f t="shared" si="52"/>
        <v>0.05</v>
      </c>
      <c r="W20" s="76">
        <f t="shared" ref="W20:Y20" si="53">K20/SUM($K20:$M20)</f>
        <v>0.84615384615384615</v>
      </c>
      <c r="X20" s="76">
        <f t="shared" si="53"/>
        <v>0.15384615384615385</v>
      </c>
      <c r="Y20" s="76">
        <f t="shared" si="53"/>
        <v>0</v>
      </c>
    </row>
    <row r="21" spans="1:25" ht="15.75" customHeight="1" x14ac:dyDescent="0.25">
      <c r="A21" s="352"/>
      <c r="B21" s="352"/>
      <c r="C21" s="352"/>
      <c r="D21" s="372" t="s">
        <v>43</v>
      </c>
      <c r="E21" s="360">
        <v>23</v>
      </c>
      <c r="F21" s="381">
        <v>1</v>
      </c>
      <c r="G21" s="381"/>
      <c r="H21" s="360">
        <v>13</v>
      </c>
      <c r="I21" s="381">
        <v>8</v>
      </c>
      <c r="J21" s="381">
        <v>2</v>
      </c>
      <c r="K21" s="360">
        <v>23</v>
      </c>
      <c r="L21" s="381">
        <v>1</v>
      </c>
      <c r="M21" s="391"/>
      <c r="N21" s="75"/>
      <c r="O21" s="302">
        <f t="shared" si="50"/>
        <v>0</v>
      </c>
      <c r="P21" s="24" t="str">
        <f t="shared" si="0"/>
        <v>4 Secundaria</v>
      </c>
      <c r="Q21" s="76">
        <f t="shared" ref="Q21:S21" si="54">E21/SUM($E21:$G21)</f>
        <v>0.95833333333333337</v>
      </c>
      <c r="R21" s="76">
        <f t="shared" si="54"/>
        <v>4.1666666666666664E-2</v>
      </c>
      <c r="S21" s="76">
        <f t="shared" si="54"/>
        <v>0</v>
      </c>
      <c r="T21" s="76">
        <f t="shared" ref="T21:V21" si="55">H21/SUM($H21:$J21)</f>
        <v>0.56521739130434778</v>
      </c>
      <c r="U21" s="76">
        <f t="shared" si="55"/>
        <v>0.34782608695652173</v>
      </c>
      <c r="V21" s="76">
        <f t="shared" si="55"/>
        <v>8.6956521739130432E-2</v>
      </c>
      <c r="W21" s="76">
        <f t="shared" ref="W21:Y21" si="56">K21/SUM($K21:$M21)</f>
        <v>0.95833333333333337</v>
      </c>
      <c r="X21" s="76">
        <f t="shared" si="56"/>
        <v>4.1666666666666664E-2</v>
      </c>
      <c r="Y21" s="76">
        <f t="shared" si="56"/>
        <v>0</v>
      </c>
    </row>
    <row r="22" spans="1:25" ht="15.75" customHeight="1" x14ac:dyDescent="0.25">
      <c r="A22" s="347" t="s">
        <v>277</v>
      </c>
      <c r="B22" s="350"/>
      <c r="C22" s="350"/>
      <c r="D22" s="350"/>
      <c r="E22" s="356">
        <v>154</v>
      </c>
      <c r="F22" s="379">
        <v>5</v>
      </c>
      <c r="G22" s="379">
        <v>6</v>
      </c>
      <c r="H22" s="356">
        <v>171</v>
      </c>
      <c r="I22" s="379">
        <v>77</v>
      </c>
      <c r="J22" s="379">
        <v>5</v>
      </c>
      <c r="K22" s="356">
        <v>151</v>
      </c>
      <c r="L22" s="379">
        <v>35</v>
      </c>
      <c r="M22" s="390">
        <v>1</v>
      </c>
      <c r="N22" s="75"/>
      <c r="O22" s="296"/>
      <c r="P22" s="24">
        <f t="shared" si="0"/>
        <v>0</v>
      </c>
      <c r="Q22" s="76">
        <f t="shared" ref="Q22:S22" si="57">E22/SUM($E22:$G22)</f>
        <v>0.93333333333333335</v>
      </c>
      <c r="R22" s="76">
        <f t="shared" si="57"/>
        <v>3.0303030303030304E-2</v>
      </c>
      <c r="S22" s="76">
        <f t="shared" si="57"/>
        <v>3.6363636363636362E-2</v>
      </c>
      <c r="T22" s="76">
        <f t="shared" ref="T22:V22" si="58">H22/SUM($H22:$J22)</f>
        <v>0.67588932806324109</v>
      </c>
      <c r="U22" s="76">
        <f t="shared" si="58"/>
        <v>0.30434782608695654</v>
      </c>
      <c r="V22" s="76">
        <f t="shared" si="58"/>
        <v>1.9762845849802372E-2</v>
      </c>
      <c r="W22" s="76">
        <f t="shared" ref="W22:Y22" si="59">K22/SUM($K22:$M22)</f>
        <v>0.80748663101604279</v>
      </c>
      <c r="X22" s="76">
        <f t="shared" si="59"/>
        <v>0.18716577540106952</v>
      </c>
      <c r="Y22" s="76">
        <f t="shared" si="59"/>
        <v>5.3475935828877002E-3</v>
      </c>
    </row>
    <row r="23" spans="1:25" ht="15.75" customHeight="1" x14ac:dyDescent="0.25">
      <c r="A23" s="347" t="s">
        <v>83</v>
      </c>
      <c r="B23" s="353" t="s">
        <v>168</v>
      </c>
      <c r="C23" s="347" t="s">
        <v>15</v>
      </c>
      <c r="D23" s="347" t="s">
        <v>45</v>
      </c>
      <c r="E23" s="356">
        <v>1</v>
      </c>
      <c r="F23" s="379"/>
      <c r="G23" s="379"/>
      <c r="H23" s="356">
        <v>1</v>
      </c>
      <c r="I23" s="379">
        <v>2</v>
      </c>
      <c r="J23" s="379"/>
      <c r="K23" s="356">
        <v>1</v>
      </c>
      <c r="L23" s="379"/>
      <c r="M23" s="390"/>
      <c r="N23" s="75"/>
      <c r="O23" s="296"/>
      <c r="P23" s="24" t="str">
        <f t="shared" si="0"/>
        <v>2 Primaria</v>
      </c>
      <c r="Q23" s="76">
        <f t="shared" ref="Q23:S23" si="60">E23/SUM($E23:$G23)</f>
        <v>1</v>
      </c>
      <c r="R23" s="76">
        <f t="shared" si="60"/>
        <v>0</v>
      </c>
      <c r="S23" s="76">
        <f t="shared" si="60"/>
        <v>0</v>
      </c>
      <c r="T23" s="76">
        <f t="shared" ref="T23:V23" si="61">H23/SUM($H23:$J23)</f>
        <v>0.33333333333333331</v>
      </c>
      <c r="U23" s="76">
        <f t="shared" si="61"/>
        <v>0.66666666666666663</v>
      </c>
      <c r="V23" s="76">
        <f t="shared" si="61"/>
        <v>0</v>
      </c>
      <c r="W23" s="76">
        <f t="shared" ref="W23:Y23" si="62">K23/SUM($K23:$M23)</f>
        <v>1</v>
      </c>
      <c r="X23" s="76">
        <f t="shared" si="62"/>
        <v>0</v>
      </c>
      <c r="Y23" s="76">
        <f t="shared" si="62"/>
        <v>0</v>
      </c>
    </row>
    <row r="24" spans="1:25" ht="12.5" x14ac:dyDescent="0.25">
      <c r="A24" s="352"/>
      <c r="B24" s="352"/>
      <c r="C24" s="352"/>
      <c r="D24" s="372" t="s">
        <v>16</v>
      </c>
      <c r="E24" s="360">
        <v>1</v>
      </c>
      <c r="F24" s="381"/>
      <c r="G24" s="381"/>
      <c r="H24" s="360">
        <v>2</v>
      </c>
      <c r="I24" s="381"/>
      <c r="J24" s="381"/>
      <c r="K24" s="360">
        <v>4</v>
      </c>
      <c r="L24" s="381"/>
      <c r="M24" s="391"/>
      <c r="N24" s="75"/>
      <c r="O24" s="79">
        <f t="shared" ref="O24:O25" si="63">B24</f>
        <v>0</v>
      </c>
      <c r="P24" s="24" t="str">
        <f t="shared" si="0"/>
        <v>4 Primaria</v>
      </c>
      <c r="Q24" s="76">
        <f t="shared" ref="Q24:S24" si="64">E24/SUM($E24:$G24)</f>
        <v>1</v>
      </c>
      <c r="R24" s="76">
        <f t="shared" si="64"/>
        <v>0</v>
      </c>
      <c r="S24" s="76">
        <f t="shared" si="64"/>
        <v>0</v>
      </c>
      <c r="T24" s="76">
        <f t="shared" ref="T24:V24" si="65">H24/SUM($H24:$J24)</f>
        <v>1</v>
      </c>
      <c r="U24" s="76">
        <f t="shared" si="65"/>
        <v>0</v>
      </c>
      <c r="V24" s="76">
        <f t="shared" si="65"/>
        <v>0</v>
      </c>
      <c r="W24" s="76">
        <f t="shared" ref="W24:Y24" si="66">K24/SUM($K24:$M24)</f>
        <v>1</v>
      </c>
      <c r="X24" s="76">
        <f t="shared" si="66"/>
        <v>0</v>
      </c>
      <c r="Y24" s="76">
        <f t="shared" si="66"/>
        <v>0</v>
      </c>
    </row>
    <row r="25" spans="1:25" ht="12.5" x14ac:dyDescent="0.25">
      <c r="A25" s="352"/>
      <c r="B25" s="352"/>
      <c r="C25" s="352"/>
      <c r="D25" s="372" t="s">
        <v>37</v>
      </c>
      <c r="E25" s="360">
        <v>1</v>
      </c>
      <c r="F25" s="381">
        <v>3</v>
      </c>
      <c r="G25" s="381"/>
      <c r="H25" s="360">
        <v>4</v>
      </c>
      <c r="I25" s="381"/>
      <c r="J25" s="381"/>
      <c r="K25" s="360">
        <v>2</v>
      </c>
      <c r="L25" s="381"/>
      <c r="M25" s="391"/>
      <c r="N25" s="75"/>
      <c r="O25" s="302">
        <f t="shared" si="63"/>
        <v>0</v>
      </c>
      <c r="P25" s="24" t="str">
        <f t="shared" si="0"/>
        <v>6 Primaria</v>
      </c>
      <c r="Q25" s="76">
        <f t="shared" ref="Q25:S25" si="67">E25/SUM($E25:$G25)</f>
        <v>0.25</v>
      </c>
      <c r="R25" s="76">
        <f t="shared" si="67"/>
        <v>0.75</v>
      </c>
      <c r="S25" s="76">
        <f t="shared" si="67"/>
        <v>0</v>
      </c>
      <c r="T25" s="76">
        <f t="shared" ref="T25:V25" si="68">H25/SUM($H25:$J25)</f>
        <v>1</v>
      </c>
      <c r="U25" s="76">
        <f t="shared" si="68"/>
        <v>0</v>
      </c>
      <c r="V25" s="76">
        <f t="shared" si="68"/>
        <v>0</v>
      </c>
      <c r="W25" s="76">
        <f t="shared" ref="W25:Y25" si="69">K25/SUM($K25:$M25)</f>
        <v>1</v>
      </c>
      <c r="X25" s="76">
        <f t="shared" si="69"/>
        <v>0</v>
      </c>
      <c r="Y25" s="76">
        <f t="shared" si="69"/>
        <v>0</v>
      </c>
    </row>
    <row r="26" spans="1:25" ht="12.5" x14ac:dyDescent="0.25">
      <c r="A26" s="347" t="s">
        <v>280</v>
      </c>
      <c r="B26" s="350"/>
      <c r="C26" s="350"/>
      <c r="D26" s="350"/>
      <c r="E26" s="356">
        <v>3</v>
      </c>
      <c r="F26" s="379">
        <v>3</v>
      </c>
      <c r="G26" s="379"/>
      <c r="H26" s="356">
        <v>7</v>
      </c>
      <c r="I26" s="379">
        <v>2</v>
      </c>
      <c r="J26" s="379"/>
      <c r="K26" s="356">
        <v>7</v>
      </c>
      <c r="L26" s="379"/>
      <c r="M26" s="390"/>
      <c r="N26" s="75"/>
      <c r="O26" s="296"/>
      <c r="P26" s="24">
        <f t="shared" si="0"/>
        <v>0</v>
      </c>
      <c r="Q26" s="76">
        <f t="shared" ref="Q26:S26" si="70">E26/SUM($E26:$G26)</f>
        <v>0.5</v>
      </c>
      <c r="R26" s="76">
        <f t="shared" si="70"/>
        <v>0.5</v>
      </c>
      <c r="S26" s="76">
        <f t="shared" si="70"/>
        <v>0</v>
      </c>
      <c r="T26" s="76">
        <f t="shared" ref="T26:V26" si="71">H26/SUM($H26:$J26)</f>
        <v>0.77777777777777779</v>
      </c>
      <c r="U26" s="76">
        <f t="shared" si="71"/>
        <v>0.22222222222222221</v>
      </c>
      <c r="V26" s="76">
        <f t="shared" si="71"/>
        <v>0</v>
      </c>
      <c r="W26" s="76">
        <f t="shared" ref="W26:Y26" si="72">K26/SUM($K26:$M26)</f>
        <v>1</v>
      </c>
      <c r="X26" s="76">
        <f t="shared" si="72"/>
        <v>0</v>
      </c>
      <c r="Y26" s="76">
        <f t="shared" si="72"/>
        <v>0</v>
      </c>
    </row>
    <row r="27" spans="1:25" ht="12.5" x14ac:dyDescent="0.25">
      <c r="A27" s="347" t="s">
        <v>44</v>
      </c>
      <c r="B27" s="353" t="s">
        <v>150</v>
      </c>
      <c r="C27" s="347" t="s">
        <v>15</v>
      </c>
      <c r="D27" s="347" t="s">
        <v>45</v>
      </c>
      <c r="E27" s="356"/>
      <c r="F27" s="379">
        <v>3</v>
      </c>
      <c r="G27" s="379">
        <v>1</v>
      </c>
      <c r="H27" s="356">
        <v>5</v>
      </c>
      <c r="I27" s="379">
        <v>10</v>
      </c>
      <c r="J27" s="379"/>
      <c r="K27" s="356">
        <v>3</v>
      </c>
      <c r="L27" s="379"/>
      <c r="M27" s="390"/>
      <c r="N27" s="75"/>
      <c r="O27" s="79" t="str">
        <f t="shared" ref="O27:O56" si="73">B27</f>
        <v>64028</v>
      </c>
      <c r="P27" s="24" t="str">
        <f t="shared" si="0"/>
        <v>2 Primaria</v>
      </c>
      <c r="Q27" s="76">
        <f t="shared" ref="Q27:S27" si="74">E27/SUM($E27:$G27)</f>
        <v>0</v>
      </c>
      <c r="R27" s="76">
        <f t="shared" si="74"/>
        <v>0.75</v>
      </c>
      <c r="S27" s="76">
        <f t="shared" si="74"/>
        <v>0.25</v>
      </c>
      <c r="T27" s="76">
        <f t="shared" ref="T27:V27" si="75">H27/SUM($H27:$J27)</f>
        <v>0.33333333333333331</v>
      </c>
      <c r="U27" s="76">
        <f t="shared" si="75"/>
        <v>0.66666666666666663</v>
      </c>
      <c r="V27" s="76">
        <f t="shared" si="75"/>
        <v>0</v>
      </c>
      <c r="W27" s="76">
        <f t="shared" ref="W27:Y27" si="76">K27/SUM($K27:$M27)</f>
        <v>1</v>
      </c>
      <c r="X27" s="76">
        <f t="shared" si="76"/>
        <v>0</v>
      </c>
      <c r="Y27" s="76">
        <f t="shared" si="76"/>
        <v>0</v>
      </c>
    </row>
    <row r="28" spans="1:25" ht="12.5" x14ac:dyDescent="0.25">
      <c r="A28" s="352"/>
      <c r="B28" s="352"/>
      <c r="C28" s="352"/>
      <c r="D28" s="372" t="s">
        <v>16</v>
      </c>
      <c r="E28" s="360"/>
      <c r="F28" s="381">
        <v>6</v>
      </c>
      <c r="G28" s="381">
        <v>6</v>
      </c>
      <c r="H28" s="360">
        <v>3</v>
      </c>
      <c r="I28" s="381">
        <v>1</v>
      </c>
      <c r="J28" s="381">
        <v>1</v>
      </c>
      <c r="K28" s="360">
        <v>2</v>
      </c>
      <c r="L28" s="381">
        <v>2</v>
      </c>
      <c r="M28" s="391"/>
      <c r="N28" s="75"/>
      <c r="O28" s="79">
        <f t="shared" si="73"/>
        <v>0</v>
      </c>
      <c r="P28" s="24" t="str">
        <f t="shared" si="0"/>
        <v>4 Primaria</v>
      </c>
      <c r="Q28" s="76">
        <f t="shared" ref="Q28:S28" si="77">E28/SUM($E28:$G28)</f>
        <v>0</v>
      </c>
      <c r="R28" s="76">
        <f t="shared" si="77"/>
        <v>0.5</v>
      </c>
      <c r="S28" s="76">
        <f t="shared" si="77"/>
        <v>0.5</v>
      </c>
      <c r="T28" s="76">
        <f t="shared" ref="T28:V28" si="78">H28/SUM($H28:$J28)</f>
        <v>0.6</v>
      </c>
      <c r="U28" s="76">
        <f t="shared" si="78"/>
        <v>0.2</v>
      </c>
      <c r="V28" s="76">
        <f t="shared" si="78"/>
        <v>0.2</v>
      </c>
      <c r="W28" s="76">
        <f t="shared" ref="W28:Y28" si="79">K28/SUM($K28:$M28)</f>
        <v>0.5</v>
      </c>
      <c r="X28" s="76">
        <f t="shared" si="79"/>
        <v>0.5</v>
      </c>
      <c r="Y28" s="76">
        <f t="shared" si="79"/>
        <v>0</v>
      </c>
    </row>
    <row r="29" spans="1:25" ht="12.5" x14ac:dyDescent="0.25">
      <c r="A29" s="374" t="s">
        <v>281</v>
      </c>
      <c r="B29" s="389"/>
      <c r="C29" s="389"/>
      <c r="D29" s="389"/>
      <c r="E29" s="364"/>
      <c r="F29" s="383">
        <v>9</v>
      </c>
      <c r="G29" s="383">
        <v>7</v>
      </c>
      <c r="H29" s="364">
        <v>8</v>
      </c>
      <c r="I29" s="383">
        <v>11</v>
      </c>
      <c r="J29" s="383">
        <v>1</v>
      </c>
      <c r="K29" s="364">
        <v>5</v>
      </c>
      <c r="L29" s="383">
        <v>2</v>
      </c>
      <c r="M29" s="392"/>
      <c r="N29" s="75"/>
      <c r="O29" s="79">
        <f t="shared" si="73"/>
        <v>0</v>
      </c>
      <c r="P29" s="24">
        <f t="shared" si="0"/>
        <v>0</v>
      </c>
      <c r="Q29" s="76">
        <f t="shared" ref="Q29:S29" si="80">E29/SUM($E29:$G29)</f>
        <v>0</v>
      </c>
      <c r="R29" s="76">
        <f t="shared" si="80"/>
        <v>0.5625</v>
      </c>
      <c r="S29" s="76">
        <f t="shared" si="80"/>
        <v>0.4375</v>
      </c>
      <c r="T29" s="76">
        <f t="shared" ref="T29:V29" si="81">H29/SUM($H29:$J29)</f>
        <v>0.4</v>
      </c>
      <c r="U29" s="76">
        <f t="shared" si="81"/>
        <v>0.55000000000000004</v>
      </c>
      <c r="V29" s="76">
        <f t="shared" si="81"/>
        <v>0.05</v>
      </c>
      <c r="W29" s="76">
        <f t="shared" ref="W29:Y29" si="82">K29/SUM($K29:$M29)</f>
        <v>0.7142857142857143</v>
      </c>
      <c r="X29" s="76">
        <f t="shared" si="82"/>
        <v>0.2857142857142857</v>
      </c>
      <c r="Y29" s="76">
        <f t="shared" si="82"/>
        <v>0</v>
      </c>
    </row>
    <row r="30" spans="1:25" ht="12.5" x14ac:dyDescent="0.25">
      <c r="A30" s="14"/>
      <c r="C30" s="68"/>
      <c r="D30" s="68"/>
      <c r="E30" s="68"/>
      <c r="F30" s="68"/>
      <c r="G30" s="68"/>
      <c r="H30" s="68"/>
      <c r="I30" s="68"/>
      <c r="J30" s="68"/>
      <c r="K30" s="68"/>
      <c r="L30" s="68"/>
      <c r="N30" s="75"/>
      <c r="O30" s="79">
        <f t="shared" si="73"/>
        <v>0</v>
      </c>
      <c r="P30" s="24">
        <f t="shared" si="0"/>
        <v>0</v>
      </c>
      <c r="Q30" s="76" t="e">
        <f t="shared" ref="Q30:S30" si="83">E30/SUM($E30:$G30)</f>
        <v>#DIV/0!</v>
      </c>
      <c r="R30" s="76" t="e">
        <f t="shared" si="83"/>
        <v>#DIV/0!</v>
      </c>
      <c r="S30" s="76" t="e">
        <f t="shared" si="83"/>
        <v>#DIV/0!</v>
      </c>
      <c r="T30" s="76" t="e">
        <f t="shared" ref="T30:V30" si="84">H30/SUM($H30:$J30)</f>
        <v>#DIV/0!</v>
      </c>
      <c r="U30" s="76" t="e">
        <f t="shared" si="84"/>
        <v>#DIV/0!</v>
      </c>
      <c r="V30" s="76" t="e">
        <f t="shared" si="84"/>
        <v>#DIV/0!</v>
      </c>
      <c r="W30" s="76" t="e">
        <f t="shared" ref="W30:Y30" si="85">K30/SUM($K30:$M30)</f>
        <v>#DIV/0!</v>
      </c>
      <c r="X30" s="76" t="e">
        <f t="shared" si="85"/>
        <v>#DIV/0!</v>
      </c>
      <c r="Y30" s="76" t="e">
        <f t="shared" si="85"/>
        <v>#DIV/0!</v>
      </c>
    </row>
    <row r="31" spans="1:25" ht="12.5" x14ac:dyDescent="0.25">
      <c r="A31" s="14"/>
      <c r="C31" s="68"/>
      <c r="D31" s="68"/>
      <c r="E31" s="68"/>
      <c r="F31" s="68"/>
      <c r="G31" s="68"/>
      <c r="H31" s="68"/>
      <c r="I31" s="68"/>
      <c r="J31" s="68"/>
      <c r="K31" s="68"/>
      <c r="L31" s="68"/>
      <c r="N31" s="75"/>
      <c r="O31" s="79">
        <f t="shared" si="73"/>
        <v>0</v>
      </c>
      <c r="P31" s="24">
        <f t="shared" si="0"/>
        <v>0</v>
      </c>
      <c r="Q31" s="76" t="e">
        <f t="shared" ref="Q31:S31" si="86">E31/SUM($E31:$G31)</f>
        <v>#DIV/0!</v>
      </c>
      <c r="R31" s="76" t="e">
        <f t="shared" si="86"/>
        <v>#DIV/0!</v>
      </c>
      <c r="S31" s="76" t="e">
        <f t="shared" si="86"/>
        <v>#DIV/0!</v>
      </c>
      <c r="T31" s="76" t="e">
        <f t="shared" ref="T31:V31" si="87">H31/SUM($H31:$J31)</f>
        <v>#DIV/0!</v>
      </c>
      <c r="U31" s="76" t="e">
        <f t="shared" si="87"/>
        <v>#DIV/0!</v>
      </c>
      <c r="V31" s="76" t="e">
        <f t="shared" si="87"/>
        <v>#DIV/0!</v>
      </c>
      <c r="W31" s="76" t="e">
        <f t="shared" ref="W31:Y31" si="88">K31/SUM($K31:$M31)</f>
        <v>#DIV/0!</v>
      </c>
      <c r="X31" s="76" t="e">
        <f t="shared" si="88"/>
        <v>#DIV/0!</v>
      </c>
      <c r="Y31" s="76" t="e">
        <f t="shared" si="88"/>
        <v>#DIV/0!</v>
      </c>
    </row>
    <row r="32" spans="1:25" ht="12.5" x14ac:dyDescent="0.25">
      <c r="A32" s="14"/>
      <c r="C32" s="68"/>
      <c r="D32" s="68"/>
      <c r="E32" s="68"/>
      <c r="F32" s="68"/>
      <c r="G32" s="68"/>
      <c r="H32" s="68"/>
      <c r="I32" s="68"/>
      <c r="J32" s="68"/>
      <c r="K32" s="68"/>
      <c r="L32" s="68"/>
      <c r="N32" s="75"/>
      <c r="O32" s="79">
        <f t="shared" si="73"/>
        <v>0</v>
      </c>
      <c r="P32" s="24">
        <f t="shared" si="0"/>
        <v>0</v>
      </c>
      <c r="Q32" s="76" t="e">
        <f t="shared" ref="Q32:S32" si="89">E32/SUM($E32:$G32)</f>
        <v>#DIV/0!</v>
      </c>
      <c r="R32" s="76" t="e">
        <f t="shared" si="89"/>
        <v>#DIV/0!</v>
      </c>
      <c r="S32" s="76" t="e">
        <f t="shared" si="89"/>
        <v>#DIV/0!</v>
      </c>
      <c r="T32" s="76" t="e">
        <f t="shared" ref="T32:V32" si="90">H32/SUM($H32:$J32)</f>
        <v>#DIV/0!</v>
      </c>
      <c r="U32" s="76" t="e">
        <f t="shared" si="90"/>
        <v>#DIV/0!</v>
      </c>
      <c r="V32" s="76" t="e">
        <f t="shared" si="90"/>
        <v>#DIV/0!</v>
      </c>
      <c r="W32" s="76" t="e">
        <f t="shared" ref="W32:Y32" si="91">K32/SUM($K32:$M32)</f>
        <v>#DIV/0!</v>
      </c>
      <c r="X32" s="76" t="e">
        <f t="shared" si="91"/>
        <v>#DIV/0!</v>
      </c>
      <c r="Y32" s="76" t="e">
        <f t="shared" si="91"/>
        <v>#DIV/0!</v>
      </c>
    </row>
    <row r="33" spans="1:25" ht="12.5" x14ac:dyDescent="0.25">
      <c r="A33" s="14"/>
      <c r="C33" s="68"/>
      <c r="D33" s="68"/>
      <c r="E33" s="68"/>
      <c r="F33" s="68"/>
      <c r="G33" s="68"/>
      <c r="H33" s="68"/>
      <c r="I33" s="68"/>
      <c r="J33" s="68"/>
      <c r="K33" s="68"/>
      <c r="L33" s="68"/>
      <c r="N33" s="75"/>
      <c r="O33" s="79">
        <f t="shared" si="73"/>
        <v>0</v>
      </c>
      <c r="P33" s="24">
        <f t="shared" si="0"/>
        <v>0</v>
      </c>
      <c r="Q33" s="76" t="e">
        <f t="shared" ref="Q33:S33" si="92">E33/SUM($E33:$G33)</f>
        <v>#DIV/0!</v>
      </c>
      <c r="R33" s="76" t="e">
        <f t="shared" si="92"/>
        <v>#DIV/0!</v>
      </c>
      <c r="S33" s="76" t="e">
        <f t="shared" si="92"/>
        <v>#DIV/0!</v>
      </c>
      <c r="T33" s="76" t="e">
        <f t="shared" ref="T33:V33" si="93">H33/SUM($H33:$J33)</f>
        <v>#DIV/0!</v>
      </c>
      <c r="U33" s="76" t="e">
        <f t="shared" si="93"/>
        <v>#DIV/0!</v>
      </c>
      <c r="V33" s="76" t="e">
        <f t="shared" si="93"/>
        <v>#DIV/0!</v>
      </c>
      <c r="W33" s="76" t="e">
        <f t="shared" ref="W33:Y33" si="94">K33/SUM($K33:$M33)</f>
        <v>#DIV/0!</v>
      </c>
      <c r="X33" s="76" t="e">
        <f t="shared" si="94"/>
        <v>#DIV/0!</v>
      </c>
      <c r="Y33" s="76" t="e">
        <f t="shared" si="94"/>
        <v>#DIV/0!</v>
      </c>
    </row>
    <row r="34" spans="1:25" ht="12.5" x14ac:dyDescent="0.25">
      <c r="A34" s="14"/>
      <c r="C34" s="68"/>
      <c r="D34" s="68"/>
      <c r="E34" s="68"/>
      <c r="F34" s="68"/>
      <c r="G34" s="68"/>
      <c r="H34" s="68"/>
      <c r="I34" s="68"/>
      <c r="J34" s="68"/>
      <c r="K34" s="68"/>
      <c r="L34" s="68"/>
      <c r="N34" s="75"/>
      <c r="O34" s="79">
        <f t="shared" si="73"/>
        <v>0</v>
      </c>
      <c r="P34" s="24">
        <f t="shared" si="0"/>
        <v>0</v>
      </c>
      <c r="Q34" s="76" t="e">
        <f t="shared" ref="Q34:S34" si="95">E34/SUM($E34:$G34)</f>
        <v>#DIV/0!</v>
      </c>
      <c r="R34" s="76" t="e">
        <f t="shared" si="95"/>
        <v>#DIV/0!</v>
      </c>
      <c r="S34" s="76" t="e">
        <f t="shared" si="95"/>
        <v>#DIV/0!</v>
      </c>
      <c r="T34" s="76" t="e">
        <f t="shared" ref="T34:V34" si="96">H34/SUM($H34:$J34)</f>
        <v>#DIV/0!</v>
      </c>
      <c r="U34" s="76" t="e">
        <f t="shared" si="96"/>
        <v>#DIV/0!</v>
      </c>
      <c r="V34" s="76" t="e">
        <f t="shared" si="96"/>
        <v>#DIV/0!</v>
      </c>
      <c r="W34" s="76" t="e">
        <f t="shared" ref="W34:Y34" si="97">K34/SUM($K34:$M34)</f>
        <v>#DIV/0!</v>
      </c>
      <c r="X34" s="76" t="e">
        <f t="shared" si="97"/>
        <v>#DIV/0!</v>
      </c>
      <c r="Y34" s="76" t="e">
        <f t="shared" si="97"/>
        <v>#DIV/0!</v>
      </c>
    </row>
    <row r="35" spans="1:25" ht="12.5" x14ac:dyDescent="0.25">
      <c r="A35" s="14"/>
      <c r="C35" s="68"/>
      <c r="D35" s="68"/>
      <c r="E35" s="68"/>
      <c r="F35" s="68"/>
      <c r="G35" s="68"/>
      <c r="H35" s="68"/>
      <c r="I35" s="68"/>
      <c r="J35" s="68"/>
      <c r="K35" s="68"/>
      <c r="L35" s="68"/>
      <c r="N35" s="75"/>
      <c r="O35" s="79">
        <f t="shared" si="73"/>
        <v>0</v>
      </c>
      <c r="P35" s="24">
        <f t="shared" si="0"/>
        <v>0</v>
      </c>
      <c r="Q35" s="76" t="e">
        <f t="shared" ref="Q35:S35" si="98">E35/SUM($E35:$G35)</f>
        <v>#DIV/0!</v>
      </c>
      <c r="R35" s="76" t="e">
        <f t="shared" si="98"/>
        <v>#DIV/0!</v>
      </c>
      <c r="S35" s="76" t="e">
        <f t="shared" si="98"/>
        <v>#DIV/0!</v>
      </c>
      <c r="T35" s="76" t="e">
        <f t="shared" ref="T35:V35" si="99">H35/SUM($H35:$J35)</f>
        <v>#DIV/0!</v>
      </c>
      <c r="U35" s="76" t="e">
        <f t="shared" si="99"/>
        <v>#DIV/0!</v>
      </c>
      <c r="V35" s="76" t="e">
        <f t="shared" si="99"/>
        <v>#DIV/0!</v>
      </c>
      <c r="W35" s="76" t="e">
        <f t="shared" ref="W35:Y35" si="100">K35/SUM($K35:$M35)</f>
        <v>#DIV/0!</v>
      </c>
      <c r="X35" s="76" t="e">
        <f t="shared" si="100"/>
        <v>#DIV/0!</v>
      </c>
      <c r="Y35" s="76" t="e">
        <f t="shared" si="100"/>
        <v>#DIV/0!</v>
      </c>
    </row>
    <row r="36" spans="1:25" ht="12.5" x14ac:dyDescent="0.25">
      <c r="A36" s="14"/>
      <c r="C36" s="68"/>
      <c r="D36" s="68"/>
      <c r="E36" s="68"/>
      <c r="F36" s="68"/>
      <c r="G36" s="68"/>
      <c r="H36" s="68"/>
      <c r="I36" s="68"/>
      <c r="J36" s="68"/>
      <c r="K36" s="68"/>
      <c r="L36" s="68"/>
      <c r="N36" s="75"/>
      <c r="O36" s="79">
        <f t="shared" si="73"/>
        <v>0</v>
      </c>
      <c r="P36" s="24">
        <f t="shared" si="0"/>
        <v>0</v>
      </c>
      <c r="Q36" s="76" t="e">
        <f t="shared" ref="Q36:S36" si="101">E36/SUM($E36:$G36)</f>
        <v>#DIV/0!</v>
      </c>
      <c r="R36" s="76" t="e">
        <f t="shared" si="101"/>
        <v>#DIV/0!</v>
      </c>
      <c r="S36" s="76" t="e">
        <f t="shared" si="101"/>
        <v>#DIV/0!</v>
      </c>
      <c r="T36" s="76" t="e">
        <f t="shared" ref="T36:V36" si="102">H36/SUM($H36:$J36)</f>
        <v>#DIV/0!</v>
      </c>
      <c r="U36" s="76" t="e">
        <f t="shared" si="102"/>
        <v>#DIV/0!</v>
      </c>
      <c r="V36" s="76" t="e">
        <f t="shared" si="102"/>
        <v>#DIV/0!</v>
      </c>
      <c r="W36" s="76" t="e">
        <f t="shared" ref="W36:Y36" si="103">K36/SUM($K36:$M36)</f>
        <v>#DIV/0!</v>
      </c>
      <c r="X36" s="76" t="e">
        <f t="shared" si="103"/>
        <v>#DIV/0!</v>
      </c>
      <c r="Y36" s="76" t="e">
        <f t="shared" si="103"/>
        <v>#DIV/0!</v>
      </c>
    </row>
    <row r="37" spans="1:25" ht="12.5" x14ac:dyDescent="0.25">
      <c r="A37" s="14"/>
      <c r="C37" s="68"/>
      <c r="D37" s="68"/>
      <c r="E37" s="68"/>
      <c r="F37" s="68"/>
      <c r="G37" s="68"/>
      <c r="H37" s="68"/>
      <c r="I37" s="68"/>
      <c r="J37" s="68"/>
      <c r="K37" s="68"/>
      <c r="L37" s="68"/>
      <c r="N37" s="75"/>
      <c r="O37" s="79">
        <f t="shared" si="73"/>
        <v>0</v>
      </c>
      <c r="P37" s="24">
        <f t="shared" si="0"/>
        <v>0</v>
      </c>
      <c r="Q37" s="76" t="e">
        <f t="shared" ref="Q37:S37" si="104">E37/SUM($E37:$G37)</f>
        <v>#DIV/0!</v>
      </c>
      <c r="R37" s="76" t="e">
        <f t="shared" si="104"/>
        <v>#DIV/0!</v>
      </c>
      <c r="S37" s="76" t="e">
        <f t="shared" si="104"/>
        <v>#DIV/0!</v>
      </c>
      <c r="T37" s="76" t="e">
        <f t="shared" ref="T37:V37" si="105">H37/SUM($H37:$J37)</f>
        <v>#DIV/0!</v>
      </c>
      <c r="U37" s="76" t="e">
        <f t="shared" si="105"/>
        <v>#DIV/0!</v>
      </c>
      <c r="V37" s="76" t="e">
        <f t="shared" si="105"/>
        <v>#DIV/0!</v>
      </c>
      <c r="W37" s="76" t="e">
        <f t="shared" ref="W37:Y37" si="106">K37/SUM($K37:$M37)</f>
        <v>#DIV/0!</v>
      </c>
      <c r="X37" s="76" t="e">
        <f t="shared" si="106"/>
        <v>#DIV/0!</v>
      </c>
      <c r="Y37" s="76" t="e">
        <f t="shared" si="106"/>
        <v>#DIV/0!</v>
      </c>
    </row>
    <row r="38" spans="1:25" ht="12.5" x14ac:dyDescent="0.25">
      <c r="A38" s="14"/>
      <c r="C38" s="68"/>
      <c r="D38" s="68"/>
      <c r="E38" s="68"/>
      <c r="F38" s="68"/>
      <c r="G38" s="68"/>
      <c r="H38" s="68"/>
      <c r="I38" s="68"/>
      <c r="J38" s="68"/>
      <c r="K38" s="68"/>
      <c r="L38" s="68"/>
      <c r="N38" s="75"/>
      <c r="O38" s="79">
        <f t="shared" si="73"/>
        <v>0</v>
      </c>
      <c r="P38" s="24">
        <f t="shared" si="0"/>
        <v>0</v>
      </c>
      <c r="Q38" s="76" t="e">
        <f t="shared" ref="Q38:S38" si="107">E38/SUM($E38:$G38)</f>
        <v>#DIV/0!</v>
      </c>
      <c r="R38" s="76" t="e">
        <f t="shared" si="107"/>
        <v>#DIV/0!</v>
      </c>
      <c r="S38" s="76" t="e">
        <f t="shared" si="107"/>
        <v>#DIV/0!</v>
      </c>
      <c r="T38" s="76" t="e">
        <f t="shared" ref="T38:V38" si="108">H38/SUM($H38:$J38)</f>
        <v>#DIV/0!</v>
      </c>
      <c r="U38" s="76" t="e">
        <f t="shared" si="108"/>
        <v>#DIV/0!</v>
      </c>
      <c r="V38" s="76" t="e">
        <f t="shared" si="108"/>
        <v>#DIV/0!</v>
      </c>
      <c r="W38" s="76" t="e">
        <f t="shared" ref="W38:Y38" si="109">K38/SUM($K38:$M38)</f>
        <v>#DIV/0!</v>
      </c>
      <c r="X38" s="76" t="e">
        <f t="shared" si="109"/>
        <v>#DIV/0!</v>
      </c>
      <c r="Y38" s="76" t="e">
        <f t="shared" si="109"/>
        <v>#DIV/0!</v>
      </c>
    </row>
    <row r="39" spans="1:25" ht="12.5" x14ac:dyDescent="0.25">
      <c r="A39" s="14"/>
      <c r="C39" s="68"/>
      <c r="D39" s="68"/>
      <c r="E39" s="68"/>
      <c r="F39" s="68"/>
      <c r="G39" s="68"/>
      <c r="H39" s="68"/>
      <c r="I39" s="68"/>
      <c r="J39" s="68"/>
      <c r="K39" s="68"/>
      <c r="L39" s="68"/>
      <c r="N39" s="75"/>
      <c r="O39" s="79">
        <f t="shared" si="73"/>
        <v>0</v>
      </c>
      <c r="P39" s="24">
        <f t="shared" si="0"/>
        <v>0</v>
      </c>
      <c r="Q39" s="76" t="e">
        <f t="shared" ref="Q39:S39" si="110">E39/SUM($E39:$G39)</f>
        <v>#DIV/0!</v>
      </c>
      <c r="R39" s="76" t="e">
        <f t="shared" si="110"/>
        <v>#DIV/0!</v>
      </c>
      <c r="S39" s="76" t="e">
        <f t="shared" si="110"/>
        <v>#DIV/0!</v>
      </c>
      <c r="T39" s="76" t="e">
        <f t="shared" ref="T39:V39" si="111">H39/SUM($H39:$J39)</f>
        <v>#DIV/0!</v>
      </c>
      <c r="U39" s="76" t="e">
        <f t="shared" si="111"/>
        <v>#DIV/0!</v>
      </c>
      <c r="V39" s="76" t="e">
        <f t="shared" si="111"/>
        <v>#DIV/0!</v>
      </c>
      <c r="W39" s="76" t="e">
        <f t="shared" ref="W39:Y39" si="112">K39/SUM($K39:$M39)</f>
        <v>#DIV/0!</v>
      </c>
      <c r="X39" s="76" t="e">
        <f t="shared" si="112"/>
        <v>#DIV/0!</v>
      </c>
      <c r="Y39" s="76" t="e">
        <f t="shared" si="112"/>
        <v>#DIV/0!</v>
      </c>
    </row>
    <row r="40" spans="1:25" ht="12.5" x14ac:dyDescent="0.25">
      <c r="A40" s="14"/>
      <c r="C40" s="68"/>
      <c r="D40" s="68"/>
      <c r="E40" s="68"/>
      <c r="F40" s="68"/>
      <c r="G40" s="68"/>
      <c r="H40" s="68"/>
      <c r="I40" s="68"/>
      <c r="J40" s="68"/>
      <c r="K40" s="68"/>
      <c r="L40" s="68"/>
      <c r="N40" s="75"/>
      <c r="O40" s="79">
        <f t="shared" si="73"/>
        <v>0</v>
      </c>
      <c r="P40" s="24">
        <f t="shared" si="0"/>
        <v>0</v>
      </c>
      <c r="Q40" s="76" t="e">
        <f t="shared" ref="Q40:S40" si="113">E40/SUM($E40:$G40)</f>
        <v>#DIV/0!</v>
      </c>
      <c r="R40" s="76" t="e">
        <f t="shared" si="113"/>
        <v>#DIV/0!</v>
      </c>
      <c r="S40" s="76" t="e">
        <f t="shared" si="113"/>
        <v>#DIV/0!</v>
      </c>
      <c r="T40" s="76" t="e">
        <f t="shared" ref="T40:V40" si="114">H40/SUM($H40:$J40)</f>
        <v>#DIV/0!</v>
      </c>
      <c r="U40" s="76" t="e">
        <f t="shared" si="114"/>
        <v>#DIV/0!</v>
      </c>
      <c r="V40" s="76" t="e">
        <f t="shared" si="114"/>
        <v>#DIV/0!</v>
      </c>
      <c r="W40" s="76" t="e">
        <f t="shared" ref="W40:Y40" si="115">K40/SUM($K40:$M40)</f>
        <v>#DIV/0!</v>
      </c>
      <c r="X40" s="76" t="e">
        <f t="shared" si="115"/>
        <v>#DIV/0!</v>
      </c>
      <c r="Y40" s="76" t="e">
        <f t="shared" si="115"/>
        <v>#DIV/0!</v>
      </c>
    </row>
    <row r="41" spans="1:25" ht="12.5" x14ac:dyDescent="0.25">
      <c r="A41" s="14"/>
      <c r="C41" s="68"/>
      <c r="D41" s="68"/>
      <c r="E41" s="68"/>
      <c r="F41" s="68"/>
      <c r="G41" s="68"/>
      <c r="H41" s="68"/>
      <c r="I41" s="68"/>
      <c r="J41" s="68"/>
      <c r="K41" s="68"/>
      <c r="L41" s="68"/>
      <c r="N41" s="75"/>
      <c r="O41" s="79">
        <f t="shared" si="73"/>
        <v>0</v>
      </c>
      <c r="P41" s="24">
        <f t="shared" si="0"/>
        <v>0</v>
      </c>
      <c r="Q41" s="76" t="e">
        <f t="shared" ref="Q41:S41" si="116">E41/SUM($E41:$G41)</f>
        <v>#DIV/0!</v>
      </c>
      <c r="R41" s="76" t="e">
        <f t="shared" si="116"/>
        <v>#DIV/0!</v>
      </c>
      <c r="S41" s="76" t="e">
        <f t="shared" si="116"/>
        <v>#DIV/0!</v>
      </c>
      <c r="T41" s="76" t="e">
        <f t="shared" ref="T41:V41" si="117">H41/SUM($H41:$J41)</f>
        <v>#DIV/0!</v>
      </c>
      <c r="U41" s="76" t="e">
        <f t="shared" si="117"/>
        <v>#DIV/0!</v>
      </c>
      <c r="V41" s="76" t="e">
        <f t="shared" si="117"/>
        <v>#DIV/0!</v>
      </c>
      <c r="W41" s="76" t="e">
        <f t="shared" ref="W41:Y41" si="118">K41/SUM($K41:$M41)</f>
        <v>#DIV/0!</v>
      </c>
      <c r="X41" s="76" t="e">
        <f t="shared" si="118"/>
        <v>#DIV/0!</v>
      </c>
      <c r="Y41" s="76" t="e">
        <f t="shared" si="118"/>
        <v>#DIV/0!</v>
      </c>
    </row>
    <row r="42" spans="1:25" ht="12.5" x14ac:dyDescent="0.25">
      <c r="A42" s="14"/>
      <c r="C42" s="68"/>
      <c r="D42" s="68"/>
      <c r="E42" s="68"/>
      <c r="F42" s="68"/>
      <c r="G42" s="68"/>
      <c r="H42" s="68"/>
      <c r="I42" s="68"/>
      <c r="J42" s="68"/>
      <c r="K42" s="68"/>
      <c r="L42" s="68"/>
      <c r="N42" s="75"/>
      <c r="O42" s="79">
        <f t="shared" si="73"/>
        <v>0</v>
      </c>
      <c r="P42" s="24">
        <f t="shared" si="0"/>
        <v>0</v>
      </c>
      <c r="Q42" s="76" t="e">
        <f t="shared" ref="Q42:S42" si="119">E42/SUM($E42:$G42)</f>
        <v>#DIV/0!</v>
      </c>
      <c r="R42" s="76" t="e">
        <f t="shared" si="119"/>
        <v>#DIV/0!</v>
      </c>
      <c r="S42" s="76" t="e">
        <f t="shared" si="119"/>
        <v>#DIV/0!</v>
      </c>
      <c r="T42" s="76" t="e">
        <f t="shared" ref="T42:V42" si="120">H42/SUM($H42:$J42)</f>
        <v>#DIV/0!</v>
      </c>
      <c r="U42" s="76" t="e">
        <f t="shared" si="120"/>
        <v>#DIV/0!</v>
      </c>
      <c r="V42" s="76" t="e">
        <f t="shared" si="120"/>
        <v>#DIV/0!</v>
      </c>
      <c r="W42" s="76" t="e">
        <f t="shared" ref="W42:Y42" si="121">K42/SUM($K42:$M42)</f>
        <v>#DIV/0!</v>
      </c>
      <c r="X42" s="76" t="e">
        <f t="shared" si="121"/>
        <v>#DIV/0!</v>
      </c>
      <c r="Y42" s="76" t="e">
        <f t="shared" si="121"/>
        <v>#DIV/0!</v>
      </c>
    </row>
    <row r="43" spans="1:25" ht="12.5" x14ac:dyDescent="0.25">
      <c r="A43" s="14"/>
      <c r="C43" s="68"/>
      <c r="D43" s="68"/>
      <c r="E43" s="68"/>
      <c r="F43" s="68"/>
      <c r="G43" s="68"/>
      <c r="H43" s="68"/>
      <c r="I43" s="68"/>
      <c r="J43" s="68"/>
      <c r="K43" s="68"/>
      <c r="L43" s="68"/>
      <c r="N43" s="75"/>
      <c r="O43" s="79">
        <f t="shared" si="73"/>
        <v>0</v>
      </c>
      <c r="P43" s="24">
        <f t="shared" si="0"/>
        <v>0</v>
      </c>
      <c r="Q43" s="76" t="e">
        <f t="shared" ref="Q43:S43" si="122">E43/SUM($E43:$G43)</f>
        <v>#DIV/0!</v>
      </c>
      <c r="R43" s="76" t="e">
        <f t="shared" si="122"/>
        <v>#DIV/0!</v>
      </c>
      <c r="S43" s="76" t="e">
        <f t="shared" si="122"/>
        <v>#DIV/0!</v>
      </c>
      <c r="T43" s="76" t="e">
        <f t="shared" ref="T43:V43" si="123">H43/SUM($H43:$J43)</f>
        <v>#DIV/0!</v>
      </c>
      <c r="U43" s="76" t="e">
        <f t="shared" si="123"/>
        <v>#DIV/0!</v>
      </c>
      <c r="V43" s="76" t="e">
        <f t="shared" si="123"/>
        <v>#DIV/0!</v>
      </c>
      <c r="W43" s="76" t="e">
        <f t="shared" ref="W43:Y43" si="124">K43/SUM($K43:$M43)</f>
        <v>#DIV/0!</v>
      </c>
      <c r="X43" s="76" t="e">
        <f t="shared" si="124"/>
        <v>#DIV/0!</v>
      </c>
      <c r="Y43" s="76" t="e">
        <f t="shared" si="124"/>
        <v>#DIV/0!</v>
      </c>
    </row>
    <row r="44" spans="1:25" ht="12.5" x14ac:dyDescent="0.25">
      <c r="A44" s="14"/>
      <c r="C44" s="68"/>
      <c r="D44" s="68"/>
      <c r="E44" s="68"/>
      <c r="F44" s="68"/>
      <c r="G44" s="68"/>
      <c r="H44" s="68"/>
      <c r="I44" s="68"/>
      <c r="J44" s="68"/>
      <c r="K44" s="68"/>
      <c r="L44" s="68"/>
      <c r="N44" s="75"/>
      <c r="O44" s="79">
        <f t="shared" si="73"/>
        <v>0</v>
      </c>
      <c r="P44" s="24">
        <f t="shared" si="0"/>
        <v>0</v>
      </c>
      <c r="Q44" s="76" t="e">
        <f t="shared" ref="Q44:S44" si="125">E44/SUM($E44:$G44)</f>
        <v>#DIV/0!</v>
      </c>
      <c r="R44" s="76" t="e">
        <f t="shared" si="125"/>
        <v>#DIV/0!</v>
      </c>
      <c r="S44" s="76" t="e">
        <f t="shared" si="125"/>
        <v>#DIV/0!</v>
      </c>
      <c r="T44" s="76" t="e">
        <f t="shared" ref="T44:V44" si="126">H44/SUM($H44:$J44)</f>
        <v>#DIV/0!</v>
      </c>
      <c r="U44" s="76" t="e">
        <f t="shared" si="126"/>
        <v>#DIV/0!</v>
      </c>
      <c r="V44" s="76" t="e">
        <f t="shared" si="126"/>
        <v>#DIV/0!</v>
      </c>
      <c r="W44" s="76" t="e">
        <f t="shared" ref="W44:Y44" si="127">K44/SUM($K44:$M44)</f>
        <v>#DIV/0!</v>
      </c>
      <c r="X44" s="76" t="e">
        <f t="shared" si="127"/>
        <v>#DIV/0!</v>
      </c>
      <c r="Y44" s="76" t="e">
        <f t="shared" si="127"/>
        <v>#DIV/0!</v>
      </c>
    </row>
    <row r="45" spans="1:25" ht="12.5" x14ac:dyDescent="0.25">
      <c r="A45" s="14"/>
      <c r="C45" s="68"/>
      <c r="D45" s="68"/>
      <c r="E45" s="68"/>
      <c r="F45" s="68"/>
      <c r="G45" s="68"/>
      <c r="H45" s="68"/>
      <c r="I45" s="68"/>
      <c r="J45" s="68"/>
      <c r="K45" s="68"/>
      <c r="L45" s="68"/>
      <c r="N45" s="75"/>
      <c r="O45" s="79">
        <f t="shared" si="73"/>
        <v>0</v>
      </c>
      <c r="P45" s="24">
        <f t="shared" si="0"/>
        <v>0</v>
      </c>
      <c r="Q45" s="76" t="e">
        <f t="shared" ref="Q45:S45" si="128">E45/SUM($E45:$G45)</f>
        <v>#DIV/0!</v>
      </c>
      <c r="R45" s="76" t="e">
        <f t="shared" si="128"/>
        <v>#DIV/0!</v>
      </c>
      <c r="S45" s="76" t="e">
        <f t="shared" si="128"/>
        <v>#DIV/0!</v>
      </c>
      <c r="T45" s="76" t="e">
        <f t="shared" ref="T45:V45" si="129">H45/SUM($H45:$J45)</f>
        <v>#DIV/0!</v>
      </c>
      <c r="U45" s="76" t="e">
        <f t="shared" si="129"/>
        <v>#DIV/0!</v>
      </c>
      <c r="V45" s="76" t="e">
        <f t="shared" si="129"/>
        <v>#DIV/0!</v>
      </c>
      <c r="W45" s="76" t="e">
        <f t="shared" ref="W45:Y45" si="130">K45/SUM($K45:$M45)</f>
        <v>#DIV/0!</v>
      </c>
      <c r="X45" s="76" t="e">
        <f t="shared" si="130"/>
        <v>#DIV/0!</v>
      </c>
      <c r="Y45" s="76" t="e">
        <f t="shared" si="130"/>
        <v>#DIV/0!</v>
      </c>
    </row>
    <row r="46" spans="1:25" ht="12.5" x14ac:dyDescent="0.25">
      <c r="A46" s="14"/>
      <c r="C46" s="68"/>
      <c r="D46" s="68"/>
      <c r="E46" s="68"/>
      <c r="F46" s="68"/>
      <c r="G46" s="68"/>
      <c r="H46" s="68"/>
      <c r="I46" s="68"/>
      <c r="J46" s="68"/>
      <c r="K46" s="68"/>
      <c r="L46" s="68"/>
      <c r="N46" s="75"/>
      <c r="O46" s="79">
        <f t="shared" si="73"/>
        <v>0</v>
      </c>
      <c r="P46" s="24">
        <f t="shared" si="0"/>
        <v>0</v>
      </c>
      <c r="Q46" s="76" t="e">
        <f t="shared" ref="Q46:S46" si="131">E46/SUM($E46:$G46)</f>
        <v>#DIV/0!</v>
      </c>
      <c r="R46" s="76" t="e">
        <f t="shared" si="131"/>
        <v>#DIV/0!</v>
      </c>
      <c r="S46" s="76" t="e">
        <f t="shared" si="131"/>
        <v>#DIV/0!</v>
      </c>
      <c r="T46" s="76" t="e">
        <f t="shared" ref="T46:V46" si="132">H46/SUM($H46:$J46)</f>
        <v>#DIV/0!</v>
      </c>
      <c r="U46" s="76" t="e">
        <f t="shared" si="132"/>
        <v>#DIV/0!</v>
      </c>
      <c r="V46" s="76" t="e">
        <f t="shared" si="132"/>
        <v>#DIV/0!</v>
      </c>
      <c r="W46" s="76" t="e">
        <f t="shared" ref="W46:Y46" si="133">K46/SUM($K46:$M46)</f>
        <v>#DIV/0!</v>
      </c>
      <c r="X46" s="76" t="e">
        <f t="shared" si="133"/>
        <v>#DIV/0!</v>
      </c>
      <c r="Y46" s="76" t="e">
        <f t="shared" si="133"/>
        <v>#DIV/0!</v>
      </c>
    </row>
    <row r="47" spans="1:25" ht="12.5" x14ac:dyDescent="0.25">
      <c r="A47" s="14"/>
      <c r="C47" s="68"/>
      <c r="D47" s="68"/>
      <c r="E47" s="68"/>
      <c r="F47" s="68"/>
      <c r="G47" s="68"/>
      <c r="H47" s="68"/>
      <c r="I47" s="68"/>
      <c r="J47" s="68"/>
      <c r="K47" s="68"/>
      <c r="L47" s="68"/>
      <c r="N47" s="75"/>
      <c r="O47" s="79">
        <f t="shared" si="73"/>
        <v>0</v>
      </c>
      <c r="P47" s="24">
        <f t="shared" si="0"/>
        <v>0</v>
      </c>
      <c r="Q47" s="76" t="e">
        <f t="shared" ref="Q47:S47" si="134">E47/SUM($E47:$G47)</f>
        <v>#DIV/0!</v>
      </c>
      <c r="R47" s="76" t="e">
        <f t="shared" si="134"/>
        <v>#DIV/0!</v>
      </c>
      <c r="S47" s="76" t="e">
        <f t="shared" si="134"/>
        <v>#DIV/0!</v>
      </c>
      <c r="T47" s="76" t="e">
        <f t="shared" ref="T47:V47" si="135">H47/SUM($H47:$J47)</f>
        <v>#DIV/0!</v>
      </c>
      <c r="U47" s="76" t="e">
        <f t="shared" si="135"/>
        <v>#DIV/0!</v>
      </c>
      <c r="V47" s="76" t="e">
        <f t="shared" si="135"/>
        <v>#DIV/0!</v>
      </c>
      <c r="W47" s="76" t="e">
        <f t="shared" ref="W47:Y47" si="136">K47/SUM($K47:$M47)</f>
        <v>#DIV/0!</v>
      </c>
      <c r="X47" s="76" t="e">
        <f t="shared" si="136"/>
        <v>#DIV/0!</v>
      </c>
      <c r="Y47" s="76" t="e">
        <f t="shared" si="136"/>
        <v>#DIV/0!</v>
      </c>
    </row>
    <row r="48" spans="1:25" ht="12.5" x14ac:dyDescent="0.25">
      <c r="A48" s="14"/>
      <c r="C48" s="68"/>
      <c r="D48" s="68"/>
      <c r="E48" s="68"/>
      <c r="F48" s="68"/>
      <c r="G48" s="68"/>
      <c r="H48" s="68"/>
      <c r="I48" s="68"/>
      <c r="J48" s="68"/>
      <c r="K48" s="68"/>
      <c r="L48" s="68"/>
      <c r="N48" s="75"/>
      <c r="O48" s="79">
        <f t="shared" si="73"/>
        <v>0</v>
      </c>
      <c r="P48" s="24">
        <f t="shared" si="0"/>
        <v>0</v>
      </c>
      <c r="Q48" s="76" t="e">
        <f t="shared" ref="Q48:S48" si="137">E48/SUM($E48:$G48)</f>
        <v>#DIV/0!</v>
      </c>
      <c r="R48" s="76" t="e">
        <f t="shared" si="137"/>
        <v>#DIV/0!</v>
      </c>
      <c r="S48" s="76" t="e">
        <f t="shared" si="137"/>
        <v>#DIV/0!</v>
      </c>
      <c r="T48" s="76" t="e">
        <f t="shared" ref="T48:V48" si="138">H48/SUM($H48:$J48)</f>
        <v>#DIV/0!</v>
      </c>
      <c r="U48" s="76" t="e">
        <f t="shared" si="138"/>
        <v>#DIV/0!</v>
      </c>
      <c r="V48" s="76" t="e">
        <f t="shared" si="138"/>
        <v>#DIV/0!</v>
      </c>
      <c r="W48" s="76" t="e">
        <f t="shared" ref="W48:Y48" si="139">K48/SUM($K48:$M48)</f>
        <v>#DIV/0!</v>
      </c>
      <c r="X48" s="76" t="e">
        <f t="shared" si="139"/>
        <v>#DIV/0!</v>
      </c>
      <c r="Y48" s="76" t="e">
        <f t="shared" si="139"/>
        <v>#DIV/0!</v>
      </c>
    </row>
    <row r="49" spans="1:25" ht="12.5" x14ac:dyDescent="0.25">
      <c r="A49" s="14"/>
      <c r="C49" s="68"/>
      <c r="D49" s="68"/>
      <c r="E49" s="68"/>
      <c r="F49" s="68"/>
      <c r="G49" s="68"/>
      <c r="H49" s="68"/>
      <c r="I49" s="68"/>
      <c r="J49" s="68"/>
      <c r="K49" s="68"/>
      <c r="L49" s="68"/>
      <c r="N49" s="75"/>
      <c r="O49" s="79">
        <f t="shared" si="73"/>
        <v>0</v>
      </c>
      <c r="P49" s="24">
        <f t="shared" si="0"/>
        <v>0</v>
      </c>
      <c r="Q49" s="76" t="e">
        <f t="shared" ref="Q49:S49" si="140">E49/SUM($E49:$G49)</f>
        <v>#DIV/0!</v>
      </c>
      <c r="R49" s="76" t="e">
        <f t="shared" si="140"/>
        <v>#DIV/0!</v>
      </c>
      <c r="S49" s="76" t="e">
        <f t="shared" si="140"/>
        <v>#DIV/0!</v>
      </c>
      <c r="T49" s="76" t="e">
        <f t="shared" ref="T49:V49" si="141">H49/SUM($H49:$J49)</f>
        <v>#DIV/0!</v>
      </c>
      <c r="U49" s="76" t="e">
        <f t="shared" si="141"/>
        <v>#DIV/0!</v>
      </c>
      <c r="V49" s="76" t="e">
        <f t="shared" si="141"/>
        <v>#DIV/0!</v>
      </c>
      <c r="W49" s="76" t="e">
        <f t="shared" ref="W49:Y49" si="142">K49/SUM($K49:$M49)</f>
        <v>#DIV/0!</v>
      </c>
      <c r="X49" s="76" t="e">
        <f t="shared" si="142"/>
        <v>#DIV/0!</v>
      </c>
      <c r="Y49" s="76" t="e">
        <f t="shared" si="142"/>
        <v>#DIV/0!</v>
      </c>
    </row>
    <row r="50" spans="1:25" ht="12.5" x14ac:dyDescent="0.25">
      <c r="A50" s="14"/>
      <c r="C50" s="68"/>
      <c r="D50" s="68"/>
      <c r="E50" s="68"/>
      <c r="F50" s="68"/>
      <c r="G50" s="68"/>
      <c r="H50" s="68"/>
      <c r="I50" s="68"/>
      <c r="J50" s="68"/>
      <c r="K50" s="68"/>
      <c r="L50" s="68"/>
      <c r="N50" s="75"/>
      <c r="O50" s="79">
        <f t="shared" si="73"/>
        <v>0</v>
      </c>
      <c r="P50" s="24">
        <f t="shared" si="0"/>
        <v>0</v>
      </c>
      <c r="Q50" s="76" t="e">
        <f t="shared" ref="Q50:S50" si="143">E50/SUM($E50:$G50)</f>
        <v>#DIV/0!</v>
      </c>
      <c r="R50" s="76" t="e">
        <f t="shared" si="143"/>
        <v>#DIV/0!</v>
      </c>
      <c r="S50" s="76" t="e">
        <f t="shared" si="143"/>
        <v>#DIV/0!</v>
      </c>
      <c r="T50" s="76" t="e">
        <f t="shared" ref="T50:V50" si="144">H50/SUM($H50:$J50)</f>
        <v>#DIV/0!</v>
      </c>
      <c r="U50" s="76" t="e">
        <f t="shared" si="144"/>
        <v>#DIV/0!</v>
      </c>
      <c r="V50" s="76" t="e">
        <f t="shared" si="144"/>
        <v>#DIV/0!</v>
      </c>
      <c r="W50" s="76" t="e">
        <f t="shared" ref="W50:Y50" si="145">K50/SUM($K50:$M50)</f>
        <v>#DIV/0!</v>
      </c>
      <c r="X50" s="76" t="e">
        <f t="shared" si="145"/>
        <v>#DIV/0!</v>
      </c>
      <c r="Y50" s="76" t="e">
        <f t="shared" si="145"/>
        <v>#DIV/0!</v>
      </c>
    </row>
    <row r="51" spans="1:25" ht="12.5" x14ac:dyDescent="0.25">
      <c r="A51" s="14"/>
      <c r="C51" s="68"/>
      <c r="D51" s="68"/>
      <c r="E51" s="68"/>
      <c r="F51" s="68"/>
      <c r="G51" s="68"/>
      <c r="H51" s="68"/>
      <c r="I51" s="68"/>
      <c r="J51" s="68"/>
      <c r="K51" s="68"/>
      <c r="L51" s="68"/>
      <c r="N51" s="75"/>
      <c r="O51" s="79">
        <f t="shared" si="73"/>
        <v>0</v>
      </c>
      <c r="P51" s="24">
        <f t="shared" si="0"/>
        <v>0</v>
      </c>
      <c r="Q51" s="76" t="e">
        <f t="shared" ref="Q51:S51" si="146">E51/SUM($E51:$G51)</f>
        <v>#DIV/0!</v>
      </c>
      <c r="R51" s="76" t="e">
        <f t="shared" si="146"/>
        <v>#DIV/0!</v>
      </c>
      <c r="S51" s="76" t="e">
        <f t="shared" si="146"/>
        <v>#DIV/0!</v>
      </c>
      <c r="T51" s="76" t="e">
        <f t="shared" ref="T51:V51" si="147">H51/SUM($H51:$J51)</f>
        <v>#DIV/0!</v>
      </c>
      <c r="U51" s="76" t="e">
        <f t="shared" si="147"/>
        <v>#DIV/0!</v>
      </c>
      <c r="V51" s="76" t="e">
        <f t="shared" si="147"/>
        <v>#DIV/0!</v>
      </c>
      <c r="W51" s="76" t="e">
        <f t="shared" ref="W51:Y51" si="148">K51/SUM($K51:$M51)</f>
        <v>#DIV/0!</v>
      </c>
      <c r="X51" s="76" t="e">
        <f t="shared" si="148"/>
        <v>#DIV/0!</v>
      </c>
      <c r="Y51" s="76" t="e">
        <f t="shared" si="148"/>
        <v>#DIV/0!</v>
      </c>
    </row>
    <row r="52" spans="1:25" ht="12.5" x14ac:dyDescent="0.25">
      <c r="A52" s="14"/>
      <c r="C52" s="68"/>
      <c r="D52" s="68"/>
      <c r="E52" s="68"/>
      <c r="F52" s="68"/>
      <c r="G52" s="68"/>
      <c r="H52" s="68"/>
      <c r="I52" s="68"/>
      <c r="J52" s="68"/>
      <c r="K52" s="68"/>
      <c r="L52" s="68"/>
      <c r="N52" s="75"/>
      <c r="O52" s="79">
        <f t="shared" si="73"/>
        <v>0</v>
      </c>
      <c r="P52" s="24">
        <f t="shared" si="0"/>
        <v>0</v>
      </c>
      <c r="Q52" s="76" t="e">
        <f t="shared" ref="Q52:S52" si="149">E52/SUM($E52:$G52)</f>
        <v>#DIV/0!</v>
      </c>
      <c r="R52" s="76" t="e">
        <f t="shared" si="149"/>
        <v>#DIV/0!</v>
      </c>
      <c r="S52" s="76" t="e">
        <f t="shared" si="149"/>
        <v>#DIV/0!</v>
      </c>
      <c r="T52" s="76" t="e">
        <f t="shared" ref="T52:V52" si="150">H52/SUM($H52:$J52)</f>
        <v>#DIV/0!</v>
      </c>
      <c r="U52" s="76" t="e">
        <f t="shared" si="150"/>
        <v>#DIV/0!</v>
      </c>
      <c r="V52" s="76" t="e">
        <f t="shared" si="150"/>
        <v>#DIV/0!</v>
      </c>
      <c r="W52" s="76" t="e">
        <f t="shared" ref="W52:Y52" si="151">K52/SUM($K52:$M52)</f>
        <v>#DIV/0!</v>
      </c>
      <c r="X52" s="76" t="e">
        <f t="shared" si="151"/>
        <v>#DIV/0!</v>
      </c>
      <c r="Y52" s="76" t="e">
        <f t="shared" si="151"/>
        <v>#DIV/0!</v>
      </c>
    </row>
    <row r="53" spans="1:25" ht="12.5" x14ac:dyDescent="0.25">
      <c r="A53" s="14"/>
      <c r="C53" s="68"/>
      <c r="D53" s="68"/>
      <c r="E53" s="68"/>
      <c r="F53" s="68"/>
      <c r="G53" s="68"/>
      <c r="H53" s="68"/>
      <c r="I53" s="68"/>
      <c r="J53" s="68"/>
      <c r="K53" s="68"/>
      <c r="L53" s="68"/>
      <c r="N53" s="75"/>
      <c r="O53" s="79">
        <f t="shared" si="73"/>
        <v>0</v>
      </c>
      <c r="P53" s="24">
        <f t="shared" si="0"/>
        <v>0</v>
      </c>
      <c r="Q53" s="76" t="e">
        <f t="shared" ref="Q53:S53" si="152">E53/SUM($E53:$G53)</f>
        <v>#DIV/0!</v>
      </c>
      <c r="R53" s="76" t="e">
        <f t="shared" si="152"/>
        <v>#DIV/0!</v>
      </c>
      <c r="S53" s="76" t="e">
        <f t="shared" si="152"/>
        <v>#DIV/0!</v>
      </c>
      <c r="T53" s="76" t="e">
        <f t="shared" ref="T53:V53" si="153">H53/SUM($H53:$J53)</f>
        <v>#DIV/0!</v>
      </c>
      <c r="U53" s="76" t="e">
        <f t="shared" si="153"/>
        <v>#DIV/0!</v>
      </c>
      <c r="V53" s="76" t="e">
        <f t="shared" si="153"/>
        <v>#DIV/0!</v>
      </c>
      <c r="W53" s="76" t="e">
        <f t="shared" ref="W53:Y53" si="154">K53/SUM($K53:$M53)</f>
        <v>#DIV/0!</v>
      </c>
      <c r="X53" s="76" t="e">
        <f t="shared" si="154"/>
        <v>#DIV/0!</v>
      </c>
      <c r="Y53" s="76" t="e">
        <f t="shared" si="154"/>
        <v>#DIV/0!</v>
      </c>
    </row>
    <row r="54" spans="1:25" ht="12.5" x14ac:dyDescent="0.25">
      <c r="A54" s="14"/>
      <c r="C54" s="68"/>
      <c r="D54" s="68"/>
      <c r="E54" s="68"/>
      <c r="F54" s="68"/>
      <c r="G54" s="68"/>
      <c r="H54" s="68"/>
      <c r="I54" s="68"/>
      <c r="J54" s="68"/>
      <c r="K54" s="68"/>
      <c r="L54" s="68"/>
      <c r="N54" s="75"/>
      <c r="O54" s="79">
        <f t="shared" si="73"/>
        <v>0</v>
      </c>
      <c r="P54" s="24">
        <f t="shared" si="0"/>
        <v>0</v>
      </c>
      <c r="Q54" s="76" t="e">
        <f t="shared" ref="Q54:S54" si="155">E54/SUM($E54:$G54)</f>
        <v>#DIV/0!</v>
      </c>
      <c r="R54" s="76" t="e">
        <f t="shared" si="155"/>
        <v>#DIV/0!</v>
      </c>
      <c r="S54" s="76" t="e">
        <f t="shared" si="155"/>
        <v>#DIV/0!</v>
      </c>
      <c r="T54" s="76" t="e">
        <f t="shared" ref="T54:V54" si="156">H54/SUM($H54:$J54)</f>
        <v>#DIV/0!</v>
      </c>
      <c r="U54" s="76" t="e">
        <f t="shared" si="156"/>
        <v>#DIV/0!</v>
      </c>
      <c r="V54" s="76" t="e">
        <f t="shared" si="156"/>
        <v>#DIV/0!</v>
      </c>
      <c r="W54" s="76" t="e">
        <f t="shared" ref="W54:Y54" si="157">K54/SUM($K54:$M54)</f>
        <v>#DIV/0!</v>
      </c>
      <c r="X54" s="76" t="e">
        <f t="shared" si="157"/>
        <v>#DIV/0!</v>
      </c>
      <c r="Y54" s="76" t="e">
        <f t="shared" si="157"/>
        <v>#DIV/0!</v>
      </c>
    </row>
    <row r="55" spans="1:25" ht="12.5" x14ac:dyDescent="0.25">
      <c r="A55" s="14"/>
      <c r="C55" s="68"/>
      <c r="D55" s="68"/>
      <c r="E55" s="68"/>
      <c r="F55" s="68"/>
      <c r="G55" s="68"/>
      <c r="H55" s="68"/>
      <c r="I55" s="68"/>
      <c r="J55" s="68"/>
      <c r="K55" s="68"/>
      <c r="L55" s="68"/>
      <c r="N55" s="75"/>
      <c r="O55" s="79">
        <f t="shared" si="73"/>
        <v>0</v>
      </c>
      <c r="P55" s="24">
        <f t="shared" si="0"/>
        <v>0</v>
      </c>
      <c r="Q55" s="76" t="e">
        <f t="shared" ref="Q55:S55" si="158">E55/SUM($E55:$G55)</f>
        <v>#DIV/0!</v>
      </c>
      <c r="R55" s="76" t="e">
        <f t="shared" si="158"/>
        <v>#DIV/0!</v>
      </c>
      <c r="S55" s="76" t="e">
        <f t="shared" si="158"/>
        <v>#DIV/0!</v>
      </c>
      <c r="T55" s="76" t="e">
        <f t="shared" ref="T55:V55" si="159">H55/SUM($H55:$J55)</f>
        <v>#DIV/0!</v>
      </c>
      <c r="U55" s="76" t="e">
        <f t="shared" si="159"/>
        <v>#DIV/0!</v>
      </c>
      <c r="V55" s="76" t="e">
        <f t="shared" si="159"/>
        <v>#DIV/0!</v>
      </c>
      <c r="W55" s="76" t="e">
        <f t="shared" ref="W55:Y55" si="160">K55/SUM($K55:$M55)</f>
        <v>#DIV/0!</v>
      </c>
      <c r="X55" s="76" t="e">
        <f t="shared" si="160"/>
        <v>#DIV/0!</v>
      </c>
      <c r="Y55" s="76" t="e">
        <f t="shared" si="160"/>
        <v>#DIV/0!</v>
      </c>
    </row>
    <row r="56" spans="1:25" ht="12.5" x14ac:dyDescent="0.25">
      <c r="A56" s="14"/>
      <c r="C56" s="68"/>
      <c r="D56" s="68"/>
      <c r="E56" s="68"/>
      <c r="F56" s="68"/>
      <c r="G56" s="68"/>
      <c r="H56" s="68"/>
      <c r="I56" s="68"/>
      <c r="J56" s="68"/>
      <c r="K56" s="68"/>
      <c r="L56" s="68"/>
      <c r="N56" s="75"/>
      <c r="O56" s="300">
        <f t="shared" si="73"/>
        <v>0</v>
      </c>
      <c r="P56" s="24">
        <f t="shared" si="0"/>
        <v>0</v>
      </c>
      <c r="Q56" s="76" t="e">
        <f t="shared" ref="Q56:S56" si="161">E56/SUM($E56:$G56)</f>
        <v>#DIV/0!</v>
      </c>
      <c r="R56" s="76" t="e">
        <f t="shared" si="161"/>
        <v>#DIV/0!</v>
      </c>
      <c r="S56" s="76" t="e">
        <f t="shared" si="161"/>
        <v>#DIV/0!</v>
      </c>
      <c r="T56" s="76" t="e">
        <f t="shared" ref="T56:V56" si="162">H56/SUM($H56:$J56)</f>
        <v>#DIV/0!</v>
      </c>
      <c r="U56" s="76" t="e">
        <f t="shared" si="162"/>
        <v>#DIV/0!</v>
      </c>
      <c r="V56" s="76" t="e">
        <f t="shared" si="162"/>
        <v>#DIV/0!</v>
      </c>
      <c r="W56" s="76" t="e">
        <f t="shared" ref="W56:Y56" si="163">K56/SUM($K56:$M56)</f>
        <v>#DIV/0!</v>
      </c>
      <c r="X56" s="76" t="e">
        <f t="shared" si="163"/>
        <v>#DIV/0!</v>
      </c>
      <c r="Y56" s="76" t="e">
        <f t="shared" si="163"/>
        <v>#DIV/0!</v>
      </c>
    </row>
    <row r="57" spans="1:25" ht="12.5" x14ac:dyDescent="0.25">
      <c r="A57" s="14"/>
      <c r="C57" s="68"/>
      <c r="D57" s="68"/>
      <c r="E57" s="68"/>
      <c r="F57" s="68"/>
      <c r="G57" s="68"/>
      <c r="H57" s="68"/>
      <c r="I57" s="68"/>
      <c r="J57" s="68"/>
      <c r="K57" s="68"/>
      <c r="L57" s="68"/>
      <c r="N57" s="75"/>
      <c r="O57" s="296"/>
      <c r="P57" s="24">
        <f t="shared" si="0"/>
        <v>0</v>
      </c>
      <c r="Q57" s="76" t="e">
        <f t="shared" ref="Q57:S57" si="164">E57/SUM($E57:$G57)</f>
        <v>#DIV/0!</v>
      </c>
      <c r="R57" s="76" t="e">
        <f t="shared" si="164"/>
        <v>#DIV/0!</v>
      </c>
      <c r="S57" s="76" t="e">
        <f t="shared" si="164"/>
        <v>#DIV/0!</v>
      </c>
      <c r="T57" s="76" t="e">
        <f t="shared" ref="T57:V57" si="165">H57/SUM($H57:$J57)</f>
        <v>#DIV/0!</v>
      </c>
      <c r="U57" s="76" t="e">
        <f t="shared" si="165"/>
        <v>#DIV/0!</v>
      </c>
      <c r="V57" s="76" t="e">
        <f t="shared" si="165"/>
        <v>#DIV/0!</v>
      </c>
      <c r="W57" s="76" t="e">
        <f t="shared" ref="W57:Y57" si="166">K57/SUM($K57:$M57)</f>
        <v>#DIV/0!</v>
      </c>
      <c r="X57" s="76" t="e">
        <f t="shared" si="166"/>
        <v>#DIV/0!</v>
      </c>
      <c r="Y57" s="76" t="e">
        <f t="shared" si="166"/>
        <v>#DIV/0!</v>
      </c>
    </row>
    <row r="58" spans="1:25" ht="12.5" x14ac:dyDescent="0.25">
      <c r="A58" s="14"/>
      <c r="C58" s="68"/>
      <c r="D58" s="68"/>
      <c r="E58" s="68"/>
      <c r="F58" s="68"/>
      <c r="G58" s="68"/>
      <c r="H58" s="68"/>
      <c r="I58" s="68"/>
      <c r="J58" s="68"/>
      <c r="K58" s="68"/>
      <c r="L58" s="68"/>
      <c r="N58" s="75"/>
      <c r="O58" s="300">
        <f>B58</f>
        <v>0</v>
      </c>
      <c r="P58" s="24">
        <f t="shared" si="0"/>
        <v>0</v>
      </c>
      <c r="Q58" s="76" t="e">
        <f t="shared" ref="Q58:S58" si="167">E58/SUM($E58:$G58)</f>
        <v>#DIV/0!</v>
      </c>
      <c r="R58" s="76" t="e">
        <f t="shared" si="167"/>
        <v>#DIV/0!</v>
      </c>
      <c r="S58" s="76" t="e">
        <f t="shared" si="167"/>
        <v>#DIV/0!</v>
      </c>
      <c r="T58" s="76" t="e">
        <f t="shared" ref="T58:V58" si="168">H58/SUM($H58:$J58)</f>
        <v>#DIV/0!</v>
      </c>
      <c r="U58" s="76" t="e">
        <f t="shared" si="168"/>
        <v>#DIV/0!</v>
      </c>
      <c r="V58" s="76" t="e">
        <f t="shared" si="168"/>
        <v>#DIV/0!</v>
      </c>
      <c r="W58" s="76" t="e">
        <f t="shared" ref="W58:Y58" si="169">K58/SUM($K58:$M58)</f>
        <v>#DIV/0!</v>
      </c>
      <c r="X58" s="76" t="e">
        <f t="shared" si="169"/>
        <v>#DIV/0!</v>
      </c>
      <c r="Y58" s="76" t="e">
        <f t="shared" si="169"/>
        <v>#DIV/0!</v>
      </c>
    </row>
    <row r="59" spans="1:25" ht="12.5" x14ac:dyDescent="0.25">
      <c r="A59" s="14"/>
      <c r="C59" s="68"/>
      <c r="D59" s="68"/>
      <c r="E59" s="68"/>
      <c r="F59" s="68"/>
      <c r="G59" s="68"/>
      <c r="H59" s="68"/>
      <c r="I59" s="68"/>
      <c r="J59" s="68"/>
      <c r="K59" s="68"/>
      <c r="L59" s="68"/>
      <c r="N59" s="75"/>
      <c r="O59" s="296"/>
      <c r="P59" s="24">
        <f t="shared" si="0"/>
        <v>0</v>
      </c>
      <c r="Q59" s="76" t="e">
        <f t="shared" ref="Q59:S59" si="170">E59/SUM($E59:$G59)</f>
        <v>#DIV/0!</v>
      </c>
      <c r="R59" s="76" t="e">
        <f t="shared" si="170"/>
        <v>#DIV/0!</v>
      </c>
      <c r="S59" s="76" t="e">
        <f t="shared" si="170"/>
        <v>#DIV/0!</v>
      </c>
      <c r="T59" s="76" t="e">
        <f t="shared" ref="T59:V59" si="171">H59/SUM($H59:$J59)</f>
        <v>#DIV/0!</v>
      </c>
      <c r="U59" s="76" t="e">
        <f t="shared" si="171"/>
        <v>#DIV/0!</v>
      </c>
      <c r="V59" s="76" t="e">
        <f t="shared" si="171"/>
        <v>#DIV/0!</v>
      </c>
      <c r="W59" s="76" t="e">
        <f t="shared" ref="W59:Y59" si="172">K59/SUM($K59:$M59)</f>
        <v>#DIV/0!</v>
      </c>
      <c r="X59" s="76" t="e">
        <f t="shared" si="172"/>
        <v>#DIV/0!</v>
      </c>
      <c r="Y59" s="76" t="e">
        <f t="shared" si="172"/>
        <v>#DIV/0!</v>
      </c>
    </row>
    <row r="60" spans="1:25" ht="12.5" x14ac:dyDescent="0.25">
      <c r="A60" s="14"/>
      <c r="C60" s="68"/>
      <c r="D60" s="68"/>
      <c r="E60" s="68"/>
      <c r="F60" s="68"/>
      <c r="G60" s="68"/>
      <c r="H60" s="68"/>
      <c r="I60" s="68"/>
      <c r="J60" s="68"/>
      <c r="K60" s="68"/>
      <c r="L60" s="68"/>
      <c r="N60" s="75"/>
      <c r="O60" s="300">
        <f>B60</f>
        <v>0</v>
      </c>
      <c r="P60" s="24">
        <f t="shared" si="0"/>
        <v>0</v>
      </c>
      <c r="Q60" s="76" t="e">
        <f t="shared" ref="Q60:S60" si="173">E60/SUM($E60:$G60)</f>
        <v>#DIV/0!</v>
      </c>
      <c r="R60" s="76" t="e">
        <f t="shared" si="173"/>
        <v>#DIV/0!</v>
      </c>
      <c r="S60" s="76" t="e">
        <f t="shared" si="173"/>
        <v>#DIV/0!</v>
      </c>
      <c r="T60" s="76" t="e">
        <f t="shared" ref="T60:V60" si="174">H60/SUM($H60:$J60)</f>
        <v>#DIV/0!</v>
      </c>
      <c r="U60" s="76" t="e">
        <f t="shared" si="174"/>
        <v>#DIV/0!</v>
      </c>
      <c r="V60" s="76" t="e">
        <f t="shared" si="174"/>
        <v>#DIV/0!</v>
      </c>
      <c r="W60" s="76" t="e">
        <f t="shared" ref="W60:Y60" si="175">K60/SUM($K60:$M60)</f>
        <v>#DIV/0!</v>
      </c>
      <c r="X60" s="76" t="e">
        <f t="shared" si="175"/>
        <v>#DIV/0!</v>
      </c>
      <c r="Y60" s="76" t="e">
        <f t="shared" si="175"/>
        <v>#DIV/0!</v>
      </c>
    </row>
    <row r="61" spans="1:25" ht="12.5" x14ac:dyDescent="0.25">
      <c r="A61" s="14"/>
      <c r="C61" s="68"/>
      <c r="D61" s="68"/>
      <c r="E61" s="68"/>
      <c r="F61" s="68"/>
      <c r="G61" s="68"/>
      <c r="H61" s="68"/>
      <c r="I61" s="68"/>
      <c r="J61" s="68"/>
      <c r="K61" s="68"/>
      <c r="L61" s="68"/>
      <c r="N61" s="75"/>
      <c r="O61" s="296"/>
      <c r="P61" s="24">
        <f t="shared" si="0"/>
        <v>0</v>
      </c>
      <c r="Q61" s="76" t="e">
        <f t="shared" ref="Q61:S61" si="176">E61/SUM($E61:$G61)</f>
        <v>#DIV/0!</v>
      </c>
      <c r="R61" s="76" t="e">
        <f t="shared" si="176"/>
        <v>#DIV/0!</v>
      </c>
      <c r="S61" s="76" t="e">
        <f t="shared" si="176"/>
        <v>#DIV/0!</v>
      </c>
      <c r="T61" s="76" t="e">
        <f t="shared" ref="T61:V61" si="177">H61/SUM($H61:$J61)</f>
        <v>#DIV/0!</v>
      </c>
      <c r="U61" s="76" t="e">
        <f t="shared" si="177"/>
        <v>#DIV/0!</v>
      </c>
      <c r="V61" s="76" t="e">
        <f t="shared" si="177"/>
        <v>#DIV/0!</v>
      </c>
      <c r="W61" s="76" t="e">
        <f t="shared" ref="W61:Y61" si="178">K61/SUM($K61:$M61)</f>
        <v>#DIV/0!</v>
      </c>
      <c r="X61" s="76" t="e">
        <f t="shared" si="178"/>
        <v>#DIV/0!</v>
      </c>
      <c r="Y61" s="76" t="e">
        <f t="shared" si="178"/>
        <v>#DIV/0!</v>
      </c>
    </row>
    <row r="62" spans="1:25" ht="12.5" x14ac:dyDescent="0.25">
      <c r="A62" s="14"/>
      <c r="C62" s="68"/>
      <c r="D62" s="68"/>
      <c r="E62" s="68"/>
      <c r="F62" s="68"/>
      <c r="G62" s="68"/>
      <c r="H62" s="68"/>
      <c r="I62" s="68"/>
      <c r="J62" s="68"/>
      <c r="K62" s="68"/>
      <c r="L62" s="68"/>
      <c r="N62" s="75"/>
      <c r="O62" s="79"/>
      <c r="P62" s="24">
        <f t="shared" si="0"/>
        <v>0</v>
      </c>
      <c r="Q62" s="76" t="e">
        <f t="shared" ref="Q62:S62" si="179">E62/SUM($E62:$G62)</f>
        <v>#DIV/0!</v>
      </c>
      <c r="R62" s="76" t="e">
        <f t="shared" si="179"/>
        <v>#DIV/0!</v>
      </c>
      <c r="S62" s="76" t="e">
        <f t="shared" si="179"/>
        <v>#DIV/0!</v>
      </c>
      <c r="T62" s="76" t="e">
        <f t="shared" ref="T62:V62" si="180">H62/SUM($H62:$J62)</f>
        <v>#DIV/0!</v>
      </c>
      <c r="U62" s="76" t="e">
        <f t="shared" si="180"/>
        <v>#DIV/0!</v>
      </c>
      <c r="V62" s="76" t="e">
        <f t="shared" si="180"/>
        <v>#DIV/0!</v>
      </c>
      <c r="W62" s="76" t="e">
        <f t="shared" ref="W62:Y62" si="181">K62/SUM($K62:$M62)</f>
        <v>#DIV/0!</v>
      </c>
      <c r="X62" s="76" t="e">
        <f t="shared" si="181"/>
        <v>#DIV/0!</v>
      </c>
      <c r="Y62" s="76" t="e">
        <f t="shared" si="181"/>
        <v>#DIV/0!</v>
      </c>
    </row>
    <row r="63" spans="1:25" ht="12.5" x14ac:dyDescent="0.25">
      <c r="A63" s="14"/>
      <c r="C63" s="68"/>
      <c r="D63" s="68"/>
      <c r="E63" s="68"/>
      <c r="F63" s="68"/>
      <c r="G63" s="68"/>
      <c r="H63" s="68"/>
      <c r="I63" s="68"/>
      <c r="J63" s="68"/>
      <c r="K63" s="68"/>
      <c r="L63" s="68"/>
      <c r="N63" s="75"/>
      <c r="O63" s="79">
        <f t="shared" ref="O63:O64" si="182">B63</f>
        <v>0</v>
      </c>
      <c r="P63" s="24">
        <f t="shared" si="0"/>
        <v>0</v>
      </c>
      <c r="Q63" s="76" t="e">
        <f t="shared" ref="Q63:S63" si="183">E63/SUM($E63:$G63)</f>
        <v>#DIV/0!</v>
      </c>
      <c r="R63" s="76" t="e">
        <f t="shared" si="183"/>
        <v>#DIV/0!</v>
      </c>
      <c r="S63" s="76" t="e">
        <f t="shared" si="183"/>
        <v>#DIV/0!</v>
      </c>
      <c r="T63" s="76" t="e">
        <f t="shared" ref="T63:V63" si="184">H63/SUM($H63:$J63)</f>
        <v>#DIV/0!</v>
      </c>
      <c r="U63" s="76" t="e">
        <f t="shared" si="184"/>
        <v>#DIV/0!</v>
      </c>
      <c r="V63" s="76" t="e">
        <f t="shared" si="184"/>
        <v>#DIV/0!</v>
      </c>
      <c r="W63" s="76" t="e">
        <f t="shared" ref="W63:Y63" si="185">K63/SUM($K63:$M63)</f>
        <v>#DIV/0!</v>
      </c>
      <c r="X63" s="76" t="e">
        <f t="shared" si="185"/>
        <v>#DIV/0!</v>
      </c>
      <c r="Y63" s="76" t="e">
        <f t="shared" si="185"/>
        <v>#DIV/0!</v>
      </c>
    </row>
    <row r="64" spans="1:25" ht="12.5" x14ac:dyDescent="0.25">
      <c r="A64" s="14"/>
      <c r="C64" s="68"/>
      <c r="D64" s="68"/>
      <c r="E64" s="68"/>
      <c r="F64" s="68"/>
      <c r="G64" s="68"/>
      <c r="H64" s="68"/>
      <c r="I64" s="68"/>
      <c r="J64" s="68"/>
      <c r="K64" s="68"/>
      <c r="L64" s="68"/>
      <c r="N64" s="75"/>
      <c r="O64" s="300">
        <f t="shared" si="182"/>
        <v>0</v>
      </c>
      <c r="P64" s="24">
        <f t="shared" si="0"/>
        <v>0</v>
      </c>
      <c r="Q64" s="76" t="e">
        <f t="shared" ref="Q64:S64" si="186">E64/SUM($E64:$G64)</f>
        <v>#DIV/0!</v>
      </c>
      <c r="R64" s="76" t="e">
        <f t="shared" si="186"/>
        <v>#DIV/0!</v>
      </c>
      <c r="S64" s="76" t="e">
        <f t="shared" si="186"/>
        <v>#DIV/0!</v>
      </c>
      <c r="T64" s="76" t="e">
        <f t="shared" ref="T64:V64" si="187">H64/SUM($H64:$J64)</f>
        <v>#DIV/0!</v>
      </c>
      <c r="U64" s="76" t="e">
        <f t="shared" si="187"/>
        <v>#DIV/0!</v>
      </c>
      <c r="V64" s="76" t="e">
        <f t="shared" si="187"/>
        <v>#DIV/0!</v>
      </c>
      <c r="W64" s="76" t="e">
        <f t="shared" ref="W64:Y64" si="188">K64/SUM($K64:$M64)</f>
        <v>#DIV/0!</v>
      </c>
      <c r="X64" s="76" t="e">
        <f t="shared" si="188"/>
        <v>#DIV/0!</v>
      </c>
      <c r="Y64" s="76" t="e">
        <f t="shared" si="188"/>
        <v>#DIV/0!</v>
      </c>
    </row>
    <row r="65" spans="1:25" ht="12.5" x14ac:dyDescent="0.25">
      <c r="A65" s="14"/>
      <c r="C65" s="68"/>
      <c r="D65" s="68"/>
      <c r="E65" s="68"/>
      <c r="F65" s="68"/>
      <c r="G65" s="68"/>
      <c r="H65" s="68"/>
      <c r="I65" s="68"/>
      <c r="J65" s="68"/>
      <c r="K65" s="68"/>
      <c r="L65" s="68"/>
      <c r="N65" s="75"/>
      <c r="O65" s="296"/>
      <c r="P65" s="24">
        <f t="shared" si="0"/>
        <v>0</v>
      </c>
      <c r="Q65" s="76" t="e">
        <f t="shared" ref="Q65:S65" si="189">E65/SUM($E65:$G65)</f>
        <v>#DIV/0!</v>
      </c>
      <c r="R65" s="76" t="e">
        <f t="shared" si="189"/>
        <v>#DIV/0!</v>
      </c>
      <c r="S65" s="76" t="e">
        <f t="shared" si="189"/>
        <v>#DIV/0!</v>
      </c>
      <c r="T65" s="76" t="e">
        <f t="shared" ref="T65:V65" si="190">H65/SUM($H65:$J65)</f>
        <v>#DIV/0!</v>
      </c>
      <c r="U65" s="76" t="e">
        <f t="shared" si="190"/>
        <v>#DIV/0!</v>
      </c>
      <c r="V65" s="76" t="e">
        <f t="shared" si="190"/>
        <v>#DIV/0!</v>
      </c>
      <c r="W65" s="76" t="e">
        <f t="shared" ref="W65:Y65" si="191">K65/SUM($K65:$M65)</f>
        <v>#DIV/0!</v>
      </c>
      <c r="X65" s="76" t="e">
        <f t="shared" si="191"/>
        <v>#DIV/0!</v>
      </c>
      <c r="Y65" s="76" t="e">
        <f t="shared" si="191"/>
        <v>#DIV/0!</v>
      </c>
    </row>
    <row r="66" spans="1:25" ht="12.5" x14ac:dyDescent="0.25">
      <c r="A66" s="14"/>
      <c r="C66" s="68"/>
      <c r="D66" s="68"/>
      <c r="E66" s="68"/>
      <c r="F66" s="68"/>
      <c r="G66" s="68"/>
      <c r="H66" s="68"/>
      <c r="I66" s="68"/>
      <c r="J66" s="68"/>
      <c r="K66" s="68"/>
      <c r="L66" s="68"/>
      <c r="N66" s="75"/>
      <c r="O66" s="296"/>
      <c r="P66" s="24">
        <f t="shared" si="0"/>
        <v>0</v>
      </c>
      <c r="Q66" s="76" t="e">
        <f t="shared" ref="Q66:S66" si="192">E66/SUM($E66:$G66)</f>
        <v>#DIV/0!</v>
      </c>
      <c r="R66" s="76" t="e">
        <f t="shared" si="192"/>
        <v>#DIV/0!</v>
      </c>
      <c r="S66" s="76" t="e">
        <f t="shared" si="192"/>
        <v>#DIV/0!</v>
      </c>
      <c r="T66" s="76" t="e">
        <f t="shared" ref="T66:V66" si="193">H66/SUM($H66:$J66)</f>
        <v>#DIV/0!</v>
      </c>
      <c r="U66" s="76" t="e">
        <f t="shared" si="193"/>
        <v>#DIV/0!</v>
      </c>
      <c r="V66" s="76" t="e">
        <f t="shared" si="193"/>
        <v>#DIV/0!</v>
      </c>
      <c r="W66" s="76" t="e">
        <f t="shared" ref="W66:Y66" si="194">K66/SUM($K66:$M66)</f>
        <v>#DIV/0!</v>
      </c>
      <c r="X66" s="76" t="e">
        <f t="shared" si="194"/>
        <v>#DIV/0!</v>
      </c>
      <c r="Y66" s="76" t="e">
        <f t="shared" si="194"/>
        <v>#DIV/0!</v>
      </c>
    </row>
    <row r="67" spans="1:25" ht="12.5" x14ac:dyDescent="0.25">
      <c r="A67" s="14"/>
      <c r="C67" s="68"/>
      <c r="D67" s="68"/>
      <c r="E67" s="68"/>
      <c r="F67" s="68"/>
      <c r="G67" s="68"/>
      <c r="H67" s="68"/>
      <c r="I67" s="68"/>
      <c r="J67" s="68"/>
      <c r="K67" s="68"/>
      <c r="L67" s="68"/>
      <c r="N67" s="75"/>
      <c r="O67" s="79"/>
      <c r="P67" s="24">
        <f t="shared" si="0"/>
        <v>0</v>
      </c>
      <c r="Q67" s="76" t="e">
        <f t="shared" ref="Q67:S67" si="195">E67/SUM($E67:$G67)</f>
        <v>#DIV/0!</v>
      </c>
      <c r="R67" s="76" t="e">
        <f t="shared" si="195"/>
        <v>#DIV/0!</v>
      </c>
      <c r="S67" s="76" t="e">
        <f t="shared" si="195"/>
        <v>#DIV/0!</v>
      </c>
      <c r="T67" s="76" t="e">
        <f t="shared" ref="T67:V67" si="196">H67/SUM($H67:$J67)</f>
        <v>#DIV/0!</v>
      </c>
      <c r="U67" s="76" t="e">
        <f t="shared" si="196"/>
        <v>#DIV/0!</v>
      </c>
      <c r="V67" s="76" t="e">
        <f t="shared" si="196"/>
        <v>#DIV/0!</v>
      </c>
      <c r="W67" s="76" t="e">
        <f t="shared" ref="W67:Y67" si="197">K67/SUM($K67:$M67)</f>
        <v>#DIV/0!</v>
      </c>
      <c r="X67" s="76" t="e">
        <f t="shared" si="197"/>
        <v>#DIV/0!</v>
      </c>
      <c r="Y67" s="76" t="e">
        <f t="shared" si="197"/>
        <v>#DIV/0!</v>
      </c>
    </row>
    <row r="68" spans="1:25" ht="12.5" x14ac:dyDescent="0.25">
      <c r="A68" s="14"/>
      <c r="C68" s="68"/>
      <c r="D68" s="68"/>
      <c r="E68" s="68"/>
      <c r="F68" s="68"/>
      <c r="G68" s="68"/>
      <c r="H68" s="68"/>
      <c r="I68" s="68"/>
      <c r="J68" s="68"/>
      <c r="K68" s="68"/>
      <c r="L68" s="68"/>
      <c r="N68" s="75"/>
      <c r="O68" s="300">
        <f>B68</f>
        <v>0</v>
      </c>
      <c r="P68" s="24">
        <f t="shared" si="0"/>
        <v>0</v>
      </c>
      <c r="Q68" s="76" t="e">
        <f t="shared" ref="Q68:S68" si="198">E68/SUM($E68:$G68)</f>
        <v>#DIV/0!</v>
      </c>
      <c r="R68" s="76" t="e">
        <f t="shared" si="198"/>
        <v>#DIV/0!</v>
      </c>
      <c r="S68" s="76" t="e">
        <f t="shared" si="198"/>
        <v>#DIV/0!</v>
      </c>
      <c r="T68" s="76" t="e">
        <f t="shared" ref="T68:V68" si="199">H68/SUM($H68:$J68)</f>
        <v>#DIV/0!</v>
      </c>
      <c r="U68" s="76" t="e">
        <f t="shared" si="199"/>
        <v>#DIV/0!</v>
      </c>
      <c r="V68" s="76" t="e">
        <f t="shared" si="199"/>
        <v>#DIV/0!</v>
      </c>
      <c r="W68" s="76" t="e">
        <f t="shared" ref="W68:Y68" si="200">K68/SUM($K68:$M68)</f>
        <v>#DIV/0!</v>
      </c>
      <c r="X68" s="76" t="e">
        <f t="shared" si="200"/>
        <v>#DIV/0!</v>
      </c>
      <c r="Y68" s="76" t="e">
        <f t="shared" si="200"/>
        <v>#DIV/0!</v>
      </c>
    </row>
    <row r="69" spans="1:25" ht="12.5" x14ac:dyDescent="0.25">
      <c r="A69" s="14"/>
      <c r="C69" s="68"/>
      <c r="D69" s="68"/>
      <c r="E69" s="68"/>
      <c r="F69" s="68"/>
      <c r="G69" s="68"/>
      <c r="H69" s="68"/>
      <c r="I69" s="68"/>
      <c r="J69" s="68"/>
      <c r="K69" s="68"/>
      <c r="L69" s="68"/>
      <c r="N69" s="75"/>
      <c r="O69" s="296"/>
      <c r="P69" s="24">
        <f t="shared" si="0"/>
        <v>0</v>
      </c>
      <c r="Q69" s="76" t="e">
        <f t="shared" ref="Q69:S69" si="201">E69/SUM($E69:$G69)</f>
        <v>#DIV/0!</v>
      </c>
      <c r="R69" s="76" t="e">
        <f t="shared" si="201"/>
        <v>#DIV/0!</v>
      </c>
      <c r="S69" s="76" t="e">
        <f t="shared" si="201"/>
        <v>#DIV/0!</v>
      </c>
      <c r="T69" s="76" t="e">
        <f t="shared" ref="T69:V69" si="202">H69/SUM($H69:$J69)</f>
        <v>#DIV/0!</v>
      </c>
      <c r="U69" s="76" t="e">
        <f t="shared" si="202"/>
        <v>#DIV/0!</v>
      </c>
      <c r="V69" s="76" t="e">
        <f t="shared" si="202"/>
        <v>#DIV/0!</v>
      </c>
      <c r="W69" s="76" t="e">
        <f t="shared" ref="W69:Y69" si="203">K69/SUM($K69:$M69)</f>
        <v>#DIV/0!</v>
      </c>
      <c r="X69" s="76" t="e">
        <f t="shared" si="203"/>
        <v>#DIV/0!</v>
      </c>
      <c r="Y69" s="76" t="e">
        <f t="shared" si="203"/>
        <v>#DIV/0!</v>
      </c>
    </row>
    <row r="70" spans="1:25" ht="12.5" x14ac:dyDescent="0.25">
      <c r="A70" s="14"/>
      <c r="C70" s="68"/>
      <c r="D70" s="68"/>
      <c r="E70" s="68"/>
      <c r="F70" s="68"/>
      <c r="G70" s="68"/>
      <c r="H70" s="68"/>
      <c r="I70" s="68"/>
      <c r="J70" s="68"/>
      <c r="K70" s="68"/>
      <c r="L70" s="68"/>
      <c r="N70" s="75"/>
      <c r="O70" s="300">
        <f>B70</f>
        <v>0</v>
      </c>
      <c r="P70" s="24">
        <f t="shared" si="0"/>
        <v>0</v>
      </c>
      <c r="Q70" s="76" t="e">
        <f t="shared" ref="Q70:S70" si="204">E70/SUM($E70:$G70)</f>
        <v>#DIV/0!</v>
      </c>
      <c r="R70" s="76" t="e">
        <f t="shared" si="204"/>
        <v>#DIV/0!</v>
      </c>
      <c r="S70" s="76" t="e">
        <f t="shared" si="204"/>
        <v>#DIV/0!</v>
      </c>
      <c r="T70" s="76" t="e">
        <f t="shared" ref="T70:V70" si="205">H70/SUM($H70:$J70)</f>
        <v>#DIV/0!</v>
      </c>
      <c r="U70" s="76" t="e">
        <f t="shared" si="205"/>
        <v>#DIV/0!</v>
      </c>
      <c r="V70" s="76" t="e">
        <f t="shared" si="205"/>
        <v>#DIV/0!</v>
      </c>
      <c r="W70" s="76" t="e">
        <f t="shared" ref="W70:Y70" si="206">K70/SUM($K70:$M70)</f>
        <v>#DIV/0!</v>
      </c>
      <c r="X70" s="76" t="e">
        <f t="shared" si="206"/>
        <v>#DIV/0!</v>
      </c>
      <c r="Y70" s="76" t="e">
        <f t="shared" si="206"/>
        <v>#DIV/0!</v>
      </c>
    </row>
    <row r="71" spans="1:25" ht="12.5" x14ac:dyDescent="0.25">
      <c r="A71" s="14"/>
      <c r="C71" s="68"/>
      <c r="D71" s="68"/>
      <c r="E71" s="68"/>
      <c r="F71" s="68"/>
      <c r="G71" s="68"/>
      <c r="H71" s="68"/>
      <c r="I71" s="68"/>
      <c r="J71" s="68"/>
      <c r="K71" s="68"/>
      <c r="L71" s="68"/>
      <c r="N71" s="75"/>
      <c r="O71" s="296"/>
      <c r="P71" s="24">
        <f t="shared" si="0"/>
        <v>0</v>
      </c>
      <c r="Q71" s="76" t="e">
        <f t="shared" ref="Q71:S71" si="207">E71/SUM($E71:$G71)</f>
        <v>#DIV/0!</v>
      </c>
      <c r="R71" s="76" t="e">
        <f t="shared" si="207"/>
        <v>#DIV/0!</v>
      </c>
      <c r="S71" s="76" t="e">
        <f t="shared" si="207"/>
        <v>#DIV/0!</v>
      </c>
      <c r="T71" s="76" t="e">
        <f t="shared" ref="T71:V71" si="208">H71/SUM($H71:$J71)</f>
        <v>#DIV/0!</v>
      </c>
      <c r="U71" s="76" t="e">
        <f t="shared" si="208"/>
        <v>#DIV/0!</v>
      </c>
      <c r="V71" s="76" t="e">
        <f t="shared" si="208"/>
        <v>#DIV/0!</v>
      </c>
      <c r="W71" s="76" t="e">
        <f t="shared" ref="W71:Y71" si="209">K71/SUM($K71:$M71)</f>
        <v>#DIV/0!</v>
      </c>
      <c r="X71" s="76" t="e">
        <f t="shared" si="209"/>
        <v>#DIV/0!</v>
      </c>
      <c r="Y71" s="76" t="e">
        <f t="shared" si="209"/>
        <v>#DIV/0!</v>
      </c>
    </row>
    <row r="72" spans="1:25" ht="12.5" x14ac:dyDescent="0.25">
      <c r="A72" s="14"/>
      <c r="C72" s="75"/>
      <c r="D72" s="68"/>
      <c r="E72" s="68"/>
      <c r="F72" s="68"/>
      <c r="G72" s="68"/>
      <c r="H72" s="68"/>
      <c r="I72" s="68"/>
      <c r="J72" s="68"/>
      <c r="K72" s="68"/>
      <c r="L72" s="68"/>
      <c r="N72" s="75"/>
      <c r="O72" s="79">
        <f>B72</f>
        <v>0</v>
      </c>
      <c r="P72" s="24">
        <f t="shared" si="0"/>
        <v>0</v>
      </c>
      <c r="Q72" s="76" t="e">
        <f t="shared" ref="Q72:S72" si="210">E72/SUM($E72:$G72)</f>
        <v>#DIV/0!</v>
      </c>
      <c r="R72" s="76" t="e">
        <f t="shared" si="210"/>
        <v>#DIV/0!</v>
      </c>
      <c r="S72" s="76" t="e">
        <f t="shared" si="210"/>
        <v>#DIV/0!</v>
      </c>
      <c r="T72" s="76" t="e">
        <f t="shared" ref="T72:V72" si="211">H72/SUM($H72:$J72)</f>
        <v>#DIV/0!</v>
      </c>
      <c r="U72" s="76" t="e">
        <f t="shared" si="211"/>
        <v>#DIV/0!</v>
      </c>
      <c r="V72" s="76" t="e">
        <f t="shared" si="211"/>
        <v>#DIV/0!</v>
      </c>
      <c r="W72" s="76" t="e">
        <f t="shared" ref="W72:Y72" si="212">K72/SUM($K72:$M72)</f>
        <v>#DIV/0!</v>
      </c>
      <c r="X72" s="76" t="e">
        <f t="shared" si="212"/>
        <v>#DIV/0!</v>
      </c>
      <c r="Y72" s="76" t="e">
        <f t="shared" si="212"/>
        <v>#DIV/0!</v>
      </c>
    </row>
    <row r="73" spans="1:25" ht="12.5" x14ac:dyDescent="0.25">
      <c r="A73" s="14"/>
      <c r="C73" s="75"/>
      <c r="D73" s="71"/>
      <c r="E73" s="71"/>
      <c r="F73" s="71"/>
      <c r="G73" s="71"/>
      <c r="H73" s="71"/>
      <c r="I73" s="71"/>
      <c r="J73" s="71"/>
      <c r="K73" s="71"/>
      <c r="L73" s="71"/>
      <c r="N73" s="75"/>
      <c r="O73" s="79"/>
      <c r="Q73" s="76"/>
      <c r="R73" s="76"/>
      <c r="S73" s="76"/>
      <c r="T73" s="76"/>
      <c r="U73" s="76"/>
      <c r="V73" s="76"/>
      <c r="W73" s="76"/>
      <c r="X73" s="76"/>
      <c r="Y73" s="76"/>
    </row>
    <row r="74" spans="1:25" ht="12.5" x14ac:dyDescent="0.25">
      <c r="A74" s="14"/>
      <c r="D74" s="76"/>
      <c r="E74" s="76"/>
      <c r="F74" s="76"/>
      <c r="G74" s="76"/>
      <c r="H74" s="76"/>
      <c r="I74" s="76"/>
      <c r="J74" s="76"/>
      <c r="K74" s="76"/>
      <c r="L74" s="76"/>
      <c r="N74" s="75"/>
      <c r="O74" s="79"/>
    </row>
    <row r="75" spans="1:25" ht="12.5" x14ac:dyDescent="0.25">
      <c r="A75" s="14"/>
      <c r="D75" s="76"/>
      <c r="E75" s="76"/>
      <c r="F75" s="76"/>
      <c r="G75" s="76"/>
      <c r="H75" s="76"/>
      <c r="I75" s="76"/>
      <c r="J75" s="76"/>
      <c r="K75" s="76"/>
      <c r="L75" s="76"/>
      <c r="N75" s="75"/>
      <c r="O75" s="79"/>
    </row>
    <row r="76" spans="1:25" ht="12.5" x14ac:dyDescent="0.25">
      <c r="A76" s="14"/>
      <c r="D76" s="76"/>
      <c r="E76" s="76"/>
      <c r="F76" s="76"/>
      <c r="G76" s="76"/>
      <c r="H76" s="76"/>
      <c r="I76" s="76"/>
      <c r="J76" s="76"/>
      <c r="K76" s="76"/>
      <c r="L76" s="76"/>
      <c r="N76" s="75"/>
      <c r="O76" s="79"/>
    </row>
    <row r="77" spans="1:25" ht="12.5" x14ac:dyDescent="0.25">
      <c r="A77" s="14"/>
      <c r="D77" s="76"/>
      <c r="E77" s="76"/>
      <c r="F77" s="76"/>
      <c r="G77" s="76"/>
      <c r="H77" s="76"/>
      <c r="I77" s="76"/>
      <c r="J77" s="76"/>
      <c r="K77" s="76"/>
      <c r="L77" s="76"/>
      <c r="N77" s="75"/>
      <c r="O77" s="79"/>
    </row>
    <row r="78" spans="1:25" ht="12.5" x14ac:dyDescent="0.25">
      <c r="A78" s="14"/>
      <c r="D78" s="76"/>
      <c r="E78" s="76"/>
      <c r="F78" s="76"/>
      <c r="G78" s="76"/>
      <c r="H78" s="76"/>
      <c r="I78" s="76"/>
      <c r="J78" s="76"/>
      <c r="K78" s="76"/>
      <c r="L78" s="76"/>
      <c r="N78" s="75"/>
      <c r="O78" s="79"/>
    </row>
    <row r="79" spans="1:25" ht="12.5" x14ac:dyDescent="0.25">
      <c r="A79" s="14"/>
      <c r="C79" s="68"/>
      <c r="D79" s="68"/>
      <c r="E79" s="68"/>
      <c r="F79" s="68"/>
      <c r="G79" s="68"/>
      <c r="H79" s="68"/>
      <c r="I79" s="68"/>
      <c r="J79" s="68"/>
      <c r="K79" s="68"/>
      <c r="L79" s="68"/>
      <c r="N79" s="75"/>
      <c r="O79" s="79"/>
    </row>
    <row r="80" spans="1:25" ht="12.5" x14ac:dyDescent="0.25">
      <c r="A80" s="14"/>
      <c r="C80" s="68"/>
      <c r="D80" s="68"/>
      <c r="E80" s="68"/>
      <c r="F80" s="68"/>
      <c r="G80" s="68"/>
      <c r="H80" s="68"/>
      <c r="I80" s="68"/>
      <c r="J80" s="68"/>
      <c r="K80" s="68"/>
      <c r="L80" s="68"/>
      <c r="N80" s="75"/>
      <c r="O80" s="79"/>
    </row>
    <row r="81" spans="1:15" ht="12.5" x14ac:dyDescent="0.25">
      <c r="A81" s="14"/>
      <c r="C81" s="68"/>
      <c r="D81" s="68"/>
      <c r="E81" s="68"/>
      <c r="F81" s="68"/>
      <c r="G81" s="68"/>
      <c r="H81" s="68"/>
      <c r="I81" s="68"/>
      <c r="J81" s="68"/>
      <c r="K81" s="68"/>
      <c r="L81" s="68"/>
      <c r="N81" s="75"/>
      <c r="O81" s="79"/>
    </row>
    <row r="82" spans="1:15" ht="12.5" x14ac:dyDescent="0.25">
      <c r="A82" s="14"/>
      <c r="C82" s="68"/>
      <c r="D82" s="68"/>
      <c r="E82" s="68"/>
      <c r="F82" s="68"/>
      <c r="G82" s="68"/>
      <c r="H82" s="68"/>
      <c r="I82" s="68"/>
      <c r="J82" s="68"/>
      <c r="K82" s="68"/>
      <c r="L82" s="68"/>
      <c r="N82" s="75"/>
      <c r="O82" s="79"/>
    </row>
    <row r="83" spans="1:15" ht="12.5" x14ac:dyDescent="0.25">
      <c r="A83" s="14"/>
      <c r="C83" s="68"/>
      <c r="D83" s="68"/>
      <c r="E83" s="68"/>
      <c r="F83" s="68"/>
      <c r="G83" s="68"/>
      <c r="H83" s="68"/>
      <c r="I83" s="68"/>
      <c r="J83" s="68"/>
      <c r="K83" s="68"/>
      <c r="L83" s="68"/>
      <c r="N83" s="75"/>
      <c r="O83" s="79"/>
    </row>
    <row r="84" spans="1:15" ht="12.5" x14ac:dyDescent="0.25">
      <c r="A84" s="14"/>
      <c r="C84" s="68"/>
      <c r="D84" s="68"/>
      <c r="E84" s="68"/>
      <c r="F84" s="68"/>
      <c r="G84" s="68"/>
      <c r="H84" s="68"/>
      <c r="I84" s="68"/>
      <c r="J84" s="68"/>
      <c r="K84" s="68"/>
      <c r="L84" s="68"/>
      <c r="N84" s="75"/>
      <c r="O84" s="79"/>
    </row>
    <row r="85" spans="1:15" ht="12.5" x14ac:dyDescent="0.25">
      <c r="A85" s="14"/>
      <c r="C85" s="68"/>
      <c r="D85" s="68"/>
      <c r="E85" s="68"/>
      <c r="F85" s="68"/>
      <c r="G85" s="68"/>
      <c r="H85" s="68"/>
      <c r="I85" s="68"/>
      <c r="J85" s="68"/>
      <c r="K85" s="68"/>
      <c r="L85" s="68"/>
      <c r="N85" s="75"/>
      <c r="O85" s="79"/>
    </row>
    <row r="86" spans="1:15" ht="12.5" x14ac:dyDescent="0.25">
      <c r="A86" s="14"/>
      <c r="C86" s="68"/>
      <c r="D86" s="68"/>
      <c r="E86" s="68"/>
      <c r="F86" s="68"/>
      <c r="G86" s="68"/>
      <c r="H86" s="68"/>
      <c r="I86" s="68"/>
      <c r="J86" s="68"/>
      <c r="K86" s="68"/>
      <c r="L86" s="68"/>
      <c r="N86" s="75"/>
      <c r="O86" s="79"/>
    </row>
    <row r="87" spans="1:15" ht="12.5" x14ac:dyDescent="0.25">
      <c r="A87" s="14"/>
      <c r="C87" s="68"/>
      <c r="D87" s="68"/>
      <c r="E87" s="68"/>
      <c r="F87" s="68"/>
      <c r="G87" s="68"/>
      <c r="H87" s="68"/>
      <c r="I87" s="68"/>
      <c r="J87" s="68"/>
      <c r="K87" s="68"/>
      <c r="L87" s="68"/>
      <c r="N87" s="75"/>
      <c r="O87" s="79"/>
    </row>
    <row r="88" spans="1:15" ht="12.5" x14ac:dyDescent="0.25">
      <c r="A88" s="14"/>
      <c r="C88" s="68"/>
      <c r="D88" s="68"/>
      <c r="E88" s="68"/>
      <c r="F88" s="68"/>
      <c r="G88" s="68"/>
      <c r="H88" s="68"/>
      <c r="I88" s="68"/>
      <c r="J88" s="68"/>
      <c r="K88" s="68"/>
      <c r="L88" s="68"/>
      <c r="N88" s="75"/>
      <c r="O88" s="79"/>
    </row>
    <row r="89" spans="1:15" ht="12.5" x14ac:dyDescent="0.25">
      <c r="A89" s="14"/>
      <c r="C89" s="68"/>
      <c r="D89" s="68"/>
      <c r="E89" s="68"/>
      <c r="F89" s="68"/>
      <c r="G89" s="68"/>
      <c r="H89" s="68"/>
      <c r="I89" s="68"/>
      <c r="J89" s="68"/>
      <c r="K89" s="68"/>
      <c r="L89" s="68"/>
      <c r="N89" s="75"/>
      <c r="O89" s="79"/>
    </row>
    <row r="90" spans="1:15" ht="12.5" x14ac:dyDescent="0.25">
      <c r="A90" s="14"/>
      <c r="C90" s="68"/>
      <c r="D90" s="68"/>
      <c r="E90" s="68"/>
      <c r="F90" s="68"/>
      <c r="G90" s="68"/>
      <c r="H90" s="68"/>
      <c r="I90" s="68"/>
      <c r="J90" s="68"/>
      <c r="K90" s="68"/>
      <c r="L90" s="68"/>
      <c r="N90" s="75"/>
      <c r="O90" s="79"/>
    </row>
    <row r="91" spans="1:15" ht="12.5" x14ac:dyDescent="0.25">
      <c r="A91" s="14"/>
      <c r="C91" s="68"/>
      <c r="D91" s="68"/>
      <c r="E91" s="68"/>
      <c r="F91" s="68"/>
      <c r="G91" s="68"/>
      <c r="H91" s="68"/>
      <c r="I91" s="68"/>
      <c r="J91" s="68"/>
      <c r="K91" s="68"/>
      <c r="L91" s="68"/>
      <c r="N91" s="75"/>
      <c r="O91" s="79"/>
    </row>
    <row r="92" spans="1:15" ht="12.5" x14ac:dyDescent="0.25">
      <c r="A92" s="14"/>
      <c r="C92" s="68"/>
      <c r="D92" s="68"/>
      <c r="E92" s="68"/>
      <c r="F92" s="68"/>
      <c r="G92" s="68"/>
      <c r="H92" s="68"/>
      <c r="I92" s="68"/>
      <c r="J92" s="68"/>
      <c r="K92" s="68"/>
      <c r="L92" s="68"/>
      <c r="N92" s="75"/>
      <c r="O92" s="79"/>
    </row>
    <row r="93" spans="1:15" ht="12.5" x14ac:dyDescent="0.25">
      <c r="A93" s="14"/>
      <c r="C93" s="68"/>
      <c r="D93" s="68"/>
      <c r="E93" s="68"/>
      <c r="F93" s="68"/>
      <c r="G93" s="68"/>
      <c r="H93" s="68"/>
      <c r="I93" s="68"/>
      <c r="J93" s="68"/>
      <c r="K93" s="68"/>
      <c r="L93" s="68"/>
      <c r="N93" s="75"/>
      <c r="O93" s="79"/>
    </row>
    <row r="94" spans="1:15" ht="12.5" x14ac:dyDescent="0.25">
      <c r="A94" s="14"/>
      <c r="C94" s="68"/>
      <c r="D94" s="68"/>
      <c r="E94" s="68"/>
      <c r="F94" s="68"/>
      <c r="G94" s="68"/>
      <c r="H94" s="68"/>
      <c r="I94" s="68"/>
      <c r="J94" s="68"/>
      <c r="K94" s="68"/>
      <c r="L94" s="68"/>
      <c r="N94" s="75"/>
      <c r="O94" s="79"/>
    </row>
    <row r="95" spans="1:15" ht="12.5" x14ac:dyDescent="0.25">
      <c r="A95" s="14"/>
      <c r="C95" s="68"/>
      <c r="D95" s="68"/>
      <c r="E95" s="68"/>
      <c r="F95" s="68"/>
      <c r="G95" s="68"/>
      <c r="H95" s="68"/>
      <c r="I95" s="68"/>
      <c r="J95" s="68"/>
      <c r="K95" s="68"/>
      <c r="L95" s="68"/>
      <c r="N95" s="75"/>
      <c r="O95" s="79"/>
    </row>
    <row r="96" spans="1:15" ht="12.5" x14ac:dyDescent="0.25">
      <c r="A96" s="14"/>
      <c r="C96" s="68"/>
      <c r="D96" s="68"/>
      <c r="E96" s="68"/>
      <c r="F96" s="68"/>
      <c r="G96" s="68"/>
      <c r="H96" s="68"/>
      <c r="I96" s="68"/>
      <c r="J96" s="68"/>
      <c r="K96" s="68"/>
      <c r="L96" s="68"/>
      <c r="N96" s="75"/>
      <c r="O96" s="79"/>
    </row>
    <row r="97" spans="1:15" ht="12.5" x14ac:dyDescent="0.25">
      <c r="A97" s="14"/>
      <c r="C97" s="68"/>
      <c r="D97" s="68"/>
      <c r="E97" s="68"/>
      <c r="F97" s="68"/>
      <c r="G97" s="68"/>
      <c r="H97" s="68"/>
      <c r="I97" s="68"/>
      <c r="J97" s="68"/>
      <c r="K97" s="68"/>
      <c r="L97" s="68"/>
      <c r="N97" s="75"/>
      <c r="O97" s="79"/>
    </row>
    <row r="98" spans="1:15" ht="12.5" x14ac:dyDescent="0.25">
      <c r="A98" s="14"/>
      <c r="C98" s="68"/>
      <c r="D98" s="68"/>
      <c r="E98" s="68"/>
      <c r="F98" s="68"/>
      <c r="G98" s="68"/>
      <c r="H98" s="68"/>
      <c r="I98" s="68"/>
      <c r="J98" s="68"/>
      <c r="K98" s="68"/>
      <c r="L98" s="68"/>
      <c r="N98" s="75"/>
      <c r="O98" s="79"/>
    </row>
    <row r="99" spans="1:15" ht="12.5" x14ac:dyDescent="0.25">
      <c r="A99" s="14"/>
      <c r="C99" s="68"/>
      <c r="D99" s="68"/>
      <c r="E99" s="68"/>
      <c r="F99" s="68"/>
      <c r="G99" s="68"/>
      <c r="H99" s="68"/>
      <c r="I99" s="68"/>
      <c r="J99" s="68"/>
      <c r="K99" s="68"/>
      <c r="L99" s="68"/>
      <c r="N99" s="75"/>
      <c r="O99" s="79"/>
    </row>
    <row r="100" spans="1:15" ht="12.5" x14ac:dyDescent="0.25">
      <c r="A100" s="14"/>
      <c r="C100" s="68"/>
      <c r="D100" s="68"/>
      <c r="E100" s="68"/>
      <c r="F100" s="68"/>
      <c r="G100" s="68"/>
      <c r="H100" s="68"/>
      <c r="I100" s="68"/>
      <c r="J100" s="68"/>
      <c r="K100" s="68"/>
      <c r="L100" s="68"/>
      <c r="N100" s="75"/>
      <c r="O100" s="79"/>
    </row>
    <row r="101" spans="1:15" ht="12.5" x14ac:dyDescent="0.25">
      <c r="A101" s="14"/>
      <c r="C101" s="68"/>
      <c r="D101" s="68"/>
      <c r="E101" s="68"/>
      <c r="F101" s="68"/>
      <c r="G101" s="68"/>
      <c r="H101" s="68"/>
      <c r="I101" s="68"/>
      <c r="J101" s="68"/>
      <c r="K101" s="68"/>
      <c r="L101" s="68"/>
      <c r="N101" s="75"/>
      <c r="O101" s="79"/>
    </row>
    <row r="102" spans="1:15" ht="12.5" x14ac:dyDescent="0.25">
      <c r="A102" s="14"/>
      <c r="C102" s="68"/>
      <c r="D102" s="68"/>
      <c r="E102" s="68"/>
      <c r="F102" s="68"/>
      <c r="G102" s="68"/>
      <c r="H102" s="68"/>
      <c r="I102" s="68"/>
      <c r="J102" s="68"/>
      <c r="K102" s="68"/>
      <c r="L102" s="68"/>
      <c r="N102" s="75"/>
      <c r="O102" s="79"/>
    </row>
    <row r="103" spans="1:15" ht="12.5" x14ac:dyDescent="0.25">
      <c r="A103" s="14"/>
      <c r="C103" s="68"/>
      <c r="D103" s="68"/>
      <c r="E103" s="68"/>
      <c r="F103" s="68"/>
      <c r="G103" s="68"/>
      <c r="H103" s="68"/>
      <c r="I103" s="68"/>
      <c r="J103" s="68"/>
      <c r="K103" s="68"/>
      <c r="L103" s="68"/>
      <c r="N103" s="75"/>
      <c r="O103" s="79"/>
    </row>
    <row r="104" spans="1:15" ht="12.5" x14ac:dyDescent="0.25">
      <c r="A104" s="14"/>
      <c r="C104" s="68"/>
      <c r="D104" s="68"/>
      <c r="E104" s="68"/>
      <c r="F104" s="68"/>
      <c r="G104" s="68"/>
      <c r="H104" s="68"/>
      <c r="I104" s="68"/>
      <c r="J104" s="68"/>
      <c r="K104" s="68"/>
      <c r="L104" s="68"/>
      <c r="N104" s="75"/>
      <c r="O104" s="79"/>
    </row>
    <row r="105" spans="1:15" ht="12.5" x14ac:dyDescent="0.25">
      <c r="A105" s="14"/>
      <c r="C105" s="68"/>
      <c r="D105" s="68"/>
      <c r="E105" s="68"/>
      <c r="F105" s="68"/>
      <c r="G105" s="68"/>
      <c r="H105" s="68"/>
      <c r="I105" s="68"/>
      <c r="J105" s="68"/>
      <c r="K105" s="68"/>
      <c r="L105" s="68"/>
      <c r="N105" s="75"/>
      <c r="O105" s="79"/>
    </row>
    <row r="106" spans="1:15" ht="12.5" x14ac:dyDescent="0.25">
      <c r="A106" s="14"/>
      <c r="C106" s="68"/>
      <c r="D106" s="68"/>
      <c r="E106" s="68"/>
      <c r="F106" s="68"/>
      <c r="G106" s="68"/>
      <c r="H106" s="68"/>
      <c r="I106" s="68"/>
      <c r="J106" s="68"/>
      <c r="K106" s="68"/>
      <c r="L106" s="68"/>
      <c r="N106" s="75"/>
      <c r="O106" s="79"/>
    </row>
    <row r="107" spans="1:15" ht="12.5" x14ac:dyDescent="0.25">
      <c r="A107" s="14"/>
      <c r="C107" s="68"/>
      <c r="D107" s="68"/>
      <c r="E107" s="68"/>
      <c r="F107" s="68"/>
      <c r="G107" s="68"/>
      <c r="H107" s="68"/>
      <c r="I107" s="68"/>
      <c r="J107" s="68"/>
      <c r="K107" s="68"/>
      <c r="L107" s="68"/>
      <c r="N107" s="75"/>
      <c r="O107" s="79"/>
    </row>
    <row r="108" spans="1:15" ht="12.5" x14ac:dyDescent="0.25">
      <c r="A108" s="14"/>
      <c r="C108" s="68"/>
      <c r="D108" s="68"/>
      <c r="E108" s="68"/>
      <c r="F108" s="68"/>
      <c r="G108" s="68"/>
      <c r="H108" s="68"/>
      <c r="I108" s="68"/>
      <c r="J108" s="68"/>
      <c r="K108" s="68"/>
      <c r="L108" s="68"/>
      <c r="N108" s="75"/>
      <c r="O108" s="79"/>
    </row>
    <row r="109" spans="1:15" ht="12.5" x14ac:dyDescent="0.25">
      <c r="A109" s="14"/>
      <c r="C109" s="68"/>
      <c r="D109" s="68"/>
      <c r="E109" s="68"/>
      <c r="F109" s="68"/>
      <c r="G109" s="68"/>
      <c r="H109" s="68"/>
      <c r="I109" s="68"/>
      <c r="J109" s="68"/>
      <c r="K109" s="68"/>
      <c r="L109" s="68"/>
      <c r="N109" s="75"/>
      <c r="O109" s="79"/>
    </row>
    <row r="110" spans="1:15" ht="12.5" x14ac:dyDescent="0.25">
      <c r="A110" s="14"/>
      <c r="C110" s="68"/>
      <c r="D110" s="68"/>
      <c r="E110" s="68"/>
      <c r="F110" s="68"/>
      <c r="G110" s="68"/>
      <c r="H110" s="68"/>
      <c r="I110" s="68"/>
      <c r="J110" s="68"/>
      <c r="K110" s="68"/>
      <c r="L110" s="68"/>
      <c r="N110" s="75"/>
      <c r="O110" s="79"/>
    </row>
    <row r="111" spans="1:15" ht="12.5" x14ac:dyDescent="0.25">
      <c r="A111" s="14"/>
      <c r="C111" s="68"/>
      <c r="D111" s="68"/>
      <c r="E111" s="68"/>
      <c r="F111" s="68"/>
      <c r="G111" s="68"/>
      <c r="H111" s="68"/>
      <c r="I111" s="68"/>
      <c r="J111" s="68"/>
      <c r="K111" s="68"/>
      <c r="L111" s="68"/>
      <c r="N111" s="75"/>
      <c r="O111" s="79"/>
    </row>
    <row r="112" spans="1:15" ht="12.5" x14ac:dyDescent="0.25">
      <c r="A112" s="14"/>
      <c r="C112" s="68"/>
      <c r="D112" s="68"/>
      <c r="E112" s="68"/>
      <c r="F112" s="68"/>
      <c r="G112" s="68"/>
      <c r="H112" s="68"/>
      <c r="I112" s="68"/>
      <c r="J112" s="68"/>
      <c r="K112" s="68"/>
      <c r="L112" s="68"/>
      <c r="N112" s="75"/>
      <c r="O112" s="79"/>
    </row>
    <row r="113" spans="1:15" ht="12.5" x14ac:dyDescent="0.25">
      <c r="A113" s="14"/>
      <c r="C113" s="68"/>
      <c r="D113" s="68"/>
      <c r="E113" s="68"/>
      <c r="F113" s="68"/>
      <c r="G113" s="68"/>
      <c r="H113" s="68"/>
      <c r="I113" s="68"/>
      <c r="J113" s="68"/>
      <c r="K113" s="68"/>
      <c r="L113" s="68"/>
      <c r="N113" s="75"/>
      <c r="O113" s="79"/>
    </row>
    <row r="114" spans="1:15" ht="12.5" x14ac:dyDescent="0.25">
      <c r="A114" s="14"/>
      <c r="C114" s="68"/>
      <c r="D114" s="68"/>
      <c r="E114" s="68"/>
      <c r="F114" s="68"/>
      <c r="G114" s="68"/>
      <c r="H114" s="68"/>
      <c r="I114" s="68"/>
      <c r="J114" s="68"/>
      <c r="K114" s="68"/>
      <c r="L114" s="68"/>
      <c r="N114" s="75"/>
      <c r="O114" s="79"/>
    </row>
    <row r="115" spans="1:15" ht="12.5" x14ac:dyDescent="0.25">
      <c r="A115" s="14"/>
      <c r="C115" s="68"/>
      <c r="D115" s="68"/>
      <c r="E115" s="68"/>
      <c r="F115" s="68"/>
      <c r="G115" s="68"/>
      <c r="H115" s="68"/>
      <c r="I115" s="68"/>
      <c r="J115" s="68"/>
      <c r="K115" s="68"/>
      <c r="L115" s="68"/>
      <c r="N115" s="75"/>
      <c r="O115" s="79"/>
    </row>
    <row r="116" spans="1:15" ht="12.5" x14ac:dyDescent="0.25">
      <c r="A116" s="14"/>
      <c r="C116" s="68"/>
      <c r="D116" s="68"/>
      <c r="E116" s="68"/>
      <c r="F116" s="68"/>
      <c r="G116" s="68"/>
      <c r="H116" s="68"/>
      <c r="I116" s="68"/>
      <c r="J116" s="68"/>
      <c r="K116" s="68"/>
      <c r="L116" s="68"/>
      <c r="N116" s="75"/>
      <c r="O116" s="79"/>
    </row>
    <row r="117" spans="1:15" ht="12.5" x14ac:dyDescent="0.25">
      <c r="A117" s="14"/>
      <c r="C117" s="68"/>
      <c r="D117" s="68"/>
      <c r="E117" s="68"/>
      <c r="F117" s="68"/>
      <c r="G117" s="68"/>
      <c r="H117" s="68"/>
      <c r="I117" s="68"/>
      <c r="J117" s="68"/>
      <c r="K117" s="68"/>
      <c r="L117" s="68"/>
      <c r="N117" s="75"/>
      <c r="O117" s="79"/>
    </row>
    <row r="118" spans="1:15" ht="12.5" x14ac:dyDescent="0.25">
      <c r="A118" s="14"/>
      <c r="C118" s="68"/>
      <c r="D118" s="68"/>
      <c r="E118" s="68"/>
      <c r="F118" s="68"/>
      <c r="G118" s="68"/>
      <c r="H118" s="68"/>
      <c r="I118" s="68"/>
      <c r="J118" s="68"/>
      <c r="K118" s="68"/>
      <c r="L118" s="68"/>
      <c r="N118" s="75"/>
      <c r="O118" s="79"/>
    </row>
    <row r="119" spans="1:15" ht="12.5" x14ac:dyDescent="0.25">
      <c r="A119" s="14"/>
      <c r="C119" s="68"/>
      <c r="D119" s="68"/>
      <c r="E119" s="68"/>
      <c r="F119" s="68"/>
      <c r="G119" s="68"/>
      <c r="H119" s="68"/>
      <c r="I119" s="68"/>
      <c r="J119" s="68"/>
      <c r="K119" s="68"/>
      <c r="L119" s="68"/>
      <c r="N119" s="75"/>
      <c r="O119" s="79"/>
    </row>
    <row r="120" spans="1:15" ht="12.5" x14ac:dyDescent="0.25">
      <c r="A120" s="14"/>
      <c r="C120" s="68"/>
      <c r="D120" s="68"/>
      <c r="E120" s="68"/>
      <c r="F120" s="68"/>
      <c r="G120" s="68"/>
      <c r="H120" s="68"/>
      <c r="I120" s="68"/>
      <c r="J120" s="68"/>
      <c r="K120" s="68"/>
      <c r="L120" s="68"/>
      <c r="N120" s="75"/>
      <c r="O120" s="79"/>
    </row>
    <row r="121" spans="1:15" ht="12.5" x14ac:dyDescent="0.25">
      <c r="A121" s="14"/>
      <c r="C121" s="68"/>
      <c r="D121" s="68"/>
      <c r="E121" s="68"/>
      <c r="F121" s="68"/>
      <c r="G121" s="68"/>
      <c r="H121" s="68"/>
      <c r="I121" s="68"/>
      <c r="J121" s="68"/>
      <c r="K121" s="68"/>
      <c r="L121" s="68"/>
      <c r="N121" s="75"/>
      <c r="O121" s="79"/>
    </row>
    <row r="122" spans="1:15" ht="12.5" x14ac:dyDescent="0.25">
      <c r="A122" s="14"/>
      <c r="C122" s="68"/>
      <c r="D122" s="68"/>
      <c r="E122" s="68"/>
      <c r="F122" s="68"/>
      <c r="G122" s="68"/>
      <c r="H122" s="68"/>
      <c r="I122" s="68"/>
      <c r="J122" s="68"/>
      <c r="K122" s="68"/>
      <c r="L122" s="68"/>
      <c r="N122" s="75"/>
      <c r="O122" s="79"/>
    </row>
    <row r="123" spans="1:15" ht="12.5" x14ac:dyDescent="0.25">
      <c r="A123" s="14"/>
      <c r="C123" s="68"/>
      <c r="D123" s="68"/>
      <c r="E123" s="68"/>
      <c r="F123" s="68"/>
      <c r="G123" s="68"/>
      <c r="H123" s="68"/>
      <c r="I123" s="68"/>
      <c r="J123" s="68"/>
      <c r="K123" s="68"/>
      <c r="L123" s="68"/>
      <c r="N123" s="75"/>
      <c r="O123" s="79"/>
    </row>
    <row r="124" spans="1:15" ht="12.5" x14ac:dyDescent="0.25">
      <c r="A124" s="14"/>
      <c r="C124" s="68"/>
      <c r="D124" s="68"/>
      <c r="E124" s="68"/>
      <c r="F124" s="68"/>
      <c r="G124" s="68"/>
      <c r="H124" s="68"/>
      <c r="I124" s="68"/>
      <c r="J124" s="68"/>
      <c r="K124" s="68"/>
      <c r="L124" s="68"/>
      <c r="N124" s="75"/>
      <c r="O124" s="79"/>
    </row>
    <row r="125" spans="1:15" ht="12.5" x14ac:dyDescent="0.25">
      <c r="A125" s="14"/>
      <c r="C125" s="68"/>
      <c r="D125" s="68"/>
      <c r="E125" s="68"/>
      <c r="F125" s="68"/>
      <c r="G125" s="68"/>
      <c r="H125" s="68"/>
      <c r="I125" s="68"/>
      <c r="J125" s="68"/>
      <c r="K125" s="68"/>
      <c r="L125" s="68"/>
      <c r="N125" s="75"/>
      <c r="O125" s="79"/>
    </row>
    <row r="126" spans="1:15" ht="12.5" x14ac:dyDescent="0.25">
      <c r="A126" s="14"/>
      <c r="C126" s="68"/>
      <c r="D126" s="68"/>
      <c r="E126" s="68"/>
      <c r="F126" s="68"/>
      <c r="G126" s="68"/>
      <c r="H126" s="68"/>
      <c r="I126" s="68"/>
      <c r="J126" s="68"/>
      <c r="K126" s="68"/>
      <c r="L126" s="68"/>
      <c r="N126" s="75"/>
      <c r="O126" s="79"/>
    </row>
    <row r="127" spans="1:15" ht="12.5" x14ac:dyDescent="0.25">
      <c r="A127" s="14"/>
      <c r="C127" s="68"/>
      <c r="D127" s="68"/>
      <c r="E127" s="68"/>
      <c r="F127" s="68"/>
      <c r="G127" s="68"/>
      <c r="H127" s="68"/>
      <c r="I127" s="68"/>
      <c r="J127" s="68"/>
      <c r="K127" s="68"/>
      <c r="L127" s="68"/>
      <c r="N127" s="75"/>
      <c r="O127" s="79"/>
    </row>
    <row r="128" spans="1:15" ht="12.5" x14ac:dyDescent="0.25">
      <c r="A128" s="14"/>
      <c r="C128" s="68"/>
      <c r="D128" s="68"/>
      <c r="E128" s="68"/>
      <c r="F128" s="68"/>
      <c r="G128" s="68"/>
      <c r="H128" s="68"/>
      <c r="I128" s="68"/>
      <c r="J128" s="68"/>
      <c r="K128" s="68"/>
      <c r="L128" s="68"/>
      <c r="N128" s="75"/>
      <c r="O128" s="79"/>
    </row>
    <row r="129" spans="1:15" ht="12.5" x14ac:dyDescent="0.25">
      <c r="A129" s="14"/>
      <c r="C129" s="68"/>
      <c r="D129" s="68"/>
      <c r="E129" s="68"/>
      <c r="F129" s="68"/>
      <c r="G129" s="68"/>
      <c r="H129" s="68"/>
      <c r="I129" s="68"/>
      <c r="J129" s="68"/>
      <c r="K129" s="68"/>
      <c r="L129" s="68"/>
      <c r="N129" s="75"/>
      <c r="O129" s="79"/>
    </row>
    <row r="130" spans="1:15" ht="12.5" x14ac:dyDescent="0.25">
      <c r="A130" s="14"/>
      <c r="C130" s="68"/>
      <c r="D130" s="68"/>
      <c r="E130" s="68"/>
      <c r="F130" s="68"/>
      <c r="G130" s="68"/>
      <c r="H130" s="68"/>
      <c r="I130" s="68"/>
      <c r="J130" s="68"/>
      <c r="K130" s="68"/>
      <c r="L130" s="68"/>
      <c r="N130" s="75"/>
      <c r="O130" s="79"/>
    </row>
    <row r="131" spans="1:15" ht="12.5" x14ac:dyDescent="0.25">
      <c r="A131" s="14"/>
      <c r="C131" s="68"/>
      <c r="D131" s="68"/>
      <c r="E131" s="68"/>
      <c r="F131" s="68"/>
      <c r="G131" s="68"/>
      <c r="H131" s="68"/>
      <c r="I131" s="68"/>
      <c r="J131" s="68"/>
      <c r="K131" s="68"/>
      <c r="L131" s="68"/>
      <c r="N131" s="75"/>
      <c r="O131" s="79"/>
    </row>
    <row r="132" spans="1:15" ht="12.5" x14ac:dyDescent="0.25">
      <c r="A132" s="14"/>
      <c r="C132" s="68"/>
      <c r="D132" s="68"/>
      <c r="E132" s="68"/>
      <c r="F132" s="68"/>
      <c r="G132" s="68"/>
      <c r="H132" s="68"/>
      <c r="I132" s="68"/>
      <c r="J132" s="68"/>
      <c r="K132" s="68"/>
      <c r="L132" s="68"/>
      <c r="N132" s="75"/>
      <c r="O132" s="79"/>
    </row>
    <row r="133" spans="1:15" ht="12.5" x14ac:dyDescent="0.25">
      <c r="A133" s="14"/>
      <c r="C133" s="68"/>
      <c r="D133" s="68"/>
      <c r="E133" s="68"/>
      <c r="F133" s="68"/>
      <c r="G133" s="68"/>
      <c r="H133" s="68"/>
      <c r="I133" s="68"/>
      <c r="J133" s="68"/>
      <c r="K133" s="68"/>
      <c r="L133" s="68"/>
      <c r="N133" s="75"/>
      <c r="O133" s="79"/>
    </row>
    <row r="134" spans="1:15" ht="12.5" x14ac:dyDescent="0.25">
      <c r="A134" s="14"/>
      <c r="C134" s="68"/>
      <c r="D134" s="68"/>
      <c r="E134" s="68"/>
      <c r="F134" s="68"/>
      <c r="G134" s="68"/>
      <c r="H134" s="68"/>
      <c r="I134" s="68"/>
      <c r="J134" s="68"/>
      <c r="K134" s="68"/>
      <c r="L134" s="68"/>
      <c r="N134" s="75"/>
      <c r="O134" s="79"/>
    </row>
    <row r="135" spans="1:15" ht="12.5" x14ac:dyDescent="0.25">
      <c r="A135" s="14"/>
      <c r="C135" s="68"/>
      <c r="D135" s="68"/>
      <c r="E135" s="68"/>
      <c r="F135" s="68"/>
      <c r="G135" s="68"/>
      <c r="H135" s="68"/>
      <c r="I135" s="68"/>
      <c r="J135" s="68"/>
      <c r="K135" s="68"/>
      <c r="L135" s="68"/>
      <c r="N135" s="75"/>
      <c r="O135" s="79"/>
    </row>
    <row r="136" spans="1:15" ht="12.5" x14ac:dyDescent="0.25">
      <c r="A136" s="14"/>
      <c r="C136" s="68"/>
      <c r="D136" s="68"/>
      <c r="E136" s="68"/>
      <c r="F136" s="68"/>
      <c r="G136" s="68"/>
      <c r="H136" s="68"/>
      <c r="I136" s="68"/>
      <c r="J136" s="68"/>
      <c r="K136" s="68"/>
      <c r="L136" s="68"/>
      <c r="N136" s="75"/>
      <c r="O136" s="79"/>
    </row>
    <row r="137" spans="1:15" ht="12.5" x14ac:dyDescent="0.25">
      <c r="A137" s="14"/>
      <c r="C137" s="68"/>
      <c r="D137" s="68"/>
      <c r="E137" s="68"/>
      <c r="F137" s="68"/>
      <c r="G137" s="68"/>
      <c r="H137" s="68"/>
      <c r="I137" s="68"/>
      <c r="J137" s="68"/>
      <c r="K137" s="68"/>
      <c r="L137" s="68"/>
      <c r="N137" s="75"/>
      <c r="O137" s="79"/>
    </row>
    <row r="138" spans="1:15" ht="12.5" x14ac:dyDescent="0.25">
      <c r="A138" s="14"/>
      <c r="C138" s="68"/>
      <c r="D138" s="68"/>
      <c r="E138" s="68"/>
      <c r="F138" s="68"/>
      <c r="G138" s="68"/>
      <c r="H138" s="68"/>
      <c r="I138" s="68"/>
      <c r="J138" s="68"/>
      <c r="K138" s="68"/>
      <c r="L138" s="68"/>
      <c r="N138" s="75"/>
      <c r="O138" s="79"/>
    </row>
    <row r="139" spans="1:15" ht="12.5" x14ac:dyDescent="0.25">
      <c r="A139" s="14"/>
      <c r="C139" s="68"/>
      <c r="D139" s="68"/>
      <c r="E139" s="68"/>
      <c r="F139" s="68"/>
      <c r="G139" s="68"/>
      <c r="H139" s="68"/>
      <c r="I139" s="68"/>
      <c r="J139" s="68"/>
      <c r="K139" s="68"/>
      <c r="L139" s="68"/>
      <c r="N139" s="75"/>
      <c r="O139" s="79"/>
    </row>
    <row r="140" spans="1:15" ht="12.5" x14ac:dyDescent="0.25">
      <c r="A140" s="14"/>
      <c r="C140" s="68"/>
      <c r="D140" s="68"/>
      <c r="E140" s="68"/>
      <c r="F140" s="68"/>
      <c r="G140" s="68"/>
      <c r="H140" s="68"/>
      <c r="I140" s="68"/>
      <c r="J140" s="68"/>
      <c r="K140" s="68"/>
      <c r="L140" s="68"/>
      <c r="N140" s="75"/>
      <c r="O140" s="79"/>
    </row>
    <row r="141" spans="1:15" ht="12.5" x14ac:dyDescent="0.25">
      <c r="A141" s="14"/>
      <c r="C141" s="68"/>
      <c r="D141" s="68"/>
      <c r="E141" s="68"/>
      <c r="F141" s="68"/>
      <c r="G141" s="68"/>
      <c r="H141" s="68"/>
      <c r="I141" s="68"/>
      <c r="J141" s="68"/>
      <c r="K141" s="68"/>
      <c r="L141" s="68"/>
      <c r="N141" s="75"/>
      <c r="O141" s="79"/>
    </row>
    <row r="142" spans="1:15" ht="12.5" x14ac:dyDescent="0.25">
      <c r="A142" s="14"/>
      <c r="C142" s="68"/>
      <c r="D142" s="68"/>
      <c r="E142" s="68"/>
      <c r="F142" s="68"/>
      <c r="G142" s="68"/>
      <c r="H142" s="68"/>
      <c r="I142" s="68"/>
      <c r="J142" s="68"/>
      <c r="K142" s="68"/>
      <c r="L142" s="68"/>
      <c r="N142" s="75"/>
      <c r="O142" s="79"/>
    </row>
    <row r="143" spans="1:15" ht="12.5" x14ac:dyDescent="0.25">
      <c r="A143" s="14"/>
      <c r="C143" s="68"/>
      <c r="D143" s="68"/>
      <c r="E143" s="68"/>
      <c r="F143" s="68"/>
      <c r="G143" s="68"/>
      <c r="H143" s="68"/>
      <c r="I143" s="68"/>
      <c r="J143" s="68"/>
      <c r="K143" s="68"/>
      <c r="L143" s="68"/>
      <c r="N143" s="75"/>
      <c r="O143" s="79"/>
    </row>
    <row r="144" spans="1:15" ht="12.5" x14ac:dyDescent="0.25">
      <c r="A144" s="14"/>
      <c r="C144" s="68"/>
      <c r="D144" s="68"/>
      <c r="E144" s="68"/>
      <c r="F144" s="68"/>
      <c r="G144" s="68"/>
      <c r="H144" s="68"/>
      <c r="I144" s="68"/>
      <c r="J144" s="68"/>
      <c r="K144" s="68"/>
      <c r="L144" s="68"/>
      <c r="N144" s="75"/>
      <c r="O144" s="79"/>
    </row>
    <row r="145" spans="1:15" ht="12.5" x14ac:dyDescent="0.25">
      <c r="A145" s="14"/>
      <c r="C145" s="68"/>
      <c r="D145" s="68"/>
      <c r="E145" s="68"/>
      <c r="F145" s="68"/>
      <c r="G145" s="68"/>
      <c r="H145" s="68"/>
      <c r="I145" s="68"/>
      <c r="J145" s="68"/>
      <c r="K145" s="68"/>
      <c r="L145" s="68"/>
      <c r="N145" s="75"/>
      <c r="O145" s="79"/>
    </row>
    <row r="146" spans="1:15" ht="12.5" x14ac:dyDescent="0.25">
      <c r="A146" s="14"/>
      <c r="C146" s="68"/>
      <c r="D146" s="68"/>
      <c r="E146" s="68"/>
      <c r="F146" s="68"/>
      <c r="G146" s="68"/>
      <c r="H146" s="68"/>
      <c r="I146" s="68"/>
      <c r="J146" s="68"/>
      <c r="K146" s="68"/>
      <c r="L146" s="68"/>
      <c r="N146" s="75"/>
      <c r="O146" s="79"/>
    </row>
    <row r="147" spans="1:15" ht="12.5" x14ac:dyDescent="0.25">
      <c r="A147" s="14"/>
      <c r="C147" s="68"/>
      <c r="D147" s="68"/>
      <c r="E147" s="68"/>
      <c r="F147" s="68"/>
      <c r="G147" s="68"/>
      <c r="H147" s="68"/>
      <c r="I147" s="68"/>
      <c r="J147" s="68"/>
      <c r="K147" s="68"/>
      <c r="L147" s="68"/>
      <c r="N147" s="75"/>
      <c r="O147" s="79"/>
    </row>
    <row r="148" spans="1:15" ht="12.5" x14ac:dyDescent="0.25">
      <c r="A148" s="14"/>
      <c r="C148" s="68"/>
      <c r="D148" s="68"/>
      <c r="E148" s="68"/>
      <c r="F148" s="68"/>
      <c r="G148" s="68"/>
      <c r="H148" s="68"/>
      <c r="I148" s="68"/>
      <c r="J148" s="68"/>
      <c r="K148" s="68"/>
      <c r="L148" s="68"/>
      <c r="N148" s="75"/>
      <c r="O148" s="79"/>
    </row>
    <row r="149" spans="1:15" ht="12.5" x14ac:dyDescent="0.25">
      <c r="A149" s="14"/>
      <c r="C149" s="68"/>
      <c r="D149" s="68"/>
      <c r="E149" s="68"/>
      <c r="F149" s="68"/>
      <c r="G149" s="68"/>
      <c r="H149" s="68"/>
      <c r="I149" s="68"/>
      <c r="J149" s="68"/>
      <c r="K149" s="68"/>
      <c r="L149" s="68"/>
      <c r="N149" s="75"/>
      <c r="O149" s="79"/>
    </row>
    <row r="150" spans="1:15" ht="12.5" x14ac:dyDescent="0.25">
      <c r="A150" s="14"/>
      <c r="C150" s="68"/>
      <c r="D150" s="68"/>
      <c r="E150" s="68"/>
      <c r="F150" s="68"/>
      <c r="G150" s="68"/>
      <c r="H150" s="68"/>
      <c r="I150" s="68"/>
      <c r="J150" s="68"/>
      <c r="K150" s="68"/>
      <c r="L150" s="68"/>
      <c r="N150" s="75"/>
      <c r="O150" s="79"/>
    </row>
    <row r="151" spans="1:15" ht="12.5" x14ac:dyDescent="0.25">
      <c r="A151" s="14"/>
      <c r="C151" s="68"/>
      <c r="D151" s="68"/>
      <c r="E151" s="68"/>
      <c r="F151" s="68"/>
      <c r="G151" s="68"/>
      <c r="H151" s="68"/>
      <c r="I151" s="68"/>
      <c r="J151" s="68"/>
      <c r="K151" s="68"/>
      <c r="L151" s="68"/>
      <c r="N151" s="75"/>
      <c r="O151" s="79"/>
    </row>
    <row r="152" spans="1:15" ht="12.5" x14ac:dyDescent="0.25">
      <c r="A152" s="14"/>
      <c r="C152" s="68"/>
      <c r="D152" s="68"/>
      <c r="E152" s="68"/>
      <c r="F152" s="68"/>
      <c r="G152" s="68"/>
      <c r="H152" s="68"/>
      <c r="I152" s="68"/>
      <c r="J152" s="68"/>
      <c r="K152" s="68"/>
      <c r="L152" s="68"/>
      <c r="N152" s="75"/>
      <c r="O152" s="79"/>
    </row>
    <row r="153" spans="1:15" ht="12.5" x14ac:dyDescent="0.25">
      <c r="A153" s="14"/>
      <c r="C153" s="68"/>
      <c r="D153" s="68"/>
      <c r="E153" s="68"/>
      <c r="F153" s="68"/>
      <c r="G153" s="68"/>
      <c r="H153" s="68"/>
      <c r="I153" s="68"/>
      <c r="J153" s="68"/>
      <c r="K153" s="68"/>
      <c r="L153" s="68"/>
      <c r="N153" s="75"/>
      <c r="O153" s="79"/>
    </row>
    <row r="154" spans="1:15" ht="12.5" x14ac:dyDescent="0.25">
      <c r="A154" s="14"/>
      <c r="C154" s="68"/>
      <c r="D154" s="68"/>
      <c r="E154" s="68"/>
      <c r="F154" s="68"/>
      <c r="G154" s="68"/>
      <c r="H154" s="68"/>
      <c r="I154" s="68"/>
      <c r="J154" s="68"/>
      <c r="K154" s="68"/>
      <c r="L154" s="68"/>
      <c r="N154" s="75"/>
      <c r="O154" s="79"/>
    </row>
    <row r="155" spans="1:15" ht="12.5" x14ac:dyDescent="0.25">
      <c r="A155" s="14"/>
      <c r="C155" s="68"/>
      <c r="D155" s="68"/>
      <c r="E155" s="68"/>
      <c r="F155" s="68"/>
      <c r="G155" s="68"/>
      <c r="H155" s="68"/>
      <c r="I155" s="68"/>
      <c r="J155" s="68"/>
      <c r="K155" s="68"/>
      <c r="L155" s="68"/>
      <c r="N155" s="75"/>
      <c r="O155" s="79"/>
    </row>
    <row r="156" spans="1:15" ht="12.5" x14ac:dyDescent="0.25">
      <c r="A156" s="14"/>
      <c r="C156" s="68"/>
      <c r="D156" s="68"/>
      <c r="E156" s="68"/>
      <c r="F156" s="68"/>
      <c r="G156" s="68"/>
      <c r="H156" s="68"/>
      <c r="I156" s="68"/>
      <c r="J156" s="68"/>
      <c r="K156" s="68"/>
      <c r="L156" s="68"/>
      <c r="N156" s="75"/>
      <c r="O156" s="79"/>
    </row>
    <row r="157" spans="1:15" ht="12.5" x14ac:dyDescent="0.25">
      <c r="A157" s="14"/>
      <c r="C157" s="68"/>
      <c r="D157" s="68"/>
      <c r="E157" s="68"/>
      <c r="F157" s="68"/>
      <c r="G157" s="68"/>
      <c r="H157" s="68"/>
      <c r="I157" s="68"/>
      <c r="J157" s="68"/>
      <c r="K157" s="68"/>
      <c r="L157" s="68"/>
      <c r="N157" s="75"/>
      <c r="O157" s="79"/>
    </row>
    <row r="158" spans="1:15" ht="12.5" x14ac:dyDescent="0.25">
      <c r="A158" s="14"/>
      <c r="C158" s="68"/>
      <c r="D158" s="68"/>
      <c r="E158" s="68"/>
      <c r="F158" s="68"/>
      <c r="G158" s="68"/>
      <c r="H158" s="68"/>
      <c r="I158" s="68"/>
      <c r="J158" s="68"/>
      <c r="K158" s="68"/>
      <c r="L158" s="68"/>
      <c r="N158" s="75"/>
      <c r="O158" s="79"/>
    </row>
    <row r="159" spans="1:15" ht="12.5" x14ac:dyDescent="0.25">
      <c r="A159" s="14"/>
      <c r="C159" s="68"/>
      <c r="D159" s="68"/>
      <c r="E159" s="68"/>
      <c r="F159" s="68"/>
      <c r="G159" s="68"/>
      <c r="H159" s="68"/>
      <c r="I159" s="68"/>
      <c r="J159" s="68"/>
      <c r="K159" s="68"/>
      <c r="L159" s="68"/>
      <c r="N159" s="75"/>
      <c r="O159" s="79"/>
    </row>
    <row r="160" spans="1:15" ht="12.5" x14ac:dyDescent="0.25">
      <c r="A160" s="14"/>
      <c r="C160" s="68"/>
      <c r="D160" s="68"/>
      <c r="E160" s="68"/>
      <c r="F160" s="68"/>
      <c r="G160" s="68"/>
      <c r="H160" s="68"/>
      <c r="I160" s="68"/>
      <c r="J160" s="68"/>
      <c r="K160" s="68"/>
      <c r="L160" s="68"/>
      <c r="N160" s="75"/>
      <c r="O160" s="79"/>
    </row>
    <row r="161" spans="1:15" ht="12.5" x14ac:dyDescent="0.25">
      <c r="A161" s="14"/>
      <c r="C161" s="68"/>
      <c r="D161" s="68"/>
      <c r="E161" s="68"/>
      <c r="F161" s="68"/>
      <c r="G161" s="68"/>
      <c r="H161" s="68"/>
      <c r="I161" s="68"/>
      <c r="J161" s="68"/>
      <c r="K161" s="68"/>
      <c r="L161" s="68"/>
      <c r="N161" s="75"/>
      <c r="O161" s="79"/>
    </row>
    <row r="162" spans="1:15" ht="12.5" x14ac:dyDescent="0.25">
      <c r="A162" s="14"/>
      <c r="C162" s="68"/>
      <c r="D162" s="68"/>
      <c r="E162" s="68"/>
      <c r="F162" s="68"/>
      <c r="G162" s="68"/>
      <c r="H162" s="68"/>
      <c r="I162" s="68"/>
      <c r="J162" s="68"/>
      <c r="K162" s="68"/>
      <c r="L162" s="68"/>
      <c r="N162" s="75"/>
      <c r="O162" s="79"/>
    </row>
    <row r="163" spans="1:15" ht="12.5" x14ac:dyDescent="0.25">
      <c r="A163" s="14"/>
      <c r="C163" s="68"/>
      <c r="D163" s="68"/>
      <c r="E163" s="68"/>
      <c r="F163" s="68"/>
      <c r="G163" s="68"/>
      <c r="H163" s="68"/>
      <c r="I163" s="68"/>
      <c r="J163" s="68"/>
      <c r="K163" s="68"/>
      <c r="L163" s="68"/>
      <c r="N163" s="75"/>
      <c r="O163" s="79"/>
    </row>
    <row r="164" spans="1:15" ht="12.5" x14ac:dyDescent="0.25">
      <c r="A164" s="14"/>
      <c r="C164" s="68"/>
      <c r="D164" s="68"/>
      <c r="E164" s="68"/>
      <c r="F164" s="68"/>
      <c r="G164" s="68"/>
      <c r="H164" s="68"/>
      <c r="I164" s="68"/>
      <c r="J164" s="68"/>
      <c r="K164" s="68"/>
      <c r="L164" s="68"/>
      <c r="N164" s="75"/>
      <c r="O164" s="79"/>
    </row>
    <row r="165" spans="1:15" ht="12.5" x14ac:dyDescent="0.25">
      <c r="A165" s="14"/>
      <c r="C165" s="68"/>
      <c r="D165" s="68"/>
      <c r="E165" s="68"/>
      <c r="F165" s="68"/>
      <c r="G165" s="68"/>
      <c r="H165" s="68"/>
      <c r="I165" s="68"/>
      <c r="J165" s="68"/>
      <c r="K165" s="68"/>
      <c r="L165" s="68"/>
      <c r="N165" s="75"/>
      <c r="O165" s="79"/>
    </row>
    <row r="166" spans="1:15" ht="12.5" x14ac:dyDescent="0.25">
      <c r="A166" s="14"/>
      <c r="C166" s="68"/>
      <c r="D166" s="68"/>
      <c r="E166" s="68"/>
      <c r="F166" s="68"/>
      <c r="G166" s="68"/>
      <c r="H166" s="68"/>
      <c r="I166" s="68"/>
      <c r="J166" s="68"/>
      <c r="K166" s="68"/>
      <c r="L166" s="68"/>
      <c r="N166" s="75"/>
      <c r="O166" s="79"/>
    </row>
    <row r="167" spans="1:15" ht="12.5" x14ac:dyDescent="0.25">
      <c r="A167" s="14"/>
      <c r="C167" s="68"/>
      <c r="D167" s="68"/>
      <c r="E167" s="68"/>
      <c r="F167" s="68"/>
      <c r="G167" s="68"/>
      <c r="H167" s="68"/>
      <c r="I167" s="68"/>
      <c r="J167" s="68"/>
      <c r="K167" s="68"/>
      <c r="L167" s="68"/>
      <c r="N167" s="75"/>
      <c r="O167" s="79"/>
    </row>
    <row r="168" spans="1:15" ht="12.5" x14ac:dyDescent="0.25">
      <c r="A168" s="14"/>
      <c r="C168" s="68"/>
      <c r="D168" s="68"/>
      <c r="E168" s="68"/>
      <c r="F168" s="68"/>
      <c r="G168" s="68"/>
      <c r="H168" s="68"/>
      <c r="I168" s="68"/>
      <c r="J168" s="68"/>
      <c r="K168" s="68"/>
      <c r="L168" s="68"/>
      <c r="N168" s="75"/>
      <c r="O168" s="79"/>
    </row>
    <row r="169" spans="1:15" ht="12.5" x14ac:dyDescent="0.25">
      <c r="A169" s="14"/>
      <c r="C169" s="68"/>
      <c r="D169" s="68"/>
      <c r="E169" s="68"/>
      <c r="F169" s="68"/>
      <c r="G169" s="68"/>
      <c r="H169" s="68"/>
      <c r="I169" s="68"/>
      <c r="J169" s="68"/>
      <c r="K169" s="68"/>
      <c r="L169" s="68"/>
      <c r="N169" s="75"/>
      <c r="O169" s="79"/>
    </row>
    <row r="170" spans="1:15" ht="12.5" x14ac:dyDescent="0.25">
      <c r="A170" s="14"/>
      <c r="C170" s="68"/>
      <c r="D170" s="68"/>
      <c r="E170" s="68"/>
      <c r="F170" s="68"/>
      <c r="G170" s="68"/>
      <c r="H170" s="68"/>
      <c r="I170" s="68"/>
      <c r="J170" s="68"/>
      <c r="K170" s="68"/>
      <c r="L170" s="68"/>
      <c r="N170" s="75"/>
      <c r="O170" s="79"/>
    </row>
    <row r="171" spans="1:15" ht="12.5" x14ac:dyDescent="0.25">
      <c r="A171" s="14"/>
      <c r="C171" s="68"/>
      <c r="D171" s="68"/>
      <c r="E171" s="68"/>
      <c r="F171" s="68"/>
      <c r="G171" s="68"/>
      <c r="H171" s="68"/>
      <c r="I171" s="68"/>
      <c r="J171" s="68"/>
      <c r="K171" s="68"/>
      <c r="L171" s="68"/>
      <c r="N171" s="75"/>
      <c r="O171" s="79"/>
    </row>
    <row r="172" spans="1:15" ht="12.5" x14ac:dyDescent="0.25">
      <c r="A172" s="14"/>
      <c r="C172" s="68"/>
      <c r="D172" s="68"/>
      <c r="E172" s="68"/>
      <c r="F172" s="68"/>
      <c r="G172" s="68"/>
      <c r="H172" s="68"/>
      <c r="I172" s="68"/>
      <c r="J172" s="68"/>
      <c r="K172" s="68"/>
      <c r="L172" s="68"/>
      <c r="N172" s="75"/>
      <c r="O172" s="79"/>
    </row>
    <row r="173" spans="1:15" ht="12.5" x14ac:dyDescent="0.25">
      <c r="A173" s="14"/>
      <c r="C173" s="68"/>
      <c r="D173" s="68"/>
      <c r="E173" s="68"/>
      <c r="F173" s="68"/>
      <c r="G173" s="68"/>
      <c r="H173" s="68"/>
      <c r="I173" s="68"/>
      <c r="J173" s="68"/>
      <c r="K173" s="68"/>
      <c r="L173" s="68"/>
      <c r="N173" s="75"/>
      <c r="O173" s="79"/>
    </row>
    <row r="174" spans="1:15" ht="12.5" x14ac:dyDescent="0.25">
      <c r="A174" s="14"/>
      <c r="C174" s="68"/>
      <c r="D174" s="68"/>
      <c r="E174" s="68"/>
      <c r="F174" s="68"/>
      <c r="G174" s="68"/>
      <c r="H174" s="68"/>
      <c r="I174" s="68"/>
      <c r="J174" s="68"/>
      <c r="K174" s="68"/>
      <c r="L174" s="68"/>
      <c r="N174" s="75"/>
      <c r="O174" s="79"/>
    </row>
    <row r="175" spans="1:15" ht="12.5" x14ac:dyDescent="0.25">
      <c r="A175" s="14"/>
      <c r="C175" s="68"/>
      <c r="D175" s="68"/>
      <c r="E175" s="68"/>
      <c r="F175" s="68"/>
      <c r="G175" s="68"/>
      <c r="H175" s="68"/>
      <c r="I175" s="68"/>
      <c r="J175" s="68"/>
      <c r="K175" s="68"/>
      <c r="L175" s="68"/>
      <c r="N175" s="75"/>
      <c r="O175" s="79"/>
    </row>
    <row r="176" spans="1:15" ht="12.5" x14ac:dyDescent="0.25">
      <c r="A176" s="14"/>
      <c r="C176" s="68"/>
      <c r="D176" s="68"/>
      <c r="E176" s="68"/>
      <c r="F176" s="68"/>
      <c r="G176" s="68"/>
      <c r="H176" s="68"/>
      <c r="I176" s="68"/>
      <c r="J176" s="68"/>
      <c r="K176" s="68"/>
      <c r="L176" s="68"/>
      <c r="N176" s="75"/>
      <c r="O176" s="79"/>
    </row>
    <row r="177" spans="1:15" ht="12.5" x14ac:dyDescent="0.25">
      <c r="A177" s="14"/>
      <c r="C177" s="68"/>
      <c r="D177" s="68"/>
      <c r="E177" s="68"/>
      <c r="F177" s="68"/>
      <c r="G177" s="68"/>
      <c r="H177" s="68"/>
      <c r="I177" s="68"/>
      <c r="J177" s="68"/>
      <c r="K177" s="68"/>
      <c r="L177" s="68"/>
      <c r="N177" s="75"/>
      <c r="O177" s="79"/>
    </row>
    <row r="178" spans="1:15" ht="12.5" x14ac:dyDescent="0.25">
      <c r="A178" s="14"/>
      <c r="C178" s="68"/>
      <c r="D178" s="68"/>
      <c r="E178" s="68"/>
      <c r="F178" s="68"/>
      <c r="G178" s="68"/>
      <c r="H178" s="68"/>
      <c r="I178" s="68"/>
      <c r="J178" s="68"/>
      <c r="K178" s="68"/>
      <c r="L178" s="68"/>
      <c r="N178" s="75"/>
      <c r="O178" s="79"/>
    </row>
    <row r="179" spans="1:15" ht="12.5" x14ac:dyDescent="0.25">
      <c r="A179" s="14"/>
      <c r="C179" s="68"/>
      <c r="D179" s="68"/>
      <c r="E179" s="68"/>
      <c r="F179" s="68"/>
      <c r="G179" s="68"/>
      <c r="H179" s="68"/>
      <c r="I179" s="68"/>
      <c r="J179" s="68"/>
      <c r="K179" s="68"/>
      <c r="L179" s="68"/>
      <c r="N179" s="75"/>
      <c r="O179" s="79"/>
    </row>
    <row r="180" spans="1:15" ht="12.5" x14ac:dyDescent="0.25">
      <c r="A180" s="14"/>
      <c r="C180" s="68"/>
      <c r="D180" s="68"/>
      <c r="E180" s="68"/>
      <c r="F180" s="68"/>
      <c r="G180" s="68"/>
      <c r="H180" s="68"/>
      <c r="I180" s="68"/>
      <c r="J180" s="68"/>
      <c r="K180" s="68"/>
      <c r="L180" s="68"/>
      <c r="N180" s="75"/>
      <c r="O180" s="79"/>
    </row>
    <row r="181" spans="1:15" ht="12.5" x14ac:dyDescent="0.25">
      <c r="A181" s="14"/>
      <c r="C181" s="68"/>
      <c r="D181" s="68"/>
      <c r="E181" s="68"/>
      <c r="F181" s="68"/>
      <c r="G181" s="68"/>
      <c r="H181" s="68"/>
      <c r="I181" s="68"/>
      <c r="J181" s="68"/>
      <c r="K181" s="68"/>
      <c r="L181" s="68"/>
      <c r="N181" s="75"/>
      <c r="O181" s="79"/>
    </row>
    <row r="182" spans="1:15" ht="12.5" x14ac:dyDescent="0.25">
      <c r="A182" s="14"/>
      <c r="C182" s="68"/>
      <c r="D182" s="68"/>
      <c r="E182" s="68"/>
      <c r="F182" s="68"/>
      <c r="G182" s="68"/>
      <c r="H182" s="68"/>
      <c r="I182" s="68"/>
      <c r="J182" s="68"/>
      <c r="K182" s="68"/>
      <c r="L182" s="68"/>
      <c r="N182" s="75"/>
      <c r="O182" s="79"/>
    </row>
    <row r="183" spans="1:15" ht="12.5" x14ac:dyDescent="0.25">
      <c r="A183" s="14"/>
      <c r="C183" s="68"/>
      <c r="D183" s="68"/>
      <c r="E183" s="68"/>
      <c r="F183" s="68"/>
      <c r="G183" s="68"/>
      <c r="H183" s="68"/>
      <c r="I183" s="68"/>
      <c r="J183" s="68"/>
      <c r="K183" s="68"/>
      <c r="L183" s="68"/>
      <c r="N183" s="75"/>
      <c r="O183" s="79"/>
    </row>
    <row r="184" spans="1:15" ht="12.5" x14ac:dyDescent="0.25">
      <c r="A184" s="14"/>
      <c r="C184" s="68"/>
      <c r="D184" s="68"/>
      <c r="E184" s="68"/>
      <c r="F184" s="68"/>
      <c r="G184" s="68"/>
      <c r="H184" s="68"/>
      <c r="I184" s="68"/>
      <c r="J184" s="68"/>
      <c r="K184" s="68"/>
      <c r="L184" s="68"/>
      <c r="N184" s="75"/>
      <c r="O184" s="79"/>
    </row>
    <row r="185" spans="1:15" ht="12.5" x14ac:dyDescent="0.25">
      <c r="A185" s="14"/>
      <c r="C185" s="68"/>
      <c r="D185" s="68"/>
      <c r="E185" s="68"/>
      <c r="F185" s="68"/>
      <c r="G185" s="68"/>
      <c r="H185" s="68"/>
      <c r="I185" s="68"/>
      <c r="J185" s="68"/>
      <c r="K185" s="68"/>
      <c r="L185" s="68"/>
      <c r="N185" s="75"/>
      <c r="O185" s="79"/>
    </row>
    <row r="186" spans="1:15" ht="12.5" x14ac:dyDescent="0.25">
      <c r="A186" s="14"/>
      <c r="C186" s="68"/>
      <c r="D186" s="68"/>
      <c r="E186" s="68"/>
      <c r="F186" s="68"/>
      <c r="G186" s="68"/>
      <c r="H186" s="68"/>
      <c r="I186" s="68"/>
      <c r="J186" s="68"/>
      <c r="K186" s="68"/>
      <c r="L186" s="68"/>
      <c r="N186" s="75"/>
      <c r="O186" s="79"/>
    </row>
    <row r="187" spans="1:15" ht="12.5" x14ac:dyDescent="0.25">
      <c r="A187" s="14"/>
      <c r="C187" s="68"/>
      <c r="D187" s="68"/>
      <c r="E187" s="68"/>
      <c r="F187" s="68"/>
      <c r="G187" s="68"/>
      <c r="H187" s="68"/>
      <c r="I187" s="68"/>
      <c r="J187" s="68"/>
      <c r="K187" s="68"/>
      <c r="L187" s="68"/>
      <c r="N187" s="75"/>
      <c r="O187" s="79"/>
    </row>
    <row r="188" spans="1:15" ht="12.5" x14ac:dyDescent="0.25">
      <c r="A188" s="14"/>
      <c r="C188" s="68"/>
      <c r="D188" s="68"/>
      <c r="E188" s="68"/>
      <c r="F188" s="68"/>
      <c r="G188" s="68"/>
      <c r="H188" s="68"/>
      <c r="I188" s="68"/>
      <c r="J188" s="68"/>
      <c r="K188" s="68"/>
      <c r="L188" s="68"/>
      <c r="N188" s="75"/>
      <c r="O188" s="79"/>
    </row>
    <row r="189" spans="1:15" ht="12.5" x14ac:dyDescent="0.25">
      <c r="A189" s="14"/>
      <c r="C189" s="68"/>
      <c r="D189" s="68"/>
      <c r="E189" s="68"/>
      <c r="F189" s="68"/>
      <c r="G189" s="68"/>
      <c r="H189" s="68"/>
      <c r="I189" s="68"/>
      <c r="J189" s="68"/>
      <c r="K189" s="68"/>
      <c r="L189" s="68"/>
      <c r="N189" s="75"/>
      <c r="O189" s="79"/>
    </row>
    <row r="190" spans="1:15" ht="12.5" x14ac:dyDescent="0.25">
      <c r="A190" s="14"/>
      <c r="C190" s="68"/>
      <c r="D190" s="68"/>
      <c r="E190" s="68"/>
      <c r="F190" s="68"/>
      <c r="G190" s="68"/>
      <c r="H190" s="68"/>
      <c r="I190" s="68"/>
      <c r="J190" s="68"/>
      <c r="K190" s="68"/>
      <c r="L190" s="68"/>
      <c r="N190" s="75"/>
      <c r="O190" s="79"/>
    </row>
    <row r="191" spans="1:15" ht="12.5" x14ac:dyDescent="0.25">
      <c r="A191" s="14"/>
      <c r="C191" s="68"/>
      <c r="D191" s="68"/>
      <c r="E191" s="68"/>
      <c r="F191" s="68"/>
      <c r="G191" s="68"/>
      <c r="H191" s="68"/>
      <c r="I191" s="68"/>
      <c r="J191" s="68"/>
      <c r="K191" s="68"/>
      <c r="L191" s="68"/>
      <c r="N191" s="75"/>
      <c r="O191" s="79"/>
    </row>
    <row r="192" spans="1:15" ht="12.5" x14ac:dyDescent="0.25">
      <c r="A192" s="14"/>
      <c r="C192" s="68"/>
      <c r="D192" s="68"/>
      <c r="E192" s="68"/>
      <c r="F192" s="68"/>
      <c r="G192" s="68"/>
      <c r="H192" s="68"/>
      <c r="I192" s="68"/>
      <c r="J192" s="68"/>
      <c r="K192" s="68"/>
      <c r="L192" s="68"/>
      <c r="N192" s="75"/>
      <c r="O192" s="79"/>
    </row>
    <row r="193" spans="1:15" ht="12.5" x14ac:dyDescent="0.25">
      <c r="A193" s="14"/>
      <c r="C193" s="68"/>
      <c r="D193" s="68"/>
      <c r="E193" s="68"/>
      <c r="F193" s="68"/>
      <c r="G193" s="68"/>
      <c r="H193" s="68"/>
      <c r="I193" s="68"/>
      <c r="J193" s="68"/>
      <c r="K193" s="68"/>
      <c r="L193" s="68"/>
      <c r="N193" s="75"/>
      <c r="O193" s="79"/>
    </row>
    <row r="194" spans="1:15" ht="12.5" x14ac:dyDescent="0.25">
      <c r="A194" s="14"/>
      <c r="C194" s="68"/>
      <c r="D194" s="68"/>
      <c r="E194" s="68"/>
      <c r="F194" s="68"/>
      <c r="G194" s="68"/>
      <c r="H194" s="68"/>
      <c r="I194" s="68"/>
      <c r="J194" s="68"/>
      <c r="K194" s="68"/>
      <c r="L194" s="68"/>
      <c r="N194" s="75"/>
      <c r="O194" s="79"/>
    </row>
    <row r="195" spans="1:15" ht="12.5" x14ac:dyDescent="0.25">
      <c r="A195" s="14"/>
      <c r="C195" s="68"/>
      <c r="D195" s="68"/>
      <c r="E195" s="68"/>
      <c r="F195" s="68"/>
      <c r="G195" s="68"/>
      <c r="H195" s="68"/>
      <c r="I195" s="68"/>
      <c r="J195" s="68"/>
      <c r="K195" s="68"/>
      <c r="L195" s="68"/>
      <c r="N195" s="75"/>
      <c r="O195" s="79"/>
    </row>
    <row r="196" spans="1:15" ht="12.5" x14ac:dyDescent="0.25">
      <c r="A196" s="14"/>
      <c r="C196" s="68"/>
      <c r="D196" s="68"/>
      <c r="E196" s="68"/>
      <c r="F196" s="68"/>
      <c r="G196" s="68"/>
      <c r="H196" s="68"/>
      <c r="I196" s="68"/>
      <c r="J196" s="68"/>
      <c r="K196" s="68"/>
      <c r="L196" s="68"/>
      <c r="N196" s="75"/>
      <c r="O196" s="79"/>
    </row>
    <row r="197" spans="1:15" ht="12.5" x14ac:dyDescent="0.25">
      <c r="A197" s="14"/>
      <c r="C197" s="68"/>
      <c r="D197" s="68"/>
      <c r="E197" s="68"/>
      <c r="F197" s="68"/>
      <c r="G197" s="68"/>
      <c r="H197" s="68"/>
      <c r="I197" s="68"/>
      <c r="J197" s="68"/>
      <c r="K197" s="68"/>
      <c r="L197" s="68"/>
      <c r="N197" s="75"/>
      <c r="O197" s="79"/>
    </row>
    <row r="198" spans="1:15" ht="12.5" x14ac:dyDescent="0.25">
      <c r="A198" s="14"/>
      <c r="C198" s="68"/>
      <c r="D198" s="68"/>
      <c r="E198" s="68"/>
      <c r="F198" s="68"/>
      <c r="G198" s="68"/>
      <c r="H198" s="68"/>
      <c r="I198" s="68"/>
      <c r="J198" s="68"/>
      <c r="K198" s="68"/>
      <c r="L198" s="68"/>
      <c r="N198" s="75"/>
      <c r="O198" s="79"/>
    </row>
    <row r="199" spans="1:15" ht="12.5" x14ac:dyDescent="0.25">
      <c r="A199" s="14"/>
      <c r="C199" s="68"/>
      <c r="D199" s="68"/>
      <c r="E199" s="68"/>
      <c r="F199" s="68"/>
      <c r="G199" s="68"/>
      <c r="H199" s="68"/>
      <c r="I199" s="68"/>
      <c r="J199" s="68"/>
      <c r="K199" s="68"/>
      <c r="L199" s="68"/>
      <c r="N199" s="75"/>
      <c r="O199" s="79"/>
    </row>
    <row r="200" spans="1:15" ht="12.5" x14ac:dyDescent="0.25">
      <c r="A200" s="14"/>
      <c r="C200" s="68"/>
      <c r="D200" s="68"/>
      <c r="E200" s="68"/>
      <c r="F200" s="68"/>
      <c r="G200" s="68"/>
      <c r="H200" s="68"/>
      <c r="I200" s="68"/>
      <c r="J200" s="68"/>
      <c r="K200" s="68"/>
      <c r="L200" s="68"/>
      <c r="N200" s="75"/>
      <c r="O200" s="79"/>
    </row>
    <row r="201" spans="1:15" ht="12.5" x14ac:dyDescent="0.25">
      <c r="A201" s="14"/>
      <c r="C201" s="68"/>
      <c r="D201" s="68"/>
      <c r="E201" s="68"/>
      <c r="F201" s="68"/>
      <c r="G201" s="68"/>
      <c r="H201" s="68"/>
      <c r="I201" s="68"/>
      <c r="J201" s="68"/>
      <c r="K201" s="68"/>
      <c r="L201" s="68"/>
      <c r="N201" s="75"/>
      <c r="O201" s="79"/>
    </row>
    <row r="202" spans="1:15" ht="12.5" x14ac:dyDescent="0.25">
      <c r="A202" s="14"/>
      <c r="C202" s="68"/>
      <c r="D202" s="68"/>
      <c r="E202" s="68"/>
      <c r="F202" s="68"/>
      <c r="G202" s="68"/>
      <c r="H202" s="68"/>
      <c r="I202" s="68"/>
      <c r="J202" s="68"/>
      <c r="K202" s="68"/>
      <c r="L202" s="68"/>
      <c r="N202" s="75"/>
      <c r="O202" s="79"/>
    </row>
    <row r="203" spans="1:15" ht="12.5" x14ac:dyDescent="0.25">
      <c r="A203" s="14"/>
      <c r="C203" s="68"/>
      <c r="D203" s="68"/>
      <c r="E203" s="68"/>
      <c r="F203" s="68"/>
      <c r="G203" s="68"/>
      <c r="H203" s="68"/>
      <c r="I203" s="68"/>
      <c r="J203" s="68"/>
      <c r="K203" s="68"/>
      <c r="L203" s="68"/>
      <c r="N203" s="75"/>
      <c r="O203" s="79"/>
    </row>
    <row r="204" spans="1:15" ht="12.5" x14ac:dyDescent="0.25">
      <c r="A204" s="14"/>
      <c r="C204" s="68"/>
      <c r="D204" s="68"/>
      <c r="E204" s="68"/>
      <c r="F204" s="68"/>
      <c r="G204" s="68"/>
      <c r="H204" s="68"/>
      <c r="I204" s="68"/>
      <c r="J204" s="68"/>
      <c r="K204" s="68"/>
      <c r="L204" s="68"/>
      <c r="N204" s="75"/>
      <c r="O204" s="79"/>
    </row>
    <row r="205" spans="1:15" ht="12.5" x14ac:dyDescent="0.25">
      <c r="A205" s="14"/>
      <c r="C205" s="68"/>
      <c r="D205" s="68"/>
      <c r="E205" s="68"/>
      <c r="F205" s="68"/>
      <c r="G205" s="68"/>
      <c r="H205" s="68"/>
      <c r="I205" s="68"/>
      <c r="J205" s="68"/>
      <c r="K205" s="68"/>
      <c r="L205" s="68"/>
      <c r="N205" s="75"/>
      <c r="O205" s="79"/>
    </row>
    <row r="206" spans="1:15" ht="12.5" x14ac:dyDescent="0.25">
      <c r="A206" s="14"/>
      <c r="C206" s="68"/>
      <c r="D206" s="68"/>
      <c r="E206" s="68"/>
      <c r="F206" s="68"/>
      <c r="G206" s="68"/>
      <c r="H206" s="68"/>
      <c r="I206" s="68"/>
      <c r="J206" s="68"/>
      <c r="K206" s="68"/>
      <c r="L206" s="68"/>
      <c r="N206" s="75"/>
      <c r="O206" s="79"/>
    </row>
    <row r="207" spans="1:15" ht="12.5" x14ac:dyDescent="0.25">
      <c r="A207" s="14"/>
      <c r="C207" s="68"/>
      <c r="D207" s="68"/>
      <c r="E207" s="68"/>
      <c r="F207" s="68"/>
      <c r="G207" s="68"/>
      <c r="H207" s="68"/>
      <c r="I207" s="68"/>
      <c r="J207" s="68"/>
      <c r="K207" s="68"/>
      <c r="L207" s="68"/>
      <c r="N207" s="75"/>
      <c r="O207" s="79"/>
    </row>
    <row r="208" spans="1:15" ht="12.5" x14ac:dyDescent="0.25">
      <c r="A208" s="14"/>
      <c r="C208" s="68"/>
      <c r="D208" s="68"/>
      <c r="E208" s="68"/>
      <c r="F208" s="68"/>
      <c r="G208" s="68"/>
      <c r="H208" s="68"/>
      <c r="I208" s="68"/>
      <c r="J208" s="68"/>
      <c r="K208" s="68"/>
      <c r="L208" s="68"/>
      <c r="N208" s="75"/>
      <c r="O208" s="79"/>
    </row>
    <row r="209" spans="1:15" ht="12.5" x14ac:dyDescent="0.25">
      <c r="A209" s="14"/>
      <c r="C209" s="68"/>
      <c r="D209" s="68"/>
      <c r="E209" s="68"/>
      <c r="F209" s="68"/>
      <c r="G209" s="68"/>
      <c r="H209" s="68"/>
      <c r="I209" s="68"/>
      <c r="J209" s="68"/>
      <c r="K209" s="68"/>
      <c r="L209" s="68"/>
      <c r="N209" s="75"/>
      <c r="O209" s="79"/>
    </row>
    <row r="210" spans="1:15" ht="12.5" x14ac:dyDescent="0.25">
      <c r="A210" s="14"/>
      <c r="C210" s="68"/>
      <c r="D210" s="68"/>
      <c r="E210" s="68"/>
      <c r="F210" s="68"/>
      <c r="G210" s="68"/>
      <c r="H210" s="68"/>
      <c r="I210" s="68"/>
      <c r="J210" s="68"/>
      <c r="K210" s="68"/>
      <c r="L210" s="68"/>
      <c r="N210" s="75"/>
      <c r="O210" s="79"/>
    </row>
    <row r="211" spans="1:15" ht="12.5" x14ac:dyDescent="0.25">
      <c r="A211" s="14"/>
      <c r="C211" s="68"/>
      <c r="D211" s="68"/>
      <c r="E211" s="68"/>
      <c r="F211" s="68"/>
      <c r="G211" s="68"/>
      <c r="H211" s="68"/>
      <c r="I211" s="68"/>
      <c r="J211" s="68"/>
      <c r="K211" s="68"/>
      <c r="L211" s="68"/>
      <c r="N211" s="75"/>
      <c r="O211" s="79"/>
    </row>
    <row r="212" spans="1:15" ht="12.5" x14ac:dyDescent="0.25">
      <c r="A212" s="14"/>
      <c r="C212" s="68"/>
      <c r="D212" s="68"/>
      <c r="E212" s="68"/>
      <c r="F212" s="68"/>
      <c r="G212" s="68"/>
      <c r="H212" s="68"/>
      <c r="I212" s="68"/>
      <c r="J212" s="68"/>
      <c r="K212" s="68"/>
      <c r="L212" s="68"/>
      <c r="N212" s="75"/>
      <c r="O212" s="79"/>
    </row>
    <row r="213" spans="1:15" ht="12.5" x14ac:dyDescent="0.25">
      <c r="A213" s="14"/>
      <c r="C213" s="68"/>
      <c r="D213" s="68"/>
      <c r="E213" s="68"/>
      <c r="F213" s="68"/>
      <c r="G213" s="68"/>
      <c r="H213" s="68"/>
      <c r="I213" s="68"/>
      <c r="J213" s="68"/>
      <c r="K213" s="68"/>
      <c r="L213" s="68"/>
      <c r="N213" s="75"/>
      <c r="O213" s="79"/>
    </row>
    <row r="214" spans="1:15" ht="12.5" x14ac:dyDescent="0.25">
      <c r="A214" s="14"/>
      <c r="C214" s="68"/>
      <c r="D214" s="68"/>
      <c r="E214" s="68"/>
      <c r="F214" s="68"/>
      <c r="G214" s="68"/>
      <c r="H214" s="68"/>
      <c r="I214" s="68"/>
      <c r="J214" s="68"/>
      <c r="K214" s="68"/>
      <c r="L214" s="68"/>
      <c r="N214" s="75"/>
      <c r="O214" s="79"/>
    </row>
    <row r="215" spans="1:15" ht="12.5" x14ac:dyDescent="0.25">
      <c r="A215" s="14"/>
      <c r="C215" s="68"/>
      <c r="D215" s="68"/>
      <c r="E215" s="68"/>
      <c r="F215" s="68"/>
      <c r="G215" s="68"/>
      <c r="H215" s="68"/>
      <c r="I215" s="68"/>
      <c r="J215" s="68"/>
      <c r="K215" s="68"/>
      <c r="L215" s="68"/>
      <c r="N215" s="75"/>
      <c r="O215" s="79"/>
    </row>
    <row r="216" spans="1:15" ht="12.5" x14ac:dyDescent="0.25">
      <c r="A216" s="14"/>
      <c r="C216" s="68"/>
      <c r="D216" s="68"/>
      <c r="E216" s="68"/>
      <c r="F216" s="68"/>
      <c r="G216" s="68"/>
      <c r="H216" s="68"/>
      <c r="I216" s="68"/>
      <c r="J216" s="68"/>
      <c r="K216" s="68"/>
      <c r="L216" s="68"/>
      <c r="N216" s="75"/>
      <c r="O216" s="79"/>
    </row>
    <row r="217" spans="1:15" ht="12.5" x14ac:dyDescent="0.25">
      <c r="A217" s="14"/>
      <c r="C217" s="68"/>
      <c r="D217" s="68"/>
      <c r="E217" s="68"/>
      <c r="F217" s="68"/>
      <c r="G217" s="68"/>
      <c r="H217" s="68"/>
      <c r="I217" s="68"/>
      <c r="J217" s="68"/>
      <c r="K217" s="68"/>
      <c r="L217" s="68"/>
      <c r="N217" s="75"/>
      <c r="O217" s="79"/>
    </row>
    <row r="218" spans="1:15" ht="12.5" x14ac:dyDescent="0.25">
      <c r="A218" s="14"/>
      <c r="C218" s="68"/>
      <c r="D218" s="68"/>
      <c r="E218" s="68"/>
      <c r="F218" s="68"/>
      <c r="G218" s="68"/>
      <c r="H218" s="68"/>
      <c r="I218" s="68"/>
      <c r="J218" s="68"/>
      <c r="K218" s="68"/>
      <c r="L218" s="68"/>
      <c r="N218" s="75"/>
      <c r="O218" s="79"/>
    </row>
    <row r="219" spans="1:15" ht="12.5" x14ac:dyDescent="0.25">
      <c r="A219" s="14"/>
      <c r="C219" s="68"/>
      <c r="D219" s="68"/>
      <c r="E219" s="68"/>
      <c r="F219" s="68"/>
      <c r="G219" s="68"/>
      <c r="H219" s="68"/>
      <c r="I219" s="68"/>
      <c r="J219" s="68"/>
      <c r="K219" s="68"/>
      <c r="L219" s="68"/>
      <c r="N219" s="75"/>
      <c r="O219" s="79"/>
    </row>
    <row r="220" spans="1:15" ht="12.5" x14ac:dyDescent="0.25">
      <c r="A220" s="14"/>
      <c r="C220" s="68"/>
      <c r="D220" s="68"/>
      <c r="E220" s="68"/>
      <c r="F220" s="68"/>
      <c r="G220" s="68"/>
      <c r="H220" s="68"/>
      <c r="I220" s="68"/>
      <c r="J220" s="68"/>
      <c r="K220" s="68"/>
      <c r="L220" s="68"/>
      <c r="N220" s="75"/>
      <c r="O220" s="79"/>
    </row>
    <row r="221" spans="1:15" ht="12.5" x14ac:dyDescent="0.25">
      <c r="A221" s="14"/>
      <c r="C221" s="68"/>
      <c r="D221" s="68"/>
      <c r="E221" s="68"/>
      <c r="F221" s="68"/>
      <c r="G221" s="68"/>
      <c r="H221" s="68"/>
      <c r="I221" s="68"/>
      <c r="J221" s="68"/>
      <c r="K221" s="68"/>
      <c r="L221" s="68"/>
      <c r="N221" s="75"/>
      <c r="O221" s="79"/>
    </row>
    <row r="222" spans="1:15" ht="12.5" x14ac:dyDescent="0.25">
      <c r="A222" s="14"/>
      <c r="C222" s="68"/>
      <c r="D222" s="68"/>
      <c r="E222" s="68"/>
      <c r="F222" s="68"/>
      <c r="G222" s="68"/>
      <c r="H222" s="68"/>
      <c r="I222" s="68"/>
      <c r="J222" s="68"/>
      <c r="K222" s="68"/>
      <c r="L222" s="68"/>
      <c r="N222" s="75"/>
      <c r="O222" s="79"/>
    </row>
    <row r="223" spans="1:15" ht="12.5" x14ac:dyDescent="0.25">
      <c r="A223" s="14"/>
      <c r="C223" s="68"/>
      <c r="D223" s="68"/>
      <c r="E223" s="68"/>
      <c r="F223" s="68"/>
      <c r="G223" s="68"/>
      <c r="H223" s="68"/>
      <c r="I223" s="68"/>
      <c r="J223" s="68"/>
      <c r="K223" s="68"/>
      <c r="L223" s="68"/>
      <c r="N223" s="75"/>
      <c r="O223" s="79"/>
    </row>
    <row r="224" spans="1:15" ht="12.5" x14ac:dyDescent="0.25">
      <c r="A224" s="14"/>
      <c r="C224" s="68"/>
      <c r="D224" s="68"/>
      <c r="E224" s="68"/>
      <c r="F224" s="68"/>
      <c r="G224" s="68"/>
      <c r="H224" s="68"/>
      <c r="I224" s="68"/>
      <c r="J224" s="68"/>
      <c r="K224" s="68"/>
      <c r="L224" s="68"/>
      <c r="N224" s="75"/>
      <c r="O224" s="79"/>
    </row>
    <row r="225" spans="1:15" ht="12.5" x14ac:dyDescent="0.25">
      <c r="A225" s="14"/>
      <c r="C225" s="68"/>
      <c r="D225" s="68"/>
      <c r="E225" s="68"/>
      <c r="F225" s="68"/>
      <c r="G225" s="68"/>
      <c r="H225" s="68"/>
      <c r="I225" s="68"/>
      <c r="J225" s="68"/>
      <c r="K225" s="68"/>
      <c r="L225" s="68"/>
      <c r="N225" s="75"/>
      <c r="O225" s="79"/>
    </row>
    <row r="226" spans="1:15" ht="12.5" x14ac:dyDescent="0.25">
      <c r="A226" s="14"/>
      <c r="C226" s="68"/>
      <c r="D226" s="68"/>
      <c r="E226" s="68"/>
      <c r="F226" s="68"/>
      <c r="G226" s="68"/>
      <c r="H226" s="68"/>
      <c r="I226" s="68"/>
      <c r="J226" s="68"/>
      <c r="K226" s="68"/>
      <c r="L226" s="68"/>
      <c r="N226" s="75"/>
      <c r="O226" s="79"/>
    </row>
    <row r="227" spans="1:15" ht="12.5" x14ac:dyDescent="0.25">
      <c r="A227" s="14"/>
      <c r="C227" s="68"/>
      <c r="D227" s="68"/>
      <c r="E227" s="68"/>
      <c r="F227" s="68"/>
      <c r="G227" s="68"/>
      <c r="H227" s="68"/>
      <c r="I227" s="68"/>
      <c r="J227" s="68"/>
      <c r="K227" s="68"/>
      <c r="L227" s="68"/>
      <c r="N227" s="75"/>
      <c r="O227" s="79"/>
    </row>
    <row r="228" spans="1:15" ht="12.5" x14ac:dyDescent="0.25">
      <c r="A228" s="14"/>
      <c r="C228" s="68"/>
      <c r="D228" s="68"/>
      <c r="E228" s="68"/>
      <c r="F228" s="68"/>
      <c r="G228" s="68"/>
      <c r="H228" s="68"/>
      <c r="I228" s="68"/>
      <c r="J228" s="68"/>
      <c r="K228" s="68"/>
      <c r="L228" s="68"/>
      <c r="N228" s="75"/>
      <c r="O228" s="79"/>
    </row>
    <row r="229" spans="1:15" ht="12.5" x14ac:dyDescent="0.25">
      <c r="A229" s="14"/>
      <c r="C229" s="68"/>
      <c r="D229" s="68"/>
      <c r="E229" s="68"/>
      <c r="F229" s="68"/>
      <c r="G229" s="68"/>
      <c r="H229" s="68"/>
      <c r="I229" s="68"/>
      <c r="J229" s="68"/>
      <c r="K229" s="68"/>
      <c r="L229" s="68"/>
      <c r="N229" s="75"/>
      <c r="O229" s="79"/>
    </row>
    <row r="230" spans="1:15" ht="12.5" x14ac:dyDescent="0.25">
      <c r="A230" s="14"/>
      <c r="C230" s="68"/>
      <c r="D230" s="68"/>
      <c r="E230" s="68"/>
      <c r="F230" s="68"/>
      <c r="G230" s="68"/>
      <c r="H230" s="68"/>
      <c r="I230" s="68"/>
      <c r="J230" s="68"/>
      <c r="K230" s="68"/>
      <c r="L230" s="68"/>
      <c r="N230" s="75"/>
      <c r="O230" s="79"/>
    </row>
    <row r="231" spans="1:15" ht="12.5" x14ac:dyDescent="0.25">
      <c r="A231" s="14"/>
      <c r="C231" s="68"/>
      <c r="D231" s="68"/>
      <c r="E231" s="68"/>
      <c r="F231" s="68"/>
      <c r="G231" s="68"/>
      <c r="H231" s="68"/>
      <c r="I231" s="68"/>
      <c r="J231" s="68"/>
      <c r="K231" s="68"/>
      <c r="L231" s="68"/>
      <c r="N231" s="75"/>
      <c r="O231" s="79"/>
    </row>
    <row r="232" spans="1:15" ht="12.5" x14ac:dyDescent="0.25">
      <c r="A232" s="14"/>
      <c r="C232" s="68"/>
      <c r="D232" s="68"/>
      <c r="E232" s="68"/>
      <c r="F232" s="68"/>
      <c r="G232" s="68"/>
      <c r="H232" s="68"/>
      <c r="I232" s="68"/>
      <c r="J232" s="68"/>
      <c r="K232" s="68"/>
      <c r="L232" s="68"/>
      <c r="N232" s="75"/>
      <c r="O232" s="79"/>
    </row>
    <row r="233" spans="1:15" ht="12.5" x14ac:dyDescent="0.25">
      <c r="A233" s="14"/>
      <c r="C233" s="68"/>
      <c r="D233" s="68"/>
      <c r="E233" s="68"/>
      <c r="F233" s="68"/>
      <c r="G233" s="68"/>
      <c r="H233" s="68"/>
      <c r="I233" s="68"/>
      <c r="J233" s="68"/>
      <c r="K233" s="68"/>
      <c r="L233" s="68"/>
      <c r="N233" s="75"/>
      <c r="O233" s="79"/>
    </row>
    <row r="234" spans="1:15" ht="12.5" x14ac:dyDescent="0.25">
      <c r="A234" s="14"/>
      <c r="C234" s="68"/>
      <c r="D234" s="68"/>
      <c r="E234" s="68"/>
      <c r="F234" s="68"/>
      <c r="G234" s="68"/>
      <c r="H234" s="68"/>
      <c r="I234" s="68"/>
      <c r="J234" s="68"/>
      <c r="K234" s="68"/>
      <c r="L234" s="68"/>
      <c r="N234" s="75"/>
      <c r="O234" s="79"/>
    </row>
    <row r="235" spans="1:15" ht="12.5" x14ac:dyDescent="0.25">
      <c r="A235" s="14"/>
      <c r="C235" s="68"/>
      <c r="D235" s="68"/>
      <c r="E235" s="68"/>
      <c r="F235" s="68"/>
      <c r="G235" s="68"/>
      <c r="H235" s="68"/>
      <c r="I235" s="68"/>
      <c r="J235" s="68"/>
      <c r="K235" s="68"/>
      <c r="L235" s="68"/>
      <c r="N235" s="75"/>
      <c r="O235" s="79"/>
    </row>
    <row r="236" spans="1:15" ht="12.5" x14ac:dyDescent="0.25">
      <c r="A236" s="14"/>
      <c r="C236" s="68"/>
      <c r="D236" s="68"/>
      <c r="E236" s="68"/>
      <c r="F236" s="68"/>
      <c r="G236" s="68"/>
      <c r="H236" s="68"/>
      <c r="I236" s="68"/>
      <c r="J236" s="68"/>
      <c r="K236" s="68"/>
      <c r="L236" s="68"/>
      <c r="N236" s="75"/>
      <c r="O236" s="79"/>
    </row>
    <row r="237" spans="1:15" ht="12.5" x14ac:dyDescent="0.25">
      <c r="A237" s="14"/>
      <c r="C237" s="68"/>
      <c r="D237" s="68"/>
      <c r="E237" s="68"/>
      <c r="F237" s="68"/>
      <c r="G237" s="68"/>
      <c r="H237" s="68"/>
      <c r="I237" s="68"/>
      <c r="J237" s="68"/>
      <c r="K237" s="68"/>
      <c r="L237" s="68"/>
      <c r="N237" s="75"/>
      <c r="O237" s="79"/>
    </row>
    <row r="238" spans="1:15" ht="12.5" x14ac:dyDescent="0.25">
      <c r="A238" s="14"/>
      <c r="C238" s="68"/>
      <c r="D238" s="68"/>
      <c r="E238" s="68"/>
      <c r="F238" s="68"/>
      <c r="G238" s="68"/>
      <c r="H238" s="68"/>
      <c r="I238" s="68"/>
      <c r="J238" s="68"/>
      <c r="K238" s="68"/>
      <c r="L238" s="68"/>
      <c r="N238" s="75"/>
      <c r="O238" s="79"/>
    </row>
    <row r="239" spans="1:15" ht="12.5" x14ac:dyDescent="0.25">
      <c r="A239" s="14"/>
      <c r="C239" s="68"/>
      <c r="D239" s="68"/>
      <c r="E239" s="68"/>
      <c r="F239" s="68"/>
      <c r="G239" s="68"/>
      <c r="H239" s="68"/>
      <c r="I239" s="68"/>
      <c r="J239" s="68"/>
      <c r="K239" s="68"/>
      <c r="L239" s="68"/>
      <c r="N239" s="75"/>
      <c r="O239" s="79"/>
    </row>
    <row r="240" spans="1:15" ht="12.5" x14ac:dyDescent="0.25">
      <c r="A240" s="14"/>
      <c r="C240" s="68"/>
      <c r="D240" s="68"/>
      <c r="E240" s="68"/>
      <c r="F240" s="68"/>
      <c r="G240" s="68"/>
      <c r="H240" s="68"/>
      <c r="I240" s="68"/>
      <c r="J240" s="68"/>
      <c r="K240" s="68"/>
      <c r="L240" s="68"/>
      <c r="N240" s="75"/>
      <c r="O240" s="79"/>
    </row>
    <row r="241" spans="1:15" ht="12.5" x14ac:dyDescent="0.25">
      <c r="A241" s="14"/>
      <c r="C241" s="68"/>
      <c r="D241" s="68"/>
      <c r="E241" s="68"/>
      <c r="F241" s="68"/>
      <c r="G241" s="68"/>
      <c r="H241" s="68"/>
      <c r="I241" s="68"/>
      <c r="J241" s="68"/>
      <c r="K241" s="68"/>
      <c r="L241" s="68"/>
      <c r="N241" s="75"/>
      <c r="O241" s="79"/>
    </row>
    <row r="242" spans="1:15" ht="12.5" x14ac:dyDescent="0.25">
      <c r="A242" s="14"/>
      <c r="C242" s="68"/>
      <c r="D242" s="68"/>
      <c r="E242" s="68"/>
      <c r="F242" s="68"/>
      <c r="G242" s="68"/>
      <c r="H242" s="68"/>
      <c r="I242" s="68"/>
      <c r="J242" s="68"/>
      <c r="K242" s="68"/>
      <c r="L242" s="68"/>
      <c r="N242" s="75"/>
      <c r="O242" s="79"/>
    </row>
    <row r="243" spans="1:15" ht="12.5" x14ac:dyDescent="0.25">
      <c r="A243" s="14"/>
      <c r="C243" s="68"/>
      <c r="D243" s="68"/>
      <c r="E243" s="68"/>
      <c r="F243" s="68"/>
      <c r="G243" s="68"/>
      <c r="H243" s="68"/>
      <c r="I243" s="68"/>
      <c r="J243" s="68"/>
      <c r="K243" s="68"/>
      <c r="L243" s="68"/>
      <c r="N243" s="75"/>
      <c r="O243" s="79"/>
    </row>
    <row r="244" spans="1:15" ht="12.5" x14ac:dyDescent="0.25">
      <c r="A244" s="14"/>
      <c r="C244" s="68"/>
      <c r="D244" s="68"/>
      <c r="E244" s="68"/>
      <c r="F244" s="68"/>
      <c r="G244" s="68"/>
      <c r="H244" s="68"/>
      <c r="I244" s="68"/>
      <c r="J244" s="68"/>
      <c r="K244" s="68"/>
      <c r="L244" s="68"/>
      <c r="N244" s="75"/>
      <c r="O244" s="79"/>
    </row>
    <row r="245" spans="1:15" ht="12.5" x14ac:dyDescent="0.25">
      <c r="A245" s="14"/>
      <c r="C245" s="68"/>
      <c r="D245" s="68"/>
      <c r="E245" s="68"/>
      <c r="F245" s="68"/>
      <c r="G245" s="68"/>
      <c r="H245" s="68"/>
      <c r="I245" s="68"/>
      <c r="J245" s="68"/>
      <c r="K245" s="68"/>
      <c r="L245" s="68"/>
      <c r="N245" s="75"/>
      <c r="O245" s="79"/>
    </row>
    <row r="246" spans="1:15" ht="12.5" x14ac:dyDescent="0.25">
      <c r="A246" s="14"/>
      <c r="C246" s="68"/>
      <c r="D246" s="68"/>
      <c r="E246" s="68"/>
      <c r="F246" s="68"/>
      <c r="G246" s="68"/>
      <c r="H246" s="68"/>
      <c r="I246" s="68"/>
      <c r="J246" s="68"/>
      <c r="K246" s="68"/>
      <c r="L246" s="68"/>
      <c r="N246" s="75"/>
      <c r="O246" s="79"/>
    </row>
    <row r="247" spans="1:15" ht="12.5" x14ac:dyDescent="0.25">
      <c r="A247" s="14"/>
      <c r="C247" s="68"/>
      <c r="D247" s="68"/>
      <c r="E247" s="68"/>
      <c r="F247" s="68"/>
      <c r="G247" s="68"/>
      <c r="H247" s="68"/>
      <c r="I247" s="68"/>
      <c r="J247" s="68"/>
      <c r="K247" s="68"/>
      <c r="L247" s="68"/>
      <c r="N247" s="75"/>
      <c r="O247" s="79"/>
    </row>
    <row r="248" spans="1:15" ht="12.5" x14ac:dyDescent="0.25">
      <c r="A248" s="14"/>
      <c r="C248" s="68"/>
      <c r="D248" s="68"/>
      <c r="E248" s="68"/>
      <c r="F248" s="68"/>
      <c r="G248" s="68"/>
      <c r="H248" s="68"/>
      <c r="I248" s="68"/>
      <c r="J248" s="68"/>
      <c r="K248" s="68"/>
      <c r="L248" s="68"/>
      <c r="N248" s="75"/>
      <c r="O248" s="79"/>
    </row>
    <row r="249" spans="1:15" ht="12.5" x14ac:dyDescent="0.25">
      <c r="A249" s="14"/>
      <c r="C249" s="68"/>
      <c r="D249" s="68"/>
      <c r="E249" s="68"/>
      <c r="F249" s="68"/>
      <c r="G249" s="68"/>
      <c r="H249" s="68"/>
      <c r="I249" s="68"/>
      <c r="J249" s="68"/>
      <c r="K249" s="68"/>
      <c r="L249" s="68"/>
      <c r="N249" s="75"/>
      <c r="O249" s="79"/>
    </row>
    <row r="250" spans="1:15" ht="12.5" x14ac:dyDescent="0.25">
      <c r="A250" s="14"/>
      <c r="C250" s="68"/>
      <c r="D250" s="68"/>
      <c r="E250" s="68"/>
      <c r="F250" s="68"/>
      <c r="G250" s="68"/>
      <c r="H250" s="68"/>
      <c r="I250" s="68"/>
      <c r="J250" s="68"/>
      <c r="K250" s="68"/>
      <c r="L250" s="68"/>
      <c r="N250" s="75"/>
      <c r="O250" s="79"/>
    </row>
    <row r="251" spans="1:15" ht="12.5" x14ac:dyDescent="0.25">
      <c r="A251" s="14"/>
      <c r="C251" s="68"/>
      <c r="D251" s="68"/>
      <c r="E251" s="68"/>
      <c r="F251" s="68"/>
      <c r="G251" s="68"/>
      <c r="H251" s="68"/>
      <c r="I251" s="68"/>
      <c r="J251" s="68"/>
      <c r="K251" s="68"/>
      <c r="L251" s="68"/>
      <c r="N251" s="75"/>
      <c r="O251" s="79"/>
    </row>
    <row r="252" spans="1:15" ht="12.5" x14ac:dyDescent="0.25">
      <c r="A252" s="14"/>
      <c r="C252" s="68"/>
      <c r="D252" s="68"/>
      <c r="E252" s="68"/>
      <c r="F252" s="68"/>
      <c r="G252" s="68"/>
      <c r="H252" s="68"/>
      <c r="I252" s="68"/>
      <c r="J252" s="68"/>
      <c r="K252" s="68"/>
      <c r="L252" s="68"/>
      <c r="N252" s="75"/>
      <c r="O252" s="79"/>
    </row>
    <row r="253" spans="1:15" ht="12.5" x14ac:dyDescent="0.25">
      <c r="A253" s="14"/>
      <c r="C253" s="68"/>
      <c r="D253" s="68"/>
      <c r="E253" s="68"/>
      <c r="F253" s="68"/>
      <c r="G253" s="68"/>
      <c r="H253" s="68"/>
      <c r="I253" s="68"/>
      <c r="J253" s="68"/>
      <c r="K253" s="68"/>
      <c r="L253" s="68"/>
      <c r="N253" s="75"/>
      <c r="O253" s="79"/>
    </row>
    <row r="254" spans="1:15" ht="12.5" x14ac:dyDescent="0.25">
      <c r="A254" s="14"/>
      <c r="C254" s="68"/>
      <c r="D254" s="68"/>
      <c r="E254" s="68"/>
      <c r="F254" s="68"/>
      <c r="G254" s="68"/>
      <c r="H254" s="68"/>
      <c r="I254" s="68"/>
      <c r="J254" s="68"/>
      <c r="K254" s="68"/>
      <c r="L254" s="68"/>
      <c r="N254" s="75"/>
      <c r="O254" s="79"/>
    </row>
    <row r="255" spans="1:15" ht="12.5" x14ac:dyDescent="0.25">
      <c r="A255" s="14"/>
      <c r="C255" s="68"/>
      <c r="D255" s="68"/>
      <c r="E255" s="68"/>
      <c r="F255" s="68"/>
      <c r="G255" s="68"/>
      <c r="H255" s="68"/>
      <c r="I255" s="68"/>
      <c r="J255" s="68"/>
      <c r="K255" s="68"/>
      <c r="L255" s="68"/>
      <c r="N255" s="75"/>
      <c r="O255" s="79"/>
    </row>
    <row r="256" spans="1:15" ht="12.5" x14ac:dyDescent="0.25">
      <c r="A256" s="14"/>
      <c r="C256" s="68"/>
      <c r="D256" s="68"/>
      <c r="E256" s="68"/>
      <c r="F256" s="68"/>
      <c r="G256" s="68"/>
      <c r="H256" s="68"/>
      <c r="I256" s="68"/>
      <c r="J256" s="68"/>
      <c r="K256" s="68"/>
      <c r="L256" s="68"/>
      <c r="N256" s="75"/>
      <c r="O256" s="79"/>
    </row>
    <row r="257" spans="1:15" ht="12.5" x14ac:dyDescent="0.25">
      <c r="A257" s="14"/>
      <c r="C257" s="68"/>
      <c r="D257" s="68"/>
      <c r="E257" s="68"/>
      <c r="F257" s="68"/>
      <c r="G257" s="68"/>
      <c r="H257" s="68"/>
      <c r="I257" s="68"/>
      <c r="J257" s="68"/>
      <c r="K257" s="68"/>
      <c r="L257" s="68"/>
      <c r="N257" s="75"/>
      <c r="O257" s="79"/>
    </row>
    <row r="258" spans="1:15" ht="12.5" x14ac:dyDescent="0.25">
      <c r="A258" s="14"/>
      <c r="C258" s="68"/>
      <c r="D258" s="68"/>
      <c r="E258" s="68"/>
      <c r="F258" s="68"/>
      <c r="G258" s="68"/>
      <c r="H258" s="68"/>
      <c r="I258" s="68"/>
      <c r="J258" s="68"/>
      <c r="K258" s="68"/>
      <c r="L258" s="68"/>
      <c r="N258" s="75"/>
      <c r="O258" s="79"/>
    </row>
    <row r="259" spans="1:15" ht="12.5" x14ac:dyDescent="0.25">
      <c r="A259" s="14"/>
      <c r="C259" s="68"/>
      <c r="D259" s="68"/>
      <c r="E259" s="68"/>
      <c r="F259" s="68"/>
      <c r="G259" s="68"/>
      <c r="H259" s="68"/>
      <c r="I259" s="68"/>
      <c r="J259" s="68"/>
      <c r="K259" s="68"/>
      <c r="L259" s="68"/>
      <c r="N259" s="75"/>
      <c r="O259" s="79"/>
    </row>
    <row r="260" spans="1:15" ht="12.5" x14ac:dyDescent="0.25">
      <c r="A260" s="14"/>
      <c r="C260" s="68"/>
      <c r="D260" s="68"/>
      <c r="E260" s="68"/>
      <c r="F260" s="68"/>
      <c r="G260" s="68"/>
      <c r="H260" s="68"/>
      <c r="I260" s="68"/>
      <c r="J260" s="68"/>
      <c r="K260" s="68"/>
      <c r="L260" s="68"/>
      <c r="N260" s="75"/>
      <c r="O260" s="79"/>
    </row>
    <row r="261" spans="1:15" ht="12.5" x14ac:dyDescent="0.25">
      <c r="A261" s="14"/>
      <c r="C261" s="68"/>
      <c r="D261" s="68"/>
      <c r="E261" s="68"/>
      <c r="F261" s="68"/>
      <c r="G261" s="68"/>
      <c r="H261" s="68"/>
      <c r="I261" s="68"/>
      <c r="J261" s="68"/>
      <c r="K261" s="68"/>
      <c r="L261" s="68"/>
      <c r="N261" s="75"/>
      <c r="O261" s="79"/>
    </row>
    <row r="262" spans="1:15" ht="12.5" x14ac:dyDescent="0.25">
      <c r="A262" s="14"/>
      <c r="C262" s="68"/>
      <c r="D262" s="68"/>
      <c r="E262" s="68"/>
      <c r="F262" s="68"/>
      <c r="G262" s="68"/>
      <c r="H262" s="68"/>
      <c r="I262" s="68"/>
      <c r="J262" s="68"/>
      <c r="K262" s="68"/>
      <c r="L262" s="68"/>
      <c r="N262" s="75"/>
      <c r="O262" s="79"/>
    </row>
    <row r="263" spans="1:15" ht="12.5" x14ac:dyDescent="0.25">
      <c r="A263" s="14"/>
      <c r="C263" s="68"/>
      <c r="D263" s="68"/>
      <c r="E263" s="68"/>
      <c r="F263" s="68"/>
      <c r="G263" s="68"/>
      <c r="H263" s="68"/>
      <c r="I263" s="68"/>
      <c r="J263" s="68"/>
      <c r="K263" s="68"/>
      <c r="L263" s="68"/>
      <c r="N263" s="75"/>
      <c r="O263" s="79"/>
    </row>
    <row r="264" spans="1:15" ht="12.5" x14ac:dyDescent="0.25">
      <c r="A264" s="14"/>
      <c r="C264" s="68"/>
      <c r="D264" s="68"/>
      <c r="E264" s="68"/>
      <c r="F264" s="68"/>
      <c r="G264" s="68"/>
      <c r="H264" s="68"/>
      <c r="I264" s="68"/>
      <c r="J264" s="68"/>
      <c r="K264" s="68"/>
      <c r="L264" s="68"/>
      <c r="N264" s="75"/>
      <c r="O264" s="79"/>
    </row>
    <row r="265" spans="1:15" ht="12.5" x14ac:dyDescent="0.25">
      <c r="A265" s="14"/>
      <c r="C265" s="68"/>
      <c r="D265" s="68"/>
      <c r="E265" s="68"/>
      <c r="F265" s="68"/>
      <c r="G265" s="68"/>
      <c r="H265" s="68"/>
      <c r="I265" s="68"/>
      <c r="J265" s="68"/>
      <c r="K265" s="68"/>
      <c r="L265" s="68"/>
      <c r="N265" s="75"/>
      <c r="O265" s="79"/>
    </row>
    <row r="266" spans="1:15" ht="12.5" x14ac:dyDescent="0.25">
      <c r="A266" s="14"/>
      <c r="C266" s="68"/>
      <c r="D266" s="68"/>
      <c r="E266" s="68"/>
      <c r="F266" s="68"/>
      <c r="G266" s="68"/>
      <c r="H266" s="68"/>
      <c r="I266" s="68"/>
      <c r="J266" s="68"/>
      <c r="K266" s="68"/>
      <c r="L266" s="68"/>
      <c r="N266" s="75"/>
      <c r="O266" s="79"/>
    </row>
    <row r="267" spans="1:15" ht="12.5" x14ac:dyDescent="0.25">
      <c r="A267" s="14"/>
      <c r="C267" s="68"/>
      <c r="D267" s="68"/>
      <c r="E267" s="68"/>
      <c r="F267" s="68"/>
      <c r="G267" s="68"/>
      <c r="H267" s="68"/>
      <c r="I267" s="68"/>
      <c r="J267" s="68"/>
      <c r="K267" s="68"/>
      <c r="L267" s="68"/>
      <c r="N267" s="75"/>
      <c r="O267" s="79"/>
    </row>
    <row r="268" spans="1:15" ht="12.5" x14ac:dyDescent="0.25">
      <c r="A268" s="14"/>
      <c r="C268" s="68"/>
      <c r="D268" s="68"/>
      <c r="E268" s="68"/>
      <c r="F268" s="68"/>
      <c r="G268" s="68"/>
      <c r="H268" s="68"/>
      <c r="I268" s="68"/>
      <c r="J268" s="68"/>
      <c r="K268" s="68"/>
      <c r="L268" s="68"/>
      <c r="N268" s="75"/>
      <c r="O268" s="79"/>
    </row>
    <row r="269" spans="1:15" ht="12.5" x14ac:dyDescent="0.25">
      <c r="A269" s="14"/>
      <c r="C269" s="68"/>
      <c r="D269" s="68"/>
      <c r="E269" s="68"/>
      <c r="F269" s="68"/>
      <c r="G269" s="68"/>
      <c r="H269" s="68"/>
      <c r="I269" s="68"/>
      <c r="J269" s="68"/>
      <c r="K269" s="68"/>
      <c r="L269" s="68"/>
      <c r="N269" s="75"/>
      <c r="O269" s="79"/>
    </row>
    <row r="270" spans="1:15" ht="12.5" x14ac:dyDescent="0.25">
      <c r="A270" s="14"/>
      <c r="C270" s="68"/>
      <c r="D270" s="68"/>
      <c r="E270" s="68"/>
      <c r="F270" s="68"/>
      <c r="G270" s="68"/>
      <c r="H270" s="68"/>
      <c r="I270" s="68"/>
      <c r="J270" s="68"/>
      <c r="K270" s="68"/>
      <c r="L270" s="68"/>
      <c r="N270" s="75"/>
      <c r="O270" s="79"/>
    </row>
    <row r="271" spans="1:15" ht="12.5" x14ac:dyDescent="0.25">
      <c r="A271" s="14"/>
      <c r="C271" s="68"/>
      <c r="D271" s="68"/>
      <c r="E271" s="68"/>
      <c r="F271" s="68"/>
      <c r="G271" s="68"/>
      <c r="H271" s="68"/>
      <c r="I271" s="68"/>
      <c r="J271" s="68"/>
      <c r="K271" s="68"/>
      <c r="L271" s="68"/>
      <c r="N271" s="75"/>
      <c r="O271" s="79"/>
    </row>
    <row r="272" spans="1:15" ht="12.5" x14ac:dyDescent="0.25">
      <c r="A272" s="14"/>
      <c r="C272" s="68"/>
      <c r="D272" s="68"/>
      <c r="E272" s="68"/>
      <c r="F272" s="68"/>
      <c r="G272" s="68"/>
      <c r="H272" s="68"/>
      <c r="I272" s="68"/>
      <c r="J272" s="68"/>
      <c r="K272" s="68"/>
      <c r="L272" s="68"/>
      <c r="N272" s="75"/>
      <c r="O272" s="79"/>
    </row>
    <row r="273" spans="1:15" ht="12.5" x14ac:dyDescent="0.25">
      <c r="A273" s="14"/>
      <c r="C273" s="68"/>
      <c r="D273" s="68"/>
      <c r="E273" s="68"/>
      <c r="F273" s="68"/>
      <c r="G273" s="68"/>
      <c r="H273" s="68"/>
      <c r="I273" s="68"/>
      <c r="J273" s="68"/>
      <c r="K273" s="68"/>
      <c r="L273" s="68"/>
      <c r="N273" s="75"/>
      <c r="O273" s="79"/>
    </row>
    <row r="274" spans="1:15" ht="12.5" x14ac:dyDescent="0.25">
      <c r="A274" s="14"/>
      <c r="C274" s="68"/>
      <c r="D274" s="68"/>
      <c r="E274" s="68"/>
      <c r="F274" s="68"/>
      <c r="G274" s="68"/>
      <c r="H274" s="68"/>
      <c r="I274" s="68"/>
      <c r="J274" s="68"/>
      <c r="K274" s="68"/>
      <c r="L274" s="68"/>
      <c r="N274" s="75"/>
      <c r="O274" s="79"/>
    </row>
    <row r="275" spans="1:15" ht="12.5" x14ac:dyDescent="0.25">
      <c r="A275" s="14"/>
      <c r="C275" s="68"/>
      <c r="D275" s="68"/>
      <c r="E275" s="68"/>
      <c r="F275" s="68"/>
      <c r="G275" s="68"/>
      <c r="H275" s="68"/>
      <c r="I275" s="68"/>
      <c r="J275" s="68"/>
      <c r="K275" s="68"/>
      <c r="L275" s="68"/>
      <c r="N275" s="75"/>
      <c r="O275" s="79"/>
    </row>
    <row r="276" spans="1:15" ht="12.5" x14ac:dyDescent="0.25">
      <c r="A276" s="14"/>
      <c r="C276" s="68"/>
      <c r="D276" s="68"/>
      <c r="E276" s="68"/>
      <c r="F276" s="68"/>
      <c r="G276" s="68"/>
      <c r="H276" s="68"/>
      <c r="I276" s="68"/>
      <c r="J276" s="68"/>
      <c r="K276" s="68"/>
      <c r="L276" s="68"/>
      <c r="N276" s="75"/>
      <c r="O276" s="79"/>
    </row>
    <row r="277" spans="1:15" ht="12.5" x14ac:dyDescent="0.25">
      <c r="A277" s="14"/>
      <c r="C277" s="68"/>
      <c r="D277" s="68"/>
      <c r="E277" s="68"/>
      <c r="F277" s="68"/>
      <c r="G277" s="68"/>
      <c r="H277" s="68"/>
      <c r="I277" s="68"/>
      <c r="J277" s="68"/>
      <c r="K277" s="68"/>
      <c r="L277" s="68"/>
      <c r="N277" s="75"/>
      <c r="O277" s="79"/>
    </row>
    <row r="278" spans="1:15" ht="12.5" x14ac:dyDescent="0.25">
      <c r="A278" s="14"/>
      <c r="C278" s="68"/>
      <c r="D278" s="68"/>
      <c r="E278" s="68"/>
      <c r="F278" s="68"/>
      <c r="G278" s="68"/>
      <c r="H278" s="68"/>
      <c r="I278" s="68"/>
      <c r="J278" s="68"/>
      <c r="K278" s="68"/>
      <c r="L278" s="68"/>
      <c r="N278" s="75"/>
      <c r="O278" s="79"/>
    </row>
    <row r="279" spans="1:15" ht="12.5" x14ac:dyDescent="0.25">
      <c r="A279" s="14"/>
      <c r="C279" s="68"/>
      <c r="D279" s="68"/>
      <c r="E279" s="68"/>
      <c r="F279" s="68"/>
      <c r="G279" s="68"/>
      <c r="H279" s="68"/>
      <c r="I279" s="68"/>
      <c r="J279" s="68"/>
      <c r="K279" s="68"/>
      <c r="L279" s="68"/>
      <c r="N279" s="75"/>
      <c r="O279" s="79"/>
    </row>
    <row r="280" spans="1:15" ht="12.5" x14ac:dyDescent="0.25">
      <c r="A280" s="14"/>
      <c r="C280" s="68"/>
      <c r="D280" s="68"/>
      <c r="E280" s="68"/>
      <c r="F280" s="68"/>
      <c r="G280" s="68"/>
      <c r="H280" s="68"/>
      <c r="I280" s="68"/>
      <c r="J280" s="68"/>
      <c r="K280" s="68"/>
      <c r="L280" s="68"/>
      <c r="N280" s="75"/>
      <c r="O280" s="79"/>
    </row>
    <row r="281" spans="1:15" ht="12.5" x14ac:dyDescent="0.25">
      <c r="A281" s="14"/>
      <c r="C281" s="68"/>
      <c r="D281" s="68"/>
      <c r="E281" s="68"/>
      <c r="F281" s="68"/>
      <c r="G281" s="68"/>
      <c r="H281" s="68"/>
      <c r="I281" s="68"/>
      <c r="J281" s="68"/>
      <c r="K281" s="68"/>
      <c r="L281" s="68"/>
      <c r="N281" s="75"/>
      <c r="O281" s="79"/>
    </row>
    <row r="282" spans="1:15" ht="12.5" x14ac:dyDescent="0.25">
      <c r="A282" s="14"/>
      <c r="C282" s="68"/>
      <c r="D282" s="68"/>
      <c r="E282" s="68"/>
      <c r="F282" s="68"/>
      <c r="G282" s="68"/>
      <c r="H282" s="68"/>
      <c r="I282" s="68"/>
      <c r="J282" s="68"/>
      <c r="K282" s="68"/>
      <c r="L282" s="68"/>
      <c r="N282" s="75"/>
      <c r="O282" s="79"/>
    </row>
    <row r="283" spans="1:15" ht="12.5" x14ac:dyDescent="0.25">
      <c r="A283" s="14"/>
      <c r="C283" s="68"/>
      <c r="D283" s="68"/>
      <c r="E283" s="68"/>
      <c r="F283" s="68"/>
      <c r="G283" s="68"/>
      <c r="H283" s="68"/>
      <c r="I283" s="68"/>
      <c r="J283" s="68"/>
      <c r="K283" s="68"/>
      <c r="L283" s="68"/>
      <c r="N283" s="75"/>
      <c r="O283" s="79"/>
    </row>
    <row r="284" spans="1:15" ht="12.5" x14ac:dyDescent="0.25">
      <c r="A284" s="14"/>
      <c r="C284" s="68"/>
      <c r="D284" s="68"/>
      <c r="E284" s="68"/>
      <c r="F284" s="68"/>
      <c r="G284" s="68"/>
      <c r="H284" s="68"/>
      <c r="I284" s="68"/>
      <c r="J284" s="68"/>
      <c r="K284" s="68"/>
      <c r="L284" s="68"/>
      <c r="N284" s="75"/>
      <c r="O284" s="79"/>
    </row>
    <row r="285" spans="1:15" ht="12.5" x14ac:dyDescent="0.25">
      <c r="A285" s="14"/>
      <c r="C285" s="68"/>
      <c r="D285" s="68"/>
      <c r="E285" s="68"/>
      <c r="F285" s="68"/>
      <c r="G285" s="68"/>
      <c r="H285" s="68"/>
      <c r="I285" s="68"/>
      <c r="J285" s="68"/>
      <c r="K285" s="68"/>
      <c r="L285" s="68"/>
      <c r="N285" s="75"/>
      <c r="O285" s="79"/>
    </row>
    <row r="286" spans="1:15" ht="12.5" x14ac:dyDescent="0.25">
      <c r="A286" s="14"/>
      <c r="C286" s="68"/>
      <c r="D286" s="68"/>
      <c r="E286" s="68"/>
      <c r="F286" s="68"/>
      <c r="G286" s="68"/>
      <c r="H286" s="68"/>
      <c r="I286" s="68"/>
      <c r="J286" s="68"/>
      <c r="K286" s="68"/>
      <c r="L286" s="68"/>
      <c r="N286" s="75"/>
      <c r="O286" s="79"/>
    </row>
    <row r="287" spans="1:15" ht="12.5" x14ac:dyDescent="0.25">
      <c r="A287" s="14"/>
      <c r="C287" s="68"/>
      <c r="D287" s="68"/>
      <c r="E287" s="68"/>
      <c r="F287" s="68"/>
      <c r="G287" s="68"/>
      <c r="H287" s="68"/>
      <c r="I287" s="68"/>
      <c r="J287" s="68"/>
      <c r="K287" s="68"/>
      <c r="L287" s="68"/>
      <c r="N287" s="75"/>
      <c r="O287" s="79"/>
    </row>
    <row r="288" spans="1:15" ht="12.5" x14ac:dyDescent="0.25">
      <c r="A288" s="14"/>
      <c r="C288" s="68"/>
      <c r="D288" s="68"/>
      <c r="E288" s="68"/>
      <c r="F288" s="68"/>
      <c r="G288" s="68"/>
      <c r="H288" s="68"/>
      <c r="I288" s="68"/>
      <c r="J288" s="68"/>
      <c r="K288" s="68"/>
      <c r="L288" s="68"/>
      <c r="N288" s="75"/>
      <c r="O288" s="79"/>
    </row>
    <row r="289" spans="1:15" ht="12.5" x14ac:dyDescent="0.25">
      <c r="A289" s="14"/>
      <c r="C289" s="68"/>
      <c r="D289" s="68"/>
      <c r="E289" s="68"/>
      <c r="F289" s="68"/>
      <c r="G289" s="68"/>
      <c r="H289" s="68"/>
      <c r="I289" s="68"/>
      <c r="J289" s="68"/>
      <c r="K289" s="68"/>
      <c r="L289" s="68"/>
      <c r="N289" s="75"/>
      <c r="O289" s="79"/>
    </row>
    <row r="290" spans="1:15" ht="12.5" x14ac:dyDescent="0.25">
      <c r="A290" s="14"/>
      <c r="C290" s="68"/>
      <c r="D290" s="68"/>
      <c r="E290" s="68"/>
      <c r="F290" s="68"/>
      <c r="G290" s="68"/>
      <c r="H290" s="68"/>
      <c r="I290" s="68"/>
      <c r="J290" s="68"/>
      <c r="K290" s="68"/>
      <c r="L290" s="68"/>
      <c r="N290" s="75"/>
      <c r="O290" s="79"/>
    </row>
    <row r="291" spans="1:15" ht="12.5" x14ac:dyDescent="0.25">
      <c r="A291" s="14"/>
      <c r="C291" s="68"/>
      <c r="D291" s="68"/>
      <c r="E291" s="68"/>
      <c r="F291" s="68"/>
      <c r="G291" s="68"/>
      <c r="H291" s="68"/>
      <c r="I291" s="68"/>
      <c r="J291" s="68"/>
      <c r="K291" s="68"/>
      <c r="L291" s="68"/>
      <c r="N291" s="75"/>
      <c r="O291" s="79"/>
    </row>
    <row r="292" spans="1:15" ht="12.5" x14ac:dyDescent="0.25">
      <c r="A292" s="14"/>
      <c r="C292" s="68"/>
      <c r="D292" s="68"/>
      <c r="E292" s="68"/>
      <c r="F292" s="68"/>
      <c r="G292" s="68"/>
      <c r="H292" s="68"/>
      <c r="I292" s="68"/>
      <c r="J292" s="68"/>
      <c r="K292" s="68"/>
      <c r="L292" s="68"/>
      <c r="N292" s="75"/>
      <c r="O292" s="79"/>
    </row>
    <row r="293" spans="1:15" ht="12.5" x14ac:dyDescent="0.25">
      <c r="A293" s="14"/>
      <c r="C293" s="68"/>
      <c r="D293" s="68"/>
      <c r="E293" s="68"/>
      <c r="F293" s="68"/>
      <c r="G293" s="68"/>
      <c r="H293" s="68"/>
      <c r="I293" s="68"/>
      <c r="J293" s="68"/>
      <c r="K293" s="68"/>
      <c r="L293" s="68"/>
      <c r="N293" s="75"/>
      <c r="O293" s="79"/>
    </row>
    <row r="294" spans="1:15" ht="12.5" x14ac:dyDescent="0.25">
      <c r="A294" s="14"/>
      <c r="C294" s="68"/>
      <c r="D294" s="68"/>
      <c r="E294" s="68"/>
      <c r="F294" s="68"/>
      <c r="G294" s="68"/>
      <c r="H294" s="68"/>
      <c r="I294" s="68"/>
      <c r="J294" s="68"/>
      <c r="K294" s="68"/>
      <c r="L294" s="68"/>
      <c r="N294" s="75"/>
      <c r="O294" s="79"/>
    </row>
    <row r="295" spans="1:15" ht="12.5" x14ac:dyDescent="0.25">
      <c r="A295" s="14"/>
      <c r="C295" s="68"/>
      <c r="D295" s="68"/>
      <c r="E295" s="68"/>
      <c r="F295" s="68"/>
      <c r="G295" s="68"/>
      <c r="H295" s="68"/>
      <c r="I295" s="68"/>
      <c r="J295" s="68"/>
      <c r="K295" s="68"/>
      <c r="L295" s="68"/>
      <c r="N295" s="75"/>
      <c r="O295" s="79"/>
    </row>
    <row r="296" spans="1:15" ht="12.5" x14ac:dyDescent="0.25">
      <c r="A296" s="14"/>
      <c r="C296" s="68"/>
      <c r="D296" s="68"/>
      <c r="E296" s="68"/>
      <c r="F296" s="68"/>
      <c r="G296" s="68"/>
      <c r="H296" s="68"/>
      <c r="I296" s="68"/>
      <c r="J296" s="68"/>
      <c r="K296" s="68"/>
      <c r="L296" s="68"/>
      <c r="N296" s="75"/>
      <c r="O296" s="79"/>
    </row>
    <row r="297" spans="1:15" ht="12.5" x14ac:dyDescent="0.25">
      <c r="A297" s="14"/>
      <c r="C297" s="68"/>
      <c r="D297" s="68"/>
      <c r="E297" s="68"/>
      <c r="F297" s="68"/>
      <c r="G297" s="68"/>
      <c r="H297" s="68"/>
      <c r="I297" s="68"/>
      <c r="J297" s="68"/>
      <c r="K297" s="68"/>
      <c r="L297" s="68"/>
      <c r="N297" s="75"/>
      <c r="O297" s="79"/>
    </row>
    <row r="298" spans="1:15" ht="12.5" x14ac:dyDescent="0.25">
      <c r="A298" s="14"/>
      <c r="C298" s="68"/>
      <c r="D298" s="68"/>
      <c r="E298" s="68"/>
      <c r="F298" s="68"/>
      <c r="G298" s="68"/>
      <c r="H298" s="68"/>
      <c r="I298" s="68"/>
      <c r="J298" s="68"/>
      <c r="K298" s="68"/>
      <c r="L298" s="68"/>
      <c r="N298" s="75"/>
      <c r="O298" s="79"/>
    </row>
    <row r="299" spans="1:15" ht="12.5" x14ac:dyDescent="0.25">
      <c r="A299" s="14"/>
      <c r="C299" s="68"/>
      <c r="D299" s="68"/>
      <c r="E299" s="68"/>
      <c r="F299" s="68"/>
      <c r="G299" s="68"/>
      <c r="H299" s="68"/>
      <c r="I299" s="68"/>
      <c r="J299" s="68"/>
      <c r="K299" s="68"/>
      <c r="L299" s="68"/>
      <c r="N299" s="75"/>
      <c r="O299" s="79"/>
    </row>
    <row r="300" spans="1:15" ht="12.5" x14ac:dyDescent="0.25">
      <c r="A300" s="14"/>
      <c r="C300" s="68"/>
      <c r="D300" s="68"/>
      <c r="E300" s="68"/>
      <c r="F300" s="68"/>
      <c r="G300" s="68"/>
      <c r="H300" s="68"/>
      <c r="I300" s="68"/>
      <c r="J300" s="68"/>
      <c r="K300" s="68"/>
      <c r="L300" s="68"/>
      <c r="N300" s="75"/>
      <c r="O300" s="79"/>
    </row>
    <row r="301" spans="1:15" ht="12.5" x14ac:dyDescent="0.25">
      <c r="A301" s="14"/>
      <c r="C301" s="68"/>
      <c r="D301" s="68"/>
      <c r="E301" s="68"/>
      <c r="F301" s="68"/>
      <c r="G301" s="68"/>
      <c r="H301" s="68"/>
      <c r="I301" s="68"/>
      <c r="J301" s="68"/>
      <c r="K301" s="68"/>
      <c r="L301" s="68"/>
      <c r="N301" s="75"/>
      <c r="O301" s="79"/>
    </row>
    <row r="302" spans="1:15" ht="12.5" x14ac:dyDescent="0.25">
      <c r="A302" s="14"/>
      <c r="C302" s="68"/>
      <c r="D302" s="68"/>
      <c r="E302" s="68"/>
      <c r="F302" s="68"/>
      <c r="G302" s="68"/>
      <c r="H302" s="68"/>
      <c r="I302" s="68"/>
      <c r="J302" s="68"/>
      <c r="K302" s="68"/>
      <c r="L302" s="68"/>
      <c r="N302" s="75"/>
      <c r="O302" s="79"/>
    </row>
    <row r="303" spans="1:15" ht="12.5" x14ac:dyDescent="0.25">
      <c r="A303" s="14"/>
      <c r="C303" s="68"/>
      <c r="D303" s="68"/>
      <c r="E303" s="68"/>
      <c r="F303" s="68"/>
      <c r="G303" s="68"/>
      <c r="H303" s="68"/>
      <c r="I303" s="68"/>
      <c r="J303" s="68"/>
      <c r="K303" s="68"/>
      <c r="L303" s="68"/>
      <c r="N303" s="75"/>
      <c r="O303" s="79"/>
    </row>
    <row r="304" spans="1:15" ht="12.5" x14ac:dyDescent="0.25">
      <c r="A304" s="14"/>
      <c r="C304" s="68"/>
      <c r="D304" s="68"/>
      <c r="E304" s="68"/>
      <c r="F304" s="68"/>
      <c r="G304" s="68"/>
      <c r="H304" s="68"/>
      <c r="I304" s="68"/>
      <c r="J304" s="68"/>
      <c r="K304" s="68"/>
      <c r="L304" s="68"/>
      <c r="N304" s="75"/>
      <c r="O304" s="79"/>
    </row>
    <row r="305" spans="1:15" ht="12.5" x14ac:dyDescent="0.25">
      <c r="A305" s="14"/>
      <c r="C305" s="68"/>
      <c r="D305" s="68"/>
      <c r="E305" s="68"/>
      <c r="F305" s="68"/>
      <c r="G305" s="68"/>
      <c r="H305" s="68"/>
      <c r="I305" s="68"/>
      <c r="J305" s="68"/>
      <c r="K305" s="68"/>
      <c r="L305" s="68"/>
      <c r="N305" s="75"/>
      <c r="O305" s="79"/>
    </row>
    <row r="306" spans="1:15" ht="12.5" x14ac:dyDescent="0.25">
      <c r="A306" s="14"/>
      <c r="C306" s="68"/>
      <c r="D306" s="68"/>
      <c r="E306" s="68"/>
      <c r="F306" s="68"/>
      <c r="G306" s="68"/>
      <c r="H306" s="68"/>
      <c r="I306" s="68"/>
      <c r="J306" s="68"/>
      <c r="K306" s="68"/>
      <c r="L306" s="68"/>
      <c r="N306" s="75"/>
      <c r="O306" s="79"/>
    </row>
    <row r="307" spans="1:15" ht="12.5" x14ac:dyDescent="0.25">
      <c r="A307" s="14"/>
      <c r="C307" s="68"/>
      <c r="D307" s="68"/>
      <c r="E307" s="68"/>
      <c r="F307" s="68"/>
      <c r="G307" s="68"/>
      <c r="H307" s="68"/>
      <c r="I307" s="68"/>
      <c r="J307" s="68"/>
      <c r="K307" s="68"/>
      <c r="L307" s="68"/>
      <c r="N307" s="75"/>
      <c r="O307" s="79"/>
    </row>
    <row r="308" spans="1:15" ht="12.5" x14ac:dyDescent="0.25">
      <c r="A308" s="14"/>
      <c r="C308" s="68"/>
      <c r="D308" s="68"/>
      <c r="E308" s="68"/>
      <c r="F308" s="68"/>
      <c r="G308" s="68"/>
      <c r="H308" s="68"/>
      <c r="I308" s="68"/>
      <c r="J308" s="68"/>
      <c r="K308" s="68"/>
      <c r="L308" s="68"/>
      <c r="N308" s="75"/>
      <c r="O308" s="79"/>
    </row>
    <row r="309" spans="1:15" ht="12.5" x14ac:dyDescent="0.25">
      <c r="A309" s="14"/>
      <c r="C309" s="68"/>
      <c r="D309" s="68"/>
      <c r="E309" s="68"/>
      <c r="F309" s="68"/>
      <c r="G309" s="68"/>
      <c r="H309" s="68"/>
      <c r="I309" s="68"/>
      <c r="J309" s="68"/>
      <c r="K309" s="68"/>
      <c r="L309" s="68"/>
      <c r="N309" s="75"/>
      <c r="O309" s="79"/>
    </row>
    <row r="310" spans="1:15" ht="12.5" x14ac:dyDescent="0.25">
      <c r="A310" s="14"/>
      <c r="C310" s="68"/>
      <c r="D310" s="68"/>
      <c r="E310" s="68"/>
      <c r="F310" s="68"/>
      <c r="G310" s="68"/>
      <c r="H310" s="68"/>
      <c r="I310" s="68"/>
      <c r="J310" s="68"/>
      <c r="K310" s="68"/>
      <c r="L310" s="68"/>
      <c r="N310" s="75"/>
      <c r="O310" s="79"/>
    </row>
    <row r="311" spans="1:15" ht="12.5" x14ac:dyDescent="0.25">
      <c r="A311" s="14"/>
      <c r="C311" s="68"/>
      <c r="D311" s="68"/>
      <c r="E311" s="68"/>
      <c r="F311" s="68"/>
      <c r="G311" s="68"/>
      <c r="H311" s="68"/>
      <c r="I311" s="68"/>
      <c r="J311" s="68"/>
      <c r="K311" s="68"/>
      <c r="L311" s="68"/>
      <c r="N311" s="75"/>
      <c r="O311" s="79"/>
    </row>
    <row r="312" spans="1:15" ht="12.5" x14ac:dyDescent="0.25">
      <c r="A312" s="14"/>
      <c r="C312" s="68"/>
      <c r="D312" s="68"/>
      <c r="E312" s="68"/>
      <c r="F312" s="68"/>
      <c r="G312" s="68"/>
      <c r="H312" s="68"/>
      <c r="I312" s="68"/>
      <c r="J312" s="68"/>
      <c r="K312" s="68"/>
      <c r="L312" s="68"/>
      <c r="N312" s="75"/>
      <c r="O312" s="79"/>
    </row>
    <row r="313" spans="1:15" ht="12.5" x14ac:dyDescent="0.25">
      <c r="A313" s="14"/>
      <c r="C313" s="68"/>
      <c r="D313" s="68"/>
      <c r="E313" s="68"/>
      <c r="F313" s="68"/>
      <c r="G313" s="68"/>
      <c r="H313" s="68"/>
      <c r="I313" s="68"/>
      <c r="J313" s="68"/>
      <c r="K313" s="68"/>
      <c r="L313" s="68"/>
      <c r="N313" s="75"/>
      <c r="O313" s="79"/>
    </row>
    <row r="314" spans="1:15" ht="12.5" x14ac:dyDescent="0.25">
      <c r="A314" s="14"/>
      <c r="C314" s="68"/>
      <c r="D314" s="68"/>
      <c r="E314" s="68"/>
      <c r="F314" s="68"/>
      <c r="G314" s="68"/>
      <c r="H314" s="68"/>
      <c r="I314" s="68"/>
      <c r="J314" s="68"/>
      <c r="K314" s="68"/>
      <c r="L314" s="68"/>
      <c r="N314" s="75"/>
      <c r="O314" s="79"/>
    </row>
    <row r="315" spans="1:15" ht="12.5" x14ac:dyDescent="0.25">
      <c r="A315" s="14"/>
      <c r="C315" s="68"/>
      <c r="D315" s="68"/>
      <c r="E315" s="68"/>
      <c r="F315" s="68"/>
      <c r="G315" s="68"/>
      <c r="H315" s="68"/>
      <c r="I315" s="68"/>
      <c r="J315" s="68"/>
      <c r="K315" s="68"/>
      <c r="L315" s="68"/>
      <c r="N315" s="75"/>
      <c r="O315" s="79"/>
    </row>
    <row r="316" spans="1:15" ht="12.5" x14ac:dyDescent="0.25">
      <c r="A316" s="14"/>
      <c r="C316" s="68"/>
      <c r="D316" s="68"/>
      <c r="E316" s="68"/>
      <c r="F316" s="68"/>
      <c r="G316" s="68"/>
      <c r="H316" s="68"/>
      <c r="I316" s="68"/>
      <c r="J316" s="68"/>
      <c r="K316" s="68"/>
      <c r="L316" s="68"/>
      <c r="N316" s="75"/>
      <c r="O316" s="79"/>
    </row>
    <row r="317" spans="1:15" ht="12.5" x14ac:dyDescent="0.25">
      <c r="A317" s="14"/>
      <c r="C317" s="68"/>
      <c r="D317" s="68"/>
      <c r="E317" s="68"/>
      <c r="F317" s="68"/>
      <c r="G317" s="68"/>
      <c r="H317" s="68"/>
      <c r="I317" s="68"/>
      <c r="J317" s="68"/>
      <c r="K317" s="68"/>
      <c r="L317" s="68"/>
      <c r="N317" s="75"/>
      <c r="O317" s="79"/>
    </row>
    <row r="318" spans="1:15" ht="12.5" x14ac:dyDescent="0.25">
      <c r="A318" s="14"/>
      <c r="C318" s="68"/>
      <c r="D318" s="68"/>
      <c r="E318" s="68"/>
      <c r="F318" s="68"/>
      <c r="G318" s="68"/>
      <c r="H318" s="68"/>
      <c r="I318" s="68"/>
      <c r="J318" s="68"/>
      <c r="K318" s="68"/>
      <c r="L318" s="68"/>
      <c r="N318" s="75"/>
      <c r="O318" s="79"/>
    </row>
    <row r="319" spans="1:15" ht="12.5" x14ac:dyDescent="0.25">
      <c r="A319" s="14"/>
      <c r="C319" s="68"/>
      <c r="D319" s="68"/>
      <c r="E319" s="68"/>
      <c r="F319" s="68"/>
      <c r="G319" s="68"/>
      <c r="H319" s="68"/>
      <c r="I319" s="68"/>
      <c r="J319" s="68"/>
      <c r="K319" s="68"/>
      <c r="L319" s="68"/>
      <c r="N319" s="75"/>
      <c r="O319" s="79"/>
    </row>
    <row r="320" spans="1:15" ht="12.5" x14ac:dyDescent="0.25">
      <c r="A320" s="14"/>
      <c r="C320" s="68"/>
      <c r="D320" s="68"/>
      <c r="E320" s="68"/>
      <c r="F320" s="68"/>
      <c r="G320" s="68"/>
      <c r="H320" s="68"/>
      <c r="I320" s="68"/>
      <c r="J320" s="68"/>
      <c r="K320" s="68"/>
      <c r="L320" s="68"/>
      <c r="N320" s="75"/>
      <c r="O320" s="79"/>
    </row>
    <row r="321" spans="1:15" ht="12.5" x14ac:dyDescent="0.25">
      <c r="A321" s="14"/>
      <c r="C321" s="68"/>
      <c r="D321" s="68"/>
      <c r="E321" s="68"/>
      <c r="F321" s="68"/>
      <c r="G321" s="68"/>
      <c r="H321" s="68"/>
      <c r="I321" s="68"/>
      <c r="J321" s="68"/>
      <c r="K321" s="68"/>
      <c r="L321" s="68"/>
      <c r="N321" s="75"/>
      <c r="O321" s="79"/>
    </row>
    <row r="322" spans="1:15" ht="12.5" x14ac:dyDescent="0.25">
      <c r="A322" s="14"/>
      <c r="C322" s="68"/>
      <c r="D322" s="68"/>
      <c r="E322" s="68"/>
      <c r="F322" s="68"/>
      <c r="G322" s="68"/>
      <c r="H322" s="68"/>
      <c r="I322" s="68"/>
      <c r="J322" s="68"/>
      <c r="K322" s="68"/>
      <c r="L322" s="68"/>
      <c r="N322" s="75"/>
      <c r="O322" s="79"/>
    </row>
    <row r="323" spans="1:15" ht="12.5" x14ac:dyDescent="0.25">
      <c r="A323" s="14"/>
      <c r="C323" s="68"/>
      <c r="D323" s="68"/>
      <c r="E323" s="68"/>
      <c r="F323" s="68"/>
      <c r="G323" s="68"/>
      <c r="H323" s="68"/>
      <c r="I323" s="68"/>
      <c r="J323" s="68"/>
      <c r="K323" s="68"/>
      <c r="L323" s="68"/>
      <c r="N323" s="75"/>
      <c r="O323" s="79"/>
    </row>
    <row r="324" spans="1:15" ht="12.5" x14ac:dyDescent="0.25">
      <c r="A324" s="14"/>
      <c r="C324" s="68"/>
      <c r="D324" s="68"/>
      <c r="E324" s="68"/>
      <c r="F324" s="68"/>
      <c r="G324" s="68"/>
      <c r="H324" s="68"/>
      <c r="I324" s="68"/>
      <c r="J324" s="68"/>
      <c r="K324" s="68"/>
      <c r="L324" s="68"/>
      <c r="N324" s="75"/>
      <c r="O324" s="79"/>
    </row>
    <row r="325" spans="1:15" ht="12.5" x14ac:dyDescent="0.25">
      <c r="A325" s="14"/>
      <c r="C325" s="68"/>
      <c r="D325" s="68"/>
      <c r="E325" s="68"/>
      <c r="F325" s="68"/>
      <c r="G325" s="68"/>
      <c r="H325" s="68"/>
      <c r="I325" s="68"/>
      <c r="J325" s="68"/>
      <c r="K325" s="68"/>
      <c r="L325" s="68"/>
      <c r="N325" s="75"/>
      <c r="O325" s="79"/>
    </row>
    <row r="326" spans="1:15" ht="12.5" x14ac:dyDescent="0.25">
      <c r="A326" s="14"/>
      <c r="C326" s="68"/>
      <c r="D326" s="68"/>
      <c r="E326" s="68"/>
      <c r="F326" s="68"/>
      <c r="G326" s="68"/>
      <c r="H326" s="68"/>
      <c r="I326" s="68"/>
      <c r="J326" s="68"/>
      <c r="K326" s="68"/>
      <c r="L326" s="68"/>
      <c r="N326" s="75"/>
      <c r="O326" s="79"/>
    </row>
    <row r="327" spans="1:15" ht="12.5" x14ac:dyDescent="0.25">
      <c r="A327" s="14"/>
      <c r="C327" s="68"/>
      <c r="D327" s="68"/>
      <c r="E327" s="68"/>
      <c r="F327" s="68"/>
      <c r="G327" s="68"/>
      <c r="H327" s="68"/>
      <c r="I327" s="68"/>
      <c r="J327" s="68"/>
      <c r="K327" s="68"/>
      <c r="L327" s="68"/>
      <c r="N327" s="75"/>
      <c r="O327" s="79"/>
    </row>
    <row r="328" spans="1:15" ht="12.5" x14ac:dyDescent="0.25">
      <c r="A328" s="14"/>
      <c r="C328" s="68"/>
      <c r="D328" s="68"/>
      <c r="E328" s="68"/>
      <c r="F328" s="68"/>
      <c r="G328" s="68"/>
      <c r="H328" s="68"/>
      <c r="I328" s="68"/>
      <c r="J328" s="68"/>
      <c r="K328" s="68"/>
      <c r="L328" s="68"/>
      <c r="N328" s="75"/>
      <c r="O328" s="79"/>
    </row>
    <row r="329" spans="1:15" ht="12.5" x14ac:dyDescent="0.25">
      <c r="A329" s="14"/>
      <c r="C329" s="68"/>
      <c r="D329" s="68"/>
      <c r="E329" s="68"/>
      <c r="F329" s="68"/>
      <c r="G329" s="68"/>
      <c r="H329" s="68"/>
      <c r="I329" s="68"/>
      <c r="J329" s="68"/>
      <c r="K329" s="68"/>
      <c r="L329" s="68"/>
      <c r="N329" s="75"/>
      <c r="O329" s="79"/>
    </row>
    <row r="330" spans="1:15" ht="12.5" x14ac:dyDescent="0.25">
      <c r="A330" s="14"/>
      <c r="C330" s="68"/>
      <c r="D330" s="68"/>
      <c r="E330" s="68"/>
      <c r="F330" s="68"/>
      <c r="G330" s="68"/>
      <c r="H330" s="68"/>
      <c r="I330" s="68"/>
      <c r="J330" s="68"/>
      <c r="K330" s="68"/>
      <c r="L330" s="68"/>
      <c r="N330" s="75"/>
      <c r="O330" s="79"/>
    </row>
    <row r="331" spans="1:15" ht="12.5" x14ac:dyDescent="0.25">
      <c r="A331" s="14"/>
      <c r="C331" s="68"/>
      <c r="D331" s="68"/>
      <c r="E331" s="68"/>
      <c r="F331" s="68"/>
      <c r="G331" s="68"/>
      <c r="H331" s="68"/>
      <c r="I331" s="68"/>
      <c r="J331" s="68"/>
      <c r="K331" s="68"/>
      <c r="L331" s="68"/>
      <c r="N331" s="75"/>
      <c r="O331" s="79"/>
    </row>
    <row r="332" spans="1:15" ht="12.5" x14ac:dyDescent="0.25">
      <c r="A332" s="14"/>
      <c r="C332" s="68"/>
      <c r="D332" s="68"/>
      <c r="E332" s="68"/>
      <c r="F332" s="68"/>
      <c r="G332" s="68"/>
      <c r="H332" s="68"/>
      <c r="I332" s="68"/>
      <c r="J332" s="68"/>
      <c r="K332" s="68"/>
      <c r="L332" s="68"/>
      <c r="N332" s="75"/>
      <c r="O332" s="79"/>
    </row>
    <row r="333" spans="1:15" ht="12.5" x14ac:dyDescent="0.25">
      <c r="A333" s="14"/>
      <c r="C333" s="68"/>
      <c r="D333" s="68"/>
      <c r="E333" s="68"/>
      <c r="F333" s="68"/>
      <c r="G333" s="68"/>
      <c r="H333" s="68"/>
      <c r="I333" s="68"/>
      <c r="J333" s="68"/>
      <c r="K333" s="68"/>
      <c r="L333" s="68"/>
      <c r="N333" s="75"/>
      <c r="O333" s="79"/>
    </row>
    <row r="334" spans="1:15" ht="12.5" x14ac:dyDescent="0.25">
      <c r="A334" s="14"/>
      <c r="C334" s="68"/>
      <c r="D334" s="68"/>
      <c r="E334" s="68"/>
      <c r="F334" s="68"/>
      <c r="G334" s="68"/>
      <c r="H334" s="68"/>
      <c r="I334" s="68"/>
      <c r="J334" s="68"/>
      <c r="K334" s="68"/>
      <c r="L334" s="68"/>
      <c r="N334" s="75"/>
      <c r="O334" s="79"/>
    </row>
    <row r="335" spans="1:15" ht="12.5" x14ac:dyDescent="0.25">
      <c r="A335" s="14"/>
      <c r="C335" s="68"/>
      <c r="D335" s="68"/>
      <c r="E335" s="68"/>
      <c r="F335" s="68"/>
      <c r="G335" s="68"/>
      <c r="H335" s="68"/>
      <c r="I335" s="68"/>
      <c r="J335" s="68"/>
      <c r="K335" s="68"/>
      <c r="L335" s="68"/>
      <c r="N335" s="75"/>
      <c r="O335" s="79"/>
    </row>
    <row r="336" spans="1:15" ht="12.5" x14ac:dyDescent="0.25">
      <c r="A336" s="14"/>
      <c r="C336" s="68"/>
      <c r="D336" s="68"/>
      <c r="E336" s="68"/>
      <c r="F336" s="68"/>
      <c r="G336" s="68"/>
      <c r="H336" s="68"/>
      <c r="I336" s="68"/>
      <c r="J336" s="68"/>
      <c r="K336" s="68"/>
      <c r="L336" s="68"/>
      <c r="N336" s="75"/>
      <c r="O336" s="79"/>
    </row>
    <row r="337" spans="1:15" ht="12.5" x14ac:dyDescent="0.25">
      <c r="A337" s="14"/>
      <c r="C337" s="68"/>
      <c r="D337" s="68"/>
      <c r="E337" s="68"/>
      <c r="F337" s="68"/>
      <c r="G337" s="68"/>
      <c r="H337" s="68"/>
      <c r="I337" s="68"/>
      <c r="J337" s="68"/>
      <c r="K337" s="68"/>
      <c r="L337" s="68"/>
      <c r="N337" s="75"/>
      <c r="O337" s="79"/>
    </row>
    <row r="338" spans="1:15" ht="12.5" x14ac:dyDescent="0.25">
      <c r="A338" s="14"/>
      <c r="C338" s="68"/>
      <c r="D338" s="68"/>
      <c r="E338" s="68"/>
      <c r="F338" s="68"/>
      <c r="G338" s="68"/>
      <c r="H338" s="68"/>
      <c r="I338" s="68"/>
      <c r="J338" s="68"/>
      <c r="K338" s="68"/>
      <c r="L338" s="68"/>
      <c r="N338" s="75"/>
      <c r="O338" s="79"/>
    </row>
    <row r="339" spans="1:15" ht="12.5" x14ac:dyDescent="0.25">
      <c r="A339" s="14"/>
      <c r="C339" s="68"/>
      <c r="D339" s="68"/>
      <c r="E339" s="68"/>
      <c r="F339" s="68"/>
      <c r="G339" s="68"/>
      <c r="H339" s="68"/>
      <c r="I339" s="68"/>
      <c r="J339" s="68"/>
      <c r="K339" s="68"/>
      <c r="L339" s="68"/>
      <c r="N339" s="75"/>
      <c r="O339" s="79"/>
    </row>
    <row r="340" spans="1:15" ht="12.5" x14ac:dyDescent="0.25">
      <c r="A340" s="14"/>
      <c r="C340" s="68"/>
      <c r="D340" s="68"/>
      <c r="E340" s="68"/>
      <c r="F340" s="68"/>
      <c r="G340" s="68"/>
      <c r="H340" s="68"/>
      <c r="I340" s="68"/>
      <c r="J340" s="68"/>
      <c r="K340" s="68"/>
      <c r="L340" s="68"/>
      <c r="N340" s="75"/>
      <c r="O340" s="79"/>
    </row>
    <row r="341" spans="1:15" ht="12.5" x14ac:dyDescent="0.25">
      <c r="A341" s="14"/>
      <c r="C341" s="68"/>
      <c r="D341" s="68"/>
      <c r="E341" s="68"/>
      <c r="F341" s="68"/>
      <c r="G341" s="68"/>
      <c r="H341" s="68"/>
      <c r="I341" s="68"/>
      <c r="J341" s="68"/>
      <c r="K341" s="68"/>
      <c r="L341" s="68"/>
      <c r="N341" s="75"/>
      <c r="O341" s="79"/>
    </row>
    <row r="342" spans="1:15" ht="12.5" x14ac:dyDescent="0.25">
      <c r="A342" s="14"/>
      <c r="C342" s="68"/>
      <c r="D342" s="68"/>
      <c r="E342" s="68"/>
      <c r="F342" s="68"/>
      <c r="G342" s="68"/>
      <c r="H342" s="68"/>
      <c r="I342" s="68"/>
      <c r="J342" s="68"/>
      <c r="K342" s="68"/>
      <c r="L342" s="68"/>
      <c r="N342" s="75"/>
      <c r="O342" s="79"/>
    </row>
    <row r="343" spans="1:15" ht="12.5" x14ac:dyDescent="0.25">
      <c r="A343" s="14"/>
      <c r="C343" s="68"/>
      <c r="D343" s="68"/>
      <c r="E343" s="68"/>
      <c r="F343" s="68"/>
      <c r="G343" s="68"/>
      <c r="H343" s="68"/>
      <c r="I343" s="68"/>
      <c r="J343" s="68"/>
      <c r="K343" s="68"/>
      <c r="L343" s="68"/>
      <c r="N343" s="75"/>
      <c r="O343" s="79"/>
    </row>
    <row r="344" spans="1:15" ht="12.5" x14ac:dyDescent="0.25">
      <c r="A344" s="14"/>
      <c r="C344" s="68"/>
      <c r="D344" s="68"/>
      <c r="E344" s="68"/>
      <c r="F344" s="68"/>
      <c r="G344" s="68"/>
      <c r="H344" s="68"/>
      <c r="I344" s="68"/>
      <c r="J344" s="68"/>
      <c r="K344" s="68"/>
      <c r="L344" s="68"/>
      <c r="N344" s="75"/>
      <c r="O344" s="79"/>
    </row>
    <row r="345" spans="1:15" ht="12.5" x14ac:dyDescent="0.25">
      <c r="A345" s="14"/>
      <c r="C345" s="68"/>
      <c r="D345" s="68"/>
      <c r="E345" s="68"/>
      <c r="F345" s="68"/>
      <c r="G345" s="68"/>
      <c r="H345" s="68"/>
      <c r="I345" s="68"/>
      <c r="J345" s="68"/>
      <c r="K345" s="68"/>
      <c r="L345" s="68"/>
      <c r="N345" s="75"/>
      <c r="O345" s="79"/>
    </row>
    <row r="346" spans="1:15" ht="12.5" x14ac:dyDescent="0.25">
      <c r="A346" s="14"/>
      <c r="C346" s="68"/>
      <c r="D346" s="68"/>
      <c r="E346" s="68"/>
      <c r="F346" s="68"/>
      <c r="G346" s="68"/>
      <c r="H346" s="68"/>
      <c r="I346" s="68"/>
      <c r="J346" s="68"/>
      <c r="K346" s="68"/>
      <c r="L346" s="68"/>
      <c r="N346" s="75"/>
      <c r="O346" s="79"/>
    </row>
    <row r="347" spans="1:15" ht="12.5" x14ac:dyDescent="0.25">
      <c r="A347" s="14"/>
      <c r="C347" s="68"/>
      <c r="D347" s="68"/>
      <c r="E347" s="68"/>
      <c r="F347" s="68"/>
      <c r="G347" s="68"/>
      <c r="H347" s="68"/>
      <c r="I347" s="68"/>
      <c r="J347" s="68"/>
      <c r="K347" s="68"/>
      <c r="L347" s="68"/>
      <c r="N347" s="75"/>
      <c r="O347" s="79"/>
    </row>
    <row r="348" spans="1:15" ht="12.5" x14ac:dyDescent="0.25">
      <c r="A348" s="14"/>
      <c r="C348" s="68"/>
      <c r="D348" s="68"/>
      <c r="E348" s="68"/>
      <c r="F348" s="68"/>
      <c r="G348" s="68"/>
      <c r="H348" s="68"/>
      <c r="I348" s="68"/>
      <c r="J348" s="68"/>
      <c r="K348" s="68"/>
      <c r="L348" s="68"/>
      <c r="N348" s="75"/>
      <c r="O348" s="79"/>
    </row>
    <row r="349" spans="1:15" ht="12.5" x14ac:dyDescent="0.25">
      <c r="A349" s="14"/>
      <c r="C349" s="68"/>
      <c r="D349" s="68"/>
      <c r="E349" s="68"/>
      <c r="F349" s="68"/>
      <c r="G349" s="68"/>
      <c r="H349" s="68"/>
      <c r="I349" s="68"/>
      <c r="J349" s="68"/>
      <c r="K349" s="68"/>
      <c r="L349" s="68"/>
      <c r="N349" s="75"/>
      <c r="O349" s="79"/>
    </row>
    <row r="350" spans="1:15" ht="12.5" x14ac:dyDescent="0.25">
      <c r="A350" s="14"/>
      <c r="C350" s="68"/>
      <c r="D350" s="68"/>
      <c r="E350" s="68"/>
      <c r="F350" s="68"/>
      <c r="G350" s="68"/>
      <c r="H350" s="68"/>
      <c r="I350" s="68"/>
      <c r="J350" s="68"/>
      <c r="K350" s="68"/>
      <c r="L350" s="68"/>
      <c r="N350" s="75"/>
      <c r="O350" s="79"/>
    </row>
    <row r="351" spans="1:15" ht="12.5" x14ac:dyDescent="0.25">
      <c r="A351" s="14"/>
      <c r="C351" s="68"/>
      <c r="D351" s="68"/>
      <c r="E351" s="68"/>
      <c r="F351" s="68"/>
      <c r="G351" s="68"/>
      <c r="H351" s="68"/>
      <c r="I351" s="68"/>
      <c r="J351" s="68"/>
      <c r="K351" s="68"/>
      <c r="L351" s="68"/>
      <c r="N351" s="75"/>
      <c r="O351" s="79"/>
    </row>
    <row r="352" spans="1:15" ht="12.5" x14ac:dyDescent="0.25">
      <c r="A352" s="14"/>
      <c r="C352" s="68"/>
      <c r="D352" s="68"/>
      <c r="E352" s="68"/>
      <c r="F352" s="68"/>
      <c r="G352" s="68"/>
      <c r="H352" s="68"/>
      <c r="I352" s="68"/>
      <c r="J352" s="68"/>
      <c r="K352" s="68"/>
      <c r="L352" s="68"/>
      <c r="N352" s="75"/>
      <c r="O352" s="79"/>
    </row>
    <row r="353" spans="1:15" ht="12.5" x14ac:dyDescent="0.25">
      <c r="A353" s="14"/>
      <c r="C353" s="68"/>
      <c r="D353" s="68"/>
      <c r="E353" s="68"/>
      <c r="F353" s="68"/>
      <c r="G353" s="68"/>
      <c r="H353" s="68"/>
      <c r="I353" s="68"/>
      <c r="J353" s="68"/>
      <c r="K353" s="68"/>
      <c r="L353" s="68"/>
      <c r="N353" s="75"/>
      <c r="O353" s="79"/>
    </row>
    <row r="354" spans="1:15" ht="12.5" x14ac:dyDescent="0.25">
      <c r="A354" s="14"/>
      <c r="C354" s="68"/>
      <c r="D354" s="68"/>
      <c r="E354" s="68"/>
      <c r="F354" s="68"/>
      <c r="G354" s="68"/>
      <c r="H354" s="68"/>
      <c r="I354" s="68"/>
      <c r="J354" s="68"/>
      <c r="K354" s="68"/>
      <c r="L354" s="68"/>
      <c r="N354" s="75"/>
      <c r="O354" s="79"/>
    </row>
    <row r="355" spans="1:15" ht="12.5" x14ac:dyDescent="0.25">
      <c r="A355" s="14"/>
      <c r="C355" s="68"/>
      <c r="D355" s="68"/>
      <c r="E355" s="68"/>
      <c r="F355" s="68"/>
      <c r="G355" s="68"/>
      <c r="H355" s="68"/>
      <c r="I355" s="68"/>
      <c r="J355" s="68"/>
      <c r="K355" s="68"/>
      <c r="L355" s="68"/>
      <c r="N355" s="75"/>
      <c r="O355" s="79"/>
    </row>
    <row r="356" spans="1:15" ht="12.5" x14ac:dyDescent="0.25">
      <c r="A356" s="14"/>
      <c r="C356" s="68"/>
      <c r="D356" s="68"/>
      <c r="E356" s="68"/>
      <c r="F356" s="68"/>
      <c r="G356" s="68"/>
      <c r="H356" s="68"/>
      <c r="I356" s="68"/>
      <c r="J356" s="68"/>
      <c r="K356" s="68"/>
      <c r="L356" s="68"/>
      <c r="N356" s="75"/>
      <c r="O356" s="79"/>
    </row>
    <row r="357" spans="1:15" ht="12.5" x14ac:dyDescent="0.25">
      <c r="A357" s="14"/>
      <c r="C357" s="68"/>
      <c r="D357" s="68"/>
      <c r="E357" s="68"/>
      <c r="F357" s="68"/>
      <c r="G357" s="68"/>
      <c r="H357" s="68"/>
      <c r="I357" s="68"/>
      <c r="J357" s="68"/>
      <c r="K357" s="68"/>
      <c r="L357" s="68"/>
      <c r="N357" s="75"/>
      <c r="O357" s="79"/>
    </row>
    <row r="358" spans="1:15" ht="12.5" x14ac:dyDescent="0.25">
      <c r="A358" s="14"/>
      <c r="C358" s="68"/>
      <c r="D358" s="68"/>
      <c r="E358" s="68"/>
      <c r="F358" s="68"/>
      <c r="G358" s="68"/>
      <c r="H358" s="68"/>
      <c r="I358" s="68"/>
      <c r="J358" s="68"/>
      <c r="K358" s="68"/>
      <c r="L358" s="68"/>
      <c r="N358" s="75"/>
      <c r="O358" s="79"/>
    </row>
    <row r="359" spans="1:15" ht="12.5" x14ac:dyDescent="0.25">
      <c r="A359" s="14"/>
      <c r="C359" s="68"/>
      <c r="D359" s="68"/>
      <c r="E359" s="68"/>
      <c r="F359" s="68"/>
      <c r="G359" s="68"/>
      <c r="H359" s="68"/>
      <c r="I359" s="68"/>
      <c r="J359" s="68"/>
      <c r="K359" s="68"/>
      <c r="L359" s="68"/>
      <c r="N359" s="75"/>
      <c r="O359" s="79"/>
    </row>
    <row r="360" spans="1:15" ht="12.5" x14ac:dyDescent="0.25">
      <c r="A360" s="14"/>
      <c r="C360" s="68"/>
      <c r="D360" s="68"/>
      <c r="E360" s="68"/>
      <c r="F360" s="68"/>
      <c r="G360" s="68"/>
      <c r="H360" s="68"/>
      <c r="I360" s="68"/>
      <c r="J360" s="68"/>
      <c r="K360" s="68"/>
      <c r="L360" s="68"/>
      <c r="N360" s="75"/>
      <c r="O360" s="79"/>
    </row>
    <row r="361" spans="1:15" ht="12.5" x14ac:dyDescent="0.25">
      <c r="A361" s="14"/>
      <c r="C361" s="68"/>
      <c r="D361" s="68"/>
      <c r="E361" s="68"/>
      <c r="F361" s="68"/>
      <c r="G361" s="68"/>
      <c r="H361" s="68"/>
      <c r="I361" s="68"/>
      <c r="J361" s="68"/>
      <c r="K361" s="68"/>
      <c r="L361" s="68"/>
      <c r="N361" s="75"/>
      <c r="O361" s="79"/>
    </row>
    <row r="362" spans="1:15" ht="12.5" x14ac:dyDescent="0.25">
      <c r="A362" s="14"/>
      <c r="C362" s="68"/>
      <c r="D362" s="68"/>
      <c r="E362" s="68"/>
      <c r="F362" s="68"/>
      <c r="G362" s="68"/>
      <c r="H362" s="68"/>
      <c r="I362" s="68"/>
      <c r="J362" s="68"/>
      <c r="K362" s="68"/>
      <c r="L362" s="68"/>
      <c r="N362" s="75"/>
      <c r="O362" s="79"/>
    </row>
    <row r="363" spans="1:15" ht="12.5" x14ac:dyDescent="0.25">
      <c r="A363" s="14"/>
      <c r="C363" s="68"/>
      <c r="D363" s="68"/>
      <c r="E363" s="68"/>
      <c r="F363" s="68"/>
      <c r="G363" s="68"/>
      <c r="H363" s="68"/>
      <c r="I363" s="68"/>
      <c r="J363" s="68"/>
      <c r="K363" s="68"/>
      <c r="L363" s="68"/>
      <c r="N363" s="75"/>
      <c r="O363" s="79"/>
    </row>
    <row r="364" spans="1:15" ht="12.5" x14ac:dyDescent="0.25">
      <c r="A364" s="14"/>
      <c r="C364" s="68"/>
      <c r="D364" s="68"/>
      <c r="E364" s="68"/>
      <c r="F364" s="68"/>
      <c r="G364" s="68"/>
      <c r="H364" s="68"/>
      <c r="I364" s="68"/>
      <c r="J364" s="68"/>
      <c r="K364" s="68"/>
      <c r="L364" s="68"/>
      <c r="N364" s="75"/>
      <c r="O364" s="79"/>
    </row>
    <row r="365" spans="1:15" ht="12.5" x14ac:dyDescent="0.25">
      <c r="A365" s="14"/>
      <c r="C365" s="68"/>
      <c r="D365" s="68"/>
      <c r="E365" s="68"/>
      <c r="F365" s="68"/>
      <c r="G365" s="68"/>
      <c r="H365" s="68"/>
      <c r="I365" s="68"/>
      <c r="J365" s="68"/>
      <c r="K365" s="68"/>
      <c r="L365" s="68"/>
      <c r="N365" s="75"/>
      <c r="O365" s="79"/>
    </row>
    <row r="366" spans="1:15" ht="12.5" x14ac:dyDescent="0.25">
      <c r="A366" s="14"/>
      <c r="C366" s="68"/>
      <c r="D366" s="68"/>
      <c r="E366" s="68"/>
      <c r="F366" s="68"/>
      <c r="G366" s="68"/>
      <c r="H366" s="68"/>
      <c r="I366" s="68"/>
      <c r="J366" s="68"/>
      <c r="K366" s="68"/>
      <c r="L366" s="68"/>
      <c r="N366" s="75"/>
      <c r="O366" s="79"/>
    </row>
    <row r="367" spans="1:15" ht="12.5" x14ac:dyDescent="0.25">
      <c r="A367" s="14"/>
      <c r="C367" s="68"/>
      <c r="D367" s="68"/>
      <c r="E367" s="68"/>
      <c r="F367" s="68"/>
      <c r="G367" s="68"/>
      <c r="H367" s="68"/>
      <c r="I367" s="68"/>
      <c r="J367" s="68"/>
      <c r="K367" s="68"/>
      <c r="L367" s="68"/>
      <c r="N367" s="75"/>
      <c r="O367" s="79"/>
    </row>
    <row r="368" spans="1:15" ht="12.5" x14ac:dyDescent="0.25">
      <c r="A368" s="14"/>
      <c r="C368" s="68"/>
      <c r="D368" s="68"/>
      <c r="E368" s="68"/>
      <c r="F368" s="68"/>
      <c r="G368" s="68"/>
      <c r="H368" s="68"/>
      <c r="I368" s="68"/>
      <c r="J368" s="68"/>
      <c r="K368" s="68"/>
      <c r="L368" s="68"/>
      <c r="N368" s="75"/>
      <c r="O368" s="79"/>
    </row>
    <row r="369" spans="1:15" ht="12.5" x14ac:dyDescent="0.25">
      <c r="A369" s="14"/>
      <c r="C369" s="68"/>
      <c r="D369" s="68"/>
      <c r="E369" s="68"/>
      <c r="F369" s="68"/>
      <c r="G369" s="68"/>
      <c r="H369" s="68"/>
      <c r="I369" s="68"/>
      <c r="J369" s="68"/>
      <c r="K369" s="68"/>
      <c r="L369" s="68"/>
      <c r="N369" s="75"/>
      <c r="O369" s="79"/>
    </row>
    <row r="370" spans="1:15" ht="12.5" x14ac:dyDescent="0.25">
      <c r="A370" s="14"/>
      <c r="C370" s="68"/>
      <c r="D370" s="68"/>
      <c r="E370" s="68"/>
      <c r="F370" s="68"/>
      <c r="G370" s="68"/>
      <c r="H370" s="68"/>
      <c r="I370" s="68"/>
      <c r="J370" s="68"/>
      <c r="K370" s="68"/>
      <c r="L370" s="68"/>
      <c r="N370" s="75"/>
      <c r="O370" s="79"/>
    </row>
    <row r="371" spans="1:15" ht="12.5" x14ac:dyDescent="0.25">
      <c r="A371" s="14"/>
      <c r="C371" s="68"/>
      <c r="D371" s="68"/>
      <c r="E371" s="68"/>
      <c r="F371" s="68"/>
      <c r="G371" s="68"/>
      <c r="H371" s="68"/>
      <c r="I371" s="68"/>
      <c r="J371" s="68"/>
      <c r="K371" s="68"/>
      <c r="L371" s="68"/>
      <c r="N371" s="75"/>
      <c r="O371" s="79"/>
    </row>
    <row r="372" spans="1:15" ht="12.5" x14ac:dyDescent="0.25">
      <c r="A372" s="14"/>
      <c r="C372" s="68"/>
      <c r="D372" s="68"/>
      <c r="E372" s="68"/>
      <c r="F372" s="68"/>
      <c r="G372" s="68"/>
      <c r="H372" s="68"/>
      <c r="I372" s="68"/>
      <c r="J372" s="68"/>
      <c r="K372" s="68"/>
      <c r="L372" s="68"/>
      <c r="N372" s="75"/>
      <c r="O372" s="79"/>
    </row>
    <row r="373" spans="1:15" ht="12.5" x14ac:dyDescent="0.25">
      <c r="A373" s="14"/>
      <c r="C373" s="68"/>
      <c r="D373" s="68"/>
      <c r="E373" s="68"/>
      <c r="F373" s="68"/>
      <c r="G373" s="68"/>
      <c r="H373" s="68"/>
      <c r="I373" s="68"/>
      <c r="J373" s="68"/>
      <c r="K373" s="68"/>
      <c r="L373" s="68"/>
      <c r="N373" s="75"/>
      <c r="O373" s="79"/>
    </row>
    <row r="374" spans="1:15" ht="12.5" x14ac:dyDescent="0.25">
      <c r="A374" s="14"/>
      <c r="C374" s="68"/>
      <c r="D374" s="68"/>
      <c r="E374" s="68"/>
      <c r="F374" s="68"/>
      <c r="G374" s="68"/>
      <c r="H374" s="68"/>
      <c r="I374" s="68"/>
      <c r="J374" s="68"/>
      <c r="K374" s="68"/>
      <c r="L374" s="68"/>
      <c r="N374" s="75"/>
      <c r="O374" s="79"/>
    </row>
    <row r="375" spans="1:15" ht="12.5" x14ac:dyDescent="0.25">
      <c r="A375" s="14"/>
      <c r="C375" s="68"/>
      <c r="D375" s="68"/>
      <c r="E375" s="68"/>
      <c r="F375" s="68"/>
      <c r="G375" s="68"/>
      <c r="H375" s="68"/>
      <c r="I375" s="68"/>
      <c r="J375" s="68"/>
      <c r="K375" s="68"/>
      <c r="L375" s="68"/>
      <c r="N375" s="75"/>
      <c r="O375" s="79"/>
    </row>
    <row r="376" spans="1:15" ht="12.5" x14ac:dyDescent="0.25">
      <c r="A376" s="14"/>
      <c r="C376" s="68"/>
      <c r="D376" s="68"/>
      <c r="E376" s="68"/>
      <c r="F376" s="68"/>
      <c r="G376" s="68"/>
      <c r="H376" s="68"/>
      <c r="I376" s="68"/>
      <c r="J376" s="68"/>
      <c r="K376" s="68"/>
      <c r="L376" s="68"/>
      <c r="N376" s="75"/>
      <c r="O376" s="79"/>
    </row>
    <row r="377" spans="1:15" ht="12.5" x14ac:dyDescent="0.25">
      <c r="A377" s="14"/>
      <c r="C377" s="68"/>
      <c r="D377" s="68"/>
      <c r="E377" s="68"/>
      <c r="F377" s="68"/>
      <c r="G377" s="68"/>
      <c r="H377" s="68"/>
      <c r="I377" s="68"/>
      <c r="J377" s="68"/>
      <c r="K377" s="68"/>
      <c r="L377" s="68"/>
      <c r="N377" s="75"/>
      <c r="O377" s="79"/>
    </row>
    <row r="378" spans="1:15" ht="12.5" x14ac:dyDescent="0.25">
      <c r="A378" s="14"/>
      <c r="C378" s="68"/>
      <c r="D378" s="68"/>
      <c r="E378" s="68"/>
      <c r="F378" s="68"/>
      <c r="G378" s="68"/>
      <c r="H378" s="68"/>
      <c r="I378" s="68"/>
      <c r="J378" s="68"/>
      <c r="K378" s="68"/>
      <c r="L378" s="68"/>
      <c r="N378" s="75"/>
      <c r="O378" s="79"/>
    </row>
    <row r="379" spans="1:15" ht="12.5" x14ac:dyDescent="0.25">
      <c r="A379" s="14"/>
      <c r="C379" s="68"/>
      <c r="D379" s="68"/>
      <c r="E379" s="68"/>
      <c r="F379" s="68"/>
      <c r="G379" s="68"/>
      <c r="H379" s="68"/>
      <c r="I379" s="68"/>
      <c r="J379" s="68"/>
      <c r="K379" s="68"/>
      <c r="L379" s="68"/>
      <c r="N379" s="75"/>
      <c r="O379" s="79"/>
    </row>
    <row r="380" spans="1:15" ht="12.5" x14ac:dyDescent="0.25">
      <c r="A380" s="14"/>
      <c r="C380" s="68"/>
      <c r="D380" s="68"/>
      <c r="E380" s="68"/>
      <c r="F380" s="68"/>
      <c r="G380" s="68"/>
      <c r="H380" s="68"/>
      <c r="I380" s="68"/>
      <c r="J380" s="68"/>
      <c r="K380" s="68"/>
      <c r="L380" s="68"/>
      <c r="N380" s="75"/>
      <c r="O380" s="79"/>
    </row>
    <row r="381" spans="1:15" ht="12.5" x14ac:dyDescent="0.25">
      <c r="A381" s="14"/>
      <c r="C381" s="68"/>
      <c r="D381" s="68"/>
      <c r="E381" s="68"/>
      <c r="F381" s="68"/>
      <c r="G381" s="68"/>
      <c r="H381" s="68"/>
      <c r="I381" s="68"/>
      <c r="J381" s="68"/>
      <c r="K381" s="68"/>
      <c r="L381" s="68"/>
      <c r="N381" s="75"/>
      <c r="O381" s="79"/>
    </row>
    <row r="382" spans="1:15" ht="12.5" x14ac:dyDescent="0.25">
      <c r="A382" s="14"/>
      <c r="C382" s="68"/>
      <c r="D382" s="68"/>
      <c r="E382" s="68"/>
      <c r="F382" s="68"/>
      <c r="G382" s="68"/>
      <c r="H382" s="68"/>
      <c r="I382" s="68"/>
      <c r="J382" s="68"/>
      <c r="K382" s="68"/>
      <c r="L382" s="68"/>
      <c r="N382" s="75"/>
      <c r="O382" s="79"/>
    </row>
    <row r="383" spans="1:15" ht="12.5" x14ac:dyDescent="0.25">
      <c r="A383" s="14"/>
      <c r="C383" s="68"/>
      <c r="D383" s="68"/>
      <c r="E383" s="68"/>
      <c r="F383" s="68"/>
      <c r="G383" s="68"/>
      <c r="H383" s="68"/>
      <c r="I383" s="68"/>
      <c r="J383" s="68"/>
      <c r="K383" s="68"/>
      <c r="L383" s="68"/>
      <c r="N383" s="75"/>
      <c r="O383" s="79"/>
    </row>
    <row r="384" spans="1:15" ht="12.5" x14ac:dyDescent="0.25">
      <c r="A384" s="14"/>
      <c r="C384" s="68"/>
      <c r="D384" s="68"/>
      <c r="E384" s="68"/>
      <c r="F384" s="68"/>
      <c r="G384" s="68"/>
      <c r="H384" s="68"/>
      <c r="I384" s="68"/>
      <c r="J384" s="68"/>
      <c r="K384" s="68"/>
      <c r="L384" s="68"/>
      <c r="N384" s="75"/>
      <c r="O384" s="79"/>
    </row>
    <row r="385" spans="1:15" ht="12.5" x14ac:dyDescent="0.25">
      <c r="A385" s="14"/>
      <c r="C385" s="68"/>
      <c r="D385" s="68"/>
      <c r="E385" s="68"/>
      <c r="F385" s="68"/>
      <c r="G385" s="68"/>
      <c r="H385" s="68"/>
      <c r="I385" s="68"/>
      <c r="J385" s="68"/>
      <c r="K385" s="68"/>
      <c r="L385" s="68"/>
      <c r="N385" s="75"/>
      <c r="O385" s="79"/>
    </row>
    <row r="386" spans="1:15" ht="12.5" x14ac:dyDescent="0.25">
      <c r="A386" s="14"/>
      <c r="C386" s="68"/>
      <c r="D386" s="68"/>
      <c r="E386" s="68"/>
      <c r="F386" s="68"/>
      <c r="G386" s="68"/>
      <c r="H386" s="68"/>
      <c r="I386" s="68"/>
      <c r="J386" s="68"/>
      <c r="K386" s="68"/>
      <c r="L386" s="68"/>
      <c r="N386" s="75"/>
      <c r="O386" s="79"/>
    </row>
    <row r="387" spans="1:15" ht="12.5" x14ac:dyDescent="0.25">
      <c r="A387" s="14"/>
      <c r="C387" s="68"/>
      <c r="D387" s="68"/>
      <c r="E387" s="68"/>
      <c r="F387" s="68"/>
      <c r="G387" s="68"/>
      <c r="H387" s="68"/>
      <c r="I387" s="68"/>
      <c r="J387" s="68"/>
      <c r="K387" s="68"/>
      <c r="L387" s="68"/>
      <c r="N387" s="75"/>
      <c r="O387" s="79"/>
    </row>
    <row r="388" spans="1:15" ht="12.5" x14ac:dyDescent="0.25">
      <c r="A388" s="14"/>
      <c r="C388" s="68"/>
      <c r="D388" s="68"/>
      <c r="E388" s="68"/>
      <c r="F388" s="68"/>
      <c r="G388" s="68"/>
      <c r="H388" s="68"/>
      <c r="I388" s="68"/>
      <c r="J388" s="68"/>
      <c r="K388" s="68"/>
      <c r="L388" s="68"/>
      <c r="N388" s="75"/>
      <c r="O388" s="79"/>
    </row>
    <row r="389" spans="1:15" ht="12.5" x14ac:dyDescent="0.25">
      <c r="A389" s="14"/>
      <c r="C389" s="68"/>
      <c r="D389" s="68"/>
      <c r="E389" s="68"/>
      <c r="F389" s="68"/>
      <c r="G389" s="68"/>
      <c r="H389" s="68"/>
      <c r="I389" s="68"/>
      <c r="J389" s="68"/>
      <c r="K389" s="68"/>
      <c r="L389" s="68"/>
      <c r="N389" s="75"/>
      <c r="O389" s="79"/>
    </row>
    <row r="390" spans="1:15" ht="12.5" x14ac:dyDescent="0.25">
      <c r="A390" s="14"/>
      <c r="C390" s="68"/>
      <c r="D390" s="68"/>
      <c r="E390" s="68"/>
      <c r="F390" s="68"/>
      <c r="G390" s="68"/>
      <c r="H390" s="68"/>
      <c r="I390" s="68"/>
      <c r="J390" s="68"/>
      <c r="K390" s="68"/>
      <c r="L390" s="68"/>
      <c r="N390" s="75"/>
      <c r="O390" s="79"/>
    </row>
    <row r="391" spans="1:15" ht="12.5" x14ac:dyDescent="0.25">
      <c r="A391" s="14"/>
      <c r="C391" s="68"/>
      <c r="D391" s="68"/>
      <c r="E391" s="68"/>
      <c r="F391" s="68"/>
      <c r="G391" s="68"/>
      <c r="H391" s="68"/>
      <c r="I391" s="68"/>
      <c r="J391" s="68"/>
      <c r="K391" s="68"/>
      <c r="L391" s="68"/>
      <c r="N391" s="75"/>
      <c r="O391" s="79"/>
    </row>
    <row r="392" spans="1:15" ht="12.5" x14ac:dyDescent="0.25">
      <c r="A392" s="14"/>
      <c r="C392" s="68"/>
      <c r="D392" s="68"/>
      <c r="E392" s="68"/>
      <c r="F392" s="68"/>
      <c r="G392" s="68"/>
      <c r="H392" s="68"/>
      <c r="I392" s="68"/>
      <c r="J392" s="68"/>
      <c r="K392" s="68"/>
      <c r="L392" s="68"/>
      <c r="N392" s="75"/>
      <c r="O392" s="79"/>
    </row>
    <row r="393" spans="1:15" ht="12.5" x14ac:dyDescent="0.25">
      <c r="A393" s="14"/>
      <c r="C393" s="68"/>
      <c r="D393" s="68"/>
      <c r="E393" s="68"/>
      <c r="F393" s="68"/>
      <c r="G393" s="68"/>
      <c r="H393" s="68"/>
      <c r="I393" s="68"/>
      <c r="J393" s="68"/>
      <c r="K393" s="68"/>
      <c r="L393" s="68"/>
      <c r="N393" s="75"/>
      <c r="O393" s="79"/>
    </row>
    <row r="394" spans="1:15" ht="12.5" x14ac:dyDescent="0.25">
      <c r="A394" s="14"/>
      <c r="C394" s="68"/>
      <c r="D394" s="68"/>
      <c r="E394" s="68"/>
      <c r="F394" s="68"/>
      <c r="G394" s="68"/>
      <c r="H394" s="68"/>
      <c r="I394" s="68"/>
      <c r="J394" s="68"/>
      <c r="K394" s="68"/>
      <c r="L394" s="68"/>
      <c r="N394" s="75"/>
      <c r="O394" s="79"/>
    </row>
    <row r="395" spans="1:15" ht="12.5" x14ac:dyDescent="0.25">
      <c r="A395" s="14"/>
      <c r="C395" s="68"/>
      <c r="D395" s="68"/>
      <c r="E395" s="68"/>
      <c r="F395" s="68"/>
      <c r="G395" s="68"/>
      <c r="H395" s="68"/>
      <c r="I395" s="68"/>
      <c r="J395" s="68"/>
      <c r="K395" s="68"/>
      <c r="L395" s="68"/>
      <c r="N395" s="75"/>
      <c r="O395" s="79"/>
    </row>
    <row r="396" spans="1:15" ht="12.5" x14ac:dyDescent="0.25">
      <c r="A396" s="14"/>
      <c r="C396" s="68"/>
      <c r="D396" s="68"/>
      <c r="E396" s="68"/>
      <c r="F396" s="68"/>
      <c r="G396" s="68"/>
      <c r="H396" s="68"/>
      <c r="I396" s="68"/>
      <c r="J396" s="68"/>
      <c r="K396" s="68"/>
      <c r="L396" s="68"/>
      <c r="N396" s="75"/>
      <c r="O396" s="79"/>
    </row>
    <row r="397" spans="1:15" ht="12.5" x14ac:dyDescent="0.25">
      <c r="A397" s="14"/>
      <c r="C397" s="68"/>
      <c r="D397" s="68"/>
      <c r="E397" s="68"/>
      <c r="F397" s="68"/>
      <c r="G397" s="68"/>
      <c r="H397" s="68"/>
      <c r="I397" s="68"/>
      <c r="J397" s="68"/>
      <c r="K397" s="68"/>
      <c r="L397" s="68"/>
      <c r="N397" s="75"/>
      <c r="O397" s="79"/>
    </row>
    <row r="398" spans="1:15" ht="12.5" x14ac:dyDescent="0.25">
      <c r="A398" s="14"/>
      <c r="C398" s="68"/>
      <c r="D398" s="68"/>
      <c r="E398" s="68"/>
      <c r="F398" s="68"/>
      <c r="G398" s="68"/>
      <c r="H398" s="68"/>
      <c r="I398" s="68"/>
      <c r="J398" s="68"/>
      <c r="K398" s="68"/>
      <c r="L398" s="68"/>
      <c r="N398" s="75"/>
      <c r="O398" s="79"/>
    </row>
    <row r="399" spans="1:15" ht="12.5" x14ac:dyDescent="0.25">
      <c r="A399" s="14"/>
      <c r="C399" s="68"/>
      <c r="D399" s="68"/>
      <c r="E399" s="68"/>
      <c r="F399" s="68"/>
      <c r="G399" s="68"/>
      <c r="H399" s="68"/>
      <c r="I399" s="68"/>
      <c r="J399" s="68"/>
      <c r="K399" s="68"/>
      <c r="L399" s="68"/>
      <c r="N399" s="75"/>
      <c r="O399" s="79"/>
    </row>
    <row r="400" spans="1:15" ht="12.5" x14ac:dyDescent="0.25">
      <c r="A400" s="14"/>
      <c r="C400" s="68"/>
      <c r="D400" s="68"/>
      <c r="E400" s="68"/>
      <c r="F400" s="68"/>
      <c r="G400" s="68"/>
      <c r="H400" s="68"/>
      <c r="I400" s="68"/>
      <c r="J400" s="68"/>
      <c r="K400" s="68"/>
      <c r="L400" s="68"/>
      <c r="N400" s="75"/>
      <c r="O400" s="79"/>
    </row>
    <row r="401" spans="1:15" ht="12.5" x14ac:dyDescent="0.25">
      <c r="A401" s="14"/>
      <c r="C401" s="68"/>
      <c r="D401" s="68"/>
      <c r="E401" s="68"/>
      <c r="F401" s="68"/>
      <c r="G401" s="68"/>
      <c r="H401" s="68"/>
      <c r="I401" s="68"/>
      <c r="J401" s="68"/>
      <c r="K401" s="68"/>
      <c r="L401" s="68"/>
      <c r="N401" s="75"/>
      <c r="O401" s="79"/>
    </row>
    <row r="402" spans="1:15" ht="12.5" x14ac:dyDescent="0.25">
      <c r="A402" s="14"/>
      <c r="C402" s="68"/>
      <c r="D402" s="68"/>
      <c r="E402" s="68"/>
      <c r="F402" s="68"/>
      <c r="G402" s="68"/>
      <c r="H402" s="68"/>
      <c r="I402" s="68"/>
      <c r="J402" s="68"/>
      <c r="K402" s="68"/>
      <c r="L402" s="68"/>
      <c r="N402" s="75"/>
      <c r="O402" s="79"/>
    </row>
    <row r="403" spans="1:15" ht="12.5" x14ac:dyDescent="0.25">
      <c r="A403" s="14"/>
      <c r="C403" s="68"/>
      <c r="D403" s="68"/>
      <c r="E403" s="68"/>
      <c r="F403" s="68"/>
      <c r="G403" s="68"/>
      <c r="H403" s="68"/>
      <c r="I403" s="68"/>
      <c r="J403" s="68"/>
      <c r="K403" s="68"/>
      <c r="L403" s="68"/>
      <c r="N403" s="75"/>
      <c r="O403" s="79"/>
    </row>
    <row r="404" spans="1:15" ht="12.5" x14ac:dyDescent="0.25">
      <c r="A404" s="14"/>
      <c r="C404" s="68"/>
      <c r="D404" s="68"/>
      <c r="E404" s="68"/>
      <c r="F404" s="68"/>
      <c r="G404" s="68"/>
      <c r="H404" s="68"/>
      <c r="I404" s="68"/>
      <c r="J404" s="68"/>
      <c r="K404" s="68"/>
      <c r="L404" s="68"/>
      <c r="N404" s="75"/>
      <c r="O404" s="79"/>
    </row>
    <row r="405" spans="1:15" ht="12.5" x14ac:dyDescent="0.25">
      <c r="A405" s="14"/>
      <c r="C405" s="68"/>
      <c r="D405" s="68"/>
      <c r="E405" s="68"/>
      <c r="F405" s="68"/>
      <c r="G405" s="68"/>
      <c r="H405" s="68"/>
      <c r="I405" s="68"/>
      <c r="J405" s="68"/>
      <c r="K405" s="68"/>
      <c r="L405" s="68"/>
      <c r="N405" s="75"/>
      <c r="O405" s="79"/>
    </row>
    <row r="406" spans="1:15" ht="12.5" x14ac:dyDescent="0.25">
      <c r="A406" s="14"/>
      <c r="C406" s="68"/>
      <c r="D406" s="68"/>
      <c r="E406" s="68"/>
      <c r="F406" s="68"/>
      <c r="G406" s="68"/>
      <c r="H406" s="68"/>
      <c r="I406" s="68"/>
      <c r="J406" s="68"/>
      <c r="K406" s="68"/>
      <c r="L406" s="68"/>
      <c r="N406" s="75"/>
      <c r="O406" s="79"/>
    </row>
    <row r="407" spans="1:15" ht="12.5" x14ac:dyDescent="0.25">
      <c r="A407" s="14"/>
      <c r="C407" s="68"/>
      <c r="D407" s="68"/>
      <c r="E407" s="68"/>
      <c r="F407" s="68"/>
      <c r="G407" s="68"/>
      <c r="H407" s="68"/>
      <c r="I407" s="68"/>
      <c r="J407" s="68"/>
      <c r="K407" s="68"/>
      <c r="L407" s="68"/>
      <c r="N407" s="75"/>
      <c r="O407" s="79"/>
    </row>
    <row r="408" spans="1:15" ht="12.5" x14ac:dyDescent="0.25">
      <c r="A408" s="14"/>
      <c r="C408" s="68"/>
      <c r="D408" s="68"/>
      <c r="E408" s="68"/>
      <c r="F408" s="68"/>
      <c r="G408" s="68"/>
      <c r="H408" s="68"/>
      <c r="I408" s="68"/>
      <c r="J408" s="68"/>
      <c r="K408" s="68"/>
      <c r="L408" s="68"/>
      <c r="N408" s="75"/>
      <c r="O408" s="79"/>
    </row>
    <row r="409" spans="1:15" ht="12.5" x14ac:dyDescent="0.25">
      <c r="A409" s="14"/>
      <c r="C409" s="68"/>
      <c r="D409" s="68"/>
      <c r="E409" s="68"/>
      <c r="F409" s="68"/>
      <c r="G409" s="68"/>
      <c r="H409" s="68"/>
      <c r="I409" s="68"/>
      <c r="J409" s="68"/>
      <c r="K409" s="68"/>
      <c r="L409" s="68"/>
      <c r="N409" s="75"/>
      <c r="O409" s="79"/>
    </row>
    <row r="410" spans="1:15" ht="12.5" x14ac:dyDescent="0.25">
      <c r="A410" s="14"/>
      <c r="C410" s="68"/>
      <c r="D410" s="68"/>
      <c r="E410" s="68"/>
      <c r="F410" s="68"/>
      <c r="G410" s="68"/>
      <c r="H410" s="68"/>
      <c r="I410" s="68"/>
      <c r="J410" s="68"/>
      <c r="K410" s="68"/>
      <c r="L410" s="68"/>
      <c r="N410" s="75"/>
      <c r="O410" s="79"/>
    </row>
    <row r="411" spans="1:15" ht="12.5" x14ac:dyDescent="0.25">
      <c r="A411" s="14"/>
      <c r="C411" s="68"/>
      <c r="D411" s="68"/>
      <c r="E411" s="68"/>
      <c r="F411" s="68"/>
      <c r="G411" s="68"/>
      <c r="H411" s="68"/>
      <c r="I411" s="68"/>
      <c r="J411" s="68"/>
      <c r="K411" s="68"/>
      <c r="L411" s="68"/>
      <c r="N411" s="75"/>
      <c r="O411" s="79"/>
    </row>
    <row r="412" spans="1:15" ht="12.5" x14ac:dyDescent="0.25">
      <c r="A412" s="14"/>
      <c r="C412" s="68"/>
      <c r="D412" s="68"/>
      <c r="E412" s="68"/>
      <c r="F412" s="68"/>
      <c r="G412" s="68"/>
      <c r="H412" s="68"/>
      <c r="I412" s="68"/>
      <c r="J412" s="68"/>
      <c r="K412" s="68"/>
      <c r="L412" s="68"/>
      <c r="N412" s="75"/>
      <c r="O412" s="79"/>
    </row>
    <row r="413" spans="1:15" ht="12.5" x14ac:dyDescent="0.25">
      <c r="A413" s="14"/>
      <c r="C413" s="68"/>
      <c r="D413" s="68"/>
      <c r="E413" s="68"/>
      <c r="F413" s="68"/>
      <c r="G413" s="68"/>
      <c r="H413" s="68"/>
      <c r="I413" s="68"/>
      <c r="J413" s="68"/>
      <c r="K413" s="68"/>
      <c r="L413" s="68"/>
      <c r="N413" s="75"/>
      <c r="O413" s="79"/>
    </row>
    <row r="414" spans="1:15" ht="12.5" x14ac:dyDescent="0.25">
      <c r="A414" s="14"/>
      <c r="C414" s="68"/>
      <c r="D414" s="68"/>
      <c r="E414" s="68"/>
      <c r="F414" s="68"/>
      <c r="G414" s="68"/>
      <c r="H414" s="68"/>
      <c r="I414" s="68"/>
      <c r="J414" s="68"/>
      <c r="K414" s="68"/>
      <c r="L414" s="68"/>
      <c r="N414" s="75"/>
      <c r="O414" s="79"/>
    </row>
    <row r="415" spans="1:15" ht="12.5" x14ac:dyDescent="0.25">
      <c r="A415" s="14"/>
      <c r="C415" s="68"/>
      <c r="D415" s="68"/>
      <c r="E415" s="68"/>
      <c r="F415" s="68"/>
      <c r="G415" s="68"/>
      <c r="H415" s="68"/>
      <c r="I415" s="68"/>
      <c r="J415" s="68"/>
      <c r="K415" s="68"/>
      <c r="L415" s="68"/>
      <c r="N415" s="75"/>
      <c r="O415" s="79"/>
    </row>
    <row r="416" spans="1:15" ht="12.5" x14ac:dyDescent="0.25">
      <c r="A416" s="14"/>
      <c r="C416" s="68"/>
      <c r="D416" s="68"/>
      <c r="E416" s="68"/>
      <c r="F416" s="68"/>
      <c r="G416" s="68"/>
      <c r="H416" s="68"/>
      <c r="I416" s="68"/>
      <c r="J416" s="68"/>
      <c r="K416" s="68"/>
      <c r="L416" s="68"/>
      <c r="N416" s="75"/>
      <c r="O416" s="79"/>
    </row>
    <row r="417" spans="1:15" ht="12.5" x14ac:dyDescent="0.25">
      <c r="A417" s="14"/>
      <c r="C417" s="68"/>
      <c r="D417" s="68"/>
      <c r="E417" s="68"/>
      <c r="F417" s="68"/>
      <c r="G417" s="68"/>
      <c r="H417" s="68"/>
      <c r="I417" s="68"/>
      <c r="J417" s="68"/>
      <c r="K417" s="68"/>
      <c r="L417" s="68"/>
      <c r="N417" s="75"/>
      <c r="O417" s="79"/>
    </row>
    <row r="418" spans="1:15" ht="12.5" x14ac:dyDescent="0.25">
      <c r="A418" s="14"/>
      <c r="C418" s="68"/>
      <c r="D418" s="68"/>
      <c r="E418" s="68"/>
      <c r="F418" s="68"/>
      <c r="G418" s="68"/>
      <c r="H418" s="68"/>
      <c r="I418" s="68"/>
      <c r="J418" s="68"/>
      <c r="K418" s="68"/>
      <c r="L418" s="68"/>
      <c r="N418" s="75"/>
      <c r="O418" s="79"/>
    </row>
    <row r="419" spans="1:15" ht="12.5" x14ac:dyDescent="0.25">
      <c r="A419" s="14"/>
      <c r="C419" s="68"/>
      <c r="D419" s="68"/>
      <c r="E419" s="68"/>
      <c r="F419" s="68"/>
      <c r="G419" s="68"/>
      <c r="H419" s="68"/>
      <c r="I419" s="68"/>
      <c r="J419" s="68"/>
      <c r="K419" s="68"/>
      <c r="L419" s="68"/>
      <c r="N419" s="75"/>
      <c r="O419" s="79"/>
    </row>
    <row r="420" spans="1:15" ht="12.5" x14ac:dyDescent="0.25">
      <c r="A420" s="14"/>
      <c r="C420" s="68"/>
      <c r="D420" s="68"/>
      <c r="E420" s="68"/>
      <c r="F420" s="68"/>
      <c r="G420" s="68"/>
      <c r="H420" s="68"/>
      <c r="I420" s="68"/>
      <c r="J420" s="68"/>
      <c r="K420" s="68"/>
      <c r="L420" s="68"/>
      <c r="N420" s="75"/>
      <c r="O420" s="79"/>
    </row>
    <row r="421" spans="1:15" ht="12.5" x14ac:dyDescent="0.25">
      <c r="A421" s="14"/>
      <c r="C421" s="68"/>
      <c r="D421" s="68"/>
      <c r="E421" s="68"/>
      <c r="F421" s="68"/>
      <c r="G421" s="68"/>
      <c r="H421" s="68"/>
      <c r="I421" s="68"/>
      <c r="J421" s="68"/>
      <c r="K421" s="68"/>
      <c r="L421" s="68"/>
      <c r="N421" s="75"/>
      <c r="O421" s="79"/>
    </row>
    <row r="422" spans="1:15" ht="12.5" x14ac:dyDescent="0.25">
      <c r="A422" s="14"/>
      <c r="C422" s="68"/>
      <c r="D422" s="68"/>
      <c r="E422" s="68"/>
      <c r="F422" s="68"/>
      <c r="G422" s="68"/>
      <c r="H422" s="68"/>
      <c r="I422" s="68"/>
      <c r="J422" s="68"/>
      <c r="K422" s="68"/>
      <c r="L422" s="68"/>
      <c r="N422" s="75"/>
      <c r="O422" s="79"/>
    </row>
    <row r="423" spans="1:15" ht="12.5" x14ac:dyDescent="0.25">
      <c r="A423" s="14"/>
      <c r="C423" s="68"/>
      <c r="D423" s="68"/>
      <c r="E423" s="68"/>
      <c r="F423" s="68"/>
      <c r="G423" s="68"/>
      <c r="H423" s="68"/>
      <c r="I423" s="68"/>
      <c r="J423" s="68"/>
      <c r="K423" s="68"/>
      <c r="L423" s="68"/>
      <c r="N423" s="75"/>
      <c r="O423" s="79"/>
    </row>
    <row r="424" spans="1:15" ht="12.5" x14ac:dyDescent="0.25">
      <c r="A424" s="14"/>
      <c r="C424" s="68"/>
      <c r="D424" s="68"/>
      <c r="E424" s="68"/>
      <c r="F424" s="68"/>
      <c r="G424" s="68"/>
      <c r="H424" s="68"/>
      <c r="I424" s="68"/>
      <c r="J424" s="68"/>
      <c r="K424" s="68"/>
      <c r="L424" s="68"/>
      <c r="N424" s="75"/>
      <c r="O424" s="79"/>
    </row>
    <row r="425" spans="1:15" ht="12.5" x14ac:dyDescent="0.25">
      <c r="A425" s="14"/>
      <c r="C425" s="68"/>
      <c r="D425" s="68"/>
      <c r="E425" s="68"/>
      <c r="F425" s="68"/>
      <c r="G425" s="68"/>
      <c r="H425" s="68"/>
      <c r="I425" s="68"/>
      <c r="J425" s="68"/>
      <c r="K425" s="68"/>
      <c r="L425" s="68"/>
      <c r="N425" s="75"/>
      <c r="O425" s="79"/>
    </row>
    <row r="426" spans="1:15" ht="12.5" x14ac:dyDescent="0.25">
      <c r="A426" s="14"/>
      <c r="C426" s="68"/>
      <c r="D426" s="68"/>
      <c r="E426" s="68"/>
      <c r="F426" s="68"/>
      <c r="G426" s="68"/>
      <c r="H426" s="68"/>
      <c r="I426" s="68"/>
      <c r="J426" s="68"/>
      <c r="K426" s="68"/>
      <c r="L426" s="68"/>
      <c r="N426" s="75"/>
      <c r="O426" s="79"/>
    </row>
    <row r="427" spans="1:15" ht="12.5" x14ac:dyDescent="0.25">
      <c r="A427" s="14"/>
      <c r="C427" s="68"/>
      <c r="D427" s="68"/>
      <c r="E427" s="68"/>
      <c r="F427" s="68"/>
      <c r="G427" s="68"/>
      <c r="H427" s="68"/>
      <c r="I427" s="68"/>
      <c r="J427" s="68"/>
      <c r="K427" s="68"/>
      <c r="L427" s="68"/>
      <c r="N427" s="75"/>
      <c r="O427" s="79"/>
    </row>
    <row r="428" spans="1:15" ht="12.5" x14ac:dyDescent="0.25">
      <c r="A428" s="14"/>
      <c r="C428" s="68"/>
      <c r="D428" s="68"/>
      <c r="E428" s="68"/>
      <c r="F428" s="68"/>
      <c r="G428" s="68"/>
      <c r="H428" s="68"/>
      <c r="I428" s="68"/>
      <c r="J428" s="68"/>
      <c r="K428" s="68"/>
      <c r="L428" s="68"/>
      <c r="N428" s="75"/>
      <c r="O428" s="79"/>
    </row>
    <row r="429" spans="1:15" ht="12.5" x14ac:dyDescent="0.25">
      <c r="A429" s="14"/>
      <c r="C429" s="68"/>
      <c r="D429" s="68"/>
      <c r="E429" s="68"/>
      <c r="F429" s="68"/>
      <c r="G429" s="68"/>
      <c r="H429" s="68"/>
      <c r="I429" s="68"/>
      <c r="J429" s="68"/>
      <c r="K429" s="68"/>
      <c r="L429" s="68"/>
      <c r="N429" s="75"/>
      <c r="O429" s="79"/>
    </row>
    <row r="430" spans="1:15" ht="12.5" x14ac:dyDescent="0.25">
      <c r="A430" s="14"/>
      <c r="C430" s="68"/>
      <c r="D430" s="68"/>
      <c r="E430" s="68"/>
      <c r="F430" s="68"/>
      <c r="G430" s="68"/>
      <c r="H430" s="68"/>
      <c r="I430" s="68"/>
      <c r="J430" s="68"/>
      <c r="K430" s="68"/>
      <c r="L430" s="68"/>
      <c r="N430" s="75"/>
      <c r="O430" s="79"/>
    </row>
    <row r="431" spans="1:15" ht="12.5" x14ac:dyDescent="0.25">
      <c r="A431" s="14"/>
      <c r="C431" s="68"/>
      <c r="D431" s="68"/>
      <c r="E431" s="68"/>
      <c r="F431" s="68"/>
      <c r="G431" s="68"/>
      <c r="H431" s="68"/>
      <c r="I431" s="68"/>
      <c r="J431" s="68"/>
      <c r="K431" s="68"/>
      <c r="L431" s="68"/>
      <c r="N431" s="75"/>
      <c r="O431" s="79"/>
    </row>
    <row r="432" spans="1:15" ht="12.5" x14ac:dyDescent="0.25">
      <c r="A432" s="14"/>
      <c r="C432" s="68"/>
      <c r="D432" s="68"/>
      <c r="E432" s="68"/>
      <c r="F432" s="68"/>
      <c r="G432" s="68"/>
      <c r="H432" s="68"/>
      <c r="I432" s="68"/>
      <c r="J432" s="68"/>
      <c r="K432" s="68"/>
      <c r="L432" s="68"/>
      <c r="N432" s="75"/>
      <c r="O432" s="79"/>
    </row>
    <row r="433" spans="1:15" ht="12.5" x14ac:dyDescent="0.25">
      <c r="A433" s="14"/>
      <c r="C433" s="68"/>
      <c r="D433" s="68"/>
      <c r="E433" s="68"/>
      <c r="F433" s="68"/>
      <c r="G433" s="68"/>
      <c r="H433" s="68"/>
      <c r="I433" s="68"/>
      <c r="J433" s="68"/>
      <c r="K433" s="68"/>
      <c r="L433" s="68"/>
      <c r="N433" s="75"/>
      <c r="O433" s="79"/>
    </row>
    <row r="434" spans="1:15" ht="12.5" x14ac:dyDescent="0.25">
      <c r="A434" s="14"/>
      <c r="C434" s="68"/>
      <c r="D434" s="68"/>
      <c r="E434" s="68"/>
      <c r="F434" s="68"/>
      <c r="G434" s="68"/>
      <c r="H434" s="68"/>
      <c r="I434" s="68"/>
      <c r="J434" s="68"/>
      <c r="K434" s="68"/>
      <c r="L434" s="68"/>
      <c r="N434" s="75"/>
      <c r="O434" s="79"/>
    </row>
    <row r="435" spans="1:15" ht="12.5" x14ac:dyDescent="0.25">
      <c r="A435" s="14"/>
      <c r="C435" s="68"/>
      <c r="D435" s="68"/>
      <c r="E435" s="68"/>
      <c r="F435" s="68"/>
      <c r="G435" s="68"/>
      <c r="H435" s="68"/>
      <c r="I435" s="68"/>
      <c r="J435" s="68"/>
      <c r="K435" s="68"/>
      <c r="L435" s="68"/>
      <c r="N435" s="75"/>
      <c r="O435" s="79"/>
    </row>
    <row r="436" spans="1:15" ht="12.5" x14ac:dyDescent="0.25">
      <c r="A436" s="14"/>
      <c r="C436" s="68"/>
      <c r="D436" s="68"/>
      <c r="E436" s="68"/>
      <c r="F436" s="68"/>
      <c r="G436" s="68"/>
      <c r="H436" s="68"/>
      <c r="I436" s="68"/>
      <c r="J436" s="68"/>
      <c r="K436" s="68"/>
      <c r="L436" s="68"/>
      <c r="N436" s="75"/>
      <c r="O436" s="79"/>
    </row>
    <row r="437" spans="1:15" ht="12.5" x14ac:dyDescent="0.25">
      <c r="A437" s="14"/>
      <c r="C437" s="68"/>
      <c r="D437" s="68"/>
      <c r="E437" s="68"/>
      <c r="F437" s="68"/>
      <c r="G437" s="68"/>
      <c r="H437" s="68"/>
      <c r="I437" s="68"/>
      <c r="J437" s="68"/>
      <c r="K437" s="68"/>
      <c r="L437" s="68"/>
      <c r="N437" s="75"/>
      <c r="O437" s="79"/>
    </row>
    <row r="438" spans="1:15" ht="12.5" x14ac:dyDescent="0.25">
      <c r="A438" s="14"/>
      <c r="C438" s="68"/>
      <c r="D438" s="68"/>
      <c r="E438" s="68"/>
      <c r="F438" s="68"/>
      <c r="G438" s="68"/>
      <c r="H438" s="68"/>
      <c r="I438" s="68"/>
      <c r="J438" s="68"/>
      <c r="K438" s="68"/>
      <c r="L438" s="68"/>
      <c r="N438" s="75"/>
      <c r="O438" s="79"/>
    </row>
    <row r="439" spans="1:15" ht="12.5" x14ac:dyDescent="0.25">
      <c r="A439" s="14"/>
      <c r="C439" s="68"/>
      <c r="D439" s="68"/>
      <c r="E439" s="68"/>
      <c r="F439" s="68"/>
      <c r="G439" s="68"/>
      <c r="H439" s="68"/>
      <c r="I439" s="68"/>
      <c r="J439" s="68"/>
      <c r="K439" s="68"/>
      <c r="L439" s="68"/>
      <c r="N439" s="75"/>
      <c r="O439" s="79"/>
    </row>
    <row r="440" spans="1:15" ht="12.5" x14ac:dyDescent="0.25">
      <c r="A440" s="14"/>
      <c r="C440" s="68"/>
      <c r="D440" s="68"/>
      <c r="E440" s="68"/>
      <c r="F440" s="68"/>
      <c r="G440" s="68"/>
      <c r="H440" s="68"/>
      <c r="I440" s="68"/>
      <c r="J440" s="68"/>
      <c r="K440" s="68"/>
      <c r="L440" s="68"/>
      <c r="N440" s="75"/>
      <c r="O440" s="79"/>
    </row>
    <row r="441" spans="1:15" ht="12.5" x14ac:dyDescent="0.25">
      <c r="A441" s="14"/>
      <c r="C441" s="68"/>
      <c r="D441" s="68"/>
      <c r="E441" s="68"/>
      <c r="F441" s="68"/>
      <c r="G441" s="68"/>
      <c r="H441" s="68"/>
      <c r="I441" s="68"/>
      <c r="J441" s="68"/>
      <c r="K441" s="68"/>
      <c r="L441" s="68"/>
      <c r="N441" s="75"/>
      <c r="O441" s="79"/>
    </row>
    <row r="442" spans="1:15" ht="12.5" x14ac:dyDescent="0.25">
      <c r="A442" s="14"/>
      <c r="C442" s="68"/>
      <c r="D442" s="68"/>
      <c r="E442" s="68"/>
      <c r="F442" s="68"/>
      <c r="G442" s="68"/>
      <c r="H442" s="68"/>
      <c r="I442" s="68"/>
      <c r="J442" s="68"/>
      <c r="K442" s="68"/>
      <c r="L442" s="68"/>
      <c r="N442" s="75"/>
      <c r="O442" s="79"/>
    </row>
    <row r="443" spans="1:15" ht="12.5" x14ac:dyDescent="0.25">
      <c r="A443" s="14"/>
      <c r="C443" s="68"/>
      <c r="D443" s="68"/>
      <c r="E443" s="68"/>
      <c r="F443" s="68"/>
      <c r="G443" s="68"/>
      <c r="H443" s="68"/>
      <c r="I443" s="68"/>
      <c r="J443" s="68"/>
      <c r="K443" s="68"/>
      <c r="L443" s="68"/>
      <c r="N443" s="75"/>
      <c r="O443" s="79"/>
    </row>
    <row r="444" spans="1:15" ht="12.5" x14ac:dyDescent="0.25">
      <c r="A444" s="14"/>
      <c r="C444" s="68"/>
      <c r="D444" s="68"/>
      <c r="E444" s="68"/>
      <c r="F444" s="68"/>
      <c r="G444" s="68"/>
      <c r="H444" s="68"/>
      <c r="I444" s="68"/>
      <c r="J444" s="68"/>
      <c r="K444" s="68"/>
      <c r="L444" s="68"/>
      <c r="N444" s="75"/>
      <c r="O444" s="79"/>
    </row>
    <row r="445" spans="1:15" ht="12.5" x14ac:dyDescent="0.25">
      <c r="A445" s="14"/>
      <c r="C445" s="68"/>
      <c r="D445" s="68"/>
      <c r="E445" s="68"/>
      <c r="F445" s="68"/>
      <c r="G445" s="68"/>
      <c r="H445" s="68"/>
      <c r="I445" s="68"/>
      <c r="J445" s="68"/>
      <c r="K445" s="68"/>
      <c r="L445" s="68"/>
      <c r="N445" s="75"/>
      <c r="O445" s="79"/>
    </row>
    <row r="446" spans="1:15" ht="12.5" x14ac:dyDescent="0.25">
      <c r="A446" s="14"/>
      <c r="C446" s="68"/>
      <c r="D446" s="68"/>
      <c r="E446" s="68"/>
      <c r="F446" s="68"/>
      <c r="G446" s="68"/>
      <c r="H446" s="68"/>
      <c r="I446" s="68"/>
      <c r="J446" s="68"/>
      <c r="K446" s="68"/>
      <c r="L446" s="68"/>
      <c r="N446" s="75"/>
      <c r="O446" s="79"/>
    </row>
    <row r="447" spans="1:15" ht="12.5" x14ac:dyDescent="0.25">
      <c r="A447" s="14"/>
      <c r="C447" s="68"/>
      <c r="D447" s="68"/>
      <c r="E447" s="68"/>
      <c r="F447" s="68"/>
      <c r="G447" s="68"/>
      <c r="H447" s="68"/>
      <c r="I447" s="68"/>
      <c r="J447" s="68"/>
      <c r="K447" s="68"/>
      <c r="L447" s="68"/>
      <c r="N447" s="75"/>
      <c r="O447" s="79"/>
    </row>
    <row r="448" spans="1:15" ht="12.5" x14ac:dyDescent="0.25">
      <c r="A448" s="14"/>
      <c r="C448" s="68"/>
      <c r="D448" s="68"/>
      <c r="E448" s="68"/>
      <c r="F448" s="68"/>
      <c r="G448" s="68"/>
      <c r="H448" s="68"/>
      <c r="I448" s="68"/>
      <c r="J448" s="68"/>
      <c r="K448" s="68"/>
      <c r="L448" s="68"/>
      <c r="N448" s="75"/>
      <c r="O448" s="79"/>
    </row>
    <row r="449" spans="1:15" ht="12.5" x14ac:dyDescent="0.25">
      <c r="A449" s="14"/>
      <c r="C449" s="68"/>
      <c r="D449" s="68"/>
      <c r="E449" s="68"/>
      <c r="F449" s="68"/>
      <c r="G449" s="68"/>
      <c r="H449" s="68"/>
      <c r="I449" s="68"/>
      <c r="J449" s="68"/>
      <c r="K449" s="68"/>
      <c r="L449" s="68"/>
      <c r="N449" s="75"/>
      <c r="O449" s="79"/>
    </row>
    <row r="450" spans="1:15" ht="12.5" x14ac:dyDescent="0.25">
      <c r="A450" s="14"/>
      <c r="C450" s="68"/>
      <c r="D450" s="68"/>
      <c r="E450" s="68"/>
      <c r="F450" s="68"/>
      <c r="G450" s="68"/>
      <c r="H450" s="68"/>
      <c r="I450" s="68"/>
      <c r="J450" s="68"/>
      <c r="K450" s="68"/>
      <c r="L450" s="68"/>
      <c r="N450" s="75"/>
      <c r="O450" s="79"/>
    </row>
    <row r="451" spans="1:15" ht="12.5" x14ac:dyDescent="0.25">
      <c r="A451" s="14"/>
      <c r="C451" s="68"/>
      <c r="D451" s="68"/>
      <c r="E451" s="68"/>
      <c r="F451" s="68"/>
      <c r="G451" s="68"/>
      <c r="H451" s="68"/>
      <c r="I451" s="68"/>
      <c r="J451" s="68"/>
      <c r="K451" s="68"/>
      <c r="L451" s="68"/>
      <c r="N451" s="75"/>
      <c r="O451" s="79"/>
    </row>
    <row r="452" spans="1:15" ht="12.5" x14ac:dyDescent="0.25">
      <c r="A452" s="14"/>
      <c r="C452" s="68"/>
      <c r="D452" s="68"/>
      <c r="E452" s="68"/>
      <c r="F452" s="68"/>
      <c r="G452" s="68"/>
      <c r="H452" s="68"/>
      <c r="I452" s="68"/>
      <c r="J452" s="68"/>
      <c r="K452" s="68"/>
      <c r="L452" s="68"/>
      <c r="N452" s="75"/>
      <c r="O452" s="79"/>
    </row>
    <row r="453" spans="1:15" ht="12.5" x14ac:dyDescent="0.25">
      <c r="A453" s="14"/>
      <c r="C453" s="68"/>
      <c r="D453" s="68"/>
      <c r="E453" s="68"/>
      <c r="F453" s="68"/>
      <c r="G453" s="68"/>
      <c r="H453" s="68"/>
      <c r="I453" s="68"/>
      <c r="J453" s="68"/>
      <c r="K453" s="68"/>
      <c r="L453" s="68"/>
      <c r="N453" s="75"/>
      <c r="O453" s="79"/>
    </row>
    <row r="454" spans="1:15" ht="12.5" x14ac:dyDescent="0.25">
      <c r="A454" s="14"/>
      <c r="C454" s="68"/>
      <c r="D454" s="68"/>
      <c r="E454" s="68"/>
      <c r="F454" s="68"/>
      <c r="G454" s="68"/>
      <c r="H454" s="68"/>
      <c r="I454" s="68"/>
      <c r="J454" s="68"/>
      <c r="K454" s="68"/>
      <c r="L454" s="68"/>
      <c r="N454" s="75"/>
      <c r="O454" s="79"/>
    </row>
    <row r="455" spans="1:15" ht="12.5" x14ac:dyDescent="0.25">
      <c r="A455" s="14"/>
      <c r="C455" s="68"/>
      <c r="D455" s="68"/>
      <c r="E455" s="68"/>
      <c r="F455" s="68"/>
      <c r="G455" s="68"/>
      <c r="H455" s="68"/>
      <c r="I455" s="68"/>
      <c r="J455" s="68"/>
      <c r="K455" s="68"/>
      <c r="L455" s="68"/>
      <c r="N455" s="75"/>
      <c r="O455" s="79"/>
    </row>
    <row r="456" spans="1:15" ht="12.5" x14ac:dyDescent="0.25">
      <c r="A456" s="14"/>
      <c r="C456" s="68"/>
      <c r="D456" s="68"/>
      <c r="E456" s="68"/>
      <c r="F456" s="68"/>
      <c r="G456" s="68"/>
      <c r="H456" s="68"/>
      <c r="I456" s="68"/>
      <c r="J456" s="68"/>
      <c r="K456" s="68"/>
      <c r="L456" s="68"/>
      <c r="N456" s="75"/>
      <c r="O456" s="79"/>
    </row>
    <row r="457" spans="1:15" ht="12.5" x14ac:dyDescent="0.25">
      <c r="A457" s="14"/>
      <c r="C457" s="68"/>
      <c r="D457" s="68"/>
      <c r="E457" s="68"/>
      <c r="F457" s="68"/>
      <c r="G457" s="68"/>
      <c r="H457" s="68"/>
      <c r="I457" s="68"/>
      <c r="J457" s="68"/>
      <c r="K457" s="68"/>
      <c r="L457" s="68"/>
      <c r="N457" s="75"/>
      <c r="O457" s="79"/>
    </row>
    <row r="458" spans="1:15" ht="12.5" x14ac:dyDescent="0.25">
      <c r="A458" s="14"/>
      <c r="C458" s="68"/>
      <c r="D458" s="68"/>
      <c r="E458" s="68"/>
      <c r="F458" s="68"/>
      <c r="G458" s="68"/>
      <c r="H458" s="68"/>
      <c r="I458" s="68"/>
      <c r="J458" s="68"/>
      <c r="K458" s="68"/>
      <c r="L458" s="68"/>
      <c r="N458" s="75"/>
      <c r="O458" s="79"/>
    </row>
    <row r="459" spans="1:15" ht="12.5" x14ac:dyDescent="0.25">
      <c r="A459" s="14"/>
      <c r="C459" s="68"/>
      <c r="D459" s="68"/>
      <c r="E459" s="68"/>
      <c r="F459" s="68"/>
      <c r="G459" s="68"/>
      <c r="H459" s="68"/>
      <c r="I459" s="68"/>
      <c r="J459" s="68"/>
      <c r="K459" s="68"/>
      <c r="L459" s="68"/>
      <c r="N459" s="75"/>
      <c r="O459" s="79"/>
    </row>
    <row r="460" spans="1:15" ht="12.5" x14ac:dyDescent="0.25">
      <c r="A460" s="14"/>
      <c r="C460" s="68"/>
      <c r="D460" s="68"/>
      <c r="E460" s="68"/>
      <c r="F460" s="68"/>
      <c r="G460" s="68"/>
      <c r="H460" s="68"/>
      <c r="I460" s="68"/>
      <c r="J460" s="68"/>
      <c r="K460" s="68"/>
      <c r="L460" s="68"/>
      <c r="N460" s="75"/>
      <c r="O460" s="79"/>
    </row>
    <row r="461" spans="1:15" ht="12.5" x14ac:dyDescent="0.25">
      <c r="A461" s="14"/>
      <c r="C461" s="68"/>
      <c r="D461" s="68"/>
      <c r="E461" s="68"/>
      <c r="F461" s="68"/>
      <c r="G461" s="68"/>
      <c r="H461" s="68"/>
      <c r="I461" s="68"/>
      <c r="J461" s="68"/>
      <c r="K461" s="68"/>
      <c r="L461" s="68"/>
      <c r="N461" s="75"/>
      <c r="O461" s="79"/>
    </row>
    <row r="462" spans="1:15" ht="12.5" x14ac:dyDescent="0.25">
      <c r="A462" s="14"/>
      <c r="C462" s="68"/>
      <c r="D462" s="68"/>
      <c r="E462" s="68"/>
      <c r="F462" s="68"/>
      <c r="G462" s="68"/>
      <c r="H462" s="68"/>
      <c r="I462" s="68"/>
      <c r="J462" s="68"/>
      <c r="K462" s="68"/>
      <c r="L462" s="68"/>
      <c r="N462" s="75"/>
      <c r="O462" s="79"/>
    </row>
    <row r="463" spans="1:15" ht="12.5" x14ac:dyDescent="0.25">
      <c r="A463" s="14"/>
      <c r="C463" s="68"/>
      <c r="D463" s="68"/>
      <c r="E463" s="68"/>
      <c r="F463" s="68"/>
      <c r="G463" s="68"/>
      <c r="H463" s="68"/>
      <c r="I463" s="68"/>
      <c r="J463" s="68"/>
      <c r="K463" s="68"/>
      <c r="L463" s="68"/>
      <c r="N463" s="75"/>
      <c r="O463" s="79"/>
    </row>
    <row r="464" spans="1:15" ht="12.5" x14ac:dyDescent="0.25">
      <c r="A464" s="14"/>
      <c r="C464" s="68"/>
      <c r="D464" s="68"/>
      <c r="E464" s="68"/>
      <c r="F464" s="68"/>
      <c r="G464" s="68"/>
      <c r="H464" s="68"/>
      <c r="I464" s="68"/>
      <c r="J464" s="68"/>
      <c r="K464" s="68"/>
      <c r="L464" s="68"/>
      <c r="N464" s="75"/>
      <c r="O464" s="79"/>
    </row>
    <row r="465" spans="1:15" ht="12.5" x14ac:dyDescent="0.25">
      <c r="A465" s="14"/>
      <c r="C465" s="68"/>
      <c r="D465" s="68"/>
      <c r="E465" s="68"/>
      <c r="F465" s="68"/>
      <c r="G465" s="68"/>
      <c r="H465" s="68"/>
      <c r="I465" s="68"/>
      <c r="J465" s="68"/>
      <c r="K465" s="68"/>
      <c r="L465" s="68"/>
      <c r="N465" s="75"/>
      <c r="O465" s="79"/>
    </row>
    <row r="466" spans="1:15" ht="12.5" x14ac:dyDescent="0.25">
      <c r="A466" s="14"/>
      <c r="C466" s="68"/>
      <c r="D466" s="68"/>
      <c r="E466" s="68"/>
      <c r="F466" s="68"/>
      <c r="G466" s="68"/>
      <c r="H466" s="68"/>
      <c r="I466" s="68"/>
      <c r="J466" s="68"/>
      <c r="K466" s="68"/>
      <c r="L466" s="68"/>
      <c r="N466" s="75"/>
      <c r="O466" s="79"/>
    </row>
    <row r="467" spans="1:15" ht="12.5" x14ac:dyDescent="0.25">
      <c r="A467" s="14"/>
      <c r="C467" s="68"/>
      <c r="D467" s="68"/>
      <c r="E467" s="68"/>
      <c r="F467" s="68"/>
      <c r="G467" s="68"/>
      <c r="H467" s="68"/>
      <c r="I467" s="68"/>
      <c r="J467" s="68"/>
      <c r="K467" s="68"/>
      <c r="L467" s="68"/>
      <c r="N467" s="75"/>
      <c r="O467" s="79"/>
    </row>
    <row r="468" spans="1:15" ht="12.5" x14ac:dyDescent="0.25">
      <c r="A468" s="14"/>
      <c r="C468" s="68"/>
      <c r="D468" s="68"/>
      <c r="E468" s="68"/>
      <c r="F468" s="68"/>
      <c r="G468" s="68"/>
      <c r="H468" s="68"/>
      <c r="I468" s="68"/>
      <c r="J468" s="68"/>
      <c r="K468" s="68"/>
      <c r="L468" s="68"/>
      <c r="N468" s="75"/>
      <c r="O468" s="79"/>
    </row>
    <row r="469" spans="1:15" ht="12.5" x14ac:dyDescent="0.25">
      <c r="A469" s="14"/>
      <c r="C469" s="68"/>
      <c r="D469" s="68"/>
      <c r="E469" s="68"/>
      <c r="F469" s="68"/>
      <c r="G469" s="68"/>
      <c r="H469" s="68"/>
      <c r="I469" s="68"/>
      <c r="J469" s="68"/>
      <c r="K469" s="68"/>
      <c r="L469" s="68"/>
      <c r="N469" s="75"/>
      <c r="O469" s="79"/>
    </row>
    <row r="470" spans="1:15" ht="12.5" x14ac:dyDescent="0.25">
      <c r="A470" s="14"/>
      <c r="C470" s="68"/>
      <c r="D470" s="68"/>
      <c r="E470" s="68"/>
      <c r="F470" s="68"/>
      <c r="G470" s="68"/>
      <c r="H470" s="68"/>
      <c r="I470" s="68"/>
      <c r="J470" s="68"/>
      <c r="K470" s="68"/>
      <c r="L470" s="68"/>
      <c r="N470" s="75"/>
      <c r="O470" s="79"/>
    </row>
    <row r="471" spans="1:15" ht="12.5" x14ac:dyDescent="0.25">
      <c r="A471" s="14"/>
      <c r="C471" s="68"/>
      <c r="D471" s="68"/>
      <c r="E471" s="68"/>
      <c r="F471" s="68"/>
      <c r="G471" s="68"/>
      <c r="H471" s="68"/>
      <c r="I471" s="68"/>
      <c r="J471" s="68"/>
      <c r="K471" s="68"/>
      <c r="L471" s="68"/>
      <c r="N471" s="75"/>
      <c r="O471" s="79"/>
    </row>
    <row r="472" spans="1:15" ht="12.5" x14ac:dyDescent="0.25">
      <c r="A472" s="14"/>
      <c r="C472" s="68"/>
      <c r="D472" s="68"/>
      <c r="E472" s="68"/>
      <c r="F472" s="68"/>
      <c r="G472" s="68"/>
      <c r="H472" s="68"/>
      <c r="I472" s="68"/>
      <c r="J472" s="68"/>
      <c r="K472" s="68"/>
      <c r="L472" s="68"/>
      <c r="N472" s="75"/>
      <c r="O472" s="79"/>
    </row>
    <row r="473" spans="1:15" ht="12.5" x14ac:dyDescent="0.25">
      <c r="A473" s="14"/>
      <c r="C473" s="68"/>
      <c r="D473" s="68"/>
      <c r="E473" s="68"/>
      <c r="F473" s="68"/>
      <c r="G473" s="68"/>
      <c r="H473" s="68"/>
      <c r="I473" s="68"/>
      <c r="J473" s="68"/>
      <c r="K473" s="68"/>
      <c r="L473" s="68"/>
      <c r="N473" s="75"/>
      <c r="O473" s="79"/>
    </row>
    <row r="474" spans="1:15" ht="12.5" x14ac:dyDescent="0.25">
      <c r="A474" s="14"/>
      <c r="C474" s="68"/>
      <c r="D474" s="68"/>
      <c r="E474" s="68"/>
      <c r="F474" s="68"/>
      <c r="G474" s="68"/>
      <c r="H474" s="68"/>
      <c r="I474" s="68"/>
      <c r="J474" s="68"/>
      <c r="K474" s="68"/>
      <c r="L474" s="68"/>
      <c r="N474" s="75"/>
      <c r="O474" s="79"/>
    </row>
    <row r="475" spans="1:15" ht="12.5" x14ac:dyDescent="0.25">
      <c r="A475" s="14"/>
      <c r="C475" s="68"/>
      <c r="D475" s="68"/>
      <c r="E475" s="68"/>
      <c r="F475" s="68"/>
      <c r="G475" s="68"/>
      <c r="H475" s="68"/>
      <c r="I475" s="68"/>
      <c r="J475" s="68"/>
      <c r="K475" s="68"/>
      <c r="L475" s="68"/>
      <c r="N475" s="75"/>
      <c r="O475" s="79"/>
    </row>
    <row r="476" spans="1:15" ht="12.5" x14ac:dyDescent="0.25">
      <c r="A476" s="14"/>
      <c r="C476" s="68"/>
      <c r="D476" s="68"/>
      <c r="E476" s="68"/>
      <c r="F476" s="68"/>
      <c r="G476" s="68"/>
      <c r="H476" s="68"/>
      <c r="I476" s="68"/>
      <c r="J476" s="68"/>
      <c r="K476" s="68"/>
      <c r="L476" s="68"/>
      <c r="N476" s="75"/>
      <c r="O476" s="79"/>
    </row>
    <row r="477" spans="1:15" ht="12.5" x14ac:dyDescent="0.25">
      <c r="A477" s="14"/>
      <c r="C477" s="68"/>
      <c r="D477" s="68"/>
      <c r="E477" s="68"/>
      <c r="F477" s="68"/>
      <c r="G477" s="68"/>
      <c r="H477" s="68"/>
      <c r="I477" s="68"/>
      <c r="J477" s="68"/>
      <c r="K477" s="68"/>
      <c r="L477" s="68"/>
      <c r="N477" s="75"/>
      <c r="O477" s="79"/>
    </row>
    <row r="478" spans="1:15" ht="12.5" x14ac:dyDescent="0.25">
      <c r="A478" s="14"/>
      <c r="C478" s="68"/>
      <c r="D478" s="68"/>
      <c r="E478" s="68"/>
      <c r="F478" s="68"/>
      <c r="G478" s="68"/>
      <c r="H478" s="68"/>
      <c r="I478" s="68"/>
      <c r="J478" s="68"/>
      <c r="K478" s="68"/>
      <c r="L478" s="68"/>
      <c r="N478" s="75"/>
      <c r="O478" s="79"/>
    </row>
    <row r="479" spans="1:15" ht="12.5" x14ac:dyDescent="0.25">
      <c r="A479" s="14"/>
      <c r="C479" s="68"/>
      <c r="D479" s="68"/>
      <c r="E479" s="68"/>
      <c r="F479" s="68"/>
      <c r="G479" s="68"/>
      <c r="H479" s="68"/>
      <c r="I479" s="68"/>
      <c r="J479" s="68"/>
      <c r="K479" s="68"/>
      <c r="L479" s="68"/>
      <c r="N479" s="75"/>
      <c r="O479" s="79"/>
    </row>
    <row r="480" spans="1:15" ht="12.5" x14ac:dyDescent="0.25">
      <c r="A480" s="14"/>
      <c r="C480" s="68"/>
      <c r="D480" s="68"/>
      <c r="E480" s="68"/>
      <c r="F480" s="68"/>
      <c r="G480" s="68"/>
      <c r="H480" s="68"/>
      <c r="I480" s="68"/>
      <c r="J480" s="68"/>
      <c r="K480" s="68"/>
      <c r="L480" s="68"/>
      <c r="N480" s="75"/>
      <c r="O480" s="79"/>
    </row>
    <row r="481" spans="1:15" ht="12.5" x14ac:dyDescent="0.25">
      <c r="A481" s="14"/>
      <c r="C481" s="68"/>
      <c r="D481" s="68"/>
      <c r="E481" s="68"/>
      <c r="F481" s="68"/>
      <c r="G481" s="68"/>
      <c r="H481" s="68"/>
      <c r="I481" s="68"/>
      <c r="J481" s="68"/>
      <c r="K481" s="68"/>
      <c r="L481" s="68"/>
      <c r="N481" s="75"/>
      <c r="O481" s="79"/>
    </row>
    <row r="482" spans="1:15" ht="12.5" x14ac:dyDescent="0.25">
      <c r="A482" s="14"/>
      <c r="C482" s="68"/>
      <c r="D482" s="68"/>
      <c r="E482" s="68"/>
      <c r="F482" s="68"/>
      <c r="G482" s="68"/>
      <c r="H482" s="68"/>
      <c r="I482" s="68"/>
      <c r="J482" s="68"/>
      <c r="K482" s="68"/>
      <c r="L482" s="68"/>
      <c r="N482" s="75"/>
      <c r="O482" s="79"/>
    </row>
    <row r="483" spans="1:15" ht="12.5" x14ac:dyDescent="0.25">
      <c r="A483" s="14"/>
      <c r="C483" s="68"/>
      <c r="D483" s="68"/>
      <c r="E483" s="68"/>
      <c r="F483" s="68"/>
      <c r="G483" s="68"/>
      <c r="H483" s="68"/>
      <c r="I483" s="68"/>
      <c r="J483" s="68"/>
      <c r="K483" s="68"/>
      <c r="L483" s="68"/>
      <c r="N483" s="75"/>
      <c r="O483" s="79"/>
    </row>
    <row r="484" spans="1:15" ht="12.5" x14ac:dyDescent="0.25">
      <c r="A484" s="14"/>
      <c r="C484" s="68"/>
      <c r="D484" s="68"/>
      <c r="E484" s="68"/>
      <c r="F484" s="68"/>
      <c r="G484" s="68"/>
      <c r="H484" s="68"/>
      <c r="I484" s="68"/>
      <c r="J484" s="68"/>
      <c r="K484" s="68"/>
      <c r="L484" s="68"/>
      <c r="N484" s="75"/>
      <c r="O484" s="79"/>
    </row>
    <row r="485" spans="1:15" ht="12.5" x14ac:dyDescent="0.25">
      <c r="A485" s="14"/>
      <c r="C485" s="68"/>
      <c r="D485" s="68"/>
      <c r="E485" s="68"/>
      <c r="F485" s="68"/>
      <c r="G485" s="68"/>
      <c r="H485" s="68"/>
      <c r="I485" s="68"/>
      <c r="J485" s="68"/>
      <c r="K485" s="68"/>
      <c r="L485" s="68"/>
      <c r="N485" s="75"/>
      <c r="O485" s="79"/>
    </row>
    <row r="486" spans="1:15" ht="12.5" x14ac:dyDescent="0.25">
      <c r="A486" s="14"/>
      <c r="C486" s="68"/>
      <c r="D486" s="68"/>
      <c r="E486" s="68"/>
      <c r="F486" s="68"/>
      <c r="G486" s="68"/>
      <c r="H486" s="68"/>
      <c r="I486" s="68"/>
      <c r="J486" s="68"/>
      <c r="K486" s="68"/>
      <c r="L486" s="68"/>
      <c r="N486" s="75"/>
      <c r="O486" s="79"/>
    </row>
    <row r="487" spans="1:15" ht="12.5" x14ac:dyDescent="0.25">
      <c r="A487" s="14"/>
      <c r="C487" s="68"/>
      <c r="D487" s="68"/>
      <c r="E487" s="68"/>
      <c r="F487" s="68"/>
      <c r="G487" s="68"/>
      <c r="H487" s="68"/>
      <c r="I487" s="68"/>
      <c r="J487" s="68"/>
      <c r="K487" s="68"/>
      <c r="L487" s="68"/>
      <c r="N487" s="75"/>
      <c r="O487" s="79"/>
    </row>
    <row r="488" spans="1:15" ht="12.5" x14ac:dyDescent="0.25">
      <c r="A488" s="14"/>
      <c r="C488" s="68"/>
      <c r="D488" s="68"/>
      <c r="E488" s="68"/>
      <c r="F488" s="68"/>
      <c r="G488" s="68"/>
      <c r="H488" s="68"/>
      <c r="I488" s="68"/>
      <c r="J488" s="68"/>
      <c r="K488" s="68"/>
      <c r="L488" s="68"/>
      <c r="N488" s="75"/>
      <c r="O488" s="79"/>
    </row>
    <row r="489" spans="1:15" ht="12.5" x14ac:dyDescent="0.25">
      <c r="A489" s="14"/>
      <c r="C489" s="68"/>
      <c r="D489" s="68"/>
      <c r="E489" s="68"/>
      <c r="F489" s="68"/>
      <c r="G489" s="68"/>
      <c r="H489" s="68"/>
      <c r="I489" s="68"/>
      <c r="J489" s="68"/>
      <c r="K489" s="68"/>
      <c r="L489" s="68"/>
      <c r="N489" s="75"/>
      <c r="O489" s="79"/>
    </row>
    <row r="490" spans="1:15" ht="12.5" x14ac:dyDescent="0.25">
      <c r="A490" s="14"/>
      <c r="C490" s="68"/>
      <c r="D490" s="68"/>
      <c r="E490" s="68"/>
      <c r="F490" s="68"/>
      <c r="G490" s="68"/>
      <c r="H490" s="68"/>
      <c r="I490" s="68"/>
      <c r="J490" s="68"/>
      <c r="K490" s="68"/>
      <c r="L490" s="68"/>
      <c r="N490" s="75"/>
      <c r="O490" s="79"/>
    </row>
    <row r="491" spans="1:15" ht="12.5" x14ac:dyDescent="0.25">
      <c r="A491" s="14"/>
      <c r="C491" s="68"/>
      <c r="D491" s="68"/>
      <c r="E491" s="68"/>
      <c r="F491" s="68"/>
      <c r="G491" s="68"/>
      <c r="H491" s="68"/>
      <c r="I491" s="68"/>
      <c r="J491" s="68"/>
      <c r="K491" s="68"/>
      <c r="L491" s="68"/>
      <c r="N491" s="75"/>
      <c r="O491" s="79"/>
    </row>
    <row r="492" spans="1:15" ht="12.5" x14ac:dyDescent="0.25">
      <c r="A492" s="14"/>
      <c r="C492" s="68"/>
      <c r="D492" s="68"/>
      <c r="E492" s="68"/>
      <c r="F492" s="68"/>
      <c r="G492" s="68"/>
      <c r="H492" s="68"/>
      <c r="I492" s="68"/>
      <c r="J492" s="68"/>
      <c r="K492" s="68"/>
      <c r="L492" s="68"/>
      <c r="N492" s="75"/>
      <c r="O492" s="79"/>
    </row>
    <row r="493" spans="1:15" ht="12.5" x14ac:dyDescent="0.25">
      <c r="A493" s="14"/>
      <c r="C493" s="68"/>
      <c r="D493" s="68"/>
      <c r="E493" s="68"/>
      <c r="F493" s="68"/>
      <c r="G493" s="68"/>
      <c r="H493" s="68"/>
      <c r="I493" s="68"/>
      <c r="J493" s="68"/>
      <c r="K493" s="68"/>
      <c r="L493" s="68"/>
      <c r="N493" s="75"/>
      <c r="O493" s="79"/>
    </row>
    <row r="494" spans="1:15" ht="12.5" x14ac:dyDescent="0.25">
      <c r="A494" s="14"/>
      <c r="C494" s="68"/>
      <c r="D494" s="68"/>
      <c r="E494" s="68"/>
      <c r="F494" s="68"/>
      <c r="G494" s="68"/>
      <c r="H494" s="68"/>
      <c r="I494" s="68"/>
      <c r="J494" s="68"/>
      <c r="K494" s="68"/>
      <c r="L494" s="68"/>
      <c r="N494" s="75"/>
      <c r="O494" s="79"/>
    </row>
    <row r="495" spans="1:15" ht="12.5" x14ac:dyDescent="0.25">
      <c r="A495" s="14"/>
      <c r="C495" s="68"/>
      <c r="D495" s="68"/>
      <c r="E495" s="68"/>
      <c r="F495" s="68"/>
      <c r="G495" s="68"/>
      <c r="H495" s="68"/>
      <c r="I495" s="68"/>
      <c r="J495" s="68"/>
      <c r="K495" s="68"/>
      <c r="L495" s="68"/>
      <c r="N495" s="75"/>
      <c r="O495" s="79"/>
    </row>
    <row r="496" spans="1:15" ht="12.5" x14ac:dyDescent="0.25">
      <c r="A496" s="14"/>
      <c r="C496" s="68"/>
      <c r="D496" s="68"/>
      <c r="E496" s="68"/>
      <c r="F496" s="68"/>
      <c r="G496" s="68"/>
      <c r="H496" s="68"/>
      <c r="I496" s="68"/>
      <c r="J496" s="68"/>
      <c r="K496" s="68"/>
      <c r="L496" s="68"/>
      <c r="N496" s="75"/>
      <c r="O496" s="79"/>
    </row>
    <row r="497" spans="1:15" ht="12.5" x14ac:dyDescent="0.25">
      <c r="A497" s="14"/>
      <c r="C497" s="68"/>
      <c r="D497" s="68"/>
      <c r="E497" s="68"/>
      <c r="F497" s="68"/>
      <c r="G497" s="68"/>
      <c r="H497" s="68"/>
      <c r="I497" s="68"/>
      <c r="J497" s="68"/>
      <c r="K497" s="68"/>
      <c r="L497" s="68"/>
      <c r="N497" s="75"/>
      <c r="O497" s="79"/>
    </row>
    <row r="498" spans="1:15" ht="12.5" x14ac:dyDescent="0.25">
      <c r="A498" s="14"/>
      <c r="C498" s="68"/>
      <c r="D498" s="68"/>
      <c r="E498" s="68"/>
      <c r="F498" s="68"/>
      <c r="G498" s="68"/>
      <c r="H498" s="68"/>
      <c r="I498" s="68"/>
      <c r="J498" s="68"/>
      <c r="K498" s="68"/>
      <c r="L498" s="68"/>
      <c r="N498" s="75"/>
      <c r="O498" s="79"/>
    </row>
    <row r="499" spans="1:15" ht="12.5" x14ac:dyDescent="0.25">
      <c r="A499" s="14"/>
      <c r="C499" s="68"/>
      <c r="D499" s="68"/>
      <c r="E499" s="68"/>
      <c r="F499" s="68"/>
      <c r="G499" s="68"/>
      <c r="H499" s="68"/>
      <c r="I499" s="68"/>
      <c r="J499" s="68"/>
      <c r="K499" s="68"/>
      <c r="L499" s="68"/>
      <c r="N499" s="75"/>
      <c r="O499" s="79"/>
    </row>
    <row r="500" spans="1:15" ht="12.5" x14ac:dyDescent="0.25">
      <c r="A500" s="14"/>
      <c r="C500" s="68"/>
      <c r="D500" s="68"/>
      <c r="E500" s="68"/>
      <c r="F500" s="68"/>
      <c r="G500" s="68"/>
      <c r="H500" s="68"/>
      <c r="I500" s="68"/>
      <c r="J500" s="68"/>
      <c r="K500" s="68"/>
      <c r="L500" s="68"/>
      <c r="N500" s="75"/>
      <c r="O500" s="79"/>
    </row>
    <row r="501" spans="1:15" ht="12.5" x14ac:dyDescent="0.25">
      <c r="A501" s="14"/>
      <c r="C501" s="68"/>
      <c r="D501" s="68"/>
      <c r="E501" s="68"/>
      <c r="F501" s="68"/>
      <c r="G501" s="68"/>
      <c r="H501" s="68"/>
      <c r="I501" s="68"/>
      <c r="J501" s="68"/>
      <c r="K501" s="68"/>
      <c r="L501" s="68"/>
      <c r="N501" s="75"/>
      <c r="O501" s="79"/>
    </row>
    <row r="502" spans="1:15" ht="12.5" x14ac:dyDescent="0.25">
      <c r="A502" s="14"/>
      <c r="C502" s="68"/>
      <c r="D502" s="68"/>
      <c r="E502" s="68"/>
      <c r="F502" s="68"/>
      <c r="G502" s="68"/>
      <c r="H502" s="68"/>
      <c r="I502" s="68"/>
      <c r="J502" s="68"/>
      <c r="K502" s="68"/>
      <c r="L502" s="68"/>
      <c r="N502" s="75"/>
      <c r="O502" s="79"/>
    </row>
    <row r="503" spans="1:15" ht="12.5" x14ac:dyDescent="0.25">
      <c r="A503" s="14"/>
      <c r="C503" s="68"/>
      <c r="D503" s="68"/>
      <c r="E503" s="68"/>
      <c r="F503" s="68"/>
      <c r="G503" s="68"/>
      <c r="H503" s="68"/>
      <c r="I503" s="68"/>
      <c r="J503" s="68"/>
      <c r="K503" s="68"/>
      <c r="L503" s="68"/>
      <c r="N503" s="75"/>
      <c r="O503" s="79"/>
    </row>
    <row r="504" spans="1:15" ht="12.5" x14ac:dyDescent="0.25">
      <c r="A504" s="14"/>
      <c r="C504" s="68"/>
      <c r="D504" s="68"/>
      <c r="E504" s="68"/>
      <c r="F504" s="68"/>
      <c r="G504" s="68"/>
      <c r="H504" s="68"/>
      <c r="I504" s="68"/>
      <c r="J504" s="68"/>
      <c r="K504" s="68"/>
      <c r="L504" s="68"/>
      <c r="N504" s="75"/>
      <c r="O504" s="79"/>
    </row>
    <row r="505" spans="1:15" ht="12.5" x14ac:dyDescent="0.25">
      <c r="A505" s="14"/>
      <c r="C505" s="68"/>
      <c r="D505" s="68"/>
      <c r="E505" s="68"/>
      <c r="F505" s="68"/>
      <c r="G505" s="68"/>
      <c r="H505" s="68"/>
      <c r="I505" s="68"/>
      <c r="J505" s="68"/>
      <c r="K505" s="68"/>
      <c r="L505" s="68"/>
      <c r="N505" s="75"/>
      <c r="O505" s="79"/>
    </row>
    <row r="506" spans="1:15" ht="12.5" x14ac:dyDescent="0.25">
      <c r="A506" s="14"/>
      <c r="C506" s="68"/>
      <c r="D506" s="68"/>
      <c r="E506" s="68"/>
      <c r="F506" s="68"/>
      <c r="G506" s="68"/>
      <c r="H506" s="68"/>
      <c r="I506" s="68"/>
      <c r="J506" s="68"/>
      <c r="K506" s="68"/>
      <c r="L506" s="68"/>
      <c r="N506" s="75"/>
      <c r="O506" s="79"/>
    </row>
    <row r="507" spans="1:15" ht="12.5" x14ac:dyDescent="0.25">
      <c r="A507" s="14"/>
      <c r="C507" s="68"/>
      <c r="D507" s="68"/>
      <c r="E507" s="68"/>
      <c r="F507" s="68"/>
      <c r="G507" s="68"/>
      <c r="H507" s="68"/>
      <c r="I507" s="68"/>
      <c r="J507" s="68"/>
      <c r="K507" s="68"/>
      <c r="L507" s="68"/>
      <c r="N507" s="75"/>
      <c r="O507" s="79"/>
    </row>
    <row r="508" spans="1:15" ht="12.5" x14ac:dyDescent="0.25">
      <c r="A508" s="14"/>
      <c r="C508" s="68"/>
      <c r="D508" s="68"/>
      <c r="E508" s="68"/>
      <c r="F508" s="68"/>
      <c r="G508" s="68"/>
      <c r="H508" s="68"/>
      <c r="I508" s="68"/>
      <c r="J508" s="68"/>
      <c r="K508" s="68"/>
      <c r="L508" s="68"/>
      <c r="N508" s="75"/>
      <c r="O508" s="79"/>
    </row>
    <row r="509" spans="1:15" ht="12.5" x14ac:dyDescent="0.25">
      <c r="A509" s="14"/>
      <c r="C509" s="68"/>
      <c r="D509" s="68"/>
      <c r="E509" s="68"/>
      <c r="F509" s="68"/>
      <c r="G509" s="68"/>
      <c r="H509" s="68"/>
      <c r="I509" s="68"/>
      <c r="J509" s="68"/>
      <c r="K509" s="68"/>
      <c r="L509" s="68"/>
      <c r="N509" s="75"/>
      <c r="O509" s="79"/>
    </row>
    <row r="510" spans="1:15" ht="12.5" x14ac:dyDescent="0.25">
      <c r="A510" s="14"/>
      <c r="C510" s="68"/>
      <c r="D510" s="68"/>
      <c r="E510" s="68"/>
      <c r="F510" s="68"/>
      <c r="G510" s="68"/>
      <c r="H510" s="68"/>
      <c r="I510" s="68"/>
      <c r="J510" s="68"/>
      <c r="K510" s="68"/>
      <c r="L510" s="68"/>
      <c r="N510" s="75"/>
      <c r="O510" s="79"/>
    </row>
    <row r="511" spans="1:15" ht="12.5" x14ac:dyDescent="0.25">
      <c r="A511" s="14"/>
      <c r="C511" s="68"/>
      <c r="D511" s="68"/>
      <c r="E511" s="68"/>
      <c r="F511" s="68"/>
      <c r="G511" s="68"/>
      <c r="H511" s="68"/>
      <c r="I511" s="68"/>
      <c r="J511" s="68"/>
      <c r="K511" s="68"/>
      <c r="L511" s="68"/>
      <c r="N511" s="75"/>
      <c r="O511" s="79"/>
    </row>
    <row r="512" spans="1:15" ht="12.5" x14ac:dyDescent="0.25">
      <c r="A512" s="14"/>
      <c r="C512" s="68"/>
      <c r="D512" s="68"/>
      <c r="E512" s="68"/>
      <c r="F512" s="68"/>
      <c r="G512" s="68"/>
      <c r="H512" s="68"/>
      <c r="I512" s="68"/>
      <c r="J512" s="68"/>
      <c r="K512" s="68"/>
      <c r="L512" s="68"/>
      <c r="N512" s="75"/>
      <c r="O512" s="79"/>
    </row>
    <row r="513" spans="1:15" ht="12.5" x14ac:dyDescent="0.25">
      <c r="A513" s="14"/>
      <c r="C513" s="68"/>
      <c r="D513" s="68"/>
      <c r="E513" s="68"/>
      <c r="F513" s="68"/>
      <c r="G513" s="68"/>
      <c r="H513" s="68"/>
      <c r="I513" s="68"/>
      <c r="J513" s="68"/>
      <c r="K513" s="68"/>
      <c r="L513" s="68"/>
      <c r="N513" s="75"/>
      <c r="O513" s="79"/>
    </row>
    <row r="514" spans="1:15" ht="12.5" x14ac:dyDescent="0.25">
      <c r="A514" s="14"/>
      <c r="C514" s="68"/>
      <c r="D514" s="68"/>
      <c r="E514" s="68"/>
      <c r="F514" s="68"/>
      <c r="G514" s="68"/>
      <c r="H514" s="68"/>
      <c r="I514" s="68"/>
      <c r="J514" s="68"/>
      <c r="K514" s="68"/>
      <c r="L514" s="68"/>
      <c r="N514" s="75"/>
      <c r="O514" s="79"/>
    </row>
    <row r="515" spans="1:15" ht="12.5" x14ac:dyDescent="0.25">
      <c r="A515" s="14"/>
      <c r="C515" s="68"/>
      <c r="D515" s="68"/>
      <c r="E515" s="68"/>
      <c r="F515" s="68"/>
      <c r="G515" s="68"/>
      <c r="H515" s="68"/>
      <c r="I515" s="68"/>
      <c r="J515" s="68"/>
      <c r="K515" s="68"/>
      <c r="L515" s="68"/>
      <c r="N515" s="75"/>
      <c r="O515" s="79"/>
    </row>
    <row r="516" spans="1:15" ht="12.5" x14ac:dyDescent="0.25">
      <c r="A516" s="14"/>
      <c r="C516" s="68"/>
      <c r="D516" s="68"/>
      <c r="E516" s="68"/>
      <c r="F516" s="68"/>
      <c r="G516" s="68"/>
      <c r="H516" s="68"/>
      <c r="I516" s="68"/>
      <c r="J516" s="68"/>
      <c r="K516" s="68"/>
      <c r="L516" s="68"/>
      <c r="N516" s="75"/>
      <c r="O516" s="79"/>
    </row>
    <row r="517" spans="1:15" ht="12.5" x14ac:dyDescent="0.25">
      <c r="A517" s="14"/>
      <c r="C517" s="68"/>
      <c r="D517" s="68"/>
      <c r="E517" s="68"/>
      <c r="F517" s="68"/>
      <c r="G517" s="68"/>
      <c r="H517" s="68"/>
      <c r="I517" s="68"/>
      <c r="J517" s="68"/>
      <c r="K517" s="68"/>
      <c r="L517" s="68"/>
      <c r="N517" s="75"/>
      <c r="O517" s="79"/>
    </row>
    <row r="518" spans="1:15" ht="12.5" x14ac:dyDescent="0.25">
      <c r="A518" s="14"/>
      <c r="C518" s="68"/>
      <c r="D518" s="68"/>
      <c r="E518" s="68"/>
      <c r="F518" s="68"/>
      <c r="G518" s="68"/>
      <c r="H518" s="68"/>
      <c r="I518" s="68"/>
      <c r="J518" s="68"/>
      <c r="K518" s="68"/>
      <c r="L518" s="68"/>
      <c r="N518" s="75"/>
      <c r="O518" s="79"/>
    </row>
    <row r="519" spans="1:15" ht="12.5" x14ac:dyDescent="0.25">
      <c r="A519" s="14"/>
      <c r="C519" s="68"/>
      <c r="D519" s="68"/>
      <c r="E519" s="68"/>
      <c r="F519" s="68"/>
      <c r="G519" s="68"/>
      <c r="H519" s="68"/>
      <c r="I519" s="68"/>
      <c r="J519" s="68"/>
      <c r="K519" s="68"/>
      <c r="L519" s="68"/>
      <c r="N519" s="75"/>
      <c r="O519" s="79"/>
    </row>
    <row r="520" spans="1:15" ht="12.5" x14ac:dyDescent="0.25">
      <c r="A520" s="14"/>
      <c r="C520" s="68"/>
      <c r="D520" s="68"/>
      <c r="E520" s="68"/>
      <c r="F520" s="68"/>
      <c r="G520" s="68"/>
      <c r="H520" s="68"/>
      <c r="I520" s="68"/>
      <c r="J520" s="68"/>
      <c r="K520" s="68"/>
      <c r="L520" s="68"/>
      <c r="N520" s="75"/>
      <c r="O520" s="79"/>
    </row>
    <row r="521" spans="1:15" ht="12.5" x14ac:dyDescent="0.25">
      <c r="A521" s="14"/>
      <c r="C521" s="68"/>
      <c r="D521" s="68"/>
      <c r="E521" s="68"/>
      <c r="F521" s="68"/>
      <c r="G521" s="68"/>
      <c r="H521" s="68"/>
      <c r="I521" s="68"/>
      <c r="J521" s="68"/>
      <c r="K521" s="68"/>
      <c r="L521" s="68"/>
      <c r="N521" s="75"/>
      <c r="O521" s="79"/>
    </row>
    <row r="522" spans="1:15" ht="12.5" x14ac:dyDescent="0.25">
      <c r="A522" s="14"/>
      <c r="C522" s="68"/>
      <c r="D522" s="68"/>
      <c r="E522" s="68"/>
      <c r="F522" s="68"/>
      <c r="G522" s="68"/>
      <c r="H522" s="68"/>
      <c r="I522" s="68"/>
      <c r="J522" s="68"/>
      <c r="K522" s="68"/>
      <c r="L522" s="68"/>
      <c r="N522" s="75"/>
      <c r="O522" s="79"/>
    </row>
    <row r="523" spans="1:15" ht="12.5" x14ac:dyDescent="0.25">
      <c r="A523" s="14"/>
      <c r="C523" s="68"/>
      <c r="D523" s="68"/>
      <c r="E523" s="68"/>
      <c r="F523" s="68"/>
      <c r="G523" s="68"/>
      <c r="H523" s="68"/>
      <c r="I523" s="68"/>
      <c r="J523" s="68"/>
      <c r="K523" s="68"/>
      <c r="L523" s="68"/>
      <c r="N523" s="75"/>
      <c r="O523" s="79"/>
    </row>
    <row r="524" spans="1:15" ht="12.5" x14ac:dyDescent="0.25">
      <c r="A524" s="14"/>
      <c r="C524" s="68"/>
      <c r="D524" s="68"/>
      <c r="E524" s="68"/>
      <c r="F524" s="68"/>
      <c r="G524" s="68"/>
      <c r="H524" s="68"/>
      <c r="I524" s="68"/>
      <c r="J524" s="68"/>
      <c r="K524" s="68"/>
      <c r="L524" s="68"/>
      <c r="N524" s="75"/>
      <c r="O524" s="79"/>
    </row>
    <row r="525" spans="1:15" ht="12.5" x14ac:dyDescent="0.25">
      <c r="A525" s="14"/>
      <c r="C525" s="68"/>
      <c r="D525" s="68"/>
      <c r="E525" s="68"/>
      <c r="F525" s="68"/>
      <c r="G525" s="68"/>
      <c r="H525" s="68"/>
      <c r="I525" s="68"/>
      <c r="J525" s="68"/>
      <c r="K525" s="68"/>
      <c r="L525" s="68"/>
      <c r="N525" s="75"/>
      <c r="O525" s="79"/>
    </row>
    <row r="526" spans="1:15" ht="12.5" x14ac:dyDescent="0.25">
      <c r="A526" s="14"/>
      <c r="C526" s="68"/>
      <c r="D526" s="68"/>
      <c r="E526" s="68"/>
      <c r="F526" s="68"/>
      <c r="G526" s="68"/>
      <c r="H526" s="68"/>
      <c r="I526" s="68"/>
      <c r="J526" s="68"/>
      <c r="K526" s="68"/>
      <c r="L526" s="68"/>
      <c r="N526" s="75"/>
      <c r="O526" s="79"/>
    </row>
    <row r="527" spans="1:15" ht="12.5" x14ac:dyDescent="0.25">
      <c r="A527" s="14"/>
      <c r="C527" s="68"/>
      <c r="D527" s="68"/>
      <c r="E527" s="68"/>
      <c r="F527" s="68"/>
      <c r="G527" s="68"/>
      <c r="H527" s="68"/>
      <c r="I527" s="68"/>
      <c r="J527" s="68"/>
      <c r="K527" s="68"/>
      <c r="L527" s="68"/>
      <c r="N527" s="75"/>
      <c r="O527" s="79"/>
    </row>
    <row r="528" spans="1:15" ht="12.5" x14ac:dyDescent="0.25">
      <c r="A528" s="14"/>
      <c r="C528" s="68"/>
      <c r="D528" s="68"/>
      <c r="E528" s="68"/>
      <c r="F528" s="68"/>
      <c r="G528" s="68"/>
      <c r="H528" s="68"/>
      <c r="I528" s="68"/>
      <c r="J528" s="68"/>
      <c r="K528" s="68"/>
      <c r="L528" s="68"/>
      <c r="N528" s="75"/>
      <c r="O528" s="79"/>
    </row>
    <row r="529" spans="1:15" ht="12.5" x14ac:dyDescent="0.25">
      <c r="A529" s="14"/>
      <c r="C529" s="68"/>
      <c r="D529" s="68"/>
      <c r="E529" s="68"/>
      <c r="F529" s="68"/>
      <c r="G529" s="68"/>
      <c r="H529" s="68"/>
      <c r="I529" s="68"/>
      <c r="J529" s="68"/>
      <c r="K529" s="68"/>
      <c r="L529" s="68"/>
      <c r="N529" s="75"/>
      <c r="O529" s="79"/>
    </row>
    <row r="530" spans="1:15" ht="12.5" x14ac:dyDescent="0.25">
      <c r="A530" s="14"/>
      <c r="C530" s="68"/>
      <c r="D530" s="68"/>
      <c r="E530" s="68"/>
      <c r="F530" s="68"/>
      <c r="G530" s="68"/>
      <c r="H530" s="68"/>
      <c r="I530" s="68"/>
      <c r="J530" s="68"/>
      <c r="K530" s="68"/>
      <c r="L530" s="68"/>
      <c r="N530" s="75"/>
      <c r="O530" s="79"/>
    </row>
    <row r="531" spans="1:15" ht="12.5" x14ac:dyDescent="0.25">
      <c r="A531" s="14"/>
      <c r="C531" s="68"/>
      <c r="D531" s="68"/>
      <c r="E531" s="68"/>
      <c r="F531" s="68"/>
      <c r="G531" s="68"/>
      <c r="H531" s="68"/>
      <c r="I531" s="68"/>
      <c r="J531" s="68"/>
      <c r="K531" s="68"/>
      <c r="L531" s="68"/>
      <c r="N531" s="75"/>
      <c r="O531" s="79"/>
    </row>
    <row r="532" spans="1:15" ht="12.5" x14ac:dyDescent="0.25">
      <c r="A532" s="14"/>
      <c r="C532" s="68"/>
      <c r="D532" s="68"/>
      <c r="E532" s="68"/>
      <c r="F532" s="68"/>
      <c r="G532" s="68"/>
      <c r="H532" s="68"/>
      <c r="I532" s="68"/>
      <c r="J532" s="68"/>
      <c r="K532" s="68"/>
      <c r="L532" s="68"/>
      <c r="N532" s="75"/>
      <c r="O532" s="79"/>
    </row>
    <row r="533" spans="1:15" ht="12.5" x14ac:dyDescent="0.25">
      <c r="A533" s="14"/>
      <c r="C533" s="68"/>
      <c r="D533" s="68"/>
      <c r="E533" s="68"/>
      <c r="F533" s="68"/>
      <c r="G533" s="68"/>
      <c r="H533" s="68"/>
      <c r="I533" s="68"/>
      <c r="J533" s="68"/>
      <c r="K533" s="68"/>
      <c r="L533" s="68"/>
      <c r="N533" s="75"/>
      <c r="O533" s="79"/>
    </row>
    <row r="534" spans="1:15" ht="12.5" x14ac:dyDescent="0.25">
      <c r="A534" s="14"/>
      <c r="C534" s="68"/>
      <c r="D534" s="68"/>
      <c r="E534" s="68"/>
      <c r="F534" s="68"/>
      <c r="G534" s="68"/>
      <c r="H534" s="68"/>
      <c r="I534" s="68"/>
      <c r="J534" s="68"/>
      <c r="K534" s="68"/>
      <c r="L534" s="68"/>
      <c r="N534" s="75"/>
      <c r="O534" s="79"/>
    </row>
    <row r="535" spans="1:15" ht="12.5" x14ac:dyDescent="0.25">
      <c r="A535" s="14"/>
      <c r="C535" s="68"/>
      <c r="D535" s="68"/>
      <c r="E535" s="68"/>
      <c r="F535" s="68"/>
      <c r="G535" s="68"/>
      <c r="H535" s="68"/>
      <c r="I535" s="68"/>
      <c r="J535" s="68"/>
      <c r="K535" s="68"/>
      <c r="L535" s="68"/>
      <c r="N535" s="75"/>
      <c r="O535" s="79"/>
    </row>
    <row r="536" spans="1:15" ht="12.5" x14ac:dyDescent="0.25">
      <c r="A536" s="14"/>
      <c r="C536" s="68"/>
      <c r="D536" s="68"/>
      <c r="E536" s="68"/>
      <c r="F536" s="68"/>
      <c r="G536" s="68"/>
      <c r="H536" s="68"/>
      <c r="I536" s="68"/>
      <c r="J536" s="68"/>
      <c r="K536" s="68"/>
      <c r="L536" s="68"/>
      <c r="N536" s="75"/>
      <c r="O536" s="79"/>
    </row>
    <row r="537" spans="1:15" ht="12.5" x14ac:dyDescent="0.25">
      <c r="A537" s="14"/>
      <c r="C537" s="68"/>
      <c r="D537" s="68"/>
      <c r="E537" s="68"/>
      <c r="F537" s="68"/>
      <c r="G537" s="68"/>
      <c r="H537" s="68"/>
      <c r="I537" s="68"/>
      <c r="J537" s="68"/>
      <c r="K537" s="68"/>
      <c r="L537" s="68"/>
      <c r="N537" s="75"/>
      <c r="O537" s="79"/>
    </row>
    <row r="538" spans="1:15" ht="12.5" x14ac:dyDescent="0.25">
      <c r="A538" s="14"/>
      <c r="C538" s="68"/>
      <c r="D538" s="68"/>
      <c r="E538" s="68"/>
      <c r="F538" s="68"/>
      <c r="G538" s="68"/>
      <c r="H538" s="68"/>
      <c r="I538" s="68"/>
      <c r="J538" s="68"/>
      <c r="K538" s="68"/>
      <c r="L538" s="68"/>
      <c r="N538" s="75"/>
      <c r="O538" s="79"/>
    </row>
    <row r="539" spans="1:15" ht="12.5" x14ac:dyDescent="0.25">
      <c r="A539" s="14"/>
      <c r="C539" s="68"/>
      <c r="D539" s="68"/>
      <c r="E539" s="68"/>
      <c r="F539" s="68"/>
      <c r="G539" s="68"/>
      <c r="H539" s="68"/>
      <c r="I539" s="68"/>
      <c r="J539" s="68"/>
      <c r="K539" s="68"/>
      <c r="L539" s="68"/>
      <c r="N539" s="75"/>
      <c r="O539" s="79"/>
    </row>
    <row r="540" spans="1:15" ht="12.5" x14ac:dyDescent="0.25">
      <c r="A540" s="14"/>
      <c r="C540" s="68"/>
      <c r="D540" s="68"/>
      <c r="E540" s="68"/>
      <c r="F540" s="68"/>
      <c r="G540" s="68"/>
      <c r="H540" s="68"/>
      <c r="I540" s="68"/>
      <c r="J540" s="68"/>
      <c r="K540" s="68"/>
      <c r="L540" s="68"/>
      <c r="N540" s="75"/>
      <c r="O540" s="79"/>
    </row>
    <row r="541" spans="1:15" ht="12.5" x14ac:dyDescent="0.25">
      <c r="A541" s="14"/>
      <c r="C541" s="68"/>
      <c r="D541" s="68"/>
      <c r="E541" s="68"/>
      <c r="F541" s="68"/>
      <c r="G541" s="68"/>
      <c r="H541" s="68"/>
      <c r="I541" s="68"/>
      <c r="J541" s="68"/>
      <c r="K541" s="68"/>
      <c r="L541" s="68"/>
      <c r="N541" s="75"/>
      <c r="O541" s="79"/>
    </row>
    <row r="542" spans="1:15" ht="12.5" x14ac:dyDescent="0.25">
      <c r="A542" s="14"/>
      <c r="C542" s="68"/>
      <c r="D542" s="68"/>
      <c r="E542" s="68"/>
      <c r="F542" s="68"/>
      <c r="G542" s="68"/>
      <c r="H542" s="68"/>
      <c r="I542" s="68"/>
      <c r="J542" s="68"/>
      <c r="K542" s="68"/>
      <c r="L542" s="68"/>
      <c r="N542" s="75"/>
      <c r="O542" s="79"/>
    </row>
    <row r="543" spans="1:15" ht="12.5" x14ac:dyDescent="0.25">
      <c r="A543" s="14"/>
      <c r="C543" s="68"/>
      <c r="D543" s="68"/>
      <c r="E543" s="68"/>
      <c r="F543" s="68"/>
      <c r="G543" s="68"/>
      <c r="H543" s="68"/>
      <c r="I543" s="68"/>
      <c r="J543" s="68"/>
      <c r="K543" s="68"/>
      <c r="L543" s="68"/>
      <c r="N543" s="75"/>
      <c r="O543" s="79"/>
    </row>
    <row r="544" spans="1:15" ht="12.5" x14ac:dyDescent="0.25">
      <c r="A544" s="14"/>
      <c r="C544" s="68"/>
      <c r="D544" s="68"/>
      <c r="E544" s="68"/>
      <c r="F544" s="68"/>
      <c r="G544" s="68"/>
      <c r="H544" s="68"/>
      <c r="I544" s="68"/>
      <c r="J544" s="68"/>
      <c r="K544" s="68"/>
      <c r="L544" s="68"/>
      <c r="N544" s="75"/>
      <c r="O544" s="79"/>
    </row>
    <row r="545" spans="1:15" ht="12.5" x14ac:dyDescent="0.25">
      <c r="A545" s="14"/>
      <c r="C545" s="68"/>
      <c r="D545" s="68"/>
      <c r="E545" s="68"/>
      <c r="F545" s="68"/>
      <c r="G545" s="68"/>
      <c r="H545" s="68"/>
      <c r="I545" s="68"/>
      <c r="J545" s="68"/>
      <c r="K545" s="68"/>
      <c r="L545" s="68"/>
      <c r="N545" s="75"/>
      <c r="O545" s="79"/>
    </row>
    <row r="546" spans="1:15" ht="12.5" x14ac:dyDescent="0.25">
      <c r="A546" s="14"/>
      <c r="C546" s="68"/>
      <c r="D546" s="68"/>
      <c r="E546" s="68"/>
      <c r="F546" s="68"/>
      <c r="G546" s="68"/>
      <c r="H546" s="68"/>
      <c r="I546" s="68"/>
      <c r="J546" s="68"/>
      <c r="K546" s="68"/>
      <c r="L546" s="68"/>
      <c r="N546" s="75"/>
      <c r="O546" s="79"/>
    </row>
    <row r="547" spans="1:15" ht="12.5" x14ac:dyDescent="0.25">
      <c r="A547" s="14"/>
      <c r="C547" s="68"/>
      <c r="D547" s="68"/>
      <c r="E547" s="68"/>
      <c r="F547" s="68"/>
      <c r="G547" s="68"/>
      <c r="H547" s="68"/>
      <c r="I547" s="68"/>
      <c r="J547" s="68"/>
      <c r="K547" s="68"/>
      <c r="L547" s="68"/>
      <c r="N547" s="75"/>
      <c r="O547" s="79"/>
    </row>
    <row r="548" spans="1:15" ht="12.5" x14ac:dyDescent="0.25">
      <c r="A548" s="14"/>
      <c r="C548" s="68"/>
      <c r="D548" s="68"/>
      <c r="E548" s="68"/>
      <c r="F548" s="68"/>
      <c r="G548" s="68"/>
      <c r="H548" s="68"/>
      <c r="I548" s="68"/>
      <c r="J548" s="68"/>
      <c r="K548" s="68"/>
      <c r="L548" s="68"/>
      <c r="N548" s="75"/>
      <c r="O548" s="79"/>
    </row>
    <row r="549" spans="1:15" ht="12.5" x14ac:dyDescent="0.25">
      <c r="A549" s="14"/>
      <c r="C549" s="68"/>
      <c r="D549" s="68"/>
      <c r="E549" s="68"/>
      <c r="F549" s="68"/>
      <c r="G549" s="68"/>
      <c r="H549" s="68"/>
      <c r="I549" s="68"/>
      <c r="J549" s="68"/>
      <c r="K549" s="68"/>
      <c r="L549" s="68"/>
      <c r="N549" s="75"/>
      <c r="O549" s="79"/>
    </row>
    <row r="550" spans="1:15" ht="12.5" x14ac:dyDescent="0.25">
      <c r="A550" s="14"/>
      <c r="C550" s="68"/>
      <c r="D550" s="68"/>
      <c r="E550" s="68"/>
      <c r="F550" s="68"/>
      <c r="G550" s="68"/>
      <c r="H550" s="68"/>
      <c r="I550" s="68"/>
      <c r="J550" s="68"/>
      <c r="K550" s="68"/>
      <c r="L550" s="68"/>
      <c r="N550" s="75"/>
      <c r="O550" s="79"/>
    </row>
    <row r="551" spans="1:15" ht="12.5" x14ac:dyDescent="0.25">
      <c r="A551" s="14"/>
      <c r="C551" s="68"/>
      <c r="D551" s="68"/>
      <c r="E551" s="68"/>
      <c r="F551" s="68"/>
      <c r="G551" s="68"/>
      <c r="H551" s="68"/>
      <c r="I551" s="68"/>
      <c r="J551" s="68"/>
      <c r="K551" s="68"/>
      <c r="L551" s="68"/>
      <c r="N551" s="75"/>
      <c r="O551" s="79"/>
    </row>
    <row r="552" spans="1:15" ht="12.5" x14ac:dyDescent="0.25">
      <c r="A552" s="14"/>
      <c r="C552" s="68"/>
      <c r="D552" s="68"/>
      <c r="E552" s="68"/>
      <c r="F552" s="68"/>
      <c r="G552" s="68"/>
      <c r="H552" s="68"/>
      <c r="I552" s="68"/>
      <c r="J552" s="68"/>
      <c r="K552" s="68"/>
      <c r="L552" s="68"/>
      <c r="N552" s="75"/>
      <c r="O552" s="79"/>
    </row>
    <row r="553" spans="1:15" ht="12.5" x14ac:dyDescent="0.25">
      <c r="A553" s="14"/>
      <c r="C553" s="68"/>
      <c r="D553" s="68"/>
      <c r="E553" s="68"/>
      <c r="F553" s="68"/>
      <c r="G553" s="68"/>
      <c r="H553" s="68"/>
      <c r="I553" s="68"/>
      <c r="J553" s="68"/>
      <c r="K553" s="68"/>
      <c r="L553" s="68"/>
      <c r="N553" s="75"/>
      <c r="O553" s="79"/>
    </row>
    <row r="554" spans="1:15" ht="12.5" x14ac:dyDescent="0.25">
      <c r="A554" s="14"/>
      <c r="C554" s="68"/>
      <c r="D554" s="68"/>
      <c r="E554" s="68"/>
      <c r="F554" s="68"/>
      <c r="G554" s="68"/>
      <c r="H554" s="68"/>
      <c r="I554" s="68"/>
      <c r="J554" s="68"/>
      <c r="K554" s="68"/>
      <c r="L554" s="68"/>
      <c r="N554" s="75"/>
      <c r="O554" s="79"/>
    </row>
    <row r="555" spans="1:15" ht="12.5" x14ac:dyDescent="0.25">
      <c r="A555" s="14"/>
      <c r="C555" s="68"/>
      <c r="D555" s="68"/>
      <c r="E555" s="68"/>
      <c r="F555" s="68"/>
      <c r="G555" s="68"/>
      <c r="H555" s="68"/>
      <c r="I555" s="68"/>
      <c r="J555" s="68"/>
      <c r="K555" s="68"/>
      <c r="L555" s="68"/>
      <c r="N555" s="75"/>
      <c r="O555" s="79"/>
    </row>
    <row r="556" spans="1:15" ht="12.5" x14ac:dyDescent="0.25">
      <c r="A556" s="14"/>
      <c r="C556" s="68"/>
      <c r="D556" s="68"/>
      <c r="E556" s="68"/>
      <c r="F556" s="68"/>
      <c r="G556" s="68"/>
      <c r="H556" s="68"/>
      <c r="I556" s="68"/>
      <c r="J556" s="68"/>
      <c r="K556" s="68"/>
      <c r="L556" s="68"/>
      <c r="N556" s="75"/>
      <c r="O556" s="79"/>
    </row>
    <row r="557" spans="1:15" ht="12.5" x14ac:dyDescent="0.25">
      <c r="A557" s="14"/>
      <c r="C557" s="68"/>
      <c r="D557" s="68"/>
      <c r="E557" s="68"/>
      <c r="F557" s="68"/>
      <c r="G557" s="68"/>
      <c r="H557" s="68"/>
      <c r="I557" s="68"/>
      <c r="J557" s="68"/>
      <c r="K557" s="68"/>
      <c r="L557" s="68"/>
      <c r="N557" s="75"/>
      <c r="O557" s="79"/>
    </row>
    <row r="558" spans="1:15" ht="12.5" x14ac:dyDescent="0.25">
      <c r="A558" s="14"/>
      <c r="C558" s="68"/>
      <c r="D558" s="68"/>
      <c r="E558" s="68"/>
      <c r="F558" s="68"/>
      <c r="G558" s="68"/>
      <c r="H558" s="68"/>
      <c r="I558" s="68"/>
      <c r="J558" s="68"/>
      <c r="K558" s="68"/>
      <c r="L558" s="68"/>
      <c r="N558" s="75"/>
      <c r="O558" s="79"/>
    </row>
    <row r="559" spans="1:15" ht="12.5" x14ac:dyDescent="0.25">
      <c r="A559" s="14"/>
      <c r="C559" s="68"/>
      <c r="D559" s="68"/>
      <c r="E559" s="68"/>
      <c r="F559" s="68"/>
      <c r="G559" s="68"/>
      <c r="H559" s="68"/>
      <c r="I559" s="68"/>
      <c r="J559" s="68"/>
      <c r="K559" s="68"/>
      <c r="L559" s="68"/>
      <c r="N559" s="75"/>
      <c r="O559" s="79"/>
    </row>
    <row r="560" spans="1:15" ht="12.5" x14ac:dyDescent="0.25">
      <c r="A560" s="14"/>
      <c r="C560" s="68"/>
      <c r="D560" s="68"/>
      <c r="E560" s="68"/>
      <c r="F560" s="68"/>
      <c r="G560" s="68"/>
      <c r="H560" s="68"/>
      <c r="I560" s="68"/>
      <c r="J560" s="68"/>
      <c r="K560" s="68"/>
      <c r="L560" s="68"/>
      <c r="N560" s="75"/>
      <c r="O560" s="79"/>
    </row>
    <row r="561" spans="1:15" ht="12.5" x14ac:dyDescent="0.25">
      <c r="A561" s="14"/>
      <c r="C561" s="68"/>
      <c r="D561" s="68"/>
      <c r="E561" s="68"/>
      <c r="F561" s="68"/>
      <c r="G561" s="68"/>
      <c r="H561" s="68"/>
      <c r="I561" s="68"/>
      <c r="J561" s="68"/>
      <c r="K561" s="68"/>
      <c r="L561" s="68"/>
      <c r="N561" s="75"/>
      <c r="O561" s="79"/>
    </row>
    <row r="562" spans="1:15" ht="12.5" x14ac:dyDescent="0.25">
      <c r="A562" s="14"/>
      <c r="C562" s="68"/>
      <c r="D562" s="68"/>
      <c r="E562" s="68"/>
      <c r="F562" s="68"/>
      <c r="G562" s="68"/>
      <c r="H562" s="68"/>
      <c r="I562" s="68"/>
      <c r="J562" s="68"/>
      <c r="K562" s="68"/>
      <c r="L562" s="68"/>
      <c r="N562" s="75"/>
      <c r="O562" s="79"/>
    </row>
    <row r="563" spans="1:15" ht="12.5" x14ac:dyDescent="0.25">
      <c r="A563" s="14"/>
      <c r="C563" s="68"/>
      <c r="D563" s="68"/>
      <c r="E563" s="68"/>
      <c r="F563" s="68"/>
      <c r="G563" s="68"/>
      <c r="H563" s="68"/>
      <c r="I563" s="68"/>
      <c r="J563" s="68"/>
      <c r="K563" s="68"/>
      <c r="L563" s="68"/>
      <c r="N563" s="75"/>
      <c r="O563" s="79"/>
    </row>
    <row r="564" spans="1:15" ht="12.5" x14ac:dyDescent="0.25">
      <c r="A564" s="14"/>
      <c r="C564" s="68"/>
      <c r="D564" s="68"/>
      <c r="E564" s="68"/>
      <c r="F564" s="68"/>
      <c r="G564" s="68"/>
      <c r="H564" s="68"/>
      <c r="I564" s="68"/>
      <c r="J564" s="68"/>
      <c r="K564" s="68"/>
      <c r="L564" s="68"/>
      <c r="N564" s="75"/>
      <c r="O564" s="79"/>
    </row>
    <row r="565" spans="1:15" ht="12.5" x14ac:dyDescent="0.25">
      <c r="A565" s="14"/>
      <c r="C565" s="68"/>
      <c r="D565" s="68"/>
      <c r="E565" s="68"/>
      <c r="F565" s="68"/>
      <c r="G565" s="68"/>
      <c r="H565" s="68"/>
      <c r="I565" s="68"/>
      <c r="J565" s="68"/>
      <c r="K565" s="68"/>
      <c r="L565" s="68"/>
      <c r="N565" s="75"/>
      <c r="O565" s="79"/>
    </row>
    <row r="566" spans="1:15" ht="12.5" x14ac:dyDescent="0.25">
      <c r="A566" s="14"/>
      <c r="C566" s="68"/>
      <c r="D566" s="68"/>
      <c r="E566" s="68"/>
      <c r="F566" s="68"/>
      <c r="G566" s="68"/>
      <c r="H566" s="68"/>
      <c r="I566" s="68"/>
      <c r="J566" s="68"/>
      <c r="K566" s="68"/>
      <c r="L566" s="68"/>
      <c r="N566" s="75"/>
      <c r="O566" s="79"/>
    </row>
    <row r="567" spans="1:15" ht="12.5" x14ac:dyDescent="0.25">
      <c r="A567" s="14"/>
      <c r="C567" s="68"/>
      <c r="D567" s="68"/>
      <c r="E567" s="68"/>
      <c r="F567" s="68"/>
      <c r="G567" s="68"/>
      <c r="H567" s="68"/>
      <c r="I567" s="68"/>
      <c r="J567" s="68"/>
      <c r="K567" s="68"/>
      <c r="L567" s="68"/>
      <c r="N567" s="75"/>
      <c r="O567" s="79"/>
    </row>
    <row r="568" spans="1:15" ht="12.5" x14ac:dyDescent="0.25">
      <c r="A568" s="14"/>
      <c r="C568" s="68"/>
      <c r="D568" s="68"/>
      <c r="E568" s="68"/>
      <c r="F568" s="68"/>
      <c r="G568" s="68"/>
      <c r="H568" s="68"/>
      <c r="I568" s="68"/>
      <c r="J568" s="68"/>
      <c r="K568" s="68"/>
      <c r="L568" s="68"/>
      <c r="N568" s="75"/>
      <c r="O568" s="79"/>
    </row>
    <row r="569" spans="1:15" ht="12.5" x14ac:dyDescent="0.25">
      <c r="A569" s="14"/>
      <c r="C569" s="68"/>
      <c r="D569" s="68"/>
      <c r="E569" s="68"/>
      <c r="F569" s="68"/>
      <c r="G569" s="68"/>
      <c r="H569" s="68"/>
      <c r="I569" s="68"/>
      <c r="J569" s="68"/>
      <c r="K569" s="68"/>
      <c r="L569" s="68"/>
      <c r="N569" s="75"/>
      <c r="O569" s="79"/>
    </row>
    <row r="570" spans="1:15" ht="12.5" x14ac:dyDescent="0.25">
      <c r="A570" s="14"/>
      <c r="C570" s="68"/>
      <c r="D570" s="68"/>
      <c r="E570" s="68"/>
      <c r="F570" s="68"/>
      <c r="G570" s="68"/>
      <c r="H570" s="68"/>
      <c r="I570" s="68"/>
      <c r="J570" s="68"/>
      <c r="K570" s="68"/>
      <c r="L570" s="68"/>
      <c r="N570" s="75"/>
      <c r="O570" s="79"/>
    </row>
    <row r="571" spans="1:15" ht="12.5" x14ac:dyDescent="0.25">
      <c r="A571" s="14"/>
      <c r="C571" s="68"/>
      <c r="D571" s="68"/>
      <c r="E571" s="68"/>
      <c r="F571" s="68"/>
      <c r="G571" s="68"/>
      <c r="H571" s="68"/>
      <c r="I571" s="68"/>
      <c r="J571" s="68"/>
      <c r="K571" s="68"/>
      <c r="L571" s="68"/>
      <c r="N571" s="75"/>
      <c r="O571" s="79"/>
    </row>
    <row r="572" spans="1:15" ht="12.5" x14ac:dyDescent="0.25">
      <c r="A572" s="14"/>
      <c r="C572" s="68"/>
      <c r="D572" s="68"/>
      <c r="E572" s="68"/>
      <c r="F572" s="68"/>
      <c r="G572" s="68"/>
      <c r="H572" s="68"/>
      <c r="I572" s="68"/>
      <c r="J572" s="68"/>
      <c r="K572" s="68"/>
      <c r="L572" s="68"/>
      <c r="N572" s="75"/>
      <c r="O572" s="79"/>
    </row>
    <row r="573" spans="1:15" ht="12.5" x14ac:dyDescent="0.25">
      <c r="A573" s="14"/>
      <c r="C573" s="68"/>
      <c r="D573" s="68"/>
      <c r="E573" s="68"/>
      <c r="F573" s="68"/>
      <c r="G573" s="68"/>
      <c r="H573" s="68"/>
      <c r="I573" s="68"/>
      <c r="J573" s="68"/>
      <c r="K573" s="68"/>
      <c r="L573" s="68"/>
      <c r="N573" s="75"/>
      <c r="O573" s="79"/>
    </row>
    <row r="574" spans="1:15" ht="12.5" x14ac:dyDescent="0.25">
      <c r="A574" s="14"/>
      <c r="C574" s="68"/>
      <c r="D574" s="68"/>
      <c r="E574" s="68"/>
      <c r="F574" s="68"/>
      <c r="G574" s="68"/>
      <c r="H574" s="68"/>
      <c r="I574" s="68"/>
      <c r="J574" s="68"/>
      <c r="K574" s="68"/>
      <c r="L574" s="68"/>
      <c r="N574" s="75"/>
      <c r="O574" s="79"/>
    </row>
    <row r="575" spans="1:15" ht="12.5" x14ac:dyDescent="0.25">
      <c r="A575" s="14"/>
      <c r="C575" s="68"/>
      <c r="D575" s="68"/>
      <c r="E575" s="68"/>
      <c r="F575" s="68"/>
      <c r="G575" s="68"/>
      <c r="H575" s="68"/>
      <c r="I575" s="68"/>
      <c r="J575" s="68"/>
      <c r="K575" s="68"/>
      <c r="L575" s="68"/>
      <c r="N575" s="75"/>
      <c r="O575" s="79"/>
    </row>
    <row r="576" spans="1:15" ht="12.5" x14ac:dyDescent="0.25">
      <c r="A576" s="14"/>
      <c r="C576" s="68"/>
      <c r="D576" s="68"/>
      <c r="E576" s="68"/>
      <c r="F576" s="68"/>
      <c r="G576" s="68"/>
      <c r="H576" s="68"/>
      <c r="I576" s="68"/>
      <c r="J576" s="68"/>
      <c r="K576" s="68"/>
      <c r="L576" s="68"/>
      <c r="N576" s="75"/>
      <c r="O576" s="79"/>
    </row>
    <row r="577" spans="1:15" ht="12.5" x14ac:dyDescent="0.25">
      <c r="A577" s="14"/>
      <c r="C577" s="68"/>
      <c r="D577" s="68"/>
      <c r="E577" s="68"/>
      <c r="F577" s="68"/>
      <c r="G577" s="68"/>
      <c r="H577" s="68"/>
      <c r="I577" s="68"/>
      <c r="J577" s="68"/>
      <c r="K577" s="68"/>
      <c r="L577" s="68"/>
      <c r="N577" s="75"/>
      <c r="O577" s="79"/>
    </row>
    <row r="578" spans="1:15" ht="12.5" x14ac:dyDescent="0.25">
      <c r="A578" s="14"/>
      <c r="C578" s="68"/>
      <c r="D578" s="68"/>
      <c r="E578" s="68"/>
      <c r="F578" s="68"/>
      <c r="G578" s="68"/>
      <c r="H578" s="68"/>
      <c r="I578" s="68"/>
      <c r="J578" s="68"/>
      <c r="K578" s="68"/>
      <c r="L578" s="68"/>
      <c r="N578" s="75"/>
      <c r="O578" s="79"/>
    </row>
    <row r="579" spans="1:15" ht="12.5" x14ac:dyDescent="0.25">
      <c r="A579" s="14"/>
      <c r="C579" s="68"/>
      <c r="D579" s="68"/>
      <c r="E579" s="68"/>
      <c r="F579" s="68"/>
      <c r="G579" s="68"/>
      <c r="H579" s="68"/>
      <c r="I579" s="68"/>
      <c r="J579" s="68"/>
      <c r="K579" s="68"/>
      <c r="L579" s="68"/>
      <c r="N579" s="75"/>
      <c r="O579" s="79"/>
    </row>
    <row r="580" spans="1:15" ht="12.5" x14ac:dyDescent="0.25">
      <c r="A580" s="14"/>
      <c r="C580" s="68"/>
      <c r="D580" s="68"/>
      <c r="E580" s="68"/>
      <c r="F580" s="68"/>
      <c r="G580" s="68"/>
      <c r="H580" s="68"/>
      <c r="I580" s="68"/>
      <c r="J580" s="68"/>
      <c r="K580" s="68"/>
      <c r="L580" s="68"/>
      <c r="N580" s="75"/>
      <c r="O580" s="79"/>
    </row>
    <row r="581" spans="1:15" ht="12.5" x14ac:dyDescent="0.25">
      <c r="A581" s="14"/>
      <c r="C581" s="68"/>
      <c r="D581" s="68"/>
      <c r="E581" s="68"/>
      <c r="F581" s="68"/>
      <c r="G581" s="68"/>
      <c r="H581" s="68"/>
      <c r="I581" s="68"/>
      <c r="J581" s="68"/>
      <c r="K581" s="68"/>
      <c r="L581" s="68"/>
      <c r="N581" s="75"/>
      <c r="O581" s="79"/>
    </row>
    <row r="582" spans="1:15" ht="12.5" x14ac:dyDescent="0.25">
      <c r="A582" s="14"/>
      <c r="C582" s="68"/>
      <c r="D582" s="68"/>
      <c r="E582" s="68"/>
      <c r="F582" s="68"/>
      <c r="G582" s="68"/>
      <c r="H582" s="68"/>
      <c r="I582" s="68"/>
      <c r="J582" s="68"/>
      <c r="K582" s="68"/>
      <c r="L582" s="68"/>
      <c r="N582" s="75"/>
      <c r="O582" s="79"/>
    </row>
    <row r="583" spans="1:15" ht="12.5" x14ac:dyDescent="0.25">
      <c r="A583" s="14"/>
      <c r="C583" s="68"/>
      <c r="D583" s="68"/>
      <c r="E583" s="68"/>
      <c r="F583" s="68"/>
      <c r="G583" s="68"/>
      <c r="H583" s="68"/>
      <c r="I583" s="68"/>
      <c r="J583" s="68"/>
      <c r="K583" s="68"/>
      <c r="L583" s="68"/>
      <c r="N583" s="75"/>
      <c r="O583" s="79"/>
    </row>
    <row r="584" spans="1:15" ht="12.5" x14ac:dyDescent="0.25">
      <c r="A584" s="14"/>
      <c r="C584" s="68"/>
      <c r="D584" s="68"/>
      <c r="E584" s="68"/>
      <c r="F584" s="68"/>
      <c r="G584" s="68"/>
      <c r="H584" s="68"/>
      <c r="I584" s="68"/>
      <c r="J584" s="68"/>
      <c r="K584" s="68"/>
      <c r="L584" s="68"/>
      <c r="N584" s="75"/>
      <c r="O584" s="79"/>
    </row>
    <row r="585" spans="1:15" ht="12.5" x14ac:dyDescent="0.25">
      <c r="A585" s="14"/>
      <c r="C585" s="68"/>
      <c r="D585" s="68"/>
      <c r="E585" s="68"/>
      <c r="F585" s="68"/>
      <c r="G585" s="68"/>
      <c r="H585" s="68"/>
      <c r="I585" s="68"/>
      <c r="J585" s="68"/>
      <c r="K585" s="68"/>
      <c r="L585" s="68"/>
      <c r="N585" s="75"/>
      <c r="O585" s="79"/>
    </row>
    <row r="586" spans="1:15" ht="12.5" x14ac:dyDescent="0.25">
      <c r="A586" s="14"/>
      <c r="C586" s="68"/>
      <c r="D586" s="68"/>
      <c r="E586" s="68"/>
      <c r="F586" s="68"/>
      <c r="G586" s="68"/>
      <c r="H586" s="68"/>
      <c r="I586" s="68"/>
      <c r="J586" s="68"/>
      <c r="K586" s="68"/>
      <c r="L586" s="68"/>
      <c r="N586" s="75"/>
      <c r="O586" s="79"/>
    </row>
    <row r="587" spans="1:15" ht="12.5" x14ac:dyDescent="0.25">
      <c r="A587" s="14"/>
      <c r="C587" s="68"/>
      <c r="D587" s="68"/>
      <c r="E587" s="68"/>
      <c r="F587" s="68"/>
      <c r="G587" s="68"/>
      <c r="H587" s="68"/>
      <c r="I587" s="68"/>
      <c r="J587" s="68"/>
      <c r="K587" s="68"/>
      <c r="L587" s="68"/>
      <c r="N587" s="75"/>
      <c r="O587" s="79"/>
    </row>
    <row r="588" spans="1:15" ht="12.5" x14ac:dyDescent="0.25">
      <c r="A588" s="14"/>
      <c r="C588" s="68"/>
      <c r="D588" s="68"/>
      <c r="E588" s="68"/>
      <c r="F588" s="68"/>
      <c r="G588" s="68"/>
      <c r="H588" s="68"/>
      <c r="I588" s="68"/>
      <c r="J588" s="68"/>
      <c r="K588" s="68"/>
      <c r="L588" s="68"/>
      <c r="N588" s="75"/>
      <c r="O588" s="79"/>
    </row>
    <row r="589" spans="1:15" ht="12.5" x14ac:dyDescent="0.25">
      <c r="A589" s="14"/>
      <c r="C589" s="68"/>
      <c r="D589" s="68"/>
      <c r="E589" s="68"/>
      <c r="F589" s="68"/>
      <c r="G589" s="68"/>
      <c r="H589" s="68"/>
      <c r="I589" s="68"/>
      <c r="J589" s="68"/>
      <c r="K589" s="68"/>
      <c r="L589" s="68"/>
      <c r="N589" s="75"/>
      <c r="O589" s="79"/>
    </row>
    <row r="590" spans="1:15" ht="12.5" x14ac:dyDescent="0.25">
      <c r="A590" s="14"/>
      <c r="C590" s="68"/>
      <c r="D590" s="68"/>
      <c r="E590" s="68"/>
      <c r="F590" s="68"/>
      <c r="G590" s="68"/>
      <c r="H590" s="68"/>
      <c r="I590" s="68"/>
      <c r="J590" s="68"/>
      <c r="K590" s="68"/>
      <c r="L590" s="68"/>
      <c r="N590" s="75"/>
      <c r="O590" s="79"/>
    </row>
    <row r="591" spans="1:15" ht="12.5" x14ac:dyDescent="0.25">
      <c r="A591" s="14"/>
      <c r="C591" s="68"/>
      <c r="D591" s="68"/>
      <c r="E591" s="68"/>
      <c r="F591" s="68"/>
      <c r="G591" s="68"/>
      <c r="H591" s="68"/>
      <c r="I591" s="68"/>
      <c r="J591" s="68"/>
      <c r="K591" s="68"/>
      <c r="L591" s="68"/>
      <c r="N591" s="75"/>
      <c r="O591" s="79"/>
    </row>
    <row r="592" spans="1:15" ht="12.5" x14ac:dyDescent="0.25">
      <c r="A592" s="14"/>
      <c r="C592" s="68"/>
      <c r="D592" s="68"/>
      <c r="E592" s="68"/>
      <c r="F592" s="68"/>
      <c r="G592" s="68"/>
      <c r="H592" s="68"/>
      <c r="I592" s="68"/>
      <c r="J592" s="68"/>
      <c r="K592" s="68"/>
      <c r="L592" s="68"/>
      <c r="N592" s="75"/>
      <c r="O592" s="79"/>
    </row>
    <row r="593" spans="1:15" ht="12.5" x14ac:dyDescent="0.25">
      <c r="A593" s="14"/>
      <c r="C593" s="68"/>
      <c r="D593" s="68"/>
      <c r="E593" s="68"/>
      <c r="F593" s="68"/>
      <c r="G593" s="68"/>
      <c r="H593" s="68"/>
      <c r="I593" s="68"/>
      <c r="J593" s="68"/>
      <c r="K593" s="68"/>
      <c r="L593" s="68"/>
      <c r="N593" s="75"/>
      <c r="O593" s="79"/>
    </row>
    <row r="594" spans="1:15" ht="12.5" x14ac:dyDescent="0.25">
      <c r="A594" s="14"/>
      <c r="C594" s="68"/>
      <c r="D594" s="68"/>
      <c r="E594" s="68"/>
      <c r="F594" s="68"/>
      <c r="G594" s="68"/>
      <c r="H594" s="68"/>
      <c r="I594" s="68"/>
      <c r="J594" s="68"/>
      <c r="K594" s="68"/>
      <c r="L594" s="68"/>
      <c r="N594" s="75"/>
      <c r="O594" s="79"/>
    </row>
    <row r="595" spans="1:15" ht="12.5" x14ac:dyDescent="0.25">
      <c r="A595" s="14"/>
      <c r="C595" s="68"/>
      <c r="D595" s="68"/>
      <c r="E595" s="68"/>
      <c r="F595" s="68"/>
      <c r="G595" s="68"/>
      <c r="H595" s="68"/>
      <c r="I595" s="68"/>
      <c r="J595" s="68"/>
      <c r="K595" s="68"/>
      <c r="L595" s="68"/>
      <c r="N595" s="75"/>
      <c r="O595" s="79"/>
    </row>
    <row r="596" spans="1:15" ht="12.5" x14ac:dyDescent="0.25">
      <c r="A596" s="14"/>
      <c r="C596" s="68"/>
      <c r="D596" s="68"/>
      <c r="E596" s="68"/>
      <c r="F596" s="68"/>
      <c r="G596" s="68"/>
      <c r="H596" s="68"/>
      <c r="I596" s="68"/>
      <c r="J596" s="68"/>
      <c r="K596" s="68"/>
      <c r="L596" s="68"/>
      <c r="N596" s="75"/>
      <c r="O596" s="79"/>
    </row>
    <row r="597" spans="1:15" ht="12.5" x14ac:dyDescent="0.25">
      <c r="A597" s="14"/>
      <c r="C597" s="68"/>
      <c r="D597" s="68"/>
      <c r="E597" s="68"/>
      <c r="F597" s="68"/>
      <c r="G597" s="68"/>
      <c r="H597" s="68"/>
      <c r="I597" s="68"/>
      <c r="J597" s="68"/>
      <c r="K597" s="68"/>
      <c r="L597" s="68"/>
      <c r="N597" s="75"/>
      <c r="O597" s="79"/>
    </row>
    <row r="598" spans="1:15" ht="12.5" x14ac:dyDescent="0.25">
      <c r="A598" s="14"/>
      <c r="C598" s="68"/>
      <c r="D598" s="68"/>
      <c r="E598" s="68"/>
      <c r="F598" s="68"/>
      <c r="G598" s="68"/>
      <c r="H598" s="68"/>
      <c r="I598" s="68"/>
      <c r="J598" s="68"/>
      <c r="K598" s="68"/>
      <c r="L598" s="68"/>
      <c r="N598" s="75"/>
      <c r="O598" s="79"/>
    </row>
    <row r="599" spans="1:15" ht="12.5" x14ac:dyDescent="0.25">
      <c r="A599" s="14"/>
      <c r="C599" s="68"/>
      <c r="D599" s="68"/>
      <c r="E599" s="68"/>
      <c r="F599" s="68"/>
      <c r="G599" s="68"/>
      <c r="H599" s="68"/>
      <c r="I599" s="68"/>
      <c r="J599" s="68"/>
      <c r="K599" s="68"/>
      <c r="L599" s="68"/>
      <c r="N599" s="75"/>
      <c r="O599" s="79"/>
    </row>
    <row r="600" spans="1:15" ht="12.5" x14ac:dyDescent="0.25">
      <c r="A600" s="14"/>
      <c r="C600" s="68"/>
      <c r="D600" s="68"/>
      <c r="E600" s="68"/>
      <c r="F600" s="68"/>
      <c r="G600" s="68"/>
      <c r="H600" s="68"/>
      <c r="I600" s="68"/>
      <c r="J600" s="68"/>
      <c r="K600" s="68"/>
      <c r="L600" s="68"/>
      <c r="N600" s="75"/>
      <c r="O600" s="79"/>
    </row>
    <row r="601" spans="1:15" ht="12.5" x14ac:dyDescent="0.25">
      <c r="A601" s="14"/>
      <c r="C601" s="68"/>
      <c r="D601" s="68"/>
      <c r="E601" s="68"/>
      <c r="F601" s="68"/>
      <c r="G601" s="68"/>
      <c r="H601" s="68"/>
      <c r="I601" s="68"/>
      <c r="J601" s="68"/>
      <c r="K601" s="68"/>
      <c r="L601" s="68"/>
      <c r="N601" s="75"/>
      <c r="O601" s="79"/>
    </row>
    <row r="602" spans="1:15" ht="12.5" x14ac:dyDescent="0.25">
      <c r="A602" s="14"/>
      <c r="C602" s="68"/>
      <c r="D602" s="68"/>
      <c r="E602" s="68"/>
      <c r="F602" s="68"/>
      <c r="G602" s="68"/>
      <c r="H602" s="68"/>
      <c r="I602" s="68"/>
      <c r="J602" s="68"/>
      <c r="K602" s="68"/>
      <c r="L602" s="68"/>
      <c r="N602" s="75"/>
      <c r="O602" s="79"/>
    </row>
    <row r="603" spans="1:15" ht="12.5" x14ac:dyDescent="0.25">
      <c r="A603" s="14"/>
      <c r="C603" s="68"/>
      <c r="D603" s="68"/>
      <c r="E603" s="68"/>
      <c r="F603" s="68"/>
      <c r="G603" s="68"/>
      <c r="H603" s="68"/>
      <c r="I603" s="68"/>
      <c r="J603" s="68"/>
      <c r="K603" s="68"/>
      <c r="L603" s="68"/>
      <c r="N603" s="75"/>
      <c r="O603" s="79"/>
    </row>
    <row r="604" spans="1:15" ht="12.5" x14ac:dyDescent="0.25">
      <c r="A604" s="14"/>
      <c r="C604" s="68"/>
      <c r="D604" s="68"/>
      <c r="E604" s="68"/>
      <c r="F604" s="68"/>
      <c r="G604" s="68"/>
      <c r="H604" s="68"/>
      <c r="I604" s="68"/>
      <c r="J604" s="68"/>
      <c r="K604" s="68"/>
      <c r="L604" s="68"/>
      <c r="N604" s="75"/>
      <c r="O604" s="79"/>
    </row>
    <row r="605" spans="1:15" ht="12.5" x14ac:dyDescent="0.25">
      <c r="A605" s="14"/>
      <c r="C605" s="68"/>
      <c r="D605" s="68"/>
      <c r="E605" s="68"/>
      <c r="F605" s="68"/>
      <c r="G605" s="68"/>
      <c r="H605" s="68"/>
      <c r="I605" s="68"/>
      <c r="J605" s="68"/>
      <c r="K605" s="68"/>
      <c r="L605" s="68"/>
      <c r="N605" s="75"/>
      <c r="O605" s="79"/>
    </row>
    <row r="606" spans="1:15" ht="12.5" x14ac:dyDescent="0.25">
      <c r="A606" s="14"/>
      <c r="C606" s="68"/>
      <c r="D606" s="68"/>
      <c r="E606" s="68"/>
      <c r="F606" s="68"/>
      <c r="G606" s="68"/>
      <c r="H606" s="68"/>
      <c r="I606" s="68"/>
      <c r="J606" s="68"/>
      <c r="K606" s="68"/>
      <c r="L606" s="68"/>
      <c r="N606" s="75"/>
      <c r="O606" s="79"/>
    </row>
    <row r="607" spans="1:15" ht="12.5" x14ac:dyDescent="0.25">
      <c r="A607" s="14"/>
      <c r="C607" s="68"/>
      <c r="D607" s="68"/>
      <c r="E607" s="68"/>
      <c r="F607" s="68"/>
      <c r="G607" s="68"/>
      <c r="H607" s="68"/>
      <c r="I607" s="68"/>
      <c r="J607" s="68"/>
      <c r="K607" s="68"/>
      <c r="L607" s="68"/>
      <c r="N607" s="75"/>
      <c r="O607" s="79"/>
    </row>
    <row r="608" spans="1:15" ht="12.5" x14ac:dyDescent="0.25">
      <c r="A608" s="14"/>
      <c r="C608" s="68"/>
      <c r="D608" s="68"/>
      <c r="E608" s="68"/>
      <c r="F608" s="68"/>
      <c r="G608" s="68"/>
      <c r="H608" s="68"/>
      <c r="I608" s="68"/>
      <c r="J608" s="68"/>
      <c r="K608" s="68"/>
      <c r="L608" s="68"/>
      <c r="N608" s="75"/>
      <c r="O608" s="79"/>
    </row>
    <row r="609" spans="1:15" ht="12.5" x14ac:dyDescent="0.25">
      <c r="A609" s="14"/>
      <c r="C609" s="68"/>
      <c r="D609" s="68"/>
      <c r="E609" s="68"/>
      <c r="F609" s="68"/>
      <c r="G609" s="68"/>
      <c r="H609" s="68"/>
      <c r="I609" s="68"/>
      <c r="J609" s="68"/>
      <c r="K609" s="68"/>
      <c r="L609" s="68"/>
      <c r="N609" s="75"/>
      <c r="O609" s="79"/>
    </row>
    <row r="610" spans="1:15" ht="12.5" x14ac:dyDescent="0.25">
      <c r="A610" s="14"/>
      <c r="C610" s="68"/>
      <c r="D610" s="68"/>
      <c r="E610" s="68"/>
      <c r="F610" s="68"/>
      <c r="G610" s="68"/>
      <c r="H610" s="68"/>
      <c r="I610" s="68"/>
      <c r="J610" s="68"/>
      <c r="K610" s="68"/>
      <c r="L610" s="68"/>
      <c r="N610" s="75"/>
      <c r="O610" s="79"/>
    </row>
    <row r="611" spans="1:15" ht="12.5" x14ac:dyDescent="0.25">
      <c r="A611" s="14"/>
      <c r="C611" s="68"/>
      <c r="D611" s="68"/>
      <c r="E611" s="68"/>
      <c r="F611" s="68"/>
      <c r="G611" s="68"/>
      <c r="H611" s="68"/>
      <c r="I611" s="68"/>
      <c r="J611" s="68"/>
      <c r="K611" s="68"/>
      <c r="L611" s="68"/>
      <c r="N611" s="75"/>
      <c r="O611" s="79"/>
    </row>
    <row r="612" spans="1:15" ht="12.5" x14ac:dyDescent="0.25">
      <c r="A612" s="14"/>
      <c r="C612" s="68"/>
      <c r="D612" s="68"/>
      <c r="E612" s="68"/>
      <c r="F612" s="68"/>
      <c r="G612" s="68"/>
      <c r="H612" s="68"/>
      <c r="I612" s="68"/>
      <c r="J612" s="68"/>
      <c r="K612" s="68"/>
      <c r="L612" s="68"/>
      <c r="N612" s="75"/>
      <c r="O612" s="79"/>
    </row>
    <row r="613" spans="1:15" ht="12.5" x14ac:dyDescent="0.25">
      <c r="A613" s="14"/>
      <c r="C613" s="68"/>
      <c r="D613" s="68"/>
      <c r="E613" s="68"/>
      <c r="F613" s="68"/>
      <c r="G613" s="68"/>
      <c r="H613" s="68"/>
      <c r="I613" s="68"/>
      <c r="J613" s="68"/>
      <c r="K613" s="68"/>
      <c r="L613" s="68"/>
      <c r="N613" s="75"/>
      <c r="O613" s="79"/>
    </row>
    <row r="614" spans="1:15" ht="12.5" x14ac:dyDescent="0.25">
      <c r="A614" s="14"/>
      <c r="C614" s="68"/>
      <c r="D614" s="68"/>
      <c r="E614" s="68"/>
      <c r="F614" s="68"/>
      <c r="G614" s="68"/>
      <c r="H614" s="68"/>
      <c r="I614" s="68"/>
      <c r="J614" s="68"/>
      <c r="K614" s="68"/>
      <c r="L614" s="68"/>
      <c r="N614" s="75"/>
      <c r="O614" s="79"/>
    </row>
    <row r="615" spans="1:15" ht="12.5" x14ac:dyDescent="0.25">
      <c r="A615" s="14"/>
      <c r="C615" s="68"/>
      <c r="D615" s="68"/>
      <c r="E615" s="68"/>
      <c r="F615" s="68"/>
      <c r="G615" s="68"/>
      <c r="H615" s="68"/>
      <c r="I615" s="68"/>
      <c r="J615" s="68"/>
      <c r="K615" s="68"/>
      <c r="L615" s="68"/>
      <c r="N615" s="75"/>
      <c r="O615" s="79"/>
    </row>
    <row r="616" spans="1:15" ht="12.5" x14ac:dyDescent="0.25">
      <c r="A616" s="14"/>
      <c r="C616" s="68"/>
      <c r="D616" s="68"/>
      <c r="E616" s="68"/>
      <c r="F616" s="68"/>
      <c r="G616" s="68"/>
      <c r="H616" s="68"/>
      <c r="I616" s="68"/>
      <c r="J616" s="68"/>
      <c r="K616" s="68"/>
      <c r="L616" s="68"/>
      <c r="N616" s="75"/>
      <c r="O616" s="79"/>
    </row>
    <row r="617" spans="1:15" ht="12.5" x14ac:dyDescent="0.25">
      <c r="A617" s="14"/>
      <c r="C617" s="68"/>
      <c r="D617" s="68"/>
      <c r="E617" s="68"/>
      <c r="F617" s="68"/>
      <c r="G617" s="68"/>
      <c r="H617" s="68"/>
      <c r="I617" s="68"/>
      <c r="J617" s="68"/>
      <c r="K617" s="68"/>
      <c r="L617" s="68"/>
      <c r="N617" s="75"/>
      <c r="O617" s="79"/>
    </row>
    <row r="618" spans="1:15" ht="12.5" x14ac:dyDescent="0.25">
      <c r="A618" s="14"/>
      <c r="C618" s="68"/>
      <c r="D618" s="68"/>
      <c r="E618" s="68"/>
      <c r="F618" s="68"/>
      <c r="G618" s="68"/>
      <c r="H618" s="68"/>
      <c r="I618" s="68"/>
      <c r="J618" s="68"/>
      <c r="K618" s="68"/>
      <c r="L618" s="68"/>
      <c r="N618" s="75"/>
      <c r="O618" s="79"/>
    </row>
    <row r="619" spans="1:15" ht="12.5" x14ac:dyDescent="0.25">
      <c r="A619" s="14"/>
      <c r="C619" s="68"/>
      <c r="D619" s="68"/>
      <c r="E619" s="68"/>
      <c r="F619" s="68"/>
      <c r="G619" s="68"/>
      <c r="H619" s="68"/>
      <c r="I619" s="68"/>
      <c r="J619" s="68"/>
      <c r="K619" s="68"/>
      <c r="L619" s="68"/>
      <c r="N619" s="75"/>
      <c r="O619" s="79"/>
    </row>
    <row r="620" spans="1:15" ht="12.5" x14ac:dyDescent="0.25">
      <c r="A620" s="14"/>
      <c r="C620" s="68"/>
      <c r="D620" s="68"/>
      <c r="E620" s="68"/>
      <c r="F620" s="68"/>
      <c r="G620" s="68"/>
      <c r="H620" s="68"/>
      <c r="I620" s="68"/>
      <c r="J620" s="68"/>
      <c r="K620" s="68"/>
      <c r="L620" s="68"/>
      <c r="N620" s="75"/>
      <c r="O620" s="79"/>
    </row>
    <row r="621" spans="1:15" ht="12.5" x14ac:dyDescent="0.25">
      <c r="A621" s="14"/>
      <c r="C621" s="68"/>
      <c r="D621" s="68"/>
      <c r="E621" s="68"/>
      <c r="F621" s="68"/>
      <c r="G621" s="68"/>
      <c r="H621" s="68"/>
      <c r="I621" s="68"/>
      <c r="J621" s="68"/>
      <c r="K621" s="68"/>
      <c r="L621" s="68"/>
      <c r="N621" s="75"/>
      <c r="O621" s="79"/>
    </row>
    <row r="622" spans="1:15" ht="12.5" x14ac:dyDescent="0.25">
      <c r="A622" s="14"/>
      <c r="C622" s="68"/>
      <c r="D622" s="68"/>
      <c r="E622" s="68"/>
      <c r="F622" s="68"/>
      <c r="G622" s="68"/>
      <c r="H622" s="68"/>
      <c r="I622" s="68"/>
      <c r="J622" s="68"/>
      <c r="K622" s="68"/>
      <c r="L622" s="68"/>
      <c r="N622" s="75"/>
      <c r="O622" s="79"/>
    </row>
    <row r="623" spans="1:15" ht="12.5" x14ac:dyDescent="0.25">
      <c r="A623" s="14"/>
      <c r="C623" s="68"/>
      <c r="D623" s="68"/>
      <c r="E623" s="68"/>
      <c r="F623" s="68"/>
      <c r="G623" s="68"/>
      <c r="H623" s="68"/>
      <c r="I623" s="68"/>
      <c r="J623" s="68"/>
      <c r="K623" s="68"/>
      <c r="L623" s="68"/>
      <c r="N623" s="75"/>
      <c r="O623" s="79"/>
    </row>
    <row r="624" spans="1:15" ht="12.5" x14ac:dyDescent="0.25">
      <c r="A624" s="14"/>
      <c r="C624" s="68"/>
      <c r="D624" s="68"/>
      <c r="E624" s="68"/>
      <c r="F624" s="68"/>
      <c r="G624" s="68"/>
      <c r="H624" s="68"/>
      <c r="I624" s="68"/>
      <c r="J624" s="68"/>
      <c r="K624" s="68"/>
      <c r="L624" s="68"/>
      <c r="N624" s="75"/>
      <c r="O624" s="79"/>
    </row>
    <row r="625" spans="1:15" ht="12.5" x14ac:dyDescent="0.25">
      <c r="A625" s="14"/>
      <c r="C625" s="68"/>
      <c r="D625" s="68"/>
      <c r="E625" s="68"/>
      <c r="F625" s="68"/>
      <c r="G625" s="68"/>
      <c r="H625" s="68"/>
      <c r="I625" s="68"/>
      <c r="J625" s="68"/>
      <c r="K625" s="68"/>
      <c r="L625" s="68"/>
      <c r="N625" s="75"/>
      <c r="O625" s="79"/>
    </row>
    <row r="626" spans="1:15" ht="12.5" x14ac:dyDescent="0.25">
      <c r="A626" s="14"/>
      <c r="C626" s="68"/>
      <c r="D626" s="68"/>
      <c r="E626" s="68"/>
      <c r="F626" s="68"/>
      <c r="G626" s="68"/>
      <c r="H626" s="68"/>
      <c r="I626" s="68"/>
      <c r="J626" s="68"/>
      <c r="K626" s="68"/>
      <c r="L626" s="68"/>
      <c r="N626" s="75"/>
      <c r="O626" s="79"/>
    </row>
    <row r="627" spans="1:15" ht="12.5" x14ac:dyDescent="0.25">
      <c r="A627" s="14"/>
      <c r="C627" s="68"/>
      <c r="D627" s="68"/>
      <c r="E627" s="68"/>
      <c r="F627" s="68"/>
      <c r="G627" s="68"/>
      <c r="H627" s="68"/>
      <c r="I627" s="68"/>
      <c r="J627" s="68"/>
      <c r="K627" s="68"/>
      <c r="L627" s="68"/>
      <c r="N627" s="75"/>
      <c r="O627" s="79"/>
    </row>
    <row r="628" spans="1:15" ht="12.5" x14ac:dyDescent="0.25">
      <c r="A628" s="14"/>
      <c r="C628" s="68"/>
      <c r="D628" s="68"/>
      <c r="E628" s="68"/>
      <c r="F628" s="68"/>
      <c r="G628" s="68"/>
      <c r="H628" s="68"/>
      <c r="I628" s="68"/>
      <c r="J628" s="68"/>
      <c r="K628" s="68"/>
      <c r="L628" s="68"/>
      <c r="N628" s="75"/>
      <c r="O628" s="79"/>
    </row>
    <row r="629" spans="1:15" ht="12.5" x14ac:dyDescent="0.25">
      <c r="A629" s="14"/>
      <c r="C629" s="68"/>
      <c r="D629" s="68"/>
      <c r="E629" s="68"/>
      <c r="F629" s="68"/>
      <c r="G629" s="68"/>
      <c r="H629" s="68"/>
      <c r="I629" s="68"/>
      <c r="J629" s="68"/>
      <c r="K629" s="68"/>
      <c r="L629" s="68"/>
      <c r="N629" s="75"/>
      <c r="O629" s="79"/>
    </row>
    <row r="630" spans="1:15" ht="12.5" x14ac:dyDescent="0.25">
      <c r="A630" s="14"/>
      <c r="C630" s="68"/>
      <c r="D630" s="68"/>
      <c r="E630" s="68"/>
      <c r="F630" s="68"/>
      <c r="G630" s="68"/>
      <c r="H630" s="68"/>
      <c r="I630" s="68"/>
      <c r="J630" s="68"/>
      <c r="K630" s="68"/>
      <c r="L630" s="68"/>
      <c r="N630" s="75"/>
      <c r="O630" s="79"/>
    </row>
    <row r="631" spans="1:15" ht="12.5" x14ac:dyDescent="0.25">
      <c r="A631" s="14"/>
      <c r="C631" s="68"/>
      <c r="D631" s="68"/>
      <c r="E631" s="68"/>
      <c r="F631" s="68"/>
      <c r="G631" s="68"/>
      <c r="H631" s="68"/>
      <c r="I631" s="68"/>
      <c r="J631" s="68"/>
      <c r="K631" s="68"/>
      <c r="L631" s="68"/>
      <c r="N631" s="75"/>
      <c r="O631" s="79"/>
    </row>
    <row r="632" spans="1:15" ht="12.5" x14ac:dyDescent="0.25">
      <c r="A632" s="14"/>
      <c r="C632" s="68"/>
      <c r="D632" s="68"/>
      <c r="E632" s="68"/>
      <c r="F632" s="68"/>
      <c r="G632" s="68"/>
      <c r="H632" s="68"/>
      <c r="I632" s="68"/>
      <c r="J632" s="68"/>
      <c r="K632" s="68"/>
      <c r="L632" s="68"/>
      <c r="N632" s="75"/>
      <c r="O632" s="79"/>
    </row>
    <row r="633" spans="1:15" ht="12.5" x14ac:dyDescent="0.25">
      <c r="A633" s="14"/>
      <c r="C633" s="68"/>
      <c r="D633" s="68"/>
      <c r="E633" s="68"/>
      <c r="F633" s="68"/>
      <c r="G633" s="68"/>
      <c r="H633" s="68"/>
      <c r="I633" s="68"/>
      <c r="J633" s="68"/>
      <c r="K633" s="68"/>
      <c r="L633" s="68"/>
      <c r="N633" s="75"/>
      <c r="O633" s="79"/>
    </row>
    <row r="634" spans="1:15" ht="12.5" x14ac:dyDescent="0.25">
      <c r="A634" s="14"/>
      <c r="C634" s="68"/>
      <c r="D634" s="68"/>
      <c r="E634" s="68"/>
      <c r="F634" s="68"/>
      <c r="G634" s="68"/>
      <c r="H634" s="68"/>
      <c r="I634" s="68"/>
      <c r="J634" s="68"/>
      <c r="K634" s="68"/>
      <c r="L634" s="68"/>
      <c r="N634" s="75"/>
      <c r="O634" s="79"/>
    </row>
    <row r="635" spans="1:15" ht="12.5" x14ac:dyDescent="0.25">
      <c r="A635" s="14"/>
      <c r="C635" s="68"/>
      <c r="D635" s="68"/>
      <c r="E635" s="68"/>
      <c r="F635" s="68"/>
      <c r="G635" s="68"/>
      <c r="H635" s="68"/>
      <c r="I635" s="68"/>
      <c r="J635" s="68"/>
      <c r="K635" s="68"/>
      <c r="L635" s="68"/>
      <c r="N635" s="75"/>
      <c r="O635" s="79"/>
    </row>
    <row r="636" spans="1:15" ht="12.5" x14ac:dyDescent="0.25">
      <c r="A636" s="14"/>
      <c r="C636" s="68"/>
      <c r="D636" s="68"/>
      <c r="E636" s="68"/>
      <c r="F636" s="68"/>
      <c r="G636" s="68"/>
      <c r="H636" s="68"/>
      <c r="I636" s="68"/>
      <c r="J636" s="68"/>
      <c r="K636" s="68"/>
      <c r="L636" s="68"/>
      <c r="N636" s="75"/>
      <c r="O636" s="79"/>
    </row>
    <row r="637" spans="1:15" ht="12.5" x14ac:dyDescent="0.25">
      <c r="A637" s="14"/>
      <c r="C637" s="68"/>
      <c r="D637" s="68"/>
      <c r="E637" s="68"/>
      <c r="F637" s="68"/>
      <c r="G637" s="68"/>
      <c r="H637" s="68"/>
      <c r="I637" s="68"/>
      <c r="J637" s="68"/>
      <c r="K637" s="68"/>
      <c r="L637" s="68"/>
      <c r="N637" s="75"/>
      <c r="O637" s="79"/>
    </row>
    <row r="638" spans="1:15" ht="12.5" x14ac:dyDescent="0.25">
      <c r="A638" s="14"/>
      <c r="C638" s="68"/>
      <c r="D638" s="68"/>
      <c r="E638" s="68"/>
      <c r="F638" s="68"/>
      <c r="G638" s="68"/>
      <c r="H638" s="68"/>
      <c r="I638" s="68"/>
      <c r="J638" s="68"/>
      <c r="K638" s="68"/>
      <c r="L638" s="68"/>
      <c r="N638" s="75"/>
      <c r="O638" s="79"/>
    </row>
    <row r="639" spans="1:15" ht="12.5" x14ac:dyDescent="0.25">
      <c r="A639" s="14"/>
      <c r="C639" s="68"/>
      <c r="D639" s="68"/>
      <c r="E639" s="68"/>
      <c r="F639" s="68"/>
      <c r="G639" s="68"/>
      <c r="H639" s="68"/>
      <c r="I639" s="68"/>
      <c r="J639" s="68"/>
      <c r="K639" s="68"/>
      <c r="L639" s="68"/>
      <c r="N639" s="75"/>
      <c r="O639" s="79"/>
    </row>
    <row r="640" spans="1:15" ht="12.5" x14ac:dyDescent="0.25">
      <c r="A640" s="14"/>
      <c r="C640" s="68"/>
      <c r="D640" s="68"/>
      <c r="E640" s="68"/>
      <c r="F640" s="68"/>
      <c r="G640" s="68"/>
      <c r="H640" s="68"/>
      <c r="I640" s="68"/>
      <c r="J640" s="68"/>
      <c r="K640" s="68"/>
      <c r="L640" s="68"/>
      <c r="N640" s="75"/>
      <c r="O640" s="79"/>
    </row>
    <row r="641" spans="1:15" ht="12.5" x14ac:dyDescent="0.25">
      <c r="A641" s="14"/>
      <c r="C641" s="68"/>
      <c r="D641" s="68"/>
      <c r="E641" s="68"/>
      <c r="F641" s="68"/>
      <c r="G641" s="68"/>
      <c r="H641" s="68"/>
      <c r="I641" s="68"/>
      <c r="J641" s="68"/>
      <c r="K641" s="68"/>
      <c r="L641" s="68"/>
      <c r="N641" s="75"/>
      <c r="O641" s="79"/>
    </row>
    <row r="642" spans="1:15" ht="12.5" x14ac:dyDescent="0.25">
      <c r="A642" s="14"/>
      <c r="C642" s="68"/>
      <c r="D642" s="68"/>
      <c r="E642" s="68"/>
      <c r="F642" s="68"/>
      <c r="G642" s="68"/>
      <c r="H642" s="68"/>
      <c r="I642" s="68"/>
      <c r="J642" s="68"/>
      <c r="K642" s="68"/>
      <c r="L642" s="68"/>
      <c r="N642" s="75"/>
      <c r="O642" s="79"/>
    </row>
    <row r="643" spans="1:15" ht="12.5" x14ac:dyDescent="0.25">
      <c r="A643" s="14"/>
      <c r="C643" s="68"/>
      <c r="D643" s="68"/>
      <c r="E643" s="68"/>
      <c r="F643" s="68"/>
      <c r="G643" s="68"/>
      <c r="H643" s="68"/>
      <c r="I643" s="68"/>
      <c r="J643" s="68"/>
      <c r="K643" s="68"/>
      <c r="L643" s="68"/>
      <c r="N643" s="75"/>
      <c r="O643" s="79"/>
    </row>
    <row r="644" spans="1:15" ht="12.5" x14ac:dyDescent="0.25">
      <c r="A644" s="14"/>
      <c r="C644" s="68"/>
      <c r="D644" s="68"/>
      <c r="E644" s="68"/>
      <c r="F644" s="68"/>
      <c r="G644" s="68"/>
      <c r="H644" s="68"/>
      <c r="I644" s="68"/>
      <c r="J644" s="68"/>
      <c r="K644" s="68"/>
      <c r="L644" s="68"/>
      <c r="N644" s="75"/>
      <c r="O644" s="79"/>
    </row>
    <row r="645" spans="1:15" ht="12.5" x14ac:dyDescent="0.25">
      <c r="A645" s="14"/>
      <c r="C645" s="68"/>
      <c r="D645" s="68"/>
      <c r="E645" s="68"/>
      <c r="F645" s="68"/>
      <c r="G645" s="68"/>
      <c r="H645" s="68"/>
      <c r="I645" s="68"/>
      <c r="J645" s="68"/>
      <c r="K645" s="68"/>
      <c r="L645" s="68"/>
      <c r="N645" s="75"/>
      <c r="O645" s="79"/>
    </row>
    <row r="646" spans="1:15" ht="12.5" x14ac:dyDescent="0.25">
      <c r="A646" s="14"/>
      <c r="C646" s="68"/>
      <c r="D646" s="68"/>
      <c r="E646" s="68"/>
      <c r="F646" s="68"/>
      <c r="G646" s="68"/>
      <c r="H646" s="68"/>
      <c r="I646" s="68"/>
      <c r="J646" s="68"/>
      <c r="K646" s="68"/>
      <c r="L646" s="68"/>
      <c r="N646" s="75"/>
      <c r="O646" s="79"/>
    </row>
    <row r="647" spans="1:15" ht="12.5" x14ac:dyDescent="0.25">
      <c r="A647" s="14"/>
      <c r="C647" s="68"/>
      <c r="D647" s="68"/>
      <c r="E647" s="68"/>
      <c r="F647" s="68"/>
      <c r="G647" s="68"/>
      <c r="H647" s="68"/>
      <c r="I647" s="68"/>
      <c r="J647" s="68"/>
      <c r="K647" s="68"/>
      <c r="L647" s="68"/>
      <c r="N647" s="75"/>
      <c r="O647" s="79"/>
    </row>
    <row r="648" spans="1:15" ht="12.5" x14ac:dyDescent="0.25">
      <c r="A648" s="14"/>
      <c r="C648" s="68"/>
      <c r="D648" s="68"/>
      <c r="E648" s="68"/>
      <c r="F648" s="68"/>
      <c r="G648" s="68"/>
      <c r="H648" s="68"/>
      <c r="I648" s="68"/>
      <c r="J648" s="68"/>
      <c r="K648" s="68"/>
      <c r="L648" s="68"/>
      <c r="N648" s="75"/>
      <c r="O648" s="79"/>
    </row>
    <row r="649" spans="1:15" ht="12.5" x14ac:dyDescent="0.25">
      <c r="A649" s="14"/>
      <c r="C649" s="68"/>
      <c r="D649" s="68"/>
      <c r="E649" s="68"/>
      <c r="F649" s="68"/>
      <c r="G649" s="68"/>
      <c r="H649" s="68"/>
      <c r="I649" s="68"/>
      <c r="J649" s="68"/>
      <c r="K649" s="68"/>
      <c r="L649" s="68"/>
      <c r="N649" s="75"/>
      <c r="O649" s="79"/>
    </row>
    <row r="650" spans="1:15" ht="12.5" x14ac:dyDescent="0.25">
      <c r="A650" s="14"/>
      <c r="C650" s="68"/>
      <c r="D650" s="68"/>
      <c r="E650" s="68"/>
      <c r="F650" s="68"/>
      <c r="G650" s="68"/>
      <c r="H650" s="68"/>
      <c r="I650" s="68"/>
      <c r="J650" s="68"/>
      <c r="K650" s="68"/>
      <c r="L650" s="68"/>
      <c r="N650" s="75"/>
      <c r="O650" s="79"/>
    </row>
    <row r="651" spans="1:15" ht="12.5" x14ac:dyDescent="0.25">
      <c r="A651" s="14"/>
      <c r="C651" s="68"/>
      <c r="D651" s="68"/>
      <c r="E651" s="68"/>
      <c r="F651" s="68"/>
      <c r="G651" s="68"/>
      <c r="H651" s="68"/>
      <c r="I651" s="68"/>
      <c r="J651" s="68"/>
      <c r="K651" s="68"/>
      <c r="L651" s="68"/>
      <c r="N651" s="75"/>
      <c r="O651" s="79"/>
    </row>
    <row r="652" spans="1:15" ht="12.5" x14ac:dyDescent="0.25">
      <c r="A652" s="14"/>
      <c r="C652" s="68"/>
      <c r="D652" s="68"/>
      <c r="E652" s="68"/>
      <c r="F652" s="68"/>
      <c r="G652" s="68"/>
      <c r="H652" s="68"/>
      <c r="I652" s="68"/>
      <c r="J652" s="68"/>
      <c r="K652" s="68"/>
      <c r="L652" s="68"/>
      <c r="N652" s="75"/>
      <c r="O652" s="79"/>
    </row>
    <row r="653" spans="1:15" ht="12.5" x14ac:dyDescent="0.25">
      <c r="A653" s="14"/>
      <c r="C653" s="68"/>
      <c r="D653" s="68"/>
      <c r="E653" s="68"/>
      <c r="F653" s="68"/>
      <c r="G653" s="68"/>
      <c r="H653" s="68"/>
      <c r="I653" s="68"/>
      <c r="J653" s="68"/>
      <c r="K653" s="68"/>
      <c r="L653" s="68"/>
      <c r="N653" s="75"/>
      <c r="O653" s="79"/>
    </row>
    <row r="654" spans="1:15" ht="12.5" x14ac:dyDescent="0.25">
      <c r="A654" s="14"/>
      <c r="C654" s="68"/>
      <c r="D654" s="68"/>
      <c r="E654" s="68"/>
      <c r="F654" s="68"/>
      <c r="G654" s="68"/>
      <c r="H654" s="68"/>
      <c r="I654" s="68"/>
      <c r="J654" s="68"/>
      <c r="K654" s="68"/>
      <c r="L654" s="68"/>
      <c r="N654" s="75"/>
      <c r="O654" s="79"/>
    </row>
    <row r="655" spans="1:15" ht="12.5" x14ac:dyDescent="0.25">
      <c r="A655" s="14"/>
      <c r="C655" s="68"/>
      <c r="D655" s="68"/>
      <c r="E655" s="68"/>
      <c r="F655" s="68"/>
      <c r="G655" s="68"/>
      <c r="H655" s="68"/>
      <c r="I655" s="68"/>
      <c r="J655" s="68"/>
      <c r="K655" s="68"/>
      <c r="L655" s="68"/>
      <c r="N655" s="75"/>
      <c r="O655" s="79"/>
    </row>
    <row r="656" spans="1:15" ht="12.5" x14ac:dyDescent="0.25">
      <c r="A656" s="14"/>
      <c r="C656" s="68"/>
      <c r="D656" s="68"/>
      <c r="E656" s="68"/>
      <c r="F656" s="68"/>
      <c r="G656" s="68"/>
      <c r="H656" s="68"/>
      <c r="I656" s="68"/>
      <c r="J656" s="68"/>
      <c r="K656" s="68"/>
      <c r="L656" s="68"/>
      <c r="N656" s="75"/>
      <c r="O656" s="79"/>
    </row>
    <row r="657" spans="1:15" ht="12.5" x14ac:dyDescent="0.25">
      <c r="A657" s="14"/>
      <c r="C657" s="68"/>
      <c r="D657" s="68"/>
      <c r="E657" s="68"/>
      <c r="F657" s="68"/>
      <c r="G657" s="68"/>
      <c r="H657" s="68"/>
      <c r="I657" s="68"/>
      <c r="J657" s="68"/>
      <c r="K657" s="68"/>
      <c r="L657" s="68"/>
      <c r="N657" s="75"/>
      <c r="O657" s="79"/>
    </row>
    <row r="658" spans="1:15" ht="12.5" x14ac:dyDescent="0.25">
      <c r="A658" s="14"/>
      <c r="C658" s="68"/>
      <c r="D658" s="68"/>
      <c r="E658" s="68"/>
      <c r="F658" s="68"/>
      <c r="G658" s="68"/>
      <c r="H658" s="68"/>
      <c r="I658" s="68"/>
      <c r="J658" s="68"/>
      <c r="K658" s="68"/>
      <c r="L658" s="68"/>
      <c r="N658" s="75"/>
      <c r="O658" s="79"/>
    </row>
    <row r="659" spans="1:15" ht="12.5" x14ac:dyDescent="0.25">
      <c r="A659" s="14"/>
      <c r="C659" s="68"/>
      <c r="D659" s="68"/>
      <c r="E659" s="68"/>
      <c r="F659" s="68"/>
      <c r="G659" s="68"/>
      <c r="H659" s="68"/>
      <c r="I659" s="68"/>
      <c r="J659" s="68"/>
      <c r="K659" s="68"/>
      <c r="L659" s="68"/>
      <c r="N659" s="75"/>
      <c r="O659" s="79"/>
    </row>
    <row r="660" spans="1:15" ht="12.5" x14ac:dyDescent="0.25">
      <c r="A660" s="14"/>
      <c r="C660" s="68"/>
      <c r="D660" s="68"/>
      <c r="E660" s="68"/>
      <c r="F660" s="68"/>
      <c r="G660" s="68"/>
      <c r="H660" s="68"/>
      <c r="I660" s="68"/>
      <c r="J660" s="68"/>
      <c r="K660" s="68"/>
      <c r="L660" s="68"/>
      <c r="N660" s="75"/>
      <c r="O660" s="79"/>
    </row>
    <row r="661" spans="1:15" ht="12.5" x14ac:dyDescent="0.25">
      <c r="A661" s="14"/>
      <c r="C661" s="68"/>
      <c r="D661" s="68"/>
      <c r="E661" s="68"/>
      <c r="F661" s="68"/>
      <c r="G661" s="68"/>
      <c r="H661" s="68"/>
      <c r="I661" s="68"/>
      <c r="J661" s="68"/>
      <c r="K661" s="68"/>
      <c r="L661" s="68"/>
      <c r="N661" s="75"/>
      <c r="O661" s="79"/>
    </row>
    <row r="662" spans="1:15" ht="12.5" x14ac:dyDescent="0.25">
      <c r="A662" s="14"/>
      <c r="C662" s="68"/>
      <c r="D662" s="68"/>
      <c r="E662" s="68"/>
      <c r="F662" s="68"/>
      <c r="G662" s="68"/>
      <c r="H662" s="68"/>
      <c r="I662" s="68"/>
      <c r="J662" s="68"/>
      <c r="K662" s="68"/>
      <c r="L662" s="68"/>
      <c r="N662" s="75"/>
      <c r="O662" s="79"/>
    </row>
    <row r="663" spans="1:15" ht="12.5" x14ac:dyDescent="0.25">
      <c r="A663" s="14"/>
      <c r="C663" s="68"/>
      <c r="D663" s="68"/>
      <c r="E663" s="68"/>
      <c r="F663" s="68"/>
      <c r="G663" s="68"/>
      <c r="H663" s="68"/>
      <c r="I663" s="68"/>
      <c r="J663" s="68"/>
      <c r="K663" s="68"/>
      <c r="L663" s="68"/>
      <c r="N663" s="75"/>
      <c r="O663" s="79"/>
    </row>
    <row r="664" spans="1:15" ht="12.5" x14ac:dyDescent="0.25">
      <c r="A664" s="14"/>
      <c r="C664" s="68"/>
      <c r="D664" s="68"/>
      <c r="E664" s="68"/>
      <c r="F664" s="68"/>
      <c r="G664" s="68"/>
      <c r="H664" s="68"/>
      <c r="I664" s="68"/>
      <c r="J664" s="68"/>
      <c r="K664" s="68"/>
      <c r="L664" s="68"/>
      <c r="N664" s="75"/>
      <c r="O664" s="79"/>
    </row>
    <row r="665" spans="1:15" ht="12.5" x14ac:dyDescent="0.25">
      <c r="A665" s="14"/>
      <c r="C665" s="68"/>
      <c r="D665" s="68"/>
      <c r="E665" s="68"/>
      <c r="F665" s="68"/>
      <c r="G665" s="68"/>
      <c r="H665" s="68"/>
      <c r="I665" s="68"/>
      <c r="J665" s="68"/>
      <c r="K665" s="68"/>
      <c r="L665" s="68"/>
      <c r="N665" s="75"/>
      <c r="O665" s="79"/>
    </row>
    <row r="666" spans="1:15" ht="12.5" x14ac:dyDescent="0.25">
      <c r="A666" s="14"/>
      <c r="C666" s="68"/>
      <c r="D666" s="68"/>
      <c r="E666" s="68"/>
      <c r="F666" s="68"/>
      <c r="G666" s="68"/>
      <c r="H666" s="68"/>
      <c r="I666" s="68"/>
      <c r="J666" s="68"/>
      <c r="K666" s="68"/>
      <c r="L666" s="68"/>
      <c r="N666" s="75"/>
      <c r="O666" s="79"/>
    </row>
    <row r="667" spans="1:15" ht="12.5" x14ac:dyDescent="0.25">
      <c r="A667" s="14"/>
      <c r="C667" s="68"/>
      <c r="D667" s="68"/>
      <c r="E667" s="68"/>
      <c r="F667" s="68"/>
      <c r="G667" s="68"/>
      <c r="H667" s="68"/>
      <c r="I667" s="68"/>
      <c r="J667" s="68"/>
      <c r="K667" s="68"/>
      <c r="L667" s="68"/>
      <c r="N667" s="75"/>
      <c r="O667" s="79"/>
    </row>
    <row r="668" spans="1:15" ht="12.5" x14ac:dyDescent="0.25">
      <c r="A668" s="14"/>
      <c r="C668" s="68"/>
      <c r="D668" s="68"/>
      <c r="E668" s="68"/>
      <c r="F668" s="68"/>
      <c r="G668" s="68"/>
      <c r="H668" s="68"/>
      <c r="I668" s="68"/>
      <c r="J668" s="68"/>
      <c r="K668" s="68"/>
      <c r="L668" s="68"/>
      <c r="N668" s="75"/>
      <c r="O668" s="79"/>
    </row>
    <row r="669" spans="1:15" ht="12.5" x14ac:dyDescent="0.25">
      <c r="A669" s="14"/>
      <c r="C669" s="68"/>
      <c r="D669" s="68"/>
      <c r="E669" s="68"/>
      <c r="F669" s="68"/>
      <c r="G669" s="68"/>
      <c r="H669" s="68"/>
      <c r="I669" s="68"/>
      <c r="J669" s="68"/>
      <c r="K669" s="68"/>
      <c r="L669" s="68"/>
      <c r="N669" s="75"/>
      <c r="O669" s="79"/>
    </row>
    <row r="670" spans="1:15" ht="12.5" x14ac:dyDescent="0.25">
      <c r="A670" s="14"/>
      <c r="C670" s="68"/>
      <c r="D670" s="68"/>
      <c r="E670" s="68"/>
      <c r="F670" s="68"/>
      <c r="G670" s="68"/>
      <c r="H670" s="68"/>
      <c r="I670" s="68"/>
      <c r="J670" s="68"/>
      <c r="K670" s="68"/>
      <c r="L670" s="68"/>
      <c r="N670" s="75"/>
      <c r="O670" s="79"/>
    </row>
    <row r="671" spans="1:15" ht="12.5" x14ac:dyDescent="0.25">
      <c r="A671" s="14"/>
      <c r="C671" s="68"/>
      <c r="D671" s="68"/>
      <c r="E671" s="68"/>
      <c r="F671" s="68"/>
      <c r="G671" s="68"/>
      <c r="H671" s="68"/>
      <c r="I671" s="68"/>
      <c r="J671" s="68"/>
      <c r="K671" s="68"/>
      <c r="L671" s="68"/>
      <c r="N671" s="75"/>
      <c r="O671" s="79"/>
    </row>
    <row r="672" spans="1:15" ht="12.5" x14ac:dyDescent="0.25">
      <c r="A672" s="14"/>
      <c r="C672" s="68"/>
      <c r="D672" s="68"/>
      <c r="E672" s="68"/>
      <c r="F672" s="68"/>
      <c r="G672" s="68"/>
      <c r="H672" s="68"/>
      <c r="I672" s="68"/>
      <c r="J672" s="68"/>
      <c r="K672" s="68"/>
      <c r="L672" s="68"/>
      <c r="N672" s="75"/>
      <c r="O672" s="79"/>
    </row>
    <row r="673" spans="1:15" ht="12.5" x14ac:dyDescent="0.25">
      <c r="A673" s="14"/>
      <c r="C673" s="68"/>
      <c r="D673" s="68"/>
      <c r="E673" s="68"/>
      <c r="F673" s="68"/>
      <c r="G673" s="68"/>
      <c r="H673" s="68"/>
      <c r="I673" s="68"/>
      <c r="J673" s="68"/>
      <c r="K673" s="68"/>
      <c r="L673" s="68"/>
      <c r="N673" s="75"/>
      <c r="O673" s="79"/>
    </row>
    <row r="674" spans="1:15" ht="12.5" x14ac:dyDescent="0.25">
      <c r="A674" s="14"/>
      <c r="C674" s="68"/>
      <c r="D674" s="68"/>
      <c r="E674" s="68"/>
      <c r="F674" s="68"/>
      <c r="G674" s="68"/>
      <c r="H674" s="68"/>
      <c r="I674" s="68"/>
      <c r="J674" s="68"/>
      <c r="K674" s="68"/>
      <c r="L674" s="68"/>
      <c r="N674" s="75"/>
      <c r="O674" s="79"/>
    </row>
    <row r="675" spans="1:15" ht="12.5" x14ac:dyDescent="0.25">
      <c r="A675" s="14"/>
      <c r="C675" s="68"/>
      <c r="D675" s="68"/>
      <c r="E675" s="68"/>
      <c r="F675" s="68"/>
      <c r="G675" s="68"/>
      <c r="H675" s="68"/>
      <c r="I675" s="68"/>
      <c r="J675" s="68"/>
      <c r="K675" s="68"/>
      <c r="L675" s="68"/>
      <c r="N675" s="75"/>
      <c r="O675" s="79"/>
    </row>
    <row r="676" spans="1:15" ht="12.5" x14ac:dyDescent="0.25">
      <c r="A676" s="14"/>
      <c r="C676" s="68"/>
      <c r="D676" s="68"/>
      <c r="E676" s="68"/>
      <c r="F676" s="68"/>
      <c r="G676" s="68"/>
      <c r="H676" s="68"/>
      <c r="I676" s="68"/>
      <c r="J676" s="68"/>
      <c r="K676" s="68"/>
      <c r="L676" s="68"/>
      <c r="N676" s="75"/>
      <c r="O676" s="79"/>
    </row>
    <row r="677" spans="1:15" ht="12.5" x14ac:dyDescent="0.25">
      <c r="A677" s="14"/>
      <c r="C677" s="68"/>
      <c r="D677" s="68"/>
      <c r="E677" s="68"/>
      <c r="F677" s="68"/>
      <c r="G677" s="68"/>
      <c r="H677" s="68"/>
      <c r="I677" s="68"/>
      <c r="J677" s="68"/>
      <c r="K677" s="68"/>
      <c r="L677" s="68"/>
      <c r="N677" s="75"/>
      <c r="O677" s="79"/>
    </row>
    <row r="678" spans="1:15" ht="12.5" x14ac:dyDescent="0.25">
      <c r="A678" s="14"/>
      <c r="C678" s="68"/>
      <c r="D678" s="68"/>
      <c r="E678" s="68"/>
      <c r="F678" s="68"/>
      <c r="G678" s="68"/>
      <c r="H678" s="68"/>
      <c r="I678" s="68"/>
      <c r="J678" s="68"/>
      <c r="K678" s="68"/>
      <c r="L678" s="68"/>
      <c r="N678" s="75"/>
      <c r="O678" s="79"/>
    </row>
    <row r="679" spans="1:15" ht="12.5" x14ac:dyDescent="0.25">
      <c r="A679" s="14"/>
      <c r="C679" s="68"/>
      <c r="D679" s="68"/>
      <c r="E679" s="68"/>
      <c r="F679" s="68"/>
      <c r="G679" s="68"/>
      <c r="H679" s="68"/>
      <c r="I679" s="68"/>
      <c r="J679" s="68"/>
      <c r="K679" s="68"/>
      <c r="L679" s="68"/>
      <c r="N679" s="75"/>
      <c r="O679" s="79"/>
    </row>
    <row r="680" spans="1:15" ht="12.5" x14ac:dyDescent="0.25">
      <c r="A680" s="14"/>
      <c r="C680" s="68"/>
      <c r="D680" s="68"/>
      <c r="E680" s="68"/>
      <c r="F680" s="68"/>
      <c r="G680" s="68"/>
      <c r="H680" s="68"/>
      <c r="I680" s="68"/>
      <c r="J680" s="68"/>
      <c r="K680" s="68"/>
      <c r="L680" s="68"/>
      <c r="N680" s="75"/>
      <c r="O680" s="79"/>
    </row>
    <row r="681" spans="1:15" ht="12.5" x14ac:dyDescent="0.25">
      <c r="A681" s="14"/>
      <c r="C681" s="68"/>
      <c r="D681" s="68"/>
      <c r="E681" s="68"/>
      <c r="F681" s="68"/>
      <c r="G681" s="68"/>
      <c r="H681" s="68"/>
      <c r="I681" s="68"/>
      <c r="J681" s="68"/>
      <c r="K681" s="68"/>
      <c r="L681" s="68"/>
      <c r="N681" s="75"/>
      <c r="O681" s="79"/>
    </row>
    <row r="682" spans="1:15" ht="12.5" x14ac:dyDescent="0.25">
      <c r="A682" s="14"/>
      <c r="C682" s="68"/>
      <c r="D682" s="68"/>
      <c r="E682" s="68"/>
      <c r="F682" s="68"/>
      <c r="G682" s="68"/>
      <c r="H682" s="68"/>
      <c r="I682" s="68"/>
      <c r="J682" s="68"/>
      <c r="K682" s="68"/>
      <c r="L682" s="68"/>
      <c r="N682" s="75"/>
      <c r="O682" s="79"/>
    </row>
    <row r="683" spans="1:15" ht="12.5" x14ac:dyDescent="0.25">
      <c r="A683" s="14"/>
      <c r="C683" s="68"/>
      <c r="D683" s="68"/>
      <c r="E683" s="68"/>
      <c r="F683" s="68"/>
      <c r="G683" s="68"/>
      <c r="H683" s="68"/>
      <c r="I683" s="68"/>
      <c r="J683" s="68"/>
      <c r="K683" s="68"/>
      <c r="L683" s="68"/>
      <c r="N683" s="75"/>
      <c r="O683" s="79"/>
    </row>
    <row r="684" spans="1:15" ht="12.5" x14ac:dyDescent="0.25">
      <c r="A684" s="14"/>
      <c r="C684" s="68"/>
      <c r="D684" s="68"/>
      <c r="E684" s="68"/>
      <c r="F684" s="68"/>
      <c r="G684" s="68"/>
      <c r="H684" s="68"/>
      <c r="I684" s="68"/>
      <c r="J684" s="68"/>
      <c r="K684" s="68"/>
      <c r="L684" s="68"/>
      <c r="N684" s="75"/>
      <c r="O684" s="79"/>
    </row>
    <row r="685" spans="1:15" ht="12.5" x14ac:dyDescent="0.25">
      <c r="A685" s="14"/>
      <c r="C685" s="68"/>
      <c r="D685" s="68"/>
      <c r="E685" s="68"/>
      <c r="F685" s="68"/>
      <c r="G685" s="68"/>
      <c r="H685" s="68"/>
      <c r="I685" s="68"/>
      <c r="J685" s="68"/>
      <c r="K685" s="68"/>
      <c r="L685" s="68"/>
      <c r="N685" s="75"/>
      <c r="O685" s="79"/>
    </row>
    <row r="686" spans="1:15" ht="12.5" x14ac:dyDescent="0.25">
      <c r="A686" s="14"/>
      <c r="C686" s="68"/>
      <c r="D686" s="68"/>
      <c r="E686" s="68"/>
      <c r="F686" s="68"/>
      <c r="G686" s="68"/>
      <c r="H686" s="68"/>
      <c r="I686" s="68"/>
      <c r="J686" s="68"/>
      <c r="K686" s="68"/>
      <c r="L686" s="68"/>
      <c r="N686" s="75"/>
      <c r="O686" s="79"/>
    </row>
    <row r="687" spans="1:15" ht="12.5" x14ac:dyDescent="0.25">
      <c r="A687" s="14"/>
      <c r="C687" s="68"/>
      <c r="D687" s="68"/>
      <c r="E687" s="68"/>
      <c r="F687" s="68"/>
      <c r="G687" s="68"/>
      <c r="H687" s="68"/>
      <c r="I687" s="68"/>
      <c r="J687" s="68"/>
      <c r="K687" s="68"/>
      <c r="L687" s="68"/>
      <c r="N687" s="75"/>
      <c r="O687" s="79"/>
    </row>
    <row r="688" spans="1:15" ht="12.5" x14ac:dyDescent="0.25">
      <c r="A688" s="14"/>
      <c r="C688" s="68"/>
      <c r="D688" s="68"/>
      <c r="E688" s="68"/>
      <c r="F688" s="68"/>
      <c r="G688" s="68"/>
      <c r="H688" s="68"/>
      <c r="I688" s="68"/>
      <c r="J688" s="68"/>
      <c r="K688" s="68"/>
      <c r="L688" s="68"/>
      <c r="N688" s="75"/>
      <c r="O688" s="79"/>
    </row>
    <row r="689" spans="1:15" ht="12.5" x14ac:dyDescent="0.25">
      <c r="A689" s="14"/>
      <c r="C689" s="68"/>
      <c r="D689" s="68"/>
      <c r="E689" s="68"/>
      <c r="F689" s="68"/>
      <c r="G689" s="68"/>
      <c r="H689" s="68"/>
      <c r="I689" s="68"/>
      <c r="J689" s="68"/>
      <c r="K689" s="68"/>
      <c r="L689" s="68"/>
      <c r="N689" s="75"/>
      <c r="O689" s="79"/>
    </row>
    <row r="690" spans="1:15" ht="12.5" x14ac:dyDescent="0.25">
      <c r="A690" s="14"/>
      <c r="C690" s="68"/>
      <c r="D690" s="68"/>
      <c r="E690" s="68"/>
      <c r="F690" s="68"/>
      <c r="G690" s="68"/>
      <c r="H690" s="68"/>
      <c r="I690" s="68"/>
      <c r="J690" s="68"/>
      <c r="K690" s="68"/>
      <c r="L690" s="68"/>
      <c r="N690" s="75"/>
      <c r="O690" s="79"/>
    </row>
    <row r="691" spans="1:15" ht="12.5" x14ac:dyDescent="0.25">
      <c r="A691" s="14"/>
      <c r="C691" s="68"/>
      <c r="D691" s="68"/>
      <c r="E691" s="68"/>
      <c r="F691" s="68"/>
      <c r="G691" s="68"/>
      <c r="H691" s="68"/>
      <c r="I691" s="68"/>
      <c r="J691" s="68"/>
      <c r="K691" s="68"/>
      <c r="L691" s="68"/>
      <c r="N691" s="75"/>
      <c r="O691" s="79"/>
    </row>
    <row r="692" spans="1:15" ht="12.5" x14ac:dyDescent="0.25">
      <c r="A692" s="14"/>
      <c r="C692" s="68"/>
      <c r="D692" s="68"/>
      <c r="E692" s="68"/>
      <c r="F692" s="68"/>
      <c r="G692" s="68"/>
      <c r="H692" s="68"/>
      <c r="I692" s="68"/>
      <c r="J692" s="68"/>
      <c r="K692" s="68"/>
      <c r="L692" s="68"/>
      <c r="N692" s="75"/>
      <c r="O692" s="79"/>
    </row>
    <row r="693" spans="1:15" ht="12.5" x14ac:dyDescent="0.25">
      <c r="A693" s="14"/>
      <c r="C693" s="68"/>
      <c r="D693" s="68"/>
      <c r="E693" s="68"/>
      <c r="F693" s="68"/>
      <c r="G693" s="68"/>
      <c r="H693" s="68"/>
      <c r="I693" s="68"/>
      <c r="J693" s="68"/>
      <c r="K693" s="68"/>
      <c r="L693" s="68"/>
      <c r="N693" s="75"/>
      <c r="O693" s="79"/>
    </row>
    <row r="694" spans="1:15" ht="12.5" x14ac:dyDescent="0.25">
      <c r="A694" s="14"/>
      <c r="C694" s="68"/>
      <c r="D694" s="68"/>
      <c r="E694" s="68"/>
      <c r="F694" s="68"/>
      <c r="G694" s="68"/>
      <c r="H694" s="68"/>
      <c r="I694" s="68"/>
      <c r="J694" s="68"/>
      <c r="K694" s="68"/>
      <c r="L694" s="68"/>
      <c r="N694" s="75"/>
      <c r="O694" s="79"/>
    </row>
    <row r="695" spans="1:15" ht="12.5" x14ac:dyDescent="0.25">
      <c r="A695" s="14"/>
      <c r="C695" s="68"/>
      <c r="D695" s="68"/>
      <c r="E695" s="68"/>
      <c r="F695" s="68"/>
      <c r="G695" s="68"/>
      <c r="H695" s="68"/>
      <c r="I695" s="68"/>
      <c r="J695" s="68"/>
      <c r="K695" s="68"/>
      <c r="L695" s="68"/>
      <c r="N695" s="75"/>
      <c r="O695" s="79"/>
    </row>
    <row r="696" spans="1:15" ht="12.5" x14ac:dyDescent="0.25">
      <c r="A696" s="14"/>
      <c r="C696" s="68"/>
      <c r="D696" s="68"/>
      <c r="E696" s="68"/>
      <c r="F696" s="68"/>
      <c r="G696" s="68"/>
      <c r="H696" s="68"/>
      <c r="I696" s="68"/>
      <c r="J696" s="68"/>
      <c r="K696" s="68"/>
      <c r="L696" s="68"/>
      <c r="N696" s="75"/>
      <c r="O696" s="79"/>
    </row>
    <row r="697" spans="1:15" ht="12.5" x14ac:dyDescent="0.25">
      <c r="A697" s="14"/>
      <c r="C697" s="68"/>
      <c r="D697" s="68"/>
      <c r="E697" s="68"/>
      <c r="F697" s="68"/>
      <c r="G697" s="68"/>
      <c r="H697" s="68"/>
      <c r="I697" s="68"/>
      <c r="J697" s="68"/>
      <c r="K697" s="68"/>
      <c r="L697" s="68"/>
      <c r="N697" s="75"/>
      <c r="O697" s="79"/>
    </row>
    <row r="698" spans="1:15" ht="12.5" x14ac:dyDescent="0.25">
      <c r="A698" s="14"/>
      <c r="C698" s="68"/>
      <c r="D698" s="68"/>
      <c r="E698" s="68"/>
      <c r="F698" s="68"/>
      <c r="G698" s="68"/>
      <c r="H698" s="68"/>
      <c r="I698" s="68"/>
      <c r="J698" s="68"/>
      <c r="K698" s="68"/>
      <c r="L698" s="68"/>
      <c r="N698" s="75"/>
      <c r="O698" s="79"/>
    </row>
    <row r="699" spans="1:15" ht="12.5" x14ac:dyDescent="0.25">
      <c r="A699" s="14"/>
      <c r="C699" s="68"/>
      <c r="D699" s="68"/>
      <c r="E699" s="68"/>
      <c r="F699" s="68"/>
      <c r="G699" s="68"/>
      <c r="H699" s="68"/>
      <c r="I699" s="68"/>
      <c r="J699" s="68"/>
      <c r="K699" s="68"/>
      <c r="L699" s="68"/>
      <c r="N699" s="75"/>
      <c r="O699" s="79"/>
    </row>
    <row r="700" spans="1:15" ht="12.5" x14ac:dyDescent="0.25">
      <c r="A700" s="14"/>
      <c r="C700" s="68"/>
      <c r="D700" s="68"/>
      <c r="E700" s="68"/>
      <c r="F700" s="68"/>
      <c r="G700" s="68"/>
      <c r="H700" s="68"/>
      <c r="I700" s="68"/>
      <c r="J700" s="68"/>
      <c r="K700" s="68"/>
      <c r="L700" s="68"/>
      <c r="N700" s="75"/>
      <c r="O700" s="79"/>
    </row>
    <row r="701" spans="1:15" ht="12.5" x14ac:dyDescent="0.25">
      <c r="A701" s="14"/>
      <c r="C701" s="68"/>
      <c r="D701" s="68"/>
      <c r="E701" s="68"/>
      <c r="F701" s="68"/>
      <c r="G701" s="68"/>
      <c r="H701" s="68"/>
      <c r="I701" s="68"/>
      <c r="J701" s="68"/>
      <c r="K701" s="68"/>
      <c r="L701" s="68"/>
      <c r="N701" s="75"/>
      <c r="O701" s="79"/>
    </row>
    <row r="702" spans="1:15" ht="12.5" x14ac:dyDescent="0.25">
      <c r="A702" s="14"/>
      <c r="C702" s="68"/>
      <c r="D702" s="68"/>
      <c r="E702" s="68"/>
      <c r="F702" s="68"/>
      <c r="G702" s="68"/>
      <c r="H702" s="68"/>
      <c r="I702" s="68"/>
      <c r="J702" s="68"/>
      <c r="K702" s="68"/>
      <c r="L702" s="68"/>
      <c r="N702" s="75"/>
      <c r="O702" s="79"/>
    </row>
    <row r="703" spans="1:15" ht="12.5" x14ac:dyDescent="0.25">
      <c r="A703" s="14"/>
      <c r="C703" s="68"/>
      <c r="D703" s="68"/>
      <c r="E703" s="68"/>
      <c r="F703" s="68"/>
      <c r="G703" s="68"/>
      <c r="H703" s="68"/>
      <c r="I703" s="68"/>
      <c r="J703" s="68"/>
      <c r="K703" s="68"/>
      <c r="L703" s="68"/>
      <c r="N703" s="75"/>
      <c r="O703" s="79"/>
    </row>
    <row r="704" spans="1:15" ht="12.5" x14ac:dyDescent="0.25">
      <c r="A704" s="14"/>
      <c r="C704" s="68"/>
      <c r="D704" s="68"/>
      <c r="E704" s="68"/>
      <c r="F704" s="68"/>
      <c r="G704" s="68"/>
      <c r="H704" s="68"/>
      <c r="I704" s="68"/>
      <c r="J704" s="68"/>
      <c r="K704" s="68"/>
      <c r="L704" s="68"/>
      <c r="N704" s="75"/>
      <c r="O704" s="79"/>
    </row>
    <row r="705" spans="1:15" ht="12.5" x14ac:dyDescent="0.25">
      <c r="A705" s="14"/>
      <c r="C705" s="68"/>
      <c r="D705" s="68"/>
      <c r="E705" s="68"/>
      <c r="F705" s="68"/>
      <c r="G705" s="68"/>
      <c r="H705" s="68"/>
      <c r="I705" s="68"/>
      <c r="J705" s="68"/>
      <c r="K705" s="68"/>
      <c r="L705" s="68"/>
      <c r="N705" s="75"/>
      <c r="O705" s="79"/>
    </row>
    <row r="706" spans="1:15" ht="12.5" x14ac:dyDescent="0.25">
      <c r="A706" s="14"/>
      <c r="C706" s="68"/>
      <c r="D706" s="68"/>
      <c r="E706" s="68"/>
      <c r="F706" s="68"/>
      <c r="G706" s="68"/>
      <c r="H706" s="68"/>
      <c r="I706" s="68"/>
      <c r="J706" s="68"/>
      <c r="K706" s="68"/>
      <c r="L706" s="68"/>
      <c r="N706" s="75"/>
      <c r="O706" s="79"/>
    </row>
    <row r="707" spans="1:15" ht="12.5" x14ac:dyDescent="0.25">
      <c r="A707" s="14"/>
      <c r="C707" s="68"/>
      <c r="D707" s="68"/>
      <c r="E707" s="68"/>
      <c r="F707" s="68"/>
      <c r="G707" s="68"/>
      <c r="H707" s="68"/>
      <c r="I707" s="68"/>
      <c r="J707" s="68"/>
      <c r="K707" s="68"/>
      <c r="L707" s="68"/>
      <c r="N707" s="75"/>
      <c r="O707" s="79"/>
    </row>
    <row r="708" spans="1:15" ht="12.5" x14ac:dyDescent="0.25">
      <c r="A708" s="14"/>
      <c r="C708" s="68"/>
      <c r="D708" s="68"/>
      <c r="E708" s="68"/>
      <c r="F708" s="68"/>
      <c r="G708" s="68"/>
      <c r="H708" s="68"/>
      <c r="I708" s="68"/>
      <c r="J708" s="68"/>
      <c r="K708" s="68"/>
      <c r="L708" s="68"/>
      <c r="N708" s="75"/>
      <c r="O708" s="79"/>
    </row>
    <row r="709" spans="1:15" ht="12.5" x14ac:dyDescent="0.25">
      <c r="A709" s="14"/>
      <c r="C709" s="68"/>
      <c r="D709" s="68"/>
      <c r="E709" s="68"/>
      <c r="F709" s="68"/>
      <c r="G709" s="68"/>
      <c r="H709" s="68"/>
      <c r="I709" s="68"/>
      <c r="J709" s="68"/>
      <c r="K709" s="68"/>
      <c r="L709" s="68"/>
      <c r="N709" s="75"/>
      <c r="O709" s="79"/>
    </row>
    <row r="710" spans="1:15" ht="12.5" x14ac:dyDescent="0.25">
      <c r="A710" s="14"/>
      <c r="C710" s="68"/>
      <c r="D710" s="68"/>
      <c r="E710" s="68"/>
      <c r="F710" s="68"/>
      <c r="G710" s="68"/>
      <c r="H710" s="68"/>
      <c r="I710" s="68"/>
      <c r="J710" s="68"/>
      <c r="K710" s="68"/>
      <c r="L710" s="68"/>
      <c r="N710" s="75"/>
      <c r="O710" s="79"/>
    </row>
    <row r="711" spans="1:15" ht="12.5" x14ac:dyDescent="0.25">
      <c r="A711" s="14"/>
      <c r="C711" s="68"/>
      <c r="D711" s="68"/>
      <c r="E711" s="68"/>
      <c r="F711" s="68"/>
      <c r="G711" s="68"/>
      <c r="H711" s="68"/>
      <c r="I711" s="68"/>
      <c r="J711" s="68"/>
      <c r="K711" s="68"/>
      <c r="L711" s="68"/>
      <c r="N711" s="75"/>
      <c r="O711" s="79"/>
    </row>
    <row r="712" spans="1:15" ht="12.5" x14ac:dyDescent="0.25">
      <c r="A712" s="14"/>
      <c r="C712" s="68"/>
      <c r="D712" s="68"/>
      <c r="E712" s="68"/>
      <c r="F712" s="68"/>
      <c r="G712" s="68"/>
      <c r="H712" s="68"/>
      <c r="I712" s="68"/>
      <c r="J712" s="68"/>
      <c r="K712" s="68"/>
      <c r="L712" s="68"/>
      <c r="N712" s="75"/>
      <c r="O712" s="79"/>
    </row>
    <row r="713" spans="1:15" ht="12.5" x14ac:dyDescent="0.25">
      <c r="A713" s="14"/>
      <c r="C713" s="68"/>
      <c r="D713" s="68"/>
      <c r="E713" s="68"/>
      <c r="F713" s="68"/>
      <c r="G713" s="68"/>
      <c r="H713" s="68"/>
      <c r="I713" s="68"/>
      <c r="J713" s="68"/>
      <c r="K713" s="68"/>
      <c r="L713" s="68"/>
      <c r="N713" s="75"/>
      <c r="O713" s="79"/>
    </row>
    <row r="714" spans="1:15" ht="12.5" x14ac:dyDescent="0.25">
      <c r="A714" s="14"/>
      <c r="C714" s="68"/>
      <c r="D714" s="68"/>
      <c r="E714" s="68"/>
      <c r="F714" s="68"/>
      <c r="G714" s="68"/>
      <c r="H714" s="68"/>
      <c r="I714" s="68"/>
      <c r="J714" s="68"/>
      <c r="K714" s="68"/>
      <c r="L714" s="68"/>
      <c r="N714" s="75"/>
      <c r="O714" s="79"/>
    </row>
    <row r="715" spans="1:15" ht="12.5" x14ac:dyDescent="0.25">
      <c r="A715" s="14"/>
      <c r="C715" s="68"/>
      <c r="D715" s="68"/>
      <c r="E715" s="68"/>
      <c r="F715" s="68"/>
      <c r="G715" s="68"/>
      <c r="H715" s="68"/>
      <c r="I715" s="68"/>
      <c r="J715" s="68"/>
      <c r="K715" s="68"/>
      <c r="L715" s="68"/>
      <c r="N715" s="75"/>
      <c r="O715" s="79"/>
    </row>
    <row r="716" spans="1:15" ht="12.5" x14ac:dyDescent="0.25">
      <c r="A716" s="14"/>
      <c r="C716" s="68"/>
      <c r="D716" s="68"/>
      <c r="E716" s="68"/>
      <c r="F716" s="68"/>
      <c r="G716" s="68"/>
      <c r="H716" s="68"/>
      <c r="I716" s="68"/>
      <c r="J716" s="68"/>
      <c r="K716" s="68"/>
      <c r="L716" s="68"/>
      <c r="N716" s="75"/>
      <c r="O716" s="79"/>
    </row>
    <row r="717" spans="1:15" ht="12.5" x14ac:dyDescent="0.25">
      <c r="A717" s="14"/>
      <c r="C717" s="68"/>
      <c r="D717" s="68"/>
      <c r="E717" s="68"/>
      <c r="F717" s="68"/>
      <c r="G717" s="68"/>
      <c r="H717" s="68"/>
      <c r="I717" s="68"/>
      <c r="J717" s="68"/>
      <c r="K717" s="68"/>
      <c r="L717" s="68"/>
      <c r="N717" s="75"/>
      <c r="O717" s="79"/>
    </row>
    <row r="718" spans="1:15" ht="12.5" x14ac:dyDescent="0.25">
      <c r="A718" s="14"/>
      <c r="C718" s="68"/>
      <c r="D718" s="68"/>
      <c r="E718" s="68"/>
      <c r="F718" s="68"/>
      <c r="G718" s="68"/>
      <c r="H718" s="68"/>
      <c r="I718" s="68"/>
      <c r="J718" s="68"/>
      <c r="K718" s="68"/>
      <c r="L718" s="68"/>
      <c r="N718" s="75"/>
      <c r="O718" s="79"/>
    </row>
    <row r="719" spans="1:15" ht="12.5" x14ac:dyDescent="0.25">
      <c r="A719" s="14"/>
      <c r="C719" s="68"/>
      <c r="D719" s="68"/>
      <c r="E719" s="68"/>
      <c r="F719" s="68"/>
      <c r="G719" s="68"/>
      <c r="H719" s="68"/>
      <c r="I719" s="68"/>
      <c r="J719" s="68"/>
      <c r="K719" s="68"/>
      <c r="L719" s="68"/>
      <c r="N719" s="75"/>
      <c r="O719" s="79"/>
    </row>
    <row r="720" spans="1:15" ht="12.5" x14ac:dyDescent="0.25">
      <c r="A720" s="14"/>
      <c r="C720" s="68"/>
      <c r="D720" s="68"/>
      <c r="E720" s="68"/>
      <c r="F720" s="68"/>
      <c r="G720" s="68"/>
      <c r="H720" s="68"/>
      <c r="I720" s="68"/>
      <c r="J720" s="68"/>
      <c r="K720" s="68"/>
      <c r="L720" s="68"/>
      <c r="N720" s="75"/>
      <c r="O720" s="79"/>
    </row>
    <row r="721" spans="1:15" ht="12.5" x14ac:dyDescent="0.25">
      <c r="A721" s="14"/>
      <c r="C721" s="68"/>
      <c r="D721" s="68"/>
      <c r="E721" s="68"/>
      <c r="F721" s="68"/>
      <c r="G721" s="68"/>
      <c r="H721" s="68"/>
      <c r="I721" s="68"/>
      <c r="J721" s="68"/>
      <c r="K721" s="68"/>
      <c r="L721" s="68"/>
      <c r="N721" s="75"/>
      <c r="O721" s="79"/>
    </row>
    <row r="722" spans="1:15" ht="12.5" x14ac:dyDescent="0.25">
      <c r="A722" s="14"/>
      <c r="C722" s="68"/>
      <c r="D722" s="68"/>
      <c r="E722" s="68"/>
      <c r="F722" s="68"/>
      <c r="G722" s="68"/>
      <c r="H722" s="68"/>
      <c r="I722" s="68"/>
      <c r="J722" s="68"/>
      <c r="K722" s="68"/>
      <c r="L722" s="68"/>
      <c r="N722" s="75"/>
      <c r="O722" s="79"/>
    </row>
    <row r="723" spans="1:15" ht="12.5" x14ac:dyDescent="0.25">
      <c r="A723" s="14"/>
      <c r="C723" s="68"/>
      <c r="D723" s="68"/>
      <c r="E723" s="68"/>
      <c r="F723" s="68"/>
      <c r="G723" s="68"/>
      <c r="H723" s="68"/>
      <c r="I723" s="68"/>
      <c r="J723" s="68"/>
      <c r="K723" s="68"/>
      <c r="L723" s="68"/>
      <c r="N723" s="75"/>
      <c r="O723" s="79"/>
    </row>
    <row r="724" spans="1:15" ht="12.5" x14ac:dyDescent="0.25">
      <c r="A724" s="14"/>
      <c r="C724" s="68"/>
      <c r="D724" s="68"/>
      <c r="E724" s="68"/>
      <c r="F724" s="68"/>
      <c r="G724" s="68"/>
      <c r="H724" s="68"/>
      <c r="I724" s="68"/>
      <c r="J724" s="68"/>
      <c r="K724" s="68"/>
      <c r="L724" s="68"/>
      <c r="N724" s="75"/>
      <c r="O724" s="79"/>
    </row>
    <row r="725" spans="1:15" ht="12.5" x14ac:dyDescent="0.25">
      <c r="A725" s="14"/>
      <c r="C725" s="68"/>
      <c r="D725" s="68"/>
      <c r="E725" s="68"/>
      <c r="F725" s="68"/>
      <c r="G725" s="68"/>
      <c r="H725" s="68"/>
      <c r="I725" s="68"/>
      <c r="J725" s="68"/>
      <c r="K725" s="68"/>
      <c r="L725" s="68"/>
      <c r="N725" s="75"/>
      <c r="O725" s="79"/>
    </row>
    <row r="726" spans="1:15" ht="12.5" x14ac:dyDescent="0.25">
      <c r="A726" s="14"/>
      <c r="C726" s="68"/>
      <c r="D726" s="68"/>
      <c r="E726" s="68"/>
      <c r="F726" s="68"/>
      <c r="G726" s="68"/>
      <c r="H726" s="68"/>
      <c r="I726" s="68"/>
      <c r="J726" s="68"/>
      <c r="K726" s="68"/>
      <c r="L726" s="68"/>
      <c r="N726" s="75"/>
      <c r="O726" s="79"/>
    </row>
    <row r="727" spans="1:15" ht="12.5" x14ac:dyDescent="0.25">
      <c r="A727" s="14"/>
      <c r="C727" s="68"/>
      <c r="D727" s="68"/>
      <c r="E727" s="68"/>
      <c r="F727" s="68"/>
      <c r="G727" s="68"/>
      <c r="H727" s="68"/>
      <c r="I727" s="68"/>
      <c r="J727" s="68"/>
      <c r="K727" s="68"/>
      <c r="L727" s="68"/>
      <c r="N727" s="75"/>
      <c r="O727" s="79"/>
    </row>
    <row r="728" spans="1:15" ht="12.5" x14ac:dyDescent="0.25">
      <c r="A728" s="14"/>
      <c r="C728" s="68"/>
      <c r="D728" s="68"/>
      <c r="E728" s="68"/>
      <c r="F728" s="68"/>
      <c r="G728" s="68"/>
      <c r="H728" s="68"/>
      <c r="I728" s="68"/>
      <c r="J728" s="68"/>
      <c r="K728" s="68"/>
      <c r="L728" s="68"/>
      <c r="N728" s="75"/>
      <c r="O728" s="79"/>
    </row>
    <row r="729" spans="1:15" ht="12.5" x14ac:dyDescent="0.25">
      <c r="A729" s="14"/>
      <c r="C729" s="68"/>
      <c r="D729" s="68"/>
      <c r="E729" s="68"/>
      <c r="F729" s="68"/>
      <c r="G729" s="68"/>
      <c r="H729" s="68"/>
      <c r="I729" s="68"/>
      <c r="J729" s="68"/>
      <c r="K729" s="68"/>
      <c r="L729" s="68"/>
      <c r="N729" s="75"/>
      <c r="O729" s="79"/>
    </row>
    <row r="730" spans="1:15" ht="12.5" x14ac:dyDescent="0.25">
      <c r="A730" s="14"/>
      <c r="C730" s="68"/>
      <c r="D730" s="68"/>
      <c r="E730" s="68"/>
      <c r="F730" s="68"/>
      <c r="G730" s="68"/>
      <c r="H730" s="68"/>
      <c r="I730" s="68"/>
      <c r="J730" s="68"/>
      <c r="K730" s="68"/>
      <c r="L730" s="68"/>
      <c r="N730" s="75"/>
      <c r="O730" s="79"/>
    </row>
    <row r="731" spans="1:15" ht="12.5" x14ac:dyDescent="0.25">
      <c r="A731" s="14"/>
      <c r="C731" s="68"/>
      <c r="D731" s="68"/>
      <c r="E731" s="68"/>
      <c r="F731" s="68"/>
      <c r="G731" s="68"/>
      <c r="H731" s="68"/>
      <c r="I731" s="68"/>
      <c r="J731" s="68"/>
      <c r="K731" s="68"/>
      <c r="L731" s="68"/>
      <c r="N731" s="75"/>
      <c r="O731" s="79"/>
    </row>
    <row r="732" spans="1:15" ht="12.5" x14ac:dyDescent="0.25">
      <c r="A732" s="14"/>
      <c r="C732" s="68"/>
      <c r="D732" s="68"/>
      <c r="E732" s="68"/>
      <c r="F732" s="68"/>
      <c r="G732" s="68"/>
      <c r="H732" s="68"/>
      <c r="I732" s="68"/>
      <c r="J732" s="68"/>
      <c r="K732" s="68"/>
      <c r="L732" s="68"/>
      <c r="N732" s="75"/>
      <c r="O732" s="79"/>
    </row>
    <row r="733" spans="1:15" ht="12.5" x14ac:dyDescent="0.25">
      <c r="A733" s="14"/>
      <c r="C733" s="68"/>
      <c r="D733" s="68"/>
      <c r="E733" s="68"/>
      <c r="F733" s="68"/>
      <c r="G733" s="68"/>
      <c r="H733" s="68"/>
      <c r="I733" s="68"/>
      <c r="J733" s="68"/>
      <c r="K733" s="68"/>
      <c r="L733" s="68"/>
      <c r="N733" s="75"/>
      <c r="O733" s="79"/>
    </row>
    <row r="734" spans="1:15" ht="12.5" x14ac:dyDescent="0.25">
      <c r="A734" s="14"/>
      <c r="C734" s="68"/>
      <c r="D734" s="68"/>
      <c r="E734" s="68"/>
      <c r="F734" s="68"/>
      <c r="G734" s="68"/>
      <c r="H734" s="68"/>
      <c r="I734" s="68"/>
      <c r="J734" s="68"/>
      <c r="K734" s="68"/>
      <c r="L734" s="68"/>
      <c r="N734" s="75"/>
      <c r="O734" s="79"/>
    </row>
    <row r="735" spans="1:15" ht="12.5" x14ac:dyDescent="0.25">
      <c r="A735" s="14"/>
      <c r="C735" s="68"/>
      <c r="D735" s="68"/>
      <c r="E735" s="68"/>
      <c r="F735" s="68"/>
      <c r="G735" s="68"/>
      <c r="H735" s="68"/>
      <c r="I735" s="68"/>
      <c r="J735" s="68"/>
      <c r="K735" s="68"/>
      <c r="L735" s="68"/>
      <c r="N735" s="75"/>
      <c r="O735" s="79"/>
    </row>
    <row r="736" spans="1:15" ht="12.5" x14ac:dyDescent="0.25">
      <c r="A736" s="14"/>
      <c r="C736" s="68"/>
      <c r="D736" s="68"/>
      <c r="E736" s="68"/>
      <c r="F736" s="68"/>
      <c r="G736" s="68"/>
      <c r="H736" s="68"/>
      <c r="I736" s="68"/>
      <c r="J736" s="68"/>
      <c r="K736" s="68"/>
      <c r="L736" s="68"/>
      <c r="N736" s="75"/>
      <c r="O736" s="79"/>
    </row>
    <row r="737" spans="1:15" ht="12.5" x14ac:dyDescent="0.25">
      <c r="A737" s="14"/>
      <c r="C737" s="68"/>
      <c r="D737" s="68"/>
      <c r="E737" s="68"/>
      <c r="F737" s="68"/>
      <c r="G737" s="68"/>
      <c r="H737" s="68"/>
      <c r="I737" s="68"/>
      <c r="J737" s="68"/>
      <c r="K737" s="68"/>
      <c r="L737" s="68"/>
      <c r="N737" s="75"/>
      <c r="O737" s="79"/>
    </row>
    <row r="738" spans="1:15" ht="12.5" x14ac:dyDescent="0.25">
      <c r="A738" s="14"/>
      <c r="C738" s="68"/>
      <c r="D738" s="68"/>
      <c r="E738" s="68"/>
      <c r="F738" s="68"/>
      <c r="G738" s="68"/>
      <c r="H738" s="68"/>
      <c r="I738" s="68"/>
      <c r="J738" s="68"/>
      <c r="K738" s="68"/>
      <c r="L738" s="68"/>
      <c r="N738" s="75"/>
      <c r="O738" s="79"/>
    </row>
    <row r="739" spans="1:15" ht="12.5" x14ac:dyDescent="0.25">
      <c r="A739" s="14"/>
      <c r="C739" s="68"/>
      <c r="D739" s="68"/>
      <c r="E739" s="68"/>
      <c r="F739" s="68"/>
      <c r="G739" s="68"/>
      <c r="H739" s="68"/>
      <c r="I739" s="68"/>
      <c r="J739" s="68"/>
      <c r="K739" s="68"/>
      <c r="L739" s="68"/>
      <c r="N739" s="75"/>
      <c r="O739" s="79"/>
    </row>
    <row r="740" spans="1:15" ht="12.5" x14ac:dyDescent="0.25">
      <c r="A740" s="14"/>
      <c r="C740" s="68"/>
      <c r="D740" s="68"/>
      <c r="E740" s="68"/>
      <c r="F740" s="68"/>
      <c r="G740" s="68"/>
      <c r="H740" s="68"/>
      <c r="I740" s="68"/>
      <c r="J740" s="68"/>
      <c r="K740" s="68"/>
      <c r="L740" s="68"/>
      <c r="N740" s="75"/>
      <c r="O740" s="79"/>
    </row>
    <row r="741" spans="1:15" ht="12.5" x14ac:dyDescent="0.25">
      <c r="A741" s="14"/>
      <c r="C741" s="68"/>
      <c r="D741" s="68"/>
      <c r="E741" s="68"/>
      <c r="F741" s="68"/>
      <c r="G741" s="68"/>
      <c r="H741" s="68"/>
      <c r="I741" s="68"/>
      <c r="J741" s="68"/>
      <c r="K741" s="68"/>
      <c r="L741" s="68"/>
      <c r="N741" s="75"/>
      <c r="O741" s="79"/>
    </row>
    <row r="742" spans="1:15" ht="12.5" x14ac:dyDescent="0.25">
      <c r="A742" s="14"/>
      <c r="C742" s="68"/>
      <c r="D742" s="68"/>
      <c r="E742" s="68"/>
      <c r="F742" s="68"/>
      <c r="G742" s="68"/>
      <c r="H742" s="68"/>
      <c r="I742" s="68"/>
      <c r="J742" s="68"/>
      <c r="K742" s="68"/>
      <c r="L742" s="68"/>
      <c r="N742" s="75"/>
      <c r="O742" s="79"/>
    </row>
    <row r="743" spans="1:15" ht="12.5" x14ac:dyDescent="0.25">
      <c r="A743" s="14"/>
      <c r="C743" s="68"/>
      <c r="D743" s="68"/>
      <c r="E743" s="68"/>
      <c r="F743" s="68"/>
      <c r="G743" s="68"/>
      <c r="H743" s="68"/>
      <c r="I743" s="68"/>
      <c r="J743" s="68"/>
      <c r="K743" s="68"/>
      <c r="L743" s="68"/>
      <c r="N743" s="75"/>
      <c r="O743" s="79"/>
    </row>
    <row r="744" spans="1:15" ht="12.5" x14ac:dyDescent="0.25">
      <c r="A744" s="14"/>
      <c r="C744" s="68"/>
      <c r="D744" s="68"/>
      <c r="E744" s="68"/>
      <c r="F744" s="68"/>
      <c r="G744" s="68"/>
      <c r="H744" s="68"/>
      <c r="I744" s="68"/>
      <c r="J744" s="68"/>
      <c r="K744" s="68"/>
      <c r="L744" s="68"/>
      <c r="N744" s="75"/>
      <c r="O744" s="79"/>
    </row>
    <row r="745" spans="1:15" ht="12.5" x14ac:dyDescent="0.25">
      <c r="A745" s="14"/>
      <c r="C745" s="68"/>
      <c r="D745" s="68"/>
      <c r="E745" s="68"/>
      <c r="F745" s="68"/>
      <c r="G745" s="68"/>
      <c r="H745" s="68"/>
      <c r="I745" s="68"/>
      <c r="J745" s="68"/>
      <c r="K745" s="68"/>
      <c r="L745" s="68"/>
      <c r="N745" s="75"/>
      <c r="O745" s="79"/>
    </row>
    <row r="746" spans="1:15" ht="12.5" x14ac:dyDescent="0.25">
      <c r="A746" s="14"/>
      <c r="C746" s="68"/>
      <c r="D746" s="68"/>
      <c r="E746" s="68"/>
      <c r="F746" s="68"/>
      <c r="G746" s="68"/>
      <c r="H746" s="68"/>
      <c r="I746" s="68"/>
      <c r="J746" s="68"/>
      <c r="K746" s="68"/>
      <c r="L746" s="68"/>
      <c r="N746" s="75"/>
      <c r="O746" s="79"/>
    </row>
    <row r="747" spans="1:15" ht="12.5" x14ac:dyDescent="0.25">
      <c r="A747" s="14"/>
      <c r="C747" s="68"/>
      <c r="D747" s="68"/>
      <c r="E747" s="68"/>
      <c r="F747" s="68"/>
      <c r="G747" s="68"/>
      <c r="H747" s="68"/>
      <c r="I747" s="68"/>
      <c r="J747" s="68"/>
      <c r="K747" s="68"/>
      <c r="L747" s="68"/>
      <c r="N747" s="75"/>
      <c r="O747" s="79"/>
    </row>
    <row r="748" spans="1:15" ht="12.5" x14ac:dyDescent="0.25">
      <c r="A748" s="14"/>
      <c r="C748" s="68"/>
      <c r="D748" s="68"/>
      <c r="E748" s="68"/>
      <c r="F748" s="68"/>
      <c r="G748" s="68"/>
      <c r="H748" s="68"/>
      <c r="I748" s="68"/>
      <c r="J748" s="68"/>
      <c r="K748" s="68"/>
      <c r="L748" s="68"/>
      <c r="N748" s="75"/>
      <c r="O748" s="79"/>
    </row>
    <row r="749" spans="1:15" ht="12.5" x14ac:dyDescent="0.25">
      <c r="A749" s="14"/>
      <c r="C749" s="68"/>
      <c r="D749" s="68"/>
      <c r="E749" s="68"/>
      <c r="F749" s="68"/>
      <c r="G749" s="68"/>
      <c r="H749" s="68"/>
      <c r="I749" s="68"/>
      <c r="J749" s="68"/>
      <c r="K749" s="68"/>
      <c r="L749" s="68"/>
      <c r="N749" s="75"/>
      <c r="O749" s="79"/>
    </row>
    <row r="750" spans="1:15" ht="12.5" x14ac:dyDescent="0.25">
      <c r="A750" s="14"/>
      <c r="C750" s="68"/>
      <c r="D750" s="68"/>
      <c r="E750" s="68"/>
      <c r="F750" s="68"/>
      <c r="G750" s="68"/>
      <c r="H750" s="68"/>
      <c r="I750" s="68"/>
      <c r="J750" s="68"/>
      <c r="K750" s="68"/>
      <c r="L750" s="68"/>
      <c r="N750" s="75"/>
      <c r="O750" s="79"/>
    </row>
    <row r="751" spans="1:15" ht="12.5" x14ac:dyDescent="0.25">
      <c r="A751" s="14"/>
      <c r="C751" s="68"/>
      <c r="D751" s="68"/>
      <c r="E751" s="68"/>
      <c r="F751" s="68"/>
      <c r="G751" s="68"/>
      <c r="H751" s="68"/>
      <c r="I751" s="68"/>
      <c r="J751" s="68"/>
      <c r="K751" s="68"/>
      <c r="L751" s="68"/>
      <c r="N751" s="75"/>
      <c r="O751" s="79"/>
    </row>
    <row r="752" spans="1:15" ht="12.5" x14ac:dyDescent="0.25">
      <c r="A752" s="14"/>
      <c r="C752" s="68"/>
      <c r="D752" s="68"/>
      <c r="E752" s="68"/>
      <c r="F752" s="68"/>
      <c r="G752" s="68"/>
      <c r="H752" s="68"/>
      <c r="I752" s="68"/>
      <c r="J752" s="68"/>
      <c r="K752" s="68"/>
      <c r="L752" s="68"/>
      <c r="N752" s="75"/>
      <c r="O752" s="79"/>
    </row>
    <row r="753" spans="1:15" ht="12.5" x14ac:dyDescent="0.25">
      <c r="A753" s="14"/>
      <c r="C753" s="68"/>
      <c r="D753" s="68"/>
      <c r="E753" s="68"/>
      <c r="F753" s="68"/>
      <c r="G753" s="68"/>
      <c r="H753" s="68"/>
      <c r="I753" s="68"/>
      <c r="J753" s="68"/>
      <c r="K753" s="68"/>
      <c r="L753" s="68"/>
      <c r="N753" s="75"/>
      <c r="O753" s="79"/>
    </row>
    <row r="754" spans="1:15" ht="12.5" x14ac:dyDescent="0.25">
      <c r="A754" s="14"/>
      <c r="C754" s="68"/>
      <c r="D754" s="68"/>
      <c r="E754" s="68"/>
      <c r="F754" s="68"/>
      <c r="G754" s="68"/>
      <c r="H754" s="68"/>
      <c r="I754" s="68"/>
      <c r="J754" s="68"/>
      <c r="K754" s="68"/>
      <c r="L754" s="68"/>
      <c r="N754" s="75"/>
      <c r="O754" s="79"/>
    </row>
    <row r="755" spans="1:15" ht="12.5" x14ac:dyDescent="0.25">
      <c r="A755" s="14"/>
      <c r="C755" s="68"/>
      <c r="D755" s="68"/>
      <c r="E755" s="68"/>
      <c r="F755" s="68"/>
      <c r="G755" s="68"/>
      <c r="H755" s="68"/>
      <c r="I755" s="68"/>
      <c r="J755" s="68"/>
      <c r="K755" s="68"/>
      <c r="L755" s="68"/>
      <c r="N755" s="75"/>
      <c r="O755" s="79"/>
    </row>
    <row r="756" spans="1:15" ht="12.5" x14ac:dyDescent="0.25">
      <c r="A756" s="14"/>
      <c r="C756" s="68"/>
      <c r="D756" s="68"/>
      <c r="E756" s="68"/>
      <c r="F756" s="68"/>
      <c r="G756" s="68"/>
      <c r="H756" s="68"/>
      <c r="I756" s="68"/>
      <c r="J756" s="68"/>
      <c r="K756" s="68"/>
      <c r="L756" s="68"/>
      <c r="N756" s="75"/>
      <c r="O756" s="79"/>
    </row>
    <row r="757" spans="1:15" ht="12.5" x14ac:dyDescent="0.25">
      <c r="A757" s="14"/>
      <c r="C757" s="68"/>
      <c r="D757" s="68"/>
      <c r="E757" s="68"/>
      <c r="F757" s="68"/>
      <c r="G757" s="68"/>
      <c r="H757" s="68"/>
      <c r="I757" s="68"/>
      <c r="J757" s="68"/>
      <c r="K757" s="68"/>
      <c r="L757" s="68"/>
      <c r="N757" s="75"/>
      <c r="O757" s="79"/>
    </row>
    <row r="758" spans="1:15" ht="12.5" x14ac:dyDescent="0.25">
      <c r="A758" s="14"/>
      <c r="C758" s="68"/>
      <c r="D758" s="68"/>
      <c r="E758" s="68"/>
      <c r="F758" s="68"/>
      <c r="G758" s="68"/>
      <c r="H758" s="68"/>
      <c r="I758" s="68"/>
      <c r="J758" s="68"/>
      <c r="K758" s="68"/>
      <c r="L758" s="68"/>
      <c r="N758" s="75"/>
      <c r="O758" s="79"/>
    </row>
    <row r="759" spans="1:15" ht="12.5" x14ac:dyDescent="0.25">
      <c r="A759" s="14"/>
      <c r="C759" s="68"/>
      <c r="D759" s="68"/>
      <c r="E759" s="68"/>
      <c r="F759" s="68"/>
      <c r="G759" s="68"/>
      <c r="H759" s="68"/>
      <c r="I759" s="68"/>
      <c r="J759" s="68"/>
      <c r="K759" s="68"/>
      <c r="L759" s="68"/>
      <c r="N759" s="75"/>
      <c r="O759" s="79"/>
    </row>
    <row r="760" spans="1:15" ht="12.5" x14ac:dyDescent="0.25">
      <c r="A760" s="14"/>
      <c r="C760" s="68"/>
      <c r="D760" s="68"/>
      <c r="E760" s="68"/>
      <c r="F760" s="68"/>
      <c r="G760" s="68"/>
      <c r="H760" s="68"/>
      <c r="I760" s="68"/>
      <c r="J760" s="68"/>
      <c r="K760" s="68"/>
      <c r="L760" s="68"/>
      <c r="N760" s="75"/>
      <c r="O760" s="79"/>
    </row>
    <row r="761" spans="1:15" ht="12.5" x14ac:dyDescent="0.25">
      <c r="A761" s="14"/>
      <c r="C761" s="68"/>
      <c r="D761" s="68"/>
      <c r="E761" s="68"/>
      <c r="F761" s="68"/>
      <c r="G761" s="68"/>
      <c r="H761" s="68"/>
      <c r="I761" s="68"/>
      <c r="J761" s="68"/>
      <c r="K761" s="68"/>
      <c r="L761" s="68"/>
      <c r="N761" s="75"/>
      <c r="O761" s="79"/>
    </row>
    <row r="762" spans="1:15" ht="12.5" x14ac:dyDescent="0.25">
      <c r="A762" s="14"/>
      <c r="C762" s="68"/>
      <c r="D762" s="68"/>
      <c r="E762" s="68"/>
      <c r="F762" s="68"/>
      <c r="G762" s="68"/>
      <c r="H762" s="68"/>
      <c r="I762" s="68"/>
      <c r="J762" s="68"/>
      <c r="K762" s="68"/>
      <c r="L762" s="68"/>
      <c r="N762" s="75"/>
      <c r="O762" s="79"/>
    </row>
    <row r="763" spans="1:15" ht="12.5" x14ac:dyDescent="0.25">
      <c r="A763" s="14"/>
      <c r="C763" s="68"/>
      <c r="D763" s="68"/>
      <c r="E763" s="68"/>
      <c r="F763" s="68"/>
      <c r="G763" s="68"/>
      <c r="H763" s="68"/>
      <c r="I763" s="68"/>
      <c r="J763" s="68"/>
      <c r="K763" s="68"/>
      <c r="L763" s="68"/>
      <c r="N763" s="75"/>
      <c r="O763" s="79"/>
    </row>
    <row r="764" spans="1:15" ht="12.5" x14ac:dyDescent="0.25">
      <c r="A764" s="14"/>
      <c r="C764" s="68"/>
      <c r="D764" s="68"/>
      <c r="E764" s="68"/>
      <c r="F764" s="68"/>
      <c r="G764" s="68"/>
      <c r="H764" s="68"/>
      <c r="I764" s="68"/>
      <c r="J764" s="68"/>
      <c r="K764" s="68"/>
      <c r="L764" s="68"/>
      <c r="N764" s="75"/>
      <c r="O764" s="79"/>
    </row>
    <row r="765" spans="1:15" ht="12.5" x14ac:dyDescent="0.25">
      <c r="A765" s="14"/>
      <c r="C765" s="68"/>
      <c r="D765" s="68"/>
      <c r="E765" s="68"/>
      <c r="F765" s="68"/>
      <c r="G765" s="68"/>
      <c r="H765" s="68"/>
      <c r="I765" s="68"/>
      <c r="J765" s="68"/>
      <c r="K765" s="68"/>
      <c r="L765" s="68"/>
      <c r="N765" s="75"/>
      <c r="O765" s="79"/>
    </row>
    <row r="766" spans="1:15" ht="12.5" x14ac:dyDescent="0.25">
      <c r="A766" s="14"/>
      <c r="C766" s="68"/>
      <c r="D766" s="68"/>
      <c r="E766" s="68"/>
      <c r="F766" s="68"/>
      <c r="G766" s="68"/>
      <c r="H766" s="68"/>
      <c r="I766" s="68"/>
      <c r="J766" s="68"/>
      <c r="K766" s="68"/>
      <c r="L766" s="68"/>
      <c r="N766" s="75"/>
      <c r="O766" s="79"/>
    </row>
    <row r="767" spans="1:15" ht="12.5" x14ac:dyDescent="0.25">
      <c r="A767" s="14"/>
      <c r="C767" s="68"/>
      <c r="D767" s="68"/>
      <c r="E767" s="68"/>
      <c r="F767" s="68"/>
      <c r="G767" s="68"/>
      <c r="H767" s="68"/>
      <c r="I767" s="68"/>
      <c r="J767" s="68"/>
      <c r="K767" s="68"/>
      <c r="L767" s="68"/>
      <c r="N767" s="75"/>
      <c r="O767" s="79"/>
    </row>
    <row r="768" spans="1:15" ht="12.5" x14ac:dyDescent="0.25">
      <c r="A768" s="14"/>
      <c r="C768" s="68"/>
      <c r="D768" s="68"/>
      <c r="E768" s="68"/>
      <c r="F768" s="68"/>
      <c r="G768" s="68"/>
      <c r="H768" s="68"/>
      <c r="I768" s="68"/>
      <c r="J768" s="68"/>
      <c r="K768" s="68"/>
      <c r="L768" s="68"/>
      <c r="N768" s="75"/>
      <c r="O768" s="79"/>
    </row>
    <row r="769" spans="1:15" ht="12.5" x14ac:dyDescent="0.25">
      <c r="A769" s="14"/>
      <c r="C769" s="68"/>
      <c r="D769" s="68"/>
      <c r="E769" s="68"/>
      <c r="F769" s="68"/>
      <c r="G769" s="68"/>
      <c r="H769" s="68"/>
      <c r="I769" s="68"/>
      <c r="J769" s="68"/>
      <c r="K769" s="68"/>
      <c r="L769" s="68"/>
      <c r="N769" s="75"/>
      <c r="O769" s="79"/>
    </row>
    <row r="770" spans="1:15" ht="12.5" x14ac:dyDescent="0.25">
      <c r="A770" s="14"/>
      <c r="C770" s="68"/>
      <c r="D770" s="68"/>
      <c r="E770" s="68"/>
      <c r="F770" s="68"/>
      <c r="G770" s="68"/>
      <c r="H770" s="68"/>
      <c r="I770" s="68"/>
      <c r="J770" s="68"/>
      <c r="K770" s="68"/>
      <c r="L770" s="68"/>
      <c r="N770" s="75"/>
      <c r="O770" s="79"/>
    </row>
    <row r="771" spans="1:15" ht="12.5" x14ac:dyDescent="0.25">
      <c r="A771" s="14"/>
      <c r="C771" s="68"/>
      <c r="D771" s="68"/>
      <c r="E771" s="68"/>
      <c r="F771" s="68"/>
      <c r="G771" s="68"/>
      <c r="H771" s="68"/>
      <c r="I771" s="68"/>
      <c r="J771" s="68"/>
      <c r="K771" s="68"/>
      <c r="L771" s="68"/>
      <c r="N771" s="75"/>
      <c r="O771" s="79"/>
    </row>
    <row r="772" spans="1:15" ht="12.5" x14ac:dyDescent="0.25">
      <c r="A772" s="14"/>
      <c r="C772" s="68"/>
      <c r="D772" s="68"/>
      <c r="E772" s="68"/>
      <c r="F772" s="68"/>
      <c r="G772" s="68"/>
      <c r="H772" s="68"/>
      <c r="I772" s="68"/>
      <c r="J772" s="68"/>
      <c r="K772" s="68"/>
      <c r="L772" s="68"/>
      <c r="N772" s="75"/>
      <c r="O772" s="79"/>
    </row>
    <row r="773" spans="1:15" ht="12.5" x14ac:dyDescent="0.25">
      <c r="A773" s="14"/>
      <c r="C773" s="68"/>
      <c r="D773" s="68"/>
      <c r="E773" s="68"/>
      <c r="F773" s="68"/>
      <c r="G773" s="68"/>
      <c r="H773" s="68"/>
      <c r="I773" s="68"/>
      <c r="J773" s="68"/>
      <c r="K773" s="68"/>
      <c r="L773" s="68"/>
      <c r="N773" s="75"/>
      <c r="O773" s="79"/>
    </row>
    <row r="774" spans="1:15" ht="12.5" x14ac:dyDescent="0.25">
      <c r="A774" s="14"/>
      <c r="C774" s="68"/>
      <c r="D774" s="68"/>
      <c r="E774" s="68"/>
      <c r="F774" s="68"/>
      <c r="G774" s="68"/>
      <c r="H774" s="68"/>
      <c r="I774" s="68"/>
      <c r="J774" s="68"/>
      <c r="K774" s="68"/>
      <c r="L774" s="68"/>
      <c r="N774" s="75"/>
      <c r="O774" s="79"/>
    </row>
    <row r="775" spans="1:15" ht="12.5" x14ac:dyDescent="0.25">
      <c r="A775" s="14"/>
      <c r="C775" s="68"/>
      <c r="D775" s="68"/>
      <c r="E775" s="68"/>
      <c r="F775" s="68"/>
      <c r="G775" s="68"/>
      <c r="H775" s="68"/>
      <c r="I775" s="68"/>
      <c r="J775" s="68"/>
      <c r="K775" s="68"/>
      <c r="L775" s="68"/>
      <c r="N775" s="75"/>
      <c r="O775" s="79"/>
    </row>
    <row r="776" spans="1:15" ht="12.5" x14ac:dyDescent="0.25">
      <c r="A776" s="14"/>
      <c r="C776" s="68"/>
      <c r="D776" s="68"/>
      <c r="E776" s="68"/>
      <c r="F776" s="68"/>
      <c r="G776" s="68"/>
      <c r="H776" s="68"/>
      <c r="I776" s="68"/>
      <c r="J776" s="68"/>
      <c r="K776" s="68"/>
      <c r="L776" s="68"/>
      <c r="N776" s="75"/>
      <c r="O776" s="79"/>
    </row>
    <row r="777" spans="1:15" ht="12.5" x14ac:dyDescent="0.25">
      <c r="A777" s="14"/>
      <c r="C777" s="68"/>
      <c r="D777" s="68"/>
      <c r="E777" s="68"/>
      <c r="F777" s="68"/>
      <c r="G777" s="68"/>
      <c r="H777" s="68"/>
      <c r="I777" s="68"/>
      <c r="J777" s="68"/>
      <c r="K777" s="68"/>
      <c r="L777" s="68"/>
      <c r="N777" s="75"/>
      <c r="O777" s="79"/>
    </row>
    <row r="778" spans="1:15" ht="12.5" x14ac:dyDescent="0.25">
      <c r="A778" s="14"/>
      <c r="C778" s="68"/>
      <c r="D778" s="68"/>
      <c r="E778" s="68"/>
      <c r="F778" s="68"/>
      <c r="G778" s="68"/>
      <c r="H778" s="68"/>
      <c r="I778" s="68"/>
      <c r="J778" s="68"/>
      <c r="K778" s="68"/>
      <c r="L778" s="68"/>
      <c r="N778" s="75"/>
      <c r="O778" s="79"/>
    </row>
    <row r="779" spans="1:15" ht="12.5" x14ac:dyDescent="0.25">
      <c r="A779" s="14"/>
      <c r="C779" s="68"/>
      <c r="D779" s="68"/>
      <c r="E779" s="68"/>
      <c r="F779" s="68"/>
      <c r="G779" s="68"/>
      <c r="H779" s="68"/>
      <c r="I779" s="68"/>
      <c r="J779" s="68"/>
      <c r="K779" s="68"/>
      <c r="L779" s="68"/>
      <c r="N779" s="75"/>
      <c r="O779" s="79"/>
    </row>
    <row r="780" spans="1:15" ht="12.5" x14ac:dyDescent="0.25">
      <c r="A780" s="14"/>
      <c r="C780" s="68"/>
      <c r="D780" s="68"/>
      <c r="E780" s="68"/>
      <c r="F780" s="68"/>
      <c r="G780" s="68"/>
      <c r="H780" s="68"/>
      <c r="I780" s="68"/>
      <c r="J780" s="68"/>
      <c r="K780" s="68"/>
      <c r="L780" s="68"/>
      <c r="N780" s="75"/>
      <c r="O780" s="79"/>
    </row>
    <row r="781" spans="1:15" ht="12.5" x14ac:dyDescent="0.25">
      <c r="A781" s="14"/>
      <c r="C781" s="68"/>
      <c r="D781" s="68"/>
      <c r="E781" s="68"/>
      <c r="F781" s="68"/>
      <c r="G781" s="68"/>
      <c r="H781" s="68"/>
      <c r="I781" s="68"/>
      <c r="J781" s="68"/>
      <c r="K781" s="68"/>
      <c r="L781" s="68"/>
      <c r="N781" s="75"/>
      <c r="O781" s="79"/>
    </row>
    <row r="782" spans="1:15" ht="12.5" x14ac:dyDescent="0.25">
      <c r="A782" s="14"/>
      <c r="C782" s="68"/>
      <c r="D782" s="68"/>
      <c r="E782" s="68"/>
      <c r="F782" s="68"/>
      <c r="G782" s="68"/>
      <c r="H782" s="68"/>
      <c r="I782" s="68"/>
      <c r="J782" s="68"/>
      <c r="K782" s="68"/>
      <c r="L782" s="68"/>
      <c r="N782" s="75"/>
      <c r="O782" s="79"/>
    </row>
    <row r="783" spans="1:15" ht="12.5" x14ac:dyDescent="0.25">
      <c r="A783" s="14"/>
      <c r="C783" s="68"/>
      <c r="D783" s="68"/>
      <c r="E783" s="68"/>
      <c r="F783" s="68"/>
      <c r="G783" s="68"/>
      <c r="H783" s="68"/>
      <c r="I783" s="68"/>
      <c r="J783" s="68"/>
      <c r="K783" s="68"/>
      <c r="L783" s="68"/>
      <c r="N783" s="75"/>
      <c r="O783" s="79"/>
    </row>
    <row r="784" spans="1:15" ht="12.5" x14ac:dyDescent="0.25">
      <c r="A784" s="14"/>
      <c r="C784" s="68"/>
      <c r="D784" s="68"/>
      <c r="E784" s="68"/>
      <c r="F784" s="68"/>
      <c r="G784" s="68"/>
      <c r="H784" s="68"/>
      <c r="I784" s="68"/>
      <c r="J784" s="68"/>
      <c r="K784" s="68"/>
      <c r="L784" s="68"/>
      <c r="N784" s="75"/>
      <c r="O784" s="79"/>
    </row>
    <row r="785" spans="1:15" ht="12.5" x14ac:dyDescent="0.25">
      <c r="A785" s="14"/>
      <c r="C785" s="68"/>
      <c r="D785" s="68"/>
      <c r="E785" s="68"/>
      <c r="F785" s="68"/>
      <c r="G785" s="68"/>
      <c r="H785" s="68"/>
      <c r="I785" s="68"/>
      <c r="J785" s="68"/>
      <c r="K785" s="68"/>
      <c r="L785" s="68"/>
      <c r="N785" s="75"/>
      <c r="O785" s="79"/>
    </row>
    <row r="786" spans="1:15" ht="12.5" x14ac:dyDescent="0.25">
      <c r="A786" s="14"/>
      <c r="C786" s="68"/>
      <c r="D786" s="68"/>
      <c r="E786" s="68"/>
      <c r="F786" s="68"/>
      <c r="G786" s="68"/>
      <c r="H786" s="68"/>
      <c r="I786" s="68"/>
      <c r="J786" s="68"/>
      <c r="K786" s="68"/>
      <c r="L786" s="68"/>
      <c r="N786" s="75"/>
      <c r="O786" s="79"/>
    </row>
    <row r="787" spans="1:15" ht="12.5" x14ac:dyDescent="0.25">
      <c r="A787" s="14"/>
      <c r="C787" s="68"/>
      <c r="D787" s="68"/>
      <c r="E787" s="68"/>
      <c r="F787" s="68"/>
      <c r="G787" s="68"/>
      <c r="H787" s="68"/>
      <c r="I787" s="68"/>
      <c r="J787" s="68"/>
      <c r="K787" s="68"/>
      <c r="L787" s="68"/>
      <c r="N787" s="75"/>
      <c r="O787" s="79"/>
    </row>
    <row r="788" spans="1:15" ht="12.5" x14ac:dyDescent="0.25">
      <c r="A788" s="14"/>
      <c r="C788" s="68"/>
      <c r="D788" s="68"/>
      <c r="E788" s="68"/>
      <c r="F788" s="68"/>
      <c r="G788" s="68"/>
      <c r="H788" s="68"/>
      <c r="I788" s="68"/>
      <c r="J788" s="68"/>
      <c r="K788" s="68"/>
      <c r="L788" s="68"/>
      <c r="N788" s="75"/>
      <c r="O788" s="79"/>
    </row>
    <row r="789" spans="1:15" ht="12.5" x14ac:dyDescent="0.25">
      <c r="A789" s="14"/>
      <c r="C789" s="68"/>
      <c r="D789" s="68"/>
      <c r="E789" s="68"/>
      <c r="F789" s="68"/>
      <c r="G789" s="68"/>
      <c r="H789" s="68"/>
      <c r="I789" s="68"/>
      <c r="J789" s="68"/>
      <c r="K789" s="68"/>
      <c r="L789" s="68"/>
      <c r="N789" s="75"/>
      <c r="O789" s="79"/>
    </row>
    <row r="790" spans="1:15" ht="12.5" x14ac:dyDescent="0.25">
      <c r="A790" s="14"/>
      <c r="C790" s="68"/>
      <c r="D790" s="68"/>
      <c r="E790" s="68"/>
      <c r="F790" s="68"/>
      <c r="G790" s="68"/>
      <c r="H790" s="68"/>
      <c r="I790" s="68"/>
      <c r="J790" s="68"/>
      <c r="K790" s="68"/>
      <c r="L790" s="68"/>
      <c r="N790" s="75"/>
      <c r="O790" s="79"/>
    </row>
    <row r="791" spans="1:15" ht="12.5" x14ac:dyDescent="0.25">
      <c r="A791" s="14"/>
      <c r="C791" s="68"/>
      <c r="D791" s="68"/>
      <c r="E791" s="68"/>
      <c r="F791" s="68"/>
      <c r="G791" s="68"/>
      <c r="H791" s="68"/>
      <c r="I791" s="68"/>
      <c r="J791" s="68"/>
      <c r="K791" s="68"/>
      <c r="L791" s="68"/>
      <c r="N791" s="75"/>
      <c r="O791" s="79"/>
    </row>
    <row r="792" spans="1:15" ht="12.5" x14ac:dyDescent="0.25">
      <c r="A792" s="14"/>
      <c r="C792" s="68"/>
      <c r="D792" s="68"/>
      <c r="E792" s="68"/>
      <c r="F792" s="68"/>
      <c r="G792" s="68"/>
      <c r="H792" s="68"/>
      <c r="I792" s="68"/>
      <c r="J792" s="68"/>
      <c r="K792" s="68"/>
      <c r="L792" s="68"/>
      <c r="N792" s="75"/>
      <c r="O792" s="79"/>
    </row>
    <row r="793" spans="1:15" ht="12.5" x14ac:dyDescent="0.25">
      <c r="A793" s="14"/>
      <c r="C793" s="68"/>
      <c r="D793" s="68"/>
      <c r="E793" s="68"/>
      <c r="F793" s="68"/>
      <c r="G793" s="68"/>
      <c r="H793" s="68"/>
      <c r="I793" s="68"/>
      <c r="J793" s="68"/>
      <c r="K793" s="68"/>
      <c r="L793" s="68"/>
      <c r="N793" s="75"/>
      <c r="O793" s="79"/>
    </row>
    <row r="794" spans="1:15" ht="12.5" x14ac:dyDescent="0.25">
      <c r="A794" s="14"/>
      <c r="C794" s="68"/>
      <c r="D794" s="68"/>
      <c r="E794" s="68"/>
      <c r="F794" s="68"/>
      <c r="G794" s="68"/>
      <c r="H794" s="68"/>
      <c r="I794" s="68"/>
      <c r="J794" s="68"/>
      <c r="K794" s="68"/>
      <c r="L794" s="68"/>
      <c r="N794" s="75"/>
      <c r="O794" s="79"/>
    </row>
    <row r="795" spans="1:15" ht="12.5" x14ac:dyDescent="0.25">
      <c r="A795" s="14"/>
      <c r="C795" s="68"/>
      <c r="D795" s="68"/>
      <c r="E795" s="68"/>
      <c r="F795" s="68"/>
      <c r="G795" s="68"/>
      <c r="H795" s="68"/>
      <c r="I795" s="68"/>
      <c r="J795" s="68"/>
      <c r="K795" s="68"/>
      <c r="L795" s="68"/>
      <c r="N795" s="75"/>
      <c r="O795" s="79"/>
    </row>
    <row r="796" spans="1:15" ht="12.5" x14ac:dyDescent="0.25">
      <c r="A796" s="14"/>
      <c r="C796" s="68"/>
      <c r="D796" s="68"/>
      <c r="E796" s="68"/>
      <c r="F796" s="68"/>
      <c r="G796" s="68"/>
      <c r="H796" s="68"/>
      <c r="I796" s="68"/>
      <c r="J796" s="68"/>
      <c r="K796" s="68"/>
      <c r="L796" s="68"/>
      <c r="N796" s="75"/>
      <c r="O796" s="79"/>
    </row>
    <row r="797" spans="1:15" ht="12.5" x14ac:dyDescent="0.25">
      <c r="A797" s="14"/>
      <c r="C797" s="68"/>
      <c r="D797" s="68"/>
      <c r="E797" s="68"/>
      <c r="F797" s="68"/>
      <c r="G797" s="68"/>
      <c r="H797" s="68"/>
      <c r="I797" s="68"/>
      <c r="J797" s="68"/>
      <c r="K797" s="68"/>
      <c r="L797" s="68"/>
      <c r="N797" s="75"/>
      <c r="O797" s="79"/>
    </row>
    <row r="798" spans="1:15" ht="12.5" x14ac:dyDescent="0.25">
      <c r="A798" s="14"/>
      <c r="C798" s="68"/>
      <c r="D798" s="68"/>
      <c r="E798" s="68"/>
      <c r="F798" s="68"/>
      <c r="G798" s="68"/>
      <c r="H798" s="68"/>
      <c r="I798" s="68"/>
      <c r="J798" s="68"/>
      <c r="K798" s="68"/>
      <c r="L798" s="68"/>
      <c r="N798" s="75"/>
      <c r="O798" s="79"/>
    </row>
    <row r="799" spans="1:15" ht="12.5" x14ac:dyDescent="0.25">
      <c r="A799" s="14"/>
      <c r="C799" s="68"/>
      <c r="D799" s="68"/>
      <c r="E799" s="68"/>
      <c r="F799" s="68"/>
      <c r="G799" s="68"/>
      <c r="H799" s="68"/>
      <c r="I799" s="68"/>
      <c r="J799" s="68"/>
      <c r="K799" s="68"/>
      <c r="L799" s="68"/>
      <c r="N799" s="75"/>
      <c r="O799" s="79"/>
    </row>
    <row r="800" spans="1:15" ht="12.5" x14ac:dyDescent="0.25">
      <c r="A800" s="14"/>
      <c r="C800" s="68"/>
      <c r="D800" s="68"/>
      <c r="E800" s="68"/>
      <c r="F800" s="68"/>
      <c r="G800" s="68"/>
      <c r="H800" s="68"/>
      <c r="I800" s="68"/>
      <c r="J800" s="68"/>
      <c r="K800" s="68"/>
      <c r="L800" s="68"/>
      <c r="N800" s="75"/>
      <c r="O800" s="79"/>
    </row>
    <row r="801" spans="1:15" ht="12.5" x14ac:dyDescent="0.25">
      <c r="A801" s="14"/>
      <c r="C801" s="68"/>
      <c r="D801" s="68"/>
      <c r="E801" s="68"/>
      <c r="F801" s="68"/>
      <c r="G801" s="68"/>
      <c r="H801" s="68"/>
      <c r="I801" s="68"/>
      <c r="J801" s="68"/>
      <c r="K801" s="68"/>
      <c r="L801" s="68"/>
      <c r="N801" s="75"/>
      <c r="O801" s="79"/>
    </row>
    <row r="802" spans="1:15" ht="12.5" x14ac:dyDescent="0.25">
      <c r="A802" s="14"/>
      <c r="C802" s="68"/>
      <c r="D802" s="68"/>
      <c r="E802" s="68"/>
      <c r="F802" s="68"/>
      <c r="G802" s="68"/>
      <c r="H802" s="68"/>
      <c r="I802" s="68"/>
      <c r="J802" s="68"/>
      <c r="K802" s="68"/>
      <c r="L802" s="68"/>
      <c r="N802" s="75"/>
      <c r="O802" s="79"/>
    </row>
    <row r="803" spans="1:15" ht="12.5" x14ac:dyDescent="0.25">
      <c r="A803" s="14"/>
      <c r="C803" s="68"/>
      <c r="D803" s="68"/>
      <c r="E803" s="68"/>
      <c r="F803" s="68"/>
      <c r="G803" s="68"/>
      <c r="H803" s="68"/>
      <c r="I803" s="68"/>
      <c r="J803" s="68"/>
      <c r="K803" s="68"/>
      <c r="L803" s="68"/>
      <c r="N803" s="75"/>
      <c r="O803" s="79"/>
    </row>
    <row r="804" spans="1:15" ht="12.5" x14ac:dyDescent="0.25">
      <c r="A804" s="14"/>
      <c r="C804" s="68"/>
      <c r="D804" s="68"/>
      <c r="E804" s="68"/>
      <c r="F804" s="68"/>
      <c r="G804" s="68"/>
      <c r="H804" s="68"/>
      <c r="I804" s="68"/>
      <c r="J804" s="68"/>
      <c r="K804" s="68"/>
      <c r="L804" s="68"/>
      <c r="N804" s="75"/>
      <c r="O804" s="79"/>
    </row>
    <row r="805" spans="1:15" ht="12.5" x14ac:dyDescent="0.25">
      <c r="A805" s="14"/>
      <c r="C805" s="68"/>
      <c r="D805" s="68"/>
      <c r="E805" s="68"/>
      <c r="F805" s="68"/>
      <c r="G805" s="68"/>
      <c r="H805" s="68"/>
      <c r="I805" s="68"/>
      <c r="J805" s="68"/>
      <c r="K805" s="68"/>
      <c r="L805" s="68"/>
      <c r="N805" s="75"/>
      <c r="O805" s="79"/>
    </row>
    <row r="806" spans="1:15" ht="12.5" x14ac:dyDescent="0.25">
      <c r="A806" s="14"/>
      <c r="C806" s="68"/>
      <c r="D806" s="68"/>
      <c r="E806" s="68"/>
      <c r="F806" s="68"/>
      <c r="G806" s="68"/>
      <c r="H806" s="68"/>
      <c r="I806" s="68"/>
      <c r="J806" s="68"/>
      <c r="K806" s="68"/>
      <c r="L806" s="68"/>
      <c r="N806" s="75"/>
      <c r="O806" s="79"/>
    </row>
    <row r="807" spans="1:15" ht="12.5" x14ac:dyDescent="0.25">
      <c r="A807" s="14"/>
      <c r="C807" s="68"/>
      <c r="D807" s="68"/>
      <c r="E807" s="68"/>
      <c r="F807" s="68"/>
      <c r="G807" s="68"/>
      <c r="H807" s="68"/>
      <c r="I807" s="68"/>
      <c r="J807" s="68"/>
      <c r="K807" s="68"/>
      <c r="L807" s="68"/>
      <c r="N807" s="75"/>
      <c r="O807" s="79"/>
    </row>
    <row r="808" spans="1:15" ht="12.5" x14ac:dyDescent="0.25">
      <c r="A808" s="14"/>
      <c r="C808" s="68"/>
      <c r="D808" s="68"/>
      <c r="E808" s="68"/>
      <c r="F808" s="68"/>
      <c r="G808" s="68"/>
      <c r="H808" s="68"/>
      <c r="I808" s="68"/>
      <c r="J808" s="68"/>
      <c r="K808" s="68"/>
      <c r="L808" s="68"/>
      <c r="N808" s="75"/>
      <c r="O808" s="79"/>
    </row>
    <row r="809" spans="1:15" ht="12.5" x14ac:dyDescent="0.25">
      <c r="A809" s="14"/>
      <c r="C809" s="68"/>
      <c r="D809" s="68"/>
      <c r="E809" s="68"/>
      <c r="F809" s="68"/>
      <c r="G809" s="68"/>
      <c r="H809" s="68"/>
      <c r="I809" s="68"/>
      <c r="J809" s="68"/>
      <c r="K809" s="68"/>
      <c r="L809" s="68"/>
      <c r="N809" s="75"/>
      <c r="O809" s="79"/>
    </row>
    <row r="810" spans="1:15" ht="12.5" x14ac:dyDescent="0.25">
      <c r="A810" s="14"/>
      <c r="C810" s="68"/>
      <c r="D810" s="68"/>
      <c r="E810" s="68"/>
      <c r="F810" s="68"/>
      <c r="G810" s="68"/>
      <c r="H810" s="68"/>
      <c r="I810" s="68"/>
      <c r="J810" s="68"/>
      <c r="K810" s="68"/>
      <c r="L810" s="68"/>
      <c r="N810" s="75"/>
      <c r="O810" s="79"/>
    </row>
    <row r="811" spans="1:15" ht="12.5" x14ac:dyDescent="0.25">
      <c r="A811" s="14"/>
      <c r="C811" s="68"/>
      <c r="D811" s="68"/>
      <c r="E811" s="68"/>
      <c r="F811" s="68"/>
      <c r="G811" s="68"/>
      <c r="H811" s="68"/>
      <c r="I811" s="68"/>
      <c r="J811" s="68"/>
      <c r="K811" s="68"/>
      <c r="L811" s="68"/>
      <c r="N811" s="75"/>
      <c r="O811" s="79"/>
    </row>
    <row r="812" spans="1:15" ht="12.5" x14ac:dyDescent="0.25">
      <c r="A812" s="14"/>
      <c r="C812" s="68"/>
      <c r="D812" s="68"/>
      <c r="E812" s="68"/>
      <c r="F812" s="68"/>
      <c r="G812" s="68"/>
      <c r="H812" s="68"/>
      <c r="I812" s="68"/>
      <c r="J812" s="68"/>
      <c r="K812" s="68"/>
      <c r="L812" s="68"/>
      <c r="N812" s="75"/>
      <c r="O812" s="79"/>
    </row>
    <row r="813" spans="1:15" ht="12.5" x14ac:dyDescent="0.25">
      <c r="A813" s="14"/>
      <c r="C813" s="68"/>
      <c r="D813" s="68"/>
      <c r="E813" s="68"/>
      <c r="F813" s="68"/>
      <c r="G813" s="68"/>
      <c r="H813" s="68"/>
      <c r="I813" s="68"/>
      <c r="J813" s="68"/>
      <c r="K813" s="68"/>
      <c r="L813" s="68"/>
      <c r="N813" s="75"/>
      <c r="O813" s="79"/>
    </row>
    <row r="814" spans="1:15" ht="12.5" x14ac:dyDescent="0.25">
      <c r="A814" s="14"/>
      <c r="C814" s="68"/>
      <c r="D814" s="68"/>
      <c r="E814" s="68"/>
      <c r="F814" s="68"/>
      <c r="G814" s="68"/>
      <c r="H814" s="68"/>
      <c r="I814" s="68"/>
      <c r="J814" s="68"/>
      <c r="K814" s="68"/>
      <c r="L814" s="68"/>
      <c r="N814" s="75"/>
      <c r="O814" s="79"/>
    </row>
    <row r="815" spans="1:15" ht="12.5" x14ac:dyDescent="0.25">
      <c r="A815" s="14"/>
      <c r="C815" s="68"/>
      <c r="D815" s="68"/>
      <c r="E815" s="68"/>
      <c r="F815" s="68"/>
      <c r="G815" s="68"/>
      <c r="H815" s="68"/>
      <c r="I815" s="68"/>
      <c r="J815" s="68"/>
      <c r="K815" s="68"/>
      <c r="L815" s="68"/>
      <c r="N815" s="75"/>
      <c r="O815" s="79"/>
    </row>
    <row r="816" spans="1:15" ht="12.5" x14ac:dyDescent="0.25">
      <c r="A816" s="14"/>
      <c r="C816" s="68"/>
      <c r="D816" s="68"/>
      <c r="E816" s="68"/>
      <c r="F816" s="68"/>
      <c r="G816" s="68"/>
      <c r="H816" s="68"/>
      <c r="I816" s="68"/>
      <c r="J816" s="68"/>
      <c r="K816" s="68"/>
      <c r="L816" s="68"/>
      <c r="N816" s="75"/>
      <c r="O816" s="79"/>
    </row>
    <row r="817" spans="1:15" ht="12.5" x14ac:dyDescent="0.25">
      <c r="A817" s="14"/>
      <c r="C817" s="68"/>
      <c r="D817" s="68"/>
      <c r="E817" s="68"/>
      <c r="F817" s="68"/>
      <c r="G817" s="68"/>
      <c r="H817" s="68"/>
      <c r="I817" s="68"/>
      <c r="J817" s="68"/>
      <c r="K817" s="68"/>
      <c r="L817" s="68"/>
      <c r="N817" s="75"/>
      <c r="O817" s="79"/>
    </row>
    <row r="818" spans="1:15" ht="12.5" x14ac:dyDescent="0.25">
      <c r="A818" s="14"/>
      <c r="C818" s="68"/>
      <c r="D818" s="68"/>
      <c r="E818" s="68"/>
      <c r="F818" s="68"/>
      <c r="G818" s="68"/>
      <c r="H818" s="68"/>
      <c r="I818" s="68"/>
      <c r="J818" s="68"/>
      <c r="K818" s="68"/>
      <c r="L818" s="68"/>
      <c r="N818" s="75"/>
      <c r="O818" s="79"/>
    </row>
    <row r="819" spans="1:15" ht="12.5" x14ac:dyDescent="0.25">
      <c r="A819" s="14"/>
      <c r="C819" s="68"/>
      <c r="D819" s="68"/>
      <c r="E819" s="68"/>
      <c r="F819" s="68"/>
      <c r="G819" s="68"/>
      <c r="H819" s="68"/>
      <c r="I819" s="68"/>
      <c r="J819" s="68"/>
      <c r="K819" s="68"/>
      <c r="L819" s="68"/>
      <c r="N819" s="75"/>
      <c r="O819" s="79"/>
    </row>
    <row r="820" spans="1:15" ht="12.5" x14ac:dyDescent="0.25">
      <c r="A820" s="14"/>
      <c r="C820" s="68"/>
      <c r="D820" s="68"/>
      <c r="E820" s="68"/>
      <c r="F820" s="68"/>
      <c r="G820" s="68"/>
      <c r="H820" s="68"/>
      <c r="I820" s="68"/>
      <c r="J820" s="68"/>
      <c r="K820" s="68"/>
      <c r="L820" s="68"/>
      <c r="N820" s="75"/>
      <c r="O820" s="79"/>
    </row>
    <row r="821" spans="1:15" ht="12.5" x14ac:dyDescent="0.25">
      <c r="A821" s="14"/>
      <c r="C821" s="68"/>
      <c r="D821" s="68"/>
      <c r="E821" s="68"/>
      <c r="F821" s="68"/>
      <c r="G821" s="68"/>
      <c r="H821" s="68"/>
      <c r="I821" s="68"/>
      <c r="J821" s="68"/>
      <c r="K821" s="68"/>
      <c r="L821" s="68"/>
      <c r="N821" s="75"/>
      <c r="O821" s="79"/>
    </row>
    <row r="822" spans="1:15" ht="12.5" x14ac:dyDescent="0.25">
      <c r="A822" s="14"/>
      <c r="C822" s="68"/>
      <c r="D822" s="68"/>
      <c r="E822" s="68"/>
      <c r="F822" s="68"/>
      <c r="G822" s="68"/>
      <c r="H822" s="68"/>
      <c r="I822" s="68"/>
      <c r="J822" s="68"/>
      <c r="K822" s="68"/>
      <c r="L822" s="68"/>
      <c r="N822" s="75"/>
      <c r="O822" s="79"/>
    </row>
    <row r="823" spans="1:15" ht="12.5" x14ac:dyDescent="0.25">
      <c r="A823" s="14"/>
      <c r="C823" s="68"/>
      <c r="D823" s="68"/>
      <c r="E823" s="68"/>
      <c r="F823" s="68"/>
      <c r="G823" s="68"/>
      <c r="H823" s="68"/>
      <c r="I823" s="68"/>
      <c r="J823" s="68"/>
      <c r="K823" s="68"/>
      <c r="L823" s="68"/>
      <c r="N823" s="75"/>
      <c r="O823" s="79"/>
    </row>
    <row r="824" spans="1:15" ht="12.5" x14ac:dyDescent="0.25">
      <c r="A824" s="14"/>
      <c r="C824" s="68"/>
      <c r="D824" s="68"/>
      <c r="E824" s="68"/>
      <c r="F824" s="68"/>
      <c r="G824" s="68"/>
      <c r="H824" s="68"/>
      <c r="I824" s="68"/>
      <c r="J824" s="68"/>
      <c r="K824" s="68"/>
      <c r="L824" s="68"/>
      <c r="N824" s="75"/>
      <c r="O824" s="79"/>
    </row>
    <row r="825" spans="1:15" ht="12.5" x14ac:dyDescent="0.25">
      <c r="A825" s="14"/>
      <c r="C825" s="68"/>
      <c r="D825" s="68"/>
      <c r="E825" s="68"/>
      <c r="F825" s="68"/>
      <c r="G825" s="68"/>
      <c r="H825" s="68"/>
      <c r="I825" s="68"/>
      <c r="J825" s="68"/>
      <c r="K825" s="68"/>
      <c r="L825" s="68"/>
      <c r="N825" s="75"/>
      <c r="O825" s="79"/>
    </row>
    <row r="826" spans="1:15" ht="12.5" x14ac:dyDescent="0.25">
      <c r="A826" s="14"/>
      <c r="C826" s="68"/>
      <c r="D826" s="68"/>
      <c r="E826" s="68"/>
      <c r="F826" s="68"/>
      <c r="G826" s="68"/>
      <c r="H826" s="68"/>
      <c r="I826" s="68"/>
      <c r="J826" s="68"/>
      <c r="K826" s="68"/>
      <c r="L826" s="68"/>
      <c r="N826" s="75"/>
      <c r="O826" s="79"/>
    </row>
    <row r="827" spans="1:15" ht="12.5" x14ac:dyDescent="0.25">
      <c r="A827" s="14"/>
      <c r="C827" s="68"/>
      <c r="D827" s="68"/>
      <c r="E827" s="68"/>
      <c r="F827" s="68"/>
      <c r="G827" s="68"/>
      <c r="H827" s="68"/>
      <c r="I827" s="68"/>
      <c r="J827" s="68"/>
      <c r="K827" s="68"/>
      <c r="L827" s="68"/>
      <c r="N827" s="75"/>
      <c r="O827" s="79"/>
    </row>
    <row r="828" spans="1:15" ht="12.5" x14ac:dyDescent="0.25">
      <c r="A828" s="14"/>
      <c r="C828" s="68"/>
      <c r="D828" s="68"/>
      <c r="E828" s="68"/>
      <c r="F828" s="68"/>
      <c r="G828" s="68"/>
      <c r="H828" s="68"/>
      <c r="I828" s="68"/>
      <c r="J828" s="68"/>
      <c r="K828" s="68"/>
      <c r="L828" s="68"/>
      <c r="N828" s="75"/>
      <c r="O828" s="79"/>
    </row>
    <row r="829" spans="1:15" ht="12.5" x14ac:dyDescent="0.25">
      <c r="A829" s="14"/>
      <c r="C829" s="68"/>
      <c r="D829" s="68"/>
      <c r="E829" s="68"/>
      <c r="F829" s="68"/>
      <c r="G829" s="68"/>
      <c r="H829" s="68"/>
      <c r="I829" s="68"/>
      <c r="J829" s="68"/>
      <c r="K829" s="68"/>
      <c r="L829" s="68"/>
      <c r="N829" s="75"/>
      <c r="O829" s="79"/>
    </row>
    <row r="830" spans="1:15" ht="12.5" x14ac:dyDescent="0.25">
      <c r="A830" s="14"/>
      <c r="C830" s="68"/>
      <c r="D830" s="68"/>
      <c r="E830" s="68"/>
      <c r="F830" s="68"/>
      <c r="G830" s="68"/>
      <c r="H830" s="68"/>
      <c r="I830" s="68"/>
      <c r="J830" s="68"/>
      <c r="K830" s="68"/>
      <c r="L830" s="68"/>
      <c r="N830" s="75"/>
      <c r="O830" s="79"/>
    </row>
    <row r="831" spans="1:15" ht="12.5" x14ac:dyDescent="0.25">
      <c r="A831" s="14"/>
      <c r="C831" s="68"/>
      <c r="D831" s="68"/>
      <c r="E831" s="68"/>
      <c r="F831" s="68"/>
      <c r="G831" s="68"/>
      <c r="H831" s="68"/>
      <c r="I831" s="68"/>
      <c r="J831" s="68"/>
      <c r="K831" s="68"/>
      <c r="L831" s="68"/>
      <c r="N831" s="75"/>
      <c r="O831" s="79"/>
    </row>
    <row r="832" spans="1:15" ht="12.5" x14ac:dyDescent="0.25">
      <c r="A832" s="14"/>
      <c r="C832" s="68"/>
      <c r="D832" s="68"/>
      <c r="E832" s="68"/>
      <c r="F832" s="68"/>
      <c r="G832" s="68"/>
      <c r="H832" s="68"/>
      <c r="I832" s="68"/>
      <c r="J832" s="68"/>
      <c r="K832" s="68"/>
      <c r="L832" s="68"/>
      <c r="N832" s="75"/>
      <c r="O832" s="79"/>
    </row>
    <row r="833" spans="1:15" ht="12.5" x14ac:dyDescent="0.25">
      <c r="A833" s="14"/>
      <c r="C833" s="68"/>
      <c r="D833" s="68"/>
      <c r="E833" s="68"/>
      <c r="F833" s="68"/>
      <c r="G833" s="68"/>
      <c r="H833" s="68"/>
      <c r="I833" s="68"/>
      <c r="J833" s="68"/>
      <c r="K833" s="68"/>
      <c r="L833" s="68"/>
      <c r="N833" s="75"/>
      <c r="O833" s="79"/>
    </row>
    <row r="834" spans="1:15" ht="12.5" x14ac:dyDescent="0.25">
      <c r="A834" s="14"/>
      <c r="C834" s="68"/>
      <c r="D834" s="68"/>
      <c r="E834" s="68"/>
      <c r="F834" s="68"/>
      <c r="G834" s="68"/>
      <c r="H834" s="68"/>
      <c r="I834" s="68"/>
      <c r="J834" s="68"/>
      <c r="K834" s="68"/>
      <c r="L834" s="68"/>
      <c r="N834" s="75"/>
      <c r="O834" s="79"/>
    </row>
    <row r="835" spans="1:15" ht="12.5" x14ac:dyDescent="0.25">
      <c r="A835" s="14"/>
      <c r="C835" s="68"/>
      <c r="D835" s="68"/>
      <c r="E835" s="68"/>
      <c r="F835" s="68"/>
      <c r="G835" s="68"/>
      <c r="H835" s="68"/>
      <c r="I835" s="68"/>
      <c r="J835" s="68"/>
      <c r="K835" s="68"/>
      <c r="L835" s="68"/>
      <c r="N835" s="75"/>
      <c r="O835" s="79"/>
    </row>
    <row r="836" spans="1:15" ht="12.5" x14ac:dyDescent="0.25">
      <c r="A836" s="14"/>
      <c r="C836" s="68"/>
      <c r="D836" s="68"/>
      <c r="E836" s="68"/>
      <c r="F836" s="68"/>
      <c r="G836" s="68"/>
      <c r="H836" s="68"/>
      <c r="I836" s="68"/>
      <c r="J836" s="68"/>
      <c r="K836" s="68"/>
      <c r="L836" s="68"/>
      <c r="N836" s="75"/>
      <c r="O836" s="79"/>
    </row>
    <row r="837" spans="1:15" ht="12.5" x14ac:dyDescent="0.25">
      <c r="A837" s="14"/>
      <c r="C837" s="68"/>
      <c r="D837" s="68"/>
      <c r="E837" s="68"/>
      <c r="F837" s="68"/>
      <c r="G837" s="68"/>
      <c r="H837" s="68"/>
      <c r="I837" s="68"/>
      <c r="J837" s="68"/>
      <c r="K837" s="68"/>
      <c r="L837" s="68"/>
      <c r="N837" s="75"/>
      <c r="O837" s="79"/>
    </row>
    <row r="838" spans="1:15" ht="12.5" x14ac:dyDescent="0.25">
      <c r="A838" s="14"/>
      <c r="C838" s="68"/>
      <c r="D838" s="68"/>
      <c r="E838" s="68"/>
      <c r="F838" s="68"/>
      <c r="G838" s="68"/>
      <c r="H838" s="68"/>
      <c r="I838" s="68"/>
      <c r="J838" s="68"/>
      <c r="K838" s="68"/>
      <c r="L838" s="68"/>
      <c r="N838" s="75"/>
      <c r="O838" s="79"/>
    </row>
    <row r="839" spans="1:15" ht="12.5" x14ac:dyDescent="0.25">
      <c r="A839" s="14"/>
      <c r="C839" s="68"/>
      <c r="D839" s="68"/>
      <c r="E839" s="68"/>
      <c r="F839" s="68"/>
      <c r="G839" s="68"/>
      <c r="H839" s="68"/>
      <c r="I839" s="68"/>
      <c r="J839" s="68"/>
      <c r="K839" s="68"/>
      <c r="L839" s="68"/>
      <c r="N839" s="75"/>
      <c r="O839" s="79"/>
    </row>
    <row r="840" spans="1:15" ht="12.5" x14ac:dyDescent="0.25">
      <c r="A840" s="14"/>
      <c r="C840" s="68"/>
      <c r="D840" s="68"/>
      <c r="E840" s="68"/>
      <c r="F840" s="68"/>
      <c r="G840" s="68"/>
      <c r="H840" s="68"/>
      <c r="I840" s="68"/>
      <c r="J840" s="68"/>
      <c r="K840" s="68"/>
      <c r="L840" s="68"/>
      <c r="N840" s="75"/>
      <c r="O840" s="79"/>
    </row>
    <row r="841" spans="1:15" ht="12.5" x14ac:dyDescent="0.25">
      <c r="A841" s="14"/>
      <c r="C841" s="68"/>
      <c r="D841" s="68"/>
      <c r="E841" s="68"/>
      <c r="F841" s="68"/>
      <c r="G841" s="68"/>
      <c r="H841" s="68"/>
      <c r="I841" s="68"/>
      <c r="J841" s="68"/>
      <c r="K841" s="68"/>
      <c r="L841" s="68"/>
      <c r="N841" s="75"/>
      <c r="O841" s="79"/>
    </row>
    <row r="842" spans="1:15" ht="12.5" x14ac:dyDescent="0.25">
      <c r="A842" s="14"/>
      <c r="C842" s="68"/>
      <c r="D842" s="68"/>
      <c r="E842" s="68"/>
      <c r="F842" s="68"/>
      <c r="G842" s="68"/>
      <c r="H842" s="68"/>
      <c r="I842" s="68"/>
      <c r="J842" s="68"/>
      <c r="K842" s="68"/>
      <c r="L842" s="68"/>
      <c r="N842" s="75"/>
      <c r="O842" s="79"/>
    </row>
    <row r="843" spans="1:15" ht="12.5" x14ac:dyDescent="0.25">
      <c r="A843" s="14"/>
      <c r="C843" s="68"/>
      <c r="D843" s="68"/>
      <c r="E843" s="68"/>
      <c r="F843" s="68"/>
      <c r="G843" s="68"/>
      <c r="H843" s="68"/>
      <c r="I843" s="68"/>
      <c r="J843" s="68"/>
      <c r="K843" s="68"/>
      <c r="L843" s="68"/>
      <c r="N843" s="75"/>
      <c r="O843" s="79"/>
    </row>
    <row r="844" spans="1:15" ht="12.5" x14ac:dyDescent="0.25">
      <c r="A844" s="14"/>
      <c r="C844" s="68"/>
      <c r="D844" s="68"/>
      <c r="E844" s="68"/>
      <c r="F844" s="68"/>
      <c r="G844" s="68"/>
      <c r="H844" s="68"/>
      <c r="I844" s="68"/>
      <c r="J844" s="68"/>
      <c r="K844" s="68"/>
      <c r="L844" s="68"/>
      <c r="N844" s="75"/>
      <c r="O844" s="79"/>
    </row>
    <row r="845" spans="1:15" ht="12.5" x14ac:dyDescent="0.25">
      <c r="A845" s="14"/>
      <c r="C845" s="68"/>
      <c r="D845" s="68"/>
      <c r="E845" s="68"/>
      <c r="F845" s="68"/>
      <c r="G845" s="68"/>
      <c r="H845" s="68"/>
      <c r="I845" s="68"/>
      <c r="J845" s="68"/>
      <c r="K845" s="68"/>
      <c r="L845" s="68"/>
      <c r="N845" s="75"/>
      <c r="O845" s="79"/>
    </row>
    <row r="846" spans="1:15" ht="12.5" x14ac:dyDescent="0.25">
      <c r="A846" s="14"/>
      <c r="C846" s="68"/>
      <c r="D846" s="68"/>
      <c r="E846" s="68"/>
      <c r="F846" s="68"/>
      <c r="G846" s="68"/>
      <c r="H846" s="68"/>
      <c r="I846" s="68"/>
      <c r="J846" s="68"/>
      <c r="K846" s="68"/>
      <c r="L846" s="68"/>
      <c r="N846" s="75"/>
      <c r="O846" s="79"/>
    </row>
    <row r="847" spans="1:15" ht="12.5" x14ac:dyDescent="0.25">
      <c r="A847" s="14"/>
      <c r="C847" s="68"/>
      <c r="D847" s="68"/>
      <c r="E847" s="68"/>
      <c r="F847" s="68"/>
      <c r="G847" s="68"/>
      <c r="H847" s="68"/>
      <c r="I847" s="68"/>
      <c r="J847" s="68"/>
      <c r="K847" s="68"/>
      <c r="L847" s="68"/>
      <c r="N847" s="75"/>
      <c r="O847" s="79"/>
    </row>
    <row r="848" spans="1:15" ht="12.5" x14ac:dyDescent="0.25">
      <c r="A848" s="14"/>
      <c r="C848" s="68"/>
      <c r="D848" s="68"/>
      <c r="E848" s="68"/>
      <c r="F848" s="68"/>
      <c r="G848" s="68"/>
      <c r="H848" s="68"/>
      <c r="I848" s="68"/>
      <c r="J848" s="68"/>
      <c r="K848" s="68"/>
      <c r="L848" s="68"/>
      <c r="N848" s="75"/>
      <c r="O848" s="79"/>
    </row>
    <row r="849" spans="1:15" ht="12.5" x14ac:dyDescent="0.25">
      <c r="A849" s="14"/>
      <c r="C849" s="68"/>
      <c r="D849" s="68"/>
      <c r="E849" s="68"/>
      <c r="F849" s="68"/>
      <c r="G849" s="68"/>
      <c r="H849" s="68"/>
      <c r="I849" s="68"/>
      <c r="J849" s="68"/>
      <c r="K849" s="68"/>
      <c r="L849" s="68"/>
      <c r="N849" s="75"/>
      <c r="O849" s="79"/>
    </row>
    <row r="850" spans="1:15" ht="12.5" x14ac:dyDescent="0.25">
      <c r="A850" s="14"/>
      <c r="C850" s="68"/>
      <c r="D850" s="68"/>
      <c r="E850" s="68"/>
      <c r="F850" s="68"/>
      <c r="G850" s="68"/>
      <c r="H850" s="68"/>
      <c r="I850" s="68"/>
      <c r="J850" s="68"/>
      <c r="K850" s="68"/>
      <c r="L850" s="68"/>
      <c r="N850" s="75"/>
      <c r="O850" s="79"/>
    </row>
    <row r="851" spans="1:15" ht="12.5" x14ac:dyDescent="0.25">
      <c r="A851" s="14"/>
      <c r="C851" s="68"/>
      <c r="D851" s="68"/>
      <c r="E851" s="68"/>
      <c r="F851" s="68"/>
      <c r="G851" s="68"/>
      <c r="H851" s="68"/>
      <c r="I851" s="68"/>
      <c r="J851" s="68"/>
      <c r="K851" s="68"/>
      <c r="L851" s="68"/>
      <c r="N851" s="75"/>
      <c r="O851" s="79"/>
    </row>
    <row r="852" spans="1:15" ht="12.5" x14ac:dyDescent="0.25">
      <c r="A852" s="14"/>
      <c r="C852" s="68"/>
      <c r="D852" s="68"/>
      <c r="E852" s="68"/>
      <c r="F852" s="68"/>
      <c r="G852" s="68"/>
      <c r="H852" s="68"/>
      <c r="I852" s="68"/>
      <c r="J852" s="68"/>
      <c r="K852" s="68"/>
      <c r="L852" s="68"/>
      <c r="N852" s="75"/>
      <c r="O852" s="79"/>
    </row>
    <row r="853" spans="1:15" ht="12.5" x14ac:dyDescent="0.25">
      <c r="A853" s="14"/>
      <c r="C853" s="68"/>
      <c r="D853" s="68"/>
      <c r="E853" s="68"/>
      <c r="F853" s="68"/>
      <c r="G853" s="68"/>
      <c r="H853" s="68"/>
      <c r="I853" s="68"/>
      <c r="J853" s="68"/>
      <c r="K853" s="68"/>
      <c r="L853" s="68"/>
      <c r="N853" s="75"/>
      <c r="O853" s="79"/>
    </row>
    <row r="854" spans="1:15" ht="12.5" x14ac:dyDescent="0.25">
      <c r="A854" s="14"/>
      <c r="C854" s="68"/>
      <c r="D854" s="68"/>
      <c r="E854" s="68"/>
      <c r="F854" s="68"/>
      <c r="G854" s="68"/>
      <c r="H854" s="68"/>
      <c r="I854" s="68"/>
      <c r="J854" s="68"/>
      <c r="K854" s="68"/>
      <c r="L854" s="68"/>
      <c r="N854" s="75"/>
      <c r="O854" s="79"/>
    </row>
    <row r="855" spans="1:15" ht="12.5" x14ac:dyDescent="0.25">
      <c r="A855" s="14"/>
      <c r="C855" s="68"/>
      <c r="D855" s="68"/>
      <c r="E855" s="68"/>
      <c r="F855" s="68"/>
      <c r="G855" s="68"/>
      <c r="H855" s="68"/>
      <c r="I855" s="68"/>
      <c r="J855" s="68"/>
      <c r="K855" s="68"/>
      <c r="L855" s="68"/>
      <c r="N855" s="75"/>
      <c r="O855" s="79"/>
    </row>
    <row r="856" spans="1:15" ht="12.5" x14ac:dyDescent="0.25">
      <c r="A856" s="14"/>
      <c r="C856" s="68"/>
      <c r="D856" s="68"/>
      <c r="E856" s="68"/>
      <c r="F856" s="68"/>
      <c r="G856" s="68"/>
      <c r="H856" s="68"/>
      <c r="I856" s="68"/>
      <c r="J856" s="68"/>
      <c r="K856" s="68"/>
      <c r="L856" s="68"/>
      <c r="N856" s="75"/>
      <c r="O856" s="79"/>
    </row>
    <row r="857" spans="1:15" ht="12.5" x14ac:dyDescent="0.25">
      <c r="A857" s="14"/>
      <c r="C857" s="68"/>
      <c r="D857" s="68"/>
      <c r="E857" s="68"/>
      <c r="F857" s="68"/>
      <c r="G857" s="68"/>
      <c r="H857" s="68"/>
      <c r="I857" s="68"/>
      <c r="J857" s="68"/>
      <c r="K857" s="68"/>
      <c r="L857" s="68"/>
      <c r="N857" s="75"/>
      <c r="O857" s="79"/>
    </row>
    <row r="858" spans="1:15" ht="12.5" x14ac:dyDescent="0.25">
      <c r="A858" s="14"/>
      <c r="C858" s="68"/>
      <c r="D858" s="68"/>
      <c r="E858" s="68"/>
      <c r="F858" s="68"/>
      <c r="G858" s="68"/>
      <c r="H858" s="68"/>
      <c r="I858" s="68"/>
      <c r="J858" s="68"/>
      <c r="K858" s="68"/>
      <c r="L858" s="68"/>
      <c r="N858" s="75"/>
      <c r="O858" s="79"/>
    </row>
    <row r="859" spans="1:15" ht="12.5" x14ac:dyDescent="0.25">
      <c r="A859" s="14"/>
      <c r="C859" s="68"/>
      <c r="D859" s="68"/>
      <c r="E859" s="68"/>
      <c r="F859" s="68"/>
      <c r="G859" s="68"/>
      <c r="H859" s="68"/>
      <c r="I859" s="68"/>
      <c r="J859" s="68"/>
      <c r="K859" s="68"/>
      <c r="L859" s="68"/>
      <c r="N859" s="75"/>
      <c r="O859" s="79"/>
    </row>
    <row r="860" spans="1:15" ht="12.5" x14ac:dyDescent="0.25">
      <c r="A860" s="14"/>
      <c r="C860" s="68"/>
      <c r="D860" s="68"/>
      <c r="E860" s="68"/>
      <c r="F860" s="68"/>
      <c r="G860" s="68"/>
      <c r="H860" s="68"/>
      <c r="I860" s="68"/>
      <c r="J860" s="68"/>
      <c r="K860" s="68"/>
      <c r="L860" s="68"/>
      <c r="N860" s="75"/>
      <c r="O860" s="79"/>
    </row>
    <row r="861" spans="1:15" ht="12.5" x14ac:dyDescent="0.25">
      <c r="A861" s="14"/>
      <c r="C861" s="68"/>
      <c r="D861" s="68"/>
      <c r="E861" s="68"/>
      <c r="F861" s="68"/>
      <c r="G861" s="68"/>
      <c r="H861" s="68"/>
      <c r="I861" s="68"/>
      <c r="J861" s="68"/>
      <c r="K861" s="68"/>
      <c r="L861" s="68"/>
      <c r="N861" s="75"/>
      <c r="O861" s="79"/>
    </row>
    <row r="862" spans="1:15" ht="12.5" x14ac:dyDescent="0.25">
      <c r="A862" s="14"/>
      <c r="C862" s="68"/>
      <c r="D862" s="68"/>
      <c r="E862" s="68"/>
      <c r="F862" s="68"/>
      <c r="G862" s="68"/>
      <c r="H862" s="68"/>
      <c r="I862" s="68"/>
      <c r="J862" s="68"/>
      <c r="K862" s="68"/>
      <c r="L862" s="68"/>
      <c r="N862" s="75"/>
      <c r="O862" s="79"/>
    </row>
    <row r="863" spans="1:15" ht="12.5" x14ac:dyDescent="0.25">
      <c r="A863" s="14"/>
      <c r="C863" s="68"/>
      <c r="D863" s="68"/>
      <c r="E863" s="68"/>
      <c r="F863" s="68"/>
      <c r="G863" s="68"/>
      <c r="H863" s="68"/>
      <c r="I863" s="68"/>
      <c r="J863" s="68"/>
      <c r="K863" s="68"/>
      <c r="L863" s="68"/>
      <c r="N863" s="75"/>
      <c r="O863" s="79"/>
    </row>
    <row r="864" spans="1:15" ht="12.5" x14ac:dyDescent="0.25">
      <c r="A864" s="14"/>
      <c r="C864" s="68"/>
      <c r="D864" s="68"/>
      <c r="E864" s="68"/>
      <c r="F864" s="68"/>
      <c r="G864" s="68"/>
      <c r="H864" s="68"/>
      <c r="I864" s="68"/>
      <c r="J864" s="68"/>
      <c r="K864" s="68"/>
      <c r="L864" s="68"/>
      <c r="N864" s="75"/>
      <c r="O864" s="79"/>
    </row>
    <row r="865" spans="1:15" ht="12.5" x14ac:dyDescent="0.25">
      <c r="A865" s="14"/>
      <c r="C865" s="68"/>
      <c r="D865" s="68"/>
      <c r="E865" s="68"/>
      <c r="F865" s="68"/>
      <c r="G865" s="68"/>
      <c r="H865" s="68"/>
      <c r="I865" s="68"/>
      <c r="J865" s="68"/>
      <c r="K865" s="68"/>
      <c r="L865" s="68"/>
      <c r="N865" s="75"/>
      <c r="O865" s="79"/>
    </row>
    <row r="866" spans="1:15" ht="12.5" x14ac:dyDescent="0.25">
      <c r="A866" s="14"/>
      <c r="C866" s="68"/>
      <c r="D866" s="68"/>
      <c r="E866" s="68"/>
      <c r="F866" s="68"/>
      <c r="G866" s="68"/>
      <c r="H866" s="68"/>
      <c r="I866" s="68"/>
      <c r="J866" s="68"/>
      <c r="K866" s="68"/>
      <c r="L866" s="68"/>
      <c r="N866" s="75"/>
      <c r="O866" s="79"/>
    </row>
    <row r="867" spans="1:15" ht="12.5" x14ac:dyDescent="0.25">
      <c r="A867" s="14"/>
      <c r="C867" s="68"/>
      <c r="D867" s="68"/>
      <c r="E867" s="68"/>
      <c r="F867" s="68"/>
      <c r="G867" s="68"/>
      <c r="H867" s="68"/>
      <c r="I867" s="68"/>
      <c r="J867" s="68"/>
      <c r="K867" s="68"/>
      <c r="L867" s="68"/>
      <c r="N867" s="75"/>
      <c r="O867" s="79"/>
    </row>
    <row r="868" spans="1:15" ht="12.5" x14ac:dyDescent="0.25">
      <c r="A868" s="14"/>
      <c r="C868" s="68"/>
      <c r="D868" s="68"/>
      <c r="E868" s="68"/>
      <c r="F868" s="68"/>
      <c r="G868" s="68"/>
      <c r="H868" s="68"/>
      <c r="I868" s="68"/>
      <c r="J868" s="68"/>
      <c r="K868" s="68"/>
      <c r="L868" s="68"/>
      <c r="N868" s="75"/>
      <c r="O868" s="79"/>
    </row>
    <row r="869" spans="1:15" ht="12.5" x14ac:dyDescent="0.25">
      <c r="A869" s="14"/>
      <c r="C869" s="68"/>
      <c r="D869" s="68"/>
      <c r="E869" s="68"/>
      <c r="F869" s="68"/>
      <c r="G869" s="68"/>
      <c r="H869" s="68"/>
      <c r="I869" s="68"/>
      <c r="J869" s="68"/>
      <c r="K869" s="68"/>
      <c r="L869" s="68"/>
      <c r="N869" s="75"/>
      <c r="O869" s="79"/>
    </row>
    <row r="870" spans="1:15" ht="12.5" x14ac:dyDescent="0.25">
      <c r="A870" s="14"/>
      <c r="C870" s="68"/>
      <c r="D870" s="68"/>
      <c r="E870" s="68"/>
      <c r="F870" s="68"/>
      <c r="G870" s="68"/>
      <c r="H870" s="68"/>
      <c r="I870" s="68"/>
      <c r="J870" s="68"/>
      <c r="K870" s="68"/>
      <c r="L870" s="68"/>
      <c r="N870" s="75"/>
      <c r="O870" s="79"/>
    </row>
    <row r="871" spans="1:15" ht="12.5" x14ac:dyDescent="0.25">
      <c r="A871" s="14"/>
      <c r="C871" s="68"/>
      <c r="D871" s="68"/>
      <c r="E871" s="68"/>
      <c r="F871" s="68"/>
      <c r="G871" s="68"/>
      <c r="H871" s="68"/>
      <c r="I871" s="68"/>
      <c r="J871" s="68"/>
      <c r="K871" s="68"/>
      <c r="L871" s="68"/>
      <c r="N871" s="75"/>
      <c r="O871" s="79"/>
    </row>
    <row r="872" spans="1:15" ht="12.5" x14ac:dyDescent="0.25">
      <c r="A872" s="14"/>
      <c r="C872" s="68"/>
      <c r="D872" s="68"/>
      <c r="E872" s="68"/>
      <c r="F872" s="68"/>
      <c r="G872" s="68"/>
      <c r="H872" s="68"/>
      <c r="I872" s="68"/>
      <c r="J872" s="68"/>
      <c r="K872" s="68"/>
      <c r="L872" s="68"/>
      <c r="N872" s="75"/>
      <c r="O872" s="79"/>
    </row>
    <row r="873" spans="1:15" ht="12.5" x14ac:dyDescent="0.25">
      <c r="A873" s="14"/>
      <c r="C873" s="68"/>
      <c r="D873" s="68"/>
      <c r="E873" s="68"/>
      <c r="F873" s="68"/>
      <c r="G873" s="68"/>
      <c r="H873" s="68"/>
      <c r="I873" s="68"/>
      <c r="J873" s="68"/>
      <c r="K873" s="68"/>
      <c r="L873" s="68"/>
      <c r="N873" s="75"/>
      <c r="O873" s="79"/>
    </row>
    <row r="874" spans="1:15" ht="12.5" x14ac:dyDescent="0.25">
      <c r="A874" s="14"/>
      <c r="C874" s="68"/>
      <c r="D874" s="68"/>
      <c r="E874" s="68"/>
      <c r="F874" s="68"/>
      <c r="G874" s="68"/>
      <c r="H874" s="68"/>
      <c r="I874" s="68"/>
      <c r="J874" s="68"/>
      <c r="K874" s="68"/>
      <c r="L874" s="68"/>
      <c r="N874" s="75"/>
      <c r="O874" s="79"/>
    </row>
    <row r="875" spans="1:15" ht="12.5" x14ac:dyDescent="0.25">
      <c r="A875" s="14"/>
      <c r="C875" s="68"/>
      <c r="D875" s="68"/>
      <c r="E875" s="68"/>
      <c r="F875" s="68"/>
      <c r="G875" s="68"/>
      <c r="H875" s="68"/>
      <c r="I875" s="68"/>
      <c r="J875" s="68"/>
      <c r="K875" s="68"/>
      <c r="L875" s="68"/>
      <c r="N875" s="75"/>
      <c r="O875" s="79"/>
    </row>
    <row r="876" spans="1:15" ht="12.5" x14ac:dyDescent="0.25">
      <c r="A876" s="14"/>
      <c r="C876" s="68"/>
      <c r="D876" s="68"/>
      <c r="E876" s="68"/>
      <c r="F876" s="68"/>
      <c r="G876" s="68"/>
      <c r="H876" s="68"/>
      <c r="I876" s="68"/>
      <c r="J876" s="68"/>
      <c r="K876" s="68"/>
      <c r="L876" s="68"/>
      <c r="N876" s="75"/>
      <c r="O876" s="79"/>
    </row>
    <row r="877" spans="1:15" ht="12.5" x14ac:dyDescent="0.25">
      <c r="A877" s="14"/>
      <c r="C877" s="68"/>
      <c r="D877" s="68"/>
      <c r="E877" s="68"/>
      <c r="F877" s="68"/>
      <c r="G877" s="68"/>
      <c r="H877" s="68"/>
      <c r="I877" s="68"/>
      <c r="J877" s="68"/>
      <c r="K877" s="68"/>
      <c r="L877" s="68"/>
      <c r="N877" s="75"/>
      <c r="O877" s="79"/>
    </row>
    <row r="878" spans="1:15" ht="12.5" x14ac:dyDescent="0.25">
      <c r="A878" s="14"/>
      <c r="C878" s="68"/>
      <c r="D878" s="68"/>
      <c r="E878" s="68"/>
      <c r="F878" s="68"/>
      <c r="G878" s="68"/>
      <c r="H878" s="68"/>
      <c r="I878" s="68"/>
      <c r="J878" s="68"/>
      <c r="K878" s="68"/>
      <c r="L878" s="68"/>
      <c r="N878" s="75"/>
      <c r="O878" s="79"/>
    </row>
    <row r="879" spans="1:15" ht="12.5" x14ac:dyDescent="0.25">
      <c r="A879" s="14"/>
      <c r="C879" s="68"/>
      <c r="D879" s="68"/>
      <c r="E879" s="68"/>
      <c r="F879" s="68"/>
      <c r="G879" s="68"/>
      <c r="H879" s="68"/>
      <c r="I879" s="68"/>
      <c r="J879" s="68"/>
      <c r="K879" s="68"/>
      <c r="L879" s="68"/>
      <c r="N879" s="75"/>
      <c r="O879" s="79"/>
    </row>
    <row r="880" spans="1:15" ht="12.5" x14ac:dyDescent="0.25">
      <c r="A880" s="14"/>
      <c r="C880" s="68"/>
      <c r="D880" s="68"/>
      <c r="E880" s="68"/>
      <c r="F880" s="68"/>
      <c r="G880" s="68"/>
      <c r="H880" s="68"/>
      <c r="I880" s="68"/>
      <c r="J880" s="68"/>
      <c r="K880" s="68"/>
      <c r="L880" s="68"/>
      <c r="N880" s="75"/>
      <c r="O880" s="79"/>
    </row>
    <row r="881" spans="1:15" ht="12.5" x14ac:dyDescent="0.25">
      <c r="A881" s="14"/>
      <c r="C881" s="68"/>
      <c r="D881" s="68"/>
      <c r="E881" s="68"/>
      <c r="F881" s="68"/>
      <c r="G881" s="68"/>
      <c r="H881" s="68"/>
      <c r="I881" s="68"/>
      <c r="J881" s="68"/>
      <c r="K881" s="68"/>
      <c r="L881" s="68"/>
      <c r="N881" s="75"/>
      <c r="O881" s="79"/>
    </row>
    <row r="882" spans="1:15" ht="12.5" x14ac:dyDescent="0.25">
      <c r="A882" s="14"/>
      <c r="C882" s="68"/>
      <c r="D882" s="68"/>
      <c r="E882" s="68"/>
      <c r="F882" s="68"/>
      <c r="G882" s="68"/>
      <c r="H882" s="68"/>
      <c r="I882" s="68"/>
      <c r="J882" s="68"/>
      <c r="K882" s="68"/>
      <c r="L882" s="68"/>
      <c r="N882" s="75"/>
      <c r="O882" s="79"/>
    </row>
    <row r="883" spans="1:15" ht="12.5" x14ac:dyDescent="0.25">
      <c r="A883" s="14"/>
      <c r="C883" s="68"/>
      <c r="D883" s="68"/>
      <c r="E883" s="68"/>
      <c r="F883" s="68"/>
      <c r="G883" s="68"/>
      <c r="H883" s="68"/>
      <c r="I883" s="68"/>
      <c r="J883" s="68"/>
      <c r="K883" s="68"/>
      <c r="L883" s="68"/>
      <c r="N883" s="75"/>
      <c r="O883" s="79"/>
    </row>
    <row r="884" spans="1:15" ht="12.5" x14ac:dyDescent="0.25">
      <c r="A884" s="14"/>
      <c r="C884" s="68"/>
      <c r="D884" s="68"/>
      <c r="E884" s="68"/>
      <c r="F884" s="68"/>
      <c r="G884" s="68"/>
      <c r="H884" s="68"/>
      <c r="I884" s="68"/>
      <c r="J884" s="68"/>
      <c r="K884" s="68"/>
      <c r="L884" s="68"/>
      <c r="N884" s="75"/>
      <c r="O884" s="79"/>
    </row>
    <row r="885" spans="1:15" ht="12.5" x14ac:dyDescent="0.25">
      <c r="A885" s="14"/>
      <c r="C885" s="68"/>
      <c r="D885" s="68"/>
      <c r="E885" s="68"/>
      <c r="F885" s="68"/>
      <c r="G885" s="68"/>
      <c r="H885" s="68"/>
      <c r="I885" s="68"/>
      <c r="J885" s="68"/>
      <c r="K885" s="68"/>
      <c r="L885" s="68"/>
      <c r="N885" s="75"/>
      <c r="O885" s="79"/>
    </row>
    <row r="886" spans="1:15" ht="12.5" x14ac:dyDescent="0.25">
      <c r="A886" s="14"/>
      <c r="C886" s="68"/>
      <c r="D886" s="68"/>
      <c r="E886" s="68"/>
      <c r="F886" s="68"/>
      <c r="G886" s="68"/>
      <c r="H886" s="68"/>
      <c r="I886" s="68"/>
      <c r="J886" s="68"/>
      <c r="K886" s="68"/>
      <c r="L886" s="68"/>
      <c r="N886" s="75"/>
      <c r="O886" s="79"/>
    </row>
    <row r="887" spans="1:15" ht="12.5" x14ac:dyDescent="0.25">
      <c r="A887" s="14"/>
      <c r="C887" s="68"/>
      <c r="D887" s="68"/>
      <c r="E887" s="68"/>
      <c r="F887" s="68"/>
      <c r="G887" s="68"/>
      <c r="H887" s="68"/>
      <c r="I887" s="68"/>
      <c r="J887" s="68"/>
      <c r="K887" s="68"/>
      <c r="L887" s="68"/>
      <c r="N887" s="75"/>
      <c r="O887" s="79"/>
    </row>
    <row r="888" spans="1:15" ht="12.5" x14ac:dyDescent="0.25">
      <c r="A888" s="14"/>
      <c r="C888" s="68"/>
      <c r="D888" s="68"/>
      <c r="E888" s="68"/>
      <c r="F888" s="68"/>
      <c r="G888" s="68"/>
      <c r="H888" s="68"/>
      <c r="I888" s="68"/>
      <c r="J888" s="68"/>
      <c r="K888" s="68"/>
      <c r="L888" s="68"/>
      <c r="N888" s="75"/>
      <c r="O888" s="79"/>
    </row>
    <row r="889" spans="1:15" ht="12.5" x14ac:dyDescent="0.25">
      <c r="A889" s="14"/>
      <c r="C889" s="68"/>
      <c r="D889" s="68"/>
      <c r="E889" s="68"/>
      <c r="F889" s="68"/>
      <c r="G889" s="68"/>
      <c r="H889" s="68"/>
      <c r="I889" s="68"/>
      <c r="J889" s="68"/>
      <c r="K889" s="68"/>
      <c r="L889" s="68"/>
      <c r="N889" s="75"/>
      <c r="O889" s="79"/>
    </row>
    <row r="890" spans="1:15" ht="12.5" x14ac:dyDescent="0.25">
      <c r="A890" s="14"/>
      <c r="C890" s="68"/>
      <c r="D890" s="68"/>
      <c r="E890" s="68"/>
      <c r="F890" s="68"/>
      <c r="G890" s="68"/>
      <c r="H890" s="68"/>
      <c r="I890" s="68"/>
      <c r="J890" s="68"/>
      <c r="K890" s="68"/>
      <c r="L890" s="68"/>
      <c r="N890" s="75"/>
      <c r="O890" s="79"/>
    </row>
    <row r="891" spans="1:15" ht="12.5" x14ac:dyDescent="0.25">
      <c r="A891" s="14"/>
      <c r="C891" s="68"/>
      <c r="D891" s="68"/>
      <c r="E891" s="68"/>
      <c r="F891" s="68"/>
      <c r="G891" s="68"/>
      <c r="H891" s="68"/>
      <c r="I891" s="68"/>
      <c r="J891" s="68"/>
      <c r="K891" s="68"/>
      <c r="L891" s="68"/>
      <c r="N891" s="75"/>
      <c r="O891" s="79"/>
    </row>
    <row r="892" spans="1:15" ht="12.5" x14ac:dyDescent="0.25">
      <c r="A892" s="14"/>
      <c r="C892" s="68"/>
      <c r="D892" s="68"/>
      <c r="E892" s="68"/>
      <c r="F892" s="68"/>
      <c r="G892" s="68"/>
      <c r="H892" s="68"/>
      <c r="I892" s="68"/>
      <c r="J892" s="68"/>
      <c r="K892" s="68"/>
      <c r="L892" s="68"/>
      <c r="N892" s="75"/>
      <c r="O892" s="79"/>
    </row>
    <row r="893" spans="1:15" ht="12.5" x14ac:dyDescent="0.25">
      <c r="A893" s="14"/>
      <c r="C893" s="68"/>
      <c r="D893" s="68"/>
      <c r="E893" s="68"/>
      <c r="F893" s="68"/>
      <c r="G893" s="68"/>
      <c r="H893" s="68"/>
      <c r="I893" s="68"/>
      <c r="J893" s="68"/>
      <c r="K893" s="68"/>
      <c r="L893" s="68"/>
      <c r="N893" s="75"/>
      <c r="O893" s="79"/>
    </row>
    <row r="894" spans="1:15" ht="12.5" x14ac:dyDescent="0.25">
      <c r="A894" s="14"/>
      <c r="C894" s="68"/>
      <c r="D894" s="68"/>
      <c r="E894" s="68"/>
      <c r="F894" s="68"/>
      <c r="G894" s="68"/>
      <c r="H894" s="68"/>
      <c r="I894" s="68"/>
      <c r="J894" s="68"/>
      <c r="K894" s="68"/>
      <c r="L894" s="68"/>
      <c r="N894" s="75"/>
      <c r="O894" s="79"/>
    </row>
    <row r="895" spans="1:15" ht="12.5" x14ac:dyDescent="0.25">
      <c r="A895" s="14"/>
      <c r="C895" s="68"/>
      <c r="D895" s="68"/>
      <c r="E895" s="68"/>
      <c r="F895" s="68"/>
      <c r="G895" s="68"/>
      <c r="H895" s="68"/>
      <c r="I895" s="68"/>
      <c r="J895" s="68"/>
      <c r="K895" s="68"/>
      <c r="L895" s="68"/>
      <c r="N895" s="75"/>
      <c r="O895" s="79"/>
    </row>
    <row r="896" spans="1:15" ht="12.5" x14ac:dyDescent="0.25">
      <c r="A896" s="14"/>
      <c r="C896" s="68"/>
      <c r="D896" s="68"/>
      <c r="E896" s="68"/>
      <c r="F896" s="68"/>
      <c r="G896" s="68"/>
      <c r="H896" s="68"/>
      <c r="I896" s="68"/>
      <c r="J896" s="68"/>
      <c r="K896" s="68"/>
      <c r="L896" s="68"/>
      <c r="N896" s="75"/>
      <c r="O896" s="79"/>
    </row>
    <row r="897" spans="1:15" ht="12.5" x14ac:dyDescent="0.25">
      <c r="A897" s="14"/>
      <c r="C897" s="68"/>
      <c r="D897" s="68"/>
      <c r="E897" s="68"/>
      <c r="F897" s="68"/>
      <c r="G897" s="68"/>
      <c r="H897" s="68"/>
      <c r="I897" s="68"/>
      <c r="J897" s="68"/>
      <c r="K897" s="68"/>
      <c r="L897" s="68"/>
      <c r="N897" s="75"/>
      <c r="O897" s="79"/>
    </row>
    <row r="898" spans="1:15" ht="12.5" x14ac:dyDescent="0.25">
      <c r="A898" s="14"/>
      <c r="C898" s="68"/>
      <c r="D898" s="68"/>
      <c r="E898" s="68"/>
      <c r="F898" s="68"/>
      <c r="G898" s="68"/>
      <c r="H898" s="68"/>
      <c r="I898" s="68"/>
      <c r="J898" s="68"/>
      <c r="K898" s="68"/>
      <c r="L898" s="68"/>
      <c r="N898" s="75"/>
      <c r="O898" s="79"/>
    </row>
    <row r="899" spans="1:15" ht="12.5" x14ac:dyDescent="0.25">
      <c r="A899" s="14"/>
      <c r="C899" s="68"/>
      <c r="D899" s="68"/>
      <c r="E899" s="68"/>
      <c r="F899" s="68"/>
      <c r="G899" s="68"/>
      <c r="H899" s="68"/>
      <c r="I899" s="68"/>
      <c r="J899" s="68"/>
      <c r="K899" s="68"/>
      <c r="L899" s="68"/>
      <c r="N899" s="75"/>
      <c r="O899" s="79"/>
    </row>
    <row r="900" spans="1:15" ht="12.5" x14ac:dyDescent="0.25">
      <c r="A900" s="14"/>
      <c r="C900" s="68"/>
      <c r="D900" s="68"/>
      <c r="E900" s="68"/>
      <c r="F900" s="68"/>
      <c r="G900" s="68"/>
      <c r="H900" s="68"/>
      <c r="I900" s="68"/>
      <c r="J900" s="68"/>
      <c r="K900" s="68"/>
      <c r="L900" s="68"/>
      <c r="N900" s="75"/>
      <c r="O900" s="79"/>
    </row>
    <row r="901" spans="1:15" ht="12.5" x14ac:dyDescent="0.25">
      <c r="A901" s="14"/>
      <c r="C901" s="68"/>
      <c r="D901" s="68"/>
      <c r="E901" s="68"/>
      <c r="F901" s="68"/>
      <c r="G901" s="68"/>
      <c r="H901" s="68"/>
      <c r="I901" s="68"/>
      <c r="J901" s="68"/>
      <c r="K901" s="68"/>
      <c r="L901" s="68"/>
      <c r="N901" s="75"/>
      <c r="O901" s="79"/>
    </row>
    <row r="902" spans="1:15" ht="12.5" x14ac:dyDescent="0.25">
      <c r="A902" s="14"/>
      <c r="C902" s="68"/>
      <c r="D902" s="68"/>
      <c r="E902" s="68"/>
      <c r="F902" s="68"/>
      <c r="G902" s="68"/>
      <c r="H902" s="68"/>
      <c r="I902" s="68"/>
      <c r="J902" s="68"/>
      <c r="K902" s="68"/>
      <c r="L902" s="68"/>
      <c r="N902" s="75"/>
      <c r="O902" s="79"/>
    </row>
    <row r="903" spans="1:15" ht="12.5" x14ac:dyDescent="0.25">
      <c r="A903" s="14"/>
      <c r="C903" s="68"/>
      <c r="D903" s="68"/>
      <c r="E903" s="68"/>
      <c r="F903" s="68"/>
      <c r="G903" s="68"/>
      <c r="H903" s="68"/>
      <c r="I903" s="68"/>
      <c r="J903" s="68"/>
      <c r="K903" s="68"/>
      <c r="L903" s="68"/>
      <c r="N903" s="75"/>
      <c r="O903" s="79"/>
    </row>
    <row r="904" spans="1:15" ht="12.5" x14ac:dyDescent="0.25">
      <c r="A904" s="14"/>
      <c r="C904" s="68"/>
      <c r="D904" s="68"/>
      <c r="E904" s="68"/>
      <c r="F904" s="68"/>
      <c r="G904" s="68"/>
      <c r="H904" s="68"/>
      <c r="I904" s="68"/>
      <c r="J904" s="68"/>
      <c r="K904" s="68"/>
      <c r="L904" s="68"/>
      <c r="N904" s="75"/>
      <c r="O904" s="79"/>
    </row>
    <row r="905" spans="1:15" ht="12.5" x14ac:dyDescent="0.25">
      <c r="A905" s="14"/>
      <c r="C905" s="68"/>
      <c r="D905" s="68"/>
      <c r="E905" s="68"/>
      <c r="F905" s="68"/>
      <c r="G905" s="68"/>
      <c r="H905" s="68"/>
      <c r="I905" s="68"/>
      <c r="J905" s="68"/>
      <c r="K905" s="68"/>
      <c r="L905" s="68"/>
      <c r="N905" s="75"/>
      <c r="O905" s="79"/>
    </row>
    <row r="906" spans="1:15" ht="12.5" x14ac:dyDescent="0.25">
      <c r="A906" s="14"/>
      <c r="C906" s="68"/>
      <c r="D906" s="68"/>
      <c r="E906" s="68"/>
      <c r="F906" s="68"/>
      <c r="G906" s="68"/>
      <c r="H906" s="68"/>
      <c r="I906" s="68"/>
      <c r="J906" s="68"/>
      <c r="K906" s="68"/>
      <c r="L906" s="68"/>
      <c r="N906" s="75"/>
      <c r="O906" s="79"/>
    </row>
    <row r="907" spans="1:15" ht="12.5" x14ac:dyDescent="0.25">
      <c r="A907" s="14"/>
      <c r="C907" s="68"/>
      <c r="D907" s="68"/>
      <c r="E907" s="68"/>
      <c r="F907" s="68"/>
      <c r="G907" s="68"/>
      <c r="H907" s="68"/>
      <c r="I907" s="68"/>
      <c r="J907" s="68"/>
      <c r="K907" s="68"/>
      <c r="L907" s="68"/>
      <c r="N907" s="75"/>
      <c r="O907" s="79"/>
    </row>
    <row r="908" spans="1:15" ht="12.5" x14ac:dyDescent="0.25">
      <c r="A908" s="14"/>
      <c r="C908" s="68"/>
      <c r="D908" s="68"/>
      <c r="E908" s="68"/>
      <c r="F908" s="68"/>
      <c r="G908" s="68"/>
      <c r="H908" s="68"/>
      <c r="I908" s="68"/>
      <c r="J908" s="68"/>
      <c r="K908" s="68"/>
      <c r="L908" s="68"/>
      <c r="N908" s="75"/>
      <c r="O908" s="79"/>
    </row>
    <row r="909" spans="1:15" ht="12.5" x14ac:dyDescent="0.25">
      <c r="A909" s="14"/>
      <c r="C909" s="68"/>
      <c r="D909" s="68"/>
      <c r="E909" s="68"/>
      <c r="F909" s="68"/>
      <c r="G909" s="68"/>
      <c r="H909" s="68"/>
      <c r="I909" s="68"/>
      <c r="J909" s="68"/>
      <c r="K909" s="68"/>
      <c r="L909" s="68"/>
      <c r="N909" s="75"/>
      <c r="O909" s="79"/>
    </row>
    <row r="910" spans="1:15" ht="12.5" x14ac:dyDescent="0.25">
      <c r="A910" s="14"/>
      <c r="C910" s="68"/>
      <c r="D910" s="68"/>
      <c r="E910" s="68"/>
      <c r="F910" s="68"/>
      <c r="G910" s="68"/>
      <c r="H910" s="68"/>
      <c r="I910" s="68"/>
      <c r="J910" s="68"/>
      <c r="K910" s="68"/>
      <c r="L910" s="68"/>
      <c r="N910" s="75"/>
      <c r="O910" s="79"/>
    </row>
    <row r="911" spans="1:15" ht="12.5" x14ac:dyDescent="0.25">
      <c r="A911" s="14"/>
      <c r="C911" s="68"/>
      <c r="D911" s="68"/>
      <c r="E911" s="68"/>
      <c r="F911" s="68"/>
      <c r="G911" s="68"/>
      <c r="H911" s="68"/>
      <c r="I911" s="68"/>
      <c r="J911" s="68"/>
      <c r="K911" s="68"/>
      <c r="L911" s="68"/>
      <c r="N911" s="75"/>
      <c r="O911" s="79"/>
    </row>
    <row r="912" spans="1:15" ht="12.5" x14ac:dyDescent="0.25">
      <c r="A912" s="14"/>
      <c r="C912" s="68"/>
      <c r="D912" s="68"/>
      <c r="E912" s="68"/>
      <c r="F912" s="68"/>
      <c r="G912" s="68"/>
      <c r="H912" s="68"/>
      <c r="I912" s="68"/>
      <c r="J912" s="68"/>
      <c r="K912" s="68"/>
      <c r="L912" s="68"/>
      <c r="N912" s="75"/>
      <c r="O912" s="79"/>
    </row>
    <row r="913" spans="1:15" ht="12.5" x14ac:dyDescent="0.25">
      <c r="A913" s="14"/>
      <c r="C913" s="68"/>
      <c r="D913" s="68"/>
      <c r="E913" s="68"/>
      <c r="F913" s="68"/>
      <c r="G913" s="68"/>
      <c r="H913" s="68"/>
      <c r="I913" s="68"/>
      <c r="J913" s="68"/>
      <c r="K913" s="68"/>
      <c r="L913" s="68"/>
      <c r="N913" s="75"/>
      <c r="O913" s="79"/>
    </row>
    <row r="914" spans="1:15" ht="12.5" x14ac:dyDescent="0.25">
      <c r="A914" s="14"/>
      <c r="C914" s="68"/>
      <c r="D914" s="68"/>
      <c r="E914" s="68"/>
      <c r="F914" s="68"/>
      <c r="G914" s="68"/>
      <c r="H914" s="68"/>
      <c r="I914" s="68"/>
      <c r="J914" s="68"/>
      <c r="K914" s="68"/>
      <c r="L914" s="68"/>
      <c r="N914" s="75"/>
      <c r="O914" s="79"/>
    </row>
    <row r="915" spans="1:15" ht="12.5" x14ac:dyDescent="0.25">
      <c r="A915" s="14"/>
      <c r="C915" s="68"/>
      <c r="D915" s="68"/>
      <c r="E915" s="68"/>
      <c r="F915" s="68"/>
      <c r="G915" s="68"/>
      <c r="H915" s="68"/>
      <c r="I915" s="68"/>
      <c r="J915" s="68"/>
      <c r="K915" s="68"/>
      <c r="L915" s="68"/>
      <c r="N915" s="75"/>
      <c r="O915" s="79"/>
    </row>
    <row r="916" spans="1:15" ht="12.5" x14ac:dyDescent="0.25">
      <c r="A916" s="14"/>
      <c r="C916" s="68"/>
      <c r="D916" s="68"/>
      <c r="E916" s="68"/>
      <c r="F916" s="68"/>
      <c r="G916" s="68"/>
      <c r="H916" s="68"/>
      <c r="I916" s="68"/>
      <c r="J916" s="68"/>
      <c r="K916" s="68"/>
      <c r="L916" s="68"/>
      <c r="N916" s="75"/>
      <c r="O916" s="79"/>
    </row>
    <row r="917" spans="1:15" ht="12.5" x14ac:dyDescent="0.25">
      <c r="A917" s="14"/>
      <c r="C917" s="68"/>
      <c r="D917" s="68"/>
      <c r="E917" s="68"/>
      <c r="F917" s="68"/>
      <c r="G917" s="68"/>
      <c r="H917" s="68"/>
      <c r="I917" s="68"/>
      <c r="J917" s="68"/>
      <c r="K917" s="68"/>
      <c r="L917" s="68"/>
      <c r="N917" s="75"/>
      <c r="O917" s="79"/>
    </row>
    <row r="918" spans="1:15" ht="12.5" x14ac:dyDescent="0.25">
      <c r="A918" s="14"/>
      <c r="C918" s="68"/>
      <c r="D918" s="68"/>
      <c r="E918" s="68"/>
      <c r="F918" s="68"/>
      <c r="G918" s="68"/>
      <c r="H918" s="68"/>
      <c r="I918" s="68"/>
      <c r="J918" s="68"/>
      <c r="K918" s="68"/>
      <c r="L918" s="68"/>
      <c r="N918" s="75"/>
      <c r="O918" s="79"/>
    </row>
    <row r="919" spans="1:15" ht="12.5" x14ac:dyDescent="0.25">
      <c r="A919" s="14"/>
      <c r="C919" s="68"/>
      <c r="D919" s="68"/>
      <c r="E919" s="68"/>
      <c r="F919" s="68"/>
      <c r="G919" s="68"/>
      <c r="H919" s="68"/>
      <c r="I919" s="68"/>
      <c r="J919" s="68"/>
      <c r="K919" s="68"/>
      <c r="L919" s="68"/>
      <c r="N919" s="75"/>
      <c r="O919" s="79"/>
    </row>
    <row r="920" spans="1:15" ht="12.5" x14ac:dyDescent="0.25">
      <c r="A920" s="14"/>
      <c r="C920" s="68"/>
      <c r="D920" s="68"/>
      <c r="E920" s="68"/>
      <c r="F920" s="68"/>
      <c r="G920" s="68"/>
      <c r="H920" s="68"/>
      <c r="I920" s="68"/>
      <c r="J920" s="68"/>
      <c r="K920" s="68"/>
      <c r="L920" s="68"/>
      <c r="N920" s="75"/>
      <c r="O920" s="79"/>
    </row>
    <row r="921" spans="1:15" ht="12.5" x14ac:dyDescent="0.25">
      <c r="A921" s="14"/>
      <c r="C921" s="68"/>
      <c r="D921" s="68"/>
      <c r="E921" s="68"/>
      <c r="F921" s="68"/>
      <c r="G921" s="68"/>
      <c r="H921" s="68"/>
      <c r="I921" s="68"/>
      <c r="J921" s="68"/>
      <c r="K921" s="68"/>
      <c r="L921" s="68"/>
      <c r="N921" s="75"/>
      <c r="O921" s="79"/>
    </row>
    <row r="922" spans="1:15" ht="12.5" x14ac:dyDescent="0.25">
      <c r="A922" s="14"/>
      <c r="C922" s="68"/>
      <c r="D922" s="68"/>
      <c r="E922" s="68"/>
      <c r="F922" s="68"/>
      <c r="G922" s="68"/>
      <c r="H922" s="68"/>
      <c r="I922" s="68"/>
      <c r="J922" s="68"/>
      <c r="K922" s="68"/>
      <c r="L922" s="68"/>
      <c r="N922" s="75"/>
      <c r="O922" s="79"/>
    </row>
    <row r="923" spans="1:15" ht="12.5" x14ac:dyDescent="0.25">
      <c r="A923" s="14"/>
      <c r="C923" s="68"/>
      <c r="D923" s="68"/>
      <c r="E923" s="68"/>
      <c r="F923" s="68"/>
      <c r="G923" s="68"/>
      <c r="H923" s="68"/>
      <c r="I923" s="68"/>
      <c r="J923" s="68"/>
      <c r="K923" s="68"/>
      <c r="L923" s="68"/>
      <c r="N923" s="75"/>
      <c r="O923" s="79"/>
    </row>
    <row r="924" spans="1:15" ht="12.5" x14ac:dyDescent="0.25">
      <c r="A924" s="14"/>
      <c r="C924" s="68"/>
      <c r="D924" s="68"/>
      <c r="E924" s="68"/>
      <c r="F924" s="68"/>
      <c r="G924" s="68"/>
      <c r="H924" s="68"/>
      <c r="I924" s="68"/>
      <c r="J924" s="68"/>
      <c r="K924" s="68"/>
      <c r="L924" s="68"/>
      <c r="N924" s="75"/>
      <c r="O924" s="79"/>
    </row>
    <row r="925" spans="1:15" ht="12.5" x14ac:dyDescent="0.25">
      <c r="A925" s="14"/>
      <c r="C925" s="68"/>
      <c r="D925" s="68"/>
      <c r="E925" s="68"/>
      <c r="F925" s="68"/>
      <c r="G925" s="68"/>
      <c r="H925" s="68"/>
      <c r="I925" s="68"/>
      <c r="J925" s="68"/>
      <c r="K925" s="68"/>
      <c r="L925" s="68"/>
      <c r="N925" s="75"/>
      <c r="O925" s="79"/>
    </row>
    <row r="926" spans="1:15" ht="12.5" x14ac:dyDescent="0.25">
      <c r="A926" s="14"/>
      <c r="C926" s="68"/>
      <c r="D926" s="68"/>
      <c r="E926" s="68"/>
      <c r="F926" s="68"/>
      <c r="G926" s="68"/>
      <c r="H926" s="68"/>
      <c r="I926" s="68"/>
      <c r="J926" s="68"/>
      <c r="K926" s="68"/>
      <c r="L926" s="68"/>
      <c r="N926" s="75"/>
      <c r="O926" s="79"/>
    </row>
    <row r="927" spans="1:15" ht="12.5" x14ac:dyDescent="0.25">
      <c r="A927" s="14"/>
      <c r="C927" s="68"/>
      <c r="D927" s="68"/>
      <c r="E927" s="68"/>
      <c r="F927" s="68"/>
      <c r="G927" s="68"/>
      <c r="H927" s="68"/>
      <c r="I927" s="68"/>
      <c r="J927" s="68"/>
      <c r="K927" s="68"/>
      <c r="L927" s="68"/>
      <c r="N927" s="75"/>
      <c r="O927" s="79"/>
    </row>
    <row r="928" spans="1:15" ht="12.5" x14ac:dyDescent="0.25">
      <c r="A928" s="14"/>
      <c r="C928" s="68"/>
      <c r="D928" s="68"/>
      <c r="E928" s="68"/>
      <c r="F928" s="68"/>
      <c r="G928" s="68"/>
      <c r="H928" s="68"/>
      <c r="I928" s="68"/>
      <c r="J928" s="68"/>
      <c r="K928" s="68"/>
      <c r="L928" s="68"/>
      <c r="N928" s="75"/>
      <c r="O928" s="79"/>
    </row>
    <row r="929" spans="1:15" ht="12.5" x14ac:dyDescent="0.25">
      <c r="A929" s="14"/>
      <c r="C929" s="68"/>
      <c r="D929" s="68"/>
      <c r="E929" s="68"/>
      <c r="F929" s="68"/>
      <c r="G929" s="68"/>
      <c r="H929" s="68"/>
      <c r="I929" s="68"/>
      <c r="J929" s="68"/>
      <c r="K929" s="68"/>
      <c r="L929" s="68"/>
      <c r="N929" s="75"/>
      <c r="O929" s="79"/>
    </row>
    <row r="930" spans="1:15" ht="12.5" x14ac:dyDescent="0.25">
      <c r="A930" s="14"/>
      <c r="C930" s="68"/>
      <c r="D930" s="68"/>
      <c r="E930" s="68"/>
      <c r="F930" s="68"/>
      <c r="G930" s="68"/>
      <c r="H930" s="68"/>
      <c r="I930" s="68"/>
      <c r="J930" s="68"/>
      <c r="K930" s="68"/>
      <c r="L930" s="68"/>
      <c r="N930" s="75"/>
      <c r="O930" s="79"/>
    </row>
    <row r="931" spans="1:15" ht="12.5" x14ac:dyDescent="0.25">
      <c r="A931" s="14"/>
      <c r="C931" s="68"/>
      <c r="D931" s="68"/>
      <c r="E931" s="68"/>
      <c r="F931" s="68"/>
      <c r="G931" s="68"/>
      <c r="H931" s="68"/>
      <c r="I931" s="68"/>
      <c r="J931" s="68"/>
      <c r="K931" s="68"/>
      <c r="L931" s="68"/>
      <c r="N931" s="75"/>
      <c r="O931" s="79"/>
    </row>
    <row r="932" spans="1:15" ht="12.5" x14ac:dyDescent="0.25">
      <c r="A932" s="14"/>
      <c r="C932" s="68"/>
      <c r="D932" s="68"/>
      <c r="E932" s="68"/>
      <c r="F932" s="68"/>
      <c r="G932" s="68"/>
      <c r="H932" s="68"/>
      <c r="I932" s="68"/>
      <c r="J932" s="68"/>
      <c r="K932" s="68"/>
      <c r="L932" s="68"/>
      <c r="N932" s="75"/>
      <c r="O932" s="79"/>
    </row>
    <row r="933" spans="1:15" ht="12.5" x14ac:dyDescent="0.25">
      <c r="A933" s="14"/>
      <c r="C933" s="68"/>
      <c r="D933" s="68"/>
      <c r="E933" s="68"/>
      <c r="F933" s="68"/>
      <c r="G933" s="68"/>
      <c r="H933" s="68"/>
      <c r="I933" s="68"/>
      <c r="J933" s="68"/>
      <c r="K933" s="68"/>
      <c r="L933" s="68"/>
      <c r="N933" s="75"/>
      <c r="O933" s="79"/>
    </row>
    <row r="934" spans="1:15" ht="12.5" x14ac:dyDescent="0.25">
      <c r="A934" s="14"/>
      <c r="C934" s="68"/>
      <c r="D934" s="68"/>
      <c r="E934" s="68"/>
      <c r="F934" s="68"/>
      <c r="G934" s="68"/>
      <c r="H934" s="68"/>
      <c r="I934" s="68"/>
      <c r="J934" s="68"/>
      <c r="K934" s="68"/>
      <c r="L934" s="68"/>
      <c r="N934" s="75"/>
      <c r="O934" s="79"/>
    </row>
    <row r="935" spans="1:15" ht="12.5" x14ac:dyDescent="0.25">
      <c r="A935" s="14"/>
      <c r="C935" s="68"/>
      <c r="D935" s="68"/>
      <c r="E935" s="68"/>
      <c r="F935" s="68"/>
      <c r="G935" s="68"/>
      <c r="H935" s="68"/>
      <c r="I935" s="68"/>
      <c r="J935" s="68"/>
      <c r="K935" s="68"/>
      <c r="L935" s="68"/>
      <c r="N935" s="75"/>
      <c r="O935" s="79"/>
    </row>
    <row r="936" spans="1:15" ht="12.5" x14ac:dyDescent="0.25">
      <c r="A936" s="14"/>
      <c r="C936" s="68"/>
      <c r="D936" s="68"/>
      <c r="E936" s="68"/>
      <c r="F936" s="68"/>
      <c r="G936" s="68"/>
      <c r="H936" s="68"/>
      <c r="I936" s="68"/>
      <c r="J936" s="68"/>
      <c r="K936" s="68"/>
      <c r="L936" s="68"/>
      <c r="N936" s="75"/>
      <c r="O936" s="79"/>
    </row>
    <row r="937" spans="1:15" ht="12.5" x14ac:dyDescent="0.25">
      <c r="A937" s="14"/>
      <c r="C937" s="68"/>
      <c r="D937" s="68"/>
      <c r="E937" s="68"/>
      <c r="F937" s="68"/>
      <c r="G937" s="68"/>
      <c r="H937" s="68"/>
      <c r="I937" s="68"/>
      <c r="J937" s="68"/>
      <c r="K937" s="68"/>
      <c r="L937" s="68"/>
      <c r="N937" s="75"/>
      <c r="O937" s="79"/>
    </row>
    <row r="938" spans="1:15" ht="12.5" x14ac:dyDescent="0.25">
      <c r="A938" s="14"/>
      <c r="C938" s="68"/>
      <c r="D938" s="68"/>
      <c r="E938" s="68"/>
      <c r="F938" s="68"/>
      <c r="G938" s="68"/>
      <c r="H938" s="68"/>
      <c r="I938" s="68"/>
      <c r="J938" s="68"/>
      <c r="K938" s="68"/>
      <c r="L938" s="68"/>
      <c r="N938" s="75"/>
      <c r="O938" s="79"/>
    </row>
    <row r="939" spans="1:15" ht="12.5" x14ac:dyDescent="0.25">
      <c r="A939" s="14"/>
      <c r="C939" s="68"/>
      <c r="D939" s="68"/>
      <c r="E939" s="68"/>
      <c r="F939" s="68"/>
      <c r="G939" s="68"/>
      <c r="H939" s="68"/>
      <c r="I939" s="68"/>
      <c r="J939" s="68"/>
      <c r="K939" s="68"/>
      <c r="L939" s="68"/>
      <c r="N939" s="75"/>
      <c r="O939" s="79"/>
    </row>
    <row r="940" spans="1:15" ht="12.5" x14ac:dyDescent="0.25">
      <c r="A940" s="14"/>
      <c r="C940" s="68"/>
      <c r="D940" s="68"/>
      <c r="E940" s="68"/>
      <c r="F940" s="68"/>
      <c r="G940" s="68"/>
      <c r="H940" s="68"/>
      <c r="I940" s="68"/>
      <c r="J940" s="68"/>
      <c r="K940" s="68"/>
      <c r="L940" s="68"/>
      <c r="N940" s="75"/>
      <c r="O940" s="79"/>
    </row>
    <row r="941" spans="1:15" ht="12.5" x14ac:dyDescent="0.25">
      <c r="A941" s="14"/>
      <c r="C941" s="68"/>
      <c r="D941" s="68"/>
      <c r="E941" s="68"/>
      <c r="F941" s="68"/>
      <c r="G941" s="68"/>
      <c r="H941" s="68"/>
      <c r="I941" s="68"/>
      <c r="J941" s="68"/>
      <c r="K941" s="68"/>
      <c r="L941" s="68"/>
      <c r="N941" s="75"/>
      <c r="O941" s="79"/>
    </row>
    <row r="942" spans="1:15" ht="12.5" x14ac:dyDescent="0.25">
      <c r="A942" s="14"/>
      <c r="C942" s="68"/>
      <c r="D942" s="68"/>
      <c r="E942" s="68"/>
      <c r="F942" s="68"/>
      <c r="G942" s="68"/>
      <c r="H942" s="68"/>
      <c r="I942" s="68"/>
      <c r="J942" s="68"/>
      <c r="K942" s="68"/>
      <c r="L942" s="68"/>
      <c r="N942" s="75"/>
      <c r="O942" s="79"/>
    </row>
    <row r="943" spans="1:15" ht="12.5" x14ac:dyDescent="0.25">
      <c r="A943" s="14"/>
      <c r="C943" s="68"/>
      <c r="D943" s="68"/>
      <c r="E943" s="68"/>
      <c r="F943" s="68"/>
      <c r="G943" s="68"/>
      <c r="H943" s="68"/>
      <c r="I943" s="68"/>
      <c r="J943" s="68"/>
      <c r="K943" s="68"/>
      <c r="L943" s="68"/>
      <c r="N943" s="75"/>
      <c r="O943" s="79"/>
    </row>
    <row r="944" spans="1:15" ht="12.5" x14ac:dyDescent="0.25">
      <c r="A944" s="14"/>
      <c r="C944" s="68"/>
      <c r="D944" s="68"/>
      <c r="E944" s="68"/>
      <c r="F944" s="68"/>
      <c r="G944" s="68"/>
      <c r="H944" s="68"/>
      <c r="I944" s="68"/>
      <c r="J944" s="68"/>
      <c r="K944" s="68"/>
      <c r="L944" s="68"/>
      <c r="N944" s="75"/>
      <c r="O944" s="79"/>
    </row>
    <row r="945" spans="1:15" ht="12.5" x14ac:dyDescent="0.25">
      <c r="A945" s="14"/>
      <c r="C945" s="68"/>
      <c r="D945" s="68"/>
      <c r="E945" s="68"/>
      <c r="F945" s="68"/>
      <c r="G945" s="68"/>
      <c r="H945" s="68"/>
      <c r="I945" s="68"/>
      <c r="J945" s="68"/>
      <c r="K945" s="68"/>
      <c r="L945" s="68"/>
      <c r="N945" s="75"/>
      <c r="O945" s="79"/>
    </row>
    <row r="946" spans="1:15" ht="12.5" x14ac:dyDescent="0.25">
      <c r="A946" s="14"/>
      <c r="C946" s="68"/>
      <c r="D946" s="68"/>
      <c r="E946" s="68"/>
      <c r="F946" s="68"/>
      <c r="G946" s="68"/>
      <c r="H946" s="68"/>
      <c r="I946" s="68"/>
      <c r="J946" s="68"/>
      <c r="K946" s="68"/>
      <c r="L946" s="68"/>
      <c r="N946" s="75"/>
      <c r="O946" s="79"/>
    </row>
    <row r="947" spans="1:15" ht="12.5" x14ac:dyDescent="0.25">
      <c r="A947" s="14"/>
      <c r="C947" s="68"/>
      <c r="D947" s="68"/>
      <c r="E947" s="68"/>
      <c r="F947" s="68"/>
      <c r="G947" s="68"/>
      <c r="H947" s="68"/>
      <c r="I947" s="68"/>
      <c r="J947" s="68"/>
      <c r="K947" s="68"/>
      <c r="L947" s="68"/>
      <c r="N947" s="75"/>
      <c r="O947" s="79"/>
    </row>
    <row r="948" spans="1:15" ht="12.5" x14ac:dyDescent="0.25">
      <c r="A948" s="14"/>
      <c r="C948" s="68"/>
      <c r="D948" s="68"/>
      <c r="E948" s="68"/>
      <c r="F948" s="68"/>
      <c r="G948" s="68"/>
      <c r="H948" s="68"/>
      <c r="I948" s="68"/>
      <c r="J948" s="68"/>
      <c r="K948" s="68"/>
      <c r="L948" s="68"/>
      <c r="N948" s="75"/>
      <c r="O948" s="79"/>
    </row>
    <row r="949" spans="1:15" ht="12.5" x14ac:dyDescent="0.25">
      <c r="A949" s="14"/>
      <c r="C949" s="68"/>
      <c r="D949" s="68"/>
      <c r="E949" s="68"/>
      <c r="F949" s="68"/>
      <c r="G949" s="68"/>
      <c r="H949" s="68"/>
      <c r="I949" s="68"/>
      <c r="J949" s="68"/>
      <c r="K949" s="68"/>
      <c r="L949" s="68"/>
      <c r="N949" s="75"/>
      <c r="O949" s="79"/>
    </row>
    <row r="950" spans="1:15" ht="12.5" x14ac:dyDescent="0.25">
      <c r="A950" s="14"/>
      <c r="C950" s="68"/>
      <c r="D950" s="68"/>
      <c r="E950" s="68"/>
      <c r="F950" s="68"/>
      <c r="G950" s="68"/>
      <c r="H950" s="68"/>
      <c r="I950" s="68"/>
      <c r="J950" s="68"/>
      <c r="K950" s="68"/>
      <c r="L950" s="68"/>
      <c r="N950" s="75"/>
      <c r="O950" s="79"/>
    </row>
    <row r="951" spans="1:15" ht="12.5" x14ac:dyDescent="0.25">
      <c r="A951" s="14"/>
      <c r="C951" s="68"/>
      <c r="D951" s="68"/>
      <c r="E951" s="68"/>
      <c r="F951" s="68"/>
      <c r="G951" s="68"/>
      <c r="H951" s="68"/>
      <c r="I951" s="68"/>
      <c r="J951" s="68"/>
      <c r="K951" s="68"/>
      <c r="L951" s="68"/>
      <c r="N951" s="75"/>
      <c r="O951" s="79"/>
    </row>
    <row r="952" spans="1:15" ht="12.5" x14ac:dyDescent="0.25">
      <c r="A952" s="14"/>
      <c r="C952" s="68"/>
      <c r="D952" s="68"/>
      <c r="E952" s="68"/>
      <c r="F952" s="68"/>
      <c r="G952" s="68"/>
      <c r="H952" s="68"/>
      <c r="I952" s="68"/>
      <c r="J952" s="68"/>
      <c r="K952" s="68"/>
      <c r="L952" s="68"/>
      <c r="N952" s="75"/>
      <c r="O952" s="79"/>
    </row>
    <row r="953" spans="1:15" ht="12.5" x14ac:dyDescent="0.25">
      <c r="A953" s="14"/>
      <c r="C953" s="68"/>
      <c r="D953" s="68"/>
      <c r="E953" s="68"/>
      <c r="F953" s="68"/>
      <c r="G953" s="68"/>
      <c r="H953" s="68"/>
      <c r="I953" s="68"/>
      <c r="J953" s="68"/>
      <c r="K953" s="68"/>
      <c r="L953" s="68"/>
      <c r="N953" s="75"/>
      <c r="O953" s="79"/>
    </row>
  </sheetData>
  <mergeCells count="17">
    <mergeCell ref="O4:O7"/>
    <mergeCell ref="O8:O11"/>
    <mergeCell ref="O64:O66"/>
    <mergeCell ref="O68:O69"/>
    <mergeCell ref="O70:O71"/>
    <mergeCell ref="O12:O16"/>
    <mergeCell ref="O18:O19"/>
    <mergeCell ref="O21:O23"/>
    <mergeCell ref="O25:O26"/>
    <mergeCell ref="O56:O57"/>
    <mergeCell ref="O58:O59"/>
    <mergeCell ref="O60:O61"/>
    <mergeCell ref="O2:O3"/>
    <mergeCell ref="P2:P3"/>
    <mergeCell ref="Q2:S2"/>
    <mergeCell ref="T2:V2"/>
    <mergeCell ref="W2:Y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X953"/>
  <sheetViews>
    <sheetView workbookViewId="0"/>
  </sheetViews>
  <sheetFormatPr baseColWidth="10" defaultColWidth="12.6328125" defaultRowHeight="15.75" customHeight="1" x14ac:dyDescent="0.25"/>
  <cols>
    <col min="1" max="1" width="13.36328125" customWidth="1"/>
    <col min="2" max="2" width="27.6328125" customWidth="1"/>
    <col min="4" max="12" width="5.90625" customWidth="1"/>
    <col min="16" max="24" width="6" customWidth="1"/>
  </cols>
  <sheetData>
    <row r="1" spans="1:24" ht="15.75" customHeight="1" x14ac:dyDescent="0.25">
      <c r="A1" s="367" t="s">
        <v>9</v>
      </c>
      <c r="B1" s="395" t="s">
        <v>2039</v>
      </c>
      <c r="K1" s="68"/>
      <c r="L1" s="68"/>
      <c r="N1" s="75"/>
    </row>
    <row r="2" spans="1:24" ht="15.75" customHeight="1" x14ac:dyDescent="0.25">
      <c r="K2" s="68"/>
      <c r="L2" s="68"/>
      <c r="N2" s="303" t="s">
        <v>292</v>
      </c>
      <c r="O2" s="304" t="s">
        <v>293</v>
      </c>
      <c r="P2" s="304">
        <f>D2</f>
        <v>0</v>
      </c>
      <c r="Q2" s="296"/>
      <c r="R2" s="296"/>
      <c r="S2" s="304">
        <f>G2</f>
        <v>0</v>
      </c>
      <c r="T2" s="296"/>
      <c r="U2" s="296"/>
      <c r="V2" s="298"/>
      <c r="W2" s="296"/>
      <c r="X2" s="296"/>
    </row>
    <row r="3" spans="1:24" ht="15.75" customHeight="1" x14ac:dyDescent="0.25">
      <c r="A3" s="348" t="s">
        <v>2033</v>
      </c>
      <c r="B3" s="350"/>
      <c r="C3" s="350"/>
      <c r="D3" s="350"/>
      <c r="E3" s="348" t="s">
        <v>8</v>
      </c>
      <c r="F3" s="349" t="s">
        <v>7</v>
      </c>
      <c r="G3" s="350"/>
      <c r="H3" s="350"/>
      <c r="I3" s="350"/>
      <c r="J3" s="351"/>
      <c r="K3" s="68"/>
      <c r="L3" s="68"/>
      <c r="N3" s="296"/>
      <c r="O3" s="296"/>
      <c r="P3" s="81" t="s">
        <v>19</v>
      </c>
      <c r="Q3" s="81" t="s">
        <v>23</v>
      </c>
      <c r="R3" s="81" t="s">
        <v>25</v>
      </c>
      <c r="S3" s="81" t="s">
        <v>19</v>
      </c>
      <c r="T3" s="81" t="s">
        <v>23</v>
      </c>
      <c r="U3" s="81" t="s">
        <v>25</v>
      </c>
      <c r="V3" s="71"/>
      <c r="W3" s="71"/>
      <c r="X3" s="71"/>
    </row>
    <row r="4" spans="1:24" ht="15.75" customHeight="1" x14ac:dyDescent="0.25">
      <c r="A4" s="352"/>
      <c r="B4" s="394"/>
      <c r="C4" s="394"/>
      <c r="D4" s="394"/>
      <c r="E4" s="347">
        <v>2022</v>
      </c>
      <c r="F4" s="350"/>
      <c r="G4" s="350"/>
      <c r="H4" s="347" t="s">
        <v>20</v>
      </c>
      <c r="I4" s="350"/>
      <c r="J4" s="351"/>
      <c r="K4" s="68"/>
      <c r="L4" s="68"/>
      <c r="N4" s="305">
        <f>B4</f>
        <v>0</v>
      </c>
      <c r="O4" s="24">
        <f t="shared" ref="O4:O49" si="0">D4</f>
        <v>0</v>
      </c>
      <c r="P4" s="76">
        <f t="shared" ref="P4:R4" si="1">E4/SUM($E4:$G4)</f>
        <v>1</v>
      </c>
      <c r="Q4" s="76">
        <f t="shared" si="1"/>
        <v>0</v>
      </c>
      <c r="R4" s="76">
        <f t="shared" si="1"/>
        <v>0</v>
      </c>
      <c r="S4" s="76" t="e">
        <f t="shared" ref="S4:U4" si="2">H4/SUM($H4:$J4)</f>
        <v>#DIV/0!</v>
      </c>
      <c r="T4" s="76" t="e">
        <f t="shared" si="2"/>
        <v>#DIV/0!</v>
      </c>
      <c r="U4" s="76" t="e">
        <f t="shared" si="2"/>
        <v>#DIV/0!</v>
      </c>
      <c r="V4" s="76"/>
      <c r="W4" s="76"/>
      <c r="X4" s="76"/>
    </row>
    <row r="5" spans="1:24" ht="15.75" customHeight="1" x14ac:dyDescent="0.25">
      <c r="A5" s="348" t="s">
        <v>1</v>
      </c>
      <c r="B5" s="348" t="s">
        <v>4</v>
      </c>
      <c r="C5" s="348" t="s">
        <v>2</v>
      </c>
      <c r="D5" s="348" t="s">
        <v>3</v>
      </c>
      <c r="E5" s="353" t="s">
        <v>19</v>
      </c>
      <c r="F5" s="369" t="s">
        <v>23</v>
      </c>
      <c r="G5" s="369" t="s">
        <v>25</v>
      </c>
      <c r="H5" s="353" t="s">
        <v>19</v>
      </c>
      <c r="I5" s="369" t="s">
        <v>23</v>
      </c>
      <c r="J5" s="370" t="s">
        <v>25</v>
      </c>
      <c r="K5" s="68"/>
      <c r="L5" s="68"/>
      <c r="N5" s="296"/>
      <c r="O5" s="24" t="str">
        <f t="shared" si="0"/>
        <v>Grado</v>
      </c>
      <c r="P5" s="76" t="e">
        <f t="shared" ref="P5:R5" si="3">E5/SUM($E5:$G5)</f>
        <v>#VALUE!</v>
      </c>
      <c r="Q5" s="76" t="e">
        <f t="shared" si="3"/>
        <v>#VALUE!</v>
      </c>
      <c r="R5" s="76" t="e">
        <f t="shared" si="3"/>
        <v>#VALUE!</v>
      </c>
      <c r="S5" s="76" t="e">
        <f t="shared" ref="S5:U5" si="4">H5/SUM($H5:$J5)</f>
        <v>#VALUE!</v>
      </c>
      <c r="T5" s="76" t="e">
        <f t="shared" si="4"/>
        <v>#VALUE!</v>
      </c>
      <c r="U5" s="76" t="e">
        <f t="shared" si="4"/>
        <v>#VALUE!</v>
      </c>
      <c r="V5" s="76"/>
      <c r="W5" s="76"/>
      <c r="X5" s="76"/>
    </row>
    <row r="6" spans="1:24" ht="15.75" customHeight="1" x14ac:dyDescent="0.25">
      <c r="A6" s="347" t="s">
        <v>83</v>
      </c>
      <c r="B6" s="353" t="s">
        <v>169</v>
      </c>
      <c r="C6" s="347" t="s">
        <v>41</v>
      </c>
      <c r="D6" s="347" t="s">
        <v>42</v>
      </c>
      <c r="E6" s="356">
        <v>5</v>
      </c>
      <c r="F6" s="379"/>
      <c r="G6" s="379"/>
      <c r="H6" s="356">
        <v>20</v>
      </c>
      <c r="I6" s="379"/>
      <c r="J6" s="390"/>
      <c r="K6" s="68"/>
      <c r="L6" s="68"/>
      <c r="N6" s="305" t="str">
        <f>B6</f>
        <v>86548 JOSE MARIA VELAZ</v>
      </c>
      <c r="O6" s="24" t="str">
        <f t="shared" si="0"/>
        <v>2 Secundaria</v>
      </c>
      <c r="P6" s="76">
        <f t="shared" ref="P6:R6" si="5">E6/SUM($E6:$G6)</f>
        <v>1</v>
      </c>
      <c r="Q6" s="76">
        <f t="shared" si="5"/>
        <v>0</v>
      </c>
      <c r="R6" s="76">
        <f t="shared" si="5"/>
        <v>0</v>
      </c>
      <c r="S6" s="76">
        <f t="shared" ref="S6:U6" si="6">H6/SUM($H6:$J6)</f>
        <v>1</v>
      </c>
      <c r="T6" s="76">
        <f t="shared" si="6"/>
        <v>0</v>
      </c>
      <c r="U6" s="76">
        <f t="shared" si="6"/>
        <v>0</v>
      </c>
      <c r="V6" s="76"/>
      <c r="W6" s="76"/>
      <c r="X6" s="76"/>
    </row>
    <row r="7" spans="1:24" ht="15.75" customHeight="1" x14ac:dyDescent="0.25">
      <c r="A7" s="352"/>
      <c r="B7" s="352"/>
      <c r="C7" s="352"/>
      <c r="D7" s="372" t="s">
        <v>43</v>
      </c>
      <c r="E7" s="360">
        <v>2</v>
      </c>
      <c r="F7" s="381"/>
      <c r="G7" s="381"/>
      <c r="H7" s="360">
        <v>21</v>
      </c>
      <c r="I7" s="381"/>
      <c r="J7" s="391"/>
      <c r="K7" s="68"/>
      <c r="L7" s="68"/>
      <c r="N7" s="296"/>
      <c r="O7" s="24" t="str">
        <f t="shared" si="0"/>
        <v>4 Secundaria</v>
      </c>
      <c r="P7" s="76">
        <f t="shared" ref="P7:R7" si="7">E7/SUM($E7:$G7)</f>
        <v>1</v>
      </c>
      <c r="Q7" s="76">
        <f t="shared" si="7"/>
        <v>0</v>
      </c>
      <c r="R7" s="76">
        <f t="shared" si="7"/>
        <v>0</v>
      </c>
      <c r="S7" s="76">
        <f t="shared" ref="S7:U7" si="8">H7/SUM($H7:$J7)</f>
        <v>1</v>
      </c>
      <c r="T7" s="76">
        <f t="shared" si="8"/>
        <v>0</v>
      </c>
      <c r="U7" s="76">
        <f t="shared" si="8"/>
        <v>0</v>
      </c>
      <c r="V7" s="76"/>
      <c r="W7" s="76"/>
      <c r="X7" s="76"/>
    </row>
    <row r="8" spans="1:24" ht="15.75" customHeight="1" x14ac:dyDescent="0.25">
      <c r="A8" s="352"/>
      <c r="B8" s="353" t="s">
        <v>172</v>
      </c>
      <c r="C8" s="347" t="s">
        <v>15</v>
      </c>
      <c r="D8" s="347" t="s">
        <v>16</v>
      </c>
      <c r="E8" s="356">
        <v>3</v>
      </c>
      <c r="F8" s="379"/>
      <c r="G8" s="379"/>
      <c r="H8" s="356">
        <v>5</v>
      </c>
      <c r="I8" s="379"/>
      <c r="J8" s="390"/>
      <c r="K8" s="68"/>
      <c r="L8" s="68"/>
      <c r="N8" s="296"/>
      <c r="O8" s="24" t="str">
        <f t="shared" si="0"/>
        <v>4 Primaria</v>
      </c>
      <c r="P8" s="76">
        <f t="shared" ref="P8:R8" si="9">E8/SUM($E8:$G8)</f>
        <v>1</v>
      </c>
      <c r="Q8" s="76">
        <f t="shared" si="9"/>
        <v>0</v>
      </c>
      <c r="R8" s="76">
        <f t="shared" si="9"/>
        <v>0</v>
      </c>
      <c r="S8" s="76">
        <f t="shared" ref="S8:U8" si="10">H8/SUM($H8:$J8)</f>
        <v>1</v>
      </c>
      <c r="T8" s="76">
        <f t="shared" si="10"/>
        <v>0</v>
      </c>
      <c r="U8" s="76">
        <f t="shared" si="10"/>
        <v>0</v>
      </c>
      <c r="V8" s="76"/>
      <c r="W8" s="76"/>
      <c r="X8" s="76"/>
    </row>
    <row r="9" spans="1:24" ht="15.75" customHeight="1" x14ac:dyDescent="0.25">
      <c r="A9" s="352"/>
      <c r="B9" s="352"/>
      <c r="C9" s="352"/>
      <c r="D9" s="372" t="s">
        <v>37</v>
      </c>
      <c r="E9" s="360">
        <v>1</v>
      </c>
      <c r="F9" s="381"/>
      <c r="G9" s="381"/>
      <c r="H9" s="360">
        <v>5</v>
      </c>
      <c r="I9" s="381"/>
      <c r="J9" s="391"/>
      <c r="K9" s="68"/>
      <c r="L9" s="68"/>
      <c r="N9" s="305">
        <f>B9</f>
        <v>0</v>
      </c>
      <c r="O9" s="24" t="str">
        <f t="shared" si="0"/>
        <v>6 Primaria</v>
      </c>
      <c r="P9" s="76">
        <f t="shared" ref="P9:R9" si="11">E9/SUM($E9:$G9)</f>
        <v>1</v>
      </c>
      <c r="Q9" s="76">
        <f t="shared" si="11"/>
        <v>0</v>
      </c>
      <c r="R9" s="76">
        <f t="shared" si="11"/>
        <v>0</v>
      </c>
      <c r="S9" s="76">
        <f t="shared" ref="S9:U9" si="12">H9/SUM($H9:$J9)</f>
        <v>1</v>
      </c>
      <c r="T9" s="76">
        <f t="shared" si="12"/>
        <v>0</v>
      </c>
      <c r="U9" s="76">
        <f t="shared" si="12"/>
        <v>0</v>
      </c>
      <c r="V9" s="76"/>
      <c r="W9" s="76"/>
      <c r="X9" s="76"/>
    </row>
    <row r="10" spans="1:24" ht="15.75" customHeight="1" x14ac:dyDescent="0.25">
      <c r="A10" s="352"/>
      <c r="B10" s="352"/>
      <c r="C10" s="347" t="s">
        <v>41</v>
      </c>
      <c r="D10" s="347" t="s">
        <v>42</v>
      </c>
      <c r="E10" s="356">
        <v>3</v>
      </c>
      <c r="F10" s="379"/>
      <c r="G10" s="379"/>
      <c r="H10" s="356">
        <v>4</v>
      </c>
      <c r="I10" s="379"/>
      <c r="J10" s="390"/>
      <c r="K10" s="68"/>
      <c r="L10" s="68"/>
      <c r="N10" s="296"/>
      <c r="O10" s="24" t="str">
        <f t="shared" si="0"/>
        <v>2 Secundaria</v>
      </c>
      <c r="P10" s="76">
        <f t="shared" ref="P10:R10" si="13">E10/SUM($E10:$G10)</f>
        <v>1</v>
      </c>
      <c r="Q10" s="76">
        <f t="shared" si="13"/>
        <v>0</v>
      </c>
      <c r="R10" s="76">
        <f t="shared" si="13"/>
        <v>0</v>
      </c>
      <c r="S10" s="76">
        <f t="shared" ref="S10:U10" si="14">H10/SUM($H10:$J10)</f>
        <v>1</v>
      </c>
      <c r="T10" s="76">
        <f t="shared" si="14"/>
        <v>0</v>
      </c>
      <c r="U10" s="76">
        <f t="shared" si="14"/>
        <v>0</v>
      </c>
      <c r="V10" s="76"/>
      <c r="W10" s="76"/>
      <c r="X10" s="76"/>
    </row>
    <row r="11" spans="1:24" ht="15.75" customHeight="1" x14ac:dyDescent="0.25">
      <c r="A11" s="352"/>
      <c r="B11" s="353" t="s">
        <v>170</v>
      </c>
      <c r="C11" s="347" t="s">
        <v>15</v>
      </c>
      <c r="D11" s="347" t="s">
        <v>45</v>
      </c>
      <c r="E11" s="356">
        <v>1</v>
      </c>
      <c r="F11" s="379"/>
      <c r="G11" s="379"/>
      <c r="H11" s="356">
        <v>4</v>
      </c>
      <c r="I11" s="379"/>
      <c r="J11" s="390"/>
      <c r="K11" s="68"/>
      <c r="L11" s="68"/>
      <c r="N11" s="75" t="str">
        <f t="shared" ref="N11:N13" si="15">B11</f>
        <v>88327</v>
      </c>
      <c r="O11" s="24" t="str">
        <f t="shared" si="0"/>
        <v>2 Primaria</v>
      </c>
      <c r="P11" s="76">
        <f t="shared" ref="P11:R11" si="16">E11/SUM($E11:$G11)</f>
        <v>1</v>
      </c>
      <c r="Q11" s="76">
        <f t="shared" si="16"/>
        <v>0</v>
      </c>
      <c r="R11" s="76">
        <f t="shared" si="16"/>
        <v>0</v>
      </c>
      <c r="S11" s="76">
        <f t="shared" ref="S11:U11" si="17">H11/SUM($H11:$J11)</f>
        <v>1</v>
      </c>
      <c r="T11" s="76">
        <f t="shared" si="17"/>
        <v>0</v>
      </c>
      <c r="U11" s="76">
        <f t="shared" si="17"/>
        <v>0</v>
      </c>
      <c r="V11" s="76"/>
      <c r="W11" s="76"/>
      <c r="X11" s="76"/>
    </row>
    <row r="12" spans="1:24" ht="15.75" customHeight="1" x14ac:dyDescent="0.25">
      <c r="A12" s="352"/>
      <c r="B12" s="352"/>
      <c r="C12" s="352"/>
      <c r="D12" s="372" t="s">
        <v>37</v>
      </c>
      <c r="E12" s="360">
        <v>1</v>
      </c>
      <c r="F12" s="381">
        <v>1</v>
      </c>
      <c r="G12" s="381"/>
      <c r="H12" s="360">
        <v>3</v>
      </c>
      <c r="I12" s="381"/>
      <c r="J12" s="391"/>
      <c r="K12" s="68"/>
      <c r="L12" s="68"/>
      <c r="N12" s="82">
        <f t="shared" si="15"/>
        <v>0</v>
      </c>
      <c r="O12" s="24" t="str">
        <f t="shared" si="0"/>
        <v>6 Primaria</v>
      </c>
      <c r="P12" s="76">
        <f t="shared" ref="P12:R12" si="18">E12/SUM($E12:$G12)</f>
        <v>0.5</v>
      </c>
      <c r="Q12" s="76">
        <f t="shared" si="18"/>
        <v>0.5</v>
      </c>
      <c r="R12" s="76">
        <f t="shared" si="18"/>
        <v>0</v>
      </c>
      <c r="S12" s="76">
        <f t="shared" ref="S12:U12" si="19">H12/SUM($H12:$J12)</f>
        <v>1</v>
      </c>
      <c r="T12" s="76">
        <f t="shared" si="19"/>
        <v>0</v>
      </c>
      <c r="U12" s="76">
        <f t="shared" si="19"/>
        <v>0</v>
      </c>
      <c r="V12" s="76"/>
      <c r="W12" s="76"/>
      <c r="X12" s="76"/>
    </row>
    <row r="13" spans="1:24" ht="15.75" customHeight="1" x14ac:dyDescent="0.25">
      <c r="A13" s="347" t="s">
        <v>280</v>
      </c>
      <c r="B13" s="350"/>
      <c r="C13" s="350"/>
      <c r="D13" s="350"/>
      <c r="E13" s="356">
        <v>16</v>
      </c>
      <c r="F13" s="379">
        <v>1</v>
      </c>
      <c r="G13" s="379"/>
      <c r="H13" s="356">
        <v>62</v>
      </c>
      <c r="I13" s="379"/>
      <c r="J13" s="390"/>
      <c r="K13" s="68"/>
      <c r="L13" s="68"/>
      <c r="N13" s="305">
        <f t="shared" si="15"/>
        <v>0</v>
      </c>
      <c r="O13" s="24">
        <f t="shared" si="0"/>
        <v>0</v>
      </c>
      <c r="P13" s="76">
        <f t="shared" ref="P13:R13" si="20">E13/SUM($E13:$G13)</f>
        <v>0.94117647058823528</v>
      </c>
      <c r="Q13" s="76">
        <f t="shared" si="20"/>
        <v>5.8823529411764705E-2</v>
      </c>
      <c r="R13" s="76">
        <f t="shared" si="20"/>
        <v>0</v>
      </c>
      <c r="S13" s="76">
        <f t="shared" ref="S13:U13" si="21">H13/SUM($H13:$J13)</f>
        <v>1</v>
      </c>
      <c r="T13" s="76">
        <f t="shared" si="21"/>
        <v>0</v>
      </c>
      <c r="U13" s="76">
        <f t="shared" si="21"/>
        <v>0</v>
      </c>
      <c r="V13" s="76"/>
      <c r="W13" s="76"/>
      <c r="X13" s="76"/>
    </row>
    <row r="14" spans="1:24" ht="15.75" customHeight="1" x14ac:dyDescent="0.25">
      <c r="A14" s="347" t="s">
        <v>44</v>
      </c>
      <c r="B14" s="353" t="s">
        <v>150</v>
      </c>
      <c r="C14" s="347" t="s">
        <v>15</v>
      </c>
      <c r="D14" s="347" t="s">
        <v>37</v>
      </c>
      <c r="E14" s="356"/>
      <c r="F14" s="379">
        <v>1</v>
      </c>
      <c r="G14" s="379">
        <v>6</v>
      </c>
      <c r="H14" s="356">
        <v>1</v>
      </c>
      <c r="I14" s="379">
        <v>3</v>
      </c>
      <c r="J14" s="390"/>
      <c r="K14" s="68"/>
      <c r="L14" s="68"/>
      <c r="N14" s="296"/>
      <c r="O14" s="24" t="str">
        <f t="shared" si="0"/>
        <v>6 Primaria</v>
      </c>
      <c r="P14" s="76">
        <f t="shared" ref="P14:R14" si="22">E14/SUM($E14:$G14)</f>
        <v>0</v>
      </c>
      <c r="Q14" s="76">
        <f t="shared" si="22"/>
        <v>0.14285714285714285</v>
      </c>
      <c r="R14" s="76">
        <f t="shared" si="22"/>
        <v>0.8571428571428571</v>
      </c>
      <c r="S14" s="76">
        <f t="shared" ref="S14:U14" si="23">H14/SUM($H14:$J14)</f>
        <v>0.25</v>
      </c>
      <c r="T14" s="76">
        <f t="shared" si="23"/>
        <v>0.75</v>
      </c>
      <c r="U14" s="76">
        <f t="shared" si="23"/>
        <v>0</v>
      </c>
      <c r="V14" s="76"/>
      <c r="W14" s="76"/>
      <c r="X14" s="76"/>
    </row>
    <row r="15" spans="1:24" ht="15.75" customHeight="1" x14ac:dyDescent="0.25">
      <c r="A15" s="352"/>
      <c r="B15" s="353" t="s">
        <v>143</v>
      </c>
      <c r="C15" s="347" t="s">
        <v>15</v>
      </c>
      <c r="D15" s="347" t="s">
        <v>16</v>
      </c>
      <c r="E15" s="356"/>
      <c r="F15" s="379">
        <v>2</v>
      </c>
      <c r="G15" s="379"/>
      <c r="H15" s="356">
        <v>2</v>
      </c>
      <c r="I15" s="379"/>
      <c r="J15" s="390"/>
      <c r="K15" s="68"/>
      <c r="L15" s="68"/>
      <c r="N15" s="305" t="str">
        <f>B15</f>
        <v>64048</v>
      </c>
      <c r="O15" s="24" t="str">
        <f t="shared" si="0"/>
        <v>4 Primaria</v>
      </c>
      <c r="P15" s="76">
        <f t="shared" ref="P15:R15" si="24">E15/SUM($E15:$G15)</f>
        <v>0</v>
      </c>
      <c r="Q15" s="76">
        <f t="shared" si="24"/>
        <v>1</v>
      </c>
      <c r="R15" s="76">
        <f t="shared" si="24"/>
        <v>0</v>
      </c>
      <c r="S15" s="76">
        <f t="shared" ref="S15:U15" si="25">H15/SUM($H15:$J15)</f>
        <v>1</v>
      </c>
      <c r="T15" s="76">
        <f t="shared" si="25"/>
        <v>0</v>
      </c>
      <c r="U15" s="76">
        <f t="shared" si="25"/>
        <v>0</v>
      </c>
      <c r="V15" s="76"/>
      <c r="W15" s="76"/>
      <c r="X15" s="76"/>
    </row>
    <row r="16" spans="1:24" ht="15.75" customHeight="1" x14ac:dyDescent="0.25">
      <c r="A16" s="352"/>
      <c r="B16" s="352"/>
      <c r="C16" s="352"/>
      <c r="D16" s="372" t="s">
        <v>37</v>
      </c>
      <c r="E16" s="360"/>
      <c r="F16" s="381">
        <v>2</v>
      </c>
      <c r="G16" s="381">
        <v>2</v>
      </c>
      <c r="H16" s="360">
        <v>3</v>
      </c>
      <c r="I16" s="381"/>
      <c r="J16" s="391"/>
      <c r="K16" s="68"/>
      <c r="L16" s="68"/>
      <c r="N16" s="296"/>
      <c r="O16" s="24" t="str">
        <f t="shared" si="0"/>
        <v>6 Primaria</v>
      </c>
      <c r="P16" s="76">
        <f t="shared" ref="P16:R16" si="26">E16/SUM($E16:$G16)</f>
        <v>0</v>
      </c>
      <c r="Q16" s="76">
        <f t="shared" si="26"/>
        <v>0.5</v>
      </c>
      <c r="R16" s="76">
        <f t="shared" si="26"/>
        <v>0.5</v>
      </c>
      <c r="S16" s="76">
        <f t="shared" ref="S16:U16" si="27">H16/SUM($H16:$J16)</f>
        <v>1</v>
      </c>
      <c r="T16" s="76">
        <f t="shared" si="27"/>
        <v>0</v>
      </c>
      <c r="U16" s="76">
        <f t="shared" si="27"/>
        <v>0</v>
      </c>
      <c r="V16" s="76"/>
      <c r="W16" s="76"/>
      <c r="X16" s="76"/>
    </row>
    <row r="17" spans="1:24" ht="15.75" customHeight="1" x14ac:dyDescent="0.25">
      <c r="A17" s="352"/>
      <c r="B17" s="353" t="s">
        <v>144</v>
      </c>
      <c r="C17" s="347" t="s">
        <v>15</v>
      </c>
      <c r="D17" s="347" t="s">
        <v>45</v>
      </c>
      <c r="E17" s="356"/>
      <c r="F17" s="379">
        <v>4</v>
      </c>
      <c r="G17" s="379"/>
      <c r="H17" s="356">
        <v>2</v>
      </c>
      <c r="I17" s="379">
        <v>1</v>
      </c>
      <c r="J17" s="390"/>
      <c r="K17" s="68"/>
      <c r="L17" s="68"/>
      <c r="N17" s="75" t="str">
        <f t="shared" ref="N17:N18" si="28">B17</f>
        <v>64115</v>
      </c>
      <c r="O17" s="24" t="str">
        <f t="shared" si="0"/>
        <v>2 Primaria</v>
      </c>
      <c r="P17" s="76">
        <f t="shared" ref="P17:R17" si="29">E17/SUM($E17:$G17)</f>
        <v>0</v>
      </c>
      <c r="Q17" s="76">
        <f t="shared" si="29"/>
        <v>1</v>
      </c>
      <c r="R17" s="76">
        <f t="shared" si="29"/>
        <v>0</v>
      </c>
      <c r="S17" s="76">
        <f t="shared" ref="S17:U17" si="30">H17/SUM($H17:$J17)</f>
        <v>0.66666666666666663</v>
      </c>
      <c r="T17" s="76">
        <f t="shared" si="30"/>
        <v>0.33333333333333331</v>
      </c>
      <c r="U17" s="76">
        <f t="shared" si="30"/>
        <v>0</v>
      </c>
      <c r="V17" s="76"/>
      <c r="W17" s="76"/>
      <c r="X17" s="76"/>
    </row>
    <row r="18" spans="1:24" ht="15.75" customHeight="1" x14ac:dyDescent="0.25">
      <c r="A18" s="352"/>
      <c r="B18" s="352"/>
      <c r="C18" s="352"/>
      <c r="D18" s="372" t="s">
        <v>16</v>
      </c>
      <c r="E18" s="360"/>
      <c r="F18" s="381"/>
      <c r="G18" s="381">
        <v>1</v>
      </c>
      <c r="H18" s="360">
        <v>1</v>
      </c>
      <c r="I18" s="381">
        <v>1</v>
      </c>
      <c r="J18" s="391"/>
      <c r="K18" s="68"/>
      <c r="L18" s="68"/>
      <c r="N18" s="295">
        <f t="shared" si="28"/>
        <v>0</v>
      </c>
      <c r="O18" s="24" t="str">
        <f t="shared" si="0"/>
        <v>4 Primaria</v>
      </c>
      <c r="P18" s="76">
        <f t="shared" ref="P18:R18" si="31">E18/SUM($E18:$G18)</f>
        <v>0</v>
      </c>
      <c r="Q18" s="76">
        <f t="shared" si="31"/>
        <v>0</v>
      </c>
      <c r="R18" s="76">
        <f t="shared" si="31"/>
        <v>1</v>
      </c>
      <c r="S18" s="76">
        <f t="shared" ref="S18:U18" si="32">H18/SUM($H18:$J18)</f>
        <v>0.5</v>
      </c>
      <c r="T18" s="76">
        <f t="shared" si="32"/>
        <v>0.5</v>
      </c>
      <c r="U18" s="76">
        <f t="shared" si="32"/>
        <v>0</v>
      </c>
      <c r="V18" s="76"/>
      <c r="W18" s="76"/>
      <c r="X18" s="76"/>
    </row>
    <row r="19" spans="1:24" ht="15.75" customHeight="1" x14ac:dyDescent="0.25">
      <c r="A19" s="352"/>
      <c r="B19" s="352"/>
      <c r="C19" s="352"/>
      <c r="D19" s="372" t="s">
        <v>37</v>
      </c>
      <c r="E19" s="360"/>
      <c r="F19" s="381">
        <v>2</v>
      </c>
      <c r="G19" s="381">
        <v>1</v>
      </c>
      <c r="H19" s="360">
        <v>2</v>
      </c>
      <c r="I19" s="381"/>
      <c r="J19" s="391"/>
      <c r="K19" s="68"/>
      <c r="L19" s="68"/>
      <c r="N19" s="296"/>
      <c r="O19" s="24" t="str">
        <f t="shared" si="0"/>
        <v>6 Primaria</v>
      </c>
      <c r="P19" s="76">
        <f t="shared" ref="P19:R19" si="33">E19/SUM($E19:$G19)</f>
        <v>0</v>
      </c>
      <c r="Q19" s="76">
        <f t="shared" si="33"/>
        <v>0.66666666666666663</v>
      </c>
      <c r="R19" s="76">
        <f t="shared" si="33"/>
        <v>0.33333333333333331</v>
      </c>
      <c r="S19" s="76">
        <f t="shared" ref="S19:U19" si="34">H19/SUM($H19:$J19)</f>
        <v>1</v>
      </c>
      <c r="T19" s="76">
        <f t="shared" si="34"/>
        <v>0</v>
      </c>
      <c r="U19" s="76">
        <f t="shared" si="34"/>
        <v>0</v>
      </c>
      <c r="V19" s="76"/>
      <c r="W19" s="76"/>
      <c r="X19" s="76"/>
    </row>
    <row r="20" spans="1:24" ht="15.75" customHeight="1" x14ac:dyDescent="0.25">
      <c r="A20" s="347" t="s">
        <v>281</v>
      </c>
      <c r="B20" s="350"/>
      <c r="C20" s="350"/>
      <c r="D20" s="350"/>
      <c r="E20" s="356"/>
      <c r="F20" s="379">
        <v>11</v>
      </c>
      <c r="G20" s="379">
        <v>10</v>
      </c>
      <c r="H20" s="356">
        <v>11</v>
      </c>
      <c r="I20" s="379">
        <v>5</v>
      </c>
      <c r="J20" s="390"/>
      <c r="K20" s="68"/>
      <c r="L20" s="68"/>
      <c r="N20" s="296"/>
      <c r="O20" s="24">
        <f t="shared" si="0"/>
        <v>0</v>
      </c>
      <c r="P20" s="76">
        <f t="shared" ref="P20:R20" si="35">E20/SUM($E20:$G20)</f>
        <v>0</v>
      </c>
      <c r="Q20" s="76">
        <f t="shared" si="35"/>
        <v>0.52380952380952384</v>
      </c>
      <c r="R20" s="76">
        <f t="shared" si="35"/>
        <v>0.47619047619047616</v>
      </c>
      <c r="S20" s="76">
        <f t="shared" ref="S20:U20" si="36">H20/SUM($H20:$J20)</f>
        <v>0.6875</v>
      </c>
      <c r="T20" s="76">
        <f t="shared" si="36"/>
        <v>0.3125</v>
      </c>
      <c r="U20" s="76">
        <f t="shared" si="36"/>
        <v>0</v>
      </c>
      <c r="V20" s="76"/>
      <c r="W20" s="76"/>
      <c r="X20" s="76"/>
    </row>
    <row r="21" spans="1:24" ht="15.75" customHeight="1" x14ac:dyDescent="0.25">
      <c r="A21" s="347" t="s">
        <v>54</v>
      </c>
      <c r="B21" s="353" t="s">
        <v>57</v>
      </c>
      <c r="C21" s="347" t="s">
        <v>15</v>
      </c>
      <c r="D21" s="347" t="s">
        <v>45</v>
      </c>
      <c r="E21" s="356">
        <v>1</v>
      </c>
      <c r="F21" s="379"/>
      <c r="G21" s="379"/>
      <c r="H21" s="356">
        <v>4</v>
      </c>
      <c r="I21" s="379">
        <v>4</v>
      </c>
      <c r="J21" s="390"/>
      <c r="K21" s="68"/>
      <c r="L21" s="68"/>
      <c r="N21" s="75" t="str">
        <f t="shared" ref="N21:N28" si="37">B21</f>
        <v>36207</v>
      </c>
      <c r="O21" s="24" t="str">
        <f t="shared" si="0"/>
        <v>2 Primaria</v>
      </c>
      <c r="P21" s="76">
        <f t="shared" ref="P21:R21" si="38">E21/SUM($E21:$G21)</f>
        <v>1</v>
      </c>
      <c r="Q21" s="76">
        <f t="shared" si="38"/>
        <v>0</v>
      </c>
      <c r="R21" s="76">
        <f t="shared" si="38"/>
        <v>0</v>
      </c>
      <c r="S21" s="76">
        <f t="shared" ref="S21:U21" si="39">H21/SUM($H21:$J21)</f>
        <v>0.5</v>
      </c>
      <c r="T21" s="76">
        <f t="shared" si="39"/>
        <v>0.5</v>
      </c>
      <c r="U21" s="76">
        <f t="shared" si="39"/>
        <v>0</v>
      </c>
      <c r="V21" s="76"/>
      <c r="W21" s="76"/>
      <c r="X21" s="76"/>
    </row>
    <row r="22" spans="1:24" ht="15.75" customHeight="1" x14ac:dyDescent="0.25">
      <c r="A22" s="352"/>
      <c r="B22" s="352"/>
      <c r="C22" s="352"/>
      <c r="D22" s="372" t="s">
        <v>16</v>
      </c>
      <c r="E22" s="360">
        <v>1</v>
      </c>
      <c r="F22" s="381"/>
      <c r="G22" s="381">
        <v>1</v>
      </c>
      <c r="H22" s="360"/>
      <c r="I22" s="381">
        <v>3</v>
      </c>
      <c r="J22" s="391">
        <v>1</v>
      </c>
      <c r="K22" s="68"/>
      <c r="L22" s="68"/>
      <c r="N22" s="75">
        <f t="shared" si="37"/>
        <v>0</v>
      </c>
      <c r="O22" s="24" t="str">
        <f t="shared" si="0"/>
        <v>4 Primaria</v>
      </c>
      <c r="P22" s="76">
        <f t="shared" ref="P22:R22" si="40">E22/SUM($E22:$G22)</f>
        <v>0.5</v>
      </c>
      <c r="Q22" s="76">
        <f t="shared" si="40"/>
        <v>0</v>
      </c>
      <c r="R22" s="76">
        <f t="shared" si="40"/>
        <v>0.5</v>
      </c>
      <c r="S22" s="76">
        <f t="shared" ref="S22:U22" si="41">H22/SUM($H22:$J22)</f>
        <v>0</v>
      </c>
      <c r="T22" s="76">
        <f t="shared" si="41"/>
        <v>0.75</v>
      </c>
      <c r="U22" s="76">
        <f t="shared" si="41"/>
        <v>0.25</v>
      </c>
      <c r="V22" s="76"/>
      <c r="W22" s="76"/>
      <c r="X22" s="76"/>
    </row>
    <row r="23" spans="1:24" ht="15.75" customHeight="1" x14ac:dyDescent="0.25">
      <c r="A23" s="352"/>
      <c r="B23" s="352"/>
      <c r="C23" s="352"/>
      <c r="D23" s="372" t="s">
        <v>37</v>
      </c>
      <c r="E23" s="360"/>
      <c r="F23" s="381">
        <v>5</v>
      </c>
      <c r="G23" s="381"/>
      <c r="H23" s="360"/>
      <c r="I23" s="381">
        <v>1</v>
      </c>
      <c r="J23" s="391">
        <v>3</v>
      </c>
      <c r="K23" s="68"/>
      <c r="L23" s="68"/>
      <c r="N23" s="75">
        <f t="shared" si="37"/>
        <v>0</v>
      </c>
      <c r="O23" s="24" t="str">
        <f t="shared" si="0"/>
        <v>6 Primaria</v>
      </c>
      <c r="P23" s="76">
        <f t="shared" ref="P23:R23" si="42">E23/SUM($E23:$G23)</f>
        <v>0</v>
      </c>
      <c r="Q23" s="76">
        <f t="shared" si="42"/>
        <v>1</v>
      </c>
      <c r="R23" s="76">
        <f t="shared" si="42"/>
        <v>0</v>
      </c>
      <c r="S23" s="76">
        <f t="shared" ref="S23:U23" si="43">H23/SUM($H23:$J23)</f>
        <v>0</v>
      </c>
      <c r="T23" s="76">
        <f t="shared" si="43"/>
        <v>0.25</v>
      </c>
      <c r="U23" s="76">
        <f t="shared" si="43"/>
        <v>0.75</v>
      </c>
      <c r="V23" s="76"/>
      <c r="W23" s="76"/>
      <c r="X23" s="76"/>
    </row>
    <row r="24" spans="1:24" ht="12.5" x14ac:dyDescent="0.25">
      <c r="A24" s="374" t="s">
        <v>282</v>
      </c>
      <c r="B24" s="389"/>
      <c r="C24" s="389"/>
      <c r="D24" s="389"/>
      <c r="E24" s="364">
        <v>2</v>
      </c>
      <c r="F24" s="383">
        <v>5</v>
      </c>
      <c r="G24" s="383">
        <v>1</v>
      </c>
      <c r="H24" s="364">
        <v>4</v>
      </c>
      <c r="I24" s="383">
        <v>8</v>
      </c>
      <c r="J24" s="392">
        <v>4</v>
      </c>
      <c r="K24" s="68"/>
      <c r="L24" s="68"/>
      <c r="N24" s="75">
        <f t="shared" si="37"/>
        <v>0</v>
      </c>
      <c r="O24" s="24">
        <f t="shared" si="0"/>
        <v>0</v>
      </c>
      <c r="P24" s="76">
        <f t="shared" ref="P24:R24" si="44">E24/SUM($E24:$G24)</f>
        <v>0.25</v>
      </c>
      <c r="Q24" s="76">
        <f t="shared" si="44"/>
        <v>0.625</v>
      </c>
      <c r="R24" s="76">
        <f t="shared" si="44"/>
        <v>0.125</v>
      </c>
      <c r="S24" s="76">
        <f t="shared" ref="S24:U24" si="45">H24/SUM($H24:$J24)</f>
        <v>0.25</v>
      </c>
      <c r="T24" s="76">
        <f t="shared" si="45"/>
        <v>0.5</v>
      </c>
      <c r="U24" s="76">
        <f t="shared" si="45"/>
        <v>0.25</v>
      </c>
      <c r="V24" s="76"/>
      <c r="W24" s="76"/>
      <c r="X24" s="76"/>
    </row>
    <row r="25" spans="1:24" ht="12.5" x14ac:dyDescent="0.25">
      <c r="A25" s="14"/>
      <c r="C25" s="68"/>
      <c r="D25" s="68"/>
      <c r="E25" s="68"/>
      <c r="F25" s="68"/>
      <c r="G25" s="68"/>
      <c r="H25" s="68"/>
      <c r="I25" s="68"/>
      <c r="J25" s="68"/>
      <c r="K25" s="68"/>
      <c r="L25" s="68"/>
      <c r="N25" s="75">
        <f t="shared" si="37"/>
        <v>0</v>
      </c>
      <c r="O25" s="24">
        <f t="shared" si="0"/>
        <v>0</v>
      </c>
      <c r="P25" s="76" t="e">
        <f t="shared" ref="P25:R25" si="46">E25/SUM($E25:$G25)</f>
        <v>#DIV/0!</v>
      </c>
      <c r="Q25" s="76" t="e">
        <f t="shared" si="46"/>
        <v>#DIV/0!</v>
      </c>
      <c r="R25" s="76" t="e">
        <f t="shared" si="46"/>
        <v>#DIV/0!</v>
      </c>
      <c r="S25" s="76" t="e">
        <f t="shared" ref="S25:U25" si="47">H25/SUM($H25:$J25)</f>
        <v>#DIV/0!</v>
      </c>
      <c r="T25" s="76" t="e">
        <f t="shared" si="47"/>
        <v>#DIV/0!</v>
      </c>
      <c r="U25" s="76" t="e">
        <f t="shared" si="47"/>
        <v>#DIV/0!</v>
      </c>
      <c r="V25" s="76"/>
      <c r="W25" s="76"/>
      <c r="X25" s="76"/>
    </row>
    <row r="26" spans="1:24" ht="12.5" x14ac:dyDescent="0.25">
      <c r="A26" s="14"/>
      <c r="C26" s="68"/>
      <c r="D26" s="68"/>
      <c r="E26" s="68"/>
      <c r="F26" s="68"/>
      <c r="G26" s="68"/>
      <c r="H26" s="68"/>
      <c r="I26" s="68"/>
      <c r="J26" s="68"/>
      <c r="K26" s="68"/>
      <c r="L26" s="68"/>
      <c r="N26" s="75">
        <f t="shared" si="37"/>
        <v>0</v>
      </c>
      <c r="O26" s="24">
        <f t="shared" si="0"/>
        <v>0</v>
      </c>
      <c r="P26" s="76" t="e">
        <f t="shared" ref="P26:R26" si="48">E26/SUM($E26:$G26)</f>
        <v>#DIV/0!</v>
      </c>
      <c r="Q26" s="76" t="e">
        <f t="shared" si="48"/>
        <v>#DIV/0!</v>
      </c>
      <c r="R26" s="76" t="e">
        <f t="shared" si="48"/>
        <v>#DIV/0!</v>
      </c>
      <c r="S26" s="76" t="e">
        <f t="shared" ref="S26:U26" si="49">H26/SUM($H26:$J26)</f>
        <v>#DIV/0!</v>
      </c>
      <c r="T26" s="76" t="e">
        <f t="shared" si="49"/>
        <v>#DIV/0!</v>
      </c>
      <c r="U26" s="76" t="e">
        <f t="shared" si="49"/>
        <v>#DIV/0!</v>
      </c>
      <c r="V26" s="76"/>
      <c r="W26" s="76"/>
      <c r="X26" s="76"/>
    </row>
    <row r="27" spans="1:24" ht="12.5" x14ac:dyDescent="0.25">
      <c r="A27" s="14"/>
      <c r="C27" s="68"/>
      <c r="D27" s="68"/>
      <c r="E27" s="68"/>
      <c r="F27" s="68"/>
      <c r="G27" s="68"/>
      <c r="H27" s="68"/>
      <c r="I27" s="68"/>
      <c r="J27" s="68"/>
      <c r="K27" s="68"/>
      <c r="L27" s="68"/>
      <c r="N27" s="75">
        <f t="shared" si="37"/>
        <v>0</v>
      </c>
      <c r="O27" s="24">
        <f t="shared" si="0"/>
        <v>0</v>
      </c>
      <c r="P27" s="76" t="e">
        <f t="shared" ref="P27:R27" si="50">E27/SUM($E27:$G27)</f>
        <v>#DIV/0!</v>
      </c>
      <c r="Q27" s="76" t="e">
        <f t="shared" si="50"/>
        <v>#DIV/0!</v>
      </c>
      <c r="R27" s="76" t="e">
        <f t="shared" si="50"/>
        <v>#DIV/0!</v>
      </c>
      <c r="S27" s="76" t="e">
        <f t="shared" ref="S27:U27" si="51">H27/SUM($H27:$J27)</f>
        <v>#DIV/0!</v>
      </c>
      <c r="T27" s="76" t="e">
        <f t="shared" si="51"/>
        <v>#DIV/0!</v>
      </c>
      <c r="U27" s="76" t="e">
        <f t="shared" si="51"/>
        <v>#DIV/0!</v>
      </c>
      <c r="V27" s="76"/>
      <c r="W27" s="76"/>
      <c r="X27" s="76"/>
    </row>
    <row r="28" spans="1:24" ht="12.5" x14ac:dyDescent="0.25">
      <c r="A28" s="14"/>
      <c r="C28" s="68"/>
      <c r="D28" s="68"/>
      <c r="E28" s="68"/>
      <c r="F28" s="68"/>
      <c r="G28" s="68"/>
      <c r="H28" s="68"/>
      <c r="I28" s="68"/>
      <c r="J28" s="68"/>
      <c r="K28" s="68"/>
      <c r="L28" s="68"/>
      <c r="N28" s="295">
        <f t="shared" si="37"/>
        <v>0</v>
      </c>
      <c r="O28" s="24">
        <f t="shared" si="0"/>
        <v>0</v>
      </c>
      <c r="P28" s="76" t="e">
        <f t="shared" ref="P28:R28" si="52">E28/SUM($E28:$G28)</f>
        <v>#DIV/0!</v>
      </c>
      <c r="Q28" s="76" t="e">
        <f t="shared" si="52"/>
        <v>#DIV/0!</v>
      </c>
      <c r="R28" s="76" t="e">
        <f t="shared" si="52"/>
        <v>#DIV/0!</v>
      </c>
      <c r="S28" s="76" t="e">
        <f t="shared" ref="S28:U28" si="53">H28/SUM($H28:$J28)</f>
        <v>#DIV/0!</v>
      </c>
      <c r="T28" s="76" t="e">
        <f t="shared" si="53"/>
        <v>#DIV/0!</v>
      </c>
      <c r="U28" s="76" t="e">
        <f t="shared" si="53"/>
        <v>#DIV/0!</v>
      </c>
      <c r="V28" s="76"/>
      <c r="W28" s="76"/>
      <c r="X28" s="76"/>
    </row>
    <row r="29" spans="1:24" ht="12.5" x14ac:dyDescent="0.25">
      <c r="A29" s="14"/>
      <c r="C29" s="68"/>
      <c r="D29" s="68"/>
      <c r="E29" s="68"/>
      <c r="F29" s="68"/>
      <c r="G29" s="68"/>
      <c r="H29" s="68"/>
      <c r="I29" s="68"/>
      <c r="J29" s="68"/>
      <c r="K29" s="68"/>
      <c r="L29" s="68"/>
      <c r="N29" s="296"/>
      <c r="O29" s="24">
        <f t="shared" si="0"/>
        <v>0</v>
      </c>
      <c r="P29" s="76" t="e">
        <f t="shared" ref="P29:R29" si="54">E29/SUM($E29:$G29)</f>
        <v>#DIV/0!</v>
      </c>
      <c r="Q29" s="76" t="e">
        <f t="shared" si="54"/>
        <v>#DIV/0!</v>
      </c>
      <c r="R29" s="76" t="e">
        <f t="shared" si="54"/>
        <v>#DIV/0!</v>
      </c>
      <c r="S29" s="76" t="e">
        <f t="shared" ref="S29:U29" si="55">H29/SUM($H29:$J29)</f>
        <v>#DIV/0!</v>
      </c>
      <c r="T29" s="76" t="e">
        <f t="shared" si="55"/>
        <v>#DIV/0!</v>
      </c>
      <c r="U29" s="76" t="e">
        <f t="shared" si="55"/>
        <v>#DIV/0!</v>
      </c>
      <c r="V29" s="76"/>
      <c r="W29" s="76"/>
      <c r="X29" s="76"/>
    </row>
    <row r="30" spans="1:24" ht="12.5" x14ac:dyDescent="0.25">
      <c r="A30" s="14"/>
      <c r="C30" s="68"/>
      <c r="D30" s="68"/>
      <c r="E30" s="68"/>
      <c r="F30" s="68"/>
      <c r="G30" s="68"/>
      <c r="H30" s="68"/>
      <c r="I30" s="68"/>
      <c r="J30" s="68"/>
      <c r="K30" s="68"/>
      <c r="L30" s="68"/>
      <c r="N30" s="296"/>
      <c r="O30" s="24">
        <f t="shared" si="0"/>
        <v>0</v>
      </c>
      <c r="P30" s="76" t="e">
        <f t="shared" ref="P30:R30" si="56">E30/SUM($E30:$G30)</f>
        <v>#DIV/0!</v>
      </c>
      <c r="Q30" s="76" t="e">
        <f t="shared" si="56"/>
        <v>#DIV/0!</v>
      </c>
      <c r="R30" s="76" t="e">
        <f t="shared" si="56"/>
        <v>#DIV/0!</v>
      </c>
      <c r="S30" s="76" t="e">
        <f t="shared" ref="S30:U30" si="57">H30/SUM($H30:$J30)</f>
        <v>#DIV/0!</v>
      </c>
      <c r="T30" s="76" t="e">
        <f t="shared" si="57"/>
        <v>#DIV/0!</v>
      </c>
      <c r="U30" s="76" t="e">
        <f t="shared" si="57"/>
        <v>#DIV/0!</v>
      </c>
      <c r="V30" s="76"/>
      <c r="W30" s="76"/>
      <c r="X30" s="76"/>
    </row>
    <row r="31" spans="1:24" ht="12.5" x14ac:dyDescent="0.25">
      <c r="A31" s="14"/>
      <c r="C31" s="68"/>
      <c r="D31" s="68"/>
      <c r="E31" s="68"/>
      <c r="F31" s="68"/>
      <c r="G31" s="68"/>
      <c r="H31" s="68"/>
      <c r="I31" s="68"/>
      <c r="J31" s="68"/>
      <c r="K31" s="68"/>
      <c r="L31" s="68"/>
      <c r="N31" s="75">
        <f t="shared" ref="N31:N33" si="58">B31</f>
        <v>0</v>
      </c>
      <c r="O31" s="24">
        <f t="shared" si="0"/>
        <v>0</v>
      </c>
      <c r="P31" s="76" t="e">
        <f t="shared" ref="P31:R31" si="59">E31/SUM($E31:$G31)</f>
        <v>#DIV/0!</v>
      </c>
      <c r="Q31" s="76" t="e">
        <f t="shared" si="59"/>
        <v>#DIV/0!</v>
      </c>
      <c r="R31" s="76" t="e">
        <f t="shared" si="59"/>
        <v>#DIV/0!</v>
      </c>
      <c r="S31" s="76" t="e">
        <f t="shared" ref="S31:U31" si="60">H31/SUM($H31:$J31)</f>
        <v>#DIV/0!</v>
      </c>
      <c r="T31" s="76" t="e">
        <f t="shared" si="60"/>
        <v>#DIV/0!</v>
      </c>
      <c r="U31" s="76" t="e">
        <f t="shared" si="60"/>
        <v>#DIV/0!</v>
      </c>
      <c r="V31" s="76"/>
      <c r="W31" s="76"/>
      <c r="X31" s="76"/>
    </row>
    <row r="32" spans="1:24" ht="12.5" x14ac:dyDescent="0.25">
      <c r="A32" s="14"/>
      <c r="C32" s="68"/>
      <c r="D32" s="68"/>
      <c r="E32" s="68"/>
      <c r="F32" s="68"/>
      <c r="G32" s="68"/>
      <c r="H32" s="68"/>
      <c r="I32" s="68"/>
      <c r="J32" s="68"/>
      <c r="K32" s="68"/>
      <c r="L32" s="68"/>
      <c r="N32" s="75">
        <f t="shared" si="58"/>
        <v>0</v>
      </c>
      <c r="O32" s="24">
        <f t="shared" si="0"/>
        <v>0</v>
      </c>
      <c r="P32" s="76" t="e">
        <f t="shared" ref="P32:R32" si="61">E32/SUM($E32:$G32)</f>
        <v>#DIV/0!</v>
      </c>
      <c r="Q32" s="76" t="e">
        <f t="shared" si="61"/>
        <v>#DIV/0!</v>
      </c>
      <c r="R32" s="76" t="e">
        <f t="shared" si="61"/>
        <v>#DIV/0!</v>
      </c>
      <c r="S32" s="76" t="e">
        <f t="shared" ref="S32:U32" si="62">H32/SUM($H32:$J32)</f>
        <v>#DIV/0!</v>
      </c>
      <c r="T32" s="76" t="e">
        <f t="shared" si="62"/>
        <v>#DIV/0!</v>
      </c>
      <c r="U32" s="76" t="e">
        <f t="shared" si="62"/>
        <v>#DIV/0!</v>
      </c>
      <c r="V32" s="76"/>
      <c r="W32" s="76"/>
      <c r="X32" s="76"/>
    </row>
    <row r="33" spans="1:24" ht="12.5" x14ac:dyDescent="0.25">
      <c r="A33" s="14"/>
      <c r="C33" s="68"/>
      <c r="D33" s="68"/>
      <c r="E33" s="68"/>
      <c r="F33" s="68"/>
      <c r="G33" s="68"/>
      <c r="H33" s="68"/>
      <c r="I33" s="68"/>
      <c r="J33" s="68"/>
      <c r="K33" s="68"/>
      <c r="L33" s="68"/>
      <c r="N33" s="295">
        <f t="shared" si="58"/>
        <v>0</v>
      </c>
      <c r="O33" s="24">
        <f t="shared" si="0"/>
        <v>0</v>
      </c>
      <c r="P33" s="76" t="e">
        <f t="shared" ref="P33:R33" si="63">E33/SUM($E33:$G33)</f>
        <v>#DIV/0!</v>
      </c>
      <c r="Q33" s="76" t="e">
        <f t="shared" si="63"/>
        <v>#DIV/0!</v>
      </c>
      <c r="R33" s="76" t="e">
        <f t="shared" si="63"/>
        <v>#DIV/0!</v>
      </c>
      <c r="S33" s="76" t="e">
        <f t="shared" ref="S33:U33" si="64">H33/SUM($H33:$J33)</f>
        <v>#DIV/0!</v>
      </c>
      <c r="T33" s="76" t="e">
        <f t="shared" si="64"/>
        <v>#DIV/0!</v>
      </c>
      <c r="U33" s="76" t="e">
        <f t="shared" si="64"/>
        <v>#DIV/0!</v>
      </c>
      <c r="V33" s="76"/>
      <c r="W33" s="76"/>
      <c r="X33" s="76"/>
    </row>
    <row r="34" spans="1:24" ht="12.5" x14ac:dyDescent="0.25">
      <c r="A34" s="14"/>
      <c r="C34" s="68"/>
      <c r="D34" s="68"/>
      <c r="E34" s="68"/>
      <c r="F34" s="68"/>
      <c r="G34" s="68"/>
      <c r="H34" s="68"/>
      <c r="I34" s="68"/>
      <c r="J34" s="68"/>
      <c r="K34" s="68"/>
      <c r="L34" s="68"/>
      <c r="N34" s="296"/>
      <c r="O34" s="24">
        <f t="shared" si="0"/>
        <v>0</v>
      </c>
      <c r="P34" s="76" t="e">
        <f t="shared" ref="P34:R34" si="65">E34/SUM($E34:$G34)</f>
        <v>#DIV/0!</v>
      </c>
      <c r="Q34" s="76" t="e">
        <f t="shared" si="65"/>
        <v>#DIV/0!</v>
      </c>
      <c r="R34" s="76" t="e">
        <f t="shared" si="65"/>
        <v>#DIV/0!</v>
      </c>
      <c r="S34" s="76" t="e">
        <f t="shared" ref="S34:U34" si="66">H34/SUM($H34:$J34)</f>
        <v>#DIV/0!</v>
      </c>
      <c r="T34" s="76" t="e">
        <f t="shared" si="66"/>
        <v>#DIV/0!</v>
      </c>
      <c r="U34" s="76" t="e">
        <f t="shared" si="66"/>
        <v>#DIV/0!</v>
      </c>
      <c r="V34" s="76"/>
      <c r="W34" s="76"/>
      <c r="X34" s="76"/>
    </row>
    <row r="35" spans="1:24" ht="12.5" x14ac:dyDescent="0.25">
      <c r="A35" s="14"/>
      <c r="C35" s="68"/>
      <c r="D35" s="68"/>
      <c r="E35" s="68"/>
      <c r="F35" s="68"/>
      <c r="G35" s="68"/>
      <c r="H35" s="68"/>
      <c r="I35" s="68"/>
      <c r="J35" s="68"/>
      <c r="K35" s="68"/>
      <c r="L35" s="68"/>
      <c r="N35" s="295">
        <f>B35</f>
        <v>0</v>
      </c>
      <c r="O35" s="24">
        <f t="shared" si="0"/>
        <v>0</v>
      </c>
      <c r="P35" s="76" t="e">
        <f t="shared" ref="P35:R35" si="67">E35/SUM($E35:$G35)</f>
        <v>#DIV/0!</v>
      </c>
      <c r="Q35" s="76" t="e">
        <f t="shared" si="67"/>
        <v>#DIV/0!</v>
      </c>
      <c r="R35" s="76" t="e">
        <f t="shared" si="67"/>
        <v>#DIV/0!</v>
      </c>
      <c r="S35" s="76" t="e">
        <f t="shared" ref="S35:U35" si="68">H35/SUM($H35:$J35)</f>
        <v>#DIV/0!</v>
      </c>
      <c r="T35" s="76" t="e">
        <f t="shared" si="68"/>
        <v>#DIV/0!</v>
      </c>
      <c r="U35" s="76" t="e">
        <f t="shared" si="68"/>
        <v>#DIV/0!</v>
      </c>
      <c r="V35" s="76"/>
      <c r="W35" s="76"/>
      <c r="X35" s="76"/>
    </row>
    <row r="36" spans="1:24" ht="12.5" x14ac:dyDescent="0.25">
      <c r="A36" s="14"/>
      <c r="C36" s="68"/>
      <c r="D36" s="68"/>
      <c r="E36" s="68"/>
      <c r="F36" s="68"/>
      <c r="G36" s="68"/>
      <c r="H36" s="68"/>
      <c r="I36" s="68"/>
      <c r="J36" s="68"/>
      <c r="K36" s="68"/>
      <c r="L36" s="68"/>
      <c r="N36" s="296"/>
      <c r="O36" s="24">
        <f t="shared" si="0"/>
        <v>0</v>
      </c>
      <c r="P36" s="76" t="e">
        <f t="shared" ref="P36:R36" si="69">E36/SUM($E36:$G36)</f>
        <v>#DIV/0!</v>
      </c>
      <c r="Q36" s="76" t="e">
        <f t="shared" si="69"/>
        <v>#DIV/0!</v>
      </c>
      <c r="R36" s="76" t="e">
        <f t="shared" si="69"/>
        <v>#DIV/0!</v>
      </c>
      <c r="S36" s="76" t="e">
        <f t="shared" ref="S36:U36" si="70">H36/SUM($H36:$J36)</f>
        <v>#DIV/0!</v>
      </c>
      <c r="T36" s="76" t="e">
        <f t="shared" si="70"/>
        <v>#DIV/0!</v>
      </c>
      <c r="U36" s="76" t="e">
        <f t="shared" si="70"/>
        <v>#DIV/0!</v>
      </c>
      <c r="V36" s="76"/>
      <c r="W36" s="76"/>
      <c r="X36" s="76"/>
    </row>
    <row r="37" spans="1:24" ht="12.5" x14ac:dyDescent="0.25">
      <c r="A37" s="14"/>
      <c r="C37" s="68"/>
      <c r="D37" s="68"/>
      <c r="E37" s="68"/>
      <c r="F37" s="68"/>
      <c r="G37" s="68"/>
      <c r="H37" s="68"/>
      <c r="I37" s="68"/>
      <c r="J37" s="68"/>
      <c r="K37" s="68"/>
      <c r="L37" s="68"/>
      <c r="N37" s="296"/>
      <c r="O37" s="24">
        <f t="shared" si="0"/>
        <v>0</v>
      </c>
      <c r="P37" s="76" t="e">
        <f t="shared" ref="P37:R37" si="71">E37/SUM($E37:$G37)</f>
        <v>#DIV/0!</v>
      </c>
      <c r="Q37" s="76" t="e">
        <f t="shared" si="71"/>
        <v>#DIV/0!</v>
      </c>
      <c r="R37" s="76" t="e">
        <f t="shared" si="71"/>
        <v>#DIV/0!</v>
      </c>
      <c r="S37" s="76" t="e">
        <f t="shared" ref="S37:U37" si="72">H37/SUM($H37:$J37)</f>
        <v>#DIV/0!</v>
      </c>
      <c r="T37" s="76" t="e">
        <f t="shared" si="72"/>
        <v>#DIV/0!</v>
      </c>
      <c r="U37" s="76" t="e">
        <f t="shared" si="72"/>
        <v>#DIV/0!</v>
      </c>
      <c r="V37" s="76"/>
      <c r="W37" s="76"/>
      <c r="X37" s="76"/>
    </row>
    <row r="38" spans="1:24" ht="12.5" x14ac:dyDescent="0.25">
      <c r="A38" s="14"/>
      <c r="C38" s="68"/>
      <c r="D38" s="68"/>
      <c r="E38" s="68"/>
      <c r="F38" s="68"/>
      <c r="G38" s="68"/>
      <c r="H38" s="68"/>
      <c r="I38" s="68"/>
      <c r="J38" s="68"/>
      <c r="K38" s="68"/>
      <c r="L38" s="68"/>
      <c r="N38" s="75">
        <f t="shared" ref="N38:N39" si="73">B38</f>
        <v>0</v>
      </c>
      <c r="O38" s="24">
        <f t="shared" si="0"/>
        <v>0</v>
      </c>
      <c r="P38" s="76" t="e">
        <f t="shared" ref="P38:R38" si="74">E38/SUM($E38:$G38)</f>
        <v>#DIV/0!</v>
      </c>
      <c r="Q38" s="76" t="e">
        <f t="shared" si="74"/>
        <v>#DIV/0!</v>
      </c>
      <c r="R38" s="76" t="e">
        <f t="shared" si="74"/>
        <v>#DIV/0!</v>
      </c>
      <c r="S38" s="76" t="e">
        <f t="shared" ref="S38:U38" si="75">H38/SUM($H38:$J38)</f>
        <v>#DIV/0!</v>
      </c>
      <c r="T38" s="76" t="e">
        <f t="shared" si="75"/>
        <v>#DIV/0!</v>
      </c>
      <c r="U38" s="76" t="e">
        <f t="shared" si="75"/>
        <v>#DIV/0!</v>
      </c>
      <c r="V38" s="76"/>
      <c r="W38" s="76"/>
      <c r="X38" s="76"/>
    </row>
    <row r="39" spans="1:24" ht="12.5" x14ac:dyDescent="0.25">
      <c r="A39" s="14"/>
      <c r="C39" s="68"/>
      <c r="D39" s="68"/>
      <c r="E39" s="68"/>
      <c r="F39" s="68"/>
      <c r="G39" s="68"/>
      <c r="H39" s="68"/>
      <c r="I39" s="68"/>
      <c r="J39" s="68"/>
      <c r="K39" s="68"/>
      <c r="L39" s="68"/>
      <c r="N39" s="295">
        <f t="shared" si="73"/>
        <v>0</v>
      </c>
      <c r="O39" s="24">
        <f t="shared" si="0"/>
        <v>0</v>
      </c>
      <c r="P39" s="76" t="e">
        <f t="shared" ref="P39:R39" si="76">E39/SUM($E39:$G39)</f>
        <v>#DIV/0!</v>
      </c>
      <c r="Q39" s="76" t="e">
        <f t="shared" si="76"/>
        <v>#DIV/0!</v>
      </c>
      <c r="R39" s="76" t="e">
        <f t="shared" si="76"/>
        <v>#DIV/0!</v>
      </c>
      <c r="S39" s="76" t="e">
        <f t="shared" ref="S39:U39" si="77">H39/SUM($H39:$J39)</f>
        <v>#DIV/0!</v>
      </c>
      <c r="T39" s="76" t="e">
        <f t="shared" si="77"/>
        <v>#DIV/0!</v>
      </c>
      <c r="U39" s="76" t="e">
        <f t="shared" si="77"/>
        <v>#DIV/0!</v>
      </c>
      <c r="V39" s="76"/>
      <c r="W39" s="76"/>
      <c r="X39" s="76"/>
    </row>
    <row r="40" spans="1:24" ht="12.5" x14ac:dyDescent="0.25">
      <c r="A40" s="14"/>
      <c r="C40" s="68"/>
      <c r="D40" s="68"/>
      <c r="E40" s="68"/>
      <c r="F40" s="68"/>
      <c r="G40" s="68"/>
      <c r="H40" s="68"/>
      <c r="I40" s="68"/>
      <c r="J40" s="68"/>
      <c r="K40" s="68"/>
      <c r="L40" s="68"/>
      <c r="N40" s="296"/>
      <c r="O40" s="24">
        <f t="shared" si="0"/>
        <v>0</v>
      </c>
      <c r="P40" s="76" t="e">
        <f t="shared" ref="P40:R40" si="78">E40/SUM($E40:$G40)</f>
        <v>#DIV/0!</v>
      </c>
      <c r="Q40" s="76" t="e">
        <f t="shared" si="78"/>
        <v>#DIV/0!</v>
      </c>
      <c r="R40" s="76" t="e">
        <f t="shared" si="78"/>
        <v>#DIV/0!</v>
      </c>
      <c r="S40" s="76" t="e">
        <f t="shared" ref="S40:U40" si="79">H40/SUM($H40:$J40)</f>
        <v>#DIV/0!</v>
      </c>
      <c r="T40" s="76" t="e">
        <f t="shared" si="79"/>
        <v>#DIV/0!</v>
      </c>
      <c r="U40" s="76" t="e">
        <f t="shared" si="79"/>
        <v>#DIV/0!</v>
      </c>
      <c r="V40" s="76"/>
      <c r="W40" s="76"/>
      <c r="X40" s="76"/>
    </row>
    <row r="41" spans="1:24" ht="12.5" x14ac:dyDescent="0.25">
      <c r="A41" s="14"/>
      <c r="C41" s="68"/>
      <c r="D41" s="68"/>
      <c r="E41" s="68"/>
      <c r="F41" s="68"/>
      <c r="G41" s="68"/>
      <c r="H41" s="68"/>
      <c r="I41" s="68"/>
      <c r="J41" s="68"/>
      <c r="K41" s="68"/>
      <c r="L41" s="68"/>
      <c r="N41" s="295">
        <f>B41</f>
        <v>0</v>
      </c>
      <c r="O41" s="24">
        <f t="shared" si="0"/>
        <v>0</v>
      </c>
      <c r="P41" s="76" t="e">
        <f t="shared" ref="P41:R41" si="80">E41/SUM($E41:$G41)</f>
        <v>#DIV/0!</v>
      </c>
      <c r="Q41" s="76" t="e">
        <f t="shared" si="80"/>
        <v>#DIV/0!</v>
      </c>
      <c r="R41" s="76" t="e">
        <f t="shared" si="80"/>
        <v>#DIV/0!</v>
      </c>
      <c r="S41" s="76" t="e">
        <f t="shared" ref="S41:U41" si="81">H41/SUM($H41:$J41)</f>
        <v>#DIV/0!</v>
      </c>
      <c r="T41" s="76" t="e">
        <f t="shared" si="81"/>
        <v>#DIV/0!</v>
      </c>
      <c r="U41" s="76" t="e">
        <f t="shared" si="81"/>
        <v>#DIV/0!</v>
      </c>
      <c r="V41" s="76"/>
      <c r="W41" s="76"/>
      <c r="X41" s="76"/>
    </row>
    <row r="42" spans="1:24" ht="12.5" x14ac:dyDescent="0.25">
      <c r="A42" s="14"/>
      <c r="C42" s="68"/>
      <c r="D42" s="68"/>
      <c r="E42" s="68"/>
      <c r="F42" s="68"/>
      <c r="G42" s="68"/>
      <c r="H42" s="68"/>
      <c r="I42" s="68"/>
      <c r="J42" s="68"/>
      <c r="K42" s="68"/>
      <c r="L42" s="68"/>
      <c r="N42" s="296"/>
      <c r="O42" s="24">
        <f t="shared" si="0"/>
        <v>0</v>
      </c>
      <c r="P42" s="76" t="e">
        <f t="shared" ref="P42:R42" si="82">E42/SUM($E42:$G42)</f>
        <v>#DIV/0!</v>
      </c>
      <c r="Q42" s="76" t="e">
        <f t="shared" si="82"/>
        <v>#DIV/0!</v>
      </c>
      <c r="R42" s="76" t="e">
        <f t="shared" si="82"/>
        <v>#DIV/0!</v>
      </c>
      <c r="S42" s="76" t="e">
        <f t="shared" ref="S42:U42" si="83">H42/SUM($H42:$J42)</f>
        <v>#DIV/0!</v>
      </c>
      <c r="T42" s="76" t="e">
        <f t="shared" si="83"/>
        <v>#DIV/0!</v>
      </c>
      <c r="U42" s="76" t="e">
        <f t="shared" si="83"/>
        <v>#DIV/0!</v>
      </c>
      <c r="V42" s="76"/>
      <c r="W42" s="76"/>
      <c r="X42" s="76"/>
    </row>
    <row r="43" spans="1:24" ht="12.5" x14ac:dyDescent="0.25">
      <c r="A43" s="14"/>
      <c r="C43" s="68"/>
      <c r="D43" s="68"/>
      <c r="E43" s="68"/>
      <c r="F43" s="68"/>
      <c r="G43" s="68"/>
      <c r="H43" s="68"/>
      <c r="I43" s="68"/>
      <c r="J43" s="68"/>
      <c r="K43" s="68"/>
      <c r="L43" s="68"/>
      <c r="N43" s="296"/>
      <c r="O43" s="24">
        <f t="shared" si="0"/>
        <v>0</v>
      </c>
      <c r="P43" s="76" t="e">
        <f t="shared" ref="P43:R43" si="84">E43/SUM($E43:$G43)</f>
        <v>#DIV/0!</v>
      </c>
      <c r="Q43" s="76" t="e">
        <f t="shared" si="84"/>
        <v>#DIV/0!</v>
      </c>
      <c r="R43" s="76" t="e">
        <f t="shared" si="84"/>
        <v>#DIV/0!</v>
      </c>
      <c r="S43" s="76" t="e">
        <f t="shared" ref="S43:U43" si="85">H43/SUM($H43:$J43)</f>
        <v>#DIV/0!</v>
      </c>
      <c r="T43" s="76" t="e">
        <f t="shared" si="85"/>
        <v>#DIV/0!</v>
      </c>
      <c r="U43" s="76" t="e">
        <f t="shared" si="85"/>
        <v>#DIV/0!</v>
      </c>
      <c r="V43" s="76"/>
      <c r="W43" s="76"/>
      <c r="X43" s="76"/>
    </row>
    <row r="44" spans="1:24" ht="12.5" x14ac:dyDescent="0.25">
      <c r="A44" s="14"/>
      <c r="C44" s="68"/>
      <c r="D44" s="68"/>
      <c r="E44" s="68"/>
      <c r="F44" s="68"/>
      <c r="G44" s="68"/>
      <c r="H44" s="68"/>
      <c r="I44" s="68"/>
      <c r="J44" s="68"/>
      <c r="K44" s="68"/>
      <c r="L44" s="68"/>
      <c r="N44" s="75">
        <f t="shared" ref="N44:N45" si="86">B44</f>
        <v>0</v>
      </c>
      <c r="O44" s="24">
        <f t="shared" si="0"/>
        <v>0</v>
      </c>
      <c r="P44" s="76" t="e">
        <f t="shared" ref="P44:R44" si="87">E44/SUM($E44:$G44)</f>
        <v>#DIV/0!</v>
      </c>
      <c r="Q44" s="76" t="e">
        <f t="shared" si="87"/>
        <v>#DIV/0!</v>
      </c>
      <c r="R44" s="76" t="e">
        <f t="shared" si="87"/>
        <v>#DIV/0!</v>
      </c>
      <c r="S44" s="76" t="e">
        <f t="shared" ref="S44:U44" si="88">H44/SUM($H44:$J44)</f>
        <v>#DIV/0!</v>
      </c>
      <c r="T44" s="76" t="e">
        <f t="shared" si="88"/>
        <v>#DIV/0!</v>
      </c>
      <c r="U44" s="76" t="e">
        <f t="shared" si="88"/>
        <v>#DIV/0!</v>
      </c>
      <c r="V44" s="76"/>
      <c r="W44" s="76"/>
      <c r="X44" s="76"/>
    </row>
    <row r="45" spans="1:24" ht="12.5" x14ac:dyDescent="0.25">
      <c r="A45" s="14"/>
      <c r="C45" s="68"/>
      <c r="D45" s="68"/>
      <c r="E45" s="68"/>
      <c r="F45" s="68"/>
      <c r="G45" s="68"/>
      <c r="H45" s="68"/>
      <c r="I45" s="68"/>
      <c r="J45" s="68"/>
      <c r="K45" s="68"/>
      <c r="L45" s="68"/>
      <c r="N45" s="295">
        <f t="shared" si="86"/>
        <v>0</v>
      </c>
      <c r="O45" s="24">
        <f t="shared" si="0"/>
        <v>0</v>
      </c>
      <c r="P45" s="76" t="e">
        <f t="shared" ref="P45:R45" si="89">E45/SUM($E45:$G45)</f>
        <v>#DIV/0!</v>
      </c>
      <c r="Q45" s="76" t="e">
        <f t="shared" si="89"/>
        <v>#DIV/0!</v>
      </c>
      <c r="R45" s="76" t="e">
        <f t="shared" si="89"/>
        <v>#DIV/0!</v>
      </c>
      <c r="S45" s="76" t="e">
        <f t="shared" ref="S45:U45" si="90">H45/SUM($H45:$J45)</f>
        <v>#DIV/0!</v>
      </c>
      <c r="T45" s="76" t="e">
        <f t="shared" si="90"/>
        <v>#DIV/0!</v>
      </c>
      <c r="U45" s="76" t="e">
        <f t="shared" si="90"/>
        <v>#DIV/0!</v>
      </c>
      <c r="V45" s="76"/>
      <c r="W45" s="76"/>
      <c r="X45" s="76"/>
    </row>
    <row r="46" spans="1:24" ht="12.5" x14ac:dyDescent="0.25">
      <c r="A46" s="14"/>
      <c r="C46" s="68"/>
      <c r="D46" s="68"/>
      <c r="E46" s="68"/>
      <c r="F46" s="68"/>
      <c r="G46" s="68"/>
      <c r="H46" s="68"/>
      <c r="I46" s="68"/>
      <c r="J46" s="68"/>
      <c r="K46" s="68"/>
      <c r="L46" s="68"/>
      <c r="N46" s="296"/>
      <c r="O46" s="24">
        <f t="shared" si="0"/>
        <v>0</v>
      </c>
      <c r="P46" s="76" t="e">
        <f t="shared" ref="P46:R46" si="91">E46/SUM($E46:$G46)</f>
        <v>#DIV/0!</v>
      </c>
      <c r="Q46" s="76" t="e">
        <f t="shared" si="91"/>
        <v>#DIV/0!</v>
      </c>
      <c r="R46" s="76" t="e">
        <f t="shared" si="91"/>
        <v>#DIV/0!</v>
      </c>
      <c r="S46" s="76" t="e">
        <f t="shared" ref="S46:U46" si="92">H46/SUM($H46:$J46)</f>
        <v>#DIV/0!</v>
      </c>
      <c r="T46" s="76" t="e">
        <f t="shared" si="92"/>
        <v>#DIV/0!</v>
      </c>
      <c r="U46" s="76" t="e">
        <f t="shared" si="92"/>
        <v>#DIV/0!</v>
      </c>
      <c r="V46" s="76"/>
      <c r="W46" s="76"/>
      <c r="X46" s="76"/>
    </row>
    <row r="47" spans="1:24" ht="12.5" x14ac:dyDescent="0.25">
      <c r="A47" s="14"/>
      <c r="C47" s="68"/>
      <c r="D47" s="68"/>
      <c r="E47" s="68"/>
      <c r="F47" s="68"/>
      <c r="G47" s="68"/>
      <c r="H47" s="68"/>
      <c r="I47" s="68"/>
      <c r="J47" s="68"/>
      <c r="K47" s="68"/>
      <c r="L47" s="68"/>
      <c r="N47" s="296"/>
      <c r="O47" s="24">
        <f t="shared" si="0"/>
        <v>0</v>
      </c>
      <c r="P47" s="76" t="e">
        <f t="shared" ref="P47:R47" si="93">E47/SUM($E47:$G47)</f>
        <v>#DIV/0!</v>
      </c>
      <c r="Q47" s="76" t="e">
        <f t="shared" si="93"/>
        <v>#DIV/0!</v>
      </c>
      <c r="R47" s="76" t="e">
        <f t="shared" si="93"/>
        <v>#DIV/0!</v>
      </c>
      <c r="S47" s="76" t="e">
        <f t="shared" ref="S47:U47" si="94">H47/SUM($H47:$J47)</f>
        <v>#DIV/0!</v>
      </c>
      <c r="T47" s="76" t="e">
        <f t="shared" si="94"/>
        <v>#DIV/0!</v>
      </c>
      <c r="U47" s="76" t="e">
        <f t="shared" si="94"/>
        <v>#DIV/0!</v>
      </c>
      <c r="V47" s="76"/>
      <c r="W47" s="76"/>
      <c r="X47" s="76"/>
    </row>
    <row r="48" spans="1:24" ht="12.5" x14ac:dyDescent="0.25">
      <c r="A48" s="14"/>
      <c r="C48" s="68"/>
      <c r="D48" s="68"/>
      <c r="E48" s="68"/>
      <c r="F48" s="68"/>
      <c r="G48" s="68"/>
      <c r="H48" s="68"/>
      <c r="I48" s="68"/>
      <c r="J48" s="68"/>
      <c r="K48" s="68"/>
      <c r="L48" s="68"/>
      <c r="N48" s="296"/>
      <c r="O48" s="24">
        <f t="shared" si="0"/>
        <v>0</v>
      </c>
      <c r="P48" s="76" t="e">
        <f t="shared" ref="P48:R48" si="95">E48/SUM($E48:$G48)</f>
        <v>#DIV/0!</v>
      </c>
      <c r="Q48" s="76" t="e">
        <f t="shared" si="95"/>
        <v>#DIV/0!</v>
      </c>
      <c r="R48" s="76" t="e">
        <f t="shared" si="95"/>
        <v>#DIV/0!</v>
      </c>
      <c r="S48" s="76" t="e">
        <f t="shared" ref="S48:U48" si="96">H48/SUM($H48:$J48)</f>
        <v>#DIV/0!</v>
      </c>
      <c r="T48" s="76" t="e">
        <f t="shared" si="96"/>
        <v>#DIV/0!</v>
      </c>
      <c r="U48" s="76" t="e">
        <f t="shared" si="96"/>
        <v>#DIV/0!</v>
      </c>
      <c r="V48" s="76"/>
      <c r="W48" s="76"/>
      <c r="X48" s="76"/>
    </row>
    <row r="49" spans="1:24" ht="12.5" x14ac:dyDescent="0.25">
      <c r="A49" s="14"/>
      <c r="C49" s="68"/>
      <c r="D49" s="68"/>
      <c r="E49" s="68"/>
      <c r="F49" s="68"/>
      <c r="G49" s="68"/>
      <c r="H49" s="68"/>
      <c r="I49" s="68"/>
      <c r="J49" s="68"/>
      <c r="K49" s="68"/>
      <c r="L49" s="68"/>
      <c r="N49" s="75">
        <f t="shared" ref="N49:N72" si="97">B49</f>
        <v>0</v>
      </c>
      <c r="O49" s="24">
        <f t="shared" si="0"/>
        <v>0</v>
      </c>
      <c r="P49" s="76" t="e">
        <f t="shared" ref="P49:R49" si="98">E49/SUM($E49:$G49)</f>
        <v>#DIV/0!</v>
      </c>
      <c r="Q49" s="76" t="e">
        <f t="shared" si="98"/>
        <v>#DIV/0!</v>
      </c>
      <c r="R49" s="76" t="e">
        <f t="shared" si="98"/>
        <v>#DIV/0!</v>
      </c>
      <c r="S49" s="76" t="e">
        <f t="shared" ref="S49:U49" si="99">H49/SUM($H49:$J49)</f>
        <v>#DIV/0!</v>
      </c>
      <c r="T49" s="76" t="e">
        <f t="shared" si="99"/>
        <v>#DIV/0!</v>
      </c>
      <c r="U49" s="76" t="e">
        <f t="shared" si="99"/>
        <v>#DIV/0!</v>
      </c>
      <c r="V49" s="76"/>
      <c r="W49" s="76"/>
      <c r="X49" s="76"/>
    </row>
    <row r="50" spans="1:24" ht="12.5" x14ac:dyDescent="0.25">
      <c r="A50" s="14"/>
      <c r="C50" s="68"/>
      <c r="D50" s="68"/>
      <c r="E50" s="68"/>
      <c r="F50" s="68"/>
      <c r="G50" s="68"/>
      <c r="H50" s="68"/>
      <c r="I50" s="68"/>
      <c r="J50" s="68"/>
      <c r="K50" s="68"/>
      <c r="L50" s="68"/>
      <c r="N50" s="75">
        <f t="shared" si="97"/>
        <v>0</v>
      </c>
      <c r="P50" s="76"/>
      <c r="Q50" s="76"/>
      <c r="R50" s="76"/>
      <c r="S50" s="76"/>
      <c r="T50" s="76"/>
      <c r="U50" s="76"/>
      <c r="V50" s="76"/>
      <c r="W50" s="76"/>
      <c r="X50" s="76"/>
    </row>
    <row r="51" spans="1:24" ht="12.5" x14ac:dyDescent="0.25">
      <c r="A51" s="14"/>
      <c r="C51" s="68"/>
      <c r="D51" s="68"/>
      <c r="E51" s="68"/>
      <c r="F51" s="68"/>
      <c r="G51" s="68"/>
      <c r="H51" s="68"/>
      <c r="I51" s="68"/>
      <c r="J51" s="68"/>
      <c r="K51" s="68"/>
      <c r="L51" s="68"/>
      <c r="N51" s="75">
        <f t="shared" si="97"/>
        <v>0</v>
      </c>
      <c r="P51" s="76"/>
      <c r="Q51" s="76"/>
      <c r="R51" s="76"/>
      <c r="S51" s="76"/>
      <c r="T51" s="76"/>
      <c r="U51" s="76"/>
      <c r="V51" s="76"/>
      <c r="W51" s="76"/>
      <c r="X51" s="76"/>
    </row>
    <row r="52" spans="1:24" ht="12.5" x14ac:dyDescent="0.25">
      <c r="A52" s="14"/>
      <c r="C52" s="68"/>
      <c r="D52" s="68"/>
      <c r="E52" s="68"/>
      <c r="F52" s="68"/>
      <c r="G52" s="68"/>
      <c r="H52" s="68"/>
      <c r="I52" s="68"/>
      <c r="J52" s="68"/>
      <c r="K52" s="68"/>
      <c r="L52" s="68"/>
      <c r="N52" s="75">
        <f t="shared" si="97"/>
        <v>0</v>
      </c>
      <c r="P52" s="76"/>
      <c r="Q52" s="76"/>
      <c r="R52" s="76"/>
      <c r="S52" s="76"/>
      <c r="T52" s="76"/>
      <c r="U52" s="76"/>
      <c r="V52" s="76"/>
      <c r="W52" s="76"/>
      <c r="X52" s="76"/>
    </row>
    <row r="53" spans="1:24" ht="12.5" x14ac:dyDescent="0.25">
      <c r="A53" s="14"/>
      <c r="C53" s="68"/>
      <c r="D53" s="68"/>
      <c r="E53" s="68"/>
      <c r="F53" s="68"/>
      <c r="G53" s="68"/>
      <c r="H53" s="68"/>
      <c r="I53" s="68"/>
      <c r="J53" s="68"/>
      <c r="K53" s="68"/>
      <c r="L53" s="68"/>
      <c r="N53" s="75">
        <f t="shared" si="97"/>
        <v>0</v>
      </c>
      <c r="P53" s="76"/>
      <c r="Q53" s="76"/>
      <c r="R53" s="76"/>
      <c r="S53" s="76"/>
      <c r="T53" s="76"/>
      <c r="U53" s="76"/>
      <c r="V53" s="76"/>
      <c r="W53" s="76"/>
      <c r="X53" s="76"/>
    </row>
    <row r="54" spans="1:24" ht="12.5" x14ac:dyDescent="0.25">
      <c r="A54" s="14"/>
      <c r="C54" s="68"/>
      <c r="D54" s="68"/>
      <c r="E54" s="68"/>
      <c r="F54" s="68"/>
      <c r="G54" s="68"/>
      <c r="H54" s="68"/>
      <c r="I54" s="68"/>
      <c r="J54" s="68"/>
      <c r="K54" s="68"/>
      <c r="L54" s="68"/>
      <c r="N54" s="75">
        <f t="shared" si="97"/>
        <v>0</v>
      </c>
      <c r="P54" s="76"/>
      <c r="Q54" s="76"/>
      <c r="R54" s="76"/>
      <c r="S54" s="76"/>
      <c r="T54" s="76"/>
      <c r="U54" s="76"/>
      <c r="V54" s="76"/>
      <c r="W54" s="76"/>
      <c r="X54" s="76"/>
    </row>
    <row r="55" spans="1:24" ht="12.5" x14ac:dyDescent="0.25">
      <c r="A55" s="14"/>
      <c r="C55" s="68"/>
      <c r="D55" s="68"/>
      <c r="E55" s="68"/>
      <c r="F55" s="68"/>
      <c r="G55" s="68"/>
      <c r="H55" s="68"/>
      <c r="I55" s="68"/>
      <c r="J55" s="68"/>
      <c r="K55" s="68"/>
      <c r="L55" s="68"/>
      <c r="N55" s="75">
        <f t="shared" si="97"/>
        <v>0</v>
      </c>
      <c r="P55" s="76"/>
      <c r="Q55" s="76"/>
      <c r="R55" s="76"/>
      <c r="S55" s="76"/>
      <c r="T55" s="76"/>
      <c r="U55" s="76"/>
      <c r="V55" s="76"/>
      <c r="W55" s="76"/>
      <c r="X55" s="76"/>
    </row>
    <row r="56" spans="1:24" ht="12.5" x14ac:dyDescent="0.25">
      <c r="A56" s="14"/>
      <c r="C56" s="68"/>
      <c r="D56" s="68"/>
      <c r="E56" s="68"/>
      <c r="F56" s="68"/>
      <c r="G56" s="68"/>
      <c r="H56" s="68"/>
      <c r="I56" s="68"/>
      <c r="J56" s="68"/>
      <c r="K56" s="68"/>
      <c r="L56" s="68"/>
      <c r="N56" s="75">
        <f t="shared" si="97"/>
        <v>0</v>
      </c>
      <c r="P56" s="76"/>
      <c r="Q56" s="76"/>
      <c r="R56" s="76"/>
      <c r="S56" s="76"/>
      <c r="T56" s="76"/>
      <c r="U56" s="76"/>
      <c r="V56" s="76"/>
      <c r="W56" s="76"/>
      <c r="X56" s="76"/>
    </row>
    <row r="57" spans="1:24" ht="12.5" x14ac:dyDescent="0.25">
      <c r="A57" s="14"/>
      <c r="C57" s="68"/>
      <c r="D57" s="68"/>
      <c r="E57" s="68"/>
      <c r="F57" s="68"/>
      <c r="G57" s="68"/>
      <c r="H57" s="68"/>
      <c r="I57" s="68"/>
      <c r="J57" s="68"/>
      <c r="K57" s="68"/>
      <c r="L57" s="68"/>
      <c r="N57" s="75">
        <f t="shared" si="97"/>
        <v>0</v>
      </c>
      <c r="P57" s="76"/>
      <c r="Q57" s="76"/>
      <c r="R57" s="76"/>
      <c r="S57" s="76"/>
      <c r="T57" s="76"/>
      <c r="U57" s="76"/>
      <c r="V57" s="76"/>
      <c r="W57" s="76"/>
      <c r="X57" s="76"/>
    </row>
    <row r="58" spans="1:24" ht="12.5" x14ac:dyDescent="0.25">
      <c r="A58" s="14"/>
      <c r="C58" s="68"/>
      <c r="D58" s="68"/>
      <c r="E58" s="68"/>
      <c r="F58" s="68"/>
      <c r="G58" s="68"/>
      <c r="H58" s="68"/>
      <c r="I58" s="68"/>
      <c r="J58" s="68"/>
      <c r="K58" s="68"/>
      <c r="L58" s="68"/>
      <c r="N58" s="75">
        <f t="shared" si="97"/>
        <v>0</v>
      </c>
      <c r="P58" s="76"/>
      <c r="Q58" s="76"/>
      <c r="R58" s="76"/>
      <c r="S58" s="76"/>
      <c r="T58" s="76"/>
      <c r="U58" s="76"/>
      <c r="V58" s="76"/>
      <c r="W58" s="76"/>
      <c r="X58" s="76"/>
    </row>
    <row r="59" spans="1:24" ht="12.5" x14ac:dyDescent="0.25">
      <c r="A59" s="14"/>
      <c r="C59" s="68"/>
      <c r="D59" s="68"/>
      <c r="E59" s="68"/>
      <c r="F59" s="68"/>
      <c r="G59" s="68"/>
      <c r="H59" s="68"/>
      <c r="I59" s="68"/>
      <c r="J59" s="68"/>
      <c r="K59" s="68"/>
      <c r="L59" s="68"/>
      <c r="N59" s="75">
        <f t="shared" si="97"/>
        <v>0</v>
      </c>
      <c r="P59" s="76"/>
      <c r="Q59" s="76"/>
      <c r="R59" s="76"/>
      <c r="S59" s="76"/>
      <c r="T59" s="76"/>
      <c r="U59" s="76"/>
      <c r="V59" s="76"/>
      <c r="W59" s="76"/>
      <c r="X59" s="76"/>
    </row>
    <row r="60" spans="1:24" ht="12.5" x14ac:dyDescent="0.25">
      <c r="A60" s="14"/>
      <c r="C60" s="68"/>
      <c r="D60" s="68"/>
      <c r="E60" s="68"/>
      <c r="F60" s="68"/>
      <c r="G60" s="68"/>
      <c r="H60" s="68"/>
      <c r="I60" s="68"/>
      <c r="J60" s="68"/>
      <c r="K60" s="68"/>
      <c r="L60" s="68"/>
      <c r="N60" s="75">
        <f t="shared" si="97"/>
        <v>0</v>
      </c>
      <c r="P60" s="76"/>
      <c r="Q60" s="76"/>
      <c r="R60" s="76"/>
      <c r="S60" s="76"/>
      <c r="T60" s="76"/>
      <c r="U60" s="76"/>
      <c r="V60" s="76"/>
      <c r="W60" s="76"/>
      <c r="X60" s="76"/>
    </row>
    <row r="61" spans="1:24" ht="12.5" x14ac:dyDescent="0.25">
      <c r="A61" s="14"/>
      <c r="C61" s="68"/>
      <c r="D61" s="68"/>
      <c r="E61" s="68"/>
      <c r="F61" s="68"/>
      <c r="G61" s="68"/>
      <c r="H61" s="68"/>
      <c r="I61" s="68"/>
      <c r="J61" s="68"/>
      <c r="K61" s="68"/>
      <c r="L61" s="68"/>
      <c r="N61" s="75">
        <f t="shared" si="97"/>
        <v>0</v>
      </c>
      <c r="P61" s="76"/>
      <c r="Q61" s="76"/>
      <c r="R61" s="76"/>
      <c r="S61" s="76"/>
      <c r="T61" s="76"/>
      <c r="U61" s="76"/>
      <c r="V61" s="76"/>
      <c r="W61" s="76"/>
      <c r="X61" s="76"/>
    </row>
    <row r="62" spans="1:24" ht="12.5" x14ac:dyDescent="0.25">
      <c r="A62" s="14"/>
      <c r="C62" s="68"/>
      <c r="D62" s="68"/>
      <c r="E62" s="68"/>
      <c r="F62" s="68"/>
      <c r="G62" s="68"/>
      <c r="H62" s="68"/>
      <c r="I62" s="68"/>
      <c r="J62" s="68"/>
      <c r="K62" s="68"/>
      <c r="L62" s="68"/>
      <c r="N62" s="75">
        <f t="shared" si="97"/>
        <v>0</v>
      </c>
      <c r="P62" s="76"/>
      <c r="Q62" s="76"/>
      <c r="R62" s="76"/>
      <c r="S62" s="76"/>
      <c r="T62" s="76"/>
      <c r="U62" s="76"/>
      <c r="V62" s="76"/>
      <c r="W62" s="76"/>
      <c r="X62" s="76"/>
    </row>
    <row r="63" spans="1:24" ht="12.5" x14ac:dyDescent="0.25">
      <c r="A63" s="14"/>
      <c r="C63" s="68"/>
      <c r="D63" s="68"/>
      <c r="E63" s="68"/>
      <c r="F63" s="68"/>
      <c r="G63" s="68"/>
      <c r="H63" s="68"/>
      <c r="I63" s="68"/>
      <c r="J63" s="68"/>
      <c r="K63" s="68"/>
      <c r="L63" s="68"/>
      <c r="N63" s="75">
        <f t="shared" si="97"/>
        <v>0</v>
      </c>
      <c r="P63" s="76"/>
      <c r="Q63" s="76"/>
      <c r="R63" s="76"/>
      <c r="S63" s="76"/>
      <c r="T63" s="76"/>
      <c r="U63" s="76"/>
      <c r="V63" s="76"/>
      <c r="W63" s="76"/>
      <c r="X63" s="76"/>
    </row>
    <row r="64" spans="1:24" ht="12.5" x14ac:dyDescent="0.25">
      <c r="A64" s="14"/>
      <c r="C64" s="68"/>
      <c r="D64" s="68"/>
      <c r="E64" s="68"/>
      <c r="F64" s="68"/>
      <c r="G64" s="68"/>
      <c r="H64" s="68"/>
      <c r="I64" s="68"/>
      <c r="J64" s="68"/>
      <c r="K64" s="68"/>
      <c r="L64" s="68"/>
      <c r="N64" s="75">
        <f t="shared" si="97"/>
        <v>0</v>
      </c>
      <c r="P64" s="76"/>
      <c r="Q64" s="76"/>
      <c r="R64" s="76"/>
      <c r="S64" s="76"/>
      <c r="T64" s="76"/>
      <c r="U64" s="76"/>
      <c r="V64" s="76"/>
      <c r="W64" s="76"/>
      <c r="X64" s="76"/>
    </row>
    <row r="65" spans="1:24" ht="12.5" x14ac:dyDescent="0.25">
      <c r="A65" s="14"/>
      <c r="C65" s="68"/>
      <c r="D65" s="68"/>
      <c r="E65" s="68"/>
      <c r="F65" s="68"/>
      <c r="G65" s="68"/>
      <c r="H65" s="68"/>
      <c r="I65" s="68"/>
      <c r="J65" s="68"/>
      <c r="K65" s="68"/>
      <c r="L65" s="68"/>
      <c r="N65" s="75">
        <f t="shared" si="97"/>
        <v>0</v>
      </c>
      <c r="P65" s="76"/>
      <c r="Q65" s="76"/>
      <c r="R65" s="76"/>
      <c r="S65" s="76"/>
      <c r="T65" s="76"/>
      <c r="U65" s="76"/>
      <c r="V65" s="76"/>
      <c r="W65" s="76"/>
      <c r="X65" s="76"/>
    </row>
    <row r="66" spans="1:24" ht="12.5" x14ac:dyDescent="0.25">
      <c r="A66" s="14"/>
      <c r="C66" s="68"/>
      <c r="D66" s="68"/>
      <c r="E66" s="68"/>
      <c r="F66" s="68"/>
      <c r="G66" s="68"/>
      <c r="H66" s="68"/>
      <c r="I66" s="68"/>
      <c r="J66" s="68"/>
      <c r="K66" s="68"/>
      <c r="L66" s="68"/>
      <c r="N66" s="75">
        <f t="shared" si="97"/>
        <v>0</v>
      </c>
      <c r="P66" s="76"/>
      <c r="Q66" s="76"/>
      <c r="R66" s="76"/>
      <c r="S66" s="76"/>
      <c r="T66" s="76"/>
      <c r="U66" s="76"/>
      <c r="V66" s="76"/>
      <c r="W66" s="76"/>
      <c r="X66" s="76"/>
    </row>
    <row r="67" spans="1:24" ht="12.5" x14ac:dyDescent="0.25">
      <c r="A67" s="14"/>
      <c r="C67" s="68"/>
      <c r="D67" s="68"/>
      <c r="E67" s="68"/>
      <c r="F67" s="68"/>
      <c r="G67" s="68"/>
      <c r="H67" s="68"/>
      <c r="I67" s="68"/>
      <c r="J67" s="68"/>
      <c r="K67" s="68"/>
      <c r="L67" s="68"/>
      <c r="N67" s="75">
        <f t="shared" si="97"/>
        <v>0</v>
      </c>
      <c r="P67" s="76"/>
      <c r="Q67" s="76"/>
      <c r="R67" s="76"/>
      <c r="S67" s="76"/>
      <c r="T67" s="76"/>
      <c r="U67" s="76"/>
      <c r="V67" s="76"/>
      <c r="W67" s="76"/>
      <c r="X67" s="76"/>
    </row>
    <row r="68" spans="1:24" ht="12.5" x14ac:dyDescent="0.25">
      <c r="A68" s="14"/>
      <c r="C68" s="68"/>
      <c r="D68" s="68"/>
      <c r="E68" s="68"/>
      <c r="F68" s="68"/>
      <c r="G68" s="68"/>
      <c r="H68" s="68"/>
      <c r="I68" s="68"/>
      <c r="J68" s="68"/>
      <c r="K68" s="68"/>
      <c r="L68" s="68"/>
      <c r="N68" s="75">
        <f t="shared" si="97"/>
        <v>0</v>
      </c>
      <c r="P68" s="76"/>
      <c r="Q68" s="76"/>
      <c r="R68" s="76"/>
      <c r="S68" s="76"/>
      <c r="T68" s="76"/>
      <c r="U68" s="76"/>
      <c r="V68" s="76"/>
      <c r="W68" s="76"/>
      <c r="X68" s="76"/>
    </row>
    <row r="69" spans="1:24" ht="12.5" x14ac:dyDescent="0.25">
      <c r="A69" s="14"/>
      <c r="C69" s="68"/>
      <c r="D69" s="68"/>
      <c r="E69" s="68"/>
      <c r="F69" s="68"/>
      <c r="G69" s="68"/>
      <c r="H69" s="68"/>
      <c r="I69" s="68"/>
      <c r="J69" s="68"/>
      <c r="K69" s="68"/>
      <c r="L69" s="68"/>
      <c r="N69" s="75">
        <f t="shared" si="97"/>
        <v>0</v>
      </c>
      <c r="P69" s="76"/>
      <c r="Q69" s="76"/>
      <c r="R69" s="76"/>
      <c r="S69" s="76"/>
      <c r="T69" s="76"/>
      <c r="U69" s="76"/>
      <c r="V69" s="76"/>
      <c r="W69" s="76"/>
      <c r="X69" s="76"/>
    </row>
    <row r="70" spans="1:24" ht="12.5" x14ac:dyDescent="0.25">
      <c r="A70" s="14"/>
      <c r="C70" s="68"/>
      <c r="D70" s="68"/>
      <c r="E70" s="68"/>
      <c r="F70" s="68"/>
      <c r="G70" s="68"/>
      <c r="H70" s="68"/>
      <c r="I70" s="68"/>
      <c r="J70" s="68"/>
      <c r="K70" s="68"/>
      <c r="L70" s="68"/>
      <c r="N70" s="75">
        <f t="shared" si="97"/>
        <v>0</v>
      </c>
      <c r="P70" s="76"/>
      <c r="Q70" s="76"/>
      <c r="R70" s="76"/>
      <c r="S70" s="76"/>
      <c r="T70" s="76"/>
      <c r="U70" s="76"/>
      <c r="V70" s="76"/>
      <c r="W70" s="76"/>
      <c r="X70" s="76"/>
    </row>
    <row r="71" spans="1:24" ht="12.5" x14ac:dyDescent="0.25">
      <c r="A71" s="14"/>
      <c r="C71" s="68"/>
      <c r="D71" s="68"/>
      <c r="E71" s="68"/>
      <c r="F71" s="68"/>
      <c r="G71" s="68"/>
      <c r="H71" s="68"/>
      <c r="I71" s="68"/>
      <c r="J71" s="68"/>
      <c r="K71" s="68"/>
      <c r="L71" s="68"/>
      <c r="N71" s="75">
        <f t="shared" si="97"/>
        <v>0</v>
      </c>
      <c r="P71" s="76"/>
      <c r="Q71" s="76"/>
      <c r="R71" s="76"/>
      <c r="S71" s="76"/>
      <c r="T71" s="76"/>
      <c r="U71" s="76"/>
      <c r="V71" s="76"/>
      <c r="W71" s="76"/>
      <c r="X71" s="76"/>
    </row>
    <row r="72" spans="1:24" ht="12.5" x14ac:dyDescent="0.25">
      <c r="A72" s="14"/>
      <c r="C72" s="75"/>
      <c r="D72" s="68"/>
      <c r="E72" s="68"/>
      <c r="F72" s="68"/>
      <c r="G72" s="68"/>
      <c r="H72" s="68"/>
      <c r="I72" s="68"/>
      <c r="J72" s="68"/>
      <c r="K72" s="68"/>
      <c r="L72" s="68"/>
      <c r="N72" s="75">
        <f t="shared" si="97"/>
        <v>0</v>
      </c>
      <c r="P72" s="76"/>
      <c r="Q72" s="76"/>
      <c r="R72" s="76"/>
      <c r="S72" s="76"/>
      <c r="T72" s="76"/>
      <c r="U72" s="76"/>
      <c r="V72" s="76"/>
      <c r="W72" s="76"/>
      <c r="X72" s="76"/>
    </row>
    <row r="73" spans="1:24" ht="12.5" x14ac:dyDescent="0.25">
      <c r="A73" s="14"/>
      <c r="C73" s="75"/>
      <c r="D73" s="71"/>
      <c r="E73" s="71"/>
      <c r="F73" s="71"/>
      <c r="G73" s="71"/>
      <c r="H73" s="71"/>
      <c r="I73" s="71"/>
      <c r="J73" s="71"/>
      <c r="K73" s="71"/>
      <c r="L73" s="71"/>
      <c r="N73" s="75"/>
      <c r="P73" s="76"/>
      <c r="Q73" s="76"/>
      <c r="R73" s="76"/>
      <c r="S73" s="76"/>
      <c r="T73" s="76"/>
      <c r="U73" s="76"/>
      <c r="V73" s="76"/>
      <c r="W73" s="76"/>
      <c r="X73" s="76"/>
    </row>
    <row r="74" spans="1:24" ht="12.5" x14ac:dyDescent="0.25">
      <c r="A74" s="14"/>
      <c r="D74" s="76"/>
      <c r="E74" s="76"/>
      <c r="F74" s="76"/>
      <c r="G74" s="76"/>
      <c r="H74" s="76"/>
      <c r="I74" s="76"/>
      <c r="J74" s="76"/>
      <c r="K74" s="76"/>
      <c r="L74" s="76"/>
      <c r="N74" s="75"/>
    </row>
    <row r="75" spans="1:24" ht="12.5" x14ac:dyDescent="0.25">
      <c r="A75" s="14"/>
      <c r="D75" s="76"/>
      <c r="E75" s="76"/>
      <c r="F75" s="76"/>
      <c r="G75" s="76"/>
      <c r="H75" s="76"/>
      <c r="I75" s="76"/>
      <c r="J75" s="76"/>
      <c r="K75" s="76"/>
      <c r="L75" s="76"/>
      <c r="N75" s="75"/>
    </row>
    <row r="76" spans="1:24" ht="12.5" x14ac:dyDescent="0.25">
      <c r="A76" s="14"/>
      <c r="D76" s="76"/>
      <c r="E76" s="76"/>
      <c r="F76" s="76"/>
      <c r="G76" s="76"/>
      <c r="H76" s="76"/>
      <c r="I76" s="76"/>
      <c r="J76" s="76"/>
      <c r="K76" s="76"/>
      <c r="L76" s="76"/>
      <c r="N76" s="75"/>
    </row>
    <row r="77" spans="1:24" ht="12.5" x14ac:dyDescent="0.25">
      <c r="A77" s="14"/>
      <c r="D77" s="76"/>
      <c r="E77" s="76"/>
      <c r="F77" s="76"/>
      <c r="G77" s="76"/>
      <c r="H77" s="76"/>
      <c r="I77" s="76"/>
      <c r="J77" s="76"/>
      <c r="K77" s="76"/>
      <c r="L77" s="76"/>
      <c r="N77" s="75"/>
    </row>
    <row r="78" spans="1:24" ht="12.5" x14ac:dyDescent="0.25">
      <c r="A78" s="14"/>
      <c r="D78" s="76"/>
      <c r="E78" s="76"/>
      <c r="F78" s="76"/>
      <c r="G78" s="76"/>
      <c r="H78" s="76"/>
      <c r="I78" s="76"/>
      <c r="J78" s="76"/>
      <c r="K78" s="76"/>
      <c r="L78" s="76"/>
      <c r="N78" s="75"/>
    </row>
    <row r="79" spans="1:24" ht="12.5" x14ac:dyDescent="0.25">
      <c r="A79" s="14"/>
      <c r="C79" s="68"/>
      <c r="D79" s="68"/>
      <c r="E79" s="68"/>
      <c r="F79" s="68"/>
      <c r="G79" s="68"/>
      <c r="H79" s="68"/>
      <c r="I79" s="68"/>
      <c r="J79" s="68"/>
      <c r="K79" s="68"/>
      <c r="L79" s="68"/>
      <c r="N79" s="75"/>
    </row>
    <row r="80" spans="1:24" ht="12.5" x14ac:dyDescent="0.25">
      <c r="A80" s="14"/>
      <c r="C80" s="68"/>
      <c r="D80" s="68"/>
      <c r="E80" s="68"/>
      <c r="F80" s="68"/>
      <c r="G80" s="68"/>
      <c r="H80" s="68"/>
      <c r="I80" s="68"/>
      <c r="J80" s="68"/>
      <c r="K80" s="68"/>
      <c r="L80" s="68"/>
      <c r="N80" s="75"/>
    </row>
    <row r="81" spans="1:14" ht="12.5" x14ac:dyDescent="0.25">
      <c r="A81" s="14"/>
      <c r="C81" s="68"/>
      <c r="D81" s="68"/>
      <c r="E81" s="68"/>
      <c r="F81" s="68"/>
      <c r="G81" s="68"/>
      <c r="H81" s="68"/>
      <c r="I81" s="68"/>
      <c r="J81" s="68"/>
      <c r="K81" s="68"/>
      <c r="L81" s="68"/>
      <c r="N81" s="75"/>
    </row>
    <row r="82" spans="1:14" ht="12.5" x14ac:dyDescent="0.25">
      <c r="A82" s="14"/>
      <c r="C82" s="68"/>
      <c r="D82" s="68"/>
      <c r="E82" s="68"/>
      <c r="F82" s="68"/>
      <c r="G82" s="68"/>
      <c r="H82" s="68"/>
      <c r="I82" s="68"/>
      <c r="J82" s="68"/>
      <c r="K82" s="68"/>
      <c r="L82" s="68"/>
      <c r="N82" s="75"/>
    </row>
    <row r="83" spans="1:14" ht="12.5" x14ac:dyDescent="0.25">
      <c r="A83" s="14"/>
      <c r="C83" s="68"/>
      <c r="D83" s="68"/>
      <c r="E83" s="68"/>
      <c r="F83" s="68"/>
      <c r="G83" s="68"/>
      <c r="H83" s="68"/>
      <c r="I83" s="68"/>
      <c r="J83" s="68"/>
      <c r="K83" s="68"/>
      <c r="L83" s="68"/>
      <c r="N83" s="75"/>
    </row>
    <row r="84" spans="1:14" ht="12.5" x14ac:dyDescent="0.25">
      <c r="A84" s="14"/>
      <c r="C84" s="68"/>
      <c r="D84" s="68"/>
      <c r="E84" s="68"/>
      <c r="F84" s="68"/>
      <c r="G84" s="68"/>
      <c r="H84" s="68"/>
      <c r="I84" s="68"/>
      <c r="J84" s="68"/>
      <c r="K84" s="68"/>
      <c r="L84" s="68"/>
      <c r="N84" s="75"/>
    </row>
    <row r="85" spans="1:14" ht="12.5" x14ac:dyDescent="0.25">
      <c r="A85" s="14"/>
      <c r="C85" s="68"/>
      <c r="D85" s="68"/>
      <c r="E85" s="68"/>
      <c r="F85" s="68"/>
      <c r="G85" s="68"/>
      <c r="H85" s="68"/>
      <c r="I85" s="68"/>
      <c r="J85" s="68"/>
      <c r="K85" s="68"/>
      <c r="L85" s="68"/>
      <c r="N85" s="75"/>
    </row>
    <row r="86" spans="1:14" ht="12.5" x14ac:dyDescent="0.25">
      <c r="A86" s="14"/>
      <c r="C86" s="68"/>
      <c r="D86" s="68"/>
      <c r="E86" s="68"/>
      <c r="F86" s="68"/>
      <c r="G86" s="68"/>
      <c r="H86" s="68"/>
      <c r="I86" s="68"/>
      <c r="J86" s="68"/>
      <c r="K86" s="68"/>
      <c r="L86" s="68"/>
      <c r="N86" s="75"/>
    </row>
    <row r="87" spans="1:14" ht="12.5" x14ac:dyDescent="0.25">
      <c r="A87" s="14"/>
      <c r="C87" s="68"/>
      <c r="D87" s="68"/>
      <c r="E87" s="68"/>
      <c r="F87" s="68"/>
      <c r="G87" s="68"/>
      <c r="H87" s="68"/>
      <c r="I87" s="68"/>
      <c r="J87" s="68"/>
      <c r="K87" s="68"/>
      <c r="L87" s="68"/>
      <c r="N87" s="75"/>
    </row>
    <row r="88" spans="1:14" ht="12.5" x14ac:dyDescent="0.25">
      <c r="A88" s="14"/>
      <c r="C88" s="68"/>
      <c r="D88" s="68"/>
      <c r="E88" s="68"/>
      <c r="F88" s="68"/>
      <c r="G88" s="68"/>
      <c r="H88" s="68"/>
      <c r="I88" s="68"/>
      <c r="J88" s="68"/>
      <c r="K88" s="68"/>
      <c r="L88" s="68"/>
      <c r="N88" s="75"/>
    </row>
    <row r="89" spans="1:14" ht="12.5" x14ac:dyDescent="0.25">
      <c r="A89" s="14"/>
      <c r="C89" s="68"/>
      <c r="D89" s="68"/>
      <c r="E89" s="68"/>
      <c r="F89" s="68"/>
      <c r="G89" s="68"/>
      <c r="H89" s="68"/>
      <c r="I89" s="68"/>
      <c r="J89" s="68"/>
      <c r="K89" s="68"/>
      <c r="L89" s="68"/>
      <c r="N89" s="75"/>
    </row>
    <row r="90" spans="1:14" ht="12.5" x14ac:dyDescent="0.25">
      <c r="A90" s="14"/>
      <c r="C90" s="68"/>
      <c r="D90" s="68"/>
      <c r="E90" s="68"/>
      <c r="F90" s="68"/>
      <c r="G90" s="68"/>
      <c r="H90" s="68"/>
      <c r="I90" s="68"/>
      <c r="J90" s="68"/>
      <c r="K90" s="68"/>
      <c r="L90" s="68"/>
      <c r="N90" s="75"/>
    </row>
    <row r="91" spans="1:14" ht="12.5" x14ac:dyDescent="0.25">
      <c r="A91" s="14"/>
      <c r="C91" s="68"/>
      <c r="D91" s="68"/>
      <c r="E91" s="68"/>
      <c r="F91" s="68"/>
      <c r="G91" s="68"/>
      <c r="H91" s="68"/>
      <c r="I91" s="68"/>
      <c r="J91" s="68"/>
      <c r="K91" s="68"/>
      <c r="L91" s="68"/>
      <c r="N91" s="75"/>
    </row>
    <row r="92" spans="1:14" ht="12.5" x14ac:dyDescent="0.25">
      <c r="A92" s="14"/>
      <c r="C92" s="68"/>
      <c r="D92" s="68"/>
      <c r="E92" s="68"/>
      <c r="F92" s="68"/>
      <c r="G92" s="68"/>
      <c r="H92" s="68"/>
      <c r="I92" s="68"/>
      <c r="J92" s="68"/>
      <c r="K92" s="68"/>
      <c r="L92" s="68"/>
      <c r="N92" s="75"/>
    </row>
    <row r="93" spans="1:14" ht="12.5" x14ac:dyDescent="0.25">
      <c r="A93" s="14"/>
      <c r="C93" s="68"/>
      <c r="D93" s="68"/>
      <c r="E93" s="68"/>
      <c r="F93" s="68"/>
      <c r="G93" s="68"/>
      <c r="H93" s="68"/>
      <c r="I93" s="68"/>
      <c r="J93" s="68"/>
      <c r="K93" s="68"/>
      <c r="L93" s="68"/>
      <c r="N93" s="75"/>
    </row>
    <row r="94" spans="1:14" ht="12.5" x14ac:dyDescent="0.25">
      <c r="A94" s="14"/>
      <c r="C94" s="68"/>
      <c r="D94" s="68"/>
      <c r="E94" s="68"/>
      <c r="F94" s="68"/>
      <c r="G94" s="68"/>
      <c r="H94" s="68"/>
      <c r="I94" s="68"/>
      <c r="J94" s="68"/>
      <c r="K94" s="68"/>
      <c r="L94" s="68"/>
      <c r="N94" s="75"/>
    </row>
    <row r="95" spans="1:14" ht="12.5" x14ac:dyDescent="0.25">
      <c r="A95" s="14"/>
      <c r="C95" s="68"/>
      <c r="D95" s="68"/>
      <c r="E95" s="68"/>
      <c r="F95" s="68"/>
      <c r="G95" s="68"/>
      <c r="H95" s="68"/>
      <c r="I95" s="68"/>
      <c r="J95" s="68"/>
      <c r="K95" s="68"/>
      <c r="L95" s="68"/>
      <c r="N95" s="75"/>
    </row>
    <row r="96" spans="1:14" ht="12.5" x14ac:dyDescent="0.25">
      <c r="A96" s="14"/>
      <c r="C96" s="68"/>
      <c r="D96" s="68"/>
      <c r="E96" s="68"/>
      <c r="F96" s="68"/>
      <c r="G96" s="68"/>
      <c r="H96" s="68"/>
      <c r="I96" s="68"/>
      <c r="J96" s="68"/>
      <c r="K96" s="68"/>
      <c r="L96" s="68"/>
      <c r="N96" s="75"/>
    </row>
    <row r="97" spans="1:14" ht="12.5" x14ac:dyDescent="0.25">
      <c r="A97" s="14"/>
      <c r="C97" s="68"/>
      <c r="D97" s="68"/>
      <c r="E97" s="68"/>
      <c r="F97" s="68"/>
      <c r="G97" s="68"/>
      <c r="H97" s="68"/>
      <c r="I97" s="68"/>
      <c r="J97" s="68"/>
      <c r="K97" s="68"/>
      <c r="L97" s="68"/>
      <c r="N97" s="75"/>
    </row>
    <row r="98" spans="1:14" ht="12.5" x14ac:dyDescent="0.25">
      <c r="A98" s="14"/>
      <c r="C98" s="68"/>
      <c r="D98" s="68"/>
      <c r="E98" s="68"/>
      <c r="F98" s="68"/>
      <c r="G98" s="68"/>
      <c r="H98" s="68"/>
      <c r="I98" s="68"/>
      <c r="J98" s="68"/>
      <c r="K98" s="68"/>
      <c r="L98" s="68"/>
      <c r="N98" s="75"/>
    </row>
    <row r="99" spans="1:14" ht="12.5" x14ac:dyDescent="0.25">
      <c r="A99" s="14"/>
      <c r="C99" s="68"/>
      <c r="D99" s="68"/>
      <c r="E99" s="68"/>
      <c r="F99" s="68"/>
      <c r="G99" s="68"/>
      <c r="H99" s="68"/>
      <c r="I99" s="68"/>
      <c r="J99" s="68"/>
      <c r="K99" s="68"/>
      <c r="L99" s="68"/>
      <c r="N99" s="75"/>
    </row>
    <row r="100" spans="1:14" ht="12.5" x14ac:dyDescent="0.25">
      <c r="A100" s="14"/>
      <c r="C100" s="68"/>
      <c r="D100" s="68"/>
      <c r="E100" s="68"/>
      <c r="F100" s="68"/>
      <c r="G100" s="68"/>
      <c r="H100" s="68"/>
      <c r="I100" s="68"/>
      <c r="J100" s="68"/>
      <c r="K100" s="68"/>
      <c r="L100" s="68"/>
      <c r="N100" s="75"/>
    </row>
    <row r="101" spans="1:14" ht="12.5" x14ac:dyDescent="0.25">
      <c r="A101" s="14"/>
      <c r="C101" s="68"/>
      <c r="D101" s="68"/>
      <c r="E101" s="68"/>
      <c r="F101" s="68"/>
      <c r="G101" s="68"/>
      <c r="H101" s="68"/>
      <c r="I101" s="68"/>
      <c r="J101" s="68"/>
      <c r="K101" s="68"/>
      <c r="L101" s="68"/>
      <c r="N101" s="75"/>
    </row>
    <row r="102" spans="1:14" ht="12.5" x14ac:dyDescent="0.25">
      <c r="A102" s="14"/>
      <c r="C102" s="68"/>
      <c r="D102" s="68"/>
      <c r="E102" s="68"/>
      <c r="F102" s="68"/>
      <c r="G102" s="68"/>
      <c r="H102" s="68"/>
      <c r="I102" s="68"/>
      <c r="J102" s="68"/>
      <c r="K102" s="68"/>
      <c r="L102" s="68"/>
      <c r="N102" s="75"/>
    </row>
    <row r="103" spans="1:14" ht="12.5" x14ac:dyDescent="0.25">
      <c r="A103" s="14"/>
      <c r="C103" s="68"/>
      <c r="D103" s="68"/>
      <c r="E103" s="68"/>
      <c r="F103" s="68"/>
      <c r="G103" s="68"/>
      <c r="H103" s="68"/>
      <c r="I103" s="68"/>
      <c r="J103" s="68"/>
      <c r="K103" s="68"/>
      <c r="L103" s="68"/>
      <c r="N103" s="75"/>
    </row>
    <row r="104" spans="1:14" ht="12.5" x14ac:dyDescent="0.25">
      <c r="A104" s="14"/>
      <c r="C104" s="68"/>
      <c r="D104" s="68"/>
      <c r="E104" s="68"/>
      <c r="F104" s="68"/>
      <c r="G104" s="68"/>
      <c r="H104" s="68"/>
      <c r="I104" s="68"/>
      <c r="J104" s="68"/>
      <c r="K104" s="68"/>
      <c r="L104" s="68"/>
      <c r="N104" s="75"/>
    </row>
    <row r="105" spans="1:14" ht="12.5" x14ac:dyDescent="0.25">
      <c r="A105" s="14"/>
      <c r="C105" s="68"/>
      <c r="D105" s="68"/>
      <c r="E105" s="68"/>
      <c r="F105" s="68"/>
      <c r="G105" s="68"/>
      <c r="H105" s="68"/>
      <c r="I105" s="68"/>
      <c r="J105" s="68"/>
      <c r="K105" s="68"/>
      <c r="L105" s="68"/>
      <c r="N105" s="75"/>
    </row>
    <row r="106" spans="1:14" ht="12.5" x14ac:dyDescent="0.25">
      <c r="A106" s="14"/>
      <c r="C106" s="68"/>
      <c r="D106" s="68"/>
      <c r="E106" s="68"/>
      <c r="F106" s="68"/>
      <c r="G106" s="68"/>
      <c r="H106" s="68"/>
      <c r="I106" s="68"/>
      <c r="J106" s="68"/>
      <c r="K106" s="68"/>
      <c r="L106" s="68"/>
      <c r="N106" s="75"/>
    </row>
    <row r="107" spans="1:14" ht="12.5" x14ac:dyDescent="0.25">
      <c r="A107" s="14"/>
      <c r="C107" s="68"/>
      <c r="D107" s="68"/>
      <c r="E107" s="68"/>
      <c r="F107" s="68"/>
      <c r="G107" s="68"/>
      <c r="H107" s="68"/>
      <c r="I107" s="68"/>
      <c r="J107" s="68"/>
      <c r="K107" s="68"/>
      <c r="L107" s="68"/>
      <c r="N107" s="75"/>
    </row>
    <row r="108" spans="1:14" ht="12.5" x14ac:dyDescent="0.25">
      <c r="A108" s="14"/>
      <c r="C108" s="68"/>
      <c r="D108" s="68"/>
      <c r="E108" s="68"/>
      <c r="F108" s="68"/>
      <c r="G108" s="68"/>
      <c r="H108" s="68"/>
      <c r="I108" s="68"/>
      <c r="J108" s="68"/>
      <c r="K108" s="68"/>
      <c r="L108" s="68"/>
      <c r="N108" s="75"/>
    </row>
    <row r="109" spans="1:14" ht="12.5" x14ac:dyDescent="0.25">
      <c r="A109" s="14"/>
      <c r="C109" s="68"/>
      <c r="D109" s="68"/>
      <c r="E109" s="68"/>
      <c r="F109" s="68"/>
      <c r="G109" s="68"/>
      <c r="H109" s="68"/>
      <c r="I109" s="68"/>
      <c r="J109" s="68"/>
      <c r="K109" s="68"/>
      <c r="L109" s="68"/>
      <c r="N109" s="75"/>
    </row>
    <row r="110" spans="1:14" ht="12.5" x14ac:dyDescent="0.25">
      <c r="A110" s="14"/>
      <c r="C110" s="68"/>
      <c r="D110" s="68"/>
      <c r="E110" s="68"/>
      <c r="F110" s="68"/>
      <c r="G110" s="68"/>
      <c r="H110" s="68"/>
      <c r="I110" s="68"/>
      <c r="J110" s="68"/>
      <c r="K110" s="68"/>
      <c r="L110" s="68"/>
      <c r="N110" s="75"/>
    </row>
    <row r="111" spans="1:14" ht="12.5" x14ac:dyDescent="0.25">
      <c r="A111" s="14"/>
      <c r="C111" s="68"/>
      <c r="D111" s="68"/>
      <c r="E111" s="68"/>
      <c r="F111" s="68"/>
      <c r="G111" s="68"/>
      <c r="H111" s="68"/>
      <c r="I111" s="68"/>
      <c r="J111" s="68"/>
      <c r="K111" s="68"/>
      <c r="L111" s="68"/>
      <c r="N111" s="75"/>
    </row>
    <row r="112" spans="1:14" ht="12.5" x14ac:dyDescent="0.25">
      <c r="A112" s="14"/>
      <c r="C112" s="68"/>
      <c r="D112" s="68"/>
      <c r="E112" s="68"/>
      <c r="F112" s="68"/>
      <c r="G112" s="68"/>
      <c r="H112" s="68"/>
      <c r="I112" s="68"/>
      <c r="J112" s="68"/>
      <c r="K112" s="68"/>
      <c r="L112" s="68"/>
      <c r="N112" s="75"/>
    </row>
    <row r="113" spans="1:14" ht="12.5" x14ac:dyDescent="0.25">
      <c r="A113" s="14"/>
      <c r="C113" s="68"/>
      <c r="D113" s="68"/>
      <c r="E113" s="68"/>
      <c r="F113" s="68"/>
      <c r="G113" s="68"/>
      <c r="H113" s="68"/>
      <c r="I113" s="68"/>
      <c r="J113" s="68"/>
      <c r="K113" s="68"/>
      <c r="L113" s="68"/>
      <c r="N113" s="75"/>
    </row>
    <row r="114" spans="1:14" ht="12.5" x14ac:dyDescent="0.25">
      <c r="A114" s="14"/>
      <c r="C114" s="68"/>
      <c r="D114" s="68"/>
      <c r="E114" s="68"/>
      <c r="F114" s="68"/>
      <c r="G114" s="68"/>
      <c r="H114" s="68"/>
      <c r="I114" s="68"/>
      <c r="J114" s="68"/>
      <c r="K114" s="68"/>
      <c r="L114" s="68"/>
      <c r="N114" s="75"/>
    </row>
    <row r="115" spans="1:14" ht="12.5" x14ac:dyDescent="0.25">
      <c r="A115" s="14"/>
      <c r="C115" s="68"/>
      <c r="D115" s="68"/>
      <c r="E115" s="68"/>
      <c r="F115" s="68"/>
      <c r="G115" s="68"/>
      <c r="H115" s="68"/>
      <c r="I115" s="68"/>
      <c r="J115" s="68"/>
      <c r="K115" s="68"/>
      <c r="L115" s="68"/>
      <c r="N115" s="75"/>
    </row>
    <row r="116" spans="1:14" ht="12.5" x14ac:dyDescent="0.25">
      <c r="A116" s="14"/>
      <c r="C116" s="68"/>
      <c r="D116" s="68"/>
      <c r="E116" s="68"/>
      <c r="F116" s="68"/>
      <c r="G116" s="68"/>
      <c r="H116" s="68"/>
      <c r="I116" s="68"/>
      <c r="J116" s="68"/>
      <c r="K116" s="68"/>
      <c r="L116" s="68"/>
      <c r="N116" s="75"/>
    </row>
    <row r="117" spans="1:14" ht="12.5" x14ac:dyDescent="0.25">
      <c r="A117" s="14"/>
      <c r="C117" s="68"/>
      <c r="D117" s="68"/>
      <c r="E117" s="68"/>
      <c r="F117" s="68"/>
      <c r="G117" s="68"/>
      <c r="H117" s="68"/>
      <c r="I117" s="68"/>
      <c r="J117" s="68"/>
      <c r="K117" s="68"/>
      <c r="L117" s="68"/>
      <c r="N117" s="75"/>
    </row>
    <row r="118" spans="1:14" ht="12.5" x14ac:dyDescent="0.25">
      <c r="A118" s="14"/>
      <c r="C118" s="68"/>
      <c r="D118" s="68"/>
      <c r="E118" s="68"/>
      <c r="F118" s="68"/>
      <c r="G118" s="68"/>
      <c r="H118" s="68"/>
      <c r="I118" s="68"/>
      <c r="J118" s="68"/>
      <c r="K118" s="68"/>
      <c r="L118" s="68"/>
      <c r="N118" s="75"/>
    </row>
    <row r="119" spans="1:14" ht="12.5" x14ac:dyDescent="0.25">
      <c r="A119" s="14"/>
      <c r="C119" s="68"/>
      <c r="D119" s="68"/>
      <c r="E119" s="68"/>
      <c r="F119" s="68"/>
      <c r="G119" s="68"/>
      <c r="H119" s="68"/>
      <c r="I119" s="68"/>
      <c r="J119" s="68"/>
      <c r="K119" s="68"/>
      <c r="L119" s="68"/>
      <c r="N119" s="75"/>
    </row>
    <row r="120" spans="1:14" ht="12.5" x14ac:dyDescent="0.25">
      <c r="A120" s="14"/>
      <c r="C120" s="68"/>
      <c r="D120" s="68"/>
      <c r="E120" s="68"/>
      <c r="F120" s="68"/>
      <c r="G120" s="68"/>
      <c r="H120" s="68"/>
      <c r="I120" s="68"/>
      <c r="J120" s="68"/>
      <c r="K120" s="68"/>
      <c r="L120" s="68"/>
      <c r="N120" s="75"/>
    </row>
    <row r="121" spans="1:14" ht="12.5" x14ac:dyDescent="0.25">
      <c r="A121" s="14"/>
      <c r="C121" s="68"/>
      <c r="D121" s="68"/>
      <c r="E121" s="68"/>
      <c r="F121" s="68"/>
      <c r="G121" s="68"/>
      <c r="H121" s="68"/>
      <c r="I121" s="68"/>
      <c r="J121" s="68"/>
      <c r="K121" s="68"/>
      <c r="L121" s="68"/>
      <c r="N121" s="75"/>
    </row>
    <row r="122" spans="1:14" ht="12.5" x14ac:dyDescent="0.25">
      <c r="A122" s="14"/>
      <c r="C122" s="68"/>
      <c r="D122" s="68"/>
      <c r="E122" s="68"/>
      <c r="F122" s="68"/>
      <c r="G122" s="68"/>
      <c r="H122" s="68"/>
      <c r="I122" s="68"/>
      <c r="J122" s="68"/>
      <c r="K122" s="68"/>
      <c r="L122" s="68"/>
      <c r="N122" s="75"/>
    </row>
    <row r="123" spans="1:14" ht="12.5" x14ac:dyDescent="0.25">
      <c r="A123" s="14"/>
      <c r="C123" s="68"/>
      <c r="D123" s="68"/>
      <c r="E123" s="68"/>
      <c r="F123" s="68"/>
      <c r="G123" s="68"/>
      <c r="H123" s="68"/>
      <c r="I123" s="68"/>
      <c r="J123" s="68"/>
      <c r="K123" s="68"/>
      <c r="L123" s="68"/>
      <c r="N123" s="75"/>
    </row>
    <row r="124" spans="1:14" ht="12.5" x14ac:dyDescent="0.25">
      <c r="A124" s="14"/>
      <c r="C124" s="68"/>
      <c r="D124" s="68"/>
      <c r="E124" s="68"/>
      <c r="F124" s="68"/>
      <c r="G124" s="68"/>
      <c r="H124" s="68"/>
      <c r="I124" s="68"/>
      <c r="J124" s="68"/>
      <c r="K124" s="68"/>
      <c r="L124" s="68"/>
      <c r="N124" s="75"/>
    </row>
    <row r="125" spans="1:14" ht="12.5" x14ac:dyDescent="0.25">
      <c r="A125" s="14"/>
      <c r="C125" s="68"/>
      <c r="D125" s="68"/>
      <c r="E125" s="68"/>
      <c r="F125" s="68"/>
      <c r="G125" s="68"/>
      <c r="H125" s="68"/>
      <c r="I125" s="68"/>
      <c r="J125" s="68"/>
      <c r="K125" s="68"/>
      <c r="L125" s="68"/>
      <c r="N125" s="75"/>
    </row>
    <row r="126" spans="1:14" ht="12.5" x14ac:dyDescent="0.25">
      <c r="A126" s="14"/>
      <c r="C126" s="68"/>
      <c r="D126" s="68"/>
      <c r="E126" s="68"/>
      <c r="F126" s="68"/>
      <c r="G126" s="68"/>
      <c r="H126" s="68"/>
      <c r="I126" s="68"/>
      <c r="J126" s="68"/>
      <c r="K126" s="68"/>
      <c r="L126" s="68"/>
      <c r="N126" s="75"/>
    </row>
    <row r="127" spans="1:14" ht="12.5" x14ac:dyDescent="0.25">
      <c r="A127" s="14"/>
      <c r="C127" s="68"/>
      <c r="D127" s="68"/>
      <c r="E127" s="68"/>
      <c r="F127" s="68"/>
      <c r="G127" s="68"/>
      <c r="H127" s="68"/>
      <c r="I127" s="68"/>
      <c r="J127" s="68"/>
      <c r="K127" s="68"/>
      <c r="L127" s="68"/>
      <c r="N127" s="75"/>
    </row>
    <row r="128" spans="1:14" ht="12.5" x14ac:dyDescent="0.25">
      <c r="A128" s="14"/>
      <c r="C128" s="68"/>
      <c r="D128" s="68"/>
      <c r="E128" s="68"/>
      <c r="F128" s="68"/>
      <c r="G128" s="68"/>
      <c r="H128" s="68"/>
      <c r="I128" s="68"/>
      <c r="J128" s="68"/>
      <c r="K128" s="68"/>
      <c r="L128" s="68"/>
      <c r="N128" s="75"/>
    </row>
    <row r="129" spans="1:14" ht="12.5" x14ac:dyDescent="0.25">
      <c r="A129" s="14"/>
      <c r="C129" s="68"/>
      <c r="D129" s="68"/>
      <c r="E129" s="68"/>
      <c r="F129" s="68"/>
      <c r="G129" s="68"/>
      <c r="H129" s="68"/>
      <c r="I129" s="68"/>
      <c r="J129" s="68"/>
      <c r="K129" s="68"/>
      <c r="L129" s="68"/>
      <c r="N129" s="75"/>
    </row>
    <row r="130" spans="1:14" ht="12.5" x14ac:dyDescent="0.25">
      <c r="A130" s="14"/>
      <c r="C130" s="68"/>
      <c r="D130" s="68"/>
      <c r="E130" s="68"/>
      <c r="F130" s="68"/>
      <c r="G130" s="68"/>
      <c r="H130" s="68"/>
      <c r="I130" s="68"/>
      <c r="J130" s="68"/>
      <c r="K130" s="68"/>
      <c r="L130" s="68"/>
      <c r="N130" s="75"/>
    </row>
    <row r="131" spans="1:14" ht="12.5" x14ac:dyDescent="0.25">
      <c r="A131" s="14"/>
      <c r="C131" s="68"/>
      <c r="D131" s="68"/>
      <c r="E131" s="68"/>
      <c r="F131" s="68"/>
      <c r="G131" s="68"/>
      <c r="H131" s="68"/>
      <c r="I131" s="68"/>
      <c r="J131" s="68"/>
      <c r="K131" s="68"/>
      <c r="L131" s="68"/>
      <c r="N131" s="75"/>
    </row>
    <row r="132" spans="1:14" ht="12.5" x14ac:dyDescent="0.25">
      <c r="A132" s="14"/>
      <c r="C132" s="68"/>
      <c r="D132" s="68"/>
      <c r="E132" s="68"/>
      <c r="F132" s="68"/>
      <c r="G132" s="68"/>
      <c r="H132" s="68"/>
      <c r="I132" s="68"/>
      <c r="J132" s="68"/>
      <c r="K132" s="68"/>
      <c r="L132" s="68"/>
      <c r="N132" s="75"/>
    </row>
    <row r="133" spans="1:14" ht="12.5" x14ac:dyDescent="0.25">
      <c r="A133" s="14"/>
      <c r="C133" s="68"/>
      <c r="D133" s="68"/>
      <c r="E133" s="68"/>
      <c r="F133" s="68"/>
      <c r="G133" s="68"/>
      <c r="H133" s="68"/>
      <c r="I133" s="68"/>
      <c r="J133" s="68"/>
      <c r="K133" s="68"/>
      <c r="L133" s="68"/>
      <c r="N133" s="75"/>
    </row>
    <row r="134" spans="1:14" ht="12.5" x14ac:dyDescent="0.25">
      <c r="A134" s="14"/>
      <c r="C134" s="68"/>
      <c r="D134" s="68"/>
      <c r="E134" s="68"/>
      <c r="F134" s="68"/>
      <c r="G134" s="68"/>
      <c r="H134" s="68"/>
      <c r="I134" s="68"/>
      <c r="J134" s="68"/>
      <c r="K134" s="68"/>
      <c r="L134" s="68"/>
      <c r="N134" s="75"/>
    </row>
    <row r="135" spans="1:14" ht="12.5" x14ac:dyDescent="0.25">
      <c r="A135" s="14"/>
      <c r="C135" s="68"/>
      <c r="D135" s="68"/>
      <c r="E135" s="68"/>
      <c r="F135" s="68"/>
      <c r="G135" s="68"/>
      <c r="H135" s="68"/>
      <c r="I135" s="68"/>
      <c r="J135" s="68"/>
      <c r="K135" s="68"/>
      <c r="L135" s="68"/>
      <c r="N135" s="75"/>
    </row>
    <row r="136" spans="1:14" ht="12.5" x14ac:dyDescent="0.25">
      <c r="A136" s="14"/>
      <c r="C136" s="68"/>
      <c r="D136" s="68"/>
      <c r="E136" s="68"/>
      <c r="F136" s="68"/>
      <c r="G136" s="68"/>
      <c r="H136" s="68"/>
      <c r="I136" s="68"/>
      <c r="J136" s="68"/>
      <c r="K136" s="68"/>
      <c r="L136" s="68"/>
      <c r="N136" s="75"/>
    </row>
    <row r="137" spans="1:14" ht="12.5" x14ac:dyDescent="0.25">
      <c r="A137" s="14"/>
      <c r="C137" s="68"/>
      <c r="D137" s="68"/>
      <c r="E137" s="68"/>
      <c r="F137" s="68"/>
      <c r="G137" s="68"/>
      <c r="H137" s="68"/>
      <c r="I137" s="68"/>
      <c r="J137" s="68"/>
      <c r="K137" s="68"/>
      <c r="L137" s="68"/>
      <c r="N137" s="75"/>
    </row>
    <row r="138" spans="1:14" ht="12.5" x14ac:dyDescent="0.25">
      <c r="A138" s="14"/>
      <c r="C138" s="68"/>
      <c r="D138" s="68"/>
      <c r="E138" s="68"/>
      <c r="F138" s="68"/>
      <c r="G138" s="68"/>
      <c r="H138" s="68"/>
      <c r="I138" s="68"/>
      <c r="J138" s="68"/>
      <c r="K138" s="68"/>
      <c r="L138" s="68"/>
      <c r="N138" s="75"/>
    </row>
    <row r="139" spans="1:14" ht="12.5" x14ac:dyDescent="0.25">
      <c r="A139" s="14"/>
      <c r="C139" s="68"/>
      <c r="D139" s="68"/>
      <c r="E139" s="68"/>
      <c r="F139" s="68"/>
      <c r="G139" s="68"/>
      <c r="H139" s="68"/>
      <c r="I139" s="68"/>
      <c r="J139" s="68"/>
      <c r="K139" s="68"/>
      <c r="L139" s="68"/>
      <c r="N139" s="75"/>
    </row>
    <row r="140" spans="1:14" ht="12.5" x14ac:dyDescent="0.25">
      <c r="A140" s="14"/>
      <c r="C140" s="68"/>
      <c r="D140" s="68"/>
      <c r="E140" s="68"/>
      <c r="F140" s="68"/>
      <c r="G140" s="68"/>
      <c r="H140" s="68"/>
      <c r="I140" s="68"/>
      <c r="J140" s="68"/>
      <c r="K140" s="68"/>
      <c r="L140" s="68"/>
      <c r="N140" s="75"/>
    </row>
    <row r="141" spans="1:14" ht="12.5" x14ac:dyDescent="0.25">
      <c r="A141" s="14"/>
      <c r="C141" s="68"/>
      <c r="D141" s="68"/>
      <c r="E141" s="68"/>
      <c r="F141" s="68"/>
      <c r="G141" s="68"/>
      <c r="H141" s="68"/>
      <c r="I141" s="68"/>
      <c r="J141" s="68"/>
      <c r="K141" s="68"/>
      <c r="L141" s="68"/>
      <c r="N141" s="75"/>
    </row>
    <row r="142" spans="1:14" ht="12.5" x14ac:dyDescent="0.25">
      <c r="A142" s="14"/>
      <c r="C142" s="68"/>
      <c r="D142" s="68"/>
      <c r="E142" s="68"/>
      <c r="F142" s="68"/>
      <c r="G142" s="68"/>
      <c r="H142" s="68"/>
      <c r="I142" s="68"/>
      <c r="J142" s="68"/>
      <c r="K142" s="68"/>
      <c r="L142" s="68"/>
      <c r="N142" s="75"/>
    </row>
    <row r="143" spans="1:14" ht="12.5" x14ac:dyDescent="0.25">
      <c r="A143" s="14"/>
      <c r="C143" s="68"/>
      <c r="D143" s="68"/>
      <c r="E143" s="68"/>
      <c r="F143" s="68"/>
      <c r="G143" s="68"/>
      <c r="H143" s="68"/>
      <c r="I143" s="68"/>
      <c r="J143" s="68"/>
      <c r="K143" s="68"/>
      <c r="L143" s="68"/>
      <c r="N143" s="75"/>
    </row>
    <row r="144" spans="1:14" ht="12.5" x14ac:dyDescent="0.25">
      <c r="A144" s="14"/>
      <c r="C144" s="68"/>
      <c r="D144" s="68"/>
      <c r="E144" s="68"/>
      <c r="F144" s="68"/>
      <c r="G144" s="68"/>
      <c r="H144" s="68"/>
      <c r="I144" s="68"/>
      <c r="J144" s="68"/>
      <c r="K144" s="68"/>
      <c r="L144" s="68"/>
      <c r="N144" s="75"/>
    </row>
    <row r="145" spans="1:14" ht="12.5" x14ac:dyDescent="0.25">
      <c r="A145" s="14"/>
      <c r="C145" s="68"/>
      <c r="D145" s="68"/>
      <c r="E145" s="68"/>
      <c r="F145" s="68"/>
      <c r="G145" s="68"/>
      <c r="H145" s="68"/>
      <c r="I145" s="68"/>
      <c r="J145" s="68"/>
      <c r="K145" s="68"/>
      <c r="L145" s="68"/>
      <c r="N145" s="75"/>
    </row>
    <row r="146" spans="1:14" ht="12.5" x14ac:dyDescent="0.25">
      <c r="A146" s="14"/>
      <c r="C146" s="68"/>
      <c r="D146" s="68"/>
      <c r="E146" s="68"/>
      <c r="F146" s="68"/>
      <c r="G146" s="68"/>
      <c r="H146" s="68"/>
      <c r="I146" s="68"/>
      <c r="J146" s="68"/>
      <c r="K146" s="68"/>
      <c r="L146" s="68"/>
      <c r="N146" s="75"/>
    </row>
    <row r="147" spans="1:14" ht="12.5" x14ac:dyDescent="0.25">
      <c r="A147" s="14"/>
      <c r="C147" s="68"/>
      <c r="D147" s="68"/>
      <c r="E147" s="68"/>
      <c r="F147" s="68"/>
      <c r="G147" s="68"/>
      <c r="H147" s="68"/>
      <c r="I147" s="68"/>
      <c r="J147" s="68"/>
      <c r="K147" s="68"/>
      <c r="L147" s="68"/>
      <c r="N147" s="75"/>
    </row>
    <row r="148" spans="1:14" ht="12.5" x14ac:dyDescent="0.25">
      <c r="A148" s="14"/>
      <c r="C148" s="68"/>
      <c r="D148" s="68"/>
      <c r="E148" s="68"/>
      <c r="F148" s="68"/>
      <c r="G148" s="68"/>
      <c r="H148" s="68"/>
      <c r="I148" s="68"/>
      <c r="J148" s="68"/>
      <c r="K148" s="68"/>
      <c r="L148" s="68"/>
      <c r="N148" s="75"/>
    </row>
    <row r="149" spans="1:14" ht="12.5" x14ac:dyDescent="0.25">
      <c r="A149" s="14"/>
      <c r="C149" s="68"/>
      <c r="D149" s="68"/>
      <c r="E149" s="68"/>
      <c r="F149" s="68"/>
      <c r="G149" s="68"/>
      <c r="H149" s="68"/>
      <c r="I149" s="68"/>
      <c r="J149" s="68"/>
      <c r="K149" s="68"/>
      <c r="L149" s="68"/>
      <c r="N149" s="75"/>
    </row>
    <row r="150" spans="1:14" ht="12.5" x14ac:dyDescent="0.25">
      <c r="A150" s="14"/>
      <c r="C150" s="68"/>
      <c r="D150" s="68"/>
      <c r="E150" s="68"/>
      <c r="F150" s="68"/>
      <c r="G150" s="68"/>
      <c r="H150" s="68"/>
      <c r="I150" s="68"/>
      <c r="J150" s="68"/>
      <c r="K150" s="68"/>
      <c r="L150" s="68"/>
      <c r="N150" s="75"/>
    </row>
    <row r="151" spans="1:14" ht="12.5" x14ac:dyDescent="0.25">
      <c r="A151" s="14"/>
      <c r="C151" s="68"/>
      <c r="D151" s="68"/>
      <c r="E151" s="68"/>
      <c r="F151" s="68"/>
      <c r="G151" s="68"/>
      <c r="H151" s="68"/>
      <c r="I151" s="68"/>
      <c r="J151" s="68"/>
      <c r="K151" s="68"/>
      <c r="L151" s="68"/>
      <c r="N151" s="75"/>
    </row>
    <row r="152" spans="1:14" ht="12.5" x14ac:dyDescent="0.25">
      <c r="A152" s="14"/>
      <c r="C152" s="68"/>
      <c r="D152" s="68"/>
      <c r="E152" s="68"/>
      <c r="F152" s="68"/>
      <c r="G152" s="68"/>
      <c r="H152" s="68"/>
      <c r="I152" s="68"/>
      <c r="J152" s="68"/>
      <c r="K152" s="68"/>
      <c r="L152" s="68"/>
      <c r="N152" s="75"/>
    </row>
    <row r="153" spans="1:14" ht="12.5" x14ac:dyDescent="0.25">
      <c r="A153" s="14"/>
      <c r="C153" s="68"/>
      <c r="D153" s="68"/>
      <c r="E153" s="68"/>
      <c r="F153" s="68"/>
      <c r="G153" s="68"/>
      <c r="H153" s="68"/>
      <c r="I153" s="68"/>
      <c r="J153" s="68"/>
      <c r="K153" s="68"/>
      <c r="L153" s="68"/>
      <c r="N153" s="75"/>
    </row>
    <row r="154" spans="1:14" ht="12.5" x14ac:dyDescent="0.25">
      <c r="A154" s="14"/>
      <c r="C154" s="68"/>
      <c r="D154" s="68"/>
      <c r="E154" s="68"/>
      <c r="F154" s="68"/>
      <c r="G154" s="68"/>
      <c r="H154" s="68"/>
      <c r="I154" s="68"/>
      <c r="J154" s="68"/>
      <c r="K154" s="68"/>
      <c r="L154" s="68"/>
      <c r="N154" s="75"/>
    </row>
    <row r="155" spans="1:14" ht="12.5" x14ac:dyDescent="0.25">
      <c r="A155" s="14"/>
      <c r="C155" s="68"/>
      <c r="D155" s="68"/>
      <c r="E155" s="68"/>
      <c r="F155" s="68"/>
      <c r="G155" s="68"/>
      <c r="H155" s="68"/>
      <c r="I155" s="68"/>
      <c r="J155" s="68"/>
      <c r="K155" s="68"/>
      <c r="L155" s="68"/>
      <c r="N155" s="75"/>
    </row>
    <row r="156" spans="1:14" ht="12.5" x14ac:dyDescent="0.25">
      <c r="A156" s="14"/>
      <c r="C156" s="68"/>
      <c r="D156" s="68"/>
      <c r="E156" s="68"/>
      <c r="F156" s="68"/>
      <c r="G156" s="68"/>
      <c r="H156" s="68"/>
      <c r="I156" s="68"/>
      <c r="J156" s="68"/>
      <c r="K156" s="68"/>
      <c r="L156" s="68"/>
      <c r="N156" s="75"/>
    </row>
    <row r="157" spans="1:14" ht="12.5" x14ac:dyDescent="0.25">
      <c r="A157" s="14"/>
      <c r="C157" s="68"/>
      <c r="D157" s="68"/>
      <c r="E157" s="68"/>
      <c r="F157" s="68"/>
      <c r="G157" s="68"/>
      <c r="H157" s="68"/>
      <c r="I157" s="68"/>
      <c r="J157" s="68"/>
      <c r="K157" s="68"/>
      <c r="L157" s="68"/>
      <c r="N157" s="75"/>
    </row>
    <row r="158" spans="1:14" ht="12.5" x14ac:dyDescent="0.25">
      <c r="A158" s="14"/>
      <c r="C158" s="68"/>
      <c r="D158" s="68"/>
      <c r="E158" s="68"/>
      <c r="F158" s="68"/>
      <c r="G158" s="68"/>
      <c r="H158" s="68"/>
      <c r="I158" s="68"/>
      <c r="J158" s="68"/>
      <c r="K158" s="68"/>
      <c r="L158" s="68"/>
      <c r="N158" s="75"/>
    </row>
    <row r="159" spans="1:14" ht="12.5" x14ac:dyDescent="0.25">
      <c r="A159" s="14"/>
      <c r="C159" s="68"/>
      <c r="D159" s="68"/>
      <c r="E159" s="68"/>
      <c r="F159" s="68"/>
      <c r="G159" s="68"/>
      <c r="H159" s="68"/>
      <c r="I159" s="68"/>
      <c r="J159" s="68"/>
      <c r="K159" s="68"/>
      <c r="L159" s="68"/>
      <c r="N159" s="75"/>
    </row>
    <row r="160" spans="1:14" ht="12.5" x14ac:dyDescent="0.25">
      <c r="A160" s="14"/>
      <c r="C160" s="68"/>
      <c r="D160" s="68"/>
      <c r="E160" s="68"/>
      <c r="F160" s="68"/>
      <c r="G160" s="68"/>
      <c r="H160" s="68"/>
      <c r="I160" s="68"/>
      <c r="J160" s="68"/>
      <c r="K160" s="68"/>
      <c r="L160" s="68"/>
      <c r="N160" s="75"/>
    </row>
    <row r="161" spans="1:14" ht="12.5" x14ac:dyDescent="0.25">
      <c r="A161" s="14"/>
      <c r="C161" s="68"/>
      <c r="D161" s="68"/>
      <c r="E161" s="68"/>
      <c r="F161" s="68"/>
      <c r="G161" s="68"/>
      <c r="H161" s="68"/>
      <c r="I161" s="68"/>
      <c r="J161" s="68"/>
      <c r="K161" s="68"/>
      <c r="L161" s="68"/>
      <c r="N161" s="75"/>
    </row>
    <row r="162" spans="1:14" ht="12.5" x14ac:dyDescent="0.25">
      <c r="A162" s="14"/>
      <c r="C162" s="68"/>
      <c r="D162" s="68"/>
      <c r="E162" s="68"/>
      <c r="F162" s="68"/>
      <c r="G162" s="68"/>
      <c r="H162" s="68"/>
      <c r="I162" s="68"/>
      <c r="J162" s="68"/>
      <c r="K162" s="68"/>
      <c r="L162" s="68"/>
      <c r="N162" s="75"/>
    </row>
    <row r="163" spans="1:14" ht="12.5" x14ac:dyDescent="0.25">
      <c r="A163" s="14"/>
      <c r="C163" s="68"/>
      <c r="D163" s="68"/>
      <c r="E163" s="68"/>
      <c r="F163" s="68"/>
      <c r="G163" s="68"/>
      <c r="H163" s="68"/>
      <c r="I163" s="68"/>
      <c r="J163" s="68"/>
      <c r="K163" s="68"/>
      <c r="L163" s="68"/>
      <c r="N163" s="75"/>
    </row>
    <row r="164" spans="1:14" ht="12.5" x14ac:dyDescent="0.25">
      <c r="A164" s="14"/>
      <c r="C164" s="68"/>
      <c r="D164" s="68"/>
      <c r="E164" s="68"/>
      <c r="F164" s="68"/>
      <c r="G164" s="68"/>
      <c r="H164" s="68"/>
      <c r="I164" s="68"/>
      <c r="J164" s="68"/>
      <c r="K164" s="68"/>
      <c r="L164" s="68"/>
      <c r="N164" s="75"/>
    </row>
    <row r="165" spans="1:14" ht="12.5" x14ac:dyDescent="0.25">
      <c r="A165" s="14"/>
      <c r="C165" s="68"/>
      <c r="D165" s="68"/>
      <c r="E165" s="68"/>
      <c r="F165" s="68"/>
      <c r="G165" s="68"/>
      <c r="H165" s="68"/>
      <c r="I165" s="68"/>
      <c r="J165" s="68"/>
      <c r="K165" s="68"/>
      <c r="L165" s="68"/>
      <c r="N165" s="75"/>
    </row>
    <row r="166" spans="1:14" ht="12.5" x14ac:dyDescent="0.25">
      <c r="A166" s="14"/>
      <c r="C166" s="68"/>
      <c r="D166" s="68"/>
      <c r="E166" s="68"/>
      <c r="F166" s="68"/>
      <c r="G166" s="68"/>
      <c r="H166" s="68"/>
      <c r="I166" s="68"/>
      <c r="J166" s="68"/>
      <c r="K166" s="68"/>
      <c r="L166" s="68"/>
      <c r="N166" s="75"/>
    </row>
    <row r="167" spans="1:14" ht="12.5" x14ac:dyDescent="0.25">
      <c r="A167" s="14"/>
      <c r="C167" s="68"/>
      <c r="D167" s="68"/>
      <c r="E167" s="68"/>
      <c r="F167" s="68"/>
      <c r="G167" s="68"/>
      <c r="H167" s="68"/>
      <c r="I167" s="68"/>
      <c r="J167" s="68"/>
      <c r="K167" s="68"/>
      <c r="L167" s="68"/>
      <c r="N167" s="75"/>
    </row>
    <row r="168" spans="1:14" ht="12.5" x14ac:dyDescent="0.25">
      <c r="A168" s="14"/>
      <c r="C168" s="68"/>
      <c r="D168" s="68"/>
      <c r="E168" s="68"/>
      <c r="F168" s="68"/>
      <c r="G168" s="68"/>
      <c r="H168" s="68"/>
      <c r="I168" s="68"/>
      <c r="J168" s="68"/>
      <c r="K168" s="68"/>
      <c r="L168" s="68"/>
      <c r="N168" s="75"/>
    </row>
    <row r="169" spans="1:14" ht="12.5" x14ac:dyDescent="0.25">
      <c r="A169" s="14"/>
      <c r="C169" s="68"/>
      <c r="D169" s="68"/>
      <c r="E169" s="68"/>
      <c r="F169" s="68"/>
      <c r="G169" s="68"/>
      <c r="H169" s="68"/>
      <c r="I169" s="68"/>
      <c r="J169" s="68"/>
      <c r="K169" s="68"/>
      <c r="L169" s="68"/>
      <c r="N169" s="75"/>
    </row>
    <row r="170" spans="1:14" ht="12.5" x14ac:dyDescent="0.25">
      <c r="A170" s="14"/>
      <c r="C170" s="68"/>
      <c r="D170" s="68"/>
      <c r="E170" s="68"/>
      <c r="F170" s="68"/>
      <c r="G170" s="68"/>
      <c r="H170" s="68"/>
      <c r="I170" s="68"/>
      <c r="J170" s="68"/>
      <c r="K170" s="68"/>
      <c r="L170" s="68"/>
      <c r="N170" s="75"/>
    </row>
    <row r="171" spans="1:14" ht="12.5" x14ac:dyDescent="0.25">
      <c r="A171" s="14"/>
      <c r="C171" s="68"/>
      <c r="D171" s="68"/>
      <c r="E171" s="68"/>
      <c r="F171" s="68"/>
      <c r="G171" s="68"/>
      <c r="H171" s="68"/>
      <c r="I171" s="68"/>
      <c r="J171" s="68"/>
      <c r="K171" s="68"/>
      <c r="L171" s="68"/>
      <c r="N171" s="75"/>
    </row>
    <row r="172" spans="1:14" ht="12.5" x14ac:dyDescent="0.25">
      <c r="A172" s="14"/>
      <c r="C172" s="68"/>
      <c r="D172" s="68"/>
      <c r="E172" s="68"/>
      <c r="F172" s="68"/>
      <c r="G172" s="68"/>
      <c r="H172" s="68"/>
      <c r="I172" s="68"/>
      <c r="J172" s="68"/>
      <c r="K172" s="68"/>
      <c r="L172" s="68"/>
      <c r="N172" s="75"/>
    </row>
    <row r="173" spans="1:14" ht="12.5" x14ac:dyDescent="0.25">
      <c r="A173" s="14"/>
      <c r="C173" s="68"/>
      <c r="D173" s="68"/>
      <c r="E173" s="68"/>
      <c r="F173" s="68"/>
      <c r="G173" s="68"/>
      <c r="H173" s="68"/>
      <c r="I173" s="68"/>
      <c r="J173" s="68"/>
      <c r="K173" s="68"/>
      <c r="L173" s="68"/>
      <c r="N173" s="75"/>
    </row>
    <row r="174" spans="1:14" ht="12.5" x14ac:dyDescent="0.25">
      <c r="A174" s="14"/>
      <c r="C174" s="68"/>
      <c r="D174" s="68"/>
      <c r="E174" s="68"/>
      <c r="F174" s="68"/>
      <c r="G174" s="68"/>
      <c r="H174" s="68"/>
      <c r="I174" s="68"/>
      <c r="J174" s="68"/>
      <c r="K174" s="68"/>
      <c r="L174" s="68"/>
      <c r="N174" s="75"/>
    </row>
    <row r="175" spans="1:14" ht="12.5" x14ac:dyDescent="0.25">
      <c r="A175" s="14"/>
      <c r="C175" s="68"/>
      <c r="D175" s="68"/>
      <c r="E175" s="68"/>
      <c r="F175" s="68"/>
      <c r="G175" s="68"/>
      <c r="H175" s="68"/>
      <c r="I175" s="68"/>
      <c r="J175" s="68"/>
      <c r="K175" s="68"/>
      <c r="L175" s="68"/>
      <c r="N175" s="75"/>
    </row>
    <row r="176" spans="1:14" ht="12.5" x14ac:dyDescent="0.25">
      <c r="A176" s="14"/>
      <c r="C176" s="68"/>
      <c r="D176" s="68"/>
      <c r="E176" s="68"/>
      <c r="F176" s="68"/>
      <c r="G176" s="68"/>
      <c r="H176" s="68"/>
      <c r="I176" s="68"/>
      <c r="J176" s="68"/>
      <c r="K176" s="68"/>
      <c r="L176" s="68"/>
      <c r="N176" s="75"/>
    </row>
    <row r="177" spans="1:14" ht="12.5" x14ac:dyDescent="0.25">
      <c r="A177" s="14"/>
      <c r="C177" s="68"/>
      <c r="D177" s="68"/>
      <c r="E177" s="68"/>
      <c r="F177" s="68"/>
      <c r="G177" s="68"/>
      <c r="H177" s="68"/>
      <c r="I177" s="68"/>
      <c r="J177" s="68"/>
      <c r="K177" s="68"/>
      <c r="L177" s="68"/>
      <c r="N177" s="75"/>
    </row>
    <row r="178" spans="1:14" ht="12.5" x14ac:dyDescent="0.25">
      <c r="A178" s="14"/>
      <c r="C178" s="68"/>
      <c r="D178" s="68"/>
      <c r="E178" s="68"/>
      <c r="F178" s="68"/>
      <c r="G178" s="68"/>
      <c r="H178" s="68"/>
      <c r="I178" s="68"/>
      <c r="J178" s="68"/>
      <c r="K178" s="68"/>
      <c r="L178" s="68"/>
      <c r="N178" s="75"/>
    </row>
    <row r="179" spans="1:14" ht="12.5" x14ac:dyDescent="0.25">
      <c r="A179" s="14"/>
      <c r="C179" s="68"/>
      <c r="D179" s="68"/>
      <c r="E179" s="68"/>
      <c r="F179" s="68"/>
      <c r="G179" s="68"/>
      <c r="H179" s="68"/>
      <c r="I179" s="68"/>
      <c r="J179" s="68"/>
      <c r="K179" s="68"/>
      <c r="L179" s="68"/>
      <c r="N179" s="75"/>
    </row>
    <row r="180" spans="1:14" ht="12.5" x14ac:dyDescent="0.25">
      <c r="A180" s="14"/>
      <c r="C180" s="68"/>
      <c r="D180" s="68"/>
      <c r="E180" s="68"/>
      <c r="F180" s="68"/>
      <c r="G180" s="68"/>
      <c r="H180" s="68"/>
      <c r="I180" s="68"/>
      <c r="J180" s="68"/>
      <c r="K180" s="68"/>
      <c r="L180" s="68"/>
      <c r="N180" s="75"/>
    </row>
    <row r="181" spans="1:14" ht="12.5" x14ac:dyDescent="0.25">
      <c r="A181" s="14"/>
      <c r="C181" s="68"/>
      <c r="D181" s="68"/>
      <c r="E181" s="68"/>
      <c r="F181" s="68"/>
      <c r="G181" s="68"/>
      <c r="H181" s="68"/>
      <c r="I181" s="68"/>
      <c r="J181" s="68"/>
      <c r="K181" s="68"/>
      <c r="L181" s="68"/>
      <c r="N181" s="75"/>
    </row>
    <row r="182" spans="1:14" ht="12.5" x14ac:dyDescent="0.25">
      <c r="A182" s="14"/>
      <c r="C182" s="68"/>
      <c r="D182" s="68"/>
      <c r="E182" s="68"/>
      <c r="F182" s="68"/>
      <c r="G182" s="68"/>
      <c r="H182" s="68"/>
      <c r="I182" s="68"/>
      <c r="J182" s="68"/>
      <c r="K182" s="68"/>
      <c r="L182" s="68"/>
      <c r="N182" s="75"/>
    </row>
    <row r="183" spans="1:14" ht="12.5" x14ac:dyDescent="0.25">
      <c r="A183" s="14"/>
      <c r="C183" s="68"/>
      <c r="D183" s="68"/>
      <c r="E183" s="68"/>
      <c r="F183" s="68"/>
      <c r="G183" s="68"/>
      <c r="H183" s="68"/>
      <c r="I183" s="68"/>
      <c r="J183" s="68"/>
      <c r="K183" s="68"/>
      <c r="L183" s="68"/>
      <c r="N183" s="75"/>
    </row>
    <row r="184" spans="1:14" ht="12.5" x14ac:dyDescent="0.25">
      <c r="A184" s="14"/>
      <c r="C184" s="68"/>
      <c r="D184" s="68"/>
      <c r="E184" s="68"/>
      <c r="F184" s="68"/>
      <c r="G184" s="68"/>
      <c r="H184" s="68"/>
      <c r="I184" s="68"/>
      <c r="J184" s="68"/>
      <c r="K184" s="68"/>
      <c r="L184" s="68"/>
      <c r="N184" s="75"/>
    </row>
    <row r="185" spans="1:14" ht="12.5" x14ac:dyDescent="0.25">
      <c r="A185" s="14"/>
      <c r="C185" s="68"/>
      <c r="D185" s="68"/>
      <c r="E185" s="68"/>
      <c r="F185" s="68"/>
      <c r="G185" s="68"/>
      <c r="H185" s="68"/>
      <c r="I185" s="68"/>
      <c r="J185" s="68"/>
      <c r="K185" s="68"/>
      <c r="L185" s="68"/>
      <c r="N185" s="75"/>
    </row>
    <row r="186" spans="1:14" ht="12.5" x14ac:dyDescent="0.25">
      <c r="A186" s="14"/>
      <c r="C186" s="68"/>
      <c r="D186" s="68"/>
      <c r="E186" s="68"/>
      <c r="F186" s="68"/>
      <c r="G186" s="68"/>
      <c r="H186" s="68"/>
      <c r="I186" s="68"/>
      <c r="J186" s="68"/>
      <c r="K186" s="68"/>
      <c r="L186" s="68"/>
      <c r="N186" s="75"/>
    </row>
    <row r="187" spans="1:14" ht="12.5" x14ac:dyDescent="0.25">
      <c r="A187" s="14"/>
      <c r="C187" s="68"/>
      <c r="D187" s="68"/>
      <c r="E187" s="68"/>
      <c r="F187" s="68"/>
      <c r="G187" s="68"/>
      <c r="H187" s="68"/>
      <c r="I187" s="68"/>
      <c r="J187" s="68"/>
      <c r="K187" s="68"/>
      <c r="L187" s="68"/>
      <c r="N187" s="75"/>
    </row>
    <row r="188" spans="1:14" ht="12.5" x14ac:dyDescent="0.25">
      <c r="A188" s="14"/>
      <c r="C188" s="68"/>
      <c r="D188" s="68"/>
      <c r="E188" s="68"/>
      <c r="F188" s="68"/>
      <c r="G188" s="68"/>
      <c r="H188" s="68"/>
      <c r="I188" s="68"/>
      <c r="J188" s="68"/>
      <c r="K188" s="68"/>
      <c r="L188" s="68"/>
      <c r="N188" s="75"/>
    </row>
    <row r="189" spans="1:14" ht="12.5" x14ac:dyDescent="0.25">
      <c r="A189" s="14"/>
      <c r="C189" s="68"/>
      <c r="D189" s="68"/>
      <c r="E189" s="68"/>
      <c r="F189" s="68"/>
      <c r="G189" s="68"/>
      <c r="H189" s="68"/>
      <c r="I189" s="68"/>
      <c r="J189" s="68"/>
      <c r="K189" s="68"/>
      <c r="L189" s="68"/>
      <c r="N189" s="75"/>
    </row>
    <row r="190" spans="1:14" ht="12.5" x14ac:dyDescent="0.25">
      <c r="A190" s="14"/>
      <c r="C190" s="68"/>
      <c r="D190" s="68"/>
      <c r="E190" s="68"/>
      <c r="F190" s="68"/>
      <c r="G190" s="68"/>
      <c r="H190" s="68"/>
      <c r="I190" s="68"/>
      <c r="J190" s="68"/>
      <c r="K190" s="68"/>
      <c r="L190" s="68"/>
      <c r="N190" s="75"/>
    </row>
    <row r="191" spans="1:14" ht="12.5" x14ac:dyDescent="0.25">
      <c r="A191" s="14"/>
      <c r="C191" s="68"/>
      <c r="D191" s="68"/>
      <c r="E191" s="68"/>
      <c r="F191" s="68"/>
      <c r="G191" s="68"/>
      <c r="H191" s="68"/>
      <c r="I191" s="68"/>
      <c r="J191" s="68"/>
      <c r="K191" s="68"/>
      <c r="L191" s="68"/>
      <c r="N191" s="75"/>
    </row>
    <row r="192" spans="1:14" ht="12.5" x14ac:dyDescent="0.25">
      <c r="A192" s="14"/>
      <c r="C192" s="68"/>
      <c r="D192" s="68"/>
      <c r="E192" s="68"/>
      <c r="F192" s="68"/>
      <c r="G192" s="68"/>
      <c r="H192" s="68"/>
      <c r="I192" s="68"/>
      <c r="J192" s="68"/>
      <c r="K192" s="68"/>
      <c r="L192" s="68"/>
      <c r="N192" s="75"/>
    </row>
    <row r="193" spans="1:14" ht="12.5" x14ac:dyDescent="0.25">
      <c r="A193" s="14"/>
      <c r="C193" s="68"/>
      <c r="D193" s="68"/>
      <c r="E193" s="68"/>
      <c r="F193" s="68"/>
      <c r="G193" s="68"/>
      <c r="H193" s="68"/>
      <c r="I193" s="68"/>
      <c r="J193" s="68"/>
      <c r="K193" s="68"/>
      <c r="L193" s="68"/>
      <c r="N193" s="75"/>
    </row>
    <row r="194" spans="1:14" ht="12.5" x14ac:dyDescent="0.25">
      <c r="A194" s="14"/>
      <c r="C194" s="68"/>
      <c r="D194" s="68"/>
      <c r="E194" s="68"/>
      <c r="F194" s="68"/>
      <c r="G194" s="68"/>
      <c r="H194" s="68"/>
      <c r="I194" s="68"/>
      <c r="J194" s="68"/>
      <c r="K194" s="68"/>
      <c r="L194" s="68"/>
      <c r="N194" s="75"/>
    </row>
    <row r="195" spans="1:14" ht="12.5" x14ac:dyDescent="0.25">
      <c r="A195" s="14"/>
      <c r="C195" s="68"/>
      <c r="D195" s="68"/>
      <c r="E195" s="68"/>
      <c r="F195" s="68"/>
      <c r="G195" s="68"/>
      <c r="H195" s="68"/>
      <c r="I195" s="68"/>
      <c r="J195" s="68"/>
      <c r="K195" s="68"/>
      <c r="L195" s="68"/>
      <c r="N195" s="75"/>
    </row>
    <row r="196" spans="1:14" ht="12.5" x14ac:dyDescent="0.25">
      <c r="A196" s="14"/>
      <c r="C196" s="68"/>
      <c r="D196" s="68"/>
      <c r="E196" s="68"/>
      <c r="F196" s="68"/>
      <c r="G196" s="68"/>
      <c r="H196" s="68"/>
      <c r="I196" s="68"/>
      <c r="J196" s="68"/>
      <c r="K196" s="68"/>
      <c r="L196" s="68"/>
      <c r="N196" s="75"/>
    </row>
    <row r="197" spans="1:14" ht="12.5" x14ac:dyDescent="0.25">
      <c r="A197" s="14"/>
      <c r="C197" s="68"/>
      <c r="D197" s="68"/>
      <c r="E197" s="68"/>
      <c r="F197" s="68"/>
      <c r="G197" s="68"/>
      <c r="H197" s="68"/>
      <c r="I197" s="68"/>
      <c r="J197" s="68"/>
      <c r="K197" s="68"/>
      <c r="L197" s="68"/>
      <c r="N197" s="75"/>
    </row>
    <row r="198" spans="1:14" ht="12.5" x14ac:dyDescent="0.25">
      <c r="A198" s="14"/>
      <c r="C198" s="68"/>
      <c r="D198" s="68"/>
      <c r="E198" s="68"/>
      <c r="F198" s="68"/>
      <c r="G198" s="68"/>
      <c r="H198" s="68"/>
      <c r="I198" s="68"/>
      <c r="J198" s="68"/>
      <c r="K198" s="68"/>
      <c r="L198" s="68"/>
      <c r="N198" s="75"/>
    </row>
    <row r="199" spans="1:14" ht="12.5" x14ac:dyDescent="0.25">
      <c r="A199" s="14"/>
      <c r="C199" s="68"/>
      <c r="D199" s="68"/>
      <c r="E199" s="68"/>
      <c r="F199" s="68"/>
      <c r="G199" s="68"/>
      <c r="H199" s="68"/>
      <c r="I199" s="68"/>
      <c r="J199" s="68"/>
      <c r="K199" s="68"/>
      <c r="L199" s="68"/>
      <c r="N199" s="75"/>
    </row>
    <row r="200" spans="1:14" ht="12.5" x14ac:dyDescent="0.25">
      <c r="A200" s="14"/>
      <c r="C200" s="68"/>
      <c r="D200" s="68"/>
      <c r="E200" s="68"/>
      <c r="F200" s="68"/>
      <c r="G200" s="68"/>
      <c r="H200" s="68"/>
      <c r="I200" s="68"/>
      <c r="J200" s="68"/>
      <c r="K200" s="68"/>
      <c r="L200" s="68"/>
      <c r="N200" s="75"/>
    </row>
    <row r="201" spans="1:14" ht="12.5" x14ac:dyDescent="0.25">
      <c r="A201" s="14"/>
      <c r="C201" s="68"/>
      <c r="D201" s="68"/>
      <c r="E201" s="68"/>
      <c r="F201" s="68"/>
      <c r="G201" s="68"/>
      <c r="H201" s="68"/>
      <c r="I201" s="68"/>
      <c r="J201" s="68"/>
      <c r="K201" s="68"/>
      <c r="L201" s="68"/>
      <c r="N201" s="75"/>
    </row>
    <row r="202" spans="1:14" ht="12.5" x14ac:dyDescent="0.25">
      <c r="A202" s="14"/>
      <c r="C202" s="68"/>
      <c r="D202" s="68"/>
      <c r="E202" s="68"/>
      <c r="F202" s="68"/>
      <c r="G202" s="68"/>
      <c r="H202" s="68"/>
      <c r="I202" s="68"/>
      <c r="J202" s="68"/>
      <c r="K202" s="68"/>
      <c r="L202" s="68"/>
      <c r="N202" s="75"/>
    </row>
    <row r="203" spans="1:14" ht="12.5" x14ac:dyDescent="0.25">
      <c r="A203" s="14"/>
      <c r="C203" s="68"/>
      <c r="D203" s="68"/>
      <c r="E203" s="68"/>
      <c r="F203" s="68"/>
      <c r="G203" s="68"/>
      <c r="H203" s="68"/>
      <c r="I203" s="68"/>
      <c r="J203" s="68"/>
      <c r="K203" s="68"/>
      <c r="L203" s="68"/>
      <c r="N203" s="75"/>
    </row>
    <row r="204" spans="1:14" ht="12.5" x14ac:dyDescent="0.25">
      <c r="A204" s="14"/>
      <c r="C204" s="68"/>
      <c r="D204" s="68"/>
      <c r="E204" s="68"/>
      <c r="F204" s="68"/>
      <c r="G204" s="68"/>
      <c r="H204" s="68"/>
      <c r="I204" s="68"/>
      <c r="J204" s="68"/>
      <c r="K204" s="68"/>
      <c r="L204" s="68"/>
      <c r="N204" s="75"/>
    </row>
    <row r="205" spans="1:14" ht="12.5" x14ac:dyDescent="0.25">
      <c r="A205" s="14"/>
      <c r="C205" s="68"/>
      <c r="D205" s="68"/>
      <c r="E205" s="68"/>
      <c r="F205" s="68"/>
      <c r="G205" s="68"/>
      <c r="H205" s="68"/>
      <c r="I205" s="68"/>
      <c r="J205" s="68"/>
      <c r="K205" s="68"/>
      <c r="L205" s="68"/>
      <c r="N205" s="75"/>
    </row>
    <row r="206" spans="1:14" ht="12.5" x14ac:dyDescent="0.25">
      <c r="A206" s="14"/>
      <c r="C206" s="68"/>
      <c r="D206" s="68"/>
      <c r="E206" s="68"/>
      <c r="F206" s="68"/>
      <c r="G206" s="68"/>
      <c r="H206" s="68"/>
      <c r="I206" s="68"/>
      <c r="J206" s="68"/>
      <c r="K206" s="68"/>
      <c r="L206" s="68"/>
      <c r="N206" s="75"/>
    </row>
    <row r="207" spans="1:14" ht="12.5" x14ac:dyDescent="0.25">
      <c r="A207" s="14"/>
      <c r="C207" s="68"/>
      <c r="D207" s="68"/>
      <c r="E207" s="68"/>
      <c r="F207" s="68"/>
      <c r="G207" s="68"/>
      <c r="H207" s="68"/>
      <c r="I207" s="68"/>
      <c r="J207" s="68"/>
      <c r="K207" s="68"/>
      <c r="L207" s="68"/>
      <c r="N207" s="75"/>
    </row>
    <row r="208" spans="1:14" ht="12.5" x14ac:dyDescent="0.25">
      <c r="A208" s="14"/>
      <c r="C208" s="68"/>
      <c r="D208" s="68"/>
      <c r="E208" s="68"/>
      <c r="F208" s="68"/>
      <c r="G208" s="68"/>
      <c r="H208" s="68"/>
      <c r="I208" s="68"/>
      <c r="J208" s="68"/>
      <c r="K208" s="68"/>
      <c r="L208" s="68"/>
      <c r="N208" s="75"/>
    </row>
    <row r="209" spans="1:14" ht="12.5" x14ac:dyDescent="0.25">
      <c r="A209" s="14"/>
      <c r="C209" s="68"/>
      <c r="D209" s="68"/>
      <c r="E209" s="68"/>
      <c r="F209" s="68"/>
      <c r="G209" s="68"/>
      <c r="H209" s="68"/>
      <c r="I209" s="68"/>
      <c r="J209" s="68"/>
      <c r="K209" s="68"/>
      <c r="L209" s="68"/>
      <c r="N209" s="75"/>
    </row>
    <row r="210" spans="1:14" ht="12.5" x14ac:dyDescent="0.25">
      <c r="A210" s="14"/>
      <c r="C210" s="68"/>
      <c r="D210" s="68"/>
      <c r="E210" s="68"/>
      <c r="F210" s="68"/>
      <c r="G210" s="68"/>
      <c r="H210" s="68"/>
      <c r="I210" s="68"/>
      <c r="J210" s="68"/>
      <c r="K210" s="68"/>
      <c r="L210" s="68"/>
      <c r="N210" s="75"/>
    </row>
    <row r="211" spans="1:14" ht="12.5" x14ac:dyDescent="0.25">
      <c r="A211" s="14"/>
      <c r="C211" s="68"/>
      <c r="D211" s="68"/>
      <c r="E211" s="68"/>
      <c r="F211" s="68"/>
      <c r="G211" s="68"/>
      <c r="H211" s="68"/>
      <c r="I211" s="68"/>
      <c r="J211" s="68"/>
      <c r="K211" s="68"/>
      <c r="L211" s="68"/>
      <c r="N211" s="75"/>
    </row>
    <row r="212" spans="1:14" ht="12.5" x14ac:dyDescent="0.25">
      <c r="A212" s="14"/>
      <c r="C212" s="68"/>
      <c r="D212" s="68"/>
      <c r="E212" s="68"/>
      <c r="F212" s="68"/>
      <c r="G212" s="68"/>
      <c r="H212" s="68"/>
      <c r="I212" s="68"/>
      <c r="J212" s="68"/>
      <c r="K212" s="68"/>
      <c r="L212" s="68"/>
      <c r="N212" s="75"/>
    </row>
    <row r="213" spans="1:14" ht="12.5" x14ac:dyDescent="0.25">
      <c r="A213" s="14"/>
      <c r="C213" s="68"/>
      <c r="D213" s="68"/>
      <c r="E213" s="68"/>
      <c r="F213" s="68"/>
      <c r="G213" s="68"/>
      <c r="H213" s="68"/>
      <c r="I213" s="68"/>
      <c r="J213" s="68"/>
      <c r="K213" s="68"/>
      <c r="L213" s="68"/>
      <c r="N213" s="75"/>
    </row>
    <row r="214" spans="1:14" ht="12.5" x14ac:dyDescent="0.25">
      <c r="A214" s="14"/>
      <c r="C214" s="68"/>
      <c r="D214" s="68"/>
      <c r="E214" s="68"/>
      <c r="F214" s="68"/>
      <c r="G214" s="68"/>
      <c r="H214" s="68"/>
      <c r="I214" s="68"/>
      <c r="J214" s="68"/>
      <c r="K214" s="68"/>
      <c r="L214" s="68"/>
      <c r="N214" s="75"/>
    </row>
    <row r="215" spans="1:14" ht="12.5" x14ac:dyDescent="0.25">
      <c r="A215" s="14"/>
      <c r="C215" s="68"/>
      <c r="D215" s="68"/>
      <c r="E215" s="68"/>
      <c r="F215" s="68"/>
      <c r="G215" s="68"/>
      <c r="H215" s="68"/>
      <c r="I215" s="68"/>
      <c r="J215" s="68"/>
      <c r="K215" s="68"/>
      <c r="L215" s="68"/>
      <c r="N215" s="75"/>
    </row>
    <row r="216" spans="1:14" ht="12.5" x14ac:dyDescent="0.25">
      <c r="A216" s="14"/>
      <c r="C216" s="68"/>
      <c r="D216" s="68"/>
      <c r="E216" s="68"/>
      <c r="F216" s="68"/>
      <c r="G216" s="68"/>
      <c r="H216" s="68"/>
      <c r="I216" s="68"/>
      <c r="J216" s="68"/>
      <c r="K216" s="68"/>
      <c r="L216" s="68"/>
      <c r="N216" s="75"/>
    </row>
    <row r="217" spans="1:14" ht="12.5" x14ac:dyDescent="0.25">
      <c r="A217" s="14"/>
      <c r="C217" s="68"/>
      <c r="D217" s="68"/>
      <c r="E217" s="68"/>
      <c r="F217" s="68"/>
      <c r="G217" s="68"/>
      <c r="H217" s="68"/>
      <c r="I217" s="68"/>
      <c r="J217" s="68"/>
      <c r="K217" s="68"/>
      <c r="L217" s="68"/>
      <c r="N217" s="75"/>
    </row>
    <row r="218" spans="1:14" ht="12.5" x14ac:dyDescent="0.25">
      <c r="A218" s="14"/>
      <c r="C218" s="68"/>
      <c r="D218" s="68"/>
      <c r="E218" s="68"/>
      <c r="F218" s="68"/>
      <c r="G218" s="68"/>
      <c r="H218" s="68"/>
      <c r="I218" s="68"/>
      <c r="J218" s="68"/>
      <c r="K218" s="68"/>
      <c r="L218" s="68"/>
      <c r="N218" s="75"/>
    </row>
    <row r="219" spans="1:14" ht="12.5" x14ac:dyDescent="0.25">
      <c r="A219" s="14"/>
      <c r="C219" s="68"/>
      <c r="D219" s="68"/>
      <c r="E219" s="68"/>
      <c r="F219" s="68"/>
      <c r="G219" s="68"/>
      <c r="H219" s="68"/>
      <c r="I219" s="68"/>
      <c r="J219" s="68"/>
      <c r="K219" s="68"/>
      <c r="L219" s="68"/>
      <c r="N219" s="75"/>
    </row>
    <row r="220" spans="1:14" ht="12.5" x14ac:dyDescent="0.25">
      <c r="A220" s="14"/>
      <c r="C220" s="68"/>
      <c r="D220" s="68"/>
      <c r="E220" s="68"/>
      <c r="F220" s="68"/>
      <c r="G220" s="68"/>
      <c r="H220" s="68"/>
      <c r="I220" s="68"/>
      <c r="J220" s="68"/>
      <c r="K220" s="68"/>
      <c r="L220" s="68"/>
      <c r="N220" s="75"/>
    </row>
    <row r="221" spans="1:14" ht="12.5" x14ac:dyDescent="0.25">
      <c r="A221" s="14"/>
      <c r="C221" s="68"/>
      <c r="D221" s="68"/>
      <c r="E221" s="68"/>
      <c r="F221" s="68"/>
      <c r="G221" s="68"/>
      <c r="H221" s="68"/>
      <c r="I221" s="68"/>
      <c r="J221" s="68"/>
      <c r="K221" s="68"/>
      <c r="L221" s="68"/>
      <c r="N221" s="75"/>
    </row>
    <row r="222" spans="1:14" ht="12.5" x14ac:dyDescent="0.25">
      <c r="A222" s="14"/>
      <c r="C222" s="68"/>
      <c r="D222" s="68"/>
      <c r="E222" s="68"/>
      <c r="F222" s="68"/>
      <c r="G222" s="68"/>
      <c r="H222" s="68"/>
      <c r="I222" s="68"/>
      <c r="J222" s="68"/>
      <c r="K222" s="68"/>
      <c r="L222" s="68"/>
      <c r="N222" s="75"/>
    </row>
    <row r="223" spans="1:14" ht="12.5" x14ac:dyDescent="0.25">
      <c r="A223" s="14"/>
      <c r="C223" s="68"/>
      <c r="D223" s="68"/>
      <c r="E223" s="68"/>
      <c r="F223" s="68"/>
      <c r="G223" s="68"/>
      <c r="H223" s="68"/>
      <c r="I223" s="68"/>
      <c r="J223" s="68"/>
      <c r="K223" s="68"/>
      <c r="L223" s="68"/>
      <c r="N223" s="75"/>
    </row>
    <row r="224" spans="1:14" ht="12.5" x14ac:dyDescent="0.25">
      <c r="A224" s="14"/>
      <c r="C224" s="68"/>
      <c r="D224" s="68"/>
      <c r="E224" s="68"/>
      <c r="F224" s="68"/>
      <c r="G224" s="68"/>
      <c r="H224" s="68"/>
      <c r="I224" s="68"/>
      <c r="J224" s="68"/>
      <c r="K224" s="68"/>
      <c r="L224" s="68"/>
      <c r="N224" s="75"/>
    </row>
    <row r="225" spans="1:14" ht="12.5" x14ac:dyDescent="0.25">
      <c r="A225" s="14"/>
      <c r="C225" s="68"/>
      <c r="D225" s="68"/>
      <c r="E225" s="68"/>
      <c r="F225" s="68"/>
      <c r="G225" s="68"/>
      <c r="H225" s="68"/>
      <c r="I225" s="68"/>
      <c r="J225" s="68"/>
      <c r="K225" s="68"/>
      <c r="L225" s="68"/>
      <c r="N225" s="75"/>
    </row>
    <row r="226" spans="1:14" ht="12.5" x14ac:dyDescent="0.25">
      <c r="A226" s="14"/>
      <c r="C226" s="68"/>
      <c r="D226" s="68"/>
      <c r="E226" s="68"/>
      <c r="F226" s="68"/>
      <c r="G226" s="68"/>
      <c r="H226" s="68"/>
      <c r="I226" s="68"/>
      <c r="J226" s="68"/>
      <c r="K226" s="68"/>
      <c r="L226" s="68"/>
      <c r="N226" s="75"/>
    </row>
    <row r="227" spans="1:14" ht="12.5" x14ac:dyDescent="0.25">
      <c r="A227" s="14"/>
      <c r="C227" s="68"/>
      <c r="D227" s="68"/>
      <c r="E227" s="68"/>
      <c r="F227" s="68"/>
      <c r="G227" s="68"/>
      <c r="H227" s="68"/>
      <c r="I227" s="68"/>
      <c r="J227" s="68"/>
      <c r="K227" s="68"/>
      <c r="L227" s="68"/>
      <c r="N227" s="75"/>
    </row>
    <row r="228" spans="1:14" ht="12.5" x14ac:dyDescent="0.25">
      <c r="A228" s="14"/>
      <c r="C228" s="68"/>
      <c r="D228" s="68"/>
      <c r="E228" s="68"/>
      <c r="F228" s="68"/>
      <c r="G228" s="68"/>
      <c r="H228" s="68"/>
      <c r="I228" s="68"/>
      <c r="J228" s="68"/>
      <c r="K228" s="68"/>
      <c r="L228" s="68"/>
      <c r="N228" s="75"/>
    </row>
    <row r="229" spans="1:14" ht="12.5" x14ac:dyDescent="0.25">
      <c r="A229" s="14"/>
      <c r="C229" s="68"/>
      <c r="D229" s="68"/>
      <c r="E229" s="68"/>
      <c r="F229" s="68"/>
      <c r="G229" s="68"/>
      <c r="H229" s="68"/>
      <c r="I229" s="68"/>
      <c r="J229" s="68"/>
      <c r="K229" s="68"/>
      <c r="L229" s="68"/>
      <c r="N229" s="75"/>
    </row>
    <row r="230" spans="1:14" ht="12.5" x14ac:dyDescent="0.25">
      <c r="A230" s="14"/>
      <c r="C230" s="68"/>
      <c r="D230" s="68"/>
      <c r="E230" s="68"/>
      <c r="F230" s="68"/>
      <c r="G230" s="68"/>
      <c r="H230" s="68"/>
      <c r="I230" s="68"/>
      <c r="J230" s="68"/>
      <c r="K230" s="68"/>
      <c r="L230" s="68"/>
      <c r="N230" s="75"/>
    </row>
    <row r="231" spans="1:14" ht="12.5" x14ac:dyDescent="0.25">
      <c r="A231" s="14"/>
      <c r="C231" s="68"/>
      <c r="D231" s="68"/>
      <c r="E231" s="68"/>
      <c r="F231" s="68"/>
      <c r="G231" s="68"/>
      <c r="H231" s="68"/>
      <c r="I231" s="68"/>
      <c r="J231" s="68"/>
      <c r="K231" s="68"/>
      <c r="L231" s="68"/>
      <c r="N231" s="75"/>
    </row>
    <row r="232" spans="1:14" ht="12.5" x14ac:dyDescent="0.25">
      <c r="A232" s="14"/>
      <c r="C232" s="68"/>
      <c r="D232" s="68"/>
      <c r="E232" s="68"/>
      <c r="F232" s="68"/>
      <c r="G232" s="68"/>
      <c r="H232" s="68"/>
      <c r="I232" s="68"/>
      <c r="J232" s="68"/>
      <c r="K232" s="68"/>
      <c r="L232" s="68"/>
      <c r="N232" s="75"/>
    </row>
    <row r="233" spans="1:14" ht="12.5" x14ac:dyDescent="0.25">
      <c r="A233" s="14"/>
      <c r="C233" s="68"/>
      <c r="D233" s="68"/>
      <c r="E233" s="68"/>
      <c r="F233" s="68"/>
      <c r="G233" s="68"/>
      <c r="H233" s="68"/>
      <c r="I233" s="68"/>
      <c r="J233" s="68"/>
      <c r="K233" s="68"/>
      <c r="L233" s="68"/>
      <c r="N233" s="75"/>
    </row>
    <row r="234" spans="1:14" ht="12.5" x14ac:dyDescent="0.25">
      <c r="A234" s="14"/>
      <c r="C234" s="68"/>
      <c r="D234" s="68"/>
      <c r="E234" s="68"/>
      <c r="F234" s="68"/>
      <c r="G234" s="68"/>
      <c r="H234" s="68"/>
      <c r="I234" s="68"/>
      <c r="J234" s="68"/>
      <c r="K234" s="68"/>
      <c r="L234" s="68"/>
      <c r="N234" s="75"/>
    </row>
    <row r="235" spans="1:14" ht="12.5" x14ac:dyDescent="0.25">
      <c r="A235" s="14"/>
      <c r="C235" s="68"/>
      <c r="D235" s="68"/>
      <c r="E235" s="68"/>
      <c r="F235" s="68"/>
      <c r="G235" s="68"/>
      <c r="H235" s="68"/>
      <c r="I235" s="68"/>
      <c r="J235" s="68"/>
      <c r="K235" s="68"/>
      <c r="L235" s="68"/>
      <c r="N235" s="75"/>
    </row>
    <row r="236" spans="1:14" ht="12.5" x14ac:dyDescent="0.25">
      <c r="A236" s="14"/>
      <c r="C236" s="68"/>
      <c r="D236" s="68"/>
      <c r="E236" s="68"/>
      <c r="F236" s="68"/>
      <c r="G236" s="68"/>
      <c r="H236" s="68"/>
      <c r="I236" s="68"/>
      <c r="J236" s="68"/>
      <c r="K236" s="68"/>
      <c r="L236" s="68"/>
      <c r="N236" s="75"/>
    </row>
    <row r="237" spans="1:14" ht="12.5" x14ac:dyDescent="0.25">
      <c r="A237" s="14"/>
      <c r="C237" s="68"/>
      <c r="D237" s="68"/>
      <c r="E237" s="68"/>
      <c r="F237" s="68"/>
      <c r="G237" s="68"/>
      <c r="H237" s="68"/>
      <c r="I237" s="68"/>
      <c r="J237" s="68"/>
      <c r="K237" s="68"/>
      <c r="L237" s="68"/>
      <c r="N237" s="75"/>
    </row>
    <row r="238" spans="1:14" ht="12.5" x14ac:dyDescent="0.25">
      <c r="A238" s="14"/>
      <c r="C238" s="68"/>
      <c r="D238" s="68"/>
      <c r="E238" s="68"/>
      <c r="F238" s="68"/>
      <c r="G238" s="68"/>
      <c r="H238" s="68"/>
      <c r="I238" s="68"/>
      <c r="J238" s="68"/>
      <c r="K238" s="68"/>
      <c r="L238" s="68"/>
      <c r="N238" s="75"/>
    </row>
    <row r="239" spans="1:14" ht="12.5" x14ac:dyDescent="0.25">
      <c r="A239" s="14"/>
      <c r="C239" s="68"/>
      <c r="D239" s="68"/>
      <c r="E239" s="68"/>
      <c r="F239" s="68"/>
      <c r="G239" s="68"/>
      <c r="H239" s="68"/>
      <c r="I239" s="68"/>
      <c r="J239" s="68"/>
      <c r="K239" s="68"/>
      <c r="L239" s="68"/>
      <c r="N239" s="75"/>
    </row>
    <row r="240" spans="1:14" ht="12.5" x14ac:dyDescent="0.25">
      <c r="A240" s="14"/>
      <c r="C240" s="68"/>
      <c r="D240" s="68"/>
      <c r="E240" s="68"/>
      <c r="F240" s="68"/>
      <c r="G240" s="68"/>
      <c r="H240" s="68"/>
      <c r="I240" s="68"/>
      <c r="J240" s="68"/>
      <c r="K240" s="68"/>
      <c r="L240" s="68"/>
      <c r="N240" s="75"/>
    </row>
    <row r="241" spans="1:14" ht="12.5" x14ac:dyDescent="0.25">
      <c r="A241" s="14"/>
      <c r="C241" s="68"/>
      <c r="D241" s="68"/>
      <c r="E241" s="68"/>
      <c r="F241" s="68"/>
      <c r="G241" s="68"/>
      <c r="H241" s="68"/>
      <c r="I241" s="68"/>
      <c r="J241" s="68"/>
      <c r="K241" s="68"/>
      <c r="L241" s="68"/>
      <c r="N241" s="75"/>
    </row>
    <row r="242" spans="1:14" ht="12.5" x14ac:dyDescent="0.25">
      <c r="A242" s="14"/>
      <c r="C242" s="68"/>
      <c r="D242" s="68"/>
      <c r="E242" s="68"/>
      <c r="F242" s="68"/>
      <c r="G242" s="68"/>
      <c r="H242" s="68"/>
      <c r="I242" s="68"/>
      <c r="J242" s="68"/>
      <c r="K242" s="68"/>
      <c r="L242" s="68"/>
      <c r="N242" s="75"/>
    </row>
    <row r="243" spans="1:14" ht="12.5" x14ac:dyDescent="0.25">
      <c r="A243" s="14"/>
      <c r="C243" s="68"/>
      <c r="D243" s="68"/>
      <c r="E243" s="68"/>
      <c r="F243" s="68"/>
      <c r="G243" s="68"/>
      <c r="H243" s="68"/>
      <c r="I243" s="68"/>
      <c r="J243" s="68"/>
      <c r="K243" s="68"/>
      <c r="L243" s="68"/>
      <c r="N243" s="75"/>
    </row>
    <row r="244" spans="1:14" ht="12.5" x14ac:dyDescent="0.25">
      <c r="A244" s="14"/>
      <c r="C244" s="68"/>
      <c r="D244" s="68"/>
      <c r="E244" s="68"/>
      <c r="F244" s="68"/>
      <c r="G244" s="68"/>
      <c r="H244" s="68"/>
      <c r="I244" s="68"/>
      <c r="J244" s="68"/>
      <c r="K244" s="68"/>
      <c r="L244" s="68"/>
      <c r="N244" s="75"/>
    </row>
    <row r="245" spans="1:14" ht="12.5" x14ac:dyDescent="0.25">
      <c r="A245" s="14"/>
      <c r="C245" s="68"/>
      <c r="D245" s="68"/>
      <c r="E245" s="68"/>
      <c r="F245" s="68"/>
      <c r="G245" s="68"/>
      <c r="H245" s="68"/>
      <c r="I245" s="68"/>
      <c r="J245" s="68"/>
      <c r="K245" s="68"/>
      <c r="L245" s="68"/>
      <c r="N245" s="75"/>
    </row>
    <row r="246" spans="1:14" ht="12.5" x14ac:dyDescent="0.25">
      <c r="A246" s="14"/>
      <c r="C246" s="68"/>
      <c r="D246" s="68"/>
      <c r="E246" s="68"/>
      <c r="F246" s="68"/>
      <c r="G246" s="68"/>
      <c r="H246" s="68"/>
      <c r="I246" s="68"/>
      <c r="J246" s="68"/>
      <c r="K246" s="68"/>
      <c r="L246" s="68"/>
      <c r="N246" s="75"/>
    </row>
    <row r="247" spans="1:14" ht="12.5" x14ac:dyDescent="0.25">
      <c r="A247" s="14"/>
      <c r="C247" s="68"/>
      <c r="D247" s="68"/>
      <c r="E247" s="68"/>
      <c r="F247" s="68"/>
      <c r="G247" s="68"/>
      <c r="H247" s="68"/>
      <c r="I247" s="68"/>
      <c r="J247" s="68"/>
      <c r="K247" s="68"/>
      <c r="L247" s="68"/>
      <c r="N247" s="75"/>
    </row>
    <row r="248" spans="1:14" ht="12.5" x14ac:dyDescent="0.25">
      <c r="A248" s="14"/>
      <c r="C248" s="68"/>
      <c r="D248" s="68"/>
      <c r="E248" s="68"/>
      <c r="F248" s="68"/>
      <c r="G248" s="68"/>
      <c r="H248" s="68"/>
      <c r="I248" s="68"/>
      <c r="J248" s="68"/>
      <c r="K248" s="68"/>
      <c r="L248" s="68"/>
      <c r="N248" s="75"/>
    </row>
    <row r="249" spans="1:14" ht="12.5" x14ac:dyDescent="0.25">
      <c r="A249" s="14"/>
      <c r="C249" s="68"/>
      <c r="D249" s="68"/>
      <c r="E249" s="68"/>
      <c r="F249" s="68"/>
      <c r="G249" s="68"/>
      <c r="H249" s="68"/>
      <c r="I249" s="68"/>
      <c r="J249" s="68"/>
      <c r="K249" s="68"/>
      <c r="L249" s="68"/>
      <c r="N249" s="75"/>
    </row>
    <row r="250" spans="1:14" ht="12.5" x14ac:dyDescent="0.25">
      <c r="A250" s="14"/>
      <c r="C250" s="68"/>
      <c r="D250" s="68"/>
      <c r="E250" s="68"/>
      <c r="F250" s="68"/>
      <c r="G250" s="68"/>
      <c r="H250" s="68"/>
      <c r="I250" s="68"/>
      <c r="J250" s="68"/>
      <c r="K250" s="68"/>
      <c r="L250" s="68"/>
      <c r="N250" s="75"/>
    </row>
    <row r="251" spans="1:14" ht="12.5" x14ac:dyDescent="0.25">
      <c r="A251" s="14"/>
      <c r="C251" s="68"/>
      <c r="D251" s="68"/>
      <c r="E251" s="68"/>
      <c r="F251" s="68"/>
      <c r="G251" s="68"/>
      <c r="H251" s="68"/>
      <c r="I251" s="68"/>
      <c r="J251" s="68"/>
      <c r="K251" s="68"/>
      <c r="L251" s="68"/>
      <c r="N251" s="75"/>
    </row>
    <row r="252" spans="1:14" ht="12.5" x14ac:dyDescent="0.25">
      <c r="A252" s="14"/>
      <c r="C252" s="68"/>
      <c r="D252" s="68"/>
      <c r="E252" s="68"/>
      <c r="F252" s="68"/>
      <c r="G252" s="68"/>
      <c r="H252" s="68"/>
      <c r="I252" s="68"/>
      <c r="J252" s="68"/>
      <c r="K252" s="68"/>
      <c r="L252" s="68"/>
      <c r="N252" s="75"/>
    </row>
    <row r="253" spans="1:14" ht="12.5" x14ac:dyDescent="0.25">
      <c r="A253" s="14"/>
      <c r="C253" s="68"/>
      <c r="D253" s="68"/>
      <c r="E253" s="68"/>
      <c r="F253" s="68"/>
      <c r="G253" s="68"/>
      <c r="H253" s="68"/>
      <c r="I253" s="68"/>
      <c r="J253" s="68"/>
      <c r="K253" s="68"/>
      <c r="L253" s="68"/>
      <c r="N253" s="75"/>
    </row>
    <row r="254" spans="1:14" ht="12.5" x14ac:dyDescent="0.25">
      <c r="A254" s="14"/>
      <c r="C254" s="68"/>
      <c r="D254" s="68"/>
      <c r="E254" s="68"/>
      <c r="F254" s="68"/>
      <c r="G254" s="68"/>
      <c r="H254" s="68"/>
      <c r="I254" s="68"/>
      <c r="J254" s="68"/>
      <c r="K254" s="68"/>
      <c r="L254" s="68"/>
      <c r="N254" s="75"/>
    </row>
    <row r="255" spans="1:14" ht="12.5" x14ac:dyDescent="0.25">
      <c r="A255" s="14"/>
      <c r="C255" s="68"/>
      <c r="D255" s="68"/>
      <c r="E255" s="68"/>
      <c r="F255" s="68"/>
      <c r="G255" s="68"/>
      <c r="H255" s="68"/>
      <c r="I255" s="68"/>
      <c r="J255" s="68"/>
      <c r="K255" s="68"/>
      <c r="L255" s="68"/>
      <c r="N255" s="75"/>
    </row>
    <row r="256" spans="1:14" ht="12.5" x14ac:dyDescent="0.25">
      <c r="A256" s="14"/>
      <c r="C256" s="68"/>
      <c r="D256" s="68"/>
      <c r="E256" s="68"/>
      <c r="F256" s="68"/>
      <c r="G256" s="68"/>
      <c r="H256" s="68"/>
      <c r="I256" s="68"/>
      <c r="J256" s="68"/>
      <c r="K256" s="68"/>
      <c r="L256" s="68"/>
      <c r="N256" s="75"/>
    </row>
    <row r="257" spans="1:14" ht="12.5" x14ac:dyDescent="0.25">
      <c r="A257" s="14"/>
      <c r="C257" s="68"/>
      <c r="D257" s="68"/>
      <c r="E257" s="68"/>
      <c r="F257" s="68"/>
      <c r="G257" s="68"/>
      <c r="H257" s="68"/>
      <c r="I257" s="68"/>
      <c r="J257" s="68"/>
      <c r="K257" s="68"/>
      <c r="L257" s="68"/>
      <c r="N257" s="75"/>
    </row>
    <row r="258" spans="1:14" ht="12.5" x14ac:dyDescent="0.25">
      <c r="A258" s="14"/>
      <c r="C258" s="68"/>
      <c r="D258" s="68"/>
      <c r="E258" s="68"/>
      <c r="F258" s="68"/>
      <c r="G258" s="68"/>
      <c r="H258" s="68"/>
      <c r="I258" s="68"/>
      <c r="J258" s="68"/>
      <c r="K258" s="68"/>
      <c r="L258" s="68"/>
      <c r="N258" s="75"/>
    </row>
    <row r="259" spans="1:14" ht="12.5" x14ac:dyDescent="0.25">
      <c r="A259" s="14"/>
      <c r="C259" s="68"/>
      <c r="D259" s="68"/>
      <c r="E259" s="68"/>
      <c r="F259" s="68"/>
      <c r="G259" s="68"/>
      <c r="H259" s="68"/>
      <c r="I259" s="68"/>
      <c r="J259" s="68"/>
      <c r="K259" s="68"/>
      <c r="L259" s="68"/>
      <c r="N259" s="75"/>
    </row>
    <row r="260" spans="1:14" ht="12.5" x14ac:dyDescent="0.25">
      <c r="A260" s="14"/>
      <c r="C260" s="68"/>
      <c r="D260" s="68"/>
      <c r="E260" s="68"/>
      <c r="F260" s="68"/>
      <c r="G260" s="68"/>
      <c r="H260" s="68"/>
      <c r="I260" s="68"/>
      <c r="J260" s="68"/>
      <c r="K260" s="68"/>
      <c r="L260" s="68"/>
      <c r="N260" s="75"/>
    </row>
    <row r="261" spans="1:14" ht="12.5" x14ac:dyDescent="0.25">
      <c r="A261" s="14"/>
      <c r="C261" s="68"/>
      <c r="D261" s="68"/>
      <c r="E261" s="68"/>
      <c r="F261" s="68"/>
      <c r="G261" s="68"/>
      <c r="H261" s="68"/>
      <c r="I261" s="68"/>
      <c r="J261" s="68"/>
      <c r="K261" s="68"/>
      <c r="L261" s="68"/>
      <c r="N261" s="75"/>
    </row>
    <row r="262" spans="1:14" ht="12.5" x14ac:dyDescent="0.25">
      <c r="A262" s="14"/>
      <c r="C262" s="68"/>
      <c r="D262" s="68"/>
      <c r="E262" s="68"/>
      <c r="F262" s="68"/>
      <c r="G262" s="68"/>
      <c r="H262" s="68"/>
      <c r="I262" s="68"/>
      <c r="J262" s="68"/>
      <c r="K262" s="68"/>
      <c r="L262" s="68"/>
      <c r="N262" s="75"/>
    </row>
    <row r="263" spans="1:14" ht="12.5" x14ac:dyDescent="0.25">
      <c r="A263" s="14"/>
      <c r="C263" s="68"/>
      <c r="D263" s="68"/>
      <c r="E263" s="68"/>
      <c r="F263" s="68"/>
      <c r="G263" s="68"/>
      <c r="H263" s="68"/>
      <c r="I263" s="68"/>
      <c r="J263" s="68"/>
      <c r="K263" s="68"/>
      <c r="L263" s="68"/>
      <c r="N263" s="75"/>
    </row>
    <row r="264" spans="1:14" ht="12.5" x14ac:dyDescent="0.25">
      <c r="A264" s="14"/>
      <c r="C264" s="68"/>
      <c r="D264" s="68"/>
      <c r="E264" s="68"/>
      <c r="F264" s="68"/>
      <c r="G264" s="68"/>
      <c r="H264" s="68"/>
      <c r="I264" s="68"/>
      <c r="J264" s="68"/>
      <c r="K264" s="68"/>
      <c r="L264" s="68"/>
      <c r="N264" s="75"/>
    </row>
    <row r="265" spans="1:14" ht="12.5" x14ac:dyDescent="0.25">
      <c r="A265" s="14"/>
      <c r="C265" s="68"/>
      <c r="D265" s="68"/>
      <c r="E265" s="68"/>
      <c r="F265" s="68"/>
      <c r="G265" s="68"/>
      <c r="H265" s="68"/>
      <c r="I265" s="68"/>
      <c r="J265" s="68"/>
      <c r="K265" s="68"/>
      <c r="L265" s="68"/>
      <c r="N265" s="75"/>
    </row>
    <row r="266" spans="1:14" ht="12.5" x14ac:dyDescent="0.25">
      <c r="A266" s="14"/>
      <c r="C266" s="68"/>
      <c r="D266" s="68"/>
      <c r="E266" s="68"/>
      <c r="F266" s="68"/>
      <c r="G266" s="68"/>
      <c r="H266" s="68"/>
      <c r="I266" s="68"/>
      <c r="J266" s="68"/>
      <c r="K266" s="68"/>
      <c r="L266" s="68"/>
      <c r="N266" s="75"/>
    </row>
    <row r="267" spans="1:14" ht="12.5" x14ac:dyDescent="0.25">
      <c r="A267" s="14"/>
      <c r="C267" s="68"/>
      <c r="D267" s="68"/>
      <c r="E267" s="68"/>
      <c r="F267" s="68"/>
      <c r="G267" s="68"/>
      <c r="H267" s="68"/>
      <c r="I267" s="68"/>
      <c r="J267" s="68"/>
      <c r="K267" s="68"/>
      <c r="L267" s="68"/>
      <c r="N267" s="75"/>
    </row>
    <row r="268" spans="1:14" ht="12.5" x14ac:dyDescent="0.25">
      <c r="A268" s="14"/>
      <c r="C268" s="68"/>
      <c r="D268" s="68"/>
      <c r="E268" s="68"/>
      <c r="F268" s="68"/>
      <c r="G268" s="68"/>
      <c r="H268" s="68"/>
      <c r="I268" s="68"/>
      <c r="J268" s="68"/>
      <c r="K268" s="68"/>
      <c r="L268" s="68"/>
      <c r="N268" s="75"/>
    </row>
    <row r="269" spans="1:14" ht="12.5" x14ac:dyDescent="0.25">
      <c r="A269" s="14"/>
      <c r="C269" s="68"/>
      <c r="D269" s="68"/>
      <c r="E269" s="68"/>
      <c r="F269" s="68"/>
      <c r="G269" s="68"/>
      <c r="H269" s="68"/>
      <c r="I269" s="68"/>
      <c r="J269" s="68"/>
      <c r="K269" s="68"/>
      <c r="L269" s="68"/>
      <c r="N269" s="75"/>
    </row>
    <row r="270" spans="1:14" ht="12.5" x14ac:dyDescent="0.25">
      <c r="A270" s="14"/>
      <c r="C270" s="68"/>
      <c r="D270" s="68"/>
      <c r="E270" s="68"/>
      <c r="F270" s="68"/>
      <c r="G270" s="68"/>
      <c r="H270" s="68"/>
      <c r="I270" s="68"/>
      <c r="J270" s="68"/>
      <c r="K270" s="68"/>
      <c r="L270" s="68"/>
      <c r="N270" s="75"/>
    </row>
    <row r="271" spans="1:14" ht="12.5" x14ac:dyDescent="0.25">
      <c r="A271" s="14"/>
      <c r="C271" s="68"/>
      <c r="D271" s="68"/>
      <c r="E271" s="68"/>
      <c r="F271" s="68"/>
      <c r="G271" s="68"/>
      <c r="H271" s="68"/>
      <c r="I271" s="68"/>
      <c r="J271" s="68"/>
      <c r="K271" s="68"/>
      <c r="L271" s="68"/>
      <c r="N271" s="75"/>
    </row>
    <row r="272" spans="1:14" ht="12.5" x14ac:dyDescent="0.25">
      <c r="A272" s="14"/>
      <c r="C272" s="68"/>
      <c r="D272" s="68"/>
      <c r="E272" s="68"/>
      <c r="F272" s="68"/>
      <c r="G272" s="68"/>
      <c r="H272" s="68"/>
      <c r="I272" s="68"/>
      <c r="J272" s="68"/>
      <c r="K272" s="68"/>
      <c r="L272" s="68"/>
      <c r="N272" s="75"/>
    </row>
    <row r="273" spans="1:14" ht="12.5" x14ac:dyDescent="0.25">
      <c r="A273" s="14"/>
      <c r="C273" s="68"/>
      <c r="D273" s="68"/>
      <c r="E273" s="68"/>
      <c r="F273" s="68"/>
      <c r="G273" s="68"/>
      <c r="H273" s="68"/>
      <c r="I273" s="68"/>
      <c r="J273" s="68"/>
      <c r="K273" s="68"/>
      <c r="L273" s="68"/>
      <c r="N273" s="75"/>
    </row>
    <row r="274" spans="1:14" ht="12.5" x14ac:dyDescent="0.25">
      <c r="A274" s="14"/>
      <c r="C274" s="68"/>
      <c r="D274" s="68"/>
      <c r="E274" s="68"/>
      <c r="F274" s="68"/>
      <c r="G274" s="68"/>
      <c r="H274" s="68"/>
      <c r="I274" s="68"/>
      <c r="J274" s="68"/>
      <c r="K274" s="68"/>
      <c r="L274" s="68"/>
      <c r="N274" s="75"/>
    </row>
    <row r="275" spans="1:14" ht="12.5" x14ac:dyDescent="0.25">
      <c r="A275" s="14"/>
      <c r="C275" s="68"/>
      <c r="D275" s="68"/>
      <c r="E275" s="68"/>
      <c r="F275" s="68"/>
      <c r="G275" s="68"/>
      <c r="H275" s="68"/>
      <c r="I275" s="68"/>
      <c r="J275" s="68"/>
      <c r="K275" s="68"/>
      <c r="L275" s="68"/>
      <c r="N275" s="75"/>
    </row>
    <row r="276" spans="1:14" ht="12.5" x14ac:dyDescent="0.25">
      <c r="A276" s="14"/>
      <c r="C276" s="68"/>
      <c r="D276" s="68"/>
      <c r="E276" s="68"/>
      <c r="F276" s="68"/>
      <c r="G276" s="68"/>
      <c r="H276" s="68"/>
      <c r="I276" s="68"/>
      <c r="J276" s="68"/>
      <c r="K276" s="68"/>
      <c r="L276" s="68"/>
      <c r="N276" s="75"/>
    </row>
    <row r="277" spans="1:14" ht="12.5" x14ac:dyDescent="0.25">
      <c r="A277" s="14"/>
      <c r="C277" s="68"/>
      <c r="D277" s="68"/>
      <c r="E277" s="68"/>
      <c r="F277" s="68"/>
      <c r="G277" s="68"/>
      <c r="H277" s="68"/>
      <c r="I277" s="68"/>
      <c r="J277" s="68"/>
      <c r="K277" s="68"/>
      <c r="L277" s="68"/>
      <c r="N277" s="75"/>
    </row>
    <row r="278" spans="1:14" ht="12.5" x14ac:dyDescent="0.25">
      <c r="A278" s="14"/>
      <c r="C278" s="68"/>
      <c r="D278" s="68"/>
      <c r="E278" s="68"/>
      <c r="F278" s="68"/>
      <c r="G278" s="68"/>
      <c r="H278" s="68"/>
      <c r="I278" s="68"/>
      <c r="J278" s="68"/>
      <c r="K278" s="68"/>
      <c r="L278" s="68"/>
      <c r="N278" s="75"/>
    </row>
    <row r="279" spans="1:14" ht="12.5" x14ac:dyDescent="0.25">
      <c r="A279" s="14"/>
      <c r="C279" s="68"/>
      <c r="D279" s="68"/>
      <c r="E279" s="68"/>
      <c r="F279" s="68"/>
      <c r="G279" s="68"/>
      <c r="H279" s="68"/>
      <c r="I279" s="68"/>
      <c r="J279" s="68"/>
      <c r="K279" s="68"/>
      <c r="L279" s="68"/>
      <c r="N279" s="75"/>
    </row>
    <row r="280" spans="1:14" ht="12.5" x14ac:dyDescent="0.25">
      <c r="A280" s="14"/>
      <c r="C280" s="68"/>
      <c r="D280" s="68"/>
      <c r="E280" s="68"/>
      <c r="F280" s="68"/>
      <c r="G280" s="68"/>
      <c r="H280" s="68"/>
      <c r="I280" s="68"/>
      <c r="J280" s="68"/>
      <c r="K280" s="68"/>
      <c r="L280" s="68"/>
      <c r="N280" s="75"/>
    </row>
    <row r="281" spans="1:14" ht="12.5" x14ac:dyDescent="0.25">
      <c r="A281" s="14"/>
      <c r="C281" s="68"/>
      <c r="D281" s="68"/>
      <c r="E281" s="68"/>
      <c r="F281" s="68"/>
      <c r="G281" s="68"/>
      <c r="H281" s="68"/>
      <c r="I281" s="68"/>
      <c r="J281" s="68"/>
      <c r="K281" s="68"/>
      <c r="L281" s="68"/>
      <c r="N281" s="75"/>
    </row>
    <row r="282" spans="1:14" ht="12.5" x14ac:dyDescent="0.25">
      <c r="A282" s="14"/>
      <c r="C282" s="68"/>
      <c r="D282" s="68"/>
      <c r="E282" s="68"/>
      <c r="F282" s="68"/>
      <c r="G282" s="68"/>
      <c r="H282" s="68"/>
      <c r="I282" s="68"/>
      <c r="J282" s="68"/>
      <c r="K282" s="68"/>
      <c r="L282" s="68"/>
      <c r="N282" s="75"/>
    </row>
    <row r="283" spans="1:14" ht="12.5" x14ac:dyDescent="0.25">
      <c r="A283" s="14"/>
      <c r="C283" s="68"/>
      <c r="D283" s="68"/>
      <c r="E283" s="68"/>
      <c r="F283" s="68"/>
      <c r="G283" s="68"/>
      <c r="H283" s="68"/>
      <c r="I283" s="68"/>
      <c r="J283" s="68"/>
      <c r="K283" s="68"/>
      <c r="L283" s="68"/>
      <c r="N283" s="75"/>
    </row>
    <row r="284" spans="1:14" ht="12.5" x14ac:dyDescent="0.25">
      <c r="A284" s="14"/>
      <c r="C284" s="68"/>
      <c r="D284" s="68"/>
      <c r="E284" s="68"/>
      <c r="F284" s="68"/>
      <c r="G284" s="68"/>
      <c r="H284" s="68"/>
      <c r="I284" s="68"/>
      <c r="J284" s="68"/>
      <c r="K284" s="68"/>
      <c r="L284" s="68"/>
      <c r="N284" s="75"/>
    </row>
    <row r="285" spans="1:14" ht="12.5" x14ac:dyDescent="0.25">
      <c r="A285" s="14"/>
      <c r="C285" s="68"/>
      <c r="D285" s="68"/>
      <c r="E285" s="68"/>
      <c r="F285" s="68"/>
      <c r="G285" s="68"/>
      <c r="H285" s="68"/>
      <c r="I285" s="68"/>
      <c r="J285" s="68"/>
      <c r="K285" s="68"/>
      <c r="L285" s="68"/>
      <c r="N285" s="75"/>
    </row>
    <row r="286" spans="1:14" ht="12.5" x14ac:dyDescent="0.25">
      <c r="A286" s="14"/>
      <c r="C286" s="68"/>
      <c r="D286" s="68"/>
      <c r="E286" s="68"/>
      <c r="F286" s="68"/>
      <c r="G286" s="68"/>
      <c r="H286" s="68"/>
      <c r="I286" s="68"/>
      <c r="J286" s="68"/>
      <c r="K286" s="68"/>
      <c r="L286" s="68"/>
      <c r="N286" s="75"/>
    </row>
    <row r="287" spans="1:14" ht="12.5" x14ac:dyDescent="0.25">
      <c r="A287" s="14"/>
      <c r="C287" s="68"/>
      <c r="D287" s="68"/>
      <c r="E287" s="68"/>
      <c r="F287" s="68"/>
      <c r="G287" s="68"/>
      <c r="H287" s="68"/>
      <c r="I287" s="68"/>
      <c r="J287" s="68"/>
      <c r="K287" s="68"/>
      <c r="L287" s="68"/>
      <c r="N287" s="75"/>
    </row>
    <row r="288" spans="1:14" ht="12.5" x14ac:dyDescent="0.25">
      <c r="A288" s="14"/>
      <c r="C288" s="68"/>
      <c r="D288" s="68"/>
      <c r="E288" s="68"/>
      <c r="F288" s="68"/>
      <c r="G288" s="68"/>
      <c r="H288" s="68"/>
      <c r="I288" s="68"/>
      <c r="J288" s="68"/>
      <c r="K288" s="68"/>
      <c r="L288" s="68"/>
      <c r="N288" s="75"/>
    </row>
    <row r="289" spans="1:14" ht="12.5" x14ac:dyDescent="0.25">
      <c r="A289" s="14"/>
      <c r="C289" s="68"/>
      <c r="D289" s="68"/>
      <c r="E289" s="68"/>
      <c r="F289" s="68"/>
      <c r="G289" s="68"/>
      <c r="H289" s="68"/>
      <c r="I289" s="68"/>
      <c r="J289" s="68"/>
      <c r="K289" s="68"/>
      <c r="L289" s="68"/>
      <c r="N289" s="75"/>
    </row>
    <row r="290" spans="1:14" ht="12.5" x14ac:dyDescent="0.25">
      <c r="A290" s="14"/>
      <c r="C290" s="68"/>
      <c r="D290" s="68"/>
      <c r="E290" s="68"/>
      <c r="F290" s="68"/>
      <c r="G290" s="68"/>
      <c r="H290" s="68"/>
      <c r="I290" s="68"/>
      <c r="J290" s="68"/>
      <c r="K290" s="68"/>
      <c r="L290" s="68"/>
      <c r="N290" s="75"/>
    </row>
    <row r="291" spans="1:14" ht="12.5" x14ac:dyDescent="0.25">
      <c r="A291" s="14"/>
      <c r="C291" s="68"/>
      <c r="D291" s="68"/>
      <c r="E291" s="68"/>
      <c r="F291" s="68"/>
      <c r="G291" s="68"/>
      <c r="H291" s="68"/>
      <c r="I291" s="68"/>
      <c r="J291" s="68"/>
      <c r="K291" s="68"/>
      <c r="L291" s="68"/>
      <c r="N291" s="75"/>
    </row>
    <row r="292" spans="1:14" ht="12.5" x14ac:dyDescent="0.25">
      <c r="A292" s="14"/>
      <c r="C292" s="68"/>
      <c r="D292" s="68"/>
      <c r="E292" s="68"/>
      <c r="F292" s="68"/>
      <c r="G292" s="68"/>
      <c r="H292" s="68"/>
      <c r="I292" s="68"/>
      <c r="J292" s="68"/>
      <c r="K292" s="68"/>
      <c r="L292" s="68"/>
      <c r="N292" s="75"/>
    </row>
    <row r="293" spans="1:14" ht="12.5" x14ac:dyDescent="0.25">
      <c r="A293" s="14"/>
      <c r="C293" s="68"/>
      <c r="D293" s="68"/>
      <c r="E293" s="68"/>
      <c r="F293" s="68"/>
      <c r="G293" s="68"/>
      <c r="H293" s="68"/>
      <c r="I293" s="68"/>
      <c r="J293" s="68"/>
      <c r="K293" s="68"/>
      <c r="L293" s="68"/>
      <c r="N293" s="75"/>
    </row>
    <row r="294" spans="1:14" ht="12.5" x14ac:dyDescent="0.25">
      <c r="A294" s="14"/>
      <c r="C294" s="68"/>
      <c r="D294" s="68"/>
      <c r="E294" s="68"/>
      <c r="F294" s="68"/>
      <c r="G294" s="68"/>
      <c r="H294" s="68"/>
      <c r="I294" s="68"/>
      <c r="J294" s="68"/>
      <c r="K294" s="68"/>
      <c r="L294" s="68"/>
      <c r="N294" s="75"/>
    </row>
    <row r="295" spans="1:14" ht="12.5" x14ac:dyDescent="0.25">
      <c r="A295" s="14"/>
      <c r="C295" s="68"/>
      <c r="D295" s="68"/>
      <c r="E295" s="68"/>
      <c r="F295" s="68"/>
      <c r="G295" s="68"/>
      <c r="H295" s="68"/>
      <c r="I295" s="68"/>
      <c r="J295" s="68"/>
      <c r="K295" s="68"/>
      <c r="L295" s="68"/>
      <c r="N295" s="75"/>
    </row>
    <row r="296" spans="1:14" ht="12.5" x14ac:dyDescent="0.25">
      <c r="A296" s="14"/>
      <c r="C296" s="68"/>
      <c r="D296" s="68"/>
      <c r="E296" s="68"/>
      <c r="F296" s="68"/>
      <c r="G296" s="68"/>
      <c r="H296" s="68"/>
      <c r="I296" s="68"/>
      <c r="J296" s="68"/>
      <c r="K296" s="68"/>
      <c r="L296" s="68"/>
      <c r="N296" s="75"/>
    </row>
    <row r="297" spans="1:14" ht="12.5" x14ac:dyDescent="0.25">
      <c r="A297" s="14"/>
      <c r="C297" s="68"/>
      <c r="D297" s="68"/>
      <c r="E297" s="68"/>
      <c r="F297" s="68"/>
      <c r="G297" s="68"/>
      <c r="H297" s="68"/>
      <c r="I297" s="68"/>
      <c r="J297" s="68"/>
      <c r="K297" s="68"/>
      <c r="L297" s="68"/>
      <c r="N297" s="75"/>
    </row>
    <row r="298" spans="1:14" ht="12.5" x14ac:dyDescent="0.25">
      <c r="A298" s="14"/>
      <c r="C298" s="68"/>
      <c r="D298" s="68"/>
      <c r="E298" s="68"/>
      <c r="F298" s="68"/>
      <c r="G298" s="68"/>
      <c r="H298" s="68"/>
      <c r="I298" s="68"/>
      <c r="J298" s="68"/>
      <c r="K298" s="68"/>
      <c r="L298" s="68"/>
      <c r="N298" s="75"/>
    </row>
    <row r="299" spans="1:14" ht="12.5" x14ac:dyDescent="0.25">
      <c r="A299" s="14"/>
      <c r="C299" s="68"/>
      <c r="D299" s="68"/>
      <c r="E299" s="68"/>
      <c r="F299" s="68"/>
      <c r="G299" s="68"/>
      <c r="H299" s="68"/>
      <c r="I299" s="68"/>
      <c r="J299" s="68"/>
      <c r="K299" s="68"/>
      <c r="L299" s="68"/>
      <c r="N299" s="75"/>
    </row>
    <row r="300" spans="1:14" ht="12.5" x14ac:dyDescent="0.25">
      <c r="A300" s="14"/>
      <c r="C300" s="68"/>
      <c r="D300" s="68"/>
      <c r="E300" s="68"/>
      <c r="F300" s="68"/>
      <c r="G300" s="68"/>
      <c r="H300" s="68"/>
      <c r="I300" s="68"/>
      <c r="J300" s="68"/>
      <c r="K300" s="68"/>
      <c r="L300" s="68"/>
      <c r="N300" s="75"/>
    </row>
    <row r="301" spans="1:14" ht="12.5" x14ac:dyDescent="0.25">
      <c r="A301" s="14"/>
      <c r="C301" s="68"/>
      <c r="D301" s="68"/>
      <c r="E301" s="68"/>
      <c r="F301" s="68"/>
      <c r="G301" s="68"/>
      <c r="H301" s="68"/>
      <c r="I301" s="68"/>
      <c r="J301" s="68"/>
      <c r="K301" s="68"/>
      <c r="L301" s="68"/>
      <c r="N301" s="75"/>
    </row>
    <row r="302" spans="1:14" ht="12.5" x14ac:dyDescent="0.25">
      <c r="A302" s="14"/>
      <c r="C302" s="68"/>
      <c r="D302" s="68"/>
      <c r="E302" s="68"/>
      <c r="F302" s="68"/>
      <c r="G302" s="68"/>
      <c r="H302" s="68"/>
      <c r="I302" s="68"/>
      <c r="J302" s="68"/>
      <c r="K302" s="68"/>
      <c r="L302" s="68"/>
      <c r="N302" s="75"/>
    </row>
    <row r="303" spans="1:14" ht="12.5" x14ac:dyDescent="0.25">
      <c r="A303" s="14"/>
      <c r="C303" s="68"/>
      <c r="D303" s="68"/>
      <c r="E303" s="68"/>
      <c r="F303" s="68"/>
      <c r="G303" s="68"/>
      <c r="H303" s="68"/>
      <c r="I303" s="68"/>
      <c r="J303" s="68"/>
      <c r="K303" s="68"/>
      <c r="L303" s="68"/>
      <c r="N303" s="75"/>
    </row>
    <row r="304" spans="1:14" ht="12.5" x14ac:dyDescent="0.25">
      <c r="A304" s="14"/>
      <c r="C304" s="68"/>
      <c r="D304" s="68"/>
      <c r="E304" s="68"/>
      <c r="F304" s="68"/>
      <c r="G304" s="68"/>
      <c r="H304" s="68"/>
      <c r="I304" s="68"/>
      <c r="J304" s="68"/>
      <c r="K304" s="68"/>
      <c r="L304" s="68"/>
      <c r="N304" s="75"/>
    </row>
    <row r="305" spans="1:14" ht="12.5" x14ac:dyDescent="0.25">
      <c r="A305" s="14"/>
      <c r="C305" s="68"/>
      <c r="D305" s="68"/>
      <c r="E305" s="68"/>
      <c r="F305" s="68"/>
      <c r="G305" s="68"/>
      <c r="H305" s="68"/>
      <c r="I305" s="68"/>
      <c r="J305" s="68"/>
      <c r="K305" s="68"/>
      <c r="L305" s="68"/>
      <c r="N305" s="75"/>
    </row>
    <row r="306" spans="1:14" ht="12.5" x14ac:dyDescent="0.25">
      <c r="A306" s="14"/>
      <c r="C306" s="68"/>
      <c r="D306" s="68"/>
      <c r="E306" s="68"/>
      <c r="F306" s="68"/>
      <c r="G306" s="68"/>
      <c r="H306" s="68"/>
      <c r="I306" s="68"/>
      <c r="J306" s="68"/>
      <c r="K306" s="68"/>
      <c r="L306" s="68"/>
      <c r="N306" s="75"/>
    </row>
    <row r="307" spans="1:14" ht="12.5" x14ac:dyDescent="0.25">
      <c r="A307" s="14"/>
      <c r="C307" s="68"/>
      <c r="D307" s="68"/>
      <c r="E307" s="68"/>
      <c r="F307" s="68"/>
      <c r="G307" s="68"/>
      <c r="H307" s="68"/>
      <c r="I307" s="68"/>
      <c r="J307" s="68"/>
      <c r="K307" s="68"/>
      <c r="L307" s="68"/>
      <c r="N307" s="75"/>
    </row>
    <row r="308" spans="1:14" ht="12.5" x14ac:dyDescent="0.25">
      <c r="A308" s="14"/>
      <c r="C308" s="68"/>
      <c r="D308" s="68"/>
      <c r="E308" s="68"/>
      <c r="F308" s="68"/>
      <c r="G308" s="68"/>
      <c r="H308" s="68"/>
      <c r="I308" s="68"/>
      <c r="J308" s="68"/>
      <c r="K308" s="68"/>
      <c r="L308" s="68"/>
      <c r="N308" s="75"/>
    </row>
    <row r="309" spans="1:14" ht="12.5" x14ac:dyDescent="0.25">
      <c r="A309" s="14"/>
      <c r="C309" s="68"/>
      <c r="D309" s="68"/>
      <c r="E309" s="68"/>
      <c r="F309" s="68"/>
      <c r="G309" s="68"/>
      <c r="H309" s="68"/>
      <c r="I309" s="68"/>
      <c r="J309" s="68"/>
      <c r="K309" s="68"/>
      <c r="L309" s="68"/>
      <c r="N309" s="75"/>
    </row>
    <row r="310" spans="1:14" ht="12.5" x14ac:dyDescent="0.25">
      <c r="A310" s="14"/>
      <c r="C310" s="68"/>
      <c r="D310" s="68"/>
      <c r="E310" s="68"/>
      <c r="F310" s="68"/>
      <c r="G310" s="68"/>
      <c r="H310" s="68"/>
      <c r="I310" s="68"/>
      <c r="J310" s="68"/>
      <c r="K310" s="68"/>
      <c r="L310" s="68"/>
      <c r="N310" s="75"/>
    </row>
    <row r="311" spans="1:14" ht="12.5" x14ac:dyDescent="0.25">
      <c r="A311" s="14"/>
      <c r="C311" s="68"/>
      <c r="D311" s="68"/>
      <c r="E311" s="68"/>
      <c r="F311" s="68"/>
      <c r="G311" s="68"/>
      <c r="H311" s="68"/>
      <c r="I311" s="68"/>
      <c r="J311" s="68"/>
      <c r="K311" s="68"/>
      <c r="L311" s="68"/>
      <c r="N311" s="75"/>
    </row>
    <row r="312" spans="1:14" ht="12.5" x14ac:dyDescent="0.25">
      <c r="A312" s="14"/>
      <c r="C312" s="68"/>
      <c r="D312" s="68"/>
      <c r="E312" s="68"/>
      <c r="F312" s="68"/>
      <c r="G312" s="68"/>
      <c r="H312" s="68"/>
      <c r="I312" s="68"/>
      <c r="J312" s="68"/>
      <c r="K312" s="68"/>
      <c r="L312" s="68"/>
      <c r="N312" s="75"/>
    </row>
    <row r="313" spans="1:14" ht="12.5" x14ac:dyDescent="0.25">
      <c r="A313" s="14"/>
      <c r="C313" s="68"/>
      <c r="D313" s="68"/>
      <c r="E313" s="68"/>
      <c r="F313" s="68"/>
      <c r="G313" s="68"/>
      <c r="H313" s="68"/>
      <c r="I313" s="68"/>
      <c r="J313" s="68"/>
      <c r="K313" s="68"/>
      <c r="L313" s="68"/>
      <c r="N313" s="75"/>
    </row>
    <row r="314" spans="1:14" ht="12.5" x14ac:dyDescent="0.25">
      <c r="A314" s="14"/>
      <c r="C314" s="68"/>
      <c r="D314" s="68"/>
      <c r="E314" s="68"/>
      <c r="F314" s="68"/>
      <c r="G314" s="68"/>
      <c r="H314" s="68"/>
      <c r="I314" s="68"/>
      <c r="J314" s="68"/>
      <c r="K314" s="68"/>
      <c r="L314" s="68"/>
      <c r="N314" s="75"/>
    </row>
    <row r="315" spans="1:14" ht="12.5" x14ac:dyDescent="0.25">
      <c r="A315" s="14"/>
      <c r="C315" s="68"/>
      <c r="D315" s="68"/>
      <c r="E315" s="68"/>
      <c r="F315" s="68"/>
      <c r="G315" s="68"/>
      <c r="H315" s="68"/>
      <c r="I315" s="68"/>
      <c r="J315" s="68"/>
      <c r="K315" s="68"/>
      <c r="L315" s="68"/>
      <c r="N315" s="75"/>
    </row>
    <row r="316" spans="1:14" ht="12.5" x14ac:dyDescent="0.25">
      <c r="A316" s="14"/>
      <c r="C316" s="68"/>
      <c r="D316" s="68"/>
      <c r="E316" s="68"/>
      <c r="F316" s="68"/>
      <c r="G316" s="68"/>
      <c r="H316" s="68"/>
      <c r="I316" s="68"/>
      <c r="J316" s="68"/>
      <c r="K316" s="68"/>
      <c r="L316" s="68"/>
      <c r="N316" s="75"/>
    </row>
    <row r="317" spans="1:14" ht="12.5" x14ac:dyDescent="0.25">
      <c r="A317" s="14"/>
      <c r="C317" s="68"/>
      <c r="D317" s="68"/>
      <c r="E317" s="68"/>
      <c r="F317" s="68"/>
      <c r="G317" s="68"/>
      <c r="H317" s="68"/>
      <c r="I317" s="68"/>
      <c r="J317" s="68"/>
      <c r="K317" s="68"/>
      <c r="L317" s="68"/>
      <c r="N317" s="75"/>
    </row>
    <row r="318" spans="1:14" ht="12.5" x14ac:dyDescent="0.25">
      <c r="A318" s="14"/>
      <c r="C318" s="68"/>
      <c r="D318" s="68"/>
      <c r="E318" s="68"/>
      <c r="F318" s="68"/>
      <c r="G318" s="68"/>
      <c r="H318" s="68"/>
      <c r="I318" s="68"/>
      <c r="J318" s="68"/>
      <c r="K318" s="68"/>
      <c r="L318" s="68"/>
      <c r="N318" s="75"/>
    </row>
    <row r="319" spans="1:14" ht="12.5" x14ac:dyDescent="0.25">
      <c r="A319" s="14"/>
      <c r="C319" s="68"/>
      <c r="D319" s="68"/>
      <c r="E319" s="68"/>
      <c r="F319" s="68"/>
      <c r="G319" s="68"/>
      <c r="H319" s="68"/>
      <c r="I319" s="68"/>
      <c r="J319" s="68"/>
      <c r="K319" s="68"/>
      <c r="L319" s="68"/>
      <c r="N319" s="75"/>
    </row>
    <row r="320" spans="1:14" ht="12.5" x14ac:dyDescent="0.25">
      <c r="A320" s="14"/>
      <c r="C320" s="68"/>
      <c r="D320" s="68"/>
      <c r="E320" s="68"/>
      <c r="F320" s="68"/>
      <c r="G320" s="68"/>
      <c r="H320" s="68"/>
      <c r="I320" s="68"/>
      <c r="J320" s="68"/>
      <c r="K320" s="68"/>
      <c r="L320" s="68"/>
      <c r="N320" s="75"/>
    </row>
    <row r="321" spans="1:14" ht="12.5" x14ac:dyDescent="0.25">
      <c r="A321" s="14"/>
      <c r="C321" s="68"/>
      <c r="D321" s="68"/>
      <c r="E321" s="68"/>
      <c r="F321" s="68"/>
      <c r="G321" s="68"/>
      <c r="H321" s="68"/>
      <c r="I321" s="68"/>
      <c r="J321" s="68"/>
      <c r="K321" s="68"/>
      <c r="L321" s="68"/>
      <c r="N321" s="75"/>
    </row>
    <row r="322" spans="1:14" ht="12.5" x14ac:dyDescent="0.25">
      <c r="A322" s="14"/>
      <c r="C322" s="68"/>
      <c r="D322" s="68"/>
      <c r="E322" s="68"/>
      <c r="F322" s="68"/>
      <c r="G322" s="68"/>
      <c r="H322" s="68"/>
      <c r="I322" s="68"/>
      <c r="J322" s="68"/>
      <c r="K322" s="68"/>
      <c r="L322" s="68"/>
      <c r="N322" s="75"/>
    </row>
    <row r="323" spans="1:14" ht="12.5" x14ac:dyDescent="0.25">
      <c r="A323" s="14"/>
      <c r="C323" s="68"/>
      <c r="D323" s="68"/>
      <c r="E323" s="68"/>
      <c r="F323" s="68"/>
      <c r="G323" s="68"/>
      <c r="H323" s="68"/>
      <c r="I323" s="68"/>
      <c r="J323" s="68"/>
      <c r="K323" s="68"/>
      <c r="L323" s="68"/>
      <c r="N323" s="75"/>
    </row>
    <row r="324" spans="1:14" ht="12.5" x14ac:dyDescent="0.25">
      <c r="A324" s="14"/>
      <c r="C324" s="68"/>
      <c r="D324" s="68"/>
      <c r="E324" s="68"/>
      <c r="F324" s="68"/>
      <c r="G324" s="68"/>
      <c r="H324" s="68"/>
      <c r="I324" s="68"/>
      <c r="J324" s="68"/>
      <c r="K324" s="68"/>
      <c r="L324" s="68"/>
      <c r="N324" s="75"/>
    </row>
    <row r="325" spans="1:14" ht="12.5" x14ac:dyDescent="0.25">
      <c r="A325" s="14"/>
      <c r="C325" s="68"/>
      <c r="D325" s="68"/>
      <c r="E325" s="68"/>
      <c r="F325" s="68"/>
      <c r="G325" s="68"/>
      <c r="H325" s="68"/>
      <c r="I325" s="68"/>
      <c r="J325" s="68"/>
      <c r="K325" s="68"/>
      <c r="L325" s="68"/>
      <c r="N325" s="75"/>
    </row>
    <row r="326" spans="1:14" ht="12.5" x14ac:dyDescent="0.25">
      <c r="A326" s="14"/>
      <c r="C326" s="68"/>
      <c r="D326" s="68"/>
      <c r="E326" s="68"/>
      <c r="F326" s="68"/>
      <c r="G326" s="68"/>
      <c r="H326" s="68"/>
      <c r="I326" s="68"/>
      <c r="J326" s="68"/>
      <c r="K326" s="68"/>
      <c r="L326" s="68"/>
      <c r="N326" s="75"/>
    </row>
    <row r="327" spans="1:14" ht="12.5" x14ac:dyDescent="0.25">
      <c r="A327" s="14"/>
      <c r="C327" s="68"/>
      <c r="D327" s="68"/>
      <c r="E327" s="68"/>
      <c r="F327" s="68"/>
      <c r="G327" s="68"/>
      <c r="H327" s="68"/>
      <c r="I327" s="68"/>
      <c r="J327" s="68"/>
      <c r="K327" s="68"/>
      <c r="L327" s="68"/>
      <c r="N327" s="75"/>
    </row>
    <row r="328" spans="1:14" ht="12.5" x14ac:dyDescent="0.25">
      <c r="A328" s="14"/>
      <c r="C328" s="68"/>
      <c r="D328" s="68"/>
      <c r="E328" s="68"/>
      <c r="F328" s="68"/>
      <c r="G328" s="68"/>
      <c r="H328" s="68"/>
      <c r="I328" s="68"/>
      <c r="J328" s="68"/>
      <c r="K328" s="68"/>
      <c r="L328" s="68"/>
      <c r="N328" s="75"/>
    </row>
    <row r="329" spans="1:14" ht="12.5" x14ac:dyDescent="0.25">
      <c r="A329" s="14"/>
      <c r="C329" s="68"/>
      <c r="D329" s="68"/>
      <c r="E329" s="68"/>
      <c r="F329" s="68"/>
      <c r="G329" s="68"/>
      <c r="H329" s="68"/>
      <c r="I329" s="68"/>
      <c r="J329" s="68"/>
      <c r="K329" s="68"/>
      <c r="L329" s="68"/>
      <c r="N329" s="75"/>
    </row>
    <row r="330" spans="1:14" ht="12.5" x14ac:dyDescent="0.25">
      <c r="A330" s="14"/>
      <c r="C330" s="68"/>
      <c r="D330" s="68"/>
      <c r="E330" s="68"/>
      <c r="F330" s="68"/>
      <c r="G330" s="68"/>
      <c r="H330" s="68"/>
      <c r="I330" s="68"/>
      <c r="J330" s="68"/>
      <c r="K330" s="68"/>
      <c r="L330" s="68"/>
      <c r="N330" s="75"/>
    </row>
    <row r="331" spans="1:14" ht="12.5" x14ac:dyDescent="0.25">
      <c r="A331" s="14"/>
      <c r="C331" s="68"/>
      <c r="D331" s="68"/>
      <c r="E331" s="68"/>
      <c r="F331" s="68"/>
      <c r="G331" s="68"/>
      <c r="H331" s="68"/>
      <c r="I331" s="68"/>
      <c r="J331" s="68"/>
      <c r="K331" s="68"/>
      <c r="L331" s="68"/>
      <c r="N331" s="75"/>
    </row>
    <row r="332" spans="1:14" ht="12.5" x14ac:dyDescent="0.25">
      <c r="A332" s="14"/>
      <c r="C332" s="68"/>
      <c r="D332" s="68"/>
      <c r="E332" s="68"/>
      <c r="F332" s="68"/>
      <c r="G332" s="68"/>
      <c r="H332" s="68"/>
      <c r="I332" s="68"/>
      <c r="J332" s="68"/>
      <c r="K332" s="68"/>
      <c r="L332" s="68"/>
      <c r="N332" s="75"/>
    </row>
    <row r="333" spans="1:14" ht="12.5" x14ac:dyDescent="0.25">
      <c r="A333" s="14"/>
      <c r="C333" s="68"/>
      <c r="D333" s="68"/>
      <c r="E333" s="68"/>
      <c r="F333" s="68"/>
      <c r="G333" s="68"/>
      <c r="H333" s="68"/>
      <c r="I333" s="68"/>
      <c r="J333" s="68"/>
      <c r="K333" s="68"/>
      <c r="L333" s="68"/>
      <c r="N333" s="75"/>
    </row>
    <row r="334" spans="1:14" ht="12.5" x14ac:dyDescent="0.25">
      <c r="A334" s="14"/>
      <c r="C334" s="68"/>
      <c r="D334" s="68"/>
      <c r="E334" s="68"/>
      <c r="F334" s="68"/>
      <c r="G334" s="68"/>
      <c r="H334" s="68"/>
      <c r="I334" s="68"/>
      <c r="J334" s="68"/>
      <c r="K334" s="68"/>
      <c r="L334" s="68"/>
      <c r="N334" s="75"/>
    </row>
    <row r="335" spans="1:14" ht="12.5" x14ac:dyDescent="0.25">
      <c r="A335" s="14"/>
      <c r="C335" s="68"/>
      <c r="D335" s="68"/>
      <c r="E335" s="68"/>
      <c r="F335" s="68"/>
      <c r="G335" s="68"/>
      <c r="H335" s="68"/>
      <c r="I335" s="68"/>
      <c r="J335" s="68"/>
      <c r="K335" s="68"/>
      <c r="L335" s="68"/>
      <c r="N335" s="75"/>
    </row>
    <row r="336" spans="1:14" ht="12.5" x14ac:dyDescent="0.25">
      <c r="A336" s="14"/>
      <c r="C336" s="68"/>
      <c r="D336" s="68"/>
      <c r="E336" s="68"/>
      <c r="F336" s="68"/>
      <c r="G336" s="68"/>
      <c r="H336" s="68"/>
      <c r="I336" s="68"/>
      <c r="J336" s="68"/>
      <c r="K336" s="68"/>
      <c r="L336" s="68"/>
      <c r="N336" s="75"/>
    </row>
    <row r="337" spans="1:14" ht="12.5" x14ac:dyDescent="0.25">
      <c r="A337" s="14"/>
      <c r="C337" s="68"/>
      <c r="D337" s="68"/>
      <c r="E337" s="68"/>
      <c r="F337" s="68"/>
      <c r="G337" s="68"/>
      <c r="H337" s="68"/>
      <c r="I337" s="68"/>
      <c r="J337" s="68"/>
      <c r="K337" s="68"/>
      <c r="L337" s="68"/>
      <c r="N337" s="75"/>
    </row>
    <row r="338" spans="1:14" ht="12.5" x14ac:dyDescent="0.25">
      <c r="A338" s="14"/>
      <c r="C338" s="68"/>
      <c r="D338" s="68"/>
      <c r="E338" s="68"/>
      <c r="F338" s="68"/>
      <c r="G338" s="68"/>
      <c r="H338" s="68"/>
      <c r="I338" s="68"/>
      <c r="J338" s="68"/>
      <c r="K338" s="68"/>
      <c r="L338" s="68"/>
      <c r="N338" s="75"/>
    </row>
    <row r="339" spans="1:14" ht="12.5" x14ac:dyDescent="0.25">
      <c r="A339" s="14"/>
      <c r="C339" s="68"/>
      <c r="D339" s="68"/>
      <c r="E339" s="68"/>
      <c r="F339" s="68"/>
      <c r="G339" s="68"/>
      <c r="H339" s="68"/>
      <c r="I339" s="68"/>
      <c r="J339" s="68"/>
      <c r="K339" s="68"/>
      <c r="L339" s="68"/>
      <c r="N339" s="75"/>
    </row>
    <row r="340" spans="1:14" ht="12.5" x14ac:dyDescent="0.25">
      <c r="A340" s="14"/>
      <c r="C340" s="68"/>
      <c r="D340" s="68"/>
      <c r="E340" s="68"/>
      <c r="F340" s="68"/>
      <c r="G340" s="68"/>
      <c r="H340" s="68"/>
      <c r="I340" s="68"/>
      <c r="J340" s="68"/>
      <c r="K340" s="68"/>
      <c r="L340" s="68"/>
      <c r="N340" s="75"/>
    </row>
    <row r="341" spans="1:14" ht="12.5" x14ac:dyDescent="0.25">
      <c r="A341" s="14"/>
      <c r="C341" s="68"/>
      <c r="D341" s="68"/>
      <c r="E341" s="68"/>
      <c r="F341" s="68"/>
      <c r="G341" s="68"/>
      <c r="H341" s="68"/>
      <c r="I341" s="68"/>
      <c r="J341" s="68"/>
      <c r="K341" s="68"/>
      <c r="L341" s="68"/>
      <c r="N341" s="75"/>
    </row>
    <row r="342" spans="1:14" ht="12.5" x14ac:dyDescent="0.25">
      <c r="A342" s="14"/>
      <c r="C342" s="68"/>
      <c r="D342" s="68"/>
      <c r="E342" s="68"/>
      <c r="F342" s="68"/>
      <c r="G342" s="68"/>
      <c r="H342" s="68"/>
      <c r="I342" s="68"/>
      <c r="J342" s="68"/>
      <c r="K342" s="68"/>
      <c r="L342" s="68"/>
      <c r="N342" s="75"/>
    </row>
    <row r="343" spans="1:14" ht="12.5" x14ac:dyDescent="0.25">
      <c r="A343" s="14"/>
      <c r="C343" s="68"/>
      <c r="D343" s="68"/>
      <c r="E343" s="68"/>
      <c r="F343" s="68"/>
      <c r="G343" s="68"/>
      <c r="H343" s="68"/>
      <c r="I343" s="68"/>
      <c r="J343" s="68"/>
      <c r="K343" s="68"/>
      <c r="L343" s="68"/>
      <c r="N343" s="75"/>
    </row>
    <row r="344" spans="1:14" ht="12.5" x14ac:dyDescent="0.25">
      <c r="A344" s="14"/>
      <c r="C344" s="68"/>
      <c r="D344" s="68"/>
      <c r="E344" s="68"/>
      <c r="F344" s="68"/>
      <c r="G344" s="68"/>
      <c r="H344" s="68"/>
      <c r="I344" s="68"/>
      <c r="J344" s="68"/>
      <c r="K344" s="68"/>
      <c r="L344" s="68"/>
      <c r="N344" s="75"/>
    </row>
    <row r="345" spans="1:14" ht="12.5" x14ac:dyDescent="0.25">
      <c r="A345" s="14"/>
      <c r="C345" s="68"/>
      <c r="D345" s="68"/>
      <c r="E345" s="68"/>
      <c r="F345" s="68"/>
      <c r="G345" s="68"/>
      <c r="H345" s="68"/>
      <c r="I345" s="68"/>
      <c r="J345" s="68"/>
      <c r="K345" s="68"/>
      <c r="L345" s="68"/>
      <c r="N345" s="75"/>
    </row>
    <row r="346" spans="1:14" ht="12.5" x14ac:dyDescent="0.25">
      <c r="A346" s="14"/>
      <c r="C346" s="68"/>
      <c r="D346" s="68"/>
      <c r="E346" s="68"/>
      <c r="F346" s="68"/>
      <c r="G346" s="68"/>
      <c r="H346" s="68"/>
      <c r="I346" s="68"/>
      <c r="J346" s="68"/>
      <c r="K346" s="68"/>
      <c r="L346" s="68"/>
      <c r="N346" s="75"/>
    </row>
    <row r="347" spans="1:14" ht="12.5" x14ac:dyDescent="0.25">
      <c r="A347" s="14"/>
      <c r="C347" s="68"/>
      <c r="D347" s="68"/>
      <c r="E347" s="68"/>
      <c r="F347" s="68"/>
      <c r="G347" s="68"/>
      <c r="H347" s="68"/>
      <c r="I347" s="68"/>
      <c r="J347" s="68"/>
      <c r="K347" s="68"/>
      <c r="L347" s="68"/>
      <c r="N347" s="75"/>
    </row>
    <row r="348" spans="1:14" ht="12.5" x14ac:dyDescent="0.25">
      <c r="A348" s="14"/>
      <c r="C348" s="68"/>
      <c r="D348" s="68"/>
      <c r="E348" s="68"/>
      <c r="F348" s="68"/>
      <c r="G348" s="68"/>
      <c r="H348" s="68"/>
      <c r="I348" s="68"/>
      <c r="J348" s="68"/>
      <c r="K348" s="68"/>
      <c r="L348" s="68"/>
      <c r="N348" s="75"/>
    </row>
    <row r="349" spans="1:14" ht="12.5" x14ac:dyDescent="0.25">
      <c r="A349" s="14"/>
      <c r="C349" s="68"/>
      <c r="D349" s="68"/>
      <c r="E349" s="68"/>
      <c r="F349" s="68"/>
      <c r="G349" s="68"/>
      <c r="H349" s="68"/>
      <c r="I349" s="68"/>
      <c r="J349" s="68"/>
      <c r="K349" s="68"/>
      <c r="L349" s="68"/>
      <c r="N349" s="75"/>
    </row>
    <row r="350" spans="1:14" ht="12.5" x14ac:dyDescent="0.25">
      <c r="A350" s="14"/>
      <c r="C350" s="68"/>
      <c r="D350" s="68"/>
      <c r="E350" s="68"/>
      <c r="F350" s="68"/>
      <c r="G350" s="68"/>
      <c r="H350" s="68"/>
      <c r="I350" s="68"/>
      <c r="J350" s="68"/>
      <c r="K350" s="68"/>
      <c r="L350" s="68"/>
      <c r="N350" s="75"/>
    </row>
    <row r="351" spans="1:14" ht="12.5" x14ac:dyDescent="0.25">
      <c r="A351" s="14"/>
      <c r="C351" s="68"/>
      <c r="D351" s="68"/>
      <c r="E351" s="68"/>
      <c r="F351" s="68"/>
      <c r="G351" s="68"/>
      <c r="H351" s="68"/>
      <c r="I351" s="68"/>
      <c r="J351" s="68"/>
      <c r="K351" s="68"/>
      <c r="L351" s="68"/>
      <c r="N351" s="75"/>
    </row>
    <row r="352" spans="1:14" ht="12.5" x14ac:dyDescent="0.25">
      <c r="A352" s="14"/>
      <c r="C352" s="68"/>
      <c r="D352" s="68"/>
      <c r="E352" s="68"/>
      <c r="F352" s="68"/>
      <c r="G352" s="68"/>
      <c r="H352" s="68"/>
      <c r="I352" s="68"/>
      <c r="J352" s="68"/>
      <c r="K352" s="68"/>
      <c r="L352" s="68"/>
      <c r="N352" s="75"/>
    </row>
    <row r="353" spans="1:14" ht="12.5" x14ac:dyDescent="0.25">
      <c r="A353" s="14"/>
      <c r="C353" s="68"/>
      <c r="D353" s="68"/>
      <c r="E353" s="68"/>
      <c r="F353" s="68"/>
      <c r="G353" s="68"/>
      <c r="H353" s="68"/>
      <c r="I353" s="68"/>
      <c r="J353" s="68"/>
      <c r="K353" s="68"/>
      <c r="L353" s="68"/>
      <c r="N353" s="75"/>
    </row>
    <row r="354" spans="1:14" ht="12.5" x14ac:dyDescent="0.25">
      <c r="A354" s="14"/>
      <c r="C354" s="68"/>
      <c r="D354" s="68"/>
      <c r="E354" s="68"/>
      <c r="F354" s="68"/>
      <c r="G354" s="68"/>
      <c r="H354" s="68"/>
      <c r="I354" s="68"/>
      <c r="J354" s="68"/>
      <c r="K354" s="68"/>
      <c r="L354" s="68"/>
      <c r="N354" s="75"/>
    </row>
    <row r="355" spans="1:14" ht="12.5" x14ac:dyDescent="0.25">
      <c r="A355" s="14"/>
      <c r="C355" s="68"/>
      <c r="D355" s="68"/>
      <c r="E355" s="68"/>
      <c r="F355" s="68"/>
      <c r="G355" s="68"/>
      <c r="H355" s="68"/>
      <c r="I355" s="68"/>
      <c r="J355" s="68"/>
      <c r="K355" s="68"/>
      <c r="L355" s="68"/>
      <c r="N355" s="75"/>
    </row>
    <row r="356" spans="1:14" ht="12.5" x14ac:dyDescent="0.25">
      <c r="A356" s="14"/>
      <c r="C356" s="68"/>
      <c r="D356" s="68"/>
      <c r="E356" s="68"/>
      <c r="F356" s="68"/>
      <c r="G356" s="68"/>
      <c r="H356" s="68"/>
      <c r="I356" s="68"/>
      <c r="J356" s="68"/>
      <c r="K356" s="68"/>
      <c r="L356" s="68"/>
      <c r="N356" s="75"/>
    </row>
    <row r="357" spans="1:14" ht="12.5" x14ac:dyDescent="0.25">
      <c r="A357" s="14"/>
      <c r="C357" s="68"/>
      <c r="D357" s="68"/>
      <c r="E357" s="68"/>
      <c r="F357" s="68"/>
      <c r="G357" s="68"/>
      <c r="H357" s="68"/>
      <c r="I357" s="68"/>
      <c r="J357" s="68"/>
      <c r="K357" s="68"/>
      <c r="L357" s="68"/>
      <c r="N357" s="75"/>
    </row>
    <row r="358" spans="1:14" ht="12.5" x14ac:dyDescent="0.25">
      <c r="A358" s="14"/>
      <c r="C358" s="68"/>
      <c r="D358" s="68"/>
      <c r="E358" s="68"/>
      <c r="F358" s="68"/>
      <c r="G358" s="68"/>
      <c r="H358" s="68"/>
      <c r="I358" s="68"/>
      <c r="J358" s="68"/>
      <c r="K358" s="68"/>
      <c r="L358" s="68"/>
      <c r="N358" s="75"/>
    </row>
    <row r="359" spans="1:14" ht="12.5" x14ac:dyDescent="0.25">
      <c r="A359" s="14"/>
      <c r="C359" s="68"/>
      <c r="D359" s="68"/>
      <c r="E359" s="68"/>
      <c r="F359" s="68"/>
      <c r="G359" s="68"/>
      <c r="H359" s="68"/>
      <c r="I359" s="68"/>
      <c r="J359" s="68"/>
      <c r="K359" s="68"/>
      <c r="L359" s="68"/>
      <c r="N359" s="75"/>
    </row>
    <row r="360" spans="1:14" ht="12.5" x14ac:dyDescent="0.25">
      <c r="A360" s="14"/>
      <c r="C360" s="68"/>
      <c r="D360" s="68"/>
      <c r="E360" s="68"/>
      <c r="F360" s="68"/>
      <c r="G360" s="68"/>
      <c r="H360" s="68"/>
      <c r="I360" s="68"/>
      <c r="J360" s="68"/>
      <c r="K360" s="68"/>
      <c r="L360" s="68"/>
      <c r="N360" s="75"/>
    </row>
    <row r="361" spans="1:14" ht="12.5" x14ac:dyDescent="0.25">
      <c r="A361" s="14"/>
      <c r="C361" s="68"/>
      <c r="D361" s="68"/>
      <c r="E361" s="68"/>
      <c r="F361" s="68"/>
      <c r="G361" s="68"/>
      <c r="H361" s="68"/>
      <c r="I361" s="68"/>
      <c r="J361" s="68"/>
      <c r="K361" s="68"/>
      <c r="L361" s="68"/>
      <c r="N361" s="75"/>
    </row>
    <row r="362" spans="1:14" ht="12.5" x14ac:dyDescent="0.25">
      <c r="A362" s="14"/>
      <c r="C362" s="68"/>
      <c r="D362" s="68"/>
      <c r="E362" s="68"/>
      <c r="F362" s="68"/>
      <c r="G362" s="68"/>
      <c r="H362" s="68"/>
      <c r="I362" s="68"/>
      <c r="J362" s="68"/>
      <c r="K362" s="68"/>
      <c r="L362" s="68"/>
      <c r="N362" s="75"/>
    </row>
    <row r="363" spans="1:14" ht="12.5" x14ac:dyDescent="0.25">
      <c r="A363" s="14"/>
      <c r="C363" s="68"/>
      <c r="D363" s="68"/>
      <c r="E363" s="68"/>
      <c r="F363" s="68"/>
      <c r="G363" s="68"/>
      <c r="H363" s="68"/>
      <c r="I363" s="68"/>
      <c r="J363" s="68"/>
      <c r="K363" s="68"/>
      <c r="L363" s="68"/>
      <c r="N363" s="75"/>
    </row>
    <row r="364" spans="1:14" ht="12.5" x14ac:dyDescent="0.25">
      <c r="A364" s="14"/>
      <c r="C364" s="68"/>
      <c r="D364" s="68"/>
      <c r="E364" s="68"/>
      <c r="F364" s="68"/>
      <c r="G364" s="68"/>
      <c r="H364" s="68"/>
      <c r="I364" s="68"/>
      <c r="J364" s="68"/>
      <c r="K364" s="68"/>
      <c r="L364" s="68"/>
      <c r="N364" s="75"/>
    </row>
    <row r="365" spans="1:14" ht="12.5" x14ac:dyDescent="0.25">
      <c r="A365" s="14"/>
      <c r="C365" s="68"/>
      <c r="D365" s="68"/>
      <c r="E365" s="68"/>
      <c r="F365" s="68"/>
      <c r="G365" s="68"/>
      <c r="H365" s="68"/>
      <c r="I365" s="68"/>
      <c r="J365" s="68"/>
      <c r="K365" s="68"/>
      <c r="L365" s="68"/>
      <c r="N365" s="75"/>
    </row>
    <row r="366" spans="1:14" ht="12.5" x14ac:dyDescent="0.25">
      <c r="A366" s="14"/>
      <c r="C366" s="68"/>
      <c r="D366" s="68"/>
      <c r="E366" s="68"/>
      <c r="F366" s="68"/>
      <c r="G366" s="68"/>
      <c r="H366" s="68"/>
      <c r="I366" s="68"/>
      <c r="J366" s="68"/>
      <c r="K366" s="68"/>
      <c r="L366" s="68"/>
      <c r="N366" s="75"/>
    </row>
    <row r="367" spans="1:14" ht="12.5" x14ac:dyDescent="0.25">
      <c r="A367" s="14"/>
      <c r="C367" s="68"/>
      <c r="D367" s="68"/>
      <c r="E367" s="68"/>
      <c r="F367" s="68"/>
      <c r="G367" s="68"/>
      <c r="H367" s="68"/>
      <c r="I367" s="68"/>
      <c r="J367" s="68"/>
      <c r="K367" s="68"/>
      <c r="L367" s="68"/>
      <c r="N367" s="75"/>
    </row>
    <row r="368" spans="1:14" ht="12.5" x14ac:dyDescent="0.25">
      <c r="A368" s="14"/>
      <c r="C368" s="68"/>
      <c r="D368" s="68"/>
      <c r="E368" s="68"/>
      <c r="F368" s="68"/>
      <c r="G368" s="68"/>
      <c r="H368" s="68"/>
      <c r="I368" s="68"/>
      <c r="J368" s="68"/>
      <c r="K368" s="68"/>
      <c r="L368" s="68"/>
      <c r="N368" s="75"/>
    </row>
    <row r="369" spans="1:14" ht="12.5" x14ac:dyDescent="0.25">
      <c r="A369" s="14"/>
      <c r="C369" s="68"/>
      <c r="D369" s="68"/>
      <c r="E369" s="68"/>
      <c r="F369" s="68"/>
      <c r="G369" s="68"/>
      <c r="H369" s="68"/>
      <c r="I369" s="68"/>
      <c r="J369" s="68"/>
      <c r="K369" s="68"/>
      <c r="L369" s="68"/>
      <c r="N369" s="75"/>
    </row>
    <row r="370" spans="1:14" ht="12.5" x14ac:dyDescent="0.25">
      <c r="A370" s="14"/>
      <c r="C370" s="68"/>
      <c r="D370" s="68"/>
      <c r="E370" s="68"/>
      <c r="F370" s="68"/>
      <c r="G370" s="68"/>
      <c r="H370" s="68"/>
      <c r="I370" s="68"/>
      <c r="J370" s="68"/>
      <c r="K370" s="68"/>
      <c r="L370" s="68"/>
      <c r="N370" s="75"/>
    </row>
    <row r="371" spans="1:14" ht="12.5" x14ac:dyDescent="0.25">
      <c r="A371" s="14"/>
      <c r="C371" s="68"/>
      <c r="D371" s="68"/>
      <c r="E371" s="68"/>
      <c r="F371" s="68"/>
      <c r="G371" s="68"/>
      <c r="H371" s="68"/>
      <c r="I371" s="68"/>
      <c r="J371" s="68"/>
      <c r="K371" s="68"/>
      <c r="L371" s="68"/>
      <c r="N371" s="75"/>
    </row>
    <row r="372" spans="1:14" ht="12.5" x14ac:dyDescent="0.25">
      <c r="A372" s="14"/>
      <c r="C372" s="68"/>
      <c r="D372" s="68"/>
      <c r="E372" s="68"/>
      <c r="F372" s="68"/>
      <c r="G372" s="68"/>
      <c r="H372" s="68"/>
      <c r="I372" s="68"/>
      <c r="J372" s="68"/>
      <c r="K372" s="68"/>
      <c r="L372" s="68"/>
      <c r="N372" s="75"/>
    </row>
    <row r="373" spans="1:14" ht="12.5" x14ac:dyDescent="0.25">
      <c r="A373" s="14"/>
      <c r="C373" s="68"/>
      <c r="D373" s="68"/>
      <c r="E373" s="68"/>
      <c r="F373" s="68"/>
      <c r="G373" s="68"/>
      <c r="H373" s="68"/>
      <c r="I373" s="68"/>
      <c r="J373" s="68"/>
      <c r="K373" s="68"/>
      <c r="L373" s="68"/>
      <c r="N373" s="75"/>
    </row>
    <row r="374" spans="1:14" ht="12.5" x14ac:dyDescent="0.25">
      <c r="A374" s="14"/>
      <c r="C374" s="68"/>
      <c r="D374" s="68"/>
      <c r="E374" s="68"/>
      <c r="F374" s="68"/>
      <c r="G374" s="68"/>
      <c r="H374" s="68"/>
      <c r="I374" s="68"/>
      <c r="J374" s="68"/>
      <c r="K374" s="68"/>
      <c r="L374" s="68"/>
      <c r="N374" s="75"/>
    </row>
    <row r="375" spans="1:14" ht="12.5" x14ac:dyDescent="0.25">
      <c r="A375" s="14"/>
      <c r="C375" s="68"/>
      <c r="D375" s="68"/>
      <c r="E375" s="68"/>
      <c r="F375" s="68"/>
      <c r="G375" s="68"/>
      <c r="H375" s="68"/>
      <c r="I375" s="68"/>
      <c r="J375" s="68"/>
      <c r="K375" s="68"/>
      <c r="L375" s="68"/>
      <c r="N375" s="75"/>
    </row>
    <row r="376" spans="1:14" ht="12.5" x14ac:dyDescent="0.25">
      <c r="A376" s="14"/>
      <c r="C376" s="68"/>
      <c r="D376" s="68"/>
      <c r="E376" s="68"/>
      <c r="F376" s="68"/>
      <c r="G376" s="68"/>
      <c r="H376" s="68"/>
      <c r="I376" s="68"/>
      <c r="J376" s="68"/>
      <c r="K376" s="68"/>
      <c r="L376" s="68"/>
      <c r="N376" s="75"/>
    </row>
    <row r="377" spans="1:14" ht="12.5" x14ac:dyDescent="0.25">
      <c r="A377" s="14"/>
      <c r="C377" s="68"/>
      <c r="D377" s="68"/>
      <c r="E377" s="68"/>
      <c r="F377" s="68"/>
      <c r="G377" s="68"/>
      <c r="H377" s="68"/>
      <c r="I377" s="68"/>
      <c r="J377" s="68"/>
      <c r="K377" s="68"/>
      <c r="L377" s="68"/>
      <c r="N377" s="75"/>
    </row>
    <row r="378" spans="1:14" ht="12.5" x14ac:dyDescent="0.25">
      <c r="A378" s="14"/>
      <c r="C378" s="68"/>
      <c r="D378" s="68"/>
      <c r="E378" s="68"/>
      <c r="F378" s="68"/>
      <c r="G378" s="68"/>
      <c r="H378" s="68"/>
      <c r="I378" s="68"/>
      <c r="J378" s="68"/>
      <c r="K378" s="68"/>
      <c r="L378" s="68"/>
      <c r="N378" s="75"/>
    </row>
    <row r="379" spans="1:14" ht="12.5" x14ac:dyDescent="0.25">
      <c r="A379" s="14"/>
      <c r="C379" s="68"/>
      <c r="D379" s="68"/>
      <c r="E379" s="68"/>
      <c r="F379" s="68"/>
      <c r="G379" s="68"/>
      <c r="H379" s="68"/>
      <c r="I379" s="68"/>
      <c r="J379" s="68"/>
      <c r="K379" s="68"/>
      <c r="L379" s="68"/>
      <c r="N379" s="75"/>
    </row>
    <row r="380" spans="1:14" ht="12.5" x14ac:dyDescent="0.25">
      <c r="A380" s="14"/>
      <c r="C380" s="68"/>
      <c r="D380" s="68"/>
      <c r="E380" s="68"/>
      <c r="F380" s="68"/>
      <c r="G380" s="68"/>
      <c r="H380" s="68"/>
      <c r="I380" s="68"/>
      <c r="J380" s="68"/>
      <c r="K380" s="68"/>
      <c r="L380" s="68"/>
      <c r="N380" s="75"/>
    </row>
    <row r="381" spans="1:14" ht="12.5" x14ac:dyDescent="0.25">
      <c r="A381" s="14"/>
      <c r="C381" s="68"/>
      <c r="D381" s="68"/>
      <c r="E381" s="68"/>
      <c r="F381" s="68"/>
      <c r="G381" s="68"/>
      <c r="H381" s="68"/>
      <c r="I381" s="68"/>
      <c r="J381" s="68"/>
      <c r="K381" s="68"/>
      <c r="L381" s="68"/>
      <c r="N381" s="75"/>
    </row>
    <row r="382" spans="1:14" ht="12.5" x14ac:dyDescent="0.25">
      <c r="A382" s="14"/>
      <c r="C382" s="68"/>
      <c r="D382" s="68"/>
      <c r="E382" s="68"/>
      <c r="F382" s="68"/>
      <c r="G382" s="68"/>
      <c r="H382" s="68"/>
      <c r="I382" s="68"/>
      <c r="J382" s="68"/>
      <c r="K382" s="68"/>
      <c r="L382" s="68"/>
      <c r="N382" s="75"/>
    </row>
    <row r="383" spans="1:14" ht="12.5" x14ac:dyDescent="0.25">
      <c r="A383" s="14"/>
      <c r="C383" s="68"/>
      <c r="D383" s="68"/>
      <c r="E383" s="68"/>
      <c r="F383" s="68"/>
      <c r="G383" s="68"/>
      <c r="H383" s="68"/>
      <c r="I383" s="68"/>
      <c r="J383" s="68"/>
      <c r="K383" s="68"/>
      <c r="L383" s="68"/>
      <c r="N383" s="75"/>
    </row>
    <row r="384" spans="1:14" ht="12.5" x14ac:dyDescent="0.25">
      <c r="A384" s="14"/>
      <c r="C384" s="68"/>
      <c r="D384" s="68"/>
      <c r="E384" s="68"/>
      <c r="F384" s="68"/>
      <c r="G384" s="68"/>
      <c r="H384" s="68"/>
      <c r="I384" s="68"/>
      <c r="J384" s="68"/>
      <c r="K384" s="68"/>
      <c r="L384" s="68"/>
      <c r="N384" s="75"/>
    </row>
    <row r="385" spans="1:14" ht="12.5" x14ac:dyDescent="0.25">
      <c r="A385" s="14"/>
      <c r="C385" s="68"/>
      <c r="D385" s="68"/>
      <c r="E385" s="68"/>
      <c r="F385" s="68"/>
      <c r="G385" s="68"/>
      <c r="H385" s="68"/>
      <c r="I385" s="68"/>
      <c r="J385" s="68"/>
      <c r="K385" s="68"/>
      <c r="L385" s="68"/>
      <c r="N385" s="75"/>
    </row>
    <row r="386" spans="1:14" ht="12.5" x14ac:dyDescent="0.25">
      <c r="A386" s="14"/>
      <c r="C386" s="68"/>
      <c r="D386" s="68"/>
      <c r="E386" s="68"/>
      <c r="F386" s="68"/>
      <c r="G386" s="68"/>
      <c r="H386" s="68"/>
      <c r="I386" s="68"/>
      <c r="J386" s="68"/>
      <c r="K386" s="68"/>
      <c r="L386" s="68"/>
      <c r="N386" s="75"/>
    </row>
    <row r="387" spans="1:14" ht="12.5" x14ac:dyDescent="0.25">
      <c r="A387" s="14"/>
      <c r="C387" s="68"/>
      <c r="D387" s="68"/>
      <c r="E387" s="68"/>
      <c r="F387" s="68"/>
      <c r="G387" s="68"/>
      <c r="H387" s="68"/>
      <c r="I387" s="68"/>
      <c r="J387" s="68"/>
      <c r="K387" s="68"/>
      <c r="L387" s="68"/>
      <c r="N387" s="75"/>
    </row>
    <row r="388" spans="1:14" ht="12.5" x14ac:dyDescent="0.25">
      <c r="A388" s="14"/>
      <c r="C388" s="68"/>
      <c r="D388" s="68"/>
      <c r="E388" s="68"/>
      <c r="F388" s="68"/>
      <c r="G388" s="68"/>
      <c r="H388" s="68"/>
      <c r="I388" s="68"/>
      <c r="J388" s="68"/>
      <c r="K388" s="68"/>
      <c r="L388" s="68"/>
      <c r="N388" s="75"/>
    </row>
    <row r="389" spans="1:14" ht="12.5" x14ac:dyDescent="0.25">
      <c r="A389" s="14"/>
      <c r="C389" s="68"/>
      <c r="D389" s="68"/>
      <c r="E389" s="68"/>
      <c r="F389" s="68"/>
      <c r="G389" s="68"/>
      <c r="H389" s="68"/>
      <c r="I389" s="68"/>
      <c r="J389" s="68"/>
      <c r="K389" s="68"/>
      <c r="L389" s="68"/>
      <c r="N389" s="75"/>
    </row>
    <row r="390" spans="1:14" ht="12.5" x14ac:dyDescent="0.25">
      <c r="A390" s="14"/>
      <c r="C390" s="68"/>
      <c r="D390" s="68"/>
      <c r="E390" s="68"/>
      <c r="F390" s="68"/>
      <c r="G390" s="68"/>
      <c r="H390" s="68"/>
      <c r="I390" s="68"/>
      <c r="J390" s="68"/>
      <c r="K390" s="68"/>
      <c r="L390" s="68"/>
      <c r="N390" s="75"/>
    </row>
    <row r="391" spans="1:14" ht="12.5" x14ac:dyDescent="0.25">
      <c r="A391" s="14"/>
      <c r="C391" s="68"/>
      <c r="D391" s="68"/>
      <c r="E391" s="68"/>
      <c r="F391" s="68"/>
      <c r="G391" s="68"/>
      <c r="H391" s="68"/>
      <c r="I391" s="68"/>
      <c r="J391" s="68"/>
      <c r="K391" s="68"/>
      <c r="L391" s="68"/>
      <c r="N391" s="75"/>
    </row>
    <row r="392" spans="1:14" ht="12.5" x14ac:dyDescent="0.25">
      <c r="A392" s="14"/>
      <c r="C392" s="68"/>
      <c r="D392" s="68"/>
      <c r="E392" s="68"/>
      <c r="F392" s="68"/>
      <c r="G392" s="68"/>
      <c r="H392" s="68"/>
      <c r="I392" s="68"/>
      <c r="J392" s="68"/>
      <c r="K392" s="68"/>
      <c r="L392" s="68"/>
      <c r="N392" s="75"/>
    </row>
    <row r="393" spans="1:14" ht="12.5" x14ac:dyDescent="0.25">
      <c r="A393" s="14"/>
      <c r="C393" s="68"/>
      <c r="D393" s="68"/>
      <c r="E393" s="68"/>
      <c r="F393" s="68"/>
      <c r="G393" s="68"/>
      <c r="H393" s="68"/>
      <c r="I393" s="68"/>
      <c r="J393" s="68"/>
      <c r="K393" s="68"/>
      <c r="L393" s="68"/>
      <c r="N393" s="75"/>
    </row>
    <row r="394" spans="1:14" ht="12.5" x14ac:dyDescent="0.25">
      <c r="A394" s="14"/>
      <c r="C394" s="68"/>
      <c r="D394" s="68"/>
      <c r="E394" s="68"/>
      <c r="F394" s="68"/>
      <c r="G394" s="68"/>
      <c r="H394" s="68"/>
      <c r="I394" s="68"/>
      <c r="J394" s="68"/>
      <c r="K394" s="68"/>
      <c r="L394" s="68"/>
      <c r="N394" s="75"/>
    </row>
    <row r="395" spans="1:14" ht="12.5" x14ac:dyDescent="0.25">
      <c r="A395" s="14"/>
      <c r="C395" s="68"/>
      <c r="D395" s="68"/>
      <c r="E395" s="68"/>
      <c r="F395" s="68"/>
      <c r="G395" s="68"/>
      <c r="H395" s="68"/>
      <c r="I395" s="68"/>
      <c r="J395" s="68"/>
      <c r="K395" s="68"/>
      <c r="L395" s="68"/>
      <c r="N395" s="75"/>
    </row>
    <row r="396" spans="1:14" ht="12.5" x14ac:dyDescent="0.25">
      <c r="A396" s="14"/>
      <c r="C396" s="68"/>
      <c r="D396" s="68"/>
      <c r="E396" s="68"/>
      <c r="F396" s="68"/>
      <c r="G396" s="68"/>
      <c r="H396" s="68"/>
      <c r="I396" s="68"/>
      <c r="J396" s="68"/>
      <c r="K396" s="68"/>
      <c r="L396" s="68"/>
      <c r="N396" s="75"/>
    </row>
    <row r="397" spans="1:14" ht="12.5" x14ac:dyDescent="0.25">
      <c r="A397" s="14"/>
      <c r="C397" s="68"/>
      <c r="D397" s="68"/>
      <c r="E397" s="68"/>
      <c r="F397" s="68"/>
      <c r="G397" s="68"/>
      <c r="H397" s="68"/>
      <c r="I397" s="68"/>
      <c r="J397" s="68"/>
      <c r="K397" s="68"/>
      <c r="L397" s="68"/>
      <c r="N397" s="75"/>
    </row>
    <row r="398" spans="1:14" ht="12.5" x14ac:dyDescent="0.25">
      <c r="A398" s="14"/>
      <c r="C398" s="68"/>
      <c r="D398" s="68"/>
      <c r="E398" s="68"/>
      <c r="F398" s="68"/>
      <c r="G398" s="68"/>
      <c r="H398" s="68"/>
      <c r="I398" s="68"/>
      <c r="J398" s="68"/>
      <c r="K398" s="68"/>
      <c r="L398" s="68"/>
      <c r="N398" s="75"/>
    </row>
    <row r="399" spans="1:14" ht="12.5" x14ac:dyDescent="0.25">
      <c r="A399" s="14"/>
      <c r="C399" s="68"/>
      <c r="D399" s="68"/>
      <c r="E399" s="68"/>
      <c r="F399" s="68"/>
      <c r="G399" s="68"/>
      <c r="H399" s="68"/>
      <c r="I399" s="68"/>
      <c r="J399" s="68"/>
      <c r="K399" s="68"/>
      <c r="L399" s="68"/>
      <c r="N399" s="75"/>
    </row>
    <row r="400" spans="1:14" ht="12.5" x14ac:dyDescent="0.25">
      <c r="A400" s="14"/>
      <c r="C400" s="68"/>
      <c r="D400" s="68"/>
      <c r="E400" s="68"/>
      <c r="F400" s="68"/>
      <c r="G400" s="68"/>
      <c r="H400" s="68"/>
      <c r="I400" s="68"/>
      <c r="J400" s="68"/>
      <c r="K400" s="68"/>
      <c r="L400" s="68"/>
      <c r="N400" s="75"/>
    </row>
    <row r="401" spans="1:14" ht="12.5" x14ac:dyDescent="0.25">
      <c r="A401" s="14"/>
      <c r="C401" s="68"/>
      <c r="D401" s="68"/>
      <c r="E401" s="68"/>
      <c r="F401" s="68"/>
      <c r="G401" s="68"/>
      <c r="H401" s="68"/>
      <c r="I401" s="68"/>
      <c r="J401" s="68"/>
      <c r="K401" s="68"/>
      <c r="L401" s="68"/>
      <c r="N401" s="75"/>
    </row>
    <row r="402" spans="1:14" ht="12.5" x14ac:dyDescent="0.25">
      <c r="A402" s="14"/>
      <c r="C402" s="68"/>
      <c r="D402" s="68"/>
      <c r="E402" s="68"/>
      <c r="F402" s="68"/>
      <c r="G402" s="68"/>
      <c r="H402" s="68"/>
      <c r="I402" s="68"/>
      <c r="J402" s="68"/>
      <c r="K402" s="68"/>
      <c r="L402" s="68"/>
      <c r="N402" s="75"/>
    </row>
    <row r="403" spans="1:14" ht="12.5" x14ac:dyDescent="0.25">
      <c r="A403" s="14"/>
      <c r="C403" s="68"/>
      <c r="D403" s="68"/>
      <c r="E403" s="68"/>
      <c r="F403" s="68"/>
      <c r="G403" s="68"/>
      <c r="H403" s="68"/>
      <c r="I403" s="68"/>
      <c r="J403" s="68"/>
      <c r="K403" s="68"/>
      <c r="L403" s="68"/>
      <c r="N403" s="75"/>
    </row>
    <row r="404" spans="1:14" ht="12.5" x14ac:dyDescent="0.25">
      <c r="A404" s="14"/>
      <c r="C404" s="68"/>
      <c r="D404" s="68"/>
      <c r="E404" s="68"/>
      <c r="F404" s="68"/>
      <c r="G404" s="68"/>
      <c r="H404" s="68"/>
      <c r="I404" s="68"/>
      <c r="J404" s="68"/>
      <c r="K404" s="68"/>
      <c r="L404" s="68"/>
      <c r="N404" s="75"/>
    </row>
    <row r="405" spans="1:14" ht="12.5" x14ac:dyDescent="0.25">
      <c r="A405" s="14"/>
      <c r="C405" s="68"/>
      <c r="D405" s="68"/>
      <c r="E405" s="68"/>
      <c r="F405" s="68"/>
      <c r="G405" s="68"/>
      <c r="H405" s="68"/>
      <c r="I405" s="68"/>
      <c r="J405" s="68"/>
      <c r="K405" s="68"/>
      <c r="L405" s="68"/>
      <c r="N405" s="75"/>
    </row>
    <row r="406" spans="1:14" ht="12.5" x14ac:dyDescent="0.25">
      <c r="A406" s="14"/>
      <c r="C406" s="68"/>
      <c r="D406" s="68"/>
      <c r="E406" s="68"/>
      <c r="F406" s="68"/>
      <c r="G406" s="68"/>
      <c r="H406" s="68"/>
      <c r="I406" s="68"/>
      <c r="J406" s="68"/>
      <c r="K406" s="68"/>
      <c r="L406" s="68"/>
      <c r="N406" s="75"/>
    </row>
    <row r="407" spans="1:14" ht="12.5" x14ac:dyDescent="0.25">
      <c r="A407" s="14"/>
      <c r="C407" s="68"/>
      <c r="D407" s="68"/>
      <c r="E407" s="68"/>
      <c r="F407" s="68"/>
      <c r="G407" s="68"/>
      <c r="H407" s="68"/>
      <c r="I407" s="68"/>
      <c r="J407" s="68"/>
      <c r="K407" s="68"/>
      <c r="L407" s="68"/>
      <c r="N407" s="75"/>
    </row>
    <row r="408" spans="1:14" ht="12.5" x14ac:dyDescent="0.25">
      <c r="A408" s="14"/>
      <c r="C408" s="68"/>
      <c r="D408" s="68"/>
      <c r="E408" s="68"/>
      <c r="F408" s="68"/>
      <c r="G408" s="68"/>
      <c r="H408" s="68"/>
      <c r="I408" s="68"/>
      <c r="J408" s="68"/>
      <c r="K408" s="68"/>
      <c r="L408" s="68"/>
      <c r="N408" s="75"/>
    </row>
    <row r="409" spans="1:14" ht="12.5" x14ac:dyDescent="0.25">
      <c r="A409" s="14"/>
      <c r="C409" s="68"/>
      <c r="D409" s="68"/>
      <c r="E409" s="68"/>
      <c r="F409" s="68"/>
      <c r="G409" s="68"/>
      <c r="H409" s="68"/>
      <c r="I409" s="68"/>
      <c r="J409" s="68"/>
      <c r="K409" s="68"/>
      <c r="L409" s="68"/>
      <c r="N409" s="75"/>
    </row>
    <row r="410" spans="1:14" ht="12.5" x14ac:dyDescent="0.25">
      <c r="A410" s="14"/>
      <c r="C410" s="68"/>
      <c r="D410" s="68"/>
      <c r="E410" s="68"/>
      <c r="F410" s="68"/>
      <c r="G410" s="68"/>
      <c r="H410" s="68"/>
      <c r="I410" s="68"/>
      <c r="J410" s="68"/>
      <c r="K410" s="68"/>
      <c r="L410" s="68"/>
      <c r="N410" s="75"/>
    </row>
    <row r="411" spans="1:14" ht="12.5" x14ac:dyDescent="0.25">
      <c r="A411" s="14"/>
      <c r="C411" s="68"/>
      <c r="D411" s="68"/>
      <c r="E411" s="68"/>
      <c r="F411" s="68"/>
      <c r="G411" s="68"/>
      <c r="H411" s="68"/>
      <c r="I411" s="68"/>
      <c r="J411" s="68"/>
      <c r="K411" s="68"/>
      <c r="L411" s="68"/>
      <c r="N411" s="75"/>
    </row>
    <row r="412" spans="1:14" ht="12.5" x14ac:dyDescent="0.25">
      <c r="A412" s="14"/>
      <c r="C412" s="68"/>
      <c r="D412" s="68"/>
      <c r="E412" s="68"/>
      <c r="F412" s="68"/>
      <c r="G412" s="68"/>
      <c r="H412" s="68"/>
      <c r="I412" s="68"/>
      <c r="J412" s="68"/>
      <c r="K412" s="68"/>
      <c r="L412" s="68"/>
      <c r="N412" s="75"/>
    </row>
    <row r="413" spans="1:14" ht="12.5" x14ac:dyDescent="0.25">
      <c r="A413" s="14"/>
      <c r="C413" s="68"/>
      <c r="D413" s="68"/>
      <c r="E413" s="68"/>
      <c r="F413" s="68"/>
      <c r="G413" s="68"/>
      <c r="H413" s="68"/>
      <c r="I413" s="68"/>
      <c r="J413" s="68"/>
      <c r="K413" s="68"/>
      <c r="L413" s="68"/>
      <c r="N413" s="75"/>
    </row>
    <row r="414" spans="1:14" ht="12.5" x14ac:dyDescent="0.25">
      <c r="A414" s="14"/>
      <c r="C414" s="68"/>
      <c r="D414" s="68"/>
      <c r="E414" s="68"/>
      <c r="F414" s="68"/>
      <c r="G414" s="68"/>
      <c r="H414" s="68"/>
      <c r="I414" s="68"/>
      <c r="J414" s="68"/>
      <c r="K414" s="68"/>
      <c r="L414" s="68"/>
      <c r="N414" s="75"/>
    </row>
    <row r="415" spans="1:14" ht="12.5" x14ac:dyDescent="0.25">
      <c r="A415" s="14"/>
      <c r="C415" s="68"/>
      <c r="D415" s="68"/>
      <c r="E415" s="68"/>
      <c r="F415" s="68"/>
      <c r="G415" s="68"/>
      <c r="H415" s="68"/>
      <c r="I415" s="68"/>
      <c r="J415" s="68"/>
      <c r="K415" s="68"/>
      <c r="L415" s="68"/>
      <c r="N415" s="75"/>
    </row>
    <row r="416" spans="1:14" ht="12.5" x14ac:dyDescent="0.25">
      <c r="A416" s="14"/>
      <c r="C416" s="68"/>
      <c r="D416" s="68"/>
      <c r="E416" s="68"/>
      <c r="F416" s="68"/>
      <c r="G416" s="68"/>
      <c r="H416" s="68"/>
      <c r="I416" s="68"/>
      <c r="J416" s="68"/>
      <c r="K416" s="68"/>
      <c r="L416" s="68"/>
      <c r="N416" s="75"/>
    </row>
    <row r="417" spans="1:14" ht="12.5" x14ac:dyDescent="0.25">
      <c r="A417" s="14"/>
      <c r="C417" s="68"/>
      <c r="D417" s="68"/>
      <c r="E417" s="68"/>
      <c r="F417" s="68"/>
      <c r="G417" s="68"/>
      <c r="H417" s="68"/>
      <c r="I417" s="68"/>
      <c r="J417" s="68"/>
      <c r="K417" s="68"/>
      <c r="L417" s="68"/>
      <c r="N417" s="75"/>
    </row>
    <row r="418" spans="1:14" ht="12.5" x14ac:dyDescent="0.25">
      <c r="A418" s="14"/>
      <c r="C418" s="68"/>
      <c r="D418" s="68"/>
      <c r="E418" s="68"/>
      <c r="F418" s="68"/>
      <c r="G418" s="68"/>
      <c r="H418" s="68"/>
      <c r="I418" s="68"/>
      <c r="J418" s="68"/>
      <c r="K418" s="68"/>
      <c r="L418" s="68"/>
      <c r="N418" s="75"/>
    </row>
    <row r="419" spans="1:14" ht="12.5" x14ac:dyDescent="0.25">
      <c r="A419" s="14"/>
      <c r="C419" s="68"/>
      <c r="D419" s="68"/>
      <c r="E419" s="68"/>
      <c r="F419" s="68"/>
      <c r="G419" s="68"/>
      <c r="H419" s="68"/>
      <c r="I419" s="68"/>
      <c r="J419" s="68"/>
      <c r="K419" s="68"/>
      <c r="L419" s="68"/>
      <c r="N419" s="75"/>
    </row>
    <row r="420" spans="1:14" ht="12.5" x14ac:dyDescent="0.25">
      <c r="A420" s="14"/>
      <c r="C420" s="68"/>
      <c r="D420" s="68"/>
      <c r="E420" s="68"/>
      <c r="F420" s="68"/>
      <c r="G420" s="68"/>
      <c r="H420" s="68"/>
      <c r="I420" s="68"/>
      <c r="J420" s="68"/>
      <c r="K420" s="68"/>
      <c r="L420" s="68"/>
      <c r="N420" s="75"/>
    </row>
    <row r="421" spans="1:14" ht="12.5" x14ac:dyDescent="0.25">
      <c r="A421" s="14"/>
      <c r="C421" s="68"/>
      <c r="D421" s="68"/>
      <c r="E421" s="68"/>
      <c r="F421" s="68"/>
      <c r="G421" s="68"/>
      <c r="H421" s="68"/>
      <c r="I421" s="68"/>
      <c r="J421" s="68"/>
      <c r="K421" s="68"/>
      <c r="L421" s="68"/>
      <c r="N421" s="75"/>
    </row>
    <row r="422" spans="1:14" ht="12.5" x14ac:dyDescent="0.25">
      <c r="A422" s="14"/>
      <c r="C422" s="68"/>
      <c r="D422" s="68"/>
      <c r="E422" s="68"/>
      <c r="F422" s="68"/>
      <c r="G422" s="68"/>
      <c r="H422" s="68"/>
      <c r="I422" s="68"/>
      <c r="J422" s="68"/>
      <c r="K422" s="68"/>
      <c r="L422" s="68"/>
      <c r="N422" s="75"/>
    </row>
    <row r="423" spans="1:14" ht="12.5" x14ac:dyDescent="0.25">
      <c r="A423" s="14"/>
      <c r="C423" s="68"/>
      <c r="D423" s="68"/>
      <c r="E423" s="68"/>
      <c r="F423" s="68"/>
      <c r="G423" s="68"/>
      <c r="H423" s="68"/>
      <c r="I423" s="68"/>
      <c r="J423" s="68"/>
      <c r="K423" s="68"/>
      <c r="L423" s="68"/>
      <c r="N423" s="75"/>
    </row>
    <row r="424" spans="1:14" ht="12.5" x14ac:dyDescent="0.25">
      <c r="A424" s="14"/>
      <c r="C424" s="68"/>
      <c r="D424" s="68"/>
      <c r="E424" s="68"/>
      <c r="F424" s="68"/>
      <c r="G424" s="68"/>
      <c r="H424" s="68"/>
      <c r="I424" s="68"/>
      <c r="J424" s="68"/>
      <c r="K424" s="68"/>
      <c r="L424" s="68"/>
      <c r="N424" s="75"/>
    </row>
    <row r="425" spans="1:14" ht="12.5" x14ac:dyDescent="0.25">
      <c r="A425" s="14"/>
      <c r="C425" s="68"/>
      <c r="D425" s="68"/>
      <c r="E425" s="68"/>
      <c r="F425" s="68"/>
      <c r="G425" s="68"/>
      <c r="H425" s="68"/>
      <c r="I425" s="68"/>
      <c r="J425" s="68"/>
      <c r="K425" s="68"/>
      <c r="L425" s="68"/>
      <c r="N425" s="75"/>
    </row>
    <row r="426" spans="1:14" ht="12.5" x14ac:dyDescent="0.25">
      <c r="A426" s="14"/>
      <c r="C426" s="68"/>
      <c r="D426" s="68"/>
      <c r="E426" s="68"/>
      <c r="F426" s="68"/>
      <c r="G426" s="68"/>
      <c r="H426" s="68"/>
      <c r="I426" s="68"/>
      <c r="J426" s="68"/>
      <c r="K426" s="68"/>
      <c r="L426" s="68"/>
      <c r="N426" s="75"/>
    </row>
    <row r="427" spans="1:14" ht="12.5" x14ac:dyDescent="0.25">
      <c r="A427" s="14"/>
      <c r="C427" s="68"/>
      <c r="D427" s="68"/>
      <c r="E427" s="68"/>
      <c r="F427" s="68"/>
      <c r="G427" s="68"/>
      <c r="H427" s="68"/>
      <c r="I427" s="68"/>
      <c r="J427" s="68"/>
      <c r="K427" s="68"/>
      <c r="L427" s="68"/>
      <c r="N427" s="75"/>
    </row>
    <row r="428" spans="1:14" ht="12.5" x14ac:dyDescent="0.25">
      <c r="A428" s="14"/>
      <c r="C428" s="68"/>
      <c r="D428" s="68"/>
      <c r="E428" s="68"/>
      <c r="F428" s="68"/>
      <c r="G428" s="68"/>
      <c r="H428" s="68"/>
      <c r="I428" s="68"/>
      <c r="J428" s="68"/>
      <c r="K428" s="68"/>
      <c r="L428" s="68"/>
      <c r="N428" s="75"/>
    </row>
    <row r="429" spans="1:14" ht="12.5" x14ac:dyDescent="0.25">
      <c r="A429" s="14"/>
      <c r="C429" s="68"/>
      <c r="D429" s="68"/>
      <c r="E429" s="68"/>
      <c r="F429" s="68"/>
      <c r="G429" s="68"/>
      <c r="H429" s="68"/>
      <c r="I429" s="68"/>
      <c r="J429" s="68"/>
      <c r="K429" s="68"/>
      <c r="L429" s="68"/>
      <c r="N429" s="75"/>
    </row>
    <row r="430" spans="1:14" ht="12.5" x14ac:dyDescent="0.25">
      <c r="A430" s="14"/>
      <c r="C430" s="68"/>
      <c r="D430" s="68"/>
      <c r="E430" s="68"/>
      <c r="F430" s="68"/>
      <c r="G430" s="68"/>
      <c r="H430" s="68"/>
      <c r="I430" s="68"/>
      <c r="J430" s="68"/>
      <c r="K430" s="68"/>
      <c r="L430" s="68"/>
      <c r="N430" s="75"/>
    </row>
    <row r="431" spans="1:14" ht="12.5" x14ac:dyDescent="0.25">
      <c r="A431" s="14"/>
      <c r="C431" s="68"/>
      <c r="D431" s="68"/>
      <c r="E431" s="68"/>
      <c r="F431" s="68"/>
      <c r="G431" s="68"/>
      <c r="H431" s="68"/>
      <c r="I431" s="68"/>
      <c r="J431" s="68"/>
      <c r="K431" s="68"/>
      <c r="L431" s="68"/>
      <c r="N431" s="75"/>
    </row>
    <row r="432" spans="1:14" ht="12.5" x14ac:dyDescent="0.25">
      <c r="A432" s="14"/>
      <c r="C432" s="68"/>
      <c r="D432" s="68"/>
      <c r="E432" s="68"/>
      <c r="F432" s="68"/>
      <c r="G432" s="68"/>
      <c r="H432" s="68"/>
      <c r="I432" s="68"/>
      <c r="J432" s="68"/>
      <c r="K432" s="68"/>
      <c r="L432" s="68"/>
      <c r="N432" s="75"/>
    </row>
    <row r="433" spans="1:14" ht="12.5" x14ac:dyDescent="0.25">
      <c r="A433" s="14"/>
      <c r="C433" s="68"/>
      <c r="D433" s="68"/>
      <c r="E433" s="68"/>
      <c r="F433" s="68"/>
      <c r="G433" s="68"/>
      <c r="H433" s="68"/>
      <c r="I433" s="68"/>
      <c r="J433" s="68"/>
      <c r="K433" s="68"/>
      <c r="L433" s="68"/>
      <c r="N433" s="75"/>
    </row>
    <row r="434" spans="1:14" ht="12.5" x14ac:dyDescent="0.25">
      <c r="A434" s="14"/>
      <c r="C434" s="68"/>
      <c r="D434" s="68"/>
      <c r="E434" s="68"/>
      <c r="F434" s="68"/>
      <c r="G434" s="68"/>
      <c r="H434" s="68"/>
      <c r="I434" s="68"/>
      <c r="J434" s="68"/>
      <c r="K434" s="68"/>
      <c r="L434" s="68"/>
      <c r="N434" s="75"/>
    </row>
    <row r="435" spans="1:14" ht="12.5" x14ac:dyDescent="0.25">
      <c r="A435" s="14"/>
      <c r="C435" s="68"/>
      <c r="D435" s="68"/>
      <c r="E435" s="68"/>
      <c r="F435" s="68"/>
      <c r="G435" s="68"/>
      <c r="H435" s="68"/>
      <c r="I435" s="68"/>
      <c r="J435" s="68"/>
      <c r="K435" s="68"/>
      <c r="L435" s="68"/>
      <c r="N435" s="75"/>
    </row>
    <row r="436" spans="1:14" ht="12.5" x14ac:dyDescent="0.25">
      <c r="A436" s="14"/>
      <c r="C436" s="68"/>
      <c r="D436" s="68"/>
      <c r="E436" s="68"/>
      <c r="F436" s="68"/>
      <c r="G436" s="68"/>
      <c r="H436" s="68"/>
      <c r="I436" s="68"/>
      <c r="J436" s="68"/>
      <c r="K436" s="68"/>
      <c r="L436" s="68"/>
      <c r="N436" s="75"/>
    </row>
    <row r="437" spans="1:14" ht="12.5" x14ac:dyDescent="0.25">
      <c r="A437" s="14"/>
      <c r="C437" s="68"/>
      <c r="D437" s="68"/>
      <c r="E437" s="68"/>
      <c r="F437" s="68"/>
      <c r="G437" s="68"/>
      <c r="H437" s="68"/>
      <c r="I437" s="68"/>
      <c r="J437" s="68"/>
      <c r="K437" s="68"/>
      <c r="L437" s="68"/>
      <c r="N437" s="75"/>
    </row>
    <row r="438" spans="1:14" ht="12.5" x14ac:dyDescent="0.25">
      <c r="A438" s="14"/>
      <c r="C438" s="68"/>
      <c r="D438" s="68"/>
      <c r="E438" s="68"/>
      <c r="F438" s="68"/>
      <c r="G438" s="68"/>
      <c r="H438" s="68"/>
      <c r="I438" s="68"/>
      <c r="J438" s="68"/>
      <c r="K438" s="68"/>
      <c r="L438" s="68"/>
      <c r="N438" s="75"/>
    </row>
    <row r="439" spans="1:14" ht="12.5" x14ac:dyDescent="0.25">
      <c r="A439" s="14"/>
      <c r="C439" s="68"/>
      <c r="D439" s="68"/>
      <c r="E439" s="68"/>
      <c r="F439" s="68"/>
      <c r="G439" s="68"/>
      <c r="H439" s="68"/>
      <c r="I439" s="68"/>
      <c r="J439" s="68"/>
      <c r="K439" s="68"/>
      <c r="L439" s="68"/>
      <c r="N439" s="75"/>
    </row>
    <row r="440" spans="1:14" ht="12.5" x14ac:dyDescent="0.25">
      <c r="A440" s="14"/>
      <c r="C440" s="68"/>
      <c r="D440" s="68"/>
      <c r="E440" s="68"/>
      <c r="F440" s="68"/>
      <c r="G440" s="68"/>
      <c r="H440" s="68"/>
      <c r="I440" s="68"/>
      <c r="J440" s="68"/>
      <c r="K440" s="68"/>
      <c r="L440" s="68"/>
      <c r="N440" s="75"/>
    </row>
    <row r="441" spans="1:14" ht="12.5" x14ac:dyDescent="0.25">
      <c r="A441" s="14"/>
      <c r="C441" s="68"/>
      <c r="D441" s="68"/>
      <c r="E441" s="68"/>
      <c r="F441" s="68"/>
      <c r="G441" s="68"/>
      <c r="H441" s="68"/>
      <c r="I441" s="68"/>
      <c r="J441" s="68"/>
      <c r="K441" s="68"/>
      <c r="L441" s="68"/>
      <c r="N441" s="75"/>
    </row>
    <row r="442" spans="1:14" ht="12.5" x14ac:dyDescent="0.25">
      <c r="A442" s="14"/>
      <c r="C442" s="68"/>
      <c r="D442" s="68"/>
      <c r="E442" s="68"/>
      <c r="F442" s="68"/>
      <c r="G442" s="68"/>
      <c r="H442" s="68"/>
      <c r="I442" s="68"/>
      <c r="J442" s="68"/>
      <c r="K442" s="68"/>
      <c r="L442" s="68"/>
      <c r="N442" s="75"/>
    </row>
    <row r="443" spans="1:14" ht="12.5" x14ac:dyDescent="0.25">
      <c r="A443" s="14"/>
      <c r="C443" s="68"/>
      <c r="D443" s="68"/>
      <c r="E443" s="68"/>
      <c r="F443" s="68"/>
      <c r="G443" s="68"/>
      <c r="H443" s="68"/>
      <c r="I443" s="68"/>
      <c r="J443" s="68"/>
      <c r="K443" s="68"/>
      <c r="L443" s="68"/>
      <c r="N443" s="75"/>
    </row>
    <row r="444" spans="1:14" ht="12.5" x14ac:dyDescent="0.25">
      <c r="A444" s="14"/>
      <c r="C444" s="68"/>
      <c r="D444" s="68"/>
      <c r="E444" s="68"/>
      <c r="F444" s="68"/>
      <c r="G444" s="68"/>
      <c r="H444" s="68"/>
      <c r="I444" s="68"/>
      <c r="J444" s="68"/>
      <c r="K444" s="68"/>
      <c r="L444" s="68"/>
      <c r="N444" s="75"/>
    </row>
    <row r="445" spans="1:14" ht="12.5" x14ac:dyDescent="0.25">
      <c r="A445" s="14"/>
      <c r="C445" s="68"/>
      <c r="D445" s="68"/>
      <c r="E445" s="68"/>
      <c r="F445" s="68"/>
      <c r="G445" s="68"/>
      <c r="H445" s="68"/>
      <c r="I445" s="68"/>
      <c r="J445" s="68"/>
      <c r="K445" s="68"/>
      <c r="L445" s="68"/>
      <c r="N445" s="75"/>
    </row>
    <row r="446" spans="1:14" ht="12.5" x14ac:dyDescent="0.25">
      <c r="A446" s="14"/>
      <c r="C446" s="68"/>
      <c r="D446" s="68"/>
      <c r="E446" s="68"/>
      <c r="F446" s="68"/>
      <c r="G446" s="68"/>
      <c r="H446" s="68"/>
      <c r="I446" s="68"/>
      <c r="J446" s="68"/>
      <c r="K446" s="68"/>
      <c r="L446" s="68"/>
      <c r="N446" s="75"/>
    </row>
    <row r="447" spans="1:14" ht="12.5" x14ac:dyDescent="0.25">
      <c r="A447" s="14"/>
      <c r="C447" s="68"/>
      <c r="D447" s="68"/>
      <c r="E447" s="68"/>
      <c r="F447" s="68"/>
      <c r="G447" s="68"/>
      <c r="H447" s="68"/>
      <c r="I447" s="68"/>
      <c r="J447" s="68"/>
      <c r="K447" s="68"/>
      <c r="L447" s="68"/>
      <c r="N447" s="75"/>
    </row>
    <row r="448" spans="1:14" ht="12.5" x14ac:dyDescent="0.25">
      <c r="A448" s="14"/>
      <c r="C448" s="68"/>
      <c r="D448" s="68"/>
      <c r="E448" s="68"/>
      <c r="F448" s="68"/>
      <c r="G448" s="68"/>
      <c r="H448" s="68"/>
      <c r="I448" s="68"/>
      <c r="J448" s="68"/>
      <c r="K448" s="68"/>
      <c r="L448" s="68"/>
      <c r="N448" s="75"/>
    </row>
    <row r="449" spans="1:14" ht="12.5" x14ac:dyDescent="0.25">
      <c r="A449" s="14"/>
      <c r="C449" s="68"/>
      <c r="D449" s="68"/>
      <c r="E449" s="68"/>
      <c r="F449" s="68"/>
      <c r="G449" s="68"/>
      <c r="H449" s="68"/>
      <c r="I449" s="68"/>
      <c r="J449" s="68"/>
      <c r="K449" s="68"/>
      <c r="L449" s="68"/>
      <c r="N449" s="75"/>
    </row>
    <row r="450" spans="1:14" ht="12.5" x14ac:dyDescent="0.25">
      <c r="A450" s="14"/>
      <c r="C450" s="68"/>
      <c r="D450" s="68"/>
      <c r="E450" s="68"/>
      <c r="F450" s="68"/>
      <c r="G450" s="68"/>
      <c r="H450" s="68"/>
      <c r="I450" s="68"/>
      <c r="J450" s="68"/>
      <c r="K450" s="68"/>
      <c r="L450" s="68"/>
      <c r="N450" s="75"/>
    </row>
    <row r="451" spans="1:14" ht="12.5" x14ac:dyDescent="0.25">
      <c r="A451" s="14"/>
      <c r="C451" s="68"/>
      <c r="D451" s="68"/>
      <c r="E451" s="68"/>
      <c r="F451" s="68"/>
      <c r="G451" s="68"/>
      <c r="H451" s="68"/>
      <c r="I451" s="68"/>
      <c r="J451" s="68"/>
      <c r="K451" s="68"/>
      <c r="L451" s="68"/>
      <c r="N451" s="75"/>
    </row>
    <row r="452" spans="1:14" ht="12.5" x14ac:dyDescent="0.25">
      <c r="A452" s="14"/>
      <c r="C452" s="68"/>
      <c r="D452" s="68"/>
      <c r="E452" s="68"/>
      <c r="F452" s="68"/>
      <c r="G452" s="68"/>
      <c r="H452" s="68"/>
      <c r="I452" s="68"/>
      <c r="J452" s="68"/>
      <c r="K452" s="68"/>
      <c r="L452" s="68"/>
      <c r="N452" s="75"/>
    </row>
    <row r="453" spans="1:14" ht="12.5" x14ac:dyDescent="0.25">
      <c r="A453" s="14"/>
      <c r="C453" s="68"/>
      <c r="D453" s="68"/>
      <c r="E453" s="68"/>
      <c r="F453" s="68"/>
      <c r="G453" s="68"/>
      <c r="H453" s="68"/>
      <c r="I453" s="68"/>
      <c r="J453" s="68"/>
      <c r="K453" s="68"/>
      <c r="L453" s="68"/>
      <c r="N453" s="75"/>
    </row>
    <row r="454" spans="1:14" ht="12.5" x14ac:dyDescent="0.25">
      <c r="A454" s="14"/>
      <c r="C454" s="68"/>
      <c r="D454" s="68"/>
      <c r="E454" s="68"/>
      <c r="F454" s="68"/>
      <c r="G454" s="68"/>
      <c r="H454" s="68"/>
      <c r="I454" s="68"/>
      <c r="J454" s="68"/>
      <c r="K454" s="68"/>
      <c r="L454" s="68"/>
      <c r="N454" s="75"/>
    </row>
    <row r="455" spans="1:14" ht="12.5" x14ac:dyDescent="0.25">
      <c r="A455" s="14"/>
      <c r="C455" s="68"/>
      <c r="D455" s="68"/>
      <c r="E455" s="68"/>
      <c r="F455" s="68"/>
      <c r="G455" s="68"/>
      <c r="H455" s="68"/>
      <c r="I455" s="68"/>
      <c r="J455" s="68"/>
      <c r="K455" s="68"/>
      <c r="L455" s="68"/>
      <c r="N455" s="75"/>
    </row>
    <row r="456" spans="1:14" ht="12.5" x14ac:dyDescent="0.25">
      <c r="A456" s="14"/>
      <c r="C456" s="68"/>
      <c r="D456" s="68"/>
      <c r="E456" s="68"/>
      <c r="F456" s="68"/>
      <c r="G456" s="68"/>
      <c r="H456" s="68"/>
      <c r="I456" s="68"/>
      <c r="J456" s="68"/>
      <c r="K456" s="68"/>
      <c r="L456" s="68"/>
      <c r="N456" s="75"/>
    </row>
    <row r="457" spans="1:14" ht="12.5" x14ac:dyDescent="0.25">
      <c r="A457" s="14"/>
      <c r="C457" s="68"/>
      <c r="D457" s="68"/>
      <c r="E457" s="68"/>
      <c r="F457" s="68"/>
      <c r="G457" s="68"/>
      <c r="H457" s="68"/>
      <c r="I457" s="68"/>
      <c r="J457" s="68"/>
      <c r="K457" s="68"/>
      <c r="L457" s="68"/>
      <c r="N457" s="75"/>
    </row>
    <row r="458" spans="1:14" ht="12.5" x14ac:dyDescent="0.25">
      <c r="A458" s="14"/>
      <c r="C458" s="68"/>
      <c r="D458" s="68"/>
      <c r="E458" s="68"/>
      <c r="F458" s="68"/>
      <c r="G458" s="68"/>
      <c r="H458" s="68"/>
      <c r="I458" s="68"/>
      <c r="J458" s="68"/>
      <c r="K458" s="68"/>
      <c r="L458" s="68"/>
      <c r="N458" s="75"/>
    </row>
    <row r="459" spans="1:14" ht="12.5" x14ac:dyDescent="0.25">
      <c r="A459" s="14"/>
      <c r="C459" s="68"/>
      <c r="D459" s="68"/>
      <c r="E459" s="68"/>
      <c r="F459" s="68"/>
      <c r="G459" s="68"/>
      <c r="H459" s="68"/>
      <c r="I459" s="68"/>
      <c r="J459" s="68"/>
      <c r="K459" s="68"/>
      <c r="L459" s="68"/>
      <c r="N459" s="75"/>
    </row>
    <row r="460" spans="1:14" ht="12.5" x14ac:dyDescent="0.25">
      <c r="A460" s="14"/>
      <c r="C460" s="68"/>
      <c r="D460" s="68"/>
      <c r="E460" s="68"/>
      <c r="F460" s="68"/>
      <c r="G460" s="68"/>
      <c r="H460" s="68"/>
      <c r="I460" s="68"/>
      <c r="J460" s="68"/>
      <c r="K460" s="68"/>
      <c r="L460" s="68"/>
      <c r="N460" s="75"/>
    </row>
    <row r="461" spans="1:14" ht="12.5" x14ac:dyDescent="0.25">
      <c r="A461" s="14"/>
      <c r="C461" s="68"/>
      <c r="D461" s="68"/>
      <c r="E461" s="68"/>
      <c r="F461" s="68"/>
      <c r="G461" s="68"/>
      <c r="H461" s="68"/>
      <c r="I461" s="68"/>
      <c r="J461" s="68"/>
      <c r="K461" s="68"/>
      <c r="L461" s="68"/>
      <c r="N461" s="75"/>
    </row>
    <row r="462" spans="1:14" ht="12.5" x14ac:dyDescent="0.25">
      <c r="A462" s="14"/>
      <c r="C462" s="68"/>
      <c r="D462" s="68"/>
      <c r="E462" s="68"/>
      <c r="F462" s="68"/>
      <c r="G462" s="68"/>
      <c r="H462" s="68"/>
      <c r="I462" s="68"/>
      <c r="J462" s="68"/>
      <c r="K462" s="68"/>
      <c r="L462" s="68"/>
      <c r="N462" s="75"/>
    </row>
    <row r="463" spans="1:14" ht="12.5" x14ac:dyDescent="0.25">
      <c r="A463" s="14"/>
      <c r="C463" s="68"/>
      <c r="D463" s="68"/>
      <c r="E463" s="68"/>
      <c r="F463" s="68"/>
      <c r="G463" s="68"/>
      <c r="H463" s="68"/>
      <c r="I463" s="68"/>
      <c r="J463" s="68"/>
      <c r="K463" s="68"/>
      <c r="L463" s="68"/>
      <c r="N463" s="75"/>
    </row>
    <row r="464" spans="1:14" ht="12.5" x14ac:dyDescent="0.25">
      <c r="A464" s="14"/>
      <c r="C464" s="68"/>
      <c r="D464" s="68"/>
      <c r="E464" s="68"/>
      <c r="F464" s="68"/>
      <c r="G464" s="68"/>
      <c r="H464" s="68"/>
      <c r="I464" s="68"/>
      <c r="J464" s="68"/>
      <c r="K464" s="68"/>
      <c r="L464" s="68"/>
      <c r="N464" s="75"/>
    </row>
    <row r="465" spans="1:14" ht="12.5" x14ac:dyDescent="0.25">
      <c r="A465" s="14"/>
      <c r="C465" s="68"/>
      <c r="D465" s="68"/>
      <c r="E465" s="68"/>
      <c r="F465" s="68"/>
      <c r="G465" s="68"/>
      <c r="H465" s="68"/>
      <c r="I465" s="68"/>
      <c r="J465" s="68"/>
      <c r="K465" s="68"/>
      <c r="L465" s="68"/>
      <c r="N465" s="75"/>
    </row>
    <row r="466" spans="1:14" ht="12.5" x14ac:dyDescent="0.25">
      <c r="A466" s="14"/>
      <c r="C466" s="68"/>
      <c r="D466" s="68"/>
      <c r="E466" s="68"/>
      <c r="F466" s="68"/>
      <c r="G466" s="68"/>
      <c r="H466" s="68"/>
      <c r="I466" s="68"/>
      <c r="J466" s="68"/>
      <c r="K466" s="68"/>
      <c r="L466" s="68"/>
      <c r="N466" s="75"/>
    </row>
    <row r="467" spans="1:14" ht="12.5" x14ac:dyDescent="0.25">
      <c r="A467" s="14"/>
      <c r="C467" s="68"/>
      <c r="D467" s="68"/>
      <c r="E467" s="68"/>
      <c r="F467" s="68"/>
      <c r="G467" s="68"/>
      <c r="H467" s="68"/>
      <c r="I467" s="68"/>
      <c r="J467" s="68"/>
      <c r="K467" s="68"/>
      <c r="L467" s="68"/>
      <c r="N467" s="75"/>
    </row>
    <row r="468" spans="1:14" ht="12.5" x14ac:dyDescent="0.25">
      <c r="A468" s="14"/>
      <c r="C468" s="68"/>
      <c r="D468" s="68"/>
      <c r="E468" s="68"/>
      <c r="F468" s="68"/>
      <c r="G468" s="68"/>
      <c r="H468" s="68"/>
      <c r="I468" s="68"/>
      <c r="J468" s="68"/>
      <c r="K468" s="68"/>
      <c r="L468" s="68"/>
      <c r="N468" s="75"/>
    </row>
    <row r="469" spans="1:14" ht="12.5" x14ac:dyDescent="0.25">
      <c r="A469" s="14"/>
      <c r="C469" s="68"/>
      <c r="D469" s="68"/>
      <c r="E469" s="68"/>
      <c r="F469" s="68"/>
      <c r="G469" s="68"/>
      <c r="H469" s="68"/>
      <c r="I469" s="68"/>
      <c r="J469" s="68"/>
      <c r="K469" s="68"/>
      <c r="L469" s="68"/>
      <c r="N469" s="75"/>
    </row>
    <row r="470" spans="1:14" ht="12.5" x14ac:dyDescent="0.25">
      <c r="A470" s="14"/>
      <c r="C470" s="68"/>
      <c r="D470" s="68"/>
      <c r="E470" s="68"/>
      <c r="F470" s="68"/>
      <c r="G470" s="68"/>
      <c r="H470" s="68"/>
      <c r="I470" s="68"/>
      <c r="J470" s="68"/>
      <c r="K470" s="68"/>
      <c r="L470" s="68"/>
      <c r="N470" s="75"/>
    </row>
    <row r="471" spans="1:14" ht="12.5" x14ac:dyDescent="0.25">
      <c r="A471" s="14"/>
      <c r="C471" s="68"/>
      <c r="D471" s="68"/>
      <c r="E471" s="68"/>
      <c r="F471" s="68"/>
      <c r="G471" s="68"/>
      <c r="H471" s="68"/>
      <c r="I471" s="68"/>
      <c r="J471" s="68"/>
      <c r="K471" s="68"/>
      <c r="L471" s="68"/>
      <c r="N471" s="75"/>
    </row>
    <row r="472" spans="1:14" ht="12.5" x14ac:dyDescent="0.25">
      <c r="A472" s="14"/>
      <c r="C472" s="68"/>
      <c r="D472" s="68"/>
      <c r="E472" s="68"/>
      <c r="F472" s="68"/>
      <c r="G472" s="68"/>
      <c r="H472" s="68"/>
      <c r="I472" s="68"/>
      <c r="J472" s="68"/>
      <c r="K472" s="68"/>
      <c r="L472" s="68"/>
      <c r="N472" s="75"/>
    </row>
    <row r="473" spans="1:14" ht="12.5" x14ac:dyDescent="0.25">
      <c r="A473" s="14"/>
      <c r="C473" s="68"/>
      <c r="D473" s="68"/>
      <c r="E473" s="68"/>
      <c r="F473" s="68"/>
      <c r="G473" s="68"/>
      <c r="H473" s="68"/>
      <c r="I473" s="68"/>
      <c r="J473" s="68"/>
      <c r="K473" s="68"/>
      <c r="L473" s="68"/>
      <c r="N473" s="75"/>
    </row>
    <row r="474" spans="1:14" ht="12.5" x14ac:dyDescent="0.25">
      <c r="A474" s="14"/>
      <c r="C474" s="68"/>
      <c r="D474" s="68"/>
      <c r="E474" s="68"/>
      <c r="F474" s="68"/>
      <c r="G474" s="68"/>
      <c r="H474" s="68"/>
      <c r="I474" s="68"/>
      <c r="J474" s="68"/>
      <c r="K474" s="68"/>
      <c r="L474" s="68"/>
      <c r="N474" s="75"/>
    </row>
    <row r="475" spans="1:14" ht="12.5" x14ac:dyDescent="0.25">
      <c r="A475" s="14"/>
      <c r="C475" s="68"/>
      <c r="D475" s="68"/>
      <c r="E475" s="68"/>
      <c r="F475" s="68"/>
      <c r="G475" s="68"/>
      <c r="H475" s="68"/>
      <c r="I475" s="68"/>
      <c r="J475" s="68"/>
      <c r="K475" s="68"/>
      <c r="L475" s="68"/>
      <c r="N475" s="75"/>
    </row>
    <row r="476" spans="1:14" ht="12.5" x14ac:dyDescent="0.25">
      <c r="A476" s="14"/>
      <c r="C476" s="68"/>
      <c r="D476" s="68"/>
      <c r="E476" s="68"/>
      <c r="F476" s="68"/>
      <c r="G476" s="68"/>
      <c r="H476" s="68"/>
      <c r="I476" s="68"/>
      <c r="J476" s="68"/>
      <c r="K476" s="68"/>
      <c r="L476" s="68"/>
      <c r="N476" s="75"/>
    </row>
    <row r="477" spans="1:14" ht="12.5" x14ac:dyDescent="0.25">
      <c r="A477" s="14"/>
      <c r="C477" s="68"/>
      <c r="D477" s="68"/>
      <c r="E477" s="68"/>
      <c r="F477" s="68"/>
      <c r="G477" s="68"/>
      <c r="H477" s="68"/>
      <c r="I477" s="68"/>
      <c r="J477" s="68"/>
      <c r="K477" s="68"/>
      <c r="L477" s="68"/>
      <c r="N477" s="75"/>
    </row>
    <row r="478" spans="1:14" ht="12.5" x14ac:dyDescent="0.25">
      <c r="A478" s="14"/>
      <c r="C478" s="68"/>
      <c r="D478" s="68"/>
      <c r="E478" s="68"/>
      <c r="F478" s="68"/>
      <c r="G478" s="68"/>
      <c r="H478" s="68"/>
      <c r="I478" s="68"/>
      <c r="J478" s="68"/>
      <c r="K478" s="68"/>
      <c r="L478" s="68"/>
      <c r="N478" s="75"/>
    </row>
    <row r="479" spans="1:14" ht="12.5" x14ac:dyDescent="0.25">
      <c r="A479" s="14"/>
      <c r="C479" s="68"/>
      <c r="D479" s="68"/>
      <c r="E479" s="68"/>
      <c r="F479" s="68"/>
      <c r="G479" s="68"/>
      <c r="H479" s="68"/>
      <c r="I479" s="68"/>
      <c r="J479" s="68"/>
      <c r="K479" s="68"/>
      <c r="L479" s="68"/>
      <c r="N479" s="75"/>
    </row>
    <row r="480" spans="1:14" ht="12.5" x14ac:dyDescent="0.25">
      <c r="A480" s="14"/>
      <c r="C480" s="68"/>
      <c r="D480" s="68"/>
      <c r="E480" s="68"/>
      <c r="F480" s="68"/>
      <c r="G480" s="68"/>
      <c r="H480" s="68"/>
      <c r="I480" s="68"/>
      <c r="J480" s="68"/>
      <c r="K480" s="68"/>
      <c r="L480" s="68"/>
      <c r="N480" s="75"/>
    </row>
    <row r="481" spans="1:14" ht="12.5" x14ac:dyDescent="0.25">
      <c r="A481" s="14"/>
      <c r="C481" s="68"/>
      <c r="D481" s="68"/>
      <c r="E481" s="68"/>
      <c r="F481" s="68"/>
      <c r="G481" s="68"/>
      <c r="H481" s="68"/>
      <c r="I481" s="68"/>
      <c r="J481" s="68"/>
      <c r="K481" s="68"/>
      <c r="L481" s="68"/>
      <c r="N481" s="75"/>
    </row>
    <row r="482" spans="1:14" ht="12.5" x14ac:dyDescent="0.25">
      <c r="A482" s="14"/>
      <c r="C482" s="68"/>
      <c r="D482" s="68"/>
      <c r="E482" s="68"/>
      <c r="F482" s="68"/>
      <c r="G482" s="68"/>
      <c r="H482" s="68"/>
      <c r="I482" s="68"/>
      <c r="J482" s="68"/>
      <c r="K482" s="68"/>
      <c r="L482" s="68"/>
      <c r="N482" s="75"/>
    </row>
    <row r="483" spans="1:14" ht="12.5" x14ac:dyDescent="0.25">
      <c r="A483" s="14"/>
      <c r="C483" s="68"/>
      <c r="D483" s="68"/>
      <c r="E483" s="68"/>
      <c r="F483" s="68"/>
      <c r="G483" s="68"/>
      <c r="H483" s="68"/>
      <c r="I483" s="68"/>
      <c r="J483" s="68"/>
      <c r="K483" s="68"/>
      <c r="L483" s="68"/>
      <c r="N483" s="75"/>
    </row>
    <row r="484" spans="1:14" ht="12.5" x14ac:dyDescent="0.25">
      <c r="A484" s="14"/>
      <c r="C484" s="68"/>
      <c r="D484" s="68"/>
      <c r="E484" s="68"/>
      <c r="F484" s="68"/>
      <c r="G484" s="68"/>
      <c r="H484" s="68"/>
      <c r="I484" s="68"/>
      <c r="J484" s="68"/>
      <c r="K484" s="68"/>
      <c r="L484" s="68"/>
      <c r="N484" s="75"/>
    </row>
    <row r="485" spans="1:14" ht="12.5" x14ac:dyDescent="0.25">
      <c r="A485" s="14"/>
      <c r="C485" s="68"/>
      <c r="D485" s="68"/>
      <c r="E485" s="68"/>
      <c r="F485" s="68"/>
      <c r="G485" s="68"/>
      <c r="H485" s="68"/>
      <c r="I485" s="68"/>
      <c r="J485" s="68"/>
      <c r="K485" s="68"/>
      <c r="L485" s="68"/>
      <c r="N485" s="75"/>
    </row>
    <row r="486" spans="1:14" ht="12.5" x14ac:dyDescent="0.25">
      <c r="A486" s="14"/>
      <c r="C486" s="68"/>
      <c r="D486" s="68"/>
      <c r="E486" s="68"/>
      <c r="F486" s="68"/>
      <c r="G486" s="68"/>
      <c r="H486" s="68"/>
      <c r="I486" s="68"/>
      <c r="J486" s="68"/>
      <c r="K486" s="68"/>
      <c r="L486" s="68"/>
      <c r="N486" s="75"/>
    </row>
    <row r="487" spans="1:14" ht="12.5" x14ac:dyDescent="0.25">
      <c r="A487" s="14"/>
      <c r="C487" s="68"/>
      <c r="D487" s="68"/>
      <c r="E487" s="68"/>
      <c r="F487" s="68"/>
      <c r="G487" s="68"/>
      <c r="H487" s="68"/>
      <c r="I487" s="68"/>
      <c r="J487" s="68"/>
      <c r="K487" s="68"/>
      <c r="L487" s="68"/>
      <c r="N487" s="75"/>
    </row>
    <row r="488" spans="1:14" ht="12.5" x14ac:dyDescent="0.25">
      <c r="A488" s="14"/>
      <c r="C488" s="68"/>
      <c r="D488" s="68"/>
      <c r="E488" s="68"/>
      <c r="F488" s="68"/>
      <c r="G488" s="68"/>
      <c r="H488" s="68"/>
      <c r="I488" s="68"/>
      <c r="J488" s="68"/>
      <c r="K488" s="68"/>
      <c r="L488" s="68"/>
      <c r="N488" s="75"/>
    </row>
    <row r="489" spans="1:14" ht="12.5" x14ac:dyDescent="0.25">
      <c r="A489" s="14"/>
      <c r="C489" s="68"/>
      <c r="D489" s="68"/>
      <c r="E489" s="68"/>
      <c r="F489" s="68"/>
      <c r="G489" s="68"/>
      <c r="H489" s="68"/>
      <c r="I489" s="68"/>
      <c r="J489" s="68"/>
      <c r="K489" s="68"/>
      <c r="L489" s="68"/>
      <c r="N489" s="75"/>
    </row>
    <row r="490" spans="1:14" ht="12.5" x14ac:dyDescent="0.25">
      <c r="A490" s="14"/>
      <c r="C490" s="68"/>
      <c r="D490" s="68"/>
      <c r="E490" s="68"/>
      <c r="F490" s="68"/>
      <c r="G490" s="68"/>
      <c r="H490" s="68"/>
      <c r="I490" s="68"/>
      <c r="J490" s="68"/>
      <c r="K490" s="68"/>
      <c r="L490" s="68"/>
      <c r="N490" s="75"/>
    </row>
    <row r="491" spans="1:14" ht="12.5" x14ac:dyDescent="0.25">
      <c r="A491" s="14"/>
      <c r="C491" s="68"/>
      <c r="D491" s="68"/>
      <c r="E491" s="68"/>
      <c r="F491" s="68"/>
      <c r="G491" s="68"/>
      <c r="H491" s="68"/>
      <c r="I491" s="68"/>
      <c r="J491" s="68"/>
      <c r="K491" s="68"/>
      <c r="L491" s="68"/>
      <c r="N491" s="75"/>
    </row>
    <row r="492" spans="1:14" ht="12.5" x14ac:dyDescent="0.25">
      <c r="A492" s="14"/>
      <c r="C492" s="68"/>
      <c r="D492" s="68"/>
      <c r="E492" s="68"/>
      <c r="F492" s="68"/>
      <c r="G492" s="68"/>
      <c r="H492" s="68"/>
      <c r="I492" s="68"/>
      <c r="J492" s="68"/>
      <c r="K492" s="68"/>
      <c r="L492" s="68"/>
      <c r="N492" s="75"/>
    </row>
    <row r="493" spans="1:14" ht="12.5" x14ac:dyDescent="0.25">
      <c r="A493" s="14"/>
      <c r="C493" s="68"/>
      <c r="D493" s="68"/>
      <c r="E493" s="68"/>
      <c r="F493" s="68"/>
      <c r="G493" s="68"/>
      <c r="H493" s="68"/>
      <c r="I493" s="68"/>
      <c r="J493" s="68"/>
      <c r="K493" s="68"/>
      <c r="L493" s="68"/>
      <c r="N493" s="75"/>
    </row>
    <row r="494" spans="1:14" ht="12.5" x14ac:dyDescent="0.25">
      <c r="A494" s="14"/>
      <c r="C494" s="68"/>
      <c r="D494" s="68"/>
      <c r="E494" s="68"/>
      <c r="F494" s="68"/>
      <c r="G494" s="68"/>
      <c r="H494" s="68"/>
      <c r="I494" s="68"/>
      <c r="J494" s="68"/>
      <c r="K494" s="68"/>
      <c r="L494" s="68"/>
      <c r="N494" s="75"/>
    </row>
    <row r="495" spans="1:14" ht="12.5" x14ac:dyDescent="0.25">
      <c r="A495" s="14"/>
      <c r="C495" s="68"/>
      <c r="D495" s="68"/>
      <c r="E495" s="68"/>
      <c r="F495" s="68"/>
      <c r="G495" s="68"/>
      <c r="H495" s="68"/>
      <c r="I495" s="68"/>
      <c r="J495" s="68"/>
      <c r="K495" s="68"/>
      <c r="L495" s="68"/>
      <c r="N495" s="75"/>
    </row>
    <row r="496" spans="1:14" ht="12.5" x14ac:dyDescent="0.25">
      <c r="A496" s="14"/>
      <c r="C496" s="68"/>
      <c r="D496" s="68"/>
      <c r="E496" s="68"/>
      <c r="F496" s="68"/>
      <c r="G496" s="68"/>
      <c r="H496" s="68"/>
      <c r="I496" s="68"/>
      <c r="J496" s="68"/>
      <c r="K496" s="68"/>
      <c r="L496" s="68"/>
      <c r="N496" s="75"/>
    </row>
    <row r="497" spans="1:14" ht="12.5" x14ac:dyDescent="0.25">
      <c r="A497" s="14"/>
      <c r="C497" s="68"/>
      <c r="D497" s="68"/>
      <c r="E497" s="68"/>
      <c r="F497" s="68"/>
      <c r="G497" s="68"/>
      <c r="H497" s="68"/>
      <c r="I497" s="68"/>
      <c r="J497" s="68"/>
      <c r="K497" s="68"/>
      <c r="L497" s="68"/>
      <c r="N497" s="75"/>
    </row>
    <row r="498" spans="1:14" ht="12.5" x14ac:dyDescent="0.25">
      <c r="A498" s="14"/>
      <c r="C498" s="68"/>
      <c r="D498" s="68"/>
      <c r="E498" s="68"/>
      <c r="F498" s="68"/>
      <c r="G498" s="68"/>
      <c r="H498" s="68"/>
      <c r="I498" s="68"/>
      <c r="J498" s="68"/>
      <c r="K498" s="68"/>
      <c r="L498" s="68"/>
      <c r="N498" s="75"/>
    </row>
    <row r="499" spans="1:14" ht="12.5" x14ac:dyDescent="0.25">
      <c r="A499" s="14"/>
      <c r="C499" s="68"/>
      <c r="D499" s="68"/>
      <c r="E499" s="68"/>
      <c r="F499" s="68"/>
      <c r="G499" s="68"/>
      <c r="H499" s="68"/>
      <c r="I499" s="68"/>
      <c r="J499" s="68"/>
      <c r="K499" s="68"/>
      <c r="L499" s="68"/>
      <c r="N499" s="75"/>
    </row>
    <row r="500" spans="1:14" ht="12.5" x14ac:dyDescent="0.25">
      <c r="A500" s="14"/>
      <c r="C500" s="68"/>
      <c r="D500" s="68"/>
      <c r="E500" s="68"/>
      <c r="F500" s="68"/>
      <c r="G500" s="68"/>
      <c r="H500" s="68"/>
      <c r="I500" s="68"/>
      <c r="J500" s="68"/>
      <c r="K500" s="68"/>
      <c r="L500" s="68"/>
      <c r="N500" s="75"/>
    </row>
    <row r="501" spans="1:14" ht="12.5" x14ac:dyDescent="0.25">
      <c r="A501" s="14"/>
      <c r="C501" s="68"/>
      <c r="D501" s="68"/>
      <c r="E501" s="68"/>
      <c r="F501" s="68"/>
      <c r="G501" s="68"/>
      <c r="H501" s="68"/>
      <c r="I501" s="68"/>
      <c r="J501" s="68"/>
      <c r="K501" s="68"/>
      <c r="L501" s="68"/>
      <c r="N501" s="75"/>
    </row>
    <row r="502" spans="1:14" ht="12.5" x14ac:dyDescent="0.25">
      <c r="A502" s="14"/>
      <c r="C502" s="68"/>
      <c r="D502" s="68"/>
      <c r="E502" s="68"/>
      <c r="F502" s="68"/>
      <c r="G502" s="68"/>
      <c r="H502" s="68"/>
      <c r="I502" s="68"/>
      <c r="J502" s="68"/>
      <c r="K502" s="68"/>
      <c r="L502" s="68"/>
      <c r="N502" s="75"/>
    </row>
    <row r="503" spans="1:14" ht="12.5" x14ac:dyDescent="0.25">
      <c r="A503" s="14"/>
      <c r="C503" s="68"/>
      <c r="D503" s="68"/>
      <c r="E503" s="68"/>
      <c r="F503" s="68"/>
      <c r="G503" s="68"/>
      <c r="H503" s="68"/>
      <c r="I503" s="68"/>
      <c r="J503" s="68"/>
      <c r="K503" s="68"/>
      <c r="L503" s="68"/>
      <c r="N503" s="75"/>
    </row>
    <row r="504" spans="1:14" ht="12.5" x14ac:dyDescent="0.25">
      <c r="A504" s="14"/>
      <c r="C504" s="68"/>
      <c r="D504" s="68"/>
      <c r="E504" s="68"/>
      <c r="F504" s="68"/>
      <c r="G504" s="68"/>
      <c r="H504" s="68"/>
      <c r="I504" s="68"/>
      <c r="J504" s="68"/>
      <c r="K504" s="68"/>
      <c r="L504" s="68"/>
      <c r="N504" s="75"/>
    </row>
    <row r="505" spans="1:14" ht="12.5" x14ac:dyDescent="0.25">
      <c r="A505" s="14"/>
      <c r="C505" s="68"/>
      <c r="D505" s="68"/>
      <c r="E505" s="68"/>
      <c r="F505" s="68"/>
      <c r="G505" s="68"/>
      <c r="H505" s="68"/>
      <c r="I505" s="68"/>
      <c r="J505" s="68"/>
      <c r="K505" s="68"/>
      <c r="L505" s="68"/>
      <c r="N505" s="75"/>
    </row>
    <row r="506" spans="1:14" ht="12.5" x14ac:dyDescent="0.25">
      <c r="A506" s="14"/>
      <c r="C506" s="68"/>
      <c r="D506" s="68"/>
      <c r="E506" s="68"/>
      <c r="F506" s="68"/>
      <c r="G506" s="68"/>
      <c r="H506" s="68"/>
      <c r="I506" s="68"/>
      <c r="J506" s="68"/>
      <c r="K506" s="68"/>
      <c r="L506" s="68"/>
      <c r="N506" s="75"/>
    </row>
    <row r="507" spans="1:14" ht="12.5" x14ac:dyDescent="0.25">
      <c r="A507" s="14"/>
      <c r="C507" s="68"/>
      <c r="D507" s="68"/>
      <c r="E507" s="68"/>
      <c r="F507" s="68"/>
      <c r="G507" s="68"/>
      <c r="H507" s="68"/>
      <c r="I507" s="68"/>
      <c r="J507" s="68"/>
      <c r="K507" s="68"/>
      <c r="L507" s="68"/>
      <c r="N507" s="75"/>
    </row>
    <row r="508" spans="1:14" ht="12.5" x14ac:dyDescent="0.25">
      <c r="A508" s="14"/>
      <c r="C508" s="68"/>
      <c r="D508" s="68"/>
      <c r="E508" s="68"/>
      <c r="F508" s="68"/>
      <c r="G508" s="68"/>
      <c r="H508" s="68"/>
      <c r="I508" s="68"/>
      <c r="J508" s="68"/>
      <c r="K508" s="68"/>
      <c r="L508" s="68"/>
      <c r="N508" s="75"/>
    </row>
    <row r="509" spans="1:14" ht="12.5" x14ac:dyDescent="0.25">
      <c r="A509" s="14"/>
      <c r="C509" s="68"/>
      <c r="D509" s="68"/>
      <c r="E509" s="68"/>
      <c r="F509" s="68"/>
      <c r="G509" s="68"/>
      <c r="H509" s="68"/>
      <c r="I509" s="68"/>
      <c r="J509" s="68"/>
      <c r="K509" s="68"/>
      <c r="L509" s="68"/>
      <c r="N509" s="75"/>
    </row>
    <row r="510" spans="1:14" ht="12.5" x14ac:dyDescent="0.25">
      <c r="A510" s="14"/>
      <c r="C510" s="68"/>
      <c r="D510" s="68"/>
      <c r="E510" s="68"/>
      <c r="F510" s="68"/>
      <c r="G510" s="68"/>
      <c r="H510" s="68"/>
      <c r="I510" s="68"/>
      <c r="J510" s="68"/>
      <c r="K510" s="68"/>
      <c r="L510" s="68"/>
      <c r="N510" s="75"/>
    </row>
    <row r="511" spans="1:14" ht="12.5" x14ac:dyDescent="0.25">
      <c r="A511" s="14"/>
      <c r="C511" s="68"/>
      <c r="D511" s="68"/>
      <c r="E511" s="68"/>
      <c r="F511" s="68"/>
      <c r="G511" s="68"/>
      <c r="H511" s="68"/>
      <c r="I511" s="68"/>
      <c r="J511" s="68"/>
      <c r="K511" s="68"/>
      <c r="L511" s="68"/>
      <c r="N511" s="75"/>
    </row>
    <row r="512" spans="1:14" ht="12.5" x14ac:dyDescent="0.25">
      <c r="A512" s="14"/>
      <c r="C512" s="68"/>
      <c r="D512" s="68"/>
      <c r="E512" s="68"/>
      <c r="F512" s="68"/>
      <c r="G512" s="68"/>
      <c r="H512" s="68"/>
      <c r="I512" s="68"/>
      <c r="J512" s="68"/>
      <c r="K512" s="68"/>
      <c r="L512" s="68"/>
      <c r="N512" s="75"/>
    </row>
    <row r="513" spans="1:14" ht="12.5" x14ac:dyDescent="0.25">
      <c r="A513" s="14"/>
      <c r="C513" s="68"/>
      <c r="D513" s="68"/>
      <c r="E513" s="68"/>
      <c r="F513" s="68"/>
      <c r="G513" s="68"/>
      <c r="H513" s="68"/>
      <c r="I513" s="68"/>
      <c r="J513" s="68"/>
      <c r="K513" s="68"/>
      <c r="L513" s="68"/>
      <c r="N513" s="75"/>
    </row>
    <row r="514" spans="1:14" ht="12.5" x14ac:dyDescent="0.25">
      <c r="A514" s="14"/>
      <c r="C514" s="68"/>
      <c r="D514" s="68"/>
      <c r="E514" s="68"/>
      <c r="F514" s="68"/>
      <c r="G514" s="68"/>
      <c r="H514" s="68"/>
      <c r="I514" s="68"/>
      <c r="J514" s="68"/>
      <c r="K514" s="68"/>
      <c r="L514" s="68"/>
      <c r="N514" s="75"/>
    </row>
    <row r="515" spans="1:14" ht="12.5" x14ac:dyDescent="0.25">
      <c r="A515" s="14"/>
      <c r="C515" s="68"/>
      <c r="D515" s="68"/>
      <c r="E515" s="68"/>
      <c r="F515" s="68"/>
      <c r="G515" s="68"/>
      <c r="H515" s="68"/>
      <c r="I515" s="68"/>
      <c r="J515" s="68"/>
      <c r="K515" s="68"/>
      <c r="L515" s="68"/>
      <c r="N515" s="75"/>
    </row>
    <row r="516" spans="1:14" ht="12.5" x14ac:dyDescent="0.25">
      <c r="A516" s="14"/>
      <c r="C516" s="68"/>
      <c r="D516" s="68"/>
      <c r="E516" s="68"/>
      <c r="F516" s="68"/>
      <c r="G516" s="68"/>
      <c r="H516" s="68"/>
      <c r="I516" s="68"/>
      <c r="J516" s="68"/>
      <c r="K516" s="68"/>
      <c r="L516" s="68"/>
      <c r="N516" s="75"/>
    </row>
    <row r="517" spans="1:14" ht="12.5" x14ac:dyDescent="0.25">
      <c r="A517" s="14"/>
      <c r="C517" s="68"/>
      <c r="D517" s="68"/>
      <c r="E517" s="68"/>
      <c r="F517" s="68"/>
      <c r="G517" s="68"/>
      <c r="H517" s="68"/>
      <c r="I517" s="68"/>
      <c r="J517" s="68"/>
      <c r="K517" s="68"/>
      <c r="L517" s="68"/>
      <c r="N517" s="75"/>
    </row>
    <row r="518" spans="1:14" ht="12.5" x14ac:dyDescent="0.25">
      <c r="A518" s="14"/>
      <c r="C518" s="68"/>
      <c r="D518" s="68"/>
      <c r="E518" s="68"/>
      <c r="F518" s="68"/>
      <c r="G518" s="68"/>
      <c r="H518" s="68"/>
      <c r="I518" s="68"/>
      <c r="J518" s="68"/>
      <c r="K518" s="68"/>
      <c r="L518" s="68"/>
      <c r="N518" s="75"/>
    </row>
    <row r="519" spans="1:14" ht="12.5" x14ac:dyDescent="0.25">
      <c r="A519" s="14"/>
      <c r="C519" s="68"/>
      <c r="D519" s="68"/>
      <c r="E519" s="68"/>
      <c r="F519" s="68"/>
      <c r="G519" s="68"/>
      <c r="H519" s="68"/>
      <c r="I519" s="68"/>
      <c r="J519" s="68"/>
      <c r="K519" s="68"/>
      <c r="L519" s="68"/>
      <c r="N519" s="75"/>
    </row>
    <row r="520" spans="1:14" ht="12.5" x14ac:dyDescent="0.25">
      <c r="A520" s="14"/>
      <c r="C520" s="68"/>
      <c r="D520" s="68"/>
      <c r="E520" s="68"/>
      <c r="F520" s="68"/>
      <c r="G520" s="68"/>
      <c r="H520" s="68"/>
      <c r="I520" s="68"/>
      <c r="J520" s="68"/>
      <c r="K520" s="68"/>
      <c r="L520" s="68"/>
      <c r="N520" s="75"/>
    </row>
    <row r="521" spans="1:14" ht="12.5" x14ac:dyDescent="0.25">
      <c r="A521" s="14"/>
      <c r="C521" s="68"/>
      <c r="D521" s="68"/>
      <c r="E521" s="68"/>
      <c r="F521" s="68"/>
      <c r="G521" s="68"/>
      <c r="H521" s="68"/>
      <c r="I521" s="68"/>
      <c r="J521" s="68"/>
      <c r="K521" s="68"/>
      <c r="L521" s="68"/>
      <c r="N521" s="75"/>
    </row>
    <row r="522" spans="1:14" ht="12.5" x14ac:dyDescent="0.25">
      <c r="A522" s="14"/>
      <c r="C522" s="68"/>
      <c r="D522" s="68"/>
      <c r="E522" s="68"/>
      <c r="F522" s="68"/>
      <c r="G522" s="68"/>
      <c r="H522" s="68"/>
      <c r="I522" s="68"/>
      <c r="J522" s="68"/>
      <c r="K522" s="68"/>
      <c r="L522" s="68"/>
      <c r="N522" s="75"/>
    </row>
    <row r="523" spans="1:14" ht="12.5" x14ac:dyDescent="0.25">
      <c r="A523" s="14"/>
      <c r="C523" s="68"/>
      <c r="D523" s="68"/>
      <c r="E523" s="68"/>
      <c r="F523" s="68"/>
      <c r="G523" s="68"/>
      <c r="H523" s="68"/>
      <c r="I523" s="68"/>
      <c r="J523" s="68"/>
      <c r="K523" s="68"/>
      <c r="L523" s="68"/>
      <c r="N523" s="75"/>
    </row>
    <row r="524" spans="1:14" ht="12.5" x14ac:dyDescent="0.25">
      <c r="A524" s="14"/>
      <c r="C524" s="68"/>
      <c r="D524" s="68"/>
      <c r="E524" s="68"/>
      <c r="F524" s="68"/>
      <c r="G524" s="68"/>
      <c r="H524" s="68"/>
      <c r="I524" s="68"/>
      <c r="J524" s="68"/>
      <c r="K524" s="68"/>
      <c r="L524" s="68"/>
      <c r="N524" s="75"/>
    </row>
    <row r="525" spans="1:14" ht="12.5" x14ac:dyDescent="0.25">
      <c r="A525" s="14"/>
      <c r="C525" s="68"/>
      <c r="D525" s="68"/>
      <c r="E525" s="68"/>
      <c r="F525" s="68"/>
      <c r="G525" s="68"/>
      <c r="H525" s="68"/>
      <c r="I525" s="68"/>
      <c r="J525" s="68"/>
      <c r="K525" s="68"/>
      <c r="L525" s="68"/>
      <c r="N525" s="75"/>
    </row>
    <row r="526" spans="1:14" ht="12.5" x14ac:dyDescent="0.25">
      <c r="A526" s="14"/>
      <c r="C526" s="68"/>
      <c r="D526" s="68"/>
      <c r="E526" s="68"/>
      <c r="F526" s="68"/>
      <c r="G526" s="68"/>
      <c r="H526" s="68"/>
      <c r="I526" s="68"/>
      <c r="J526" s="68"/>
      <c r="K526" s="68"/>
      <c r="L526" s="68"/>
      <c r="N526" s="75"/>
    </row>
    <row r="527" spans="1:14" ht="12.5" x14ac:dyDescent="0.25">
      <c r="A527" s="14"/>
      <c r="C527" s="68"/>
      <c r="D527" s="68"/>
      <c r="E527" s="68"/>
      <c r="F527" s="68"/>
      <c r="G527" s="68"/>
      <c r="H527" s="68"/>
      <c r="I527" s="68"/>
      <c r="J527" s="68"/>
      <c r="K527" s="68"/>
      <c r="L527" s="68"/>
      <c r="N527" s="75"/>
    </row>
    <row r="528" spans="1:14" ht="12.5" x14ac:dyDescent="0.25">
      <c r="A528" s="14"/>
      <c r="C528" s="68"/>
      <c r="D528" s="68"/>
      <c r="E528" s="68"/>
      <c r="F528" s="68"/>
      <c r="G528" s="68"/>
      <c r="H528" s="68"/>
      <c r="I528" s="68"/>
      <c r="J528" s="68"/>
      <c r="K528" s="68"/>
      <c r="L528" s="68"/>
      <c r="N528" s="75"/>
    </row>
    <row r="529" spans="1:14" ht="12.5" x14ac:dyDescent="0.25">
      <c r="A529" s="14"/>
      <c r="C529" s="68"/>
      <c r="D529" s="68"/>
      <c r="E529" s="68"/>
      <c r="F529" s="68"/>
      <c r="G529" s="68"/>
      <c r="H529" s="68"/>
      <c r="I529" s="68"/>
      <c r="J529" s="68"/>
      <c r="K529" s="68"/>
      <c r="L529" s="68"/>
      <c r="N529" s="75"/>
    </row>
    <row r="530" spans="1:14" ht="12.5" x14ac:dyDescent="0.25">
      <c r="A530" s="14"/>
      <c r="C530" s="68"/>
      <c r="D530" s="68"/>
      <c r="E530" s="68"/>
      <c r="F530" s="68"/>
      <c r="G530" s="68"/>
      <c r="H530" s="68"/>
      <c r="I530" s="68"/>
      <c r="J530" s="68"/>
      <c r="K530" s="68"/>
      <c r="L530" s="68"/>
      <c r="N530" s="75"/>
    </row>
    <row r="531" spans="1:14" ht="12.5" x14ac:dyDescent="0.25">
      <c r="A531" s="14"/>
      <c r="C531" s="68"/>
      <c r="D531" s="68"/>
      <c r="E531" s="68"/>
      <c r="F531" s="68"/>
      <c r="G531" s="68"/>
      <c r="H531" s="68"/>
      <c r="I531" s="68"/>
      <c r="J531" s="68"/>
      <c r="K531" s="68"/>
      <c r="L531" s="68"/>
      <c r="N531" s="75"/>
    </row>
    <row r="532" spans="1:14" ht="12.5" x14ac:dyDescent="0.25">
      <c r="A532" s="14"/>
      <c r="C532" s="68"/>
      <c r="D532" s="68"/>
      <c r="E532" s="68"/>
      <c r="F532" s="68"/>
      <c r="G532" s="68"/>
      <c r="H532" s="68"/>
      <c r="I532" s="68"/>
      <c r="J532" s="68"/>
      <c r="K532" s="68"/>
      <c r="L532" s="68"/>
      <c r="N532" s="75"/>
    </row>
    <row r="533" spans="1:14" ht="12.5" x14ac:dyDescent="0.25">
      <c r="A533" s="14"/>
      <c r="C533" s="68"/>
      <c r="D533" s="68"/>
      <c r="E533" s="68"/>
      <c r="F533" s="68"/>
      <c r="G533" s="68"/>
      <c r="H533" s="68"/>
      <c r="I533" s="68"/>
      <c r="J533" s="68"/>
      <c r="K533" s="68"/>
      <c r="L533" s="68"/>
      <c r="N533" s="75"/>
    </row>
    <row r="534" spans="1:14" ht="12.5" x14ac:dyDescent="0.25">
      <c r="A534" s="14"/>
      <c r="C534" s="68"/>
      <c r="D534" s="68"/>
      <c r="E534" s="68"/>
      <c r="F534" s="68"/>
      <c r="G534" s="68"/>
      <c r="H534" s="68"/>
      <c r="I534" s="68"/>
      <c r="J534" s="68"/>
      <c r="K534" s="68"/>
      <c r="L534" s="68"/>
      <c r="N534" s="75"/>
    </row>
    <row r="535" spans="1:14" ht="12.5" x14ac:dyDescent="0.25">
      <c r="A535" s="14"/>
      <c r="C535" s="68"/>
      <c r="D535" s="68"/>
      <c r="E535" s="68"/>
      <c r="F535" s="68"/>
      <c r="G535" s="68"/>
      <c r="H535" s="68"/>
      <c r="I535" s="68"/>
      <c r="J535" s="68"/>
      <c r="K535" s="68"/>
      <c r="L535" s="68"/>
      <c r="N535" s="75"/>
    </row>
    <row r="536" spans="1:14" ht="12.5" x14ac:dyDescent="0.25">
      <c r="A536" s="14"/>
      <c r="C536" s="68"/>
      <c r="D536" s="68"/>
      <c r="E536" s="68"/>
      <c r="F536" s="68"/>
      <c r="G536" s="68"/>
      <c r="H536" s="68"/>
      <c r="I536" s="68"/>
      <c r="J536" s="68"/>
      <c r="K536" s="68"/>
      <c r="L536" s="68"/>
      <c r="N536" s="75"/>
    </row>
    <row r="537" spans="1:14" ht="12.5" x14ac:dyDescent="0.25">
      <c r="A537" s="14"/>
      <c r="C537" s="68"/>
      <c r="D537" s="68"/>
      <c r="E537" s="68"/>
      <c r="F537" s="68"/>
      <c r="G537" s="68"/>
      <c r="H537" s="68"/>
      <c r="I537" s="68"/>
      <c r="J537" s="68"/>
      <c r="K537" s="68"/>
      <c r="L537" s="68"/>
      <c r="N537" s="75"/>
    </row>
    <row r="538" spans="1:14" ht="12.5" x14ac:dyDescent="0.25">
      <c r="A538" s="14"/>
      <c r="C538" s="68"/>
      <c r="D538" s="68"/>
      <c r="E538" s="68"/>
      <c r="F538" s="68"/>
      <c r="G538" s="68"/>
      <c r="H538" s="68"/>
      <c r="I538" s="68"/>
      <c r="J538" s="68"/>
      <c r="K538" s="68"/>
      <c r="L538" s="68"/>
      <c r="N538" s="75"/>
    </row>
    <row r="539" spans="1:14" ht="12.5" x14ac:dyDescent="0.25">
      <c r="A539" s="14"/>
      <c r="C539" s="68"/>
      <c r="D539" s="68"/>
      <c r="E539" s="68"/>
      <c r="F539" s="68"/>
      <c r="G539" s="68"/>
      <c r="H539" s="68"/>
      <c r="I539" s="68"/>
      <c r="J539" s="68"/>
      <c r="K539" s="68"/>
      <c r="L539" s="68"/>
      <c r="N539" s="75"/>
    </row>
    <row r="540" spans="1:14" ht="12.5" x14ac:dyDescent="0.25">
      <c r="A540" s="14"/>
      <c r="C540" s="68"/>
      <c r="D540" s="68"/>
      <c r="E540" s="68"/>
      <c r="F540" s="68"/>
      <c r="G540" s="68"/>
      <c r="H540" s="68"/>
      <c r="I540" s="68"/>
      <c r="J540" s="68"/>
      <c r="K540" s="68"/>
      <c r="L540" s="68"/>
      <c r="N540" s="75"/>
    </row>
    <row r="541" spans="1:14" ht="12.5" x14ac:dyDescent="0.25">
      <c r="A541" s="14"/>
      <c r="C541" s="68"/>
      <c r="D541" s="68"/>
      <c r="E541" s="68"/>
      <c r="F541" s="68"/>
      <c r="G541" s="68"/>
      <c r="H541" s="68"/>
      <c r="I541" s="68"/>
      <c r="J541" s="68"/>
      <c r="K541" s="68"/>
      <c r="L541" s="68"/>
      <c r="N541" s="75"/>
    </row>
    <row r="542" spans="1:14" ht="12.5" x14ac:dyDescent="0.25">
      <c r="A542" s="14"/>
      <c r="C542" s="68"/>
      <c r="D542" s="68"/>
      <c r="E542" s="68"/>
      <c r="F542" s="68"/>
      <c r="G542" s="68"/>
      <c r="H542" s="68"/>
      <c r="I542" s="68"/>
      <c r="J542" s="68"/>
      <c r="K542" s="68"/>
      <c r="L542" s="68"/>
      <c r="N542" s="75"/>
    </row>
    <row r="543" spans="1:14" ht="12.5" x14ac:dyDescent="0.25">
      <c r="A543" s="14"/>
      <c r="C543" s="68"/>
      <c r="D543" s="68"/>
      <c r="E543" s="68"/>
      <c r="F543" s="68"/>
      <c r="G543" s="68"/>
      <c r="H543" s="68"/>
      <c r="I543" s="68"/>
      <c r="J543" s="68"/>
      <c r="K543" s="68"/>
      <c r="L543" s="68"/>
      <c r="N543" s="75"/>
    </row>
    <row r="544" spans="1:14" ht="12.5" x14ac:dyDescent="0.25">
      <c r="A544" s="14"/>
      <c r="C544" s="68"/>
      <c r="D544" s="68"/>
      <c r="E544" s="68"/>
      <c r="F544" s="68"/>
      <c r="G544" s="68"/>
      <c r="H544" s="68"/>
      <c r="I544" s="68"/>
      <c r="J544" s="68"/>
      <c r="K544" s="68"/>
      <c r="L544" s="68"/>
      <c r="N544" s="75"/>
    </row>
    <row r="545" spans="1:14" ht="12.5" x14ac:dyDescent="0.25">
      <c r="A545" s="14"/>
      <c r="C545" s="68"/>
      <c r="D545" s="68"/>
      <c r="E545" s="68"/>
      <c r="F545" s="68"/>
      <c r="G545" s="68"/>
      <c r="H545" s="68"/>
      <c r="I545" s="68"/>
      <c r="J545" s="68"/>
      <c r="K545" s="68"/>
      <c r="L545" s="68"/>
      <c r="N545" s="75"/>
    </row>
    <row r="546" spans="1:14" ht="12.5" x14ac:dyDescent="0.25">
      <c r="A546" s="14"/>
      <c r="C546" s="68"/>
      <c r="D546" s="68"/>
      <c r="E546" s="68"/>
      <c r="F546" s="68"/>
      <c r="G546" s="68"/>
      <c r="H546" s="68"/>
      <c r="I546" s="68"/>
      <c r="J546" s="68"/>
      <c r="K546" s="68"/>
      <c r="L546" s="68"/>
      <c r="N546" s="75"/>
    </row>
    <row r="547" spans="1:14" ht="12.5" x14ac:dyDescent="0.25">
      <c r="A547" s="14"/>
      <c r="C547" s="68"/>
      <c r="D547" s="68"/>
      <c r="E547" s="68"/>
      <c r="F547" s="68"/>
      <c r="G547" s="68"/>
      <c r="H547" s="68"/>
      <c r="I547" s="68"/>
      <c r="J547" s="68"/>
      <c r="K547" s="68"/>
      <c r="L547" s="68"/>
      <c r="N547" s="75"/>
    </row>
    <row r="548" spans="1:14" ht="12.5" x14ac:dyDescent="0.25">
      <c r="A548" s="14"/>
      <c r="C548" s="68"/>
      <c r="D548" s="68"/>
      <c r="E548" s="68"/>
      <c r="F548" s="68"/>
      <c r="G548" s="68"/>
      <c r="H548" s="68"/>
      <c r="I548" s="68"/>
      <c r="J548" s="68"/>
      <c r="K548" s="68"/>
      <c r="L548" s="68"/>
      <c r="N548" s="75"/>
    </row>
    <row r="549" spans="1:14" ht="12.5" x14ac:dyDescent="0.25">
      <c r="A549" s="14"/>
      <c r="C549" s="68"/>
      <c r="D549" s="68"/>
      <c r="E549" s="68"/>
      <c r="F549" s="68"/>
      <c r="G549" s="68"/>
      <c r="H549" s="68"/>
      <c r="I549" s="68"/>
      <c r="J549" s="68"/>
      <c r="K549" s="68"/>
      <c r="L549" s="68"/>
      <c r="N549" s="75"/>
    </row>
    <row r="550" spans="1:14" ht="12.5" x14ac:dyDescent="0.25">
      <c r="A550" s="14"/>
      <c r="C550" s="68"/>
      <c r="D550" s="68"/>
      <c r="E550" s="68"/>
      <c r="F550" s="68"/>
      <c r="G550" s="68"/>
      <c r="H550" s="68"/>
      <c r="I550" s="68"/>
      <c r="J550" s="68"/>
      <c r="K550" s="68"/>
      <c r="L550" s="68"/>
      <c r="N550" s="75"/>
    </row>
    <row r="551" spans="1:14" ht="12.5" x14ac:dyDescent="0.25">
      <c r="A551" s="14"/>
      <c r="C551" s="68"/>
      <c r="D551" s="68"/>
      <c r="E551" s="68"/>
      <c r="F551" s="68"/>
      <c r="G551" s="68"/>
      <c r="H551" s="68"/>
      <c r="I551" s="68"/>
      <c r="J551" s="68"/>
      <c r="K551" s="68"/>
      <c r="L551" s="68"/>
      <c r="N551" s="75"/>
    </row>
    <row r="552" spans="1:14" ht="12.5" x14ac:dyDescent="0.25">
      <c r="A552" s="14"/>
      <c r="C552" s="68"/>
      <c r="D552" s="68"/>
      <c r="E552" s="68"/>
      <c r="F552" s="68"/>
      <c r="G552" s="68"/>
      <c r="H552" s="68"/>
      <c r="I552" s="68"/>
      <c r="J552" s="68"/>
      <c r="K552" s="68"/>
      <c r="L552" s="68"/>
      <c r="N552" s="75"/>
    </row>
    <row r="553" spans="1:14" ht="12.5" x14ac:dyDescent="0.25">
      <c r="A553" s="14"/>
      <c r="C553" s="68"/>
      <c r="D553" s="68"/>
      <c r="E553" s="68"/>
      <c r="F553" s="68"/>
      <c r="G553" s="68"/>
      <c r="H553" s="68"/>
      <c r="I553" s="68"/>
      <c r="J553" s="68"/>
      <c r="K553" s="68"/>
      <c r="L553" s="68"/>
      <c r="N553" s="75"/>
    </row>
    <row r="554" spans="1:14" ht="12.5" x14ac:dyDescent="0.25">
      <c r="A554" s="14"/>
      <c r="C554" s="68"/>
      <c r="D554" s="68"/>
      <c r="E554" s="68"/>
      <c r="F554" s="68"/>
      <c r="G554" s="68"/>
      <c r="H554" s="68"/>
      <c r="I554" s="68"/>
      <c r="J554" s="68"/>
      <c r="K554" s="68"/>
      <c r="L554" s="68"/>
      <c r="N554" s="75"/>
    </row>
    <row r="555" spans="1:14" ht="12.5" x14ac:dyDescent="0.25">
      <c r="A555" s="14"/>
      <c r="C555" s="68"/>
      <c r="D555" s="68"/>
      <c r="E555" s="68"/>
      <c r="F555" s="68"/>
      <c r="G555" s="68"/>
      <c r="H555" s="68"/>
      <c r="I555" s="68"/>
      <c r="J555" s="68"/>
      <c r="K555" s="68"/>
      <c r="L555" s="68"/>
      <c r="N555" s="75"/>
    </row>
    <row r="556" spans="1:14" ht="12.5" x14ac:dyDescent="0.25">
      <c r="A556" s="14"/>
      <c r="C556" s="68"/>
      <c r="D556" s="68"/>
      <c r="E556" s="68"/>
      <c r="F556" s="68"/>
      <c r="G556" s="68"/>
      <c r="H556" s="68"/>
      <c r="I556" s="68"/>
      <c r="J556" s="68"/>
      <c r="K556" s="68"/>
      <c r="L556" s="68"/>
      <c r="N556" s="75"/>
    </row>
    <row r="557" spans="1:14" ht="12.5" x14ac:dyDescent="0.25">
      <c r="A557" s="14"/>
      <c r="C557" s="68"/>
      <c r="D557" s="68"/>
      <c r="E557" s="68"/>
      <c r="F557" s="68"/>
      <c r="G557" s="68"/>
      <c r="H557" s="68"/>
      <c r="I557" s="68"/>
      <c r="J557" s="68"/>
      <c r="K557" s="68"/>
      <c r="L557" s="68"/>
      <c r="N557" s="75"/>
    </row>
    <row r="558" spans="1:14" ht="12.5" x14ac:dyDescent="0.25">
      <c r="A558" s="14"/>
      <c r="C558" s="68"/>
      <c r="D558" s="68"/>
      <c r="E558" s="68"/>
      <c r="F558" s="68"/>
      <c r="G558" s="68"/>
      <c r="H558" s="68"/>
      <c r="I558" s="68"/>
      <c r="J558" s="68"/>
      <c r="K558" s="68"/>
      <c r="L558" s="68"/>
      <c r="N558" s="75"/>
    </row>
    <row r="559" spans="1:14" ht="12.5" x14ac:dyDescent="0.25">
      <c r="A559" s="14"/>
      <c r="C559" s="68"/>
      <c r="D559" s="68"/>
      <c r="E559" s="68"/>
      <c r="F559" s="68"/>
      <c r="G559" s="68"/>
      <c r="H559" s="68"/>
      <c r="I559" s="68"/>
      <c r="J559" s="68"/>
      <c r="K559" s="68"/>
      <c r="L559" s="68"/>
      <c r="N559" s="75"/>
    </row>
    <row r="560" spans="1:14" ht="12.5" x14ac:dyDescent="0.25">
      <c r="A560" s="14"/>
      <c r="C560" s="68"/>
      <c r="D560" s="68"/>
      <c r="E560" s="68"/>
      <c r="F560" s="68"/>
      <c r="G560" s="68"/>
      <c r="H560" s="68"/>
      <c r="I560" s="68"/>
      <c r="J560" s="68"/>
      <c r="K560" s="68"/>
      <c r="L560" s="68"/>
      <c r="N560" s="75"/>
    </row>
    <row r="561" spans="1:14" ht="12.5" x14ac:dyDescent="0.25">
      <c r="A561" s="14"/>
      <c r="C561" s="68"/>
      <c r="D561" s="68"/>
      <c r="E561" s="68"/>
      <c r="F561" s="68"/>
      <c r="G561" s="68"/>
      <c r="H561" s="68"/>
      <c r="I561" s="68"/>
      <c r="J561" s="68"/>
      <c r="K561" s="68"/>
      <c r="L561" s="68"/>
      <c r="N561" s="75"/>
    </row>
    <row r="562" spans="1:14" ht="12.5" x14ac:dyDescent="0.25">
      <c r="A562" s="14"/>
      <c r="C562" s="68"/>
      <c r="D562" s="68"/>
      <c r="E562" s="68"/>
      <c r="F562" s="68"/>
      <c r="G562" s="68"/>
      <c r="H562" s="68"/>
      <c r="I562" s="68"/>
      <c r="J562" s="68"/>
      <c r="K562" s="68"/>
      <c r="L562" s="68"/>
      <c r="N562" s="75"/>
    </row>
    <row r="563" spans="1:14" ht="12.5" x14ac:dyDescent="0.25">
      <c r="A563" s="14"/>
      <c r="C563" s="68"/>
      <c r="D563" s="68"/>
      <c r="E563" s="68"/>
      <c r="F563" s="68"/>
      <c r="G563" s="68"/>
      <c r="H563" s="68"/>
      <c r="I563" s="68"/>
      <c r="J563" s="68"/>
      <c r="K563" s="68"/>
      <c r="L563" s="68"/>
      <c r="N563" s="75"/>
    </row>
    <row r="564" spans="1:14" ht="12.5" x14ac:dyDescent="0.25">
      <c r="A564" s="14"/>
      <c r="C564" s="68"/>
      <c r="D564" s="68"/>
      <c r="E564" s="68"/>
      <c r="F564" s="68"/>
      <c r="G564" s="68"/>
      <c r="H564" s="68"/>
      <c r="I564" s="68"/>
      <c r="J564" s="68"/>
      <c r="K564" s="68"/>
      <c r="L564" s="68"/>
      <c r="N564" s="75"/>
    </row>
    <row r="565" spans="1:14" ht="12.5" x14ac:dyDescent="0.25">
      <c r="A565" s="14"/>
      <c r="C565" s="68"/>
      <c r="D565" s="68"/>
      <c r="E565" s="68"/>
      <c r="F565" s="68"/>
      <c r="G565" s="68"/>
      <c r="H565" s="68"/>
      <c r="I565" s="68"/>
      <c r="J565" s="68"/>
      <c r="K565" s="68"/>
      <c r="L565" s="68"/>
      <c r="N565" s="75"/>
    </row>
    <row r="566" spans="1:14" ht="12.5" x14ac:dyDescent="0.25">
      <c r="A566" s="14"/>
      <c r="C566" s="68"/>
      <c r="D566" s="68"/>
      <c r="E566" s="68"/>
      <c r="F566" s="68"/>
      <c r="G566" s="68"/>
      <c r="H566" s="68"/>
      <c r="I566" s="68"/>
      <c r="J566" s="68"/>
      <c r="K566" s="68"/>
      <c r="L566" s="68"/>
      <c r="N566" s="75"/>
    </row>
    <row r="567" spans="1:14" ht="12.5" x14ac:dyDescent="0.25">
      <c r="A567" s="14"/>
      <c r="C567" s="68"/>
      <c r="D567" s="68"/>
      <c r="E567" s="68"/>
      <c r="F567" s="68"/>
      <c r="G567" s="68"/>
      <c r="H567" s="68"/>
      <c r="I567" s="68"/>
      <c r="J567" s="68"/>
      <c r="K567" s="68"/>
      <c r="L567" s="68"/>
      <c r="N567" s="75"/>
    </row>
    <row r="568" spans="1:14" ht="12.5" x14ac:dyDescent="0.25">
      <c r="A568" s="14"/>
      <c r="C568" s="68"/>
      <c r="D568" s="68"/>
      <c r="E568" s="68"/>
      <c r="F568" s="68"/>
      <c r="G568" s="68"/>
      <c r="H568" s="68"/>
      <c r="I568" s="68"/>
      <c r="J568" s="68"/>
      <c r="K568" s="68"/>
      <c r="L568" s="68"/>
      <c r="N568" s="75"/>
    </row>
    <row r="569" spans="1:14" ht="12.5" x14ac:dyDescent="0.25">
      <c r="A569" s="14"/>
      <c r="C569" s="68"/>
      <c r="D569" s="68"/>
      <c r="E569" s="68"/>
      <c r="F569" s="68"/>
      <c r="G569" s="68"/>
      <c r="H569" s="68"/>
      <c r="I569" s="68"/>
      <c r="J569" s="68"/>
      <c r="K569" s="68"/>
      <c r="L569" s="68"/>
      <c r="N569" s="75"/>
    </row>
    <row r="570" spans="1:14" ht="12.5" x14ac:dyDescent="0.25">
      <c r="A570" s="14"/>
      <c r="C570" s="68"/>
      <c r="D570" s="68"/>
      <c r="E570" s="68"/>
      <c r="F570" s="68"/>
      <c r="G570" s="68"/>
      <c r="H570" s="68"/>
      <c r="I570" s="68"/>
      <c r="J570" s="68"/>
      <c r="K570" s="68"/>
      <c r="L570" s="68"/>
      <c r="N570" s="75"/>
    </row>
    <row r="571" spans="1:14" ht="12.5" x14ac:dyDescent="0.25">
      <c r="A571" s="14"/>
      <c r="C571" s="68"/>
      <c r="D571" s="68"/>
      <c r="E571" s="68"/>
      <c r="F571" s="68"/>
      <c r="G571" s="68"/>
      <c r="H571" s="68"/>
      <c r="I571" s="68"/>
      <c r="J571" s="68"/>
      <c r="K571" s="68"/>
      <c r="L571" s="68"/>
      <c r="N571" s="75"/>
    </row>
    <row r="572" spans="1:14" ht="12.5" x14ac:dyDescent="0.25">
      <c r="A572" s="14"/>
      <c r="C572" s="68"/>
      <c r="D572" s="68"/>
      <c r="E572" s="68"/>
      <c r="F572" s="68"/>
      <c r="G572" s="68"/>
      <c r="H572" s="68"/>
      <c r="I572" s="68"/>
      <c r="J572" s="68"/>
      <c r="K572" s="68"/>
      <c r="L572" s="68"/>
      <c r="N572" s="75"/>
    </row>
    <row r="573" spans="1:14" ht="12.5" x14ac:dyDescent="0.25">
      <c r="A573" s="14"/>
      <c r="C573" s="68"/>
      <c r="D573" s="68"/>
      <c r="E573" s="68"/>
      <c r="F573" s="68"/>
      <c r="G573" s="68"/>
      <c r="H573" s="68"/>
      <c r="I573" s="68"/>
      <c r="J573" s="68"/>
      <c r="K573" s="68"/>
      <c r="L573" s="68"/>
      <c r="N573" s="75"/>
    </row>
    <row r="574" spans="1:14" ht="12.5" x14ac:dyDescent="0.25">
      <c r="A574" s="14"/>
      <c r="C574" s="68"/>
      <c r="D574" s="68"/>
      <c r="E574" s="68"/>
      <c r="F574" s="68"/>
      <c r="G574" s="68"/>
      <c r="H574" s="68"/>
      <c r="I574" s="68"/>
      <c r="J574" s="68"/>
      <c r="K574" s="68"/>
      <c r="L574" s="68"/>
      <c r="N574" s="75"/>
    </row>
    <row r="575" spans="1:14" ht="12.5" x14ac:dyDescent="0.25">
      <c r="A575" s="14"/>
      <c r="C575" s="68"/>
      <c r="D575" s="68"/>
      <c r="E575" s="68"/>
      <c r="F575" s="68"/>
      <c r="G575" s="68"/>
      <c r="H575" s="68"/>
      <c r="I575" s="68"/>
      <c r="J575" s="68"/>
      <c r="K575" s="68"/>
      <c r="L575" s="68"/>
      <c r="N575" s="75"/>
    </row>
    <row r="576" spans="1:14" ht="12.5" x14ac:dyDescent="0.25">
      <c r="A576" s="14"/>
      <c r="C576" s="68"/>
      <c r="D576" s="68"/>
      <c r="E576" s="68"/>
      <c r="F576" s="68"/>
      <c r="G576" s="68"/>
      <c r="H576" s="68"/>
      <c r="I576" s="68"/>
      <c r="J576" s="68"/>
      <c r="K576" s="68"/>
      <c r="L576" s="68"/>
      <c r="N576" s="75"/>
    </row>
    <row r="577" spans="1:14" ht="12.5" x14ac:dyDescent="0.25">
      <c r="A577" s="14"/>
      <c r="C577" s="68"/>
      <c r="D577" s="68"/>
      <c r="E577" s="68"/>
      <c r="F577" s="68"/>
      <c r="G577" s="68"/>
      <c r="H577" s="68"/>
      <c r="I577" s="68"/>
      <c r="J577" s="68"/>
      <c r="K577" s="68"/>
      <c r="L577" s="68"/>
      <c r="N577" s="75"/>
    </row>
    <row r="578" spans="1:14" ht="12.5" x14ac:dyDescent="0.25">
      <c r="A578" s="14"/>
      <c r="C578" s="68"/>
      <c r="D578" s="68"/>
      <c r="E578" s="68"/>
      <c r="F578" s="68"/>
      <c r="G578" s="68"/>
      <c r="H578" s="68"/>
      <c r="I578" s="68"/>
      <c r="J578" s="68"/>
      <c r="K578" s="68"/>
      <c r="L578" s="68"/>
      <c r="N578" s="75"/>
    </row>
    <row r="579" spans="1:14" ht="12.5" x14ac:dyDescent="0.25">
      <c r="A579" s="14"/>
      <c r="C579" s="68"/>
      <c r="D579" s="68"/>
      <c r="E579" s="68"/>
      <c r="F579" s="68"/>
      <c r="G579" s="68"/>
      <c r="H579" s="68"/>
      <c r="I579" s="68"/>
      <c r="J579" s="68"/>
      <c r="K579" s="68"/>
      <c r="L579" s="68"/>
      <c r="N579" s="75"/>
    </row>
    <row r="580" spans="1:14" ht="12.5" x14ac:dyDescent="0.25">
      <c r="A580" s="14"/>
      <c r="C580" s="68"/>
      <c r="D580" s="68"/>
      <c r="E580" s="68"/>
      <c r="F580" s="68"/>
      <c r="G580" s="68"/>
      <c r="H580" s="68"/>
      <c r="I580" s="68"/>
      <c r="J580" s="68"/>
      <c r="K580" s="68"/>
      <c r="L580" s="68"/>
      <c r="N580" s="75"/>
    </row>
    <row r="581" spans="1:14" ht="12.5" x14ac:dyDescent="0.25">
      <c r="A581" s="14"/>
      <c r="C581" s="68"/>
      <c r="D581" s="68"/>
      <c r="E581" s="68"/>
      <c r="F581" s="68"/>
      <c r="G581" s="68"/>
      <c r="H581" s="68"/>
      <c r="I581" s="68"/>
      <c r="J581" s="68"/>
      <c r="K581" s="68"/>
      <c r="L581" s="68"/>
      <c r="N581" s="75"/>
    </row>
    <row r="582" spans="1:14" ht="12.5" x14ac:dyDescent="0.25">
      <c r="A582" s="14"/>
      <c r="C582" s="68"/>
      <c r="D582" s="68"/>
      <c r="E582" s="68"/>
      <c r="F582" s="68"/>
      <c r="G582" s="68"/>
      <c r="H582" s="68"/>
      <c r="I582" s="68"/>
      <c r="J582" s="68"/>
      <c r="K582" s="68"/>
      <c r="L582" s="68"/>
      <c r="N582" s="75"/>
    </row>
    <row r="583" spans="1:14" ht="12.5" x14ac:dyDescent="0.25">
      <c r="A583" s="14"/>
      <c r="C583" s="68"/>
      <c r="D583" s="68"/>
      <c r="E583" s="68"/>
      <c r="F583" s="68"/>
      <c r="G583" s="68"/>
      <c r="H583" s="68"/>
      <c r="I583" s="68"/>
      <c r="J583" s="68"/>
      <c r="K583" s="68"/>
      <c r="L583" s="68"/>
      <c r="N583" s="75"/>
    </row>
    <row r="584" spans="1:14" ht="12.5" x14ac:dyDescent="0.25">
      <c r="A584" s="14"/>
      <c r="C584" s="68"/>
      <c r="D584" s="68"/>
      <c r="E584" s="68"/>
      <c r="F584" s="68"/>
      <c r="G584" s="68"/>
      <c r="H584" s="68"/>
      <c r="I584" s="68"/>
      <c r="J584" s="68"/>
      <c r="K584" s="68"/>
      <c r="L584" s="68"/>
      <c r="N584" s="75"/>
    </row>
    <row r="585" spans="1:14" ht="12.5" x14ac:dyDescent="0.25">
      <c r="A585" s="14"/>
      <c r="C585" s="68"/>
      <c r="D585" s="68"/>
      <c r="E585" s="68"/>
      <c r="F585" s="68"/>
      <c r="G585" s="68"/>
      <c r="H585" s="68"/>
      <c r="I585" s="68"/>
      <c r="J585" s="68"/>
      <c r="K585" s="68"/>
      <c r="L585" s="68"/>
      <c r="N585" s="75"/>
    </row>
    <row r="586" spans="1:14" ht="12.5" x14ac:dyDescent="0.25">
      <c r="A586" s="14"/>
      <c r="C586" s="68"/>
      <c r="D586" s="68"/>
      <c r="E586" s="68"/>
      <c r="F586" s="68"/>
      <c r="G586" s="68"/>
      <c r="H586" s="68"/>
      <c r="I586" s="68"/>
      <c r="J586" s="68"/>
      <c r="K586" s="68"/>
      <c r="L586" s="68"/>
      <c r="N586" s="75"/>
    </row>
    <row r="587" spans="1:14" ht="12.5" x14ac:dyDescent="0.25">
      <c r="A587" s="14"/>
      <c r="C587" s="68"/>
      <c r="D587" s="68"/>
      <c r="E587" s="68"/>
      <c r="F587" s="68"/>
      <c r="G587" s="68"/>
      <c r="H587" s="68"/>
      <c r="I587" s="68"/>
      <c r="J587" s="68"/>
      <c r="K587" s="68"/>
      <c r="L587" s="68"/>
      <c r="N587" s="75"/>
    </row>
    <row r="588" spans="1:14" ht="12.5" x14ac:dyDescent="0.25">
      <c r="A588" s="14"/>
      <c r="C588" s="68"/>
      <c r="D588" s="68"/>
      <c r="E588" s="68"/>
      <c r="F588" s="68"/>
      <c r="G588" s="68"/>
      <c r="H588" s="68"/>
      <c r="I588" s="68"/>
      <c r="J588" s="68"/>
      <c r="K588" s="68"/>
      <c r="L588" s="68"/>
      <c r="N588" s="75"/>
    </row>
    <row r="589" spans="1:14" ht="12.5" x14ac:dyDescent="0.25">
      <c r="A589" s="14"/>
      <c r="C589" s="68"/>
      <c r="D589" s="68"/>
      <c r="E589" s="68"/>
      <c r="F589" s="68"/>
      <c r="G589" s="68"/>
      <c r="H589" s="68"/>
      <c r="I589" s="68"/>
      <c r="J589" s="68"/>
      <c r="K589" s="68"/>
      <c r="L589" s="68"/>
      <c r="N589" s="75"/>
    </row>
    <row r="590" spans="1:14" ht="12.5" x14ac:dyDescent="0.25">
      <c r="A590" s="14"/>
      <c r="C590" s="68"/>
      <c r="D590" s="68"/>
      <c r="E590" s="68"/>
      <c r="F590" s="68"/>
      <c r="G590" s="68"/>
      <c r="H590" s="68"/>
      <c r="I590" s="68"/>
      <c r="J590" s="68"/>
      <c r="K590" s="68"/>
      <c r="L590" s="68"/>
      <c r="N590" s="75"/>
    </row>
    <row r="591" spans="1:14" ht="12.5" x14ac:dyDescent="0.25">
      <c r="A591" s="14"/>
      <c r="C591" s="68"/>
      <c r="D591" s="68"/>
      <c r="E591" s="68"/>
      <c r="F591" s="68"/>
      <c r="G591" s="68"/>
      <c r="H591" s="68"/>
      <c r="I591" s="68"/>
      <c r="J591" s="68"/>
      <c r="K591" s="68"/>
      <c r="L591" s="68"/>
      <c r="N591" s="75"/>
    </row>
    <row r="592" spans="1:14" ht="12.5" x14ac:dyDescent="0.25">
      <c r="A592" s="14"/>
      <c r="C592" s="68"/>
      <c r="D592" s="68"/>
      <c r="E592" s="68"/>
      <c r="F592" s="68"/>
      <c r="G592" s="68"/>
      <c r="H592" s="68"/>
      <c r="I592" s="68"/>
      <c r="J592" s="68"/>
      <c r="K592" s="68"/>
      <c r="L592" s="68"/>
      <c r="N592" s="75"/>
    </row>
    <row r="593" spans="1:14" ht="12.5" x14ac:dyDescent="0.25">
      <c r="A593" s="14"/>
      <c r="C593" s="68"/>
      <c r="D593" s="68"/>
      <c r="E593" s="68"/>
      <c r="F593" s="68"/>
      <c r="G593" s="68"/>
      <c r="H593" s="68"/>
      <c r="I593" s="68"/>
      <c r="J593" s="68"/>
      <c r="K593" s="68"/>
      <c r="L593" s="68"/>
      <c r="N593" s="75"/>
    </row>
    <row r="594" spans="1:14" ht="12.5" x14ac:dyDescent="0.25">
      <c r="A594" s="14"/>
      <c r="C594" s="68"/>
      <c r="D594" s="68"/>
      <c r="E594" s="68"/>
      <c r="F594" s="68"/>
      <c r="G594" s="68"/>
      <c r="H594" s="68"/>
      <c r="I594" s="68"/>
      <c r="J594" s="68"/>
      <c r="K594" s="68"/>
      <c r="L594" s="68"/>
      <c r="N594" s="75"/>
    </row>
    <row r="595" spans="1:14" ht="12.5" x14ac:dyDescent="0.25">
      <c r="A595" s="14"/>
      <c r="C595" s="68"/>
      <c r="D595" s="68"/>
      <c r="E595" s="68"/>
      <c r="F595" s="68"/>
      <c r="G595" s="68"/>
      <c r="H595" s="68"/>
      <c r="I595" s="68"/>
      <c r="J595" s="68"/>
      <c r="K595" s="68"/>
      <c r="L595" s="68"/>
      <c r="N595" s="75"/>
    </row>
    <row r="596" spans="1:14" ht="12.5" x14ac:dyDescent="0.25">
      <c r="A596" s="14"/>
      <c r="C596" s="68"/>
      <c r="D596" s="68"/>
      <c r="E596" s="68"/>
      <c r="F596" s="68"/>
      <c r="G596" s="68"/>
      <c r="H596" s="68"/>
      <c r="I596" s="68"/>
      <c r="J596" s="68"/>
      <c r="K596" s="68"/>
      <c r="L596" s="68"/>
      <c r="N596" s="75"/>
    </row>
    <row r="597" spans="1:14" ht="12.5" x14ac:dyDescent="0.25">
      <c r="A597" s="14"/>
      <c r="C597" s="68"/>
      <c r="D597" s="68"/>
      <c r="E597" s="68"/>
      <c r="F597" s="68"/>
      <c r="G597" s="68"/>
      <c r="H597" s="68"/>
      <c r="I597" s="68"/>
      <c r="J597" s="68"/>
      <c r="K597" s="68"/>
      <c r="L597" s="68"/>
      <c r="N597" s="75"/>
    </row>
    <row r="598" spans="1:14" ht="12.5" x14ac:dyDescent="0.25">
      <c r="A598" s="14"/>
      <c r="C598" s="68"/>
      <c r="D598" s="68"/>
      <c r="E598" s="68"/>
      <c r="F598" s="68"/>
      <c r="G598" s="68"/>
      <c r="H598" s="68"/>
      <c r="I598" s="68"/>
      <c r="J598" s="68"/>
      <c r="K598" s="68"/>
      <c r="L598" s="68"/>
      <c r="N598" s="75"/>
    </row>
    <row r="599" spans="1:14" ht="12.5" x14ac:dyDescent="0.25">
      <c r="A599" s="14"/>
      <c r="C599" s="68"/>
      <c r="D599" s="68"/>
      <c r="E599" s="68"/>
      <c r="F599" s="68"/>
      <c r="G599" s="68"/>
      <c r="H599" s="68"/>
      <c r="I599" s="68"/>
      <c r="J599" s="68"/>
      <c r="K599" s="68"/>
      <c r="L599" s="68"/>
      <c r="N599" s="75"/>
    </row>
    <row r="600" spans="1:14" ht="12.5" x14ac:dyDescent="0.25">
      <c r="A600" s="14"/>
      <c r="C600" s="68"/>
      <c r="D600" s="68"/>
      <c r="E600" s="68"/>
      <c r="F600" s="68"/>
      <c r="G600" s="68"/>
      <c r="H600" s="68"/>
      <c r="I600" s="68"/>
      <c r="J600" s="68"/>
      <c r="K600" s="68"/>
      <c r="L600" s="68"/>
      <c r="N600" s="75"/>
    </row>
    <row r="601" spans="1:14" ht="12.5" x14ac:dyDescent="0.25">
      <c r="A601" s="14"/>
      <c r="C601" s="68"/>
      <c r="D601" s="68"/>
      <c r="E601" s="68"/>
      <c r="F601" s="68"/>
      <c r="G601" s="68"/>
      <c r="H601" s="68"/>
      <c r="I601" s="68"/>
      <c r="J601" s="68"/>
      <c r="K601" s="68"/>
      <c r="L601" s="68"/>
      <c r="N601" s="75"/>
    </row>
    <row r="602" spans="1:14" ht="12.5" x14ac:dyDescent="0.25">
      <c r="A602" s="14"/>
      <c r="C602" s="68"/>
      <c r="D602" s="68"/>
      <c r="E602" s="68"/>
      <c r="F602" s="68"/>
      <c r="G602" s="68"/>
      <c r="H602" s="68"/>
      <c r="I602" s="68"/>
      <c r="J602" s="68"/>
      <c r="K602" s="68"/>
      <c r="L602" s="68"/>
      <c r="N602" s="75"/>
    </row>
    <row r="603" spans="1:14" ht="12.5" x14ac:dyDescent="0.25">
      <c r="A603" s="14"/>
      <c r="C603" s="68"/>
      <c r="D603" s="68"/>
      <c r="E603" s="68"/>
      <c r="F603" s="68"/>
      <c r="G603" s="68"/>
      <c r="H603" s="68"/>
      <c r="I603" s="68"/>
      <c r="J603" s="68"/>
      <c r="K603" s="68"/>
      <c r="L603" s="68"/>
      <c r="N603" s="75"/>
    </row>
    <row r="604" spans="1:14" ht="12.5" x14ac:dyDescent="0.25">
      <c r="A604" s="14"/>
      <c r="C604" s="68"/>
      <c r="D604" s="68"/>
      <c r="E604" s="68"/>
      <c r="F604" s="68"/>
      <c r="G604" s="68"/>
      <c r="H604" s="68"/>
      <c r="I604" s="68"/>
      <c r="J604" s="68"/>
      <c r="K604" s="68"/>
      <c r="L604" s="68"/>
      <c r="N604" s="75"/>
    </row>
    <row r="605" spans="1:14" ht="12.5" x14ac:dyDescent="0.25">
      <c r="A605" s="14"/>
      <c r="C605" s="68"/>
      <c r="D605" s="68"/>
      <c r="E605" s="68"/>
      <c r="F605" s="68"/>
      <c r="G605" s="68"/>
      <c r="H605" s="68"/>
      <c r="I605" s="68"/>
      <c r="J605" s="68"/>
      <c r="K605" s="68"/>
      <c r="L605" s="68"/>
      <c r="N605" s="75"/>
    </row>
    <row r="606" spans="1:14" ht="12.5" x14ac:dyDescent="0.25">
      <c r="A606" s="14"/>
      <c r="C606" s="68"/>
      <c r="D606" s="68"/>
      <c r="E606" s="68"/>
      <c r="F606" s="68"/>
      <c r="G606" s="68"/>
      <c r="H606" s="68"/>
      <c r="I606" s="68"/>
      <c r="J606" s="68"/>
      <c r="K606" s="68"/>
      <c r="L606" s="68"/>
      <c r="N606" s="75"/>
    </row>
    <row r="607" spans="1:14" ht="12.5" x14ac:dyDescent="0.25">
      <c r="A607" s="14"/>
      <c r="C607" s="68"/>
      <c r="D607" s="68"/>
      <c r="E607" s="68"/>
      <c r="F607" s="68"/>
      <c r="G607" s="68"/>
      <c r="H607" s="68"/>
      <c r="I607" s="68"/>
      <c r="J607" s="68"/>
      <c r="K607" s="68"/>
      <c r="L607" s="68"/>
      <c r="N607" s="75"/>
    </row>
    <row r="608" spans="1:14" ht="12.5" x14ac:dyDescent="0.25">
      <c r="A608" s="14"/>
      <c r="C608" s="68"/>
      <c r="D608" s="68"/>
      <c r="E608" s="68"/>
      <c r="F608" s="68"/>
      <c r="G608" s="68"/>
      <c r="H608" s="68"/>
      <c r="I608" s="68"/>
      <c r="J608" s="68"/>
      <c r="K608" s="68"/>
      <c r="L608" s="68"/>
      <c r="N608" s="75"/>
    </row>
    <row r="609" spans="1:14" ht="12.5" x14ac:dyDescent="0.25">
      <c r="A609" s="14"/>
      <c r="C609" s="68"/>
      <c r="D609" s="68"/>
      <c r="E609" s="68"/>
      <c r="F609" s="68"/>
      <c r="G609" s="68"/>
      <c r="H609" s="68"/>
      <c r="I609" s="68"/>
      <c r="J609" s="68"/>
      <c r="K609" s="68"/>
      <c r="L609" s="68"/>
      <c r="N609" s="75"/>
    </row>
    <row r="610" spans="1:14" ht="12.5" x14ac:dyDescent="0.25">
      <c r="A610" s="14"/>
      <c r="C610" s="68"/>
      <c r="D610" s="68"/>
      <c r="E610" s="68"/>
      <c r="F610" s="68"/>
      <c r="G610" s="68"/>
      <c r="H610" s="68"/>
      <c r="I610" s="68"/>
      <c r="J610" s="68"/>
      <c r="K610" s="68"/>
      <c r="L610" s="68"/>
      <c r="N610" s="75"/>
    </row>
    <row r="611" spans="1:14" ht="12.5" x14ac:dyDescent="0.25">
      <c r="A611" s="14"/>
      <c r="C611" s="68"/>
      <c r="D611" s="68"/>
      <c r="E611" s="68"/>
      <c r="F611" s="68"/>
      <c r="G611" s="68"/>
      <c r="H611" s="68"/>
      <c r="I611" s="68"/>
      <c r="J611" s="68"/>
      <c r="K611" s="68"/>
      <c r="L611" s="68"/>
      <c r="N611" s="75"/>
    </row>
    <row r="612" spans="1:14" ht="12.5" x14ac:dyDescent="0.25">
      <c r="A612" s="14"/>
      <c r="C612" s="68"/>
      <c r="D612" s="68"/>
      <c r="E612" s="68"/>
      <c r="F612" s="68"/>
      <c r="G612" s="68"/>
      <c r="H612" s="68"/>
      <c r="I612" s="68"/>
      <c r="J612" s="68"/>
      <c r="K612" s="68"/>
      <c r="L612" s="68"/>
      <c r="N612" s="75"/>
    </row>
    <row r="613" spans="1:14" ht="12.5" x14ac:dyDescent="0.25">
      <c r="A613" s="14"/>
      <c r="C613" s="68"/>
      <c r="D613" s="68"/>
      <c r="E613" s="68"/>
      <c r="F613" s="68"/>
      <c r="G613" s="68"/>
      <c r="H613" s="68"/>
      <c r="I613" s="68"/>
      <c r="J613" s="68"/>
      <c r="K613" s="68"/>
      <c r="L613" s="68"/>
      <c r="N613" s="75"/>
    </row>
    <row r="614" spans="1:14" ht="12.5" x14ac:dyDescent="0.25">
      <c r="A614" s="14"/>
      <c r="C614" s="68"/>
      <c r="D614" s="68"/>
      <c r="E614" s="68"/>
      <c r="F614" s="68"/>
      <c r="G614" s="68"/>
      <c r="H614" s="68"/>
      <c r="I614" s="68"/>
      <c r="J614" s="68"/>
      <c r="K614" s="68"/>
      <c r="L614" s="68"/>
      <c r="N614" s="75"/>
    </row>
    <row r="615" spans="1:14" ht="12.5" x14ac:dyDescent="0.25">
      <c r="A615" s="14"/>
      <c r="C615" s="68"/>
      <c r="D615" s="68"/>
      <c r="E615" s="68"/>
      <c r="F615" s="68"/>
      <c r="G615" s="68"/>
      <c r="H615" s="68"/>
      <c r="I615" s="68"/>
      <c r="J615" s="68"/>
      <c r="K615" s="68"/>
      <c r="L615" s="68"/>
      <c r="N615" s="75"/>
    </row>
    <row r="616" spans="1:14" ht="12.5" x14ac:dyDescent="0.25">
      <c r="A616" s="14"/>
      <c r="C616" s="68"/>
      <c r="D616" s="68"/>
      <c r="E616" s="68"/>
      <c r="F616" s="68"/>
      <c r="G616" s="68"/>
      <c r="H616" s="68"/>
      <c r="I616" s="68"/>
      <c r="J616" s="68"/>
      <c r="K616" s="68"/>
      <c r="L616" s="68"/>
      <c r="N616" s="75"/>
    </row>
    <row r="617" spans="1:14" ht="12.5" x14ac:dyDescent="0.25">
      <c r="A617" s="14"/>
      <c r="C617" s="68"/>
      <c r="D617" s="68"/>
      <c r="E617" s="68"/>
      <c r="F617" s="68"/>
      <c r="G617" s="68"/>
      <c r="H617" s="68"/>
      <c r="I617" s="68"/>
      <c r="J617" s="68"/>
      <c r="K617" s="68"/>
      <c r="L617" s="68"/>
      <c r="N617" s="75"/>
    </row>
    <row r="618" spans="1:14" ht="12.5" x14ac:dyDescent="0.25">
      <c r="A618" s="14"/>
      <c r="C618" s="68"/>
      <c r="D618" s="68"/>
      <c r="E618" s="68"/>
      <c r="F618" s="68"/>
      <c r="G618" s="68"/>
      <c r="H618" s="68"/>
      <c r="I618" s="68"/>
      <c r="J618" s="68"/>
      <c r="K618" s="68"/>
      <c r="L618" s="68"/>
      <c r="N618" s="75"/>
    </row>
    <row r="619" spans="1:14" ht="12.5" x14ac:dyDescent="0.25">
      <c r="A619" s="14"/>
      <c r="C619" s="68"/>
      <c r="D619" s="68"/>
      <c r="E619" s="68"/>
      <c r="F619" s="68"/>
      <c r="G619" s="68"/>
      <c r="H619" s="68"/>
      <c r="I619" s="68"/>
      <c r="J619" s="68"/>
      <c r="K619" s="68"/>
      <c r="L619" s="68"/>
      <c r="N619" s="75"/>
    </row>
    <row r="620" spans="1:14" ht="12.5" x14ac:dyDescent="0.25">
      <c r="A620" s="14"/>
      <c r="C620" s="68"/>
      <c r="D620" s="68"/>
      <c r="E620" s="68"/>
      <c r="F620" s="68"/>
      <c r="G620" s="68"/>
      <c r="H620" s="68"/>
      <c r="I620" s="68"/>
      <c r="J620" s="68"/>
      <c r="K620" s="68"/>
      <c r="L620" s="68"/>
      <c r="N620" s="75"/>
    </row>
    <row r="621" spans="1:14" ht="12.5" x14ac:dyDescent="0.25">
      <c r="A621" s="14"/>
      <c r="C621" s="68"/>
      <c r="D621" s="68"/>
      <c r="E621" s="68"/>
      <c r="F621" s="68"/>
      <c r="G621" s="68"/>
      <c r="H621" s="68"/>
      <c r="I621" s="68"/>
      <c r="J621" s="68"/>
      <c r="K621" s="68"/>
      <c r="L621" s="68"/>
      <c r="N621" s="75"/>
    </row>
    <row r="622" spans="1:14" ht="12.5" x14ac:dyDescent="0.25">
      <c r="A622" s="14"/>
      <c r="C622" s="68"/>
      <c r="D622" s="68"/>
      <c r="E622" s="68"/>
      <c r="F622" s="68"/>
      <c r="G622" s="68"/>
      <c r="H622" s="68"/>
      <c r="I622" s="68"/>
      <c r="J622" s="68"/>
      <c r="K622" s="68"/>
      <c r="L622" s="68"/>
      <c r="N622" s="75"/>
    </row>
    <row r="623" spans="1:14" ht="12.5" x14ac:dyDescent="0.25">
      <c r="A623" s="14"/>
      <c r="C623" s="68"/>
      <c r="D623" s="68"/>
      <c r="E623" s="68"/>
      <c r="F623" s="68"/>
      <c r="G623" s="68"/>
      <c r="H623" s="68"/>
      <c r="I623" s="68"/>
      <c r="J623" s="68"/>
      <c r="K623" s="68"/>
      <c r="L623" s="68"/>
      <c r="N623" s="75"/>
    </row>
    <row r="624" spans="1:14" ht="12.5" x14ac:dyDescent="0.25">
      <c r="A624" s="14"/>
      <c r="C624" s="68"/>
      <c r="D624" s="68"/>
      <c r="E624" s="68"/>
      <c r="F624" s="68"/>
      <c r="G624" s="68"/>
      <c r="H624" s="68"/>
      <c r="I624" s="68"/>
      <c r="J624" s="68"/>
      <c r="K624" s="68"/>
      <c r="L624" s="68"/>
      <c r="N624" s="75"/>
    </row>
    <row r="625" spans="1:14" ht="12.5" x14ac:dyDescent="0.25">
      <c r="A625" s="14"/>
      <c r="C625" s="68"/>
      <c r="D625" s="68"/>
      <c r="E625" s="68"/>
      <c r="F625" s="68"/>
      <c r="G625" s="68"/>
      <c r="H625" s="68"/>
      <c r="I625" s="68"/>
      <c r="J625" s="68"/>
      <c r="K625" s="68"/>
      <c r="L625" s="68"/>
      <c r="N625" s="75"/>
    </row>
    <row r="626" spans="1:14" ht="12.5" x14ac:dyDescent="0.25">
      <c r="A626" s="14"/>
      <c r="C626" s="68"/>
      <c r="D626" s="68"/>
      <c r="E626" s="68"/>
      <c r="F626" s="68"/>
      <c r="G626" s="68"/>
      <c r="H626" s="68"/>
      <c r="I626" s="68"/>
      <c r="J626" s="68"/>
      <c r="K626" s="68"/>
      <c r="L626" s="68"/>
      <c r="N626" s="75"/>
    </row>
    <row r="627" spans="1:14" ht="12.5" x14ac:dyDescent="0.25">
      <c r="A627" s="14"/>
      <c r="C627" s="68"/>
      <c r="D627" s="68"/>
      <c r="E627" s="68"/>
      <c r="F627" s="68"/>
      <c r="G627" s="68"/>
      <c r="H627" s="68"/>
      <c r="I627" s="68"/>
      <c r="J627" s="68"/>
      <c r="K627" s="68"/>
      <c r="L627" s="68"/>
      <c r="N627" s="75"/>
    </row>
    <row r="628" spans="1:14" ht="12.5" x14ac:dyDescent="0.25">
      <c r="A628" s="14"/>
      <c r="C628" s="68"/>
      <c r="D628" s="68"/>
      <c r="E628" s="68"/>
      <c r="F628" s="68"/>
      <c r="G628" s="68"/>
      <c r="H628" s="68"/>
      <c r="I628" s="68"/>
      <c r="J628" s="68"/>
      <c r="K628" s="68"/>
      <c r="L628" s="68"/>
      <c r="N628" s="75"/>
    </row>
    <row r="629" spans="1:14" ht="12.5" x14ac:dyDescent="0.25">
      <c r="A629" s="14"/>
      <c r="C629" s="68"/>
      <c r="D629" s="68"/>
      <c r="E629" s="68"/>
      <c r="F629" s="68"/>
      <c r="G629" s="68"/>
      <c r="H629" s="68"/>
      <c r="I629" s="68"/>
      <c r="J629" s="68"/>
      <c r="K629" s="68"/>
      <c r="L629" s="68"/>
      <c r="N629" s="75"/>
    </row>
    <row r="630" spans="1:14" ht="12.5" x14ac:dyDescent="0.25">
      <c r="A630" s="14"/>
      <c r="C630" s="68"/>
      <c r="D630" s="68"/>
      <c r="E630" s="68"/>
      <c r="F630" s="68"/>
      <c r="G630" s="68"/>
      <c r="H630" s="68"/>
      <c r="I630" s="68"/>
      <c r="J630" s="68"/>
      <c r="K630" s="68"/>
      <c r="L630" s="68"/>
      <c r="N630" s="75"/>
    </row>
    <row r="631" spans="1:14" ht="12.5" x14ac:dyDescent="0.25">
      <c r="A631" s="14"/>
      <c r="C631" s="68"/>
      <c r="D631" s="68"/>
      <c r="E631" s="68"/>
      <c r="F631" s="68"/>
      <c r="G631" s="68"/>
      <c r="H631" s="68"/>
      <c r="I631" s="68"/>
      <c r="J631" s="68"/>
      <c r="K631" s="68"/>
      <c r="L631" s="68"/>
      <c r="N631" s="75"/>
    </row>
    <row r="632" spans="1:14" ht="12.5" x14ac:dyDescent="0.25">
      <c r="A632" s="14"/>
      <c r="C632" s="68"/>
      <c r="D632" s="68"/>
      <c r="E632" s="68"/>
      <c r="F632" s="68"/>
      <c r="G632" s="68"/>
      <c r="H632" s="68"/>
      <c r="I632" s="68"/>
      <c r="J632" s="68"/>
      <c r="K632" s="68"/>
      <c r="L632" s="68"/>
      <c r="N632" s="75"/>
    </row>
    <row r="633" spans="1:14" ht="12.5" x14ac:dyDescent="0.25">
      <c r="A633" s="14"/>
      <c r="C633" s="68"/>
      <c r="D633" s="68"/>
      <c r="E633" s="68"/>
      <c r="F633" s="68"/>
      <c r="G633" s="68"/>
      <c r="H633" s="68"/>
      <c r="I633" s="68"/>
      <c r="J633" s="68"/>
      <c r="K633" s="68"/>
      <c r="L633" s="68"/>
      <c r="N633" s="75"/>
    </row>
    <row r="634" spans="1:14" ht="12.5" x14ac:dyDescent="0.25">
      <c r="A634" s="14"/>
      <c r="C634" s="68"/>
      <c r="D634" s="68"/>
      <c r="E634" s="68"/>
      <c r="F634" s="68"/>
      <c r="G634" s="68"/>
      <c r="H634" s="68"/>
      <c r="I634" s="68"/>
      <c r="J634" s="68"/>
      <c r="K634" s="68"/>
      <c r="L634" s="68"/>
      <c r="N634" s="75"/>
    </row>
    <row r="635" spans="1:14" ht="12.5" x14ac:dyDescent="0.25">
      <c r="A635" s="14"/>
      <c r="C635" s="68"/>
      <c r="D635" s="68"/>
      <c r="E635" s="68"/>
      <c r="F635" s="68"/>
      <c r="G635" s="68"/>
      <c r="H635" s="68"/>
      <c r="I635" s="68"/>
      <c r="J635" s="68"/>
      <c r="K635" s="68"/>
      <c r="L635" s="68"/>
      <c r="N635" s="75"/>
    </row>
    <row r="636" spans="1:14" ht="12.5" x14ac:dyDescent="0.25">
      <c r="A636" s="14"/>
      <c r="C636" s="68"/>
      <c r="D636" s="68"/>
      <c r="E636" s="68"/>
      <c r="F636" s="68"/>
      <c r="G636" s="68"/>
      <c r="H636" s="68"/>
      <c r="I636" s="68"/>
      <c r="J636" s="68"/>
      <c r="K636" s="68"/>
      <c r="L636" s="68"/>
      <c r="N636" s="75"/>
    </row>
    <row r="637" spans="1:14" ht="12.5" x14ac:dyDescent="0.25">
      <c r="A637" s="14"/>
      <c r="C637" s="68"/>
      <c r="D637" s="68"/>
      <c r="E637" s="68"/>
      <c r="F637" s="68"/>
      <c r="G637" s="68"/>
      <c r="H637" s="68"/>
      <c r="I637" s="68"/>
      <c r="J637" s="68"/>
      <c r="K637" s="68"/>
      <c r="L637" s="68"/>
      <c r="N637" s="75"/>
    </row>
    <row r="638" spans="1:14" ht="12.5" x14ac:dyDescent="0.25">
      <c r="A638" s="14"/>
      <c r="C638" s="68"/>
      <c r="D638" s="68"/>
      <c r="E638" s="68"/>
      <c r="F638" s="68"/>
      <c r="G638" s="68"/>
      <c r="H638" s="68"/>
      <c r="I638" s="68"/>
      <c r="J638" s="68"/>
      <c r="K638" s="68"/>
      <c r="L638" s="68"/>
      <c r="N638" s="75"/>
    </row>
    <row r="639" spans="1:14" ht="12.5" x14ac:dyDescent="0.25">
      <c r="A639" s="14"/>
      <c r="C639" s="68"/>
      <c r="D639" s="68"/>
      <c r="E639" s="68"/>
      <c r="F639" s="68"/>
      <c r="G639" s="68"/>
      <c r="H639" s="68"/>
      <c r="I639" s="68"/>
      <c r="J639" s="68"/>
      <c r="K639" s="68"/>
      <c r="L639" s="68"/>
      <c r="N639" s="75"/>
    </row>
    <row r="640" spans="1:14" ht="12.5" x14ac:dyDescent="0.25">
      <c r="A640" s="14"/>
      <c r="C640" s="68"/>
      <c r="D640" s="68"/>
      <c r="E640" s="68"/>
      <c r="F640" s="68"/>
      <c r="G640" s="68"/>
      <c r="H640" s="68"/>
      <c r="I640" s="68"/>
      <c r="J640" s="68"/>
      <c r="K640" s="68"/>
      <c r="L640" s="68"/>
      <c r="N640" s="75"/>
    </row>
    <row r="641" spans="1:14" ht="12.5" x14ac:dyDescent="0.25">
      <c r="A641" s="14"/>
      <c r="C641" s="68"/>
      <c r="D641" s="68"/>
      <c r="E641" s="68"/>
      <c r="F641" s="68"/>
      <c r="G641" s="68"/>
      <c r="H641" s="68"/>
      <c r="I641" s="68"/>
      <c r="J641" s="68"/>
      <c r="K641" s="68"/>
      <c r="L641" s="68"/>
      <c r="N641" s="75"/>
    </row>
    <row r="642" spans="1:14" ht="12.5" x14ac:dyDescent="0.25">
      <c r="A642" s="14"/>
      <c r="C642" s="68"/>
      <c r="D642" s="68"/>
      <c r="E642" s="68"/>
      <c r="F642" s="68"/>
      <c r="G642" s="68"/>
      <c r="H642" s="68"/>
      <c r="I642" s="68"/>
      <c r="J642" s="68"/>
      <c r="K642" s="68"/>
      <c r="L642" s="68"/>
      <c r="N642" s="75"/>
    </row>
    <row r="643" spans="1:14" ht="12.5" x14ac:dyDescent="0.25">
      <c r="A643" s="14"/>
      <c r="C643" s="68"/>
      <c r="D643" s="68"/>
      <c r="E643" s="68"/>
      <c r="F643" s="68"/>
      <c r="G643" s="68"/>
      <c r="H643" s="68"/>
      <c r="I643" s="68"/>
      <c r="J643" s="68"/>
      <c r="K643" s="68"/>
      <c r="L643" s="68"/>
      <c r="N643" s="75"/>
    </row>
    <row r="644" spans="1:14" ht="12.5" x14ac:dyDescent="0.25">
      <c r="A644" s="14"/>
      <c r="C644" s="68"/>
      <c r="D644" s="68"/>
      <c r="E644" s="68"/>
      <c r="F644" s="68"/>
      <c r="G644" s="68"/>
      <c r="H644" s="68"/>
      <c r="I644" s="68"/>
      <c r="J644" s="68"/>
      <c r="K644" s="68"/>
      <c r="L644" s="68"/>
      <c r="N644" s="75"/>
    </row>
    <row r="645" spans="1:14" ht="12.5" x14ac:dyDescent="0.25">
      <c r="A645" s="14"/>
      <c r="C645" s="68"/>
      <c r="D645" s="68"/>
      <c r="E645" s="68"/>
      <c r="F645" s="68"/>
      <c r="G645" s="68"/>
      <c r="H645" s="68"/>
      <c r="I645" s="68"/>
      <c r="J645" s="68"/>
      <c r="K645" s="68"/>
      <c r="L645" s="68"/>
      <c r="N645" s="75"/>
    </row>
    <row r="646" spans="1:14" ht="12.5" x14ac:dyDescent="0.25">
      <c r="A646" s="14"/>
      <c r="C646" s="68"/>
      <c r="D646" s="68"/>
      <c r="E646" s="68"/>
      <c r="F646" s="68"/>
      <c r="G646" s="68"/>
      <c r="H646" s="68"/>
      <c r="I646" s="68"/>
      <c r="J646" s="68"/>
      <c r="K646" s="68"/>
      <c r="L646" s="68"/>
      <c r="N646" s="75"/>
    </row>
    <row r="647" spans="1:14" ht="12.5" x14ac:dyDescent="0.25">
      <c r="A647" s="14"/>
      <c r="C647" s="68"/>
      <c r="D647" s="68"/>
      <c r="E647" s="68"/>
      <c r="F647" s="68"/>
      <c r="G647" s="68"/>
      <c r="H647" s="68"/>
      <c r="I647" s="68"/>
      <c r="J647" s="68"/>
      <c r="K647" s="68"/>
      <c r="L647" s="68"/>
      <c r="N647" s="75"/>
    </row>
    <row r="648" spans="1:14" ht="12.5" x14ac:dyDescent="0.25">
      <c r="A648" s="14"/>
      <c r="C648" s="68"/>
      <c r="D648" s="68"/>
      <c r="E648" s="68"/>
      <c r="F648" s="68"/>
      <c r="G648" s="68"/>
      <c r="H648" s="68"/>
      <c r="I648" s="68"/>
      <c r="J648" s="68"/>
      <c r="K648" s="68"/>
      <c r="L648" s="68"/>
      <c r="N648" s="75"/>
    </row>
    <row r="649" spans="1:14" ht="12.5" x14ac:dyDescent="0.25">
      <c r="A649" s="14"/>
      <c r="C649" s="68"/>
      <c r="D649" s="68"/>
      <c r="E649" s="68"/>
      <c r="F649" s="68"/>
      <c r="G649" s="68"/>
      <c r="H649" s="68"/>
      <c r="I649" s="68"/>
      <c r="J649" s="68"/>
      <c r="K649" s="68"/>
      <c r="L649" s="68"/>
      <c r="N649" s="75"/>
    </row>
    <row r="650" spans="1:14" ht="12.5" x14ac:dyDescent="0.25">
      <c r="A650" s="14"/>
      <c r="C650" s="68"/>
      <c r="D650" s="68"/>
      <c r="E650" s="68"/>
      <c r="F650" s="68"/>
      <c r="G650" s="68"/>
      <c r="H650" s="68"/>
      <c r="I650" s="68"/>
      <c r="J650" s="68"/>
      <c r="K650" s="68"/>
      <c r="L650" s="68"/>
      <c r="N650" s="75"/>
    </row>
    <row r="651" spans="1:14" ht="12.5" x14ac:dyDescent="0.25">
      <c r="A651" s="14"/>
      <c r="C651" s="68"/>
      <c r="D651" s="68"/>
      <c r="E651" s="68"/>
      <c r="F651" s="68"/>
      <c r="G651" s="68"/>
      <c r="H651" s="68"/>
      <c r="I651" s="68"/>
      <c r="J651" s="68"/>
      <c r="K651" s="68"/>
      <c r="L651" s="68"/>
      <c r="N651" s="75"/>
    </row>
    <row r="652" spans="1:14" ht="12.5" x14ac:dyDescent="0.25">
      <c r="A652" s="14"/>
      <c r="C652" s="68"/>
      <c r="D652" s="68"/>
      <c r="E652" s="68"/>
      <c r="F652" s="68"/>
      <c r="G652" s="68"/>
      <c r="H652" s="68"/>
      <c r="I652" s="68"/>
      <c r="J652" s="68"/>
      <c r="K652" s="68"/>
      <c r="L652" s="68"/>
      <c r="N652" s="75"/>
    </row>
    <row r="653" spans="1:14" ht="12.5" x14ac:dyDescent="0.25">
      <c r="A653" s="14"/>
      <c r="C653" s="68"/>
      <c r="D653" s="68"/>
      <c r="E653" s="68"/>
      <c r="F653" s="68"/>
      <c r="G653" s="68"/>
      <c r="H653" s="68"/>
      <c r="I653" s="68"/>
      <c r="J653" s="68"/>
      <c r="K653" s="68"/>
      <c r="L653" s="68"/>
      <c r="N653" s="75"/>
    </row>
    <row r="654" spans="1:14" ht="12.5" x14ac:dyDescent="0.25">
      <c r="A654" s="14"/>
      <c r="C654" s="68"/>
      <c r="D654" s="68"/>
      <c r="E654" s="68"/>
      <c r="F654" s="68"/>
      <c r="G654" s="68"/>
      <c r="H654" s="68"/>
      <c r="I654" s="68"/>
      <c r="J654" s="68"/>
      <c r="K654" s="68"/>
      <c r="L654" s="68"/>
      <c r="N654" s="75"/>
    </row>
    <row r="655" spans="1:14" ht="12.5" x14ac:dyDescent="0.25">
      <c r="A655" s="14"/>
      <c r="C655" s="68"/>
      <c r="D655" s="68"/>
      <c r="E655" s="68"/>
      <c r="F655" s="68"/>
      <c r="G655" s="68"/>
      <c r="H655" s="68"/>
      <c r="I655" s="68"/>
      <c r="J655" s="68"/>
      <c r="K655" s="68"/>
      <c r="L655" s="68"/>
      <c r="N655" s="75"/>
    </row>
    <row r="656" spans="1:14" ht="12.5" x14ac:dyDescent="0.25">
      <c r="A656" s="14"/>
      <c r="C656" s="68"/>
      <c r="D656" s="68"/>
      <c r="E656" s="68"/>
      <c r="F656" s="68"/>
      <c r="G656" s="68"/>
      <c r="H656" s="68"/>
      <c r="I656" s="68"/>
      <c r="J656" s="68"/>
      <c r="K656" s="68"/>
      <c r="L656" s="68"/>
      <c r="N656" s="75"/>
    </row>
    <row r="657" spans="1:14" ht="12.5" x14ac:dyDescent="0.25">
      <c r="A657" s="14"/>
      <c r="C657" s="68"/>
      <c r="D657" s="68"/>
      <c r="E657" s="68"/>
      <c r="F657" s="68"/>
      <c r="G657" s="68"/>
      <c r="H657" s="68"/>
      <c r="I657" s="68"/>
      <c r="J657" s="68"/>
      <c r="K657" s="68"/>
      <c r="L657" s="68"/>
      <c r="N657" s="75"/>
    </row>
    <row r="658" spans="1:14" ht="12.5" x14ac:dyDescent="0.25">
      <c r="A658" s="14"/>
      <c r="C658" s="68"/>
      <c r="D658" s="68"/>
      <c r="E658" s="68"/>
      <c r="F658" s="68"/>
      <c r="G658" s="68"/>
      <c r="H658" s="68"/>
      <c r="I658" s="68"/>
      <c r="J658" s="68"/>
      <c r="K658" s="68"/>
      <c r="L658" s="68"/>
      <c r="N658" s="75"/>
    </row>
    <row r="659" spans="1:14" ht="12.5" x14ac:dyDescent="0.25">
      <c r="A659" s="14"/>
      <c r="C659" s="68"/>
      <c r="D659" s="68"/>
      <c r="E659" s="68"/>
      <c r="F659" s="68"/>
      <c r="G659" s="68"/>
      <c r="H659" s="68"/>
      <c r="I659" s="68"/>
      <c r="J659" s="68"/>
      <c r="K659" s="68"/>
      <c r="L659" s="68"/>
      <c r="N659" s="75"/>
    </row>
    <row r="660" spans="1:14" ht="12.5" x14ac:dyDescent="0.25">
      <c r="A660" s="14"/>
      <c r="C660" s="68"/>
      <c r="D660" s="68"/>
      <c r="E660" s="68"/>
      <c r="F660" s="68"/>
      <c r="G660" s="68"/>
      <c r="H660" s="68"/>
      <c r="I660" s="68"/>
      <c r="J660" s="68"/>
      <c r="K660" s="68"/>
      <c r="L660" s="68"/>
      <c r="N660" s="75"/>
    </row>
    <row r="661" spans="1:14" ht="12.5" x14ac:dyDescent="0.25">
      <c r="A661" s="14"/>
      <c r="C661" s="68"/>
      <c r="D661" s="68"/>
      <c r="E661" s="68"/>
      <c r="F661" s="68"/>
      <c r="G661" s="68"/>
      <c r="H661" s="68"/>
      <c r="I661" s="68"/>
      <c r="J661" s="68"/>
      <c r="K661" s="68"/>
      <c r="L661" s="68"/>
      <c r="N661" s="75"/>
    </row>
    <row r="662" spans="1:14" ht="12.5" x14ac:dyDescent="0.25">
      <c r="A662" s="14"/>
      <c r="C662" s="68"/>
      <c r="D662" s="68"/>
      <c r="E662" s="68"/>
      <c r="F662" s="68"/>
      <c r="G662" s="68"/>
      <c r="H662" s="68"/>
      <c r="I662" s="68"/>
      <c r="J662" s="68"/>
      <c r="K662" s="68"/>
      <c r="L662" s="68"/>
      <c r="N662" s="75"/>
    </row>
    <row r="663" spans="1:14" ht="12.5" x14ac:dyDescent="0.25">
      <c r="A663" s="14"/>
      <c r="C663" s="68"/>
      <c r="D663" s="68"/>
      <c r="E663" s="68"/>
      <c r="F663" s="68"/>
      <c r="G663" s="68"/>
      <c r="H663" s="68"/>
      <c r="I663" s="68"/>
      <c r="J663" s="68"/>
      <c r="K663" s="68"/>
      <c r="L663" s="68"/>
      <c r="N663" s="75"/>
    </row>
    <row r="664" spans="1:14" ht="12.5" x14ac:dyDescent="0.25">
      <c r="A664" s="14"/>
      <c r="C664" s="68"/>
      <c r="D664" s="68"/>
      <c r="E664" s="68"/>
      <c r="F664" s="68"/>
      <c r="G664" s="68"/>
      <c r="H664" s="68"/>
      <c r="I664" s="68"/>
      <c r="J664" s="68"/>
      <c r="K664" s="68"/>
      <c r="L664" s="68"/>
      <c r="N664" s="75"/>
    </row>
    <row r="665" spans="1:14" ht="12.5" x14ac:dyDescent="0.25">
      <c r="A665" s="14"/>
      <c r="C665" s="68"/>
      <c r="D665" s="68"/>
      <c r="E665" s="68"/>
      <c r="F665" s="68"/>
      <c r="G665" s="68"/>
      <c r="H665" s="68"/>
      <c r="I665" s="68"/>
      <c r="J665" s="68"/>
      <c r="K665" s="68"/>
      <c r="L665" s="68"/>
      <c r="N665" s="75"/>
    </row>
    <row r="666" spans="1:14" ht="12.5" x14ac:dyDescent="0.25">
      <c r="A666" s="14"/>
      <c r="C666" s="68"/>
      <c r="D666" s="68"/>
      <c r="E666" s="68"/>
      <c r="F666" s="68"/>
      <c r="G666" s="68"/>
      <c r="H666" s="68"/>
      <c r="I666" s="68"/>
      <c r="J666" s="68"/>
      <c r="K666" s="68"/>
      <c r="L666" s="68"/>
      <c r="N666" s="75"/>
    </row>
    <row r="667" spans="1:14" ht="12.5" x14ac:dyDescent="0.25">
      <c r="A667" s="14"/>
      <c r="C667" s="68"/>
      <c r="D667" s="68"/>
      <c r="E667" s="68"/>
      <c r="F667" s="68"/>
      <c r="G667" s="68"/>
      <c r="H667" s="68"/>
      <c r="I667" s="68"/>
      <c r="J667" s="68"/>
      <c r="K667" s="68"/>
      <c r="L667" s="68"/>
      <c r="N667" s="75"/>
    </row>
    <row r="668" spans="1:14" ht="12.5" x14ac:dyDescent="0.25">
      <c r="A668" s="14"/>
      <c r="C668" s="68"/>
      <c r="D668" s="68"/>
      <c r="E668" s="68"/>
      <c r="F668" s="68"/>
      <c r="G668" s="68"/>
      <c r="H668" s="68"/>
      <c r="I668" s="68"/>
      <c r="J668" s="68"/>
      <c r="K668" s="68"/>
      <c r="L668" s="68"/>
      <c r="N668" s="75"/>
    </row>
    <row r="669" spans="1:14" ht="12.5" x14ac:dyDescent="0.25">
      <c r="A669" s="14"/>
      <c r="C669" s="68"/>
      <c r="D669" s="68"/>
      <c r="E669" s="68"/>
      <c r="F669" s="68"/>
      <c r="G669" s="68"/>
      <c r="H669" s="68"/>
      <c r="I669" s="68"/>
      <c r="J669" s="68"/>
      <c r="K669" s="68"/>
      <c r="L669" s="68"/>
      <c r="N669" s="75"/>
    </row>
    <row r="670" spans="1:14" ht="12.5" x14ac:dyDescent="0.25">
      <c r="A670" s="14"/>
      <c r="C670" s="68"/>
      <c r="D670" s="68"/>
      <c r="E670" s="68"/>
      <c r="F670" s="68"/>
      <c r="G670" s="68"/>
      <c r="H670" s="68"/>
      <c r="I670" s="68"/>
      <c r="J670" s="68"/>
      <c r="K670" s="68"/>
      <c r="L670" s="68"/>
      <c r="N670" s="75"/>
    </row>
    <row r="671" spans="1:14" ht="12.5" x14ac:dyDescent="0.25">
      <c r="A671" s="14"/>
      <c r="C671" s="68"/>
      <c r="D671" s="68"/>
      <c r="E671" s="68"/>
      <c r="F671" s="68"/>
      <c r="G671" s="68"/>
      <c r="H671" s="68"/>
      <c r="I671" s="68"/>
      <c r="J671" s="68"/>
      <c r="K671" s="68"/>
      <c r="L671" s="68"/>
      <c r="N671" s="75"/>
    </row>
    <row r="672" spans="1:14" ht="12.5" x14ac:dyDescent="0.25">
      <c r="A672" s="14"/>
      <c r="C672" s="68"/>
      <c r="D672" s="68"/>
      <c r="E672" s="68"/>
      <c r="F672" s="68"/>
      <c r="G672" s="68"/>
      <c r="H672" s="68"/>
      <c r="I672" s="68"/>
      <c r="J672" s="68"/>
      <c r="K672" s="68"/>
      <c r="L672" s="68"/>
      <c r="N672" s="75"/>
    </row>
    <row r="673" spans="1:14" ht="12.5" x14ac:dyDescent="0.25">
      <c r="A673" s="14"/>
      <c r="C673" s="68"/>
      <c r="D673" s="68"/>
      <c r="E673" s="68"/>
      <c r="F673" s="68"/>
      <c r="G673" s="68"/>
      <c r="H673" s="68"/>
      <c r="I673" s="68"/>
      <c r="J673" s="68"/>
      <c r="K673" s="68"/>
      <c r="L673" s="68"/>
      <c r="N673" s="75"/>
    </row>
    <row r="674" spans="1:14" ht="12.5" x14ac:dyDescent="0.25">
      <c r="A674" s="14"/>
      <c r="C674" s="68"/>
      <c r="D674" s="68"/>
      <c r="E674" s="68"/>
      <c r="F674" s="68"/>
      <c r="G674" s="68"/>
      <c r="H674" s="68"/>
      <c r="I674" s="68"/>
      <c r="J674" s="68"/>
      <c r="K674" s="68"/>
      <c r="L674" s="68"/>
      <c r="N674" s="75"/>
    </row>
    <row r="675" spans="1:14" ht="12.5" x14ac:dyDescent="0.25">
      <c r="A675" s="14"/>
      <c r="C675" s="68"/>
      <c r="D675" s="68"/>
      <c r="E675" s="68"/>
      <c r="F675" s="68"/>
      <c r="G675" s="68"/>
      <c r="H675" s="68"/>
      <c r="I675" s="68"/>
      <c r="J675" s="68"/>
      <c r="K675" s="68"/>
      <c r="L675" s="68"/>
      <c r="N675" s="75"/>
    </row>
    <row r="676" spans="1:14" ht="12.5" x14ac:dyDescent="0.25">
      <c r="A676" s="14"/>
      <c r="C676" s="68"/>
      <c r="D676" s="68"/>
      <c r="E676" s="68"/>
      <c r="F676" s="68"/>
      <c r="G676" s="68"/>
      <c r="H676" s="68"/>
      <c r="I676" s="68"/>
      <c r="J676" s="68"/>
      <c r="K676" s="68"/>
      <c r="L676" s="68"/>
      <c r="N676" s="75"/>
    </row>
    <row r="677" spans="1:14" ht="12.5" x14ac:dyDescent="0.25">
      <c r="A677" s="14"/>
      <c r="C677" s="68"/>
      <c r="D677" s="68"/>
      <c r="E677" s="68"/>
      <c r="F677" s="68"/>
      <c r="G677" s="68"/>
      <c r="H677" s="68"/>
      <c r="I677" s="68"/>
      <c r="J677" s="68"/>
      <c r="K677" s="68"/>
      <c r="L677" s="68"/>
      <c r="N677" s="75"/>
    </row>
    <row r="678" spans="1:14" ht="12.5" x14ac:dyDescent="0.25">
      <c r="A678" s="14"/>
      <c r="C678" s="68"/>
      <c r="D678" s="68"/>
      <c r="E678" s="68"/>
      <c r="F678" s="68"/>
      <c r="G678" s="68"/>
      <c r="H678" s="68"/>
      <c r="I678" s="68"/>
      <c r="J678" s="68"/>
      <c r="K678" s="68"/>
      <c r="L678" s="68"/>
      <c r="N678" s="75"/>
    </row>
    <row r="679" spans="1:14" ht="12.5" x14ac:dyDescent="0.25">
      <c r="A679" s="14"/>
      <c r="C679" s="68"/>
      <c r="D679" s="68"/>
      <c r="E679" s="68"/>
      <c r="F679" s="68"/>
      <c r="G679" s="68"/>
      <c r="H679" s="68"/>
      <c r="I679" s="68"/>
      <c r="J679" s="68"/>
      <c r="K679" s="68"/>
      <c r="L679" s="68"/>
      <c r="N679" s="75"/>
    </row>
    <row r="680" spans="1:14" ht="12.5" x14ac:dyDescent="0.25">
      <c r="A680" s="14"/>
      <c r="C680" s="68"/>
      <c r="D680" s="68"/>
      <c r="E680" s="68"/>
      <c r="F680" s="68"/>
      <c r="G680" s="68"/>
      <c r="H680" s="68"/>
      <c r="I680" s="68"/>
      <c r="J680" s="68"/>
      <c r="K680" s="68"/>
      <c r="L680" s="68"/>
      <c r="N680" s="75"/>
    </row>
    <row r="681" spans="1:14" ht="12.5" x14ac:dyDescent="0.25">
      <c r="A681" s="14"/>
      <c r="C681" s="68"/>
      <c r="D681" s="68"/>
      <c r="E681" s="68"/>
      <c r="F681" s="68"/>
      <c r="G681" s="68"/>
      <c r="H681" s="68"/>
      <c r="I681" s="68"/>
      <c r="J681" s="68"/>
      <c r="K681" s="68"/>
      <c r="L681" s="68"/>
      <c r="N681" s="75"/>
    </row>
    <row r="682" spans="1:14" ht="12.5" x14ac:dyDescent="0.25">
      <c r="A682" s="14"/>
      <c r="C682" s="68"/>
      <c r="D682" s="68"/>
      <c r="E682" s="68"/>
      <c r="F682" s="68"/>
      <c r="G682" s="68"/>
      <c r="H682" s="68"/>
      <c r="I682" s="68"/>
      <c r="J682" s="68"/>
      <c r="K682" s="68"/>
      <c r="L682" s="68"/>
      <c r="N682" s="75"/>
    </row>
    <row r="683" spans="1:14" ht="12.5" x14ac:dyDescent="0.25">
      <c r="A683" s="14"/>
      <c r="C683" s="68"/>
      <c r="D683" s="68"/>
      <c r="E683" s="68"/>
      <c r="F683" s="68"/>
      <c r="G683" s="68"/>
      <c r="H683" s="68"/>
      <c r="I683" s="68"/>
      <c r="J683" s="68"/>
      <c r="K683" s="68"/>
      <c r="L683" s="68"/>
      <c r="N683" s="75"/>
    </row>
    <row r="684" spans="1:14" ht="12.5" x14ac:dyDescent="0.25">
      <c r="A684" s="14"/>
      <c r="C684" s="68"/>
      <c r="D684" s="68"/>
      <c r="E684" s="68"/>
      <c r="F684" s="68"/>
      <c r="G684" s="68"/>
      <c r="H684" s="68"/>
      <c r="I684" s="68"/>
      <c r="J684" s="68"/>
      <c r="K684" s="68"/>
      <c r="L684" s="68"/>
      <c r="N684" s="75"/>
    </row>
    <row r="685" spans="1:14" ht="12.5" x14ac:dyDescent="0.25">
      <c r="A685" s="14"/>
      <c r="C685" s="68"/>
      <c r="D685" s="68"/>
      <c r="E685" s="68"/>
      <c r="F685" s="68"/>
      <c r="G685" s="68"/>
      <c r="H685" s="68"/>
      <c r="I685" s="68"/>
      <c r="J685" s="68"/>
      <c r="K685" s="68"/>
      <c r="L685" s="68"/>
      <c r="N685" s="75"/>
    </row>
    <row r="686" spans="1:14" ht="12.5" x14ac:dyDescent="0.25">
      <c r="A686" s="14"/>
      <c r="C686" s="68"/>
      <c r="D686" s="68"/>
      <c r="E686" s="68"/>
      <c r="F686" s="68"/>
      <c r="G686" s="68"/>
      <c r="H686" s="68"/>
      <c r="I686" s="68"/>
      <c r="J686" s="68"/>
      <c r="K686" s="68"/>
      <c r="L686" s="68"/>
      <c r="N686" s="75"/>
    </row>
    <row r="687" spans="1:14" ht="12.5" x14ac:dyDescent="0.25">
      <c r="A687" s="14"/>
      <c r="C687" s="68"/>
      <c r="D687" s="68"/>
      <c r="E687" s="68"/>
      <c r="F687" s="68"/>
      <c r="G687" s="68"/>
      <c r="H687" s="68"/>
      <c r="I687" s="68"/>
      <c r="J687" s="68"/>
      <c r="K687" s="68"/>
      <c r="L687" s="68"/>
      <c r="N687" s="75"/>
    </row>
    <row r="688" spans="1:14" ht="12.5" x14ac:dyDescent="0.25">
      <c r="A688" s="14"/>
      <c r="C688" s="68"/>
      <c r="D688" s="68"/>
      <c r="E688" s="68"/>
      <c r="F688" s="68"/>
      <c r="G688" s="68"/>
      <c r="H688" s="68"/>
      <c r="I688" s="68"/>
      <c r="J688" s="68"/>
      <c r="K688" s="68"/>
      <c r="L688" s="68"/>
      <c r="N688" s="75"/>
    </row>
    <row r="689" spans="1:14" ht="12.5" x14ac:dyDescent="0.25">
      <c r="A689" s="14"/>
      <c r="C689" s="68"/>
      <c r="D689" s="68"/>
      <c r="E689" s="68"/>
      <c r="F689" s="68"/>
      <c r="G689" s="68"/>
      <c r="H689" s="68"/>
      <c r="I689" s="68"/>
      <c r="J689" s="68"/>
      <c r="K689" s="68"/>
      <c r="L689" s="68"/>
      <c r="N689" s="75"/>
    </row>
    <row r="690" spans="1:14" ht="12.5" x14ac:dyDescent="0.25">
      <c r="A690" s="14"/>
      <c r="C690" s="68"/>
      <c r="D690" s="68"/>
      <c r="E690" s="68"/>
      <c r="F690" s="68"/>
      <c r="G690" s="68"/>
      <c r="H690" s="68"/>
      <c r="I690" s="68"/>
      <c r="J690" s="68"/>
      <c r="K690" s="68"/>
      <c r="L690" s="68"/>
      <c r="N690" s="75"/>
    </row>
    <row r="691" spans="1:14" ht="12.5" x14ac:dyDescent="0.25">
      <c r="A691" s="14"/>
      <c r="C691" s="68"/>
      <c r="D691" s="68"/>
      <c r="E691" s="68"/>
      <c r="F691" s="68"/>
      <c r="G691" s="68"/>
      <c r="H691" s="68"/>
      <c r="I691" s="68"/>
      <c r="J691" s="68"/>
      <c r="K691" s="68"/>
      <c r="L691" s="68"/>
      <c r="N691" s="75"/>
    </row>
    <row r="692" spans="1:14" ht="12.5" x14ac:dyDescent="0.25">
      <c r="A692" s="14"/>
      <c r="C692" s="68"/>
      <c r="D692" s="68"/>
      <c r="E692" s="68"/>
      <c r="F692" s="68"/>
      <c r="G692" s="68"/>
      <c r="H692" s="68"/>
      <c r="I692" s="68"/>
      <c r="J692" s="68"/>
      <c r="K692" s="68"/>
      <c r="L692" s="68"/>
      <c r="N692" s="75"/>
    </row>
    <row r="693" spans="1:14" ht="12.5" x14ac:dyDescent="0.25">
      <c r="A693" s="14"/>
      <c r="C693" s="68"/>
      <c r="D693" s="68"/>
      <c r="E693" s="68"/>
      <c r="F693" s="68"/>
      <c r="G693" s="68"/>
      <c r="H693" s="68"/>
      <c r="I693" s="68"/>
      <c r="J693" s="68"/>
      <c r="K693" s="68"/>
      <c r="L693" s="68"/>
      <c r="N693" s="75"/>
    </row>
    <row r="694" spans="1:14" ht="12.5" x14ac:dyDescent="0.25">
      <c r="A694" s="14"/>
      <c r="C694" s="68"/>
      <c r="D694" s="68"/>
      <c r="E694" s="68"/>
      <c r="F694" s="68"/>
      <c r="G694" s="68"/>
      <c r="H694" s="68"/>
      <c r="I694" s="68"/>
      <c r="J694" s="68"/>
      <c r="K694" s="68"/>
      <c r="L694" s="68"/>
      <c r="N694" s="75"/>
    </row>
    <row r="695" spans="1:14" ht="12.5" x14ac:dyDescent="0.25">
      <c r="A695" s="14"/>
      <c r="C695" s="68"/>
      <c r="D695" s="68"/>
      <c r="E695" s="68"/>
      <c r="F695" s="68"/>
      <c r="G695" s="68"/>
      <c r="H695" s="68"/>
      <c r="I695" s="68"/>
      <c r="J695" s="68"/>
      <c r="K695" s="68"/>
      <c r="L695" s="68"/>
      <c r="N695" s="75"/>
    </row>
    <row r="696" spans="1:14" ht="12.5" x14ac:dyDescent="0.25">
      <c r="A696" s="14"/>
      <c r="C696" s="68"/>
      <c r="D696" s="68"/>
      <c r="E696" s="68"/>
      <c r="F696" s="68"/>
      <c r="G696" s="68"/>
      <c r="H696" s="68"/>
      <c r="I696" s="68"/>
      <c r="J696" s="68"/>
      <c r="K696" s="68"/>
      <c r="L696" s="68"/>
      <c r="N696" s="75"/>
    </row>
    <row r="697" spans="1:14" ht="12.5" x14ac:dyDescent="0.25">
      <c r="A697" s="14"/>
      <c r="C697" s="68"/>
      <c r="D697" s="68"/>
      <c r="E697" s="68"/>
      <c r="F697" s="68"/>
      <c r="G697" s="68"/>
      <c r="H697" s="68"/>
      <c r="I697" s="68"/>
      <c r="J697" s="68"/>
      <c r="K697" s="68"/>
      <c r="L697" s="68"/>
      <c r="N697" s="75"/>
    </row>
    <row r="698" spans="1:14" ht="12.5" x14ac:dyDescent="0.25">
      <c r="A698" s="14"/>
      <c r="C698" s="68"/>
      <c r="D698" s="68"/>
      <c r="E698" s="68"/>
      <c r="F698" s="68"/>
      <c r="G698" s="68"/>
      <c r="H698" s="68"/>
      <c r="I698" s="68"/>
      <c r="J698" s="68"/>
      <c r="K698" s="68"/>
      <c r="L698" s="68"/>
      <c r="N698" s="75"/>
    </row>
    <row r="699" spans="1:14" ht="12.5" x14ac:dyDescent="0.25">
      <c r="A699" s="14"/>
      <c r="C699" s="68"/>
      <c r="D699" s="68"/>
      <c r="E699" s="68"/>
      <c r="F699" s="68"/>
      <c r="G699" s="68"/>
      <c r="H699" s="68"/>
      <c r="I699" s="68"/>
      <c r="J699" s="68"/>
      <c r="K699" s="68"/>
      <c r="L699" s="68"/>
      <c r="N699" s="75"/>
    </row>
    <row r="700" spans="1:14" ht="12.5" x14ac:dyDescent="0.25">
      <c r="A700" s="14"/>
      <c r="C700" s="68"/>
      <c r="D700" s="68"/>
      <c r="E700" s="68"/>
      <c r="F700" s="68"/>
      <c r="G700" s="68"/>
      <c r="H700" s="68"/>
      <c r="I700" s="68"/>
      <c r="J700" s="68"/>
      <c r="K700" s="68"/>
      <c r="L700" s="68"/>
      <c r="N700" s="75"/>
    </row>
    <row r="701" spans="1:14" ht="12.5" x14ac:dyDescent="0.25">
      <c r="A701" s="14"/>
      <c r="C701" s="68"/>
      <c r="D701" s="68"/>
      <c r="E701" s="68"/>
      <c r="F701" s="68"/>
      <c r="G701" s="68"/>
      <c r="H701" s="68"/>
      <c r="I701" s="68"/>
      <c r="J701" s="68"/>
      <c r="K701" s="68"/>
      <c r="L701" s="68"/>
      <c r="N701" s="75"/>
    </row>
    <row r="702" spans="1:14" ht="12.5" x14ac:dyDescent="0.25">
      <c r="A702" s="14"/>
      <c r="C702" s="68"/>
      <c r="D702" s="68"/>
      <c r="E702" s="68"/>
      <c r="F702" s="68"/>
      <c r="G702" s="68"/>
      <c r="H702" s="68"/>
      <c r="I702" s="68"/>
      <c r="J702" s="68"/>
      <c r="K702" s="68"/>
      <c r="L702" s="68"/>
      <c r="N702" s="75"/>
    </row>
    <row r="703" spans="1:14" ht="12.5" x14ac:dyDescent="0.25">
      <c r="A703" s="14"/>
      <c r="C703" s="68"/>
      <c r="D703" s="68"/>
      <c r="E703" s="68"/>
      <c r="F703" s="68"/>
      <c r="G703" s="68"/>
      <c r="H703" s="68"/>
      <c r="I703" s="68"/>
      <c r="J703" s="68"/>
      <c r="K703" s="68"/>
      <c r="L703" s="68"/>
      <c r="N703" s="75"/>
    </row>
    <row r="704" spans="1:14" ht="12.5" x14ac:dyDescent="0.25">
      <c r="A704" s="14"/>
      <c r="C704" s="68"/>
      <c r="D704" s="68"/>
      <c r="E704" s="68"/>
      <c r="F704" s="68"/>
      <c r="G704" s="68"/>
      <c r="H704" s="68"/>
      <c r="I704" s="68"/>
      <c r="J704" s="68"/>
      <c r="K704" s="68"/>
      <c r="L704" s="68"/>
      <c r="N704" s="75"/>
    </row>
    <row r="705" spans="1:14" ht="12.5" x14ac:dyDescent="0.25">
      <c r="A705" s="14"/>
      <c r="C705" s="68"/>
      <c r="D705" s="68"/>
      <c r="E705" s="68"/>
      <c r="F705" s="68"/>
      <c r="G705" s="68"/>
      <c r="H705" s="68"/>
      <c r="I705" s="68"/>
      <c r="J705" s="68"/>
      <c r="K705" s="68"/>
      <c r="L705" s="68"/>
      <c r="N705" s="75"/>
    </row>
    <row r="706" spans="1:14" ht="12.5" x14ac:dyDescent="0.25">
      <c r="A706" s="14"/>
      <c r="C706" s="68"/>
      <c r="D706" s="68"/>
      <c r="E706" s="68"/>
      <c r="F706" s="68"/>
      <c r="G706" s="68"/>
      <c r="H706" s="68"/>
      <c r="I706" s="68"/>
      <c r="J706" s="68"/>
      <c r="K706" s="68"/>
      <c r="L706" s="68"/>
      <c r="N706" s="75"/>
    </row>
    <row r="707" spans="1:14" ht="12.5" x14ac:dyDescent="0.25">
      <c r="A707" s="14"/>
      <c r="C707" s="68"/>
      <c r="D707" s="68"/>
      <c r="E707" s="68"/>
      <c r="F707" s="68"/>
      <c r="G707" s="68"/>
      <c r="H707" s="68"/>
      <c r="I707" s="68"/>
      <c r="J707" s="68"/>
      <c r="K707" s="68"/>
      <c r="L707" s="68"/>
      <c r="N707" s="75"/>
    </row>
    <row r="708" spans="1:14" ht="12.5" x14ac:dyDescent="0.25">
      <c r="A708" s="14"/>
      <c r="C708" s="68"/>
      <c r="D708" s="68"/>
      <c r="E708" s="68"/>
      <c r="F708" s="68"/>
      <c r="G708" s="68"/>
      <c r="H708" s="68"/>
      <c r="I708" s="68"/>
      <c r="J708" s="68"/>
      <c r="K708" s="68"/>
      <c r="L708" s="68"/>
      <c r="N708" s="75"/>
    </row>
    <row r="709" spans="1:14" ht="12.5" x14ac:dyDescent="0.25">
      <c r="A709" s="14"/>
      <c r="C709" s="68"/>
      <c r="D709" s="68"/>
      <c r="E709" s="68"/>
      <c r="F709" s="68"/>
      <c r="G709" s="68"/>
      <c r="H709" s="68"/>
      <c r="I709" s="68"/>
      <c r="J709" s="68"/>
      <c r="K709" s="68"/>
      <c r="L709" s="68"/>
      <c r="N709" s="75"/>
    </row>
    <row r="710" spans="1:14" ht="12.5" x14ac:dyDescent="0.25">
      <c r="A710" s="14"/>
      <c r="C710" s="68"/>
      <c r="D710" s="68"/>
      <c r="E710" s="68"/>
      <c r="F710" s="68"/>
      <c r="G710" s="68"/>
      <c r="H710" s="68"/>
      <c r="I710" s="68"/>
      <c r="J710" s="68"/>
      <c r="K710" s="68"/>
      <c r="L710" s="68"/>
      <c r="N710" s="75"/>
    </row>
    <row r="711" spans="1:14" ht="12.5" x14ac:dyDescent="0.25">
      <c r="A711" s="14"/>
      <c r="C711" s="68"/>
      <c r="D711" s="68"/>
      <c r="E711" s="68"/>
      <c r="F711" s="68"/>
      <c r="G711" s="68"/>
      <c r="H711" s="68"/>
      <c r="I711" s="68"/>
      <c r="J711" s="68"/>
      <c r="K711" s="68"/>
      <c r="L711" s="68"/>
      <c r="N711" s="75"/>
    </row>
    <row r="712" spans="1:14" ht="12.5" x14ac:dyDescent="0.25">
      <c r="A712" s="14"/>
      <c r="C712" s="68"/>
      <c r="D712" s="68"/>
      <c r="E712" s="68"/>
      <c r="F712" s="68"/>
      <c r="G712" s="68"/>
      <c r="H712" s="68"/>
      <c r="I712" s="68"/>
      <c r="J712" s="68"/>
      <c r="K712" s="68"/>
      <c r="L712" s="68"/>
      <c r="N712" s="75"/>
    </row>
    <row r="713" spans="1:14" ht="12.5" x14ac:dyDescent="0.25">
      <c r="A713" s="14"/>
      <c r="C713" s="68"/>
      <c r="D713" s="68"/>
      <c r="E713" s="68"/>
      <c r="F713" s="68"/>
      <c r="G713" s="68"/>
      <c r="H713" s="68"/>
      <c r="I713" s="68"/>
      <c r="J713" s="68"/>
      <c r="K713" s="68"/>
      <c r="L713" s="68"/>
      <c r="N713" s="75"/>
    </row>
    <row r="714" spans="1:14" ht="12.5" x14ac:dyDescent="0.25">
      <c r="A714" s="14"/>
      <c r="C714" s="68"/>
      <c r="D714" s="68"/>
      <c r="E714" s="68"/>
      <c r="F714" s="68"/>
      <c r="G714" s="68"/>
      <c r="H714" s="68"/>
      <c r="I714" s="68"/>
      <c r="J714" s="68"/>
      <c r="K714" s="68"/>
      <c r="L714" s="68"/>
      <c r="N714" s="75"/>
    </row>
    <row r="715" spans="1:14" ht="12.5" x14ac:dyDescent="0.25">
      <c r="A715" s="14"/>
      <c r="C715" s="68"/>
      <c r="D715" s="68"/>
      <c r="E715" s="68"/>
      <c r="F715" s="68"/>
      <c r="G715" s="68"/>
      <c r="H715" s="68"/>
      <c r="I715" s="68"/>
      <c r="J715" s="68"/>
      <c r="K715" s="68"/>
      <c r="L715" s="68"/>
      <c r="N715" s="75"/>
    </row>
    <row r="716" spans="1:14" ht="12.5" x14ac:dyDescent="0.25">
      <c r="A716" s="14"/>
      <c r="C716" s="68"/>
      <c r="D716" s="68"/>
      <c r="E716" s="68"/>
      <c r="F716" s="68"/>
      <c r="G716" s="68"/>
      <c r="H716" s="68"/>
      <c r="I716" s="68"/>
      <c r="J716" s="68"/>
      <c r="K716" s="68"/>
      <c r="L716" s="68"/>
      <c r="N716" s="75"/>
    </row>
    <row r="717" spans="1:14" ht="12.5" x14ac:dyDescent="0.25">
      <c r="A717" s="14"/>
      <c r="C717" s="68"/>
      <c r="D717" s="68"/>
      <c r="E717" s="68"/>
      <c r="F717" s="68"/>
      <c r="G717" s="68"/>
      <c r="H717" s="68"/>
      <c r="I717" s="68"/>
      <c r="J717" s="68"/>
      <c r="K717" s="68"/>
      <c r="L717" s="68"/>
      <c r="N717" s="75"/>
    </row>
    <row r="718" spans="1:14" ht="12.5" x14ac:dyDescent="0.25">
      <c r="A718" s="14"/>
      <c r="C718" s="68"/>
      <c r="D718" s="68"/>
      <c r="E718" s="68"/>
      <c r="F718" s="68"/>
      <c r="G718" s="68"/>
      <c r="H718" s="68"/>
      <c r="I718" s="68"/>
      <c r="J718" s="68"/>
      <c r="K718" s="68"/>
      <c r="L718" s="68"/>
      <c r="N718" s="75"/>
    </row>
    <row r="719" spans="1:14" ht="12.5" x14ac:dyDescent="0.25">
      <c r="A719" s="14"/>
      <c r="C719" s="68"/>
      <c r="D719" s="68"/>
      <c r="E719" s="68"/>
      <c r="F719" s="68"/>
      <c r="G719" s="68"/>
      <c r="H719" s="68"/>
      <c r="I719" s="68"/>
      <c r="J719" s="68"/>
      <c r="K719" s="68"/>
      <c r="L719" s="68"/>
      <c r="N719" s="75"/>
    </row>
    <row r="720" spans="1:14" ht="12.5" x14ac:dyDescent="0.25">
      <c r="A720" s="14"/>
      <c r="C720" s="68"/>
      <c r="D720" s="68"/>
      <c r="E720" s="68"/>
      <c r="F720" s="68"/>
      <c r="G720" s="68"/>
      <c r="H720" s="68"/>
      <c r="I720" s="68"/>
      <c r="J720" s="68"/>
      <c r="K720" s="68"/>
      <c r="L720" s="68"/>
      <c r="N720" s="75"/>
    </row>
    <row r="721" spans="1:14" ht="12.5" x14ac:dyDescent="0.25">
      <c r="A721" s="14"/>
      <c r="C721" s="68"/>
      <c r="D721" s="68"/>
      <c r="E721" s="68"/>
      <c r="F721" s="68"/>
      <c r="G721" s="68"/>
      <c r="H721" s="68"/>
      <c r="I721" s="68"/>
      <c r="J721" s="68"/>
      <c r="K721" s="68"/>
      <c r="L721" s="68"/>
      <c r="N721" s="75"/>
    </row>
    <row r="722" spans="1:14" ht="12.5" x14ac:dyDescent="0.25">
      <c r="A722" s="14"/>
      <c r="C722" s="68"/>
      <c r="D722" s="68"/>
      <c r="E722" s="68"/>
      <c r="F722" s="68"/>
      <c r="G722" s="68"/>
      <c r="H722" s="68"/>
      <c r="I722" s="68"/>
      <c r="J722" s="68"/>
      <c r="K722" s="68"/>
      <c r="L722" s="68"/>
      <c r="N722" s="75"/>
    </row>
    <row r="723" spans="1:14" ht="12.5" x14ac:dyDescent="0.25">
      <c r="A723" s="14"/>
      <c r="C723" s="68"/>
      <c r="D723" s="68"/>
      <c r="E723" s="68"/>
      <c r="F723" s="68"/>
      <c r="G723" s="68"/>
      <c r="H723" s="68"/>
      <c r="I723" s="68"/>
      <c r="J723" s="68"/>
      <c r="K723" s="68"/>
      <c r="L723" s="68"/>
      <c r="N723" s="75"/>
    </row>
    <row r="724" spans="1:14" ht="12.5" x14ac:dyDescent="0.25">
      <c r="A724" s="14"/>
      <c r="C724" s="68"/>
      <c r="D724" s="68"/>
      <c r="E724" s="68"/>
      <c r="F724" s="68"/>
      <c r="G724" s="68"/>
      <c r="H724" s="68"/>
      <c r="I724" s="68"/>
      <c r="J724" s="68"/>
      <c r="K724" s="68"/>
      <c r="L724" s="68"/>
      <c r="N724" s="75"/>
    </row>
    <row r="725" spans="1:14" ht="12.5" x14ac:dyDescent="0.25">
      <c r="A725" s="14"/>
      <c r="C725" s="68"/>
      <c r="D725" s="68"/>
      <c r="E725" s="68"/>
      <c r="F725" s="68"/>
      <c r="G725" s="68"/>
      <c r="H725" s="68"/>
      <c r="I725" s="68"/>
      <c r="J725" s="68"/>
      <c r="K725" s="68"/>
      <c r="L725" s="68"/>
      <c r="N725" s="75"/>
    </row>
    <row r="726" spans="1:14" ht="12.5" x14ac:dyDescent="0.25">
      <c r="A726" s="14"/>
      <c r="C726" s="68"/>
      <c r="D726" s="68"/>
      <c r="E726" s="68"/>
      <c r="F726" s="68"/>
      <c r="G726" s="68"/>
      <c r="H726" s="68"/>
      <c r="I726" s="68"/>
      <c r="J726" s="68"/>
      <c r="K726" s="68"/>
      <c r="L726" s="68"/>
      <c r="N726" s="75"/>
    </row>
    <row r="727" spans="1:14" ht="12.5" x14ac:dyDescent="0.25">
      <c r="A727" s="14"/>
      <c r="C727" s="68"/>
      <c r="D727" s="68"/>
      <c r="E727" s="68"/>
      <c r="F727" s="68"/>
      <c r="G727" s="68"/>
      <c r="H727" s="68"/>
      <c r="I727" s="68"/>
      <c r="J727" s="68"/>
      <c r="K727" s="68"/>
      <c r="L727" s="68"/>
      <c r="N727" s="75"/>
    </row>
    <row r="728" spans="1:14" ht="12.5" x14ac:dyDescent="0.25">
      <c r="A728" s="14"/>
      <c r="C728" s="68"/>
      <c r="D728" s="68"/>
      <c r="E728" s="68"/>
      <c r="F728" s="68"/>
      <c r="G728" s="68"/>
      <c r="H728" s="68"/>
      <c r="I728" s="68"/>
      <c r="J728" s="68"/>
      <c r="K728" s="68"/>
      <c r="L728" s="68"/>
      <c r="N728" s="75"/>
    </row>
    <row r="729" spans="1:14" ht="12.5" x14ac:dyDescent="0.25">
      <c r="A729" s="14"/>
      <c r="C729" s="68"/>
      <c r="D729" s="68"/>
      <c r="E729" s="68"/>
      <c r="F729" s="68"/>
      <c r="G729" s="68"/>
      <c r="H729" s="68"/>
      <c r="I729" s="68"/>
      <c r="J729" s="68"/>
      <c r="K729" s="68"/>
      <c r="L729" s="68"/>
      <c r="N729" s="75"/>
    </row>
    <row r="730" spans="1:14" ht="12.5" x14ac:dyDescent="0.25">
      <c r="A730" s="14"/>
      <c r="C730" s="68"/>
      <c r="D730" s="68"/>
      <c r="E730" s="68"/>
      <c r="F730" s="68"/>
      <c r="G730" s="68"/>
      <c r="H730" s="68"/>
      <c r="I730" s="68"/>
      <c r="J730" s="68"/>
      <c r="K730" s="68"/>
      <c r="L730" s="68"/>
      <c r="N730" s="75"/>
    </row>
    <row r="731" spans="1:14" ht="12.5" x14ac:dyDescent="0.25">
      <c r="A731" s="14"/>
      <c r="C731" s="68"/>
      <c r="D731" s="68"/>
      <c r="E731" s="68"/>
      <c r="F731" s="68"/>
      <c r="G731" s="68"/>
      <c r="H731" s="68"/>
      <c r="I731" s="68"/>
      <c r="J731" s="68"/>
      <c r="K731" s="68"/>
      <c r="L731" s="68"/>
      <c r="N731" s="75"/>
    </row>
    <row r="732" spans="1:14" ht="12.5" x14ac:dyDescent="0.25">
      <c r="A732" s="14"/>
      <c r="C732" s="68"/>
      <c r="D732" s="68"/>
      <c r="E732" s="68"/>
      <c r="F732" s="68"/>
      <c r="G732" s="68"/>
      <c r="H732" s="68"/>
      <c r="I732" s="68"/>
      <c r="J732" s="68"/>
      <c r="K732" s="68"/>
      <c r="L732" s="68"/>
      <c r="N732" s="75"/>
    </row>
    <row r="733" spans="1:14" ht="12.5" x14ac:dyDescent="0.25">
      <c r="A733" s="14"/>
      <c r="C733" s="68"/>
      <c r="D733" s="68"/>
      <c r="E733" s="68"/>
      <c r="F733" s="68"/>
      <c r="G733" s="68"/>
      <c r="H733" s="68"/>
      <c r="I733" s="68"/>
      <c r="J733" s="68"/>
      <c r="K733" s="68"/>
      <c r="L733" s="68"/>
      <c r="N733" s="75"/>
    </row>
    <row r="734" spans="1:14" ht="12.5" x14ac:dyDescent="0.25">
      <c r="A734" s="14"/>
      <c r="C734" s="68"/>
      <c r="D734" s="68"/>
      <c r="E734" s="68"/>
      <c r="F734" s="68"/>
      <c r="G734" s="68"/>
      <c r="H734" s="68"/>
      <c r="I734" s="68"/>
      <c r="J734" s="68"/>
      <c r="K734" s="68"/>
      <c r="L734" s="68"/>
      <c r="N734" s="75"/>
    </row>
    <row r="735" spans="1:14" ht="12.5" x14ac:dyDescent="0.25">
      <c r="A735" s="14"/>
      <c r="C735" s="68"/>
      <c r="D735" s="68"/>
      <c r="E735" s="68"/>
      <c r="F735" s="68"/>
      <c r="G735" s="68"/>
      <c r="H735" s="68"/>
      <c r="I735" s="68"/>
      <c r="J735" s="68"/>
      <c r="K735" s="68"/>
      <c r="L735" s="68"/>
      <c r="N735" s="75"/>
    </row>
    <row r="736" spans="1:14" ht="12.5" x14ac:dyDescent="0.25">
      <c r="A736" s="14"/>
      <c r="C736" s="68"/>
      <c r="D736" s="68"/>
      <c r="E736" s="68"/>
      <c r="F736" s="68"/>
      <c r="G736" s="68"/>
      <c r="H736" s="68"/>
      <c r="I736" s="68"/>
      <c r="J736" s="68"/>
      <c r="K736" s="68"/>
      <c r="L736" s="68"/>
      <c r="N736" s="75"/>
    </row>
    <row r="737" spans="1:14" ht="12.5" x14ac:dyDescent="0.25">
      <c r="A737" s="14"/>
      <c r="C737" s="68"/>
      <c r="D737" s="68"/>
      <c r="E737" s="68"/>
      <c r="F737" s="68"/>
      <c r="G737" s="68"/>
      <c r="H737" s="68"/>
      <c r="I737" s="68"/>
      <c r="J737" s="68"/>
      <c r="K737" s="68"/>
      <c r="L737" s="68"/>
      <c r="N737" s="75"/>
    </row>
    <row r="738" spans="1:14" ht="12.5" x14ac:dyDescent="0.25">
      <c r="A738" s="14"/>
      <c r="C738" s="68"/>
      <c r="D738" s="68"/>
      <c r="E738" s="68"/>
      <c r="F738" s="68"/>
      <c r="G738" s="68"/>
      <c r="H738" s="68"/>
      <c r="I738" s="68"/>
      <c r="J738" s="68"/>
      <c r="K738" s="68"/>
      <c r="L738" s="68"/>
      <c r="N738" s="75"/>
    </row>
    <row r="739" spans="1:14" ht="12.5" x14ac:dyDescent="0.25">
      <c r="A739" s="14"/>
      <c r="C739" s="68"/>
      <c r="D739" s="68"/>
      <c r="E739" s="68"/>
      <c r="F739" s="68"/>
      <c r="G739" s="68"/>
      <c r="H739" s="68"/>
      <c r="I739" s="68"/>
      <c r="J739" s="68"/>
      <c r="K739" s="68"/>
      <c r="L739" s="68"/>
      <c r="N739" s="75"/>
    </row>
    <row r="740" spans="1:14" ht="12.5" x14ac:dyDescent="0.25">
      <c r="A740" s="14"/>
      <c r="C740" s="68"/>
      <c r="D740" s="68"/>
      <c r="E740" s="68"/>
      <c r="F740" s="68"/>
      <c r="G740" s="68"/>
      <c r="H740" s="68"/>
      <c r="I740" s="68"/>
      <c r="J740" s="68"/>
      <c r="K740" s="68"/>
      <c r="L740" s="68"/>
      <c r="N740" s="75"/>
    </row>
    <row r="741" spans="1:14" ht="12.5" x14ac:dyDescent="0.25">
      <c r="A741" s="14"/>
      <c r="C741" s="68"/>
      <c r="D741" s="68"/>
      <c r="E741" s="68"/>
      <c r="F741" s="68"/>
      <c r="G741" s="68"/>
      <c r="H741" s="68"/>
      <c r="I741" s="68"/>
      <c r="J741" s="68"/>
      <c r="K741" s="68"/>
      <c r="L741" s="68"/>
      <c r="N741" s="75"/>
    </row>
    <row r="742" spans="1:14" ht="12.5" x14ac:dyDescent="0.25">
      <c r="A742" s="14"/>
      <c r="C742" s="68"/>
      <c r="D742" s="68"/>
      <c r="E742" s="68"/>
      <c r="F742" s="68"/>
      <c r="G742" s="68"/>
      <c r="H742" s="68"/>
      <c r="I742" s="68"/>
      <c r="J742" s="68"/>
      <c r="K742" s="68"/>
      <c r="L742" s="68"/>
      <c r="N742" s="75"/>
    </row>
    <row r="743" spans="1:14" ht="12.5" x14ac:dyDescent="0.25">
      <c r="A743" s="14"/>
      <c r="C743" s="68"/>
      <c r="D743" s="68"/>
      <c r="E743" s="68"/>
      <c r="F743" s="68"/>
      <c r="G743" s="68"/>
      <c r="H743" s="68"/>
      <c r="I743" s="68"/>
      <c r="J743" s="68"/>
      <c r="K743" s="68"/>
      <c r="L743" s="68"/>
      <c r="N743" s="75"/>
    </row>
    <row r="744" spans="1:14" ht="12.5" x14ac:dyDescent="0.25">
      <c r="A744" s="14"/>
      <c r="C744" s="68"/>
      <c r="D744" s="68"/>
      <c r="E744" s="68"/>
      <c r="F744" s="68"/>
      <c r="G744" s="68"/>
      <c r="H744" s="68"/>
      <c r="I744" s="68"/>
      <c r="J744" s="68"/>
      <c r="K744" s="68"/>
      <c r="L744" s="68"/>
      <c r="N744" s="75"/>
    </row>
    <row r="745" spans="1:14" ht="12.5" x14ac:dyDescent="0.25">
      <c r="A745" s="14"/>
      <c r="C745" s="68"/>
      <c r="D745" s="68"/>
      <c r="E745" s="68"/>
      <c r="F745" s="68"/>
      <c r="G745" s="68"/>
      <c r="H745" s="68"/>
      <c r="I745" s="68"/>
      <c r="J745" s="68"/>
      <c r="K745" s="68"/>
      <c r="L745" s="68"/>
      <c r="N745" s="75"/>
    </row>
    <row r="746" spans="1:14" ht="12.5" x14ac:dyDescent="0.25">
      <c r="A746" s="14"/>
      <c r="C746" s="68"/>
      <c r="D746" s="68"/>
      <c r="E746" s="68"/>
      <c r="F746" s="68"/>
      <c r="G746" s="68"/>
      <c r="H746" s="68"/>
      <c r="I746" s="68"/>
      <c r="J746" s="68"/>
      <c r="K746" s="68"/>
      <c r="L746" s="68"/>
      <c r="N746" s="75"/>
    </row>
    <row r="747" spans="1:14" ht="12.5" x14ac:dyDescent="0.25">
      <c r="A747" s="14"/>
      <c r="C747" s="68"/>
      <c r="D747" s="68"/>
      <c r="E747" s="68"/>
      <c r="F747" s="68"/>
      <c r="G747" s="68"/>
      <c r="H747" s="68"/>
      <c r="I747" s="68"/>
      <c r="J747" s="68"/>
      <c r="K747" s="68"/>
      <c r="L747" s="68"/>
      <c r="N747" s="75"/>
    </row>
    <row r="748" spans="1:14" ht="12.5" x14ac:dyDescent="0.25">
      <c r="A748" s="14"/>
      <c r="C748" s="68"/>
      <c r="D748" s="68"/>
      <c r="E748" s="68"/>
      <c r="F748" s="68"/>
      <c r="G748" s="68"/>
      <c r="H748" s="68"/>
      <c r="I748" s="68"/>
      <c r="J748" s="68"/>
      <c r="K748" s="68"/>
      <c r="L748" s="68"/>
      <c r="N748" s="75"/>
    </row>
    <row r="749" spans="1:14" ht="12.5" x14ac:dyDescent="0.25">
      <c r="A749" s="14"/>
      <c r="C749" s="68"/>
      <c r="D749" s="68"/>
      <c r="E749" s="68"/>
      <c r="F749" s="68"/>
      <c r="G749" s="68"/>
      <c r="H749" s="68"/>
      <c r="I749" s="68"/>
      <c r="J749" s="68"/>
      <c r="K749" s="68"/>
      <c r="L749" s="68"/>
      <c r="N749" s="75"/>
    </row>
    <row r="750" spans="1:14" ht="12.5" x14ac:dyDescent="0.25">
      <c r="A750" s="14"/>
      <c r="C750" s="68"/>
      <c r="D750" s="68"/>
      <c r="E750" s="68"/>
      <c r="F750" s="68"/>
      <c r="G750" s="68"/>
      <c r="H750" s="68"/>
      <c r="I750" s="68"/>
      <c r="J750" s="68"/>
      <c r="K750" s="68"/>
      <c r="L750" s="68"/>
      <c r="N750" s="75"/>
    </row>
    <row r="751" spans="1:14" ht="12.5" x14ac:dyDescent="0.25">
      <c r="A751" s="14"/>
      <c r="C751" s="68"/>
      <c r="D751" s="68"/>
      <c r="E751" s="68"/>
      <c r="F751" s="68"/>
      <c r="G751" s="68"/>
      <c r="H751" s="68"/>
      <c r="I751" s="68"/>
      <c r="J751" s="68"/>
      <c r="K751" s="68"/>
      <c r="L751" s="68"/>
      <c r="N751" s="75"/>
    </row>
    <row r="752" spans="1:14" ht="12.5" x14ac:dyDescent="0.25">
      <c r="A752" s="14"/>
      <c r="C752" s="68"/>
      <c r="D752" s="68"/>
      <c r="E752" s="68"/>
      <c r="F752" s="68"/>
      <c r="G752" s="68"/>
      <c r="H752" s="68"/>
      <c r="I752" s="68"/>
      <c r="J752" s="68"/>
      <c r="K752" s="68"/>
      <c r="L752" s="68"/>
      <c r="N752" s="75"/>
    </row>
    <row r="753" spans="1:14" ht="12.5" x14ac:dyDescent="0.25">
      <c r="A753" s="14"/>
      <c r="C753" s="68"/>
      <c r="D753" s="68"/>
      <c r="E753" s="68"/>
      <c r="F753" s="68"/>
      <c r="G753" s="68"/>
      <c r="H753" s="68"/>
      <c r="I753" s="68"/>
      <c r="J753" s="68"/>
      <c r="K753" s="68"/>
      <c r="L753" s="68"/>
      <c r="N753" s="75"/>
    </row>
    <row r="754" spans="1:14" ht="12.5" x14ac:dyDescent="0.25">
      <c r="A754" s="14"/>
      <c r="C754" s="68"/>
      <c r="D754" s="68"/>
      <c r="E754" s="68"/>
      <c r="F754" s="68"/>
      <c r="G754" s="68"/>
      <c r="H754" s="68"/>
      <c r="I754" s="68"/>
      <c r="J754" s="68"/>
      <c r="K754" s="68"/>
      <c r="L754" s="68"/>
      <c r="N754" s="75"/>
    </row>
    <row r="755" spans="1:14" ht="12.5" x14ac:dyDescent="0.25">
      <c r="A755" s="14"/>
      <c r="C755" s="68"/>
      <c r="D755" s="68"/>
      <c r="E755" s="68"/>
      <c r="F755" s="68"/>
      <c r="G755" s="68"/>
      <c r="H755" s="68"/>
      <c r="I755" s="68"/>
      <c r="J755" s="68"/>
      <c r="K755" s="68"/>
      <c r="L755" s="68"/>
      <c r="N755" s="75"/>
    </row>
    <row r="756" spans="1:14" ht="12.5" x14ac:dyDescent="0.25">
      <c r="A756" s="14"/>
      <c r="C756" s="68"/>
      <c r="D756" s="68"/>
      <c r="E756" s="68"/>
      <c r="F756" s="68"/>
      <c r="G756" s="68"/>
      <c r="H756" s="68"/>
      <c r="I756" s="68"/>
      <c r="J756" s="68"/>
      <c r="K756" s="68"/>
      <c r="L756" s="68"/>
      <c r="N756" s="75"/>
    </row>
    <row r="757" spans="1:14" ht="12.5" x14ac:dyDescent="0.25">
      <c r="A757" s="14"/>
      <c r="C757" s="68"/>
      <c r="D757" s="68"/>
      <c r="E757" s="68"/>
      <c r="F757" s="68"/>
      <c r="G757" s="68"/>
      <c r="H757" s="68"/>
      <c r="I757" s="68"/>
      <c r="J757" s="68"/>
      <c r="K757" s="68"/>
      <c r="L757" s="68"/>
      <c r="N757" s="75"/>
    </row>
    <row r="758" spans="1:14" ht="12.5" x14ac:dyDescent="0.25">
      <c r="A758" s="14"/>
      <c r="C758" s="68"/>
      <c r="D758" s="68"/>
      <c r="E758" s="68"/>
      <c r="F758" s="68"/>
      <c r="G758" s="68"/>
      <c r="H758" s="68"/>
      <c r="I758" s="68"/>
      <c r="J758" s="68"/>
      <c r="K758" s="68"/>
      <c r="L758" s="68"/>
      <c r="N758" s="75"/>
    </row>
    <row r="759" spans="1:14" ht="12.5" x14ac:dyDescent="0.25">
      <c r="A759" s="14"/>
      <c r="C759" s="68"/>
      <c r="D759" s="68"/>
      <c r="E759" s="68"/>
      <c r="F759" s="68"/>
      <c r="G759" s="68"/>
      <c r="H759" s="68"/>
      <c r="I759" s="68"/>
      <c r="J759" s="68"/>
      <c r="K759" s="68"/>
      <c r="L759" s="68"/>
      <c r="N759" s="75"/>
    </row>
    <row r="760" spans="1:14" ht="12.5" x14ac:dyDescent="0.25">
      <c r="A760" s="14"/>
      <c r="C760" s="68"/>
      <c r="D760" s="68"/>
      <c r="E760" s="68"/>
      <c r="F760" s="68"/>
      <c r="G760" s="68"/>
      <c r="H760" s="68"/>
      <c r="I760" s="68"/>
      <c r="J760" s="68"/>
      <c r="K760" s="68"/>
      <c r="L760" s="68"/>
      <c r="N760" s="75"/>
    </row>
    <row r="761" spans="1:14" ht="12.5" x14ac:dyDescent="0.25">
      <c r="A761" s="14"/>
      <c r="C761" s="68"/>
      <c r="D761" s="68"/>
      <c r="E761" s="68"/>
      <c r="F761" s="68"/>
      <c r="G761" s="68"/>
      <c r="H761" s="68"/>
      <c r="I761" s="68"/>
      <c r="J761" s="68"/>
      <c r="K761" s="68"/>
      <c r="L761" s="68"/>
      <c r="N761" s="75"/>
    </row>
    <row r="762" spans="1:14" ht="12.5" x14ac:dyDescent="0.25">
      <c r="A762" s="14"/>
      <c r="C762" s="68"/>
      <c r="D762" s="68"/>
      <c r="E762" s="68"/>
      <c r="F762" s="68"/>
      <c r="G762" s="68"/>
      <c r="H762" s="68"/>
      <c r="I762" s="68"/>
      <c r="J762" s="68"/>
      <c r="K762" s="68"/>
      <c r="L762" s="68"/>
      <c r="N762" s="75"/>
    </row>
    <row r="763" spans="1:14" ht="12.5" x14ac:dyDescent="0.25">
      <c r="A763" s="14"/>
      <c r="C763" s="68"/>
      <c r="D763" s="68"/>
      <c r="E763" s="68"/>
      <c r="F763" s="68"/>
      <c r="G763" s="68"/>
      <c r="H763" s="68"/>
      <c r="I763" s="68"/>
      <c r="J763" s="68"/>
      <c r="K763" s="68"/>
      <c r="L763" s="68"/>
      <c r="N763" s="75"/>
    </row>
    <row r="764" spans="1:14" ht="12.5" x14ac:dyDescent="0.25">
      <c r="A764" s="14"/>
      <c r="C764" s="68"/>
      <c r="D764" s="68"/>
      <c r="E764" s="68"/>
      <c r="F764" s="68"/>
      <c r="G764" s="68"/>
      <c r="H764" s="68"/>
      <c r="I764" s="68"/>
      <c r="J764" s="68"/>
      <c r="K764" s="68"/>
      <c r="L764" s="68"/>
      <c r="N764" s="75"/>
    </row>
    <row r="765" spans="1:14" ht="12.5" x14ac:dyDescent="0.25">
      <c r="A765" s="14"/>
      <c r="C765" s="68"/>
      <c r="D765" s="68"/>
      <c r="E765" s="68"/>
      <c r="F765" s="68"/>
      <c r="G765" s="68"/>
      <c r="H765" s="68"/>
      <c r="I765" s="68"/>
      <c r="J765" s="68"/>
      <c r="K765" s="68"/>
      <c r="L765" s="68"/>
      <c r="N765" s="75"/>
    </row>
    <row r="766" spans="1:14" ht="12.5" x14ac:dyDescent="0.25">
      <c r="A766" s="14"/>
      <c r="C766" s="68"/>
      <c r="D766" s="68"/>
      <c r="E766" s="68"/>
      <c r="F766" s="68"/>
      <c r="G766" s="68"/>
      <c r="H766" s="68"/>
      <c r="I766" s="68"/>
      <c r="J766" s="68"/>
      <c r="K766" s="68"/>
      <c r="L766" s="68"/>
      <c r="N766" s="75"/>
    </row>
    <row r="767" spans="1:14" ht="12.5" x14ac:dyDescent="0.25">
      <c r="A767" s="14"/>
      <c r="C767" s="68"/>
      <c r="D767" s="68"/>
      <c r="E767" s="68"/>
      <c r="F767" s="68"/>
      <c r="G767" s="68"/>
      <c r="H767" s="68"/>
      <c r="I767" s="68"/>
      <c r="J767" s="68"/>
      <c r="K767" s="68"/>
      <c r="L767" s="68"/>
      <c r="N767" s="75"/>
    </row>
    <row r="768" spans="1:14" ht="12.5" x14ac:dyDescent="0.25">
      <c r="A768" s="14"/>
      <c r="C768" s="68"/>
      <c r="D768" s="68"/>
      <c r="E768" s="68"/>
      <c r="F768" s="68"/>
      <c r="G768" s="68"/>
      <c r="H768" s="68"/>
      <c r="I768" s="68"/>
      <c r="J768" s="68"/>
      <c r="K768" s="68"/>
      <c r="L768" s="68"/>
      <c r="N768" s="75"/>
    </row>
    <row r="769" spans="1:14" ht="12.5" x14ac:dyDescent="0.25">
      <c r="A769" s="14"/>
      <c r="C769" s="68"/>
      <c r="D769" s="68"/>
      <c r="E769" s="68"/>
      <c r="F769" s="68"/>
      <c r="G769" s="68"/>
      <c r="H769" s="68"/>
      <c r="I769" s="68"/>
      <c r="J769" s="68"/>
      <c r="K769" s="68"/>
      <c r="L769" s="68"/>
      <c r="N769" s="75"/>
    </row>
    <row r="770" spans="1:14" ht="12.5" x14ac:dyDescent="0.25">
      <c r="A770" s="14"/>
      <c r="C770" s="68"/>
      <c r="D770" s="68"/>
      <c r="E770" s="68"/>
      <c r="F770" s="68"/>
      <c r="G770" s="68"/>
      <c r="H770" s="68"/>
      <c r="I770" s="68"/>
      <c r="J770" s="68"/>
      <c r="K770" s="68"/>
      <c r="L770" s="68"/>
      <c r="N770" s="75"/>
    </row>
    <row r="771" spans="1:14" ht="12.5" x14ac:dyDescent="0.25">
      <c r="A771" s="14"/>
      <c r="C771" s="68"/>
      <c r="D771" s="68"/>
      <c r="E771" s="68"/>
      <c r="F771" s="68"/>
      <c r="G771" s="68"/>
      <c r="H771" s="68"/>
      <c r="I771" s="68"/>
      <c r="J771" s="68"/>
      <c r="K771" s="68"/>
      <c r="L771" s="68"/>
      <c r="N771" s="75"/>
    </row>
    <row r="772" spans="1:14" ht="12.5" x14ac:dyDescent="0.25">
      <c r="A772" s="14"/>
      <c r="C772" s="68"/>
      <c r="D772" s="68"/>
      <c r="E772" s="68"/>
      <c r="F772" s="68"/>
      <c r="G772" s="68"/>
      <c r="H772" s="68"/>
      <c r="I772" s="68"/>
      <c r="J772" s="68"/>
      <c r="K772" s="68"/>
      <c r="L772" s="68"/>
      <c r="N772" s="75"/>
    </row>
    <row r="773" spans="1:14" ht="12.5" x14ac:dyDescent="0.25">
      <c r="A773" s="14"/>
      <c r="C773" s="68"/>
      <c r="D773" s="68"/>
      <c r="E773" s="68"/>
      <c r="F773" s="68"/>
      <c r="G773" s="68"/>
      <c r="H773" s="68"/>
      <c r="I773" s="68"/>
      <c r="J773" s="68"/>
      <c r="K773" s="68"/>
      <c r="L773" s="68"/>
      <c r="N773" s="75"/>
    </row>
    <row r="774" spans="1:14" ht="12.5" x14ac:dyDescent="0.25">
      <c r="A774" s="14"/>
      <c r="C774" s="68"/>
      <c r="D774" s="68"/>
      <c r="E774" s="68"/>
      <c r="F774" s="68"/>
      <c r="G774" s="68"/>
      <c r="H774" s="68"/>
      <c r="I774" s="68"/>
      <c r="J774" s="68"/>
      <c r="K774" s="68"/>
      <c r="L774" s="68"/>
      <c r="N774" s="75"/>
    </row>
    <row r="775" spans="1:14" ht="12.5" x14ac:dyDescent="0.25">
      <c r="A775" s="14"/>
      <c r="C775" s="68"/>
      <c r="D775" s="68"/>
      <c r="E775" s="68"/>
      <c r="F775" s="68"/>
      <c r="G775" s="68"/>
      <c r="H775" s="68"/>
      <c r="I775" s="68"/>
      <c r="J775" s="68"/>
      <c r="K775" s="68"/>
      <c r="L775" s="68"/>
      <c r="N775" s="75"/>
    </row>
    <row r="776" spans="1:14" ht="12.5" x14ac:dyDescent="0.25">
      <c r="A776" s="14"/>
      <c r="C776" s="68"/>
      <c r="D776" s="68"/>
      <c r="E776" s="68"/>
      <c r="F776" s="68"/>
      <c r="G776" s="68"/>
      <c r="H776" s="68"/>
      <c r="I776" s="68"/>
      <c r="J776" s="68"/>
      <c r="K776" s="68"/>
      <c r="L776" s="68"/>
      <c r="N776" s="75"/>
    </row>
    <row r="777" spans="1:14" ht="12.5" x14ac:dyDescent="0.25">
      <c r="A777" s="14"/>
      <c r="C777" s="68"/>
      <c r="D777" s="68"/>
      <c r="E777" s="68"/>
      <c r="F777" s="68"/>
      <c r="G777" s="68"/>
      <c r="H777" s="68"/>
      <c r="I777" s="68"/>
      <c r="J777" s="68"/>
      <c r="K777" s="68"/>
      <c r="L777" s="68"/>
      <c r="N777" s="75"/>
    </row>
    <row r="778" spans="1:14" ht="12.5" x14ac:dyDescent="0.25">
      <c r="A778" s="14"/>
      <c r="C778" s="68"/>
      <c r="D778" s="68"/>
      <c r="E778" s="68"/>
      <c r="F778" s="68"/>
      <c r="G778" s="68"/>
      <c r="H778" s="68"/>
      <c r="I778" s="68"/>
      <c r="J778" s="68"/>
      <c r="K778" s="68"/>
      <c r="L778" s="68"/>
      <c r="N778" s="75"/>
    </row>
    <row r="779" spans="1:14" ht="12.5" x14ac:dyDescent="0.25">
      <c r="A779" s="14"/>
      <c r="C779" s="68"/>
      <c r="D779" s="68"/>
      <c r="E779" s="68"/>
      <c r="F779" s="68"/>
      <c r="G779" s="68"/>
      <c r="H779" s="68"/>
      <c r="I779" s="68"/>
      <c r="J779" s="68"/>
      <c r="K779" s="68"/>
      <c r="L779" s="68"/>
      <c r="N779" s="75"/>
    </row>
    <row r="780" spans="1:14" ht="12.5" x14ac:dyDescent="0.25">
      <c r="A780" s="14"/>
      <c r="C780" s="68"/>
      <c r="D780" s="68"/>
      <c r="E780" s="68"/>
      <c r="F780" s="68"/>
      <c r="G780" s="68"/>
      <c r="H780" s="68"/>
      <c r="I780" s="68"/>
      <c r="J780" s="68"/>
      <c r="K780" s="68"/>
      <c r="L780" s="68"/>
      <c r="N780" s="75"/>
    </row>
    <row r="781" spans="1:14" ht="12.5" x14ac:dyDescent="0.25">
      <c r="A781" s="14"/>
      <c r="C781" s="68"/>
      <c r="D781" s="68"/>
      <c r="E781" s="68"/>
      <c r="F781" s="68"/>
      <c r="G781" s="68"/>
      <c r="H781" s="68"/>
      <c r="I781" s="68"/>
      <c r="J781" s="68"/>
      <c r="K781" s="68"/>
      <c r="L781" s="68"/>
      <c r="N781" s="75"/>
    </row>
    <row r="782" spans="1:14" ht="12.5" x14ac:dyDescent="0.25">
      <c r="A782" s="14"/>
      <c r="C782" s="68"/>
      <c r="D782" s="68"/>
      <c r="E782" s="68"/>
      <c r="F782" s="68"/>
      <c r="G782" s="68"/>
      <c r="H782" s="68"/>
      <c r="I782" s="68"/>
      <c r="J782" s="68"/>
      <c r="K782" s="68"/>
      <c r="L782" s="68"/>
      <c r="N782" s="75"/>
    </row>
    <row r="783" spans="1:14" ht="12.5" x14ac:dyDescent="0.25">
      <c r="A783" s="14"/>
      <c r="C783" s="68"/>
      <c r="D783" s="68"/>
      <c r="E783" s="68"/>
      <c r="F783" s="68"/>
      <c r="G783" s="68"/>
      <c r="H783" s="68"/>
      <c r="I783" s="68"/>
      <c r="J783" s="68"/>
      <c r="K783" s="68"/>
      <c r="L783" s="68"/>
      <c r="N783" s="75"/>
    </row>
    <row r="784" spans="1:14" ht="12.5" x14ac:dyDescent="0.25">
      <c r="A784" s="14"/>
      <c r="C784" s="68"/>
      <c r="D784" s="68"/>
      <c r="E784" s="68"/>
      <c r="F784" s="68"/>
      <c r="G784" s="68"/>
      <c r="H784" s="68"/>
      <c r="I784" s="68"/>
      <c r="J784" s="68"/>
      <c r="K784" s="68"/>
      <c r="L784" s="68"/>
      <c r="N784" s="75"/>
    </row>
    <row r="785" spans="1:14" ht="12.5" x14ac:dyDescent="0.25">
      <c r="A785" s="14"/>
      <c r="C785" s="68"/>
      <c r="D785" s="68"/>
      <c r="E785" s="68"/>
      <c r="F785" s="68"/>
      <c r="G785" s="68"/>
      <c r="H785" s="68"/>
      <c r="I785" s="68"/>
      <c r="J785" s="68"/>
      <c r="K785" s="68"/>
      <c r="L785" s="68"/>
      <c r="N785" s="75"/>
    </row>
    <row r="786" spans="1:14" ht="12.5" x14ac:dyDescent="0.25">
      <c r="A786" s="14"/>
      <c r="C786" s="68"/>
      <c r="D786" s="68"/>
      <c r="E786" s="68"/>
      <c r="F786" s="68"/>
      <c r="G786" s="68"/>
      <c r="H786" s="68"/>
      <c r="I786" s="68"/>
      <c r="J786" s="68"/>
      <c r="K786" s="68"/>
      <c r="L786" s="68"/>
      <c r="N786" s="75"/>
    </row>
    <row r="787" spans="1:14" ht="12.5" x14ac:dyDescent="0.25">
      <c r="A787" s="14"/>
      <c r="C787" s="68"/>
      <c r="D787" s="68"/>
      <c r="E787" s="68"/>
      <c r="F787" s="68"/>
      <c r="G787" s="68"/>
      <c r="H787" s="68"/>
      <c r="I787" s="68"/>
      <c r="J787" s="68"/>
      <c r="K787" s="68"/>
      <c r="L787" s="68"/>
      <c r="N787" s="75"/>
    </row>
    <row r="788" spans="1:14" ht="12.5" x14ac:dyDescent="0.25">
      <c r="A788" s="14"/>
      <c r="C788" s="68"/>
      <c r="D788" s="68"/>
      <c r="E788" s="68"/>
      <c r="F788" s="68"/>
      <c r="G788" s="68"/>
      <c r="H788" s="68"/>
      <c r="I788" s="68"/>
      <c r="J788" s="68"/>
      <c r="K788" s="68"/>
      <c r="L788" s="68"/>
      <c r="N788" s="75"/>
    </row>
    <row r="789" spans="1:14" ht="12.5" x14ac:dyDescent="0.25">
      <c r="A789" s="14"/>
      <c r="C789" s="68"/>
      <c r="D789" s="68"/>
      <c r="E789" s="68"/>
      <c r="F789" s="68"/>
      <c r="G789" s="68"/>
      <c r="H789" s="68"/>
      <c r="I789" s="68"/>
      <c r="J789" s="68"/>
      <c r="K789" s="68"/>
      <c r="L789" s="68"/>
      <c r="N789" s="75"/>
    </row>
    <row r="790" spans="1:14" ht="12.5" x14ac:dyDescent="0.25">
      <c r="A790" s="14"/>
      <c r="C790" s="68"/>
      <c r="D790" s="68"/>
      <c r="E790" s="68"/>
      <c r="F790" s="68"/>
      <c r="G790" s="68"/>
      <c r="H790" s="68"/>
      <c r="I790" s="68"/>
      <c r="J790" s="68"/>
      <c r="K790" s="68"/>
      <c r="L790" s="68"/>
      <c r="N790" s="75"/>
    </row>
    <row r="791" spans="1:14" ht="12.5" x14ac:dyDescent="0.25">
      <c r="A791" s="14"/>
      <c r="C791" s="68"/>
      <c r="D791" s="68"/>
      <c r="E791" s="68"/>
      <c r="F791" s="68"/>
      <c r="G791" s="68"/>
      <c r="H791" s="68"/>
      <c r="I791" s="68"/>
      <c r="J791" s="68"/>
      <c r="K791" s="68"/>
      <c r="L791" s="68"/>
      <c r="N791" s="75"/>
    </row>
    <row r="792" spans="1:14" ht="12.5" x14ac:dyDescent="0.25">
      <c r="A792" s="14"/>
      <c r="C792" s="68"/>
      <c r="D792" s="68"/>
      <c r="E792" s="68"/>
      <c r="F792" s="68"/>
      <c r="G792" s="68"/>
      <c r="H792" s="68"/>
      <c r="I792" s="68"/>
      <c r="J792" s="68"/>
      <c r="K792" s="68"/>
      <c r="L792" s="68"/>
      <c r="N792" s="75"/>
    </row>
    <row r="793" spans="1:14" ht="12.5" x14ac:dyDescent="0.25">
      <c r="A793" s="14"/>
      <c r="C793" s="68"/>
      <c r="D793" s="68"/>
      <c r="E793" s="68"/>
      <c r="F793" s="68"/>
      <c r="G793" s="68"/>
      <c r="H793" s="68"/>
      <c r="I793" s="68"/>
      <c r="J793" s="68"/>
      <c r="K793" s="68"/>
      <c r="L793" s="68"/>
      <c r="N793" s="75"/>
    </row>
    <row r="794" spans="1:14" ht="12.5" x14ac:dyDescent="0.25">
      <c r="A794" s="14"/>
      <c r="C794" s="68"/>
      <c r="D794" s="68"/>
      <c r="E794" s="68"/>
      <c r="F794" s="68"/>
      <c r="G794" s="68"/>
      <c r="H794" s="68"/>
      <c r="I794" s="68"/>
      <c r="J794" s="68"/>
      <c r="K794" s="68"/>
      <c r="L794" s="68"/>
      <c r="N794" s="75"/>
    </row>
    <row r="795" spans="1:14" ht="12.5" x14ac:dyDescent="0.25">
      <c r="A795" s="14"/>
      <c r="C795" s="68"/>
      <c r="D795" s="68"/>
      <c r="E795" s="68"/>
      <c r="F795" s="68"/>
      <c r="G795" s="68"/>
      <c r="H795" s="68"/>
      <c r="I795" s="68"/>
      <c r="J795" s="68"/>
      <c r="K795" s="68"/>
      <c r="L795" s="68"/>
      <c r="N795" s="75"/>
    </row>
    <row r="796" spans="1:14" ht="12.5" x14ac:dyDescent="0.25">
      <c r="A796" s="14"/>
      <c r="C796" s="68"/>
      <c r="D796" s="68"/>
      <c r="E796" s="68"/>
      <c r="F796" s="68"/>
      <c r="G796" s="68"/>
      <c r="H796" s="68"/>
      <c r="I796" s="68"/>
      <c r="J796" s="68"/>
      <c r="K796" s="68"/>
      <c r="L796" s="68"/>
      <c r="N796" s="75"/>
    </row>
    <row r="797" spans="1:14" ht="12.5" x14ac:dyDescent="0.25">
      <c r="A797" s="14"/>
      <c r="C797" s="68"/>
      <c r="D797" s="68"/>
      <c r="E797" s="68"/>
      <c r="F797" s="68"/>
      <c r="G797" s="68"/>
      <c r="H797" s="68"/>
      <c r="I797" s="68"/>
      <c r="J797" s="68"/>
      <c r="K797" s="68"/>
      <c r="L797" s="68"/>
      <c r="N797" s="75"/>
    </row>
    <row r="798" spans="1:14" ht="12.5" x14ac:dyDescent="0.25">
      <c r="A798" s="14"/>
      <c r="C798" s="68"/>
      <c r="D798" s="68"/>
      <c r="E798" s="68"/>
      <c r="F798" s="68"/>
      <c r="G798" s="68"/>
      <c r="H798" s="68"/>
      <c r="I798" s="68"/>
      <c r="J798" s="68"/>
      <c r="K798" s="68"/>
      <c r="L798" s="68"/>
      <c r="N798" s="75"/>
    </row>
    <row r="799" spans="1:14" ht="12.5" x14ac:dyDescent="0.25">
      <c r="A799" s="14"/>
      <c r="C799" s="68"/>
      <c r="D799" s="68"/>
      <c r="E799" s="68"/>
      <c r="F799" s="68"/>
      <c r="G799" s="68"/>
      <c r="H799" s="68"/>
      <c r="I799" s="68"/>
      <c r="J799" s="68"/>
      <c r="K799" s="68"/>
      <c r="L799" s="68"/>
      <c r="N799" s="75"/>
    </row>
    <row r="800" spans="1:14" ht="12.5" x14ac:dyDescent="0.25">
      <c r="A800" s="14"/>
      <c r="C800" s="68"/>
      <c r="D800" s="68"/>
      <c r="E800" s="68"/>
      <c r="F800" s="68"/>
      <c r="G800" s="68"/>
      <c r="H800" s="68"/>
      <c r="I800" s="68"/>
      <c r="J800" s="68"/>
      <c r="K800" s="68"/>
      <c r="L800" s="68"/>
      <c r="N800" s="75"/>
    </row>
    <row r="801" spans="1:14" ht="12.5" x14ac:dyDescent="0.25">
      <c r="A801" s="14"/>
      <c r="C801" s="68"/>
      <c r="D801" s="68"/>
      <c r="E801" s="68"/>
      <c r="F801" s="68"/>
      <c r="G801" s="68"/>
      <c r="H801" s="68"/>
      <c r="I801" s="68"/>
      <c r="J801" s="68"/>
      <c r="K801" s="68"/>
      <c r="L801" s="68"/>
      <c r="N801" s="75"/>
    </row>
    <row r="802" spans="1:14" ht="12.5" x14ac:dyDescent="0.25">
      <c r="A802" s="14"/>
      <c r="C802" s="68"/>
      <c r="D802" s="68"/>
      <c r="E802" s="68"/>
      <c r="F802" s="68"/>
      <c r="G802" s="68"/>
      <c r="H802" s="68"/>
      <c r="I802" s="68"/>
      <c r="J802" s="68"/>
      <c r="K802" s="68"/>
      <c r="L802" s="68"/>
      <c r="N802" s="75"/>
    </row>
    <row r="803" spans="1:14" ht="12.5" x14ac:dyDescent="0.25">
      <c r="A803" s="14"/>
      <c r="C803" s="68"/>
      <c r="D803" s="68"/>
      <c r="E803" s="68"/>
      <c r="F803" s="68"/>
      <c r="G803" s="68"/>
      <c r="H803" s="68"/>
      <c r="I803" s="68"/>
      <c r="J803" s="68"/>
      <c r="K803" s="68"/>
      <c r="L803" s="68"/>
      <c r="N803" s="75"/>
    </row>
    <row r="804" spans="1:14" ht="12.5" x14ac:dyDescent="0.25">
      <c r="A804" s="14"/>
      <c r="C804" s="68"/>
      <c r="D804" s="68"/>
      <c r="E804" s="68"/>
      <c r="F804" s="68"/>
      <c r="G804" s="68"/>
      <c r="H804" s="68"/>
      <c r="I804" s="68"/>
      <c r="J804" s="68"/>
      <c r="K804" s="68"/>
      <c r="L804" s="68"/>
      <c r="N804" s="75"/>
    </row>
    <row r="805" spans="1:14" ht="12.5" x14ac:dyDescent="0.25">
      <c r="A805" s="14"/>
      <c r="C805" s="68"/>
      <c r="D805" s="68"/>
      <c r="E805" s="68"/>
      <c r="F805" s="68"/>
      <c r="G805" s="68"/>
      <c r="H805" s="68"/>
      <c r="I805" s="68"/>
      <c r="J805" s="68"/>
      <c r="K805" s="68"/>
      <c r="L805" s="68"/>
      <c r="N805" s="75"/>
    </row>
    <row r="806" spans="1:14" ht="12.5" x14ac:dyDescent="0.25">
      <c r="A806" s="14"/>
      <c r="C806" s="68"/>
      <c r="D806" s="68"/>
      <c r="E806" s="68"/>
      <c r="F806" s="68"/>
      <c r="G806" s="68"/>
      <c r="H806" s="68"/>
      <c r="I806" s="68"/>
      <c r="J806" s="68"/>
      <c r="K806" s="68"/>
      <c r="L806" s="68"/>
      <c r="N806" s="75"/>
    </row>
    <row r="807" spans="1:14" ht="12.5" x14ac:dyDescent="0.25">
      <c r="A807" s="14"/>
      <c r="C807" s="68"/>
      <c r="D807" s="68"/>
      <c r="E807" s="68"/>
      <c r="F807" s="68"/>
      <c r="G807" s="68"/>
      <c r="H807" s="68"/>
      <c r="I807" s="68"/>
      <c r="J807" s="68"/>
      <c r="K807" s="68"/>
      <c r="L807" s="68"/>
      <c r="N807" s="75"/>
    </row>
    <row r="808" spans="1:14" ht="12.5" x14ac:dyDescent="0.25">
      <c r="A808" s="14"/>
      <c r="C808" s="68"/>
      <c r="D808" s="68"/>
      <c r="E808" s="68"/>
      <c r="F808" s="68"/>
      <c r="G808" s="68"/>
      <c r="H808" s="68"/>
      <c r="I808" s="68"/>
      <c r="J808" s="68"/>
      <c r="K808" s="68"/>
      <c r="L808" s="68"/>
      <c r="N808" s="75"/>
    </row>
    <row r="809" spans="1:14" ht="12.5" x14ac:dyDescent="0.25">
      <c r="A809" s="14"/>
      <c r="C809" s="68"/>
      <c r="D809" s="68"/>
      <c r="E809" s="68"/>
      <c r="F809" s="68"/>
      <c r="G809" s="68"/>
      <c r="H809" s="68"/>
      <c r="I809" s="68"/>
      <c r="J809" s="68"/>
      <c r="K809" s="68"/>
      <c r="L809" s="68"/>
      <c r="N809" s="75"/>
    </row>
    <row r="810" spans="1:14" ht="12.5" x14ac:dyDescent="0.25">
      <c r="A810" s="14"/>
      <c r="C810" s="68"/>
      <c r="D810" s="68"/>
      <c r="E810" s="68"/>
      <c r="F810" s="68"/>
      <c r="G810" s="68"/>
      <c r="H810" s="68"/>
      <c r="I810" s="68"/>
      <c r="J810" s="68"/>
      <c r="K810" s="68"/>
      <c r="L810" s="68"/>
      <c r="N810" s="75"/>
    </row>
    <row r="811" spans="1:14" ht="12.5" x14ac:dyDescent="0.25">
      <c r="A811" s="14"/>
      <c r="C811" s="68"/>
      <c r="D811" s="68"/>
      <c r="E811" s="68"/>
      <c r="F811" s="68"/>
      <c r="G811" s="68"/>
      <c r="H811" s="68"/>
      <c r="I811" s="68"/>
      <c r="J811" s="68"/>
      <c r="K811" s="68"/>
      <c r="L811" s="68"/>
      <c r="N811" s="75"/>
    </row>
    <row r="812" spans="1:14" ht="12.5" x14ac:dyDescent="0.25">
      <c r="A812" s="14"/>
      <c r="C812" s="68"/>
      <c r="D812" s="68"/>
      <c r="E812" s="68"/>
      <c r="F812" s="68"/>
      <c r="G812" s="68"/>
      <c r="H812" s="68"/>
      <c r="I812" s="68"/>
      <c r="J812" s="68"/>
      <c r="K812" s="68"/>
      <c r="L812" s="68"/>
      <c r="N812" s="75"/>
    </row>
    <row r="813" spans="1:14" ht="12.5" x14ac:dyDescent="0.25">
      <c r="A813" s="14"/>
      <c r="C813" s="68"/>
      <c r="D813" s="68"/>
      <c r="E813" s="68"/>
      <c r="F813" s="68"/>
      <c r="G813" s="68"/>
      <c r="H813" s="68"/>
      <c r="I813" s="68"/>
      <c r="J813" s="68"/>
      <c r="K813" s="68"/>
      <c r="L813" s="68"/>
      <c r="N813" s="75"/>
    </row>
    <row r="814" spans="1:14" ht="12.5" x14ac:dyDescent="0.25">
      <c r="A814" s="14"/>
      <c r="C814" s="68"/>
      <c r="D814" s="68"/>
      <c r="E814" s="68"/>
      <c r="F814" s="68"/>
      <c r="G814" s="68"/>
      <c r="H814" s="68"/>
      <c r="I814" s="68"/>
      <c r="J814" s="68"/>
      <c r="K814" s="68"/>
      <c r="L814" s="68"/>
      <c r="N814" s="75"/>
    </row>
    <row r="815" spans="1:14" ht="12.5" x14ac:dyDescent="0.25">
      <c r="A815" s="14"/>
      <c r="C815" s="68"/>
      <c r="D815" s="68"/>
      <c r="E815" s="68"/>
      <c r="F815" s="68"/>
      <c r="G815" s="68"/>
      <c r="H815" s="68"/>
      <c r="I815" s="68"/>
      <c r="J815" s="68"/>
      <c r="K815" s="68"/>
      <c r="L815" s="68"/>
      <c r="N815" s="75"/>
    </row>
    <row r="816" spans="1:14" ht="12.5" x14ac:dyDescent="0.25">
      <c r="A816" s="14"/>
      <c r="C816" s="68"/>
      <c r="D816" s="68"/>
      <c r="E816" s="68"/>
      <c r="F816" s="68"/>
      <c r="G816" s="68"/>
      <c r="H816" s="68"/>
      <c r="I816" s="68"/>
      <c r="J816" s="68"/>
      <c r="K816" s="68"/>
      <c r="L816" s="68"/>
      <c r="N816" s="75"/>
    </row>
    <row r="817" spans="1:14" ht="12.5" x14ac:dyDescent="0.25">
      <c r="A817" s="14"/>
      <c r="C817" s="68"/>
      <c r="D817" s="68"/>
      <c r="E817" s="68"/>
      <c r="F817" s="68"/>
      <c r="G817" s="68"/>
      <c r="H817" s="68"/>
      <c r="I817" s="68"/>
      <c r="J817" s="68"/>
      <c r="K817" s="68"/>
      <c r="L817" s="68"/>
      <c r="N817" s="75"/>
    </row>
    <row r="818" spans="1:14" ht="12.5" x14ac:dyDescent="0.25">
      <c r="A818" s="14"/>
      <c r="C818" s="68"/>
      <c r="D818" s="68"/>
      <c r="E818" s="68"/>
      <c r="F818" s="68"/>
      <c r="G818" s="68"/>
      <c r="H818" s="68"/>
      <c r="I818" s="68"/>
      <c r="J818" s="68"/>
      <c r="K818" s="68"/>
      <c r="L818" s="68"/>
      <c r="N818" s="75"/>
    </row>
    <row r="819" spans="1:14" ht="12.5" x14ac:dyDescent="0.25">
      <c r="A819" s="14"/>
      <c r="C819" s="68"/>
      <c r="D819" s="68"/>
      <c r="E819" s="68"/>
      <c r="F819" s="68"/>
      <c r="G819" s="68"/>
      <c r="H819" s="68"/>
      <c r="I819" s="68"/>
      <c r="J819" s="68"/>
      <c r="K819" s="68"/>
      <c r="L819" s="68"/>
      <c r="N819" s="75"/>
    </row>
    <row r="820" spans="1:14" ht="12.5" x14ac:dyDescent="0.25">
      <c r="A820" s="14"/>
      <c r="C820" s="68"/>
      <c r="D820" s="68"/>
      <c r="E820" s="68"/>
      <c r="F820" s="68"/>
      <c r="G820" s="68"/>
      <c r="H820" s="68"/>
      <c r="I820" s="68"/>
      <c r="J820" s="68"/>
      <c r="K820" s="68"/>
      <c r="L820" s="68"/>
      <c r="N820" s="75"/>
    </row>
    <row r="821" spans="1:14" ht="12.5" x14ac:dyDescent="0.25">
      <c r="A821" s="14"/>
      <c r="C821" s="68"/>
      <c r="D821" s="68"/>
      <c r="E821" s="68"/>
      <c r="F821" s="68"/>
      <c r="G821" s="68"/>
      <c r="H821" s="68"/>
      <c r="I821" s="68"/>
      <c r="J821" s="68"/>
      <c r="K821" s="68"/>
      <c r="L821" s="68"/>
      <c r="N821" s="75"/>
    </row>
    <row r="822" spans="1:14" ht="12.5" x14ac:dyDescent="0.25">
      <c r="A822" s="14"/>
      <c r="C822" s="68"/>
      <c r="D822" s="68"/>
      <c r="E822" s="68"/>
      <c r="F822" s="68"/>
      <c r="G822" s="68"/>
      <c r="H822" s="68"/>
      <c r="I822" s="68"/>
      <c r="J822" s="68"/>
      <c r="K822" s="68"/>
      <c r="L822" s="68"/>
      <c r="N822" s="75"/>
    </row>
    <row r="823" spans="1:14" ht="12.5" x14ac:dyDescent="0.25">
      <c r="A823" s="14"/>
      <c r="C823" s="68"/>
      <c r="D823" s="68"/>
      <c r="E823" s="68"/>
      <c r="F823" s="68"/>
      <c r="G823" s="68"/>
      <c r="H823" s="68"/>
      <c r="I823" s="68"/>
      <c r="J823" s="68"/>
      <c r="K823" s="68"/>
      <c r="L823" s="68"/>
      <c r="N823" s="75"/>
    </row>
    <row r="824" spans="1:14" ht="12.5" x14ac:dyDescent="0.25">
      <c r="A824" s="14"/>
      <c r="C824" s="68"/>
      <c r="D824" s="68"/>
      <c r="E824" s="68"/>
      <c r="F824" s="68"/>
      <c r="G824" s="68"/>
      <c r="H824" s="68"/>
      <c r="I824" s="68"/>
      <c r="J824" s="68"/>
      <c r="K824" s="68"/>
      <c r="L824" s="68"/>
      <c r="N824" s="75"/>
    </row>
    <row r="825" spans="1:14" ht="12.5" x14ac:dyDescent="0.25">
      <c r="A825" s="14"/>
      <c r="C825" s="68"/>
      <c r="D825" s="68"/>
      <c r="E825" s="68"/>
      <c r="F825" s="68"/>
      <c r="G825" s="68"/>
      <c r="H825" s="68"/>
      <c r="I825" s="68"/>
      <c r="J825" s="68"/>
      <c r="K825" s="68"/>
      <c r="L825" s="68"/>
      <c r="N825" s="75"/>
    </row>
    <row r="826" spans="1:14" ht="12.5" x14ac:dyDescent="0.25">
      <c r="A826" s="14"/>
      <c r="C826" s="68"/>
      <c r="D826" s="68"/>
      <c r="E826" s="68"/>
      <c r="F826" s="68"/>
      <c r="G826" s="68"/>
      <c r="H826" s="68"/>
      <c r="I826" s="68"/>
      <c r="J826" s="68"/>
      <c r="K826" s="68"/>
      <c r="L826" s="68"/>
      <c r="N826" s="75"/>
    </row>
    <row r="827" spans="1:14" ht="12.5" x14ac:dyDescent="0.25">
      <c r="A827" s="14"/>
      <c r="C827" s="68"/>
      <c r="D827" s="68"/>
      <c r="E827" s="68"/>
      <c r="F827" s="68"/>
      <c r="G827" s="68"/>
      <c r="H827" s="68"/>
      <c r="I827" s="68"/>
      <c r="J827" s="68"/>
      <c r="K827" s="68"/>
      <c r="L827" s="68"/>
      <c r="N827" s="75"/>
    </row>
    <row r="828" spans="1:14" ht="12.5" x14ac:dyDescent="0.25">
      <c r="A828" s="14"/>
      <c r="C828" s="68"/>
      <c r="D828" s="68"/>
      <c r="E828" s="68"/>
      <c r="F828" s="68"/>
      <c r="G828" s="68"/>
      <c r="H828" s="68"/>
      <c r="I828" s="68"/>
      <c r="J828" s="68"/>
      <c r="K828" s="68"/>
      <c r="L828" s="68"/>
      <c r="N828" s="75"/>
    </row>
    <row r="829" spans="1:14" ht="12.5" x14ac:dyDescent="0.25">
      <c r="A829" s="14"/>
      <c r="C829" s="68"/>
      <c r="D829" s="68"/>
      <c r="E829" s="68"/>
      <c r="F829" s="68"/>
      <c r="G829" s="68"/>
      <c r="H829" s="68"/>
      <c r="I829" s="68"/>
      <c r="J829" s="68"/>
      <c r="K829" s="68"/>
      <c r="L829" s="68"/>
      <c r="N829" s="75"/>
    </row>
    <row r="830" spans="1:14" ht="12.5" x14ac:dyDescent="0.25">
      <c r="A830" s="14"/>
      <c r="C830" s="68"/>
      <c r="D830" s="68"/>
      <c r="E830" s="68"/>
      <c r="F830" s="68"/>
      <c r="G830" s="68"/>
      <c r="H830" s="68"/>
      <c r="I830" s="68"/>
      <c r="J830" s="68"/>
      <c r="K830" s="68"/>
      <c r="L830" s="68"/>
      <c r="N830" s="75"/>
    </row>
    <row r="831" spans="1:14" ht="12.5" x14ac:dyDescent="0.25">
      <c r="A831" s="14"/>
      <c r="C831" s="68"/>
      <c r="D831" s="68"/>
      <c r="E831" s="68"/>
      <c r="F831" s="68"/>
      <c r="G831" s="68"/>
      <c r="H831" s="68"/>
      <c r="I831" s="68"/>
      <c r="J831" s="68"/>
      <c r="K831" s="68"/>
      <c r="L831" s="68"/>
      <c r="N831" s="75"/>
    </row>
    <row r="832" spans="1:14" ht="12.5" x14ac:dyDescent="0.25">
      <c r="A832" s="14"/>
      <c r="C832" s="68"/>
      <c r="D832" s="68"/>
      <c r="E832" s="68"/>
      <c r="F832" s="68"/>
      <c r="G832" s="68"/>
      <c r="H832" s="68"/>
      <c r="I832" s="68"/>
      <c r="J832" s="68"/>
      <c r="K832" s="68"/>
      <c r="L832" s="68"/>
      <c r="N832" s="75"/>
    </row>
    <row r="833" spans="1:14" ht="12.5" x14ac:dyDescent="0.25">
      <c r="A833" s="14"/>
      <c r="C833" s="68"/>
      <c r="D833" s="68"/>
      <c r="E833" s="68"/>
      <c r="F833" s="68"/>
      <c r="G833" s="68"/>
      <c r="H833" s="68"/>
      <c r="I833" s="68"/>
      <c r="J833" s="68"/>
      <c r="K833" s="68"/>
      <c r="L833" s="68"/>
      <c r="N833" s="75"/>
    </row>
    <row r="834" spans="1:14" ht="12.5" x14ac:dyDescent="0.25">
      <c r="A834" s="14"/>
      <c r="C834" s="68"/>
      <c r="D834" s="68"/>
      <c r="E834" s="68"/>
      <c r="F834" s="68"/>
      <c r="G834" s="68"/>
      <c r="H834" s="68"/>
      <c r="I834" s="68"/>
      <c r="J834" s="68"/>
      <c r="K834" s="68"/>
      <c r="L834" s="68"/>
      <c r="N834" s="75"/>
    </row>
    <row r="835" spans="1:14" ht="12.5" x14ac:dyDescent="0.25">
      <c r="A835" s="14"/>
      <c r="C835" s="68"/>
      <c r="D835" s="68"/>
      <c r="E835" s="68"/>
      <c r="F835" s="68"/>
      <c r="G835" s="68"/>
      <c r="H835" s="68"/>
      <c r="I835" s="68"/>
      <c r="J835" s="68"/>
      <c r="K835" s="68"/>
      <c r="L835" s="68"/>
      <c r="N835" s="75"/>
    </row>
    <row r="836" spans="1:14" ht="12.5" x14ac:dyDescent="0.25">
      <c r="A836" s="14"/>
      <c r="C836" s="68"/>
      <c r="D836" s="68"/>
      <c r="E836" s="68"/>
      <c r="F836" s="68"/>
      <c r="G836" s="68"/>
      <c r="H836" s="68"/>
      <c r="I836" s="68"/>
      <c r="J836" s="68"/>
      <c r="K836" s="68"/>
      <c r="L836" s="68"/>
      <c r="N836" s="75"/>
    </row>
    <row r="837" spans="1:14" ht="12.5" x14ac:dyDescent="0.25">
      <c r="A837" s="14"/>
      <c r="C837" s="68"/>
      <c r="D837" s="68"/>
      <c r="E837" s="68"/>
      <c r="F837" s="68"/>
      <c r="G837" s="68"/>
      <c r="H837" s="68"/>
      <c r="I837" s="68"/>
      <c r="J837" s="68"/>
      <c r="K837" s="68"/>
      <c r="L837" s="68"/>
      <c r="N837" s="75"/>
    </row>
    <row r="838" spans="1:14" ht="12.5" x14ac:dyDescent="0.25">
      <c r="A838" s="14"/>
      <c r="C838" s="68"/>
      <c r="D838" s="68"/>
      <c r="E838" s="68"/>
      <c r="F838" s="68"/>
      <c r="G838" s="68"/>
      <c r="H838" s="68"/>
      <c r="I838" s="68"/>
      <c r="J838" s="68"/>
      <c r="K838" s="68"/>
      <c r="L838" s="68"/>
      <c r="N838" s="75"/>
    </row>
    <row r="839" spans="1:14" ht="12.5" x14ac:dyDescent="0.25">
      <c r="A839" s="14"/>
      <c r="C839" s="68"/>
      <c r="D839" s="68"/>
      <c r="E839" s="68"/>
      <c r="F839" s="68"/>
      <c r="G839" s="68"/>
      <c r="H839" s="68"/>
      <c r="I839" s="68"/>
      <c r="J839" s="68"/>
      <c r="K839" s="68"/>
      <c r="L839" s="68"/>
      <c r="N839" s="75"/>
    </row>
    <row r="840" spans="1:14" ht="12.5" x14ac:dyDescent="0.25">
      <c r="A840" s="14"/>
      <c r="C840" s="68"/>
      <c r="D840" s="68"/>
      <c r="E840" s="68"/>
      <c r="F840" s="68"/>
      <c r="G840" s="68"/>
      <c r="H840" s="68"/>
      <c r="I840" s="68"/>
      <c r="J840" s="68"/>
      <c r="K840" s="68"/>
      <c r="L840" s="68"/>
      <c r="N840" s="75"/>
    </row>
    <row r="841" spans="1:14" ht="12.5" x14ac:dyDescent="0.25">
      <c r="A841" s="14"/>
      <c r="C841" s="68"/>
      <c r="D841" s="68"/>
      <c r="E841" s="68"/>
      <c r="F841" s="68"/>
      <c r="G841" s="68"/>
      <c r="H841" s="68"/>
      <c r="I841" s="68"/>
      <c r="J841" s="68"/>
      <c r="K841" s="68"/>
      <c r="L841" s="68"/>
      <c r="N841" s="75"/>
    </row>
    <row r="842" spans="1:14" ht="12.5" x14ac:dyDescent="0.25">
      <c r="A842" s="14"/>
      <c r="C842" s="68"/>
      <c r="D842" s="68"/>
      <c r="E842" s="68"/>
      <c r="F842" s="68"/>
      <c r="G842" s="68"/>
      <c r="H842" s="68"/>
      <c r="I842" s="68"/>
      <c r="J842" s="68"/>
      <c r="K842" s="68"/>
      <c r="L842" s="68"/>
      <c r="N842" s="75"/>
    </row>
    <row r="843" spans="1:14" ht="12.5" x14ac:dyDescent="0.25">
      <c r="A843" s="14"/>
      <c r="C843" s="68"/>
      <c r="D843" s="68"/>
      <c r="E843" s="68"/>
      <c r="F843" s="68"/>
      <c r="G843" s="68"/>
      <c r="H843" s="68"/>
      <c r="I843" s="68"/>
      <c r="J843" s="68"/>
      <c r="K843" s="68"/>
      <c r="L843" s="68"/>
      <c r="N843" s="75"/>
    </row>
    <row r="844" spans="1:14" ht="12.5" x14ac:dyDescent="0.25">
      <c r="A844" s="14"/>
      <c r="C844" s="68"/>
      <c r="D844" s="68"/>
      <c r="E844" s="68"/>
      <c r="F844" s="68"/>
      <c r="G844" s="68"/>
      <c r="H844" s="68"/>
      <c r="I844" s="68"/>
      <c r="J844" s="68"/>
      <c r="K844" s="68"/>
      <c r="L844" s="68"/>
      <c r="N844" s="75"/>
    </row>
    <row r="845" spans="1:14" ht="12.5" x14ac:dyDescent="0.25">
      <c r="A845" s="14"/>
      <c r="C845" s="68"/>
      <c r="D845" s="68"/>
      <c r="E845" s="68"/>
      <c r="F845" s="68"/>
      <c r="G845" s="68"/>
      <c r="H845" s="68"/>
      <c r="I845" s="68"/>
      <c r="J845" s="68"/>
      <c r="K845" s="68"/>
      <c r="L845" s="68"/>
      <c r="N845" s="75"/>
    </row>
    <row r="846" spans="1:14" ht="12.5" x14ac:dyDescent="0.25">
      <c r="A846" s="14"/>
      <c r="C846" s="68"/>
      <c r="D846" s="68"/>
      <c r="E846" s="68"/>
      <c r="F846" s="68"/>
      <c r="G846" s="68"/>
      <c r="H846" s="68"/>
      <c r="I846" s="68"/>
      <c r="J846" s="68"/>
      <c r="K846" s="68"/>
      <c r="L846" s="68"/>
      <c r="N846" s="75"/>
    </row>
    <row r="847" spans="1:14" ht="12.5" x14ac:dyDescent="0.25">
      <c r="A847" s="14"/>
      <c r="C847" s="68"/>
      <c r="D847" s="68"/>
      <c r="E847" s="68"/>
      <c r="F847" s="68"/>
      <c r="G847" s="68"/>
      <c r="H847" s="68"/>
      <c r="I847" s="68"/>
      <c r="J847" s="68"/>
      <c r="K847" s="68"/>
      <c r="L847" s="68"/>
      <c r="N847" s="75"/>
    </row>
    <row r="848" spans="1:14" ht="12.5" x14ac:dyDescent="0.25">
      <c r="A848" s="14"/>
      <c r="C848" s="68"/>
      <c r="D848" s="68"/>
      <c r="E848" s="68"/>
      <c r="F848" s="68"/>
      <c r="G848" s="68"/>
      <c r="H848" s="68"/>
      <c r="I848" s="68"/>
      <c r="J848" s="68"/>
      <c r="K848" s="68"/>
      <c r="L848" s="68"/>
      <c r="N848" s="75"/>
    </row>
    <row r="849" spans="1:14" ht="12.5" x14ac:dyDescent="0.25">
      <c r="A849" s="14"/>
      <c r="C849" s="68"/>
      <c r="D849" s="68"/>
      <c r="E849" s="68"/>
      <c r="F849" s="68"/>
      <c r="G849" s="68"/>
      <c r="H849" s="68"/>
      <c r="I849" s="68"/>
      <c r="J849" s="68"/>
      <c r="K849" s="68"/>
      <c r="L849" s="68"/>
      <c r="N849" s="75"/>
    </row>
    <row r="850" spans="1:14" ht="12.5" x14ac:dyDescent="0.25">
      <c r="A850" s="14"/>
      <c r="C850" s="68"/>
      <c r="D850" s="68"/>
      <c r="E850" s="68"/>
      <c r="F850" s="68"/>
      <c r="G850" s="68"/>
      <c r="H850" s="68"/>
      <c r="I850" s="68"/>
      <c r="J850" s="68"/>
      <c r="K850" s="68"/>
      <c r="L850" s="68"/>
      <c r="N850" s="75"/>
    </row>
    <row r="851" spans="1:14" ht="12.5" x14ac:dyDescent="0.25">
      <c r="A851" s="14"/>
      <c r="C851" s="68"/>
      <c r="D851" s="68"/>
      <c r="E851" s="68"/>
      <c r="F851" s="68"/>
      <c r="G851" s="68"/>
      <c r="H851" s="68"/>
      <c r="I851" s="68"/>
      <c r="J851" s="68"/>
      <c r="K851" s="68"/>
      <c r="L851" s="68"/>
      <c r="N851" s="75"/>
    </row>
    <row r="852" spans="1:14" ht="12.5" x14ac:dyDescent="0.25">
      <c r="A852" s="14"/>
      <c r="C852" s="68"/>
      <c r="D852" s="68"/>
      <c r="E852" s="68"/>
      <c r="F852" s="68"/>
      <c r="G852" s="68"/>
      <c r="H852" s="68"/>
      <c r="I852" s="68"/>
      <c r="J852" s="68"/>
      <c r="K852" s="68"/>
      <c r="L852" s="68"/>
      <c r="N852" s="75"/>
    </row>
    <row r="853" spans="1:14" ht="12.5" x14ac:dyDescent="0.25">
      <c r="A853" s="14"/>
      <c r="C853" s="68"/>
      <c r="D853" s="68"/>
      <c r="E853" s="68"/>
      <c r="F853" s="68"/>
      <c r="G853" s="68"/>
      <c r="H853" s="68"/>
      <c r="I853" s="68"/>
      <c r="J853" s="68"/>
      <c r="K853" s="68"/>
      <c r="L853" s="68"/>
      <c r="N853" s="75"/>
    </row>
    <row r="854" spans="1:14" ht="12.5" x14ac:dyDescent="0.25">
      <c r="A854" s="14"/>
      <c r="C854" s="68"/>
      <c r="D854" s="68"/>
      <c r="E854" s="68"/>
      <c r="F854" s="68"/>
      <c r="G854" s="68"/>
      <c r="H854" s="68"/>
      <c r="I854" s="68"/>
      <c r="J854" s="68"/>
      <c r="K854" s="68"/>
      <c r="L854" s="68"/>
      <c r="N854" s="75"/>
    </row>
    <row r="855" spans="1:14" ht="12.5" x14ac:dyDescent="0.25">
      <c r="A855" s="14"/>
      <c r="C855" s="68"/>
      <c r="D855" s="68"/>
      <c r="E855" s="68"/>
      <c r="F855" s="68"/>
      <c r="G855" s="68"/>
      <c r="H855" s="68"/>
      <c r="I855" s="68"/>
      <c r="J855" s="68"/>
      <c r="K855" s="68"/>
      <c r="L855" s="68"/>
      <c r="N855" s="75"/>
    </row>
    <row r="856" spans="1:14" ht="12.5" x14ac:dyDescent="0.25">
      <c r="A856" s="14"/>
      <c r="C856" s="68"/>
      <c r="D856" s="68"/>
      <c r="E856" s="68"/>
      <c r="F856" s="68"/>
      <c r="G856" s="68"/>
      <c r="H856" s="68"/>
      <c r="I856" s="68"/>
      <c r="J856" s="68"/>
      <c r="K856" s="68"/>
      <c r="L856" s="68"/>
      <c r="N856" s="75"/>
    </row>
    <row r="857" spans="1:14" ht="12.5" x14ac:dyDescent="0.25">
      <c r="A857" s="14"/>
      <c r="C857" s="68"/>
      <c r="D857" s="68"/>
      <c r="E857" s="68"/>
      <c r="F857" s="68"/>
      <c r="G857" s="68"/>
      <c r="H857" s="68"/>
      <c r="I857" s="68"/>
      <c r="J857" s="68"/>
      <c r="K857" s="68"/>
      <c r="L857" s="68"/>
      <c r="N857" s="75"/>
    </row>
    <row r="858" spans="1:14" ht="12.5" x14ac:dyDescent="0.25">
      <c r="A858" s="14"/>
      <c r="C858" s="68"/>
      <c r="D858" s="68"/>
      <c r="E858" s="68"/>
      <c r="F858" s="68"/>
      <c r="G858" s="68"/>
      <c r="H858" s="68"/>
      <c r="I858" s="68"/>
      <c r="J858" s="68"/>
      <c r="K858" s="68"/>
      <c r="L858" s="68"/>
      <c r="N858" s="75"/>
    </row>
    <row r="859" spans="1:14" ht="12.5" x14ac:dyDescent="0.25">
      <c r="A859" s="14"/>
      <c r="C859" s="68"/>
      <c r="D859" s="68"/>
      <c r="E859" s="68"/>
      <c r="F859" s="68"/>
      <c r="G859" s="68"/>
      <c r="H859" s="68"/>
      <c r="I859" s="68"/>
      <c r="J859" s="68"/>
      <c r="K859" s="68"/>
      <c r="L859" s="68"/>
      <c r="N859" s="75"/>
    </row>
    <row r="860" spans="1:14" ht="12.5" x14ac:dyDescent="0.25">
      <c r="A860" s="14"/>
      <c r="C860" s="68"/>
      <c r="D860" s="68"/>
      <c r="E860" s="68"/>
      <c r="F860" s="68"/>
      <c r="G860" s="68"/>
      <c r="H860" s="68"/>
      <c r="I860" s="68"/>
      <c r="J860" s="68"/>
      <c r="K860" s="68"/>
      <c r="L860" s="68"/>
      <c r="N860" s="75"/>
    </row>
    <row r="861" spans="1:14" ht="12.5" x14ac:dyDescent="0.25">
      <c r="A861" s="14"/>
      <c r="C861" s="68"/>
      <c r="D861" s="68"/>
      <c r="E861" s="68"/>
      <c r="F861" s="68"/>
      <c r="G861" s="68"/>
      <c r="H861" s="68"/>
      <c r="I861" s="68"/>
      <c r="J861" s="68"/>
      <c r="K861" s="68"/>
      <c r="L861" s="68"/>
      <c r="N861" s="75"/>
    </row>
    <row r="862" spans="1:14" ht="12.5" x14ac:dyDescent="0.25">
      <c r="A862" s="14"/>
      <c r="C862" s="68"/>
      <c r="D862" s="68"/>
      <c r="E862" s="68"/>
      <c r="F862" s="68"/>
      <c r="G862" s="68"/>
      <c r="H862" s="68"/>
      <c r="I862" s="68"/>
      <c r="J862" s="68"/>
      <c r="K862" s="68"/>
      <c r="L862" s="68"/>
      <c r="N862" s="75"/>
    </row>
    <row r="863" spans="1:14" ht="12.5" x14ac:dyDescent="0.25">
      <c r="A863" s="14"/>
      <c r="C863" s="68"/>
      <c r="D863" s="68"/>
      <c r="E863" s="68"/>
      <c r="F863" s="68"/>
      <c r="G863" s="68"/>
      <c r="H863" s="68"/>
      <c r="I863" s="68"/>
      <c r="J863" s="68"/>
      <c r="K863" s="68"/>
      <c r="L863" s="68"/>
      <c r="N863" s="75"/>
    </row>
    <row r="864" spans="1:14" ht="12.5" x14ac:dyDescent="0.25">
      <c r="A864" s="14"/>
      <c r="C864" s="68"/>
      <c r="D864" s="68"/>
      <c r="E864" s="68"/>
      <c r="F864" s="68"/>
      <c r="G864" s="68"/>
      <c r="H864" s="68"/>
      <c r="I864" s="68"/>
      <c r="J864" s="68"/>
      <c r="K864" s="68"/>
      <c r="L864" s="68"/>
      <c r="N864" s="75"/>
    </row>
    <row r="865" spans="1:14" ht="12.5" x14ac:dyDescent="0.25">
      <c r="A865" s="14"/>
      <c r="C865" s="68"/>
      <c r="D865" s="68"/>
      <c r="E865" s="68"/>
      <c r="F865" s="68"/>
      <c r="G865" s="68"/>
      <c r="H865" s="68"/>
      <c r="I865" s="68"/>
      <c r="J865" s="68"/>
      <c r="K865" s="68"/>
      <c r="L865" s="68"/>
      <c r="N865" s="75"/>
    </row>
    <row r="866" spans="1:14" ht="12.5" x14ac:dyDescent="0.25">
      <c r="A866" s="14"/>
      <c r="C866" s="68"/>
      <c r="D866" s="68"/>
      <c r="E866" s="68"/>
      <c r="F866" s="68"/>
      <c r="G866" s="68"/>
      <c r="H866" s="68"/>
      <c r="I866" s="68"/>
      <c r="J866" s="68"/>
      <c r="K866" s="68"/>
      <c r="L866" s="68"/>
      <c r="N866" s="75"/>
    </row>
    <row r="867" spans="1:14" ht="12.5" x14ac:dyDescent="0.25">
      <c r="A867" s="14"/>
      <c r="C867" s="68"/>
      <c r="D867" s="68"/>
      <c r="E867" s="68"/>
      <c r="F867" s="68"/>
      <c r="G867" s="68"/>
      <c r="H867" s="68"/>
      <c r="I867" s="68"/>
      <c r="J867" s="68"/>
      <c r="K867" s="68"/>
      <c r="L867" s="68"/>
      <c r="N867" s="75"/>
    </row>
    <row r="868" spans="1:14" ht="12.5" x14ac:dyDescent="0.25">
      <c r="A868" s="14"/>
      <c r="C868" s="68"/>
      <c r="D868" s="68"/>
      <c r="E868" s="68"/>
      <c r="F868" s="68"/>
      <c r="G868" s="68"/>
      <c r="H868" s="68"/>
      <c r="I868" s="68"/>
      <c r="J868" s="68"/>
      <c r="K868" s="68"/>
      <c r="L868" s="68"/>
      <c r="N868" s="75"/>
    </row>
    <row r="869" spans="1:14" ht="12.5" x14ac:dyDescent="0.25">
      <c r="A869" s="14"/>
      <c r="C869" s="68"/>
      <c r="D869" s="68"/>
      <c r="E869" s="68"/>
      <c r="F869" s="68"/>
      <c r="G869" s="68"/>
      <c r="H869" s="68"/>
      <c r="I869" s="68"/>
      <c r="J869" s="68"/>
      <c r="K869" s="68"/>
      <c r="L869" s="68"/>
      <c r="N869" s="75"/>
    </row>
    <row r="870" spans="1:14" ht="12.5" x14ac:dyDescent="0.25">
      <c r="A870" s="14"/>
      <c r="C870" s="68"/>
      <c r="D870" s="68"/>
      <c r="E870" s="68"/>
      <c r="F870" s="68"/>
      <c r="G870" s="68"/>
      <c r="H870" s="68"/>
      <c r="I870" s="68"/>
      <c r="J870" s="68"/>
      <c r="K870" s="68"/>
      <c r="L870" s="68"/>
      <c r="N870" s="75"/>
    </row>
    <row r="871" spans="1:14" ht="12.5" x14ac:dyDescent="0.25">
      <c r="A871" s="14"/>
      <c r="C871" s="68"/>
      <c r="D871" s="68"/>
      <c r="E871" s="68"/>
      <c r="F871" s="68"/>
      <c r="G871" s="68"/>
      <c r="H871" s="68"/>
      <c r="I871" s="68"/>
      <c r="J871" s="68"/>
      <c r="K871" s="68"/>
      <c r="L871" s="68"/>
      <c r="N871" s="75"/>
    </row>
    <row r="872" spans="1:14" ht="12.5" x14ac:dyDescent="0.25">
      <c r="A872" s="14"/>
      <c r="C872" s="68"/>
      <c r="D872" s="68"/>
      <c r="E872" s="68"/>
      <c r="F872" s="68"/>
      <c r="G872" s="68"/>
      <c r="H872" s="68"/>
      <c r="I872" s="68"/>
      <c r="J872" s="68"/>
      <c r="K872" s="68"/>
      <c r="L872" s="68"/>
      <c r="N872" s="75"/>
    </row>
    <row r="873" spans="1:14" ht="12.5" x14ac:dyDescent="0.25">
      <c r="A873" s="14"/>
      <c r="C873" s="68"/>
      <c r="D873" s="68"/>
      <c r="E873" s="68"/>
      <c r="F873" s="68"/>
      <c r="G873" s="68"/>
      <c r="H873" s="68"/>
      <c r="I873" s="68"/>
      <c r="J873" s="68"/>
      <c r="K873" s="68"/>
      <c r="L873" s="68"/>
      <c r="N873" s="75"/>
    </row>
    <row r="874" spans="1:14" ht="12.5" x14ac:dyDescent="0.25">
      <c r="A874" s="14"/>
      <c r="C874" s="68"/>
      <c r="D874" s="68"/>
      <c r="E874" s="68"/>
      <c r="F874" s="68"/>
      <c r="G874" s="68"/>
      <c r="H874" s="68"/>
      <c r="I874" s="68"/>
      <c r="J874" s="68"/>
      <c r="K874" s="68"/>
      <c r="L874" s="68"/>
      <c r="N874" s="75"/>
    </row>
    <row r="875" spans="1:14" ht="12.5" x14ac:dyDescent="0.25">
      <c r="A875" s="14"/>
      <c r="C875" s="68"/>
      <c r="D875" s="68"/>
      <c r="E875" s="68"/>
      <c r="F875" s="68"/>
      <c r="G875" s="68"/>
      <c r="H875" s="68"/>
      <c r="I875" s="68"/>
      <c r="J875" s="68"/>
      <c r="K875" s="68"/>
      <c r="L875" s="68"/>
      <c r="N875" s="75"/>
    </row>
    <row r="876" spans="1:14" ht="12.5" x14ac:dyDescent="0.25">
      <c r="A876" s="14"/>
      <c r="C876" s="68"/>
      <c r="D876" s="68"/>
      <c r="E876" s="68"/>
      <c r="F876" s="68"/>
      <c r="G876" s="68"/>
      <c r="H876" s="68"/>
      <c r="I876" s="68"/>
      <c r="J876" s="68"/>
      <c r="K876" s="68"/>
      <c r="L876" s="68"/>
      <c r="N876" s="75"/>
    </row>
    <row r="877" spans="1:14" ht="12.5" x14ac:dyDescent="0.25">
      <c r="A877" s="14"/>
      <c r="C877" s="68"/>
      <c r="D877" s="68"/>
      <c r="E877" s="68"/>
      <c r="F877" s="68"/>
      <c r="G877" s="68"/>
      <c r="H877" s="68"/>
      <c r="I877" s="68"/>
      <c r="J877" s="68"/>
      <c r="K877" s="68"/>
      <c r="L877" s="68"/>
      <c r="N877" s="75"/>
    </row>
    <row r="878" spans="1:14" ht="12.5" x14ac:dyDescent="0.25">
      <c r="A878" s="14"/>
      <c r="C878" s="68"/>
      <c r="D878" s="68"/>
      <c r="E878" s="68"/>
      <c r="F878" s="68"/>
      <c r="G878" s="68"/>
      <c r="H878" s="68"/>
      <c r="I878" s="68"/>
      <c r="J878" s="68"/>
      <c r="K878" s="68"/>
      <c r="L878" s="68"/>
      <c r="N878" s="75"/>
    </row>
    <row r="879" spans="1:14" ht="12.5" x14ac:dyDescent="0.25">
      <c r="A879" s="14"/>
      <c r="C879" s="68"/>
      <c r="D879" s="68"/>
      <c r="E879" s="68"/>
      <c r="F879" s="68"/>
      <c r="G879" s="68"/>
      <c r="H879" s="68"/>
      <c r="I879" s="68"/>
      <c r="J879" s="68"/>
      <c r="K879" s="68"/>
      <c r="L879" s="68"/>
      <c r="N879" s="75"/>
    </row>
    <row r="880" spans="1:14" ht="12.5" x14ac:dyDescent="0.25">
      <c r="A880" s="14"/>
      <c r="C880" s="68"/>
      <c r="D880" s="68"/>
      <c r="E880" s="68"/>
      <c r="F880" s="68"/>
      <c r="G880" s="68"/>
      <c r="H880" s="68"/>
      <c r="I880" s="68"/>
      <c r="J880" s="68"/>
      <c r="K880" s="68"/>
      <c r="L880" s="68"/>
      <c r="N880" s="75"/>
    </row>
    <row r="881" spans="1:14" ht="12.5" x14ac:dyDescent="0.25">
      <c r="A881" s="14"/>
      <c r="C881" s="68"/>
      <c r="D881" s="68"/>
      <c r="E881" s="68"/>
      <c r="F881" s="68"/>
      <c r="G881" s="68"/>
      <c r="H881" s="68"/>
      <c r="I881" s="68"/>
      <c r="J881" s="68"/>
      <c r="K881" s="68"/>
      <c r="L881" s="68"/>
      <c r="N881" s="75"/>
    </row>
    <row r="882" spans="1:14" ht="12.5" x14ac:dyDescent="0.25">
      <c r="A882" s="14"/>
      <c r="C882" s="68"/>
      <c r="D882" s="68"/>
      <c r="E882" s="68"/>
      <c r="F882" s="68"/>
      <c r="G882" s="68"/>
      <c r="H882" s="68"/>
      <c r="I882" s="68"/>
      <c r="J882" s="68"/>
      <c r="K882" s="68"/>
      <c r="L882" s="68"/>
      <c r="N882" s="75"/>
    </row>
    <row r="883" spans="1:14" ht="12.5" x14ac:dyDescent="0.25">
      <c r="A883" s="14"/>
      <c r="C883" s="68"/>
      <c r="D883" s="68"/>
      <c r="E883" s="68"/>
      <c r="F883" s="68"/>
      <c r="G883" s="68"/>
      <c r="H883" s="68"/>
      <c r="I883" s="68"/>
      <c r="J883" s="68"/>
      <c r="K883" s="68"/>
      <c r="L883" s="68"/>
      <c r="N883" s="75"/>
    </row>
    <row r="884" spans="1:14" ht="12.5" x14ac:dyDescent="0.25">
      <c r="A884" s="14"/>
      <c r="C884" s="68"/>
      <c r="D884" s="68"/>
      <c r="E884" s="68"/>
      <c r="F884" s="68"/>
      <c r="G884" s="68"/>
      <c r="H884" s="68"/>
      <c r="I884" s="68"/>
      <c r="J884" s="68"/>
      <c r="K884" s="68"/>
      <c r="L884" s="68"/>
      <c r="N884" s="75"/>
    </row>
    <row r="885" spans="1:14" ht="12.5" x14ac:dyDescent="0.25">
      <c r="A885" s="14"/>
      <c r="C885" s="68"/>
      <c r="D885" s="68"/>
      <c r="E885" s="68"/>
      <c r="F885" s="68"/>
      <c r="G885" s="68"/>
      <c r="H885" s="68"/>
      <c r="I885" s="68"/>
      <c r="J885" s="68"/>
      <c r="K885" s="68"/>
      <c r="L885" s="68"/>
      <c r="N885" s="75"/>
    </row>
    <row r="886" spans="1:14" ht="12.5" x14ac:dyDescent="0.25">
      <c r="A886" s="14"/>
      <c r="C886" s="68"/>
      <c r="D886" s="68"/>
      <c r="E886" s="68"/>
      <c r="F886" s="68"/>
      <c r="G886" s="68"/>
      <c r="H886" s="68"/>
      <c r="I886" s="68"/>
      <c r="J886" s="68"/>
      <c r="K886" s="68"/>
      <c r="L886" s="68"/>
      <c r="N886" s="75"/>
    </row>
    <row r="887" spans="1:14" ht="12.5" x14ac:dyDescent="0.25">
      <c r="A887" s="14"/>
      <c r="C887" s="68"/>
      <c r="D887" s="68"/>
      <c r="E887" s="68"/>
      <c r="F887" s="68"/>
      <c r="G887" s="68"/>
      <c r="H887" s="68"/>
      <c r="I887" s="68"/>
      <c r="J887" s="68"/>
      <c r="K887" s="68"/>
      <c r="L887" s="68"/>
      <c r="N887" s="75"/>
    </row>
    <row r="888" spans="1:14" ht="12.5" x14ac:dyDescent="0.25">
      <c r="A888" s="14"/>
      <c r="C888" s="68"/>
      <c r="D888" s="68"/>
      <c r="E888" s="68"/>
      <c r="F888" s="68"/>
      <c r="G888" s="68"/>
      <c r="H888" s="68"/>
      <c r="I888" s="68"/>
      <c r="J888" s="68"/>
      <c r="K888" s="68"/>
      <c r="L888" s="68"/>
      <c r="N888" s="75"/>
    </row>
    <row r="889" spans="1:14" ht="12.5" x14ac:dyDescent="0.25">
      <c r="A889" s="14"/>
      <c r="C889" s="68"/>
      <c r="D889" s="68"/>
      <c r="E889" s="68"/>
      <c r="F889" s="68"/>
      <c r="G889" s="68"/>
      <c r="H889" s="68"/>
      <c r="I889" s="68"/>
      <c r="J889" s="68"/>
      <c r="K889" s="68"/>
      <c r="L889" s="68"/>
      <c r="N889" s="75"/>
    </row>
    <row r="890" spans="1:14" ht="12.5" x14ac:dyDescent="0.25">
      <c r="A890" s="14"/>
      <c r="C890" s="68"/>
      <c r="D890" s="68"/>
      <c r="E890" s="68"/>
      <c r="F890" s="68"/>
      <c r="G890" s="68"/>
      <c r="H890" s="68"/>
      <c r="I890" s="68"/>
      <c r="J890" s="68"/>
      <c r="K890" s="68"/>
      <c r="L890" s="68"/>
      <c r="N890" s="75"/>
    </row>
    <row r="891" spans="1:14" ht="12.5" x14ac:dyDescent="0.25">
      <c r="A891" s="14"/>
      <c r="C891" s="68"/>
      <c r="D891" s="68"/>
      <c r="E891" s="68"/>
      <c r="F891" s="68"/>
      <c r="G891" s="68"/>
      <c r="H891" s="68"/>
      <c r="I891" s="68"/>
      <c r="J891" s="68"/>
      <c r="K891" s="68"/>
      <c r="L891" s="68"/>
      <c r="N891" s="75"/>
    </row>
    <row r="892" spans="1:14" ht="12.5" x14ac:dyDescent="0.25">
      <c r="A892" s="14"/>
      <c r="C892" s="68"/>
      <c r="D892" s="68"/>
      <c r="E892" s="68"/>
      <c r="F892" s="68"/>
      <c r="G892" s="68"/>
      <c r="H892" s="68"/>
      <c r="I892" s="68"/>
      <c r="J892" s="68"/>
      <c r="K892" s="68"/>
      <c r="L892" s="68"/>
      <c r="N892" s="75"/>
    </row>
    <row r="893" spans="1:14" ht="12.5" x14ac:dyDescent="0.25">
      <c r="A893" s="14"/>
      <c r="C893" s="68"/>
      <c r="D893" s="68"/>
      <c r="E893" s="68"/>
      <c r="F893" s="68"/>
      <c r="G893" s="68"/>
      <c r="H893" s="68"/>
      <c r="I893" s="68"/>
      <c r="J893" s="68"/>
      <c r="K893" s="68"/>
      <c r="L893" s="68"/>
      <c r="N893" s="75"/>
    </row>
    <row r="894" spans="1:14" ht="12.5" x14ac:dyDescent="0.25">
      <c r="A894" s="14"/>
      <c r="C894" s="68"/>
      <c r="D894" s="68"/>
      <c r="E894" s="68"/>
      <c r="F894" s="68"/>
      <c r="G894" s="68"/>
      <c r="H894" s="68"/>
      <c r="I894" s="68"/>
      <c r="J894" s="68"/>
      <c r="K894" s="68"/>
      <c r="L894" s="68"/>
      <c r="N894" s="75"/>
    </row>
    <row r="895" spans="1:14" ht="12.5" x14ac:dyDescent="0.25">
      <c r="A895" s="14"/>
      <c r="C895" s="68"/>
      <c r="D895" s="68"/>
      <c r="E895" s="68"/>
      <c r="F895" s="68"/>
      <c r="G895" s="68"/>
      <c r="H895" s="68"/>
      <c r="I895" s="68"/>
      <c r="J895" s="68"/>
      <c r="K895" s="68"/>
      <c r="L895" s="68"/>
      <c r="N895" s="75"/>
    </row>
    <row r="896" spans="1:14" ht="12.5" x14ac:dyDescent="0.25">
      <c r="A896" s="14"/>
      <c r="C896" s="68"/>
      <c r="D896" s="68"/>
      <c r="E896" s="68"/>
      <c r="F896" s="68"/>
      <c r="G896" s="68"/>
      <c r="H896" s="68"/>
      <c r="I896" s="68"/>
      <c r="J896" s="68"/>
      <c r="K896" s="68"/>
      <c r="L896" s="68"/>
      <c r="N896" s="75"/>
    </row>
    <row r="897" spans="1:14" ht="12.5" x14ac:dyDescent="0.25">
      <c r="A897" s="14"/>
      <c r="C897" s="68"/>
      <c r="D897" s="68"/>
      <c r="E897" s="68"/>
      <c r="F897" s="68"/>
      <c r="G897" s="68"/>
      <c r="H897" s="68"/>
      <c r="I897" s="68"/>
      <c r="J897" s="68"/>
      <c r="K897" s="68"/>
      <c r="L897" s="68"/>
      <c r="N897" s="75"/>
    </row>
    <row r="898" spans="1:14" ht="12.5" x14ac:dyDescent="0.25">
      <c r="A898" s="14"/>
      <c r="C898" s="68"/>
      <c r="D898" s="68"/>
      <c r="E898" s="68"/>
      <c r="F898" s="68"/>
      <c r="G898" s="68"/>
      <c r="H898" s="68"/>
      <c r="I898" s="68"/>
      <c r="J898" s="68"/>
      <c r="K898" s="68"/>
      <c r="L898" s="68"/>
      <c r="N898" s="75"/>
    </row>
    <row r="899" spans="1:14" ht="12.5" x14ac:dyDescent="0.25">
      <c r="A899" s="14"/>
      <c r="C899" s="68"/>
      <c r="D899" s="68"/>
      <c r="E899" s="68"/>
      <c r="F899" s="68"/>
      <c r="G899" s="68"/>
      <c r="H899" s="68"/>
      <c r="I899" s="68"/>
      <c r="J899" s="68"/>
      <c r="K899" s="68"/>
      <c r="L899" s="68"/>
      <c r="N899" s="75"/>
    </row>
    <row r="900" spans="1:14" ht="12.5" x14ac:dyDescent="0.25">
      <c r="A900" s="14"/>
      <c r="C900" s="68"/>
      <c r="D900" s="68"/>
      <c r="E900" s="68"/>
      <c r="F900" s="68"/>
      <c r="G900" s="68"/>
      <c r="H900" s="68"/>
      <c r="I900" s="68"/>
      <c r="J900" s="68"/>
      <c r="K900" s="68"/>
      <c r="L900" s="68"/>
      <c r="N900" s="75"/>
    </row>
    <row r="901" spans="1:14" ht="12.5" x14ac:dyDescent="0.25">
      <c r="A901" s="14"/>
      <c r="C901" s="68"/>
      <c r="D901" s="68"/>
      <c r="E901" s="68"/>
      <c r="F901" s="68"/>
      <c r="G901" s="68"/>
      <c r="H901" s="68"/>
      <c r="I901" s="68"/>
      <c r="J901" s="68"/>
      <c r="K901" s="68"/>
      <c r="L901" s="68"/>
      <c r="N901" s="75"/>
    </row>
    <row r="902" spans="1:14" ht="12.5" x14ac:dyDescent="0.25">
      <c r="A902" s="14"/>
      <c r="C902" s="68"/>
      <c r="D902" s="68"/>
      <c r="E902" s="68"/>
      <c r="F902" s="68"/>
      <c r="G902" s="68"/>
      <c r="H902" s="68"/>
      <c r="I902" s="68"/>
      <c r="J902" s="68"/>
      <c r="K902" s="68"/>
      <c r="L902" s="68"/>
      <c r="N902" s="75"/>
    </row>
    <row r="903" spans="1:14" ht="12.5" x14ac:dyDescent="0.25">
      <c r="A903" s="14"/>
      <c r="C903" s="68"/>
      <c r="D903" s="68"/>
      <c r="E903" s="68"/>
      <c r="F903" s="68"/>
      <c r="G903" s="68"/>
      <c r="H903" s="68"/>
      <c r="I903" s="68"/>
      <c r="J903" s="68"/>
      <c r="K903" s="68"/>
      <c r="L903" s="68"/>
      <c r="N903" s="75"/>
    </row>
    <row r="904" spans="1:14" ht="12.5" x14ac:dyDescent="0.25">
      <c r="A904" s="14"/>
      <c r="C904" s="68"/>
      <c r="D904" s="68"/>
      <c r="E904" s="68"/>
      <c r="F904" s="68"/>
      <c r="G904" s="68"/>
      <c r="H904" s="68"/>
      <c r="I904" s="68"/>
      <c r="J904" s="68"/>
      <c r="K904" s="68"/>
      <c r="L904" s="68"/>
      <c r="N904" s="75"/>
    </row>
    <row r="905" spans="1:14" ht="12.5" x14ac:dyDescent="0.25">
      <c r="A905" s="14"/>
      <c r="C905" s="68"/>
      <c r="D905" s="68"/>
      <c r="E905" s="68"/>
      <c r="F905" s="68"/>
      <c r="G905" s="68"/>
      <c r="H905" s="68"/>
      <c r="I905" s="68"/>
      <c r="J905" s="68"/>
      <c r="K905" s="68"/>
      <c r="L905" s="68"/>
      <c r="N905" s="75"/>
    </row>
    <row r="906" spans="1:14" ht="12.5" x14ac:dyDescent="0.25">
      <c r="A906" s="14"/>
      <c r="C906" s="68"/>
      <c r="D906" s="68"/>
      <c r="E906" s="68"/>
      <c r="F906" s="68"/>
      <c r="G906" s="68"/>
      <c r="H906" s="68"/>
      <c r="I906" s="68"/>
      <c r="J906" s="68"/>
      <c r="K906" s="68"/>
      <c r="L906" s="68"/>
      <c r="N906" s="75"/>
    </row>
    <row r="907" spans="1:14" ht="12.5" x14ac:dyDescent="0.25">
      <c r="A907" s="14"/>
      <c r="C907" s="68"/>
      <c r="D907" s="68"/>
      <c r="E907" s="68"/>
      <c r="F907" s="68"/>
      <c r="G907" s="68"/>
      <c r="H907" s="68"/>
      <c r="I907" s="68"/>
      <c r="J907" s="68"/>
      <c r="K907" s="68"/>
      <c r="L907" s="68"/>
      <c r="N907" s="75"/>
    </row>
    <row r="908" spans="1:14" ht="12.5" x14ac:dyDescent="0.25">
      <c r="A908" s="14"/>
      <c r="C908" s="68"/>
      <c r="D908" s="68"/>
      <c r="E908" s="68"/>
      <c r="F908" s="68"/>
      <c r="G908" s="68"/>
      <c r="H908" s="68"/>
      <c r="I908" s="68"/>
      <c r="J908" s="68"/>
      <c r="K908" s="68"/>
      <c r="L908" s="68"/>
      <c r="N908" s="75"/>
    </row>
    <row r="909" spans="1:14" ht="12.5" x14ac:dyDescent="0.25">
      <c r="A909" s="14"/>
      <c r="C909" s="68"/>
      <c r="D909" s="68"/>
      <c r="E909" s="68"/>
      <c r="F909" s="68"/>
      <c r="G909" s="68"/>
      <c r="H909" s="68"/>
      <c r="I909" s="68"/>
      <c r="J909" s="68"/>
      <c r="K909" s="68"/>
      <c r="L909" s="68"/>
      <c r="N909" s="75"/>
    </row>
    <row r="910" spans="1:14" ht="12.5" x14ac:dyDescent="0.25">
      <c r="A910" s="14"/>
      <c r="C910" s="68"/>
      <c r="D910" s="68"/>
      <c r="E910" s="68"/>
      <c r="F910" s="68"/>
      <c r="G910" s="68"/>
      <c r="H910" s="68"/>
      <c r="I910" s="68"/>
      <c r="J910" s="68"/>
      <c r="K910" s="68"/>
      <c r="L910" s="68"/>
      <c r="N910" s="75"/>
    </row>
    <row r="911" spans="1:14" ht="12.5" x14ac:dyDescent="0.25">
      <c r="A911" s="14"/>
      <c r="C911" s="68"/>
      <c r="D911" s="68"/>
      <c r="E911" s="68"/>
      <c r="F911" s="68"/>
      <c r="G911" s="68"/>
      <c r="H911" s="68"/>
      <c r="I911" s="68"/>
      <c r="J911" s="68"/>
      <c r="K911" s="68"/>
      <c r="L911" s="68"/>
      <c r="N911" s="75"/>
    </row>
    <row r="912" spans="1:14" ht="12.5" x14ac:dyDescent="0.25">
      <c r="A912" s="14"/>
      <c r="C912" s="68"/>
      <c r="D912" s="68"/>
      <c r="E912" s="68"/>
      <c r="F912" s="68"/>
      <c r="G912" s="68"/>
      <c r="H912" s="68"/>
      <c r="I912" s="68"/>
      <c r="J912" s="68"/>
      <c r="K912" s="68"/>
      <c r="L912" s="68"/>
      <c r="N912" s="75"/>
    </row>
    <row r="913" spans="1:14" ht="12.5" x14ac:dyDescent="0.25">
      <c r="A913" s="14"/>
      <c r="C913" s="68"/>
      <c r="D913" s="68"/>
      <c r="E913" s="68"/>
      <c r="F913" s="68"/>
      <c r="G913" s="68"/>
      <c r="H913" s="68"/>
      <c r="I913" s="68"/>
      <c r="J913" s="68"/>
      <c r="K913" s="68"/>
      <c r="L913" s="68"/>
      <c r="N913" s="75"/>
    </row>
    <row r="914" spans="1:14" ht="12.5" x14ac:dyDescent="0.25">
      <c r="A914" s="14"/>
      <c r="C914" s="68"/>
      <c r="D914" s="68"/>
      <c r="E914" s="68"/>
      <c r="F914" s="68"/>
      <c r="G914" s="68"/>
      <c r="H914" s="68"/>
      <c r="I914" s="68"/>
      <c r="J914" s="68"/>
      <c r="K914" s="68"/>
      <c r="L914" s="68"/>
      <c r="N914" s="75"/>
    </row>
    <row r="915" spans="1:14" ht="12.5" x14ac:dyDescent="0.25">
      <c r="A915" s="14"/>
      <c r="C915" s="68"/>
      <c r="D915" s="68"/>
      <c r="E915" s="68"/>
      <c r="F915" s="68"/>
      <c r="G915" s="68"/>
      <c r="H915" s="68"/>
      <c r="I915" s="68"/>
      <c r="J915" s="68"/>
      <c r="K915" s="68"/>
      <c r="L915" s="68"/>
      <c r="N915" s="75"/>
    </row>
    <row r="916" spans="1:14" ht="12.5" x14ac:dyDescent="0.25">
      <c r="A916" s="14"/>
      <c r="C916" s="68"/>
      <c r="D916" s="68"/>
      <c r="E916" s="68"/>
      <c r="F916" s="68"/>
      <c r="G916" s="68"/>
      <c r="H916" s="68"/>
      <c r="I916" s="68"/>
      <c r="J916" s="68"/>
      <c r="K916" s="68"/>
      <c r="L916" s="68"/>
      <c r="N916" s="75"/>
    </row>
    <row r="917" spans="1:14" ht="12.5" x14ac:dyDescent="0.25">
      <c r="A917" s="14"/>
      <c r="C917" s="68"/>
      <c r="D917" s="68"/>
      <c r="E917" s="68"/>
      <c r="F917" s="68"/>
      <c r="G917" s="68"/>
      <c r="H917" s="68"/>
      <c r="I917" s="68"/>
      <c r="J917" s="68"/>
      <c r="K917" s="68"/>
      <c r="L917" s="68"/>
      <c r="N917" s="75"/>
    </row>
    <row r="918" spans="1:14" ht="12.5" x14ac:dyDescent="0.25">
      <c r="A918" s="14"/>
      <c r="C918" s="68"/>
      <c r="D918" s="68"/>
      <c r="E918" s="68"/>
      <c r="F918" s="68"/>
      <c r="G918" s="68"/>
      <c r="H918" s="68"/>
      <c r="I918" s="68"/>
      <c r="J918" s="68"/>
      <c r="K918" s="68"/>
      <c r="L918" s="68"/>
      <c r="N918" s="75"/>
    </row>
    <row r="919" spans="1:14" ht="12.5" x14ac:dyDescent="0.25">
      <c r="A919" s="14"/>
      <c r="C919" s="68"/>
      <c r="D919" s="68"/>
      <c r="E919" s="68"/>
      <c r="F919" s="68"/>
      <c r="G919" s="68"/>
      <c r="H919" s="68"/>
      <c r="I919" s="68"/>
      <c r="J919" s="68"/>
      <c r="K919" s="68"/>
      <c r="L919" s="68"/>
      <c r="N919" s="75"/>
    </row>
    <row r="920" spans="1:14" ht="12.5" x14ac:dyDescent="0.25">
      <c r="A920" s="14"/>
      <c r="C920" s="68"/>
      <c r="D920" s="68"/>
      <c r="E920" s="68"/>
      <c r="F920" s="68"/>
      <c r="G920" s="68"/>
      <c r="H920" s="68"/>
      <c r="I920" s="68"/>
      <c r="J920" s="68"/>
      <c r="K920" s="68"/>
      <c r="L920" s="68"/>
      <c r="N920" s="75"/>
    </row>
    <row r="921" spans="1:14" ht="12.5" x14ac:dyDescent="0.25">
      <c r="A921" s="14"/>
      <c r="C921" s="68"/>
      <c r="D921" s="68"/>
      <c r="E921" s="68"/>
      <c r="F921" s="68"/>
      <c r="G921" s="68"/>
      <c r="H921" s="68"/>
      <c r="I921" s="68"/>
      <c r="J921" s="68"/>
      <c r="K921" s="68"/>
      <c r="L921" s="68"/>
      <c r="N921" s="75"/>
    </row>
    <row r="922" spans="1:14" ht="12.5" x14ac:dyDescent="0.25">
      <c r="A922" s="14"/>
      <c r="C922" s="68"/>
      <c r="D922" s="68"/>
      <c r="E922" s="68"/>
      <c r="F922" s="68"/>
      <c r="G922" s="68"/>
      <c r="H922" s="68"/>
      <c r="I922" s="68"/>
      <c r="J922" s="68"/>
      <c r="K922" s="68"/>
      <c r="L922" s="68"/>
      <c r="N922" s="75"/>
    </row>
    <row r="923" spans="1:14" ht="12.5" x14ac:dyDescent="0.25">
      <c r="A923" s="14"/>
      <c r="C923" s="68"/>
      <c r="D923" s="68"/>
      <c r="E923" s="68"/>
      <c r="F923" s="68"/>
      <c r="G923" s="68"/>
      <c r="H923" s="68"/>
      <c r="I923" s="68"/>
      <c r="J923" s="68"/>
      <c r="K923" s="68"/>
      <c r="L923" s="68"/>
      <c r="N923" s="75"/>
    </row>
    <row r="924" spans="1:14" ht="12.5" x14ac:dyDescent="0.25">
      <c r="A924" s="14"/>
      <c r="C924" s="68"/>
      <c r="D924" s="68"/>
      <c r="E924" s="68"/>
      <c r="F924" s="68"/>
      <c r="G924" s="68"/>
      <c r="H924" s="68"/>
      <c r="I924" s="68"/>
      <c r="J924" s="68"/>
      <c r="K924" s="68"/>
      <c r="L924" s="68"/>
      <c r="N924" s="75"/>
    </row>
    <row r="925" spans="1:14" ht="12.5" x14ac:dyDescent="0.25">
      <c r="A925" s="14"/>
      <c r="C925" s="68"/>
      <c r="D925" s="68"/>
      <c r="E925" s="68"/>
      <c r="F925" s="68"/>
      <c r="G925" s="68"/>
      <c r="H925" s="68"/>
      <c r="I925" s="68"/>
      <c r="J925" s="68"/>
      <c r="K925" s="68"/>
      <c r="L925" s="68"/>
      <c r="N925" s="75"/>
    </row>
    <row r="926" spans="1:14" ht="12.5" x14ac:dyDescent="0.25">
      <c r="A926" s="14"/>
      <c r="C926" s="68"/>
      <c r="D926" s="68"/>
      <c r="E926" s="68"/>
      <c r="F926" s="68"/>
      <c r="G926" s="68"/>
      <c r="H926" s="68"/>
      <c r="I926" s="68"/>
      <c r="J926" s="68"/>
      <c r="K926" s="68"/>
      <c r="L926" s="68"/>
      <c r="N926" s="75"/>
    </row>
    <row r="927" spans="1:14" ht="12.5" x14ac:dyDescent="0.25">
      <c r="A927" s="14"/>
      <c r="C927" s="68"/>
      <c r="D927" s="68"/>
      <c r="E927" s="68"/>
      <c r="F927" s="68"/>
      <c r="G927" s="68"/>
      <c r="H927" s="68"/>
      <c r="I927" s="68"/>
      <c r="J927" s="68"/>
      <c r="K927" s="68"/>
      <c r="L927" s="68"/>
      <c r="N927" s="75"/>
    </row>
    <row r="928" spans="1:14" ht="12.5" x14ac:dyDescent="0.25">
      <c r="A928" s="14"/>
      <c r="C928" s="68"/>
      <c r="D928" s="68"/>
      <c r="E928" s="68"/>
      <c r="F928" s="68"/>
      <c r="G928" s="68"/>
      <c r="H928" s="68"/>
      <c r="I928" s="68"/>
      <c r="J928" s="68"/>
      <c r="K928" s="68"/>
      <c r="L928" s="68"/>
      <c r="N928" s="75"/>
    </row>
    <row r="929" spans="1:14" ht="12.5" x14ac:dyDescent="0.25">
      <c r="A929" s="14"/>
      <c r="C929" s="68"/>
      <c r="D929" s="68"/>
      <c r="E929" s="68"/>
      <c r="F929" s="68"/>
      <c r="G929" s="68"/>
      <c r="H929" s="68"/>
      <c r="I929" s="68"/>
      <c r="J929" s="68"/>
      <c r="K929" s="68"/>
      <c r="L929" s="68"/>
      <c r="N929" s="75"/>
    </row>
    <row r="930" spans="1:14" ht="12.5" x14ac:dyDescent="0.25">
      <c r="A930" s="14"/>
      <c r="C930" s="68"/>
      <c r="D930" s="68"/>
      <c r="E930" s="68"/>
      <c r="F930" s="68"/>
      <c r="G930" s="68"/>
      <c r="H930" s="68"/>
      <c r="I930" s="68"/>
      <c r="J930" s="68"/>
      <c r="K930" s="68"/>
      <c r="L930" s="68"/>
      <c r="N930" s="75"/>
    </row>
    <row r="931" spans="1:14" ht="12.5" x14ac:dyDescent="0.25">
      <c r="A931" s="14"/>
      <c r="C931" s="68"/>
      <c r="D931" s="68"/>
      <c r="E931" s="68"/>
      <c r="F931" s="68"/>
      <c r="G931" s="68"/>
      <c r="H931" s="68"/>
      <c r="I931" s="68"/>
      <c r="J931" s="68"/>
      <c r="K931" s="68"/>
      <c r="L931" s="68"/>
      <c r="N931" s="75"/>
    </row>
    <row r="932" spans="1:14" ht="12.5" x14ac:dyDescent="0.25">
      <c r="A932" s="14"/>
      <c r="C932" s="68"/>
      <c r="D932" s="68"/>
      <c r="E932" s="68"/>
      <c r="F932" s="68"/>
      <c r="G932" s="68"/>
      <c r="H932" s="68"/>
      <c r="I932" s="68"/>
      <c r="J932" s="68"/>
      <c r="K932" s="68"/>
      <c r="L932" s="68"/>
      <c r="N932" s="75"/>
    </row>
    <row r="933" spans="1:14" ht="12.5" x14ac:dyDescent="0.25">
      <c r="A933" s="14"/>
      <c r="C933" s="68"/>
      <c r="D933" s="68"/>
      <c r="E933" s="68"/>
      <c r="F933" s="68"/>
      <c r="G933" s="68"/>
      <c r="H933" s="68"/>
      <c r="I933" s="68"/>
      <c r="J933" s="68"/>
      <c r="K933" s="68"/>
      <c r="L933" s="68"/>
      <c r="N933" s="75"/>
    </row>
    <row r="934" spans="1:14" ht="12.5" x14ac:dyDescent="0.25">
      <c r="A934" s="14"/>
      <c r="C934" s="68"/>
      <c r="D934" s="68"/>
      <c r="E934" s="68"/>
      <c r="F934" s="68"/>
      <c r="G934" s="68"/>
      <c r="H934" s="68"/>
      <c r="I934" s="68"/>
      <c r="J934" s="68"/>
      <c r="K934" s="68"/>
      <c r="L934" s="68"/>
      <c r="N934" s="75"/>
    </row>
    <row r="935" spans="1:14" ht="12.5" x14ac:dyDescent="0.25">
      <c r="A935" s="14"/>
      <c r="C935" s="68"/>
      <c r="D935" s="68"/>
      <c r="E935" s="68"/>
      <c r="F935" s="68"/>
      <c r="G935" s="68"/>
      <c r="H935" s="68"/>
      <c r="I935" s="68"/>
      <c r="J935" s="68"/>
      <c r="K935" s="68"/>
      <c r="L935" s="68"/>
      <c r="N935" s="75"/>
    </row>
    <row r="936" spans="1:14" ht="12.5" x14ac:dyDescent="0.25">
      <c r="A936" s="14"/>
      <c r="C936" s="68"/>
      <c r="D936" s="68"/>
      <c r="E936" s="68"/>
      <c r="F936" s="68"/>
      <c r="G936" s="68"/>
      <c r="H936" s="68"/>
      <c r="I936" s="68"/>
      <c r="J936" s="68"/>
      <c r="K936" s="68"/>
      <c r="L936" s="68"/>
      <c r="N936" s="75"/>
    </row>
    <row r="937" spans="1:14" ht="12.5" x14ac:dyDescent="0.25">
      <c r="A937" s="14"/>
      <c r="C937" s="68"/>
      <c r="D937" s="68"/>
      <c r="E937" s="68"/>
      <c r="F937" s="68"/>
      <c r="G937" s="68"/>
      <c r="H937" s="68"/>
      <c r="I937" s="68"/>
      <c r="J937" s="68"/>
      <c r="K937" s="68"/>
      <c r="L937" s="68"/>
      <c r="N937" s="75"/>
    </row>
    <row r="938" spans="1:14" ht="12.5" x14ac:dyDescent="0.25">
      <c r="A938" s="14"/>
      <c r="C938" s="68"/>
      <c r="D938" s="68"/>
      <c r="E938" s="68"/>
      <c r="F938" s="68"/>
      <c r="G938" s="68"/>
      <c r="H938" s="68"/>
      <c r="I938" s="68"/>
      <c r="J938" s="68"/>
      <c r="K938" s="68"/>
      <c r="L938" s="68"/>
      <c r="N938" s="75"/>
    </row>
    <row r="939" spans="1:14" ht="12.5" x14ac:dyDescent="0.25">
      <c r="A939" s="14"/>
      <c r="C939" s="68"/>
      <c r="D939" s="68"/>
      <c r="E939" s="68"/>
      <c r="F939" s="68"/>
      <c r="G939" s="68"/>
      <c r="H939" s="68"/>
      <c r="I939" s="68"/>
      <c r="J939" s="68"/>
      <c r="K939" s="68"/>
      <c r="L939" s="68"/>
      <c r="N939" s="75"/>
    </row>
    <row r="940" spans="1:14" ht="12.5" x14ac:dyDescent="0.25">
      <c r="A940" s="14"/>
      <c r="C940" s="68"/>
      <c r="D940" s="68"/>
      <c r="E940" s="68"/>
      <c r="F940" s="68"/>
      <c r="G940" s="68"/>
      <c r="H940" s="68"/>
      <c r="I940" s="68"/>
      <c r="J940" s="68"/>
      <c r="K940" s="68"/>
      <c r="L940" s="68"/>
      <c r="N940" s="75"/>
    </row>
    <row r="941" spans="1:14" ht="12.5" x14ac:dyDescent="0.25">
      <c r="A941" s="14"/>
      <c r="C941" s="68"/>
      <c r="D941" s="68"/>
      <c r="E941" s="68"/>
      <c r="F941" s="68"/>
      <c r="G941" s="68"/>
      <c r="H941" s="68"/>
      <c r="I941" s="68"/>
      <c r="J941" s="68"/>
      <c r="K941" s="68"/>
      <c r="L941" s="68"/>
      <c r="N941" s="75"/>
    </row>
    <row r="942" spans="1:14" ht="12.5" x14ac:dyDescent="0.25">
      <c r="A942" s="14"/>
      <c r="C942" s="68"/>
      <c r="D942" s="68"/>
      <c r="E942" s="68"/>
      <c r="F942" s="68"/>
      <c r="G942" s="68"/>
      <c r="H942" s="68"/>
      <c r="I942" s="68"/>
      <c r="J942" s="68"/>
      <c r="K942" s="68"/>
      <c r="L942" s="68"/>
      <c r="N942" s="75"/>
    </row>
    <row r="943" spans="1:14" ht="12.5" x14ac:dyDescent="0.25">
      <c r="A943" s="14"/>
      <c r="C943" s="68"/>
      <c r="D943" s="68"/>
      <c r="E943" s="68"/>
      <c r="F943" s="68"/>
      <c r="G943" s="68"/>
      <c r="H943" s="68"/>
      <c r="I943" s="68"/>
      <c r="J943" s="68"/>
      <c r="K943" s="68"/>
      <c r="L943" s="68"/>
      <c r="N943" s="75"/>
    </row>
    <row r="944" spans="1:14" ht="12.5" x14ac:dyDescent="0.25">
      <c r="A944" s="14"/>
      <c r="C944" s="68"/>
      <c r="D944" s="68"/>
      <c r="E944" s="68"/>
      <c r="F944" s="68"/>
      <c r="G944" s="68"/>
      <c r="H944" s="68"/>
      <c r="I944" s="68"/>
      <c r="J944" s="68"/>
      <c r="K944" s="68"/>
      <c r="L944" s="68"/>
      <c r="N944" s="75"/>
    </row>
    <row r="945" spans="1:14" ht="12.5" x14ac:dyDescent="0.25">
      <c r="A945" s="14"/>
      <c r="C945" s="68"/>
      <c r="D945" s="68"/>
      <c r="E945" s="68"/>
      <c r="F945" s="68"/>
      <c r="G945" s="68"/>
      <c r="H945" s="68"/>
      <c r="I945" s="68"/>
      <c r="J945" s="68"/>
      <c r="K945" s="68"/>
      <c r="L945" s="68"/>
      <c r="N945" s="75"/>
    </row>
    <row r="946" spans="1:14" ht="12.5" x14ac:dyDescent="0.25">
      <c r="A946" s="14"/>
      <c r="C946" s="68"/>
      <c r="D946" s="68"/>
      <c r="E946" s="68"/>
      <c r="F946" s="68"/>
      <c r="G946" s="68"/>
      <c r="H946" s="68"/>
      <c r="I946" s="68"/>
      <c r="J946" s="68"/>
      <c r="K946" s="68"/>
      <c r="L946" s="68"/>
      <c r="N946" s="75"/>
    </row>
    <row r="947" spans="1:14" ht="12.5" x14ac:dyDescent="0.25">
      <c r="A947" s="14"/>
      <c r="C947" s="68"/>
      <c r="D947" s="68"/>
      <c r="E947" s="68"/>
      <c r="F947" s="68"/>
      <c r="G947" s="68"/>
      <c r="H947" s="68"/>
      <c r="I947" s="68"/>
      <c r="J947" s="68"/>
      <c r="K947" s="68"/>
      <c r="L947" s="68"/>
      <c r="N947" s="75"/>
    </row>
    <row r="948" spans="1:14" ht="12.5" x14ac:dyDescent="0.25">
      <c r="A948" s="14"/>
      <c r="C948" s="68"/>
      <c r="D948" s="68"/>
      <c r="E948" s="68"/>
      <c r="F948" s="68"/>
      <c r="G948" s="68"/>
      <c r="H948" s="68"/>
      <c r="I948" s="68"/>
      <c r="J948" s="68"/>
      <c r="K948" s="68"/>
      <c r="L948" s="68"/>
      <c r="N948" s="75"/>
    </row>
    <row r="949" spans="1:14" ht="12.5" x14ac:dyDescent="0.25">
      <c r="A949" s="14"/>
      <c r="C949" s="68"/>
      <c r="D949" s="68"/>
      <c r="E949" s="68"/>
      <c r="F949" s="68"/>
      <c r="G949" s="68"/>
      <c r="H949" s="68"/>
      <c r="I949" s="68"/>
      <c r="J949" s="68"/>
      <c r="K949" s="68"/>
      <c r="L949" s="68"/>
      <c r="N949" s="75"/>
    </row>
    <row r="950" spans="1:14" ht="12.5" x14ac:dyDescent="0.25">
      <c r="A950" s="14"/>
      <c r="C950" s="68"/>
      <c r="D950" s="68"/>
      <c r="E950" s="68"/>
      <c r="F950" s="68"/>
      <c r="G950" s="68"/>
      <c r="H950" s="68"/>
      <c r="I950" s="68"/>
      <c r="J950" s="68"/>
      <c r="K950" s="68"/>
      <c r="L950" s="68"/>
      <c r="N950" s="75"/>
    </row>
    <row r="951" spans="1:14" ht="12.5" x14ac:dyDescent="0.25">
      <c r="A951" s="14"/>
      <c r="C951" s="68"/>
      <c r="D951" s="68"/>
      <c r="E951" s="68"/>
      <c r="F951" s="68"/>
      <c r="G951" s="68"/>
      <c r="H951" s="68"/>
      <c r="I951" s="68"/>
      <c r="J951" s="68"/>
      <c r="K951" s="68"/>
      <c r="L951" s="68"/>
      <c r="N951" s="75"/>
    </row>
    <row r="952" spans="1:14" ht="12.5" x14ac:dyDescent="0.25">
      <c r="A952" s="14"/>
      <c r="C952" s="68"/>
      <c r="D952" s="68"/>
      <c r="E952" s="68"/>
      <c r="F952" s="68"/>
      <c r="G952" s="68"/>
      <c r="H952" s="68"/>
      <c r="I952" s="68"/>
      <c r="J952" s="68"/>
      <c r="K952" s="68"/>
      <c r="L952" s="68"/>
      <c r="N952" s="75"/>
    </row>
    <row r="953" spans="1:14" ht="12.5" x14ac:dyDescent="0.25">
      <c r="A953" s="14"/>
      <c r="C953" s="68"/>
      <c r="D953" s="68"/>
      <c r="E953" s="68"/>
      <c r="F953" s="68"/>
      <c r="G953" s="68"/>
      <c r="H953" s="68"/>
      <c r="I953" s="68"/>
      <c r="J953" s="68"/>
      <c r="K953" s="68"/>
      <c r="L953" s="68"/>
      <c r="N953" s="75"/>
    </row>
  </sheetData>
  <mergeCells count="17">
    <mergeCell ref="N4:N5"/>
    <mergeCell ref="N6:N8"/>
    <mergeCell ref="N39:N40"/>
    <mergeCell ref="N41:N43"/>
    <mergeCell ref="N45:N48"/>
    <mergeCell ref="N9:N10"/>
    <mergeCell ref="N13:N14"/>
    <mergeCell ref="N15:N16"/>
    <mergeCell ref="N18:N20"/>
    <mergeCell ref="N28:N30"/>
    <mergeCell ref="N33:N34"/>
    <mergeCell ref="N35:N37"/>
    <mergeCell ref="N2:N3"/>
    <mergeCell ref="O2:O3"/>
    <mergeCell ref="P2:R2"/>
    <mergeCell ref="S2:U2"/>
    <mergeCell ref="V2:X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953"/>
  <sheetViews>
    <sheetView workbookViewId="0"/>
  </sheetViews>
  <sheetFormatPr baseColWidth="10" defaultColWidth="12.6328125" defaultRowHeight="15.75" customHeight="1" x14ac:dyDescent="0.25"/>
  <cols>
    <col min="1" max="1" width="13.36328125" customWidth="1"/>
    <col min="2" max="2" width="27.6328125" customWidth="1"/>
    <col min="4" max="12" width="5.90625" customWidth="1"/>
    <col min="16" max="24" width="6" customWidth="1"/>
  </cols>
  <sheetData>
    <row r="1" spans="1:24" ht="15.75" customHeight="1" x14ac:dyDescent="0.25">
      <c r="A1" s="367" t="s">
        <v>9</v>
      </c>
      <c r="B1" s="395" t="s">
        <v>2040</v>
      </c>
      <c r="K1" s="68"/>
      <c r="L1" s="68"/>
      <c r="N1" s="75"/>
    </row>
    <row r="2" spans="1:24" ht="15.75" customHeight="1" x14ac:dyDescent="0.25">
      <c r="K2" s="68"/>
      <c r="L2" s="68"/>
      <c r="N2" s="303" t="s">
        <v>292</v>
      </c>
      <c r="O2" s="304" t="s">
        <v>293</v>
      </c>
      <c r="P2" s="306">
        <f>E2</f>
        <v>0</v>
      </c>
      <c r="Q2" s="296"/>
      <c r="R2" s="296"/>
      <c r="S2" s="306">
        <f>H2</f>
        <v>0</v>
      </c>
      <c r="T2" s="296"/>
      <c r="U2" s="296"/>
      <c r="V2" s="298"/>
      <c r="W2" s="296"/>
      <c r="X2" s="296"/>
    </row>
    <row r="3" spans="1:24" ht="15.75" customHeight="1" x14ac:dyDescent="0.25">
      <c r="A3" s="348" t="s">
        <v>2033</v>
      </c>
      <c r="B3" s="350"/>
      <c r="C3" s="350"/>
      <c r="D3" s="350"/>
      <c r="E3" s="348" t="s">
        <v>8</v>
      </c>
      <c r="F3" s="349" t="s">
        <v>7</v>
      </c>
      <c r="G3" s="350"/>
      <c r="H3" s="350"/>
      <c r="I3" s="350"/>
      <c r="J3" s="351"/>
      <c r="K3" s="68"/>
      <c r="L3" s="68"/>
      <c r="N3" s="296"/>
      <c r="O3" s="296"/>
      <c r="P3" s="81" t="s">
        <v>19</v>
      </c>
      <c r="Q3" s="81" t="s">
        <v>23</v>
      </c>
      <c r="R3" s="81" t="s">
        <v>25</v>
      </c>
      <c r="S3" s="81" t="s">
        <v>19</v>
      </c>
      <c r="T3" s="81" t="s">
        <v>23</v>
      </c>
      <c r="U3" s="81" t="s">
        <v>25</v>
      </c>
      <c r="V3" s="71"/>
      <c r="W3" s="71"/>
      <c r="X3" s="71"/>
    </row>
    <row r="4" spans="1:24" ht="15.75" customHeight="1" x14ac:dyDescent="0.25">
      <c r="A4" s="352"/>
      <c r="B4" s="394"/>
      <c r="C4" s="394"/>
      <c r="D4" s="394"/>
      <c r="E4" s="347" t="s">
        <v>113</v>
      </c>
      <c r="F4" s="350"/>
      <c r="G4" s="350"/>
      <c r="H4" s="347" t="s">
        <v>20</v>
      </c>
      <c r="I4" s="350"/>
      <c r="J4" s="351"/>
      <c r="K4" s="68"/>
      <c r="L4" s="68"/>
      <c r="N4" s="82">
        <f t="shared" ref="N4:N52" si="0">IF(MID(A4,1,5)="Total",A4,B4)</f>
        <v>0</v>
      </c>
      <c r="O4" s="24">
        <f t="shared" ref="O4:O52" si="1">D4</f>
        <v>0</v>
      </c>
      <c r="P4" s="76" t="e">
        <f t="shared" ref="P4:R4" si="2">E4/SUM($E4:$G4)</f>
        <v>#DIV/0!</v>
      </c>
      <c r="Q4" s="76" t="e">
        <f t="shared" si="2"/>
        <v>#DIV/0!</v>
      </c>
      <c r="R4" s="76" t="e">
        <f t="shared" si="2"/>
        <v>#DIV/0!</v>
      </c>
      <c r="S4" s="76" t="e">
        <f t="shared" ref="S4:U4" si="3">H4/SUM($H4:$J4)</f>
        <v>#DIV/0!</v>
      </c>
      <c r="T4" s="76" t="e">
        <f t="shared" si="3"/>
        <v>#DIV/0!</v>
      </c>
      <c r="U4" s="76" t="e">
        <f t="shared" si="3"/>
        <v>#DIV/0!</v>
      </c>
      <c r="V4" s="76"/>
      <c r="W4" s="76"/>
      <c r="X4" s="76"/>
    </row>
    <row r="5" spans="1:24" ht="15.75" customHeight="1" x14ac:dyDescent="0.25">
      <c r="A5" s="348" t="s">
        <v>1</v>
      </c>
      <c r="B5" s="348" t="s">
        <v>4</v>
      </c>
      <c r="C5" s="348" t="s">
        <v>2</v>
      </c>
      <c r="D5" s="348" t="s">
        <v>3</v>
      </c>
      <c r="E5" s="353" t="s">
        <v>19</v>
      </c>
      <c r="F5" s="369" t="s">
        <v>23</v>
      </c>
      <c r="G5" s="369" t="s">
        <v>25</v>
      </c>
      <c r="H5" s="353" t="s">
        <v>19</v>
      </c>
      <c r="I5" s="369" t="s">
        <v>23</v>
      </c>
      <c r="J5" s="370" t="s">
        <v>25</v>
      </c>
      <c r="K5" s="68"/>
      <c r="L5" s="68"/>
      <c r="N5" s="82" t="str">
        <f t="shared" si="0"/>
        <v>Institución Educativa</v>
      </c>
      <c r="O5" s="24" t="str">
        <f t="shared" si="1"/>
        <v>Grado</v>
      </c>
      <c r="P5" s="76" t="e">
        <f t="shared" ref="P5:R5" si="4">E5/SUM($E5:$G5)</f>
        <v>#VALUE!</v>
      </c>
      <c r="Q5" s="76" t="e">
        <f t="shared" si="4"/>
        <v>#VALUE!</v>
      </c>
      <c r="R5" s="76" t="e">
        <f t="shared" si="4"/>
        <v>#VALUE!</v>
      </c>
      <c r="S5" s="76" t="e">
        <f t="shared" ref="S5:U5" si="5">H5/SUM($H5:$J5)</f>
        <v>#VALUE!</v>
      </c>
      <c r="T5" s="76" t="e">
        <f t="shared" si="5"/>
        <v>#VALUE!</v>
      </c>
      <c r="U5" s="76" t="e">
        <f t="shared" si="5"/>
        <v>#VALUE!</v>
      </c>
      <c r="V5" s="76"/>
      <c r="W5" s="76"/>
      <c r="X5" s="76"/>
    </row>
    <row r="6" spans="1:24" ht="15.75" customHeight="1" x14ac:dyDescent="0.25">
      <c r="A6" s="347" t="s">
        <v>60</v>
      </c>
      <c r="B6" s="353" t="s">
        <v>160</v>
      </c>
      <c r="C6" s="347" t="s">
        <v>15</v>
      </c>
      <c r="D6" s="347" t="s">
        <v>45</v>
      </c>
      <c r="E6" s="356">
        <v>3</v>
      </c>
      <c r="F6" s="379">
        <v>1</v>
      </c>
      <c r="G6" s="379"/>
      <c r="H6" s="356">
        <v>2</v>
      </c>
      <c r="I6" s="379"/>
      <c r="J6" s="390"/>
      <c r="K6" s="68"/>
      <c r="L6" s="68"/>
      <c r="N6" s="82" t="str">
        <f t="shared" si="0"/>
        <v>6010230 BARBARA D'ACHILLE</v>
      </c>
      <c r="O6" s="24" t="str">
        <f t="shared" si="1"/>
        <v>2 Primaria</v>
      </c>
      <c r="P6" s="76">
        <f t="shared" ref="P6:R6" si="6">E6/SUM($E6:$G6)</f>
        <v>0.75</v>
      </c>
      <c r="Q6" s="76">
        <f t="shared" si="6"/>
        <v>0.25</v>
      </c>
      <c r="R6" s="76">
        <f t="shared" si="6"/>
        <v>0</v>
      </c>
      <c r="S6" s="76">
        <f t="shared" ref="S6:U6" si="7">H6/SUM($H6:$J6)</f>
        <v>1</v>
      </c>
      <c r="T6" s="76">
        <f t="shared" si="7"/>
        <v>0</v>
      </c>
      <c r="U6" s="76">
        <f t="shared" si="7"/>
        <v>0</v>
      </c>
      <c r="V6" s="76"/>
      <c r="W6" s="76"/>
      <c r="X6" s="76"/>
    </row>
    <row r="7" spans="1:24" ht="15.75" customHeight="1" x14ac:dyDescent="0.25">
      <c r="A7" s="352"/>
      <c r="B7" s="353" t="s">
        <v>92</v>
      </c>
      <c r="C7" s="347" t="s">
        <v>15</v>
      </c>
      <c r="D7" s="347" t="s">
        <v>16</v>
      </c>
      <c r="E7" s="356">
        <v>16</v>
      </c>
      <c r="F7" s="379"/>
      <c r="G7" s="379"/>
      <c r="H7" s="356">
        <v>9</v>
      </c>
      <c r="I7" s="379">
        <v>2</v>
      </c>
      <c r="J7" s="390"/>
      <c r="K7" s="68"/>
      <c r="L7" s="68"/>
      <c r="N7" s="75" t="str">
        <f t="shared" si="0"/>
        <v>60133</v>
      </c>
      <c r="O7" s="24" t="str">
        <f t="shared" si="1"/>
        <v>4 Primaria</v>
      </c>
      <c r="P7" s="76">
        <f t="shared" ref="P7:R7" si="8">E7/SUM($E7:$G7)</f>
        <v>1</v>
      </c>
      <c r="Q7" s="76">
        <f t="shared" si="8"/>
        <v>0</v>
      </c>
      <c r="R7" s="76">
        <f t="shared" si="8"/>
        <v>0</v>
      </c>
      <c r="S7" s="76">
        <f t="shared" ref="S7:U7" si="9">H7/SUM($H7:$J7)</f>
        <v>0.81818181818181823</v>
      </c>
      <c r="T7" s="76">
        <f t="shared" si="9"/>
        <v>0.18181818181818182</v>
      </c>
      <c r="U7" s="76">
        <f t="shared" si="9"/>
        <v>0</v>
      </c>
      <c r="V7" s="76"/>
      <c r="W7" s="76"/>
      <c r="X7" s="76"/>
    </row>
    <row r="8" spans="1:24" ht="15.75" customHeight="1" x14ac:dyDescent="0.25">
      <c r="A8" s="352"/>
      <c r="B8" s="353" t="s">
        <v>94</v>
      </c>
      <c r="C8" s="347" t="s">
        <v>15</v>
      </c>
      <c r="D8" s="347" t="s">
        <v>45</v>
      </c>
      <c r="E8" s="356">
        <v>2</v>
      </c>
      <c r="F8" s="379">
        <v>4</v>
      </c>
      <c r="G8" s="379">
        <v>2</v>
      </c>
      <c r="H8" s="356">
        <v>2</v>
      </c>
      <c r="I8" s="379">
        <v>1</v>
      </c>
      <c r="J8" s="390"/>
      <c r="K8" s="68"/>
      <c r="L8" s="68"/>
      <c r="N8" s="82" t="str">
        <f t="shared" si="0"/>
        <v>601448</v>
      </c>
      <c r="O8" s="24" t="str">
        <f t="shared" si="1"/>
        <v>2 Primaria</v>
      </c>
      <c r="P8" s="76">
        <f t="shared" ref="P8:R8" si="10">E8/SUM($E8:$G8)</f>
        <v>0.25</v>
      </c>
      <c r="Q8" s="76">
        <f t="shared" si="10"/>
        <v>0.5</v>
      </c>
      <c r="R8" s="76">
        <f t="shared" si="10"/>
        <v>0.25</v>
      </c>
      <c r="S8" s="76">
        <f t="shared" ref="S8:U8" si="11">H8/SUM($H8:$J8)</f>
        <v>0.66666666666666663</v>
      </c>
      <c r="T8" s="76">
        <f t="shared" si="11"/>
        <v>0.33333333333333331</v>
      </c>
      <c r="U8" s="76">
        <f t="shared" si="11"/>
        <v>0</v>
      </c>
      <c r="V8" s="76"/>
      <c r="W8" s="76"/>
      <c r="X8" s="76"/>
    </row>
    <row r="9" spans="1:24" ht="15.75" customHeight="1" x14ac:dyDescent="0.25">
      <c r="A9" s="352"/>
      <c r="B9" s="352"/>
      <c r="C9" s="352"/>
      <c r="D9" s="372" t="s">
        <v>37</v>
      </c>
      <c r="E9" s="360">
        <v>3</v>
      </c>
      <c r="F9" s="381">
        <v>1</v>
      </c>
      <c r="G9" s="381">
        <v>1</v>
      </c>
      <c r="H9" s="360">
        <v>2</v>
      </c>
      <c r="I9" s="381"/>
      <c r="J9" s="391"/>
      <c r="K9" s="68"/>
      <c r="L9" s="68"/>
      <c r="N9" s="75">
        <f t="shared" si="0"/>
        <v>0</v>
      </c>
      <c r="O9" s="24" t="str">
        <f t="shared" si="1"/>
        <v>6 Primaria</v>
      </c>
      <c r="P9" s="76">
        <f t="shared" ref="P9:R9" si="12">E9/SUM($E9:$G9)</f>
        <v>0.6</v>
      </c>
      <c r="Q9" s="76">
        <f t="shared" si="12"/>
        <v>0.2</v>
      </c>
      <c r="R9" s="76">
        <f t="shared" si="12"/>
        <v>0.2</v>
      </c>
      <c r="S9" s="76">
        <f t="shared" ref="S9:U9" si="13">H9/SUM($H9:$J9)</f>
        <v>1</v>
      </c>
      <c r="T9" s="76">
        <f t="shared" si="13"/>
        <v>0</v>
      </c>
      <c r="U9" s="76">
        <f t="shared" si="13"/>
        <v>0</v>
      </c>
      <c r="V9" s="76"/>
      <c r="W9" s="76"/>
      <c r="X9" s="76"/>
    </row>
    <row r="10" spans="1:24" ht="15.75" customHeight="1" x14ac:dyDescent="0.25">
      <c r="A10" s="352"/>
      <c r="B10" s="353" t="s">
        <v>140</v>
      </c>
      <c r="C10" s="347" t="s">
        <v>15</v>
      </c>
      <c r="D10" s="347" t="s">
        <v>45</v>
      </c>
      <c r="E10" s="356">
        <v>3</v>
      </c>
      <c r="F10" s="379">
        <v>1</v>
      </c>
      <c r="G10" s="379"/>
      <c r="H10" s="356">
        <v>1</v>
      </c>
      <c r="I10" s="379"/>
      <c r="J10" s="390"/>
      <c r="K10" s="68"/>
      <c r="L10" s="68"/>
      <c r="N10" s="75" t="str">
        <f t="shared" si="0"/>
        <v>601514</v>
      </c>
      <c r="O10" s="24" t="str">
        <f t="shared" si="1"/>
        <v>2 Primaria</v>
      </c>
      <c r="P10" s="76">
        <f t="shared" ref="P10:R10" si="14">E10/SUM($E10:$G10)</f>
        <v>0.75</v>
      </c>
      <c r="Q10" s="76">
        <f t="shared" si="14"/>
        <v>0.25</v>
      </c>
      <c r="R10" s="76">
        <f t="shared" si="14"/>
        <v>0</v>
      </c>
      <c r="S10" s="76">
        <f t="shared" ref="S10:U10" si="15">H10/SUM($H10:$J10)</f>
        <v>1</v>
      </c>
      <c r="T10" s="76">
        <f t="shared" si="15"/>
        <v>0</v>
      </c>
      <c r="U10" s="76">
        <f t="shared" si="15"/>
        <v>0</v>
      </c>
      <c r="V10" s="76"/>
      <c r="W10" s="76"/>
      <c r="X10" s="76"/>
    </row>
    <row r="11" spans="1:24" ht="15.75" customHeight="1" x14ac:dyDescent="0.25">
      <c r="A11" s="352"/>
      <c r="B11" s="352"/>
      <c r="C11" s="352"/>
      <c r="D11" s="372" t="s">
        <v>16</v>
      </c>
      <c r="E11" s="360">
        <v>3</v>
      </c>
      <c r="F11" s="381">
        <v>5</v>
      </c>
      <c r="G11" s="381"/>
      <c r="H11" s="360">
        <v>1</v>
      </c>
      <c r="I11" s="381"/>
      <c r="J11" s="391"/>
      <c r="K11" s="68"/>
      <c r="L11" s="68"/>
      <c r="N11" s="82">
        <f t="shared" si="0"/>
        <v>0</v>
      </c>
      <c r="O11" s="24" t="str">
        <f t="shared" si="1"/>
        <v>4 Primaria</v>
      </c>
      <c r="P11" s="76">
        <f t="shared" ref="P11:R11" si="16">E11/SUM($E11:$G11)</f>
        <v>0.375</v>
      </c>
      <c r="Q11" s="76">
        <f t="shared" si="16"/>
        <v>0.625</v>
      </c>
      <c r="R11" s="76">
        <f t="shared" si="16"/>
        <v>0</v>
      </c>
      <c r="S11" s="76">
        <f t="shared" ref="S11:U11" si="17">H11/SUM($H11:$J11)</f>
        <v>1</v>
      </c>
      <c r="T11" s="76">
        <f t="shared" si="17"/>
        <v>0</v>
      </c>
      <c r="U11" s="76">
        <f t="shared" si="17"/>
        <v>0</v>
      </c>
      <c r="V11" s="76"/>
      <c r="W11" s="76"/>
      <c r="X11" s="76"/>
    </row>
    <row r="12" spans="1:24" ht="15.75" customHeight="1" x14ac:dyDescent="0.25">
      <c r="A12" s="352"/>
      <c r="B12" s="352"/>
      <c r="C12" s="352"/>
      <c r="D12" s="372" t="s">
        <v>37</v>
      </c>
      <c r="E12" s="360">
        <v>7</v>
      </c>
      <c r="F12" s="381">
        <v>2</v>
      </c>
      <c r="G12" s="381"/>
      <c r="H12" s="360">
        <v>2</v>
      </c>
      <c r="I12" s="381"/>
      <c r="J12" s="391"/>
      <c r="K12" s="68"/>
      <c r="L12" s="68"/>
      <c r="N12" s="82">
        <f t="shared" si="0"/>
        <v>0</v>
      </c>
      <c r="O12" s="24" t="str">
        <f t="shared" si="1"/>
        <v>6 Primaria</v>
      </c>
      <c r="P12" s="76">
        <f t="shared" ref="P12:R12" si="18">E12/SUM($E12:$G12)</f>
        <v>0.77777777777777779</v>
      </c>
      <c r="Q12" s="76">
        <f t="shared" si="18"/>
        <v>0.22222222222222221</v>
      </c>
      <c r="R12" s="76">
        <f t="shared" si="18"/>
        <v>0</v>
      </c>
      <c r="S12" s="76">
        <f t="shared" ref="S12:U12" si="19">H12/SUM($H12:$J12)</f>
        <v>1</v>
      </c>
      <c r="T12" s="76">
        <f t="shared" si="19"/>
        <v>0</v>
      </c>
      <c r="U12" s="76">
        <f t="shared" si="19"/>
        <v>0</v>
      </c>
      <c r="V12" s="76"/>
      <c r="W12" s="76"/>
      <c r="X12" s="76"/>
    </row>
    <row r="13" spans="1:24" ht="15.75" customHeight="1" x14ac:dyDescent="0.25">
      <c r="A13" s="352"/>
      <c r="B13" s="353" t="s">
        <v>138</v>
      </c>
      <c r="C13" s="347" t="s">
        <v>15</v>
      </c>
      <c r="D13" s="347" t="s">
        <v>16</v>
      </c>
      <c r="E13" s="356"/>
      <c r="F13" s="379">
        <v>1</v>
      </c>
      <c r="G13" s="379"/>
      <c r="H13" s="356"/>
      <c r="I13" s="379">
        <v>1</v>
      </c>
      <c r="J13" s="390"/>
      <c r="K13" s="68"/>
      <c r="L13" s="68"/>
      <c r="N13" s="82" t="str">
        <f t="shared" si="0"/>
        <v>601614</v>
      </c>
      <c r="O13" s="24" t="str">
        <f t="shared" si="1"/>
        <v>4 Primaria</v>
      </c>
      <c r="P13" s="76">
        <f t="shared" ref="P13:R13" si="20">E13/SUM($E13:$G13)</f>
        <v>0</v>
      </c>
      <c r="Q13" s="76">
        <f t="shared" si="20"/>
        <v>1</v>
      </c>
      <c r="R13" s="76">
        <f t="shared" si="20"/>
        <v>0</v>
      </c>
      <c r="S13" s="76">
        <f t="shared" ref="S13:U13" si="21">H13/SUM($H13:$J13)</f>
        <v>0</v>
      </c>
      <c r="T13" s="76">
        <f t="shared" si="21"/>
        <v>1</v>
      </c>
      <c r="U13" s="76">
        <f t="shared" si="21"/>
        <v>0</v>
      </c>
      <c r="V13" s="76"/>
      <c r="W13" s="76"/>
      <c r="X13" s="76"/>
    </row>
    <row r="14" spans="1:24" ht="15.75" customHeight="1" x14ac:dyDescent="0.25">
      <c r="A14" s="347" t="s">
        <v>277</v>
      </c>
      <c r="B14" s="350"/>
      <c r="C14" s="350"/>
      <c r="D14" s="350"/>
      <c r="E14" s="356">
        <v>37</v>
      </c>
      <c r="F14" s="379">
        <v>15</v>
      </c>
      <c r="G14" s="379">
        <v>3</v>
      </c>
      <c r="H14" s="356">
        <v>19</v>
      </c>
      <c r="I14" s="379">
        <v>4</v>
      </c>
      <c r="J14" s="390"/>
      <c r="K14" s="68"/>
      <c r="L14" s="68"/>
      <c r="N14" s="82" t="str">
        <f t="shared" si="0"/>
        <v>Total 47. Loreto</v>
      </c>
      <c r="O14" s="24">
        <f t="shared" si="1"/>
        <v>0</v>
      </c>
      <c r="P14" s="76">
        <f t="shared" ref="P14:R14" si="22">E14/SUM($E14:$G14)</f>
        <v>0.67272727272727273</v>
      </c>
      <c r="Q14" s="76">
        <f t="shared" si="22"/>
        <v>0.27272727272727271</v>
      </c>
      <c r="R14" s="76">
        <f t="shared" si="22"/>
        <v>5.4545454545454543E-2</v>
      </c>
      <c r="S14" s="76">
        <f t="shared" ref="S14:U14" si="23">H14/SUM($H14:$J14)</f>
        <v>0.82608695652173914</v>
      </c>
      <c r="T14" s="76">
        <f t="shared" si="23"/>
        <v>0.17391304347826086</v>
      </c>
      <c r="U14" s="76">
        <f t="shared" si="23"/>
        <v>0</v>
      </c>
      <c r="V14" s="76"/>
      <c r="W14" s="76"/>
      <c r="X14" s="76"/>
    </row>
    <row r="15" spans="1:24" ht="15.75" customHeight="1" x14ac:dyDescent="0.25">
      <c r="A15" s="347" t="s">
        <v>14</v>
      </c>
      <c r="B15" s="353" t="s">
        <v>35</v>
      </c>
      <c r="C15" s="347" t="s">
        <v>15</v>
      </c>
      <c r="D15" s="347" t="s">
        <v>37</v>
      </c>
      <c r="E15" s="356">
        <v>1</v>
      </c>
      <c r="F15" s="379">
        <v>2</v>
      </c>
      <c r="G15" s="379"/>
      <c r="H15" s="356"/>
      <c r="I15" s="379">
        <v>1</v>
      </c>
      <c r="J15" s="390"/>
      <c r="K15" s="68"/>
      <c r="L15" s="68"/>
      <c r="N15" s="75" t="str">
        <f t="shared" si="0"/>
        <v>14045</v>
      </c>
      <c r="O15" s="24" t="str">
        <f t="shared" si="1"/>
        <v>6 Primaria</v>
      </c>
      <c r="P15" s="76">
        <f t="shared" ref="P15:R15" si="24">E15/SUM($E15:$G15)</f>
        <v>0.33333333333333331</v>
      </c>
      <c r="Q15" s="76">
        <f t="shared" si="24"/>
        <v>0.66666666666666663</v>
      </c>
      <c r="R15" s="76">
        <f t="shared" si="24"/>
        <v>0</v>
      </c>
      <c r="S15" s="76">
        <f t="shared" ref="S15:U15" si="25">H15/SUM($H15:$J15)</f>
        <v>0</v>
      </c>
      <c r="T15" s="76">
        <f t="shared" si="25"/>
        <v>1</v>
      </c>
      <c r="U15" s="76">
        <f t="shared" si="25"/>
        <v>0</v>
      </c>
      <c r="V15" s="76"/>
      <c r="W15" s="76"/>
      <c r="X15" s="76"/>
    </row>
    <row r="16" spans="1:24" ht="15.75" customHeight="1" x14ac:dyDescent="0.25">
      <c r="A16" s="352"/>
      <c r="B16" s="353" t="s">
        <v>33</v>
      </c>
      <c r="C16" s="347" t="s">
        <v>15</v>
      </c>
      <c r="D16" s="347" t="s">
        <v>45</v>
      </c>
      <c r="E16" s="356"/>
      <c r="F16" s="379">
        <v>2</v>
      </c>
      <c r="G16" s="379"/>
      <c r="H16" s="356">
        <v>1</v>
      </c>
      <c r="I16" s="379"/>
      <c r="J16" s="390"/>
      <c r="K16" s="68"/>
      <c r="L16" s="68"/>
      <c r="N16" s="75" t="str">
        <f t="shared" si="0"/>
        <v>14141</v>
      </c>
      <c r="O16" s="24" t="str">
        <f t="shared" si="1"/>
        <v>2 Primaria</v>
      </c>
      <c r="P16" s="76">
        <f t="shared" ref="P16:R16" si="26">E16/SUM($E16:$G16)</f>
        <v>0</v>
      </c>
      <c r="Q16" s="76">
        <f t="shared" si="26"/>
        <v>1</v>
      </c>
      <c r="R16" s="76">
        <f t="shared" si="26"/>
        <v>0</v>
      </c>
      <c r="S16" s="76">
        <f t="shared" ref="S16:U16" si="27">H16/SUM($H16:$J16)</f>
        <v>1</v>
      </c>
      <c r="T16" s="76">
        <f t="shared" si="27"/>
        <v>0</v>
      </c>
      <c r="U16" s="76">
        <f t="shared" si="27"/>
        <v>0</v>
      </c>
      <c r="V16" s="76"/>
      <c r="W16" s="76"/>
      <c r="X16" s="76"/>
    </row>
    <row r="17" spans="1:24" ht="15.75" customHeight="1" x14ac:dyDescent="0.25">
      <c r="A17" s="352"/>
      <c r="B17" s="352"/>
      <c r="C17" s="352"/>
      <c r="D17" s="372" t="s">
        <v>16</v>
      </c>
      <c r="E17" s="360">
        <v>3</v>
      </c>
      <c r="F17" s="381">
        <v>3</v>
      </c>
      <c r="G17" s="381"/>
      <c r="H17" s="360">
        <v>1</v>
      </c>
      <c r="I17" s="381"/>
      <c r="J17" s="391"/>
      <c r="K17" s="68"/>
      <c r="L17" s="68"/>
      <c r="N17" s="82">
        <f t="shared" si="0"/>
        <v>0</v>
      </c>
      <c r="O17" s="24" t="str">
        <f t="shared" si="1"/>
        <v>4 Primaria</v>
      </c>
      <c r="P17" s="76">
        <f t="shared" ref="P17:R17" si="28">E17/SUM($E17:$G17)</f>
        <v>0.5</v>
      </c>
      <c r="Q17" s="76">
        <f t="shared" si="28"/>
        <v>0.5</v>
      </c>
      <c r="R17" s="76">
        <f t="shared" si="28"/>
        <v>0</v>
      </c>
      <c r="S17" s="76">
        <f t="shared" ref="S17:U17" si="29">H17/SUM($H17:$J17)</f>
        <v>1</v>
      </c>
      <c r="T17" s="76">
        <f t="shared" si="29"/>
        <v>0</v>
      </c>
      <c r="U17" s="76">
        <f t="shared" si="29"/>
        <v>0</v>
      </c>
      <c r="V17" s="76"/>
      <c r="W17" s="76"/>
      <c r="X17" s="76"/>
    </row>
    <row r="18" spans="1:24" ht="15.75" customHeight="1" x14ac:dyDescent="0.25">
      <c r="A18" s="352"/>
      <c r="B18" s="352"/>
      <c r="C18" s="352"/>
      <c r="D18" s="372" t="s">
        <v>37</v>
      </c>
      <c r="E18" s="360"/>
      <c r="F18" s="381">
        <v>5</v>
      </c>
      <c r="G18" s="381"/>
      <c r="H18" s="360">
        <v>1</v>
      </c>
      <c r="I18" s="381"/>
      <c r="J18" s="391"/>
      <c r="K18" s="68"/>
      <c r="L18" s="68"/>
      <c r="N18" s="75">
        <f t="shared" si="0"/>
        <v>0</v>
      </c>
      <c r="O18" s="24" t="str">
        <f t="shared" si="1"/>
        <v>6 Primaria</v>
      </c>
      <c r="P18" s="76">
        <f t="shared" ref="P18:R18" si="30">E18/SUM($E18:$G18)</f>
        <v>0</v>
      </c>
      <c r="Q18" s="76">
        <f t="shared" si="30"/>
        <v>1</v>
      </c>
      <c r="R18" s="76">
        <f t="shared" si="30"/>
        <v>0</v>
      </c>
      <c r="S18" s="76">
        <f t="shared" ref="S18:U18" si="31">H18/SUM($H18:$J18)</f>
        <v>1</v>
      </c>
      <c r="T18" s="76">
        <f t="shared" si="31"/>
        <v>0</v>
      </c>
      <c r="U18" s="76">
        <f t="shared" si="31"/>
        <v>0</v>
      </c>
      <c r="V18" s="76"/>
      <c r="W18" s="76"/>
      <c r="X18" s="76"/>
    </row>
    <row r="19" spans="1:24" ht="15.75" customHeight="1" x14ac:dyDescent="0.25">
      <c r="A19" s="352"/>
      <c r="B19" s="353" t="s">
        <v>30</v>
      </c>
      <c r="C19" s="347" t="s">
        <v>15</v>
      </c>
      <c r="D19" s="347" t="s">
        <v>45</v>
      </c>
      <c r="E19" s="356">
        <v>20</v>
      </c>
      <c r="F19" s="379">
        <v>26</v>
      </c>
      <c r="G19" s="379">
        <v>11</v>
      </c>
      <c r="H19" s="356">
        <v>8</v>
      </c>
      <c r="I19" s="379">
        <v>7</v>
      </c>
      <c r="J19" s="390">
        <v>10</v>
      </c>
      <c r="K19" s="68"/>
      <c r="L19" s="68"/>
      <c r="N19" s="75" t="str">
        <f t="shared" si="0"/>
        <v>14144 SANTA ROSA</v>
      </c>
      <c r="O19" s="24" t="str">
        <f t="shared" si="1"/>
        <v>2 Primaria</v>
      </c>
      <c r="P19" s="76">
        <f t="shared" ref="P19:R19" si="32">E19/SUM($E19:$G19)</f>
        <v>0.35087719298245612</v>
      </c>
      <c r="Q19" s="76">
        <f t="shared" si="32"/>
        <v>0.45614035087719296</v>
      </c>
      <c r="R19" s="76">
        <f t="shared" si="32"/>
        <v>0.19298245614035087</v>
      </c>
      <c r="S19" s="76">
        <f t="shared" ref="S19:U19" si="33">H19/SUM($H19:$J19)</f>
        <v>0.32</v>
      </c>
      <c r="T19" s="76">
        <f t="shared" si="33"/>
        <v>0.28000000000000003</v>
      </c>
      <c r="U19" s="76">
        <f t="shared" si="33"/>
        <v>0.4</v>
      </c>
      <c r="V19" s="76"/>
      <c r="W19" s="76"/>
      <c r="X19" s="76"/>
    </row>
    <row r="20" spans="1:24" ht="15.75" customHeight="1" x14ac:dyDescent="0.25">
      <c r="A20" s="352"/>
      <c r="B20" s="352"/>
      <c r="C20" s="352"/>
      <c r="D20" s="372" t="s">
        <v>16</v>
      </c>
      <c r="E20" s="360">
        <v>58</v>
      </c>
      <c r="F20" s="381">
        <v>16</v>
      </c>
      <c r="G20" s="381">
        <v>6</v>
      </c>
      <c r="H20" s="360">
        <v>9</v>
      </c>
      <c r="I20" s="381">
        <v>9</v>
      </c>
      <c r="J20" s="391">
        <v>2</v>
      </c>
      <c r="K20" s="68"/>
      <c r="L20" s="68"/>
      <c r="N20" s="82">
        <f t="shared" si="0"/>
        <v>0</v>
      </c>
      <c r="O20" s="24" t="str">
        <f t="shared" si="1"/>
        <v>4 Primaria</v>
      </c>
      <c r="P20" s="76">
        <f t="shared" ref="P20:R20" si="34">E20/SUM($E20:$G20)</f>
        <v>0.72499999999999998</v>
      </c>
      <c r="Q20" s="76">
        <f t="shared" si="34"/>
        <v>0.2</v>
      </c>
      <c r="R20" s="76">
        <f t="shared" si="34"/>
        <v>7.4999999999999997E-2</v>
      </c>
      <c r="S20" s="76">
        <f t="shared" ref="S20:U20" si="35">H20/SUM($H20:$J20)</f>
        <v>0.45</v>
      </c>
      <c r="T20" s="76">
        <f t="shared" si="35"/>
        <v>0.45</v>
      </c>
      <c r="U20" s="76">
        <f t="shared" si="35"/>
        <v>0.1</v>
      </c>
      <c r="V20" s="76"/>
      <c r="W20" s="76"/>
      <c r="X20" s="76"/>
    </row>
    <row r="21" spans="1:24" ht="15.75" customHeight="1" x14ac:dyDescent="0.25">
      <c r="A21" s="352"/>
      <c r="B21" s="352"/>
      <c r="C21" s="352"/>
      <c r="D21" s="372" t="s">
        <v>37</v>
      </c>
      <c r="E21" s="360">
        <v>1</v>
      </c>
      <c r="F21" s="381">
        <v>8</v>
      </c>
      <c r="G21" s="381">
        <v>15</v>
      </c>
      <c r="H21" s="360">
        <v>19</v>
      </c>
      <c r="I21" s="381">
        <v>3</v>
      </c>
      <c r="J21" s="391">
        <v>2</v>
      </c>
      <c r="K21" s="68"/>
      <c r="L21" s="68"/>
      <c r="N21" s="75">
        <f t="shared" si="0"/>
        <v>0</v>
      </c>
      <c r="O21" s="24" t="str">
        <f t="shared" si="1"/>
        <v>6 Primaria</v>
      </c>
      <c r="P21" s="76">
        <f t="shared" ref="P21:R21" si="36">E21/SUM($E21:$G21)</f>
        <v>4.1666666666666664E-2</v>
      </c>
      <c r="Q21" s="76">
        <f t="shared" si="36"/>
        <v>0.33333333333333331</v>
      </c>
      <c r="R21" s="76">
        <f t="shared" si="36"/>
        <v>0.625</v>
      </c>
      <c r="S21" s="76">
        <f t="shared" ref="S21:U21" si="37">H21/SUM($H21:$J21)</f>
        <v>0.79166666666666663</v>
      </c>
      <c r="T21" s="76">
        <f t="shared" si="37"/>
        <v>0.125</v>
      </c>
      <c r="U21" s="76">
        <f t="shared" si="37"/>
        <v>8.3333333333333329E-2</v>
      </c>
      <c r="V21" s="76"/>
      <c r="W21" s="76"/>
      <c r="X21" s="76"/>
    </row>
    <row r="22" spans="1:24" ht="15.75" customHeight="1" x14ac:dyDescent="0.25">
      <c r="A22" s="352"/>
      <c r="B22" s="353" t="s">
        <v>36</v>
      </c>
      <c r="C22" s="347" t="s">
        <v>15</v>
      </c>
      <c r="D22" s="347" t="s">
        <v>45</v>
      </c>
      <c r="E22" s="356">
        <v>5</v>
      </c>
      <c r="F22" s="379">
        <v>7</v>
      </c>
      <c r="G22" s="379">
        <v>2</v>
      </c>
      <c r="H22" s="356">
        <v>9</v>
      </c>
      <c r="I22" s="379"/>
      <c r="J22" s="390">
        <v>1</v>
      </c>
      <c r="K22" s="68"/>
      <c r="L22" s="68"/>
      <c r="N22" s="75" t="str">
        <f t="shared" si="0"/>
        <v>14145 SANTA JULIA BILLIART</v>
      </c>
      <c r="O22" s="24" t="str">
        <f t="shared" si="1"/>
        <v>2 Primaria</v>
      </c>
      <c r="P22" s="76">
        <f t="shared" ref="P22:R22" si="38">E22/SUM($E22:$G22)</f>
        <v>0.35714285714285715</v>
      </c>
      <c r="Q22" s="76">
        <f t="shared" si="38"/>
        <v>0.5</v>
      </c>
      <c r="R22" s="76">
        <f t="shared" si="38"/>
        <v>0.14285714285714285</v>
      </c>
      <c r="S22" s="76">
        <f t="shared" ref="S22:U22" si="39">H22/SUM($H22:$J22)</f>
        <v>0.9</v>
      </c>
      <c r="T22" s="76">
        <f t="shared" si="39"/>
        <v>0</v>
      </c>
      <c r="U22" s="76">
        <f t="shared" si="39"/>
        <v>0.1</v>
      </c>
      <c r="V22" s="76"/>
      <c r="W22" s="76"/>
      <c r="X22" s="76"/>
    </row>
    <row r="23" spans="1:24" ht="15.75" customHeight="1" x14ac:dyDescent="0.25">
      <c r="A23" s="352"/>
      <c r="B23" s="352"/>
      <c r="C23" s="352"/>
      <c r="D23" s="372" t="s">
        <v>16</v>
      </c>
      <c r="E23" s="360">
        <v>27</v>
      </c>
      <c r="F23" s="381">
        <v>1</v>
      </c>
      <c r="G23" s="381"/>
      <c r="H23" s="360">
        <v>8</v>
      </c>
      <c r="I23" s="381">
        <v>2</v>
      </c>
      <c r="J23" s="391"/>
      <c r="K23" s="68"/>
      <c r="L23" s="68"/>
      <c r="N23" s="82">
        <f t="shared" si="0"/>
        <v>0</v>
      </c>
      <c r="O23" s="24" t="str">
        <f t="shared" si="1"/>
        <v>4 Primaria</v>
      </c>
      <c r="P23" s="76">
        <f t="shared" ref="P23:R23" si="40">E23/SUM($E23:$G23)</f>
        <v>0.9642857142857143</v>
      </c>
      <c r="Q23" s="76">
        <f t="shared" si="40"/>
        <v>3.5714285714285712E-2</v>
      </c>
      <c r="R23" s="76">
        <f t="shared" si="40"/>
        <v>0</v>
      </c>
      <c r="S23" s="76">
        <f t="shared" ref="S23:U23" si="41">H23/SUM($H23:$J23)</f>
        <v>0.8</v>
      </c>
      <c r="T23" s="76">
        <f t="shared" si="41"/>
        <v>0.2</v>
      </c>
      <c r="U23" s="76">
        <f t="shared" si="41"/>
        <v>0</v>
      </c>
      <c r="V23" s="76"/>
      <c r="W23" s="76"/>
      <c r="X23" s="76"/>
    </row>
    <row r="24" spans="1:24" ht="12.5" x14ac:dyDescent="0.25">
      <c r="A24" s="352"/>
      <c r="B24" s="352"/>
      <c r="C24" s="352"/>
      <c r="D24" s="372" t="s">
        <v>37</v>
      </c>
      <c r="E24" s="360">
        <v>9</v>
      </c>
      <c r="F24" s="381">
        <v>18</v>
      </c>
      <c r="G24" s="381">
        <v>3</v>
      </c>
      <c r="H24" s="360">
        <v>7</v>
      </c>
      <c r="I24" s="381">
        <v>3</v>
      </c>
      <c r="J24" s="391"/>
      <c r="K24" s="68"/>
      <c r="L24" s="68"/>
      <c r="N24" s="82">
        <f t="shared" si="0"/>
        <v>0</v>
      </c>
      <c r="O24" s="24" t="str">
        <f t="shared" si="1"/>
        <v>6 Primaria</v>
      </c>
      <c r="P24" s="76">
        <f t="shared" ref="P24:R24" si="42">E24/SUM($E24:$G24)</f>
        <v>0.3</v>
      </c>
      <c r="Q24" s="76">
        <f t="shared" si="42"/>
        <v>0.6</v>
      </c>
      <c r="R24" s="76">
        <f t="shared" si="42"/>
        <v>0.1</v>
      </c>
      <c r="S24" s="76">
        <f t="shared" ref="S24:U24" si="43">H24/SUM($H24:$J24)</f>
        <v>0.7</v>
      </c>
      <c r="T24" s="76">
        <f t="shared" si="43"/>
        <v>0.3</v>
      </c>
      <c r="U24" s="76">
        <f t="shared" si="43"/>
        <v>0</v>
      </c>
      <c r="V24" s="76"/>
      <c r="W24" s="76"/>
      <c r="X24" s="76"/>
    </row>
    <row r="25" spans="1:24" ht="12.5" x14ac:dyDescent="0.25">
      <c r="A25" s="352"/>
      <c r="B25" s="353" t="s">
        <v>21</v>
      </c>
      <c r="C25" s="347" t="s">
        <v>15</v>
      </c>
      <c r="D25" s="347" t="s">
        <v>45</v>
      </c>
      <c r="E25" s="356">
        <v>33</v>
      </c>
      <c r="F25" s="379">
        <v>21</v>
      </c>
      <c r="G25" s="379">
        <v>1</v>
      </c>
      <c r="H25" s="356">
        <v>13</v>
      </c>
      <c r="I25" s="379">
        <v>1</v>
      </c>
      <c r="J25" s="390">
        <v>7</v>
      </c>
      <c r="K25" s="68"/>
      <c r="L25" s="68"/>
      <c r="N25" s="75" t="str">
        <f t="shared" si="0"/>
        <v>14924 DANIEL ALCIDES CARRION</v>
      </c>
      <c r="O25" s="24" t="str">
        <f t="shared" si="1"/>
        <v>2 Primaria</v>
      </c>
      <c r="P25" s="76">
        <f t="shared" ref="P25:R25" si="44">E25/SUM($E25:$G25)</f>
        <v>0.6</v>
      </c>
      <c r="Q25" s="76">
        <f t="shared" si="44"/>
        <v>0.38181818181818183</v>
      </c>
      <c r="R25" s="76">
        <f t="shared" si="44"/>
        <v>1.8181818181818181E-2</v>
      </c>
      <c r="S25" s="76">
        <f t="shared" ref="S25:U25" si="45">H25/SUM($H25:$J25)</f>
        <v>0.61904761904761907</v>
      </c>
      <c r="T25" s="76">
        <f t="shared" si="45"/>
        <v>4.7619047619047616E-2</v>
      </c>
      <c r="U25" s="76">
        <f t="shared" si="45"/>
        <v>0.33333333333333331</v>
      </c>
      <c r="V25" s="76"/>
      <c r="W25" s="76"/>
      <c r="X25" s="76"/>
    </row>
    <row r="26" spans="1:24" ht="12.5" x14ac:dyDescent="0.25">
      <c r="A26" s="352"/>
      <c r="B26" s="353" t="s">
        <v>27</v>
      </c>
      <c r="C26" s="347" t="s">
        <v>15</v>
      </c>
      <c r="D26" s="347" t="s">
        <v>45</v>
      </c>
      <c r="E26" s="356">
        <v>5</v>
      </c>
      <c r="F26" s="379">
        <v>4</v>
      </c>
      <c r="G26" s="379"/>
      <c r="H26" s="356">
        <v>3</v>
      </c>
      <c r="I26" s="379"/>
      <c r="J26" s="390">
        <v>2</v>
      </c>
      <c r="K26" s="68"/>
      <c r="L26" s="68"/>
      <c r="N26" s="82" t="str">
        <f t="shared" si="0"/>
        <v>14975</v>
      </c>
      <c r="O26" s="24" t="str">
        <f t="shared" si="1"/>
        <v>2 Primaria</v>
      </c>
      <c r="P26" s="76">
        <f t="shared" ref="P26:R26" si="46">E26/SUM($E26:$G26)</f>
        <v>0.55555555555555558</v>
      </c>
      <c r="Q26" s="76">
        <f t="shared" si="46"/>
        <v>0.44444444444444442</v>
      </c>
      <c r="R26" s="76">
        <f t="shared" si="46"/>
        <v>0</v>
      </c>
      <c r="S26" s="76">
        <f t="shared" ref="S26:U26" si="47">H26/SUM($H26:$J26)</f>
        <v>0.6</v>
      </c>
      <c r="T26" s="76">
        <f t="shared" si="47"/>
        <v>0</v>
      </c>
      <c r="U26" s="76">
        <f t="shared" si="47"/>
        <v>0.4</v>
      </c>
      <c r="V26" s="76"/>
      <c r="W26" s="76"/>
      <c r="X26" s="76"/>
    </row>
    <row r="27" spans="1:24" ht="12.5" x14ac:dyDescent="0.25">
      <c r="A27" s="352"/>
      <c r="B27" s="352"/>
      <c r="C27" s="352"/>
      <c r="D27" s="372" t="s">
        <v>37</v>
      </c>
      <c r="E27" s="360">
        <v>7</v>
      </c>
      <c r="F27" s="381">
        <v>14</v>
      </c>
      <c r="G27" s="381">
        <v>2</v>
      </c>
      <c r="H27" s="360">
        <v>5</v>
      </c>
      <c r="I27" s="381"/>
      <c r="J27" s="391"/>
      <c r="K27" s="68"/>
      <c r="L27" s="68"/>
      <c r="N27" s="75">
        <f t="shared" si="0"/>
        <v>0</v>
      </c>
      <c r="O27" s="24" t="str">
        <f t="shared" si="1"/>
        <v>6 Primaria</v>
      </c>
      <c r="P27" s="76">
        <f t="shared" ref="P27:R27" si="48">E27/SUM($E27:$G27)</f>
        <v>0.30434782608695654</v>
      </c>
      <c r="Q27" s="76">
        <f t="shared" si="48"/>
        <v>0.60869565217391308</v>
      </c>
      <c r="R27" s="76">
        <f t="shared" si="48"/>
        <v>8.6956521739130432E-2</v>
      </c>
      <c r="S27" s="76">
        <f t="shared" ref="S27:U27" si="49">H27/SUM($H27:$J27)</f>
        <v>1</v>
      </c>
      <c r="T27" s="76">
        <f t="shared" si="49"/>
        <v>0</v>
      </c>
      <c r="U27" s="76">
        <f t="shared" si="49"/>
        <v>0</v>
      </c>
      <c r="V27" s="76"/>
      <c r="W27" s="76"/>
      <c r="X27" s="76"/>
    </row>
    <row r="28" spans="1:24" ht="12.5" x14ac:dyDescent="0.25">
      <c r="A28" s="352"/>
      <c r="B28" s="353" t="s">
        <v>39</v>
      </c>
      <c r="C28" s="347" t="s">
        <v>15</v>
      </c>
      <c r="D28" s="347" t="s">
        <v>45</v>
      </c>
      <c r="E28" s="356"/>
      <c r="F28" s="379">
        <v>1</v>
      </c>
      <c r="G28" s="379"/>
      <c r="H28" s="356">
        <v>2</v>
      </c>
      <c r="I28" s="379"/>
      <c r="J28" s="390"/>
      <c r="K28" s="68"/>
      <c r="L28" s="68"/>
      <c r="N28" s="82" t="str">
        <f t="shared" si="0"/>
        <v>15219</v>
      </c>
      <c r="O28" s="24" t="str">
        <f t="shared" si="1"/>
        <v>2 Primaria</v>
      </c>
      <c r="P28" s="76">
        <f t="shared" ref="P28:R28" si="50">E28/SUM($E28:$G28)</f>
        <v>0</v>
      </c>
      <c r="Q28" s="76">
        <f t="shared" si="50"/>
        <v>1</v>
      </c>
      <c r="R28" s="76">
        <f t="shared" si="50"/>
        <v>0</v>
      </c>
      <c r="S28" s="76">
        <f t="shared" ref="S28:U28" si="51">H28/SUM($H28:$J28)</f>
        <v>1</v>
      </c>
      <c r="T28" s="76">
        <f t="shared" si="51"/>
        <v>0</v>
      </c>
      <c r="U28" s="76">
        <f t="shared" si="51"/>
        <v>0</v>
      </c>
      <c r="V28" s="76"/>
      <c r="W28" s="76"/>
      <c r="X28" s="76"/>
    </row>
    <row r="29" spans="1:24" ht="12.5" x14ac:dyDescent="0.25">
      <c r="A29" s="352"/>
      <c r="B29" s="352"/>
      <c r="C29" s="352"/>
      <c r="D29" s="372" t="s">
        <v>37</v>
      </c>
      <c r="E29" s="360"/>
      <c r="F29" s="381">
        <v>1</v>
      </c>
      <c r="G29" s="381"/>
      <c r="H29" s="360"/>
      <c r="I29" s="381">
        <v>1</v>
      </c>
      <c r="J29" s="391"/>
      <c r="K29" s="68"/>
      <c r="L29" s="68"/>
      <c r="N29" s="82">
        <f t="shared" si="0"/>
        <v>0</v>
      </c>
      <c r="O29" s="24" t="str">
        <f t="shared" si="1"/>
        <v>6 Primaria</v>
      </c>
      <c r="P29" s="76">
        <f t="shared" ref="P29:R29" si="52">E29/SUM($E29:$G29)</f>
        <v>0</v>
      </c>
      <c r="Q29" s="76">
        <f t="shared" si="52"/>
        <v>1</v>
      </c>
      <c r="R29" s="76">
        <f t="shared" si="52"/>
        <v>0</v>
      </c>
      <c r="S29" s="76">
        <f t="shared" ref="S29:U29" si="53">H29/SUM($H29:$J29)</f>
        <v>0</v>
      </c>
      <c r="T29" s="76">
        <f t="shared" si="53"/>
        <v>1</v>
      </c>
      <c r="U29" s="76">
        <f t="shared" si="53"/>
        <v>0</v>
      </c>
      <c r="V29" s="76"/>
      <c r="W29" s="76"/>
      <c r="X29" s="76"/>
    </row>
    <row r="30" spans="1:24" ht="12.5" x14ac:dyDescent="0.25">
      <c r="A30" s="352"/>
      <c r="B30" s="353" t="s">
        <v>40</v>
      </c>
      <c r="C30" s="347" t="s">
        <v>15</v>
      </c>
      <c r="D30" s="347" t="s">
        <v>37</v>
      </c>
      <c r="E30" s="356"/>
      <c r="F30" s="379">
        <v>1</v>
      </c>
      <c r="G30" s="379"/>
      <c r="H30" s="356"/>
      <c r="I30" s="379"/>
      <c r="J30" s="390">
        <v>1</v>
      </c>
      <c r="K30" s="68"/>
      <c r="L30" s="68"/>
      <c r="N30" s="75" t="str">
        <f t="shared" si="0"/>
        <v>15220</v>
      </c>
      <c r="O30" s="24" t="str">
        <f t="shared" si="1"/>
        <v>6 Primaria</v>
      </c>
      <c r="P30" s="76">
        <f t="shared" ref="P30:R30" si="54">E30/SUM($E30:$G30)</f>
        <v>0</v>
      </c>
      <c r="Q30" s="76">
        <f t="shared" si="54"/>
        <v>1</v>
      </c>
      <c r="R30" s="76">
        <f t="shared" si="54"/>
        <v>0</v>
      </c>
      <c r="S30" s="76">
        <f t="shared" ref="S30:U30" si="55">H30/SUM($H30:$J30)</f>
        <v>0</v>
      </c>
      <c r="T30" s="76">
        <f t="shared" si="55"/>
        <v>0</v>
      </c>
      <c r="U30" s="76">
        <f t="shared" si="55"/>
        <v>1</v>
      </c>
      <c r="V30" s="76"/>
      <c r="W30" s="76"/>
      <c r="X30" s="76"/>
    </row>
    <row r="31" spans="1:24" ht="12.5" x14ac:dyDescent="0.25">
      <c r="A31" s="352"/>
      <c r="B31" s="353" t="s">
        <v>28</v>
      </c>
      <c r="C31" s="347" t="s">
        <v>15</v>
      </c>
      <c r="D31" s="347" t="s">
        <v>45</v>
      </c>
      <c r="E31" s="356">
        <v>2</v>
      </c>
      <c r="F31" s="379">
        <v>2</v>
      </c>
      <c r="G31" s="379"/>
      <c r="H31" s="356">
        <v>2</v>
      </c>
      <c r="I31" s="379">
        <v>1</v>
      </c>
      <c r="J31" s="390">
        <v>1</v>
      </c>
      <c r="K31" s="68"/>
      <c r="L31" s="68"/>
      <c r="N31" s="75" t="str">
        <f t="shared" si="0"/>
        <v>15304</v>
      </c>
      <c r="O31" s="24" t="str">
        <f t="shared" si="1"/>
        <v>2 Primaria</v>
      </c>
      <c r="P31" s="76">
        <f t="shared" ref="P31:R31" si="56">E31/SUM($E31:$G31)</f>
        <v>0.5</v>
      </c>
      <c r="Q31" s="76">
        <f t="shared" si="56"/>
        <v>0.5</v>
      </c>
      <c r="R31" s="76">
        <f t="shared" si="56"/>
        <v>0</v>
      </c>
      <c r="S31" s="76">
        <f t="shared" ref="S31:U31" si="57">H31/SUM($H31:$J31)</f>
        <v>0.5</v>
      </c>
      <c r="T31" s="76">
        <f t="shared" si="57"/>
        <v>0.25</v>
      </c>
      <c r="U31" s="76">
        <f t="shared" si="57"/>
        <v>0.25</v>
      </c>
      <c r="V31" s="76"/>
      <c r="W31" s="76"/>
      <c r="X31" s="76"/>
    </row>
    <row r="32" spans="1:24" ht="12.5" x14ac:dyDescent="0.25">
      <c r="A32" s="352"/>
      <c r="B32" s="352"/>
      <c r="C32" s="352"/>
      <c r="D32" s="372" t="s">
        <v>16</v>
      </c>
      <c r="E32" s="360">
        <v>3</v>
      </c>
      <c r="F32" s="381">
        <v>3</v>
      </c>
      <c r="G32" s="381">
        <v>1</v>
      </c>
      <c r="H32" s="360">
        <v>2</v>
      </c>
      <c r="I32" s="381"/>
      <c r="J32" s="391"/>
      <c r="K32" s="68"/>
      <c r="L32" s="68"/>
      <c r="N32" s="82">
        <f t="shared" si="0"/>
        <v>0</v>
      </c>
      <c r="O32" s="24" t="str">
        <f t="shared" si="1"/>
        <v>4 Primaria</v>
      </c>
      <c r="P32" s="76">
        <f t="shared" ref="P32:R32" si="58">E32/SUM($E32:$G32)</f>
        <v>0.42857142857142855</v>
      </c>
      <c r="Q32" s="76">
        <f t="shared" si="58"/>
        <v>0.42857142857142855</v>
      </c>
      <c r="R32" s="76">
        <f t="shared" si="58"/>
        <v>0.14285714285714285</v>
      </c>
      <c r="S32" s="76">
        <f t="shared" ref="S32:U32" si="59">H32/SUM($H32:$J32)</f>
        <v>1</v>
      </c>
      <c r="T32" s="76">
        <f t="shared" si="59"/>
        <v>0</v>
      </c>
      <c r="U32" s="76">
        <f t="shared" si="59"/>
        <v>0</v>
      </c>
      <c r="V32" s="76"/>
      <c r="W32" s="76"/>
      <c r="X32" s="76"/>
    </row>
    <row r="33" spans="1:24" ht="12.5" x14ac:dyDescent="0.25">
      <c r="A33" s="352"/>
      <c r="B33" s="352"/>
      <c r="C33" s="352"/>
      <c r="D33" s="372" t="s">
        <v>37</v>
      </c>
      <c r="E33" s="360">
        <v>3</v>
      </c>
      <c r="F33" s="381">
        <v>5</v>
      </c>
      <c r="G33" s="381"/>
      <c r="H33" s="360">
        <v>2</v>
      </c>
      <c r="I33" s="381">
        <v>1</v>
      </c>
      <c r="J33" s="391"/>
      <c r="K33" s="68"/>
      <c r="L33" s="68"/>
      <c r="N33" s="82">
        <f t="shared" si="0"/>
        <v>0</v>
      </c>
      <c r="O33" s="24" t="str">
        <f t="shared" si="1"/>
        <v>6 Primaria</v>
      </c>
      <c r="P33" s="76">
        <f t="shared" ref="P33:R33" si="60">E33/SUM($E33:$G33)</f>
        <v>0.375</v>
      </c>
      <c r="Q33" s="76">
        <f t="shared" si="60"/>
        <v>0.625</v>
      </c>
      <c r="R33" s="76">
        <f t="shared" si="60"/>
        <v>0</v>
      </c>
      <c r="S33" s="76">
        <f t="shared" ref="S33:U33" si="61">H33/SUM($H33:$J33)</f>
        <v>0.66666666666666663</v>
      </c>
      <c r="T33" s="76">
        <f t="shared" si="61"/>
        <v>0.33333333333333331</v>
      </c>
      <c r="U33" s="76">
        <f t="shared" si="61"/>
        <v>0</v>
      </c>
      <c r="V33" s="76"/>
      <c r="W33" s="76"/>
      <c r="X33" s="76"/>
    </row>
    <row r="34" spans="1:24" ht="12.5" x14ac:dyDescent="0.25">
      <c r="A34" s="352"/>
      <c r="B34" s="353" t="s">
        <v>32</v>
      </c>
      <c r="C34" s="347" t="s">
        <v>15</v>
      </c>
      <c r="D34" s="347" t="s">
        <v>16</v>
      </c>
      <c r="E34" s="356">
        <v>1</v>
      </c>
      <c r="F34" s="379">
        <v>2</v>
      </c>
      <c r="G34" s="379"/>
      <c r="H34" s="356">
        <v>1</v>
      </c>
      <c r="I34" s="379"/>
      <c r="J34" s="390"/>
      <c r="K34" s="68"/>
      <c r="L34" s="68"/>
      <c r="N34" s="75" t="str">
        <f t="shared" si="0"/>
        <v>15383</v>
      </c>
      <c r="O34" s="24" t="str">
        <f t="shared" si="1"/>
        <v>4 Primaria</v>
      </c>
      <c r="P34" s="76">
        <f t="shared" ref="P34:R34" si="62">E34/SUM($E34:$G34)</f>
        <v>0.33333333333333331</v>
      </c>
      <c r="Q34" s="76">
        <f t="shared" si="62"/>
        <v>0.66666666666666663</v>
      </c>
      <c r="R34" s="76">
        <f t="shared" si="62"/>
        <v>0</v>
      </c>
      <c r="S34" s="76">
        <f t="shared" ref="S34:U34" si="63">H34/SUM($H34:$J34)</f>
        <v>1</v>
      </c>
      <c r="T34" s="76">
        <f t="shared" si="63"/>
        <v>0</v>
      </c>
      <c r="U34" s="76">
        <f t="shared" si="63"/>
        <v>0</v>
      </c>
      <c r="V34" s="76"/>
      <c r="W34" s="76"/>
      <c r="X34" s="76"/>
    </row>
    <row r="35" spans="1:24" ht="12.5" x14ac:dyDescent="0.25">
      <c r="A35" s="352"/>
      <c r="B35" s="353" t="s">
        <v>34</v>
      </c>
      <c r="C35" s="347" t="s">
        <v>15</v>
      </c>
      <c r="D35" s="347" t="s">
        <v>45</v>
      </c>
      <c r="E35" s="356"/>
      <c r="F35" s="379"/>
      <c r="G35" s="379">
        <v>1</v>
      </c>
      <c r="H35" s="356">
        <v>2</v>
      </c>
      <c r="I35" s="379"/>
      <c r="J35" s="390"/>
      <c r="K35" s="68"/>
      <c r="L35" s="68"/>
      <c r="N35" s="75" t="str">
        <f t="shared" si="0"/>
        <v>15478</v>
      </c>
      <c r="O35" s="24" t="str">
        <f t="shared" si="1"/>
        <v>2 Primaria</v>
      </c>
      <c r="P35" s="76">
        <f t="shared" ref="P35:R35" si="64">E35/SUM($E35:$G35)</f>
        <v>0</v>
      </c>
      <c r="Q35" s="76">
        <f t="shared" si="64"/>
        <v>0</v>
      </c>
      <c r="R35" s="76">
        <f t="shared" si="64"/>
        <v>1</v>
      </c>
      <c r="S35" s="76">
        <f t="shared" ref="S35:U35" si="65">H35/SUM($H35:$J35)</f>
        <v>1</v>
      </c>
      <c r="T35" s="76">
        <f t="shared" si="65"/>
        <v>0</v>
      </c>
      <c r="U35" s="76">
        <f t="shared" si="65"/>
        <v>0</v>
      </c>
      <c r="V35" s="76"/>
      <c r="W35" s="76"/>
      <c r="X35" s="76"/>
    </row>
    <row r="36" spans="1:24" ht="12.5" x14ac:dyDescent="0.25">
      <c r="A36" s="352"/>
      <c r="B36" s="352"/>
      <c r="C36" s="352"/>
      <c r="D36" s="372" t="s">
        <v>16</v>
      </c>
      <c r="E36" s="360"/>
      <c r="F36" s="381">
        <v>1</v>
      </c>
      <c r="G36" s="381"/>
      <c r="H36" s="360">
        <v>1</v>
      </c>
      <c r="I36" s="381"/>
      <c r="J36" s="391"/>
      <c r="K36" s="68"/>
      <c r="L36" s="68"/>
      <c r="N36" s="82">
        <f t="shared" si="0"/>
        <v>0</v>
      </c>
      <c r="O36" s="24" t="str">
        <f t="shared" si="1"/>
        <v>4 Primaria</v>
      </c>
      <c r="P36" s="76">
        <f t="shared" ref="P36:R36" si="66">E36/SUM($E36:$G36)</f>
        <v>0</v>
      </c>
      <c r="Q36" s="76">
        <f t="shared" si="66"/>
        <v>1</v>
      </c>
      <c r="R36" s="76">
        <f t="shared" si="66"/>
        <v>0</v>
      </c>
      <c r="S36" s="76">
        <f t="shared" ref="S36:U36" si="67">H36/SUM($H36:$J36)</f>
        <v>1</v>
      </c>
      <c r="T36" s="76">
        <f t="shared" si="67"/>
        <v>0</v>
      </c>
      <c r="U36" s="76">
        <f t="shared" si="67"/>
        <v>0</v>
      </c>
      <c r="V36" s="76"/>
      <c r="W36" s="76"/>
      <c r="X36" s="76"/>
    </row>
    <row r="37" spans="1:24" ht="12.5" x14ac:dyDescent="0.25">
      <c r="A37" s="352"/>
      <c r="B37" s="352"/>
      <c r="C37" s="352"/>
      <c r="D37" s="372" t="s">
        <v>37</v>
      </c>
      <c r="E37" s="360">
        <v>1</v>
      </c>
      <c r="F37" s="381">
        <v>1</v>
      </c>
      <c r="G37" s="381"/>
      <c r="H37" s="360"/>
      <c r="I37" s="381">
        <v>2</v>
      </c>
      <c r="J37" s="391"/>
      <c r="K37" s="68"/>
      <c r="L37" s="68"/>
      <c r="N37" s="75">
        <f t="shared" si="0"/>
        <v>0</v>
      </c>
      <c r="O37" s="24" t="str">
        <f t="shared" si="1"/>
        <v>6 Primaria</v>
      </c>
      <c r="P37" s="76">
        <f t="shared" ref="P37:R37" si="68">E37/SUM($E37:$G37)</f>
        <v>0.5</v>
      </c>
      <c r="Q37" s="76">
        <f t="shared" si="68"/>
        <v>0.5</v>
      </c>
      <c r="R37" s="76">
        <f t="shared" si="68"/>
        <v>0</v>
      </c>
      <c r="S37" s="76">
        <f t="shared" ref="S37:U37" si="69">H37/SUM($H37:$J37)</f>
        <v>0</v>
      </c>
      <c r="T37" s="76">
        <f t="shared" si="69"/>
        <v>1</v>
      </c>
      <c r="U37" s="76">
        <f t="shared" si="69"/>
        <v>0</v>
      </c>
      <c r="V37" s="76"/>
      <c r="W37" s="76"/>
      <c r="X37" s="76"/>
    </row>
    <row r="38" spans="1:24" ht="12.5" x14ac:dyDescent="0.25">
      <c r="A38" s="352"/>
      <c r="B38" s="353" t="s">
        <v>26</v>
      </c>
      <c r="C38" s="347" t="s">
        <v>15</v>
      </c>
      <c r="D38" s="347" t="s">
        <v>45</v>
      </c>
      <c r="E38" s="356">
        <v>6</v>
      </c>
      <c r="F38" s="379">
        <v>3</v>
      </c>
      <c r="G38" s="379"/>
      <c r="H38" s="356">
        <v>3</v>
      </c>
      <c r="I38" s="379">
        <v>1</v>
      </c>
      <c r="J38" s="390">
        <v>1</v>
      </c>
      <c r="K38" s="68"/>
      <c r="L38" s="68"/>
      <c r="N38" s="82" t="str">
        <f t="shared" si="0"/>
        <v>20104</v>
      </c>
      <c r="O38" s="24" t="str">
        <f t="shared" si="1"/>
        <v>2 Primaria</v>
      </c>
      <c r="P38" s="76">
        <f t="shared" ref="P38:R38" si="70">E38/SUM($E38:$G38)</f>
        <v>0.66666666666666663</v>
      </c>
      <c r="Q38" s="76">
        <f t="shared" si="70"/>
        <v>0.33333333333333331</v>
      </c>
      <c r="R38" s="76">
        <f t="shared" si="70"/>
        <v>0</v>
      </c>
      <c r="S38" s="76">
        <f t="shared" ref="S38:U38" si="71">H38/SUM($H38:$J38)</f>
        <v>0.6</v>
      </c>
      <c r="T38" s="76">
        <f t="shared" si="71"/>
        <v>0.2</v>
      </c>
      <c r="U38" s="76">
        <f t="shared" si="71"/>
        <v>0.2</v>
      </c>
      <c r="V38" s="76"/>
      <c r="W38" s="76"/>
      <c r="X38" s="76"/>
    </row>
    <row r="39" spans="1:24" ht="12.5" x14ac:dyDescent="0.25">
      <c r="A39" s="352"/>
      <c r="B39" s="352"/>
      <c r="C39" s="352"/>
      <c r="D39" s="372" t="s">
        <v>37</v>
      </c>
      <c r="E39" s="360">
        <v>10</v>
      </c>
      <c r="F39" s="381">
        <v>9</v>
      </c>
      <c r="G39" s="381"/>
      <c r="H39" s="360">
        <v>4</v>
      </c>
      <c r="I39" s="381"/>
      <c r="J39" s="391"/>
      <c r="K39" s="68"/>
      <c r="L39" s="68"/>
      <c r="N39" s="82">
        <f t="shared" si="0"/>
        <v>0</v>
      </c>
      <c r="O39" s="24" t="str">
        <f t="shared" si="1"/>
        <v>6 Primaria</v>
      </c>
      <c r="P39" s="76">
        <f t="shared" ref="P39:R39" si="72">E39/SUM($E39:$G39)</f>
        <v>0.52631578947368418</v>
      </c>
      <c r="Q39" s="76">
        <f t="shared" si="72"/>
        <v>0.47368421052631576</v>
      </c>
      <c r="R39" s="76">
        <f t="shared" si="72"/>
        <v>0</v>
      </c>
      <c r="S39" s="76">
        <f t="shared" ref="S39:U39" si="73">H39/SUM($H39:$J39)</f>
        <v>1</v>
      </c>
      <c r="T39" s="76">
        <f t="shared" si="73"/>
        <v>0</v>
      </c>
      <c r="U39" s="76">
        <f t="shared" si="73"/>
        <v>0</v>
      </c>
      <c r="V39" s="76"/>
      <c r="W39" s="76"/>
      <c r="X39" s="76"/>
    </row>
    <row r="40" spans="1:24" ht="12.5" x14ac:dyDescent="0.25">
      <c r="A40" s="352"/>
      <c r="B40" s="353" t="s">
        <v>38</v>
      </c>
      <c r="C40" s="347" t="s">
        <v>15</v>
      </c>
      <c r="D40" s="347" t="s">
        <v>45</v>
      </c>
      <c r="E40" s="356">
        <v>1</v>
      </c>
      <c r="F40" s="379">
        <v>6</v>
      </c>
      <c r="G40" s="379"/>
      <c r="H40" s="356"/>
      <c r="I40" s="379"/>
      <c r="J40" s="390">
        <v>1</v>
      </c>
      <c r="K40" s="68"/>
      <c r="L40" s="68"/>
      <c r="N40" s="75" t="str">
        <f t="shared" si="0"/>
        <v>20123</v>
      </c>
      <c r="O40" s="24" t="str">
        <f t="shared" si="1"/>
        <v>2 Primaria</v>
      </c>
      <c r="P40" s="76">
        <f t="shared" ref="P40:R40" si="74">E40/SUM($E40:$G40)</f>
        <v>0.14285714285714285</v>
      </c>
      <c r="Q40" s="76">
        <f t="shared" si="74"/>
        <v>0.8571428571428571</v>
      </c>
      <c r="R40" s="76">
        <f t="shared" si="74"/>
        <v>0</v>
      </c>
      <c r="S40" s="76">
        <f t="shared" ref="S40:U40" si="75">H40/SUM($H40:$J40)</f>
        <v>0</v>
      </c>
      <c r="T40" s="76">
        <f t="shared" si="75"/>
        <v>0</v>
      </c>
      <c r="U40" s="76">
        <f t="shared" si="75"/>
        <v>1</v>
      </c>
      <c r="V40" s="76"/>
      <c r="W40" s="76"/>
      <c r="X40" s="76"/>
    </row>
    <row r="41" spans="1:24" ht="12.5" x14ac:dyDescent="0.25">
      <c r="A41" s="352"/>
      <c r="B41" s="353" t="s">
        <v>29</v>
      </c>
      <c r="C41" s="347" t="s">
        <v>15</v>
      </c>
      <c r="D41" s="347" t="s">
        <v>16</v>
      </c>
      <c r="E41" s="356">
        <v>10</v>
      </c>
      <c r="F41" s="379">
        <v>3</v>
      </c>
      <c r="G41" s="379"/>
      <c r="H41" s="356">
        <v>7</v>
      </c>
      <c r="I41" s="379"/>
      <c r="J41" s="390"/>
      <c r="K41" s="68"/>
      <c r="L41" s="68"/>
      <c r="N41" s="82" t="str">
        <f t="shared" si="0"/>
        <v>SAGRADO CORAZON DE JESUS</v>
      </c>
      <c r="O41" s="24" t="str">
        <f t="shared" si="1"/>
        <v>4 Primaria</v>
      </c>
      <c r="P41" s="76">
        <f t="shared" ref="P41:R41" si="76">E41/SUM($E41:$G41)</f>
        <v>0.76923076923076927</v>
      </c>
      <c r="Q41" s="76">
        <f t="shared" si="76"/>
        <v>0.23076923076923078</v>
      </c>
      <c r="R41" s="76">
        <f t="shared" si="76"/>
        <v>0</v>
      </c>
      <c r="S41" s="76">
        <f t="shared" ref="S41:U41" si="77">H41/SUM($H41:$J41)</f>
        <v>1</v>
      </c>
      <c r="T41" s="76">
        <f t="shared" si="77"/>
        <v>0</v>
      </c>
      <c r="U41" s="76">
        <f t="shared" si="77"/>
        <v>0</v>
      </c>
      <c r="V41" s="76"/>
      <c r="W41" s="76"/>
      <c r="X41" s="76"/>
    </row>
    <row r="42" spans="1:24" ht="12.5" x14ac:dyDescent="0.25">
      <c r="A42" s="352"/>
      <c r="B42" s="352"/>
      <c r="C42" s="352"/>
      <c r="D42" s="372" t="s">
        <v>37</v>
      </c>
      <c r="E42" s="360">
        <v>1</v>
      </c>
      <c r="F42" s="381">
        <v>11</v>
      </c>
      <c r="G42" s="381">
        <v>3</v>
      </c>
      <c r="H42" s="360">
        <v>9</v>
      </c>
      <c r="I42" s="381"/>
      <c r="J42" s="391"/>
      <c r="K42" s="68"/>
      <c r="L42" s="68"/>
      <c r="N42" s="82">
        <f t="shared" si="0"/>
        <v>0</v>
      </c>
      <c r="O42" s="24" t="str">
        <f t="shared" si="1"/>
        <v>6 Primaria</v>
      </c>
      <c r="P42" s="76">
        <f t="shared" ref="P42:R42" si="78">E42/SUM($E42:$G42)</f>
        <v>6.6666666666666666E-2</v>
      </c>
      <c r="Q42" s="76">
        <f t="shared" si="78"/>
        <v>0.73333333333333328</v>
      </c>
      <c r="R42" s="76">
        <f t="shared" si="78"/>
        <v>0.2</v>
      </c>
      <c r="S42" s="76">
        <f t="shared" ref="S42:U42" si="79">H42/SUM($H42:$J42)</f>
        <v>1</v>
      </c>
      <c r="T42" s="76">
        <f t="shared" si="79"/>
        <v>0</v>
      </c>
      <c r="U42" s="76">
        <f t="shared" si="79"/>
        <v>0</v>
      </c>
      <c r="V42" s="76"/>
      <c r="W42" s="76"/>
      <c r="X42" s="76"/>
    </row>
    <row r="43" spans="1:24" ht="12.5" x14ac:dyDescent="0.25">
      <c r="A43" s="347" t="s">
        <v>279</v>
      </c>
      <c r="B43" s="350"/>
      <c r="C43" s="350"/>
      <c r="D43" s="350"/>
      <c r="E43" s="356">
        <v>207</v>
      </c>
      <c r="F43" s="379">
        <v>176</v>
      </c>
      <c r="G43" s="379">
        <v>45</v>
      </c>
      <c r="H43" s="356">
        <v>119</v>
      </c>
      <c r="I43" s="379">
        <v>32</v>
      </c>
      <c r="J43" s="390">
        <v>28</v>
      </c>
      <c r="K43" s="68"/>
      <c r="L43" s="68"/>
      <c r="N43" s="75" t="str">
        <f t="shared" si="0"/>
        <v>Total 48. Piura</v>
      </c>
      <c r="O43" s="24">
        <f t="shared" si="1"/>
        <v>0</v>
      </c>
      <c r="P43" s="76">
        <f t="shared" ref="P43:R43" si="80">E43/SUM($E43:$G43)</f>
        <v>0.48364485981308414</v>
      </c>
      <c r="Q43" s="76">
        <f t="shared" si="80"/>
        <v>0.41121495327102803</v>
      </c>
      <c r="R43" s="76">
        <f t="shared" si="80"/>
        <v>0.10514018691588785</v>
      </c>
      <c r="S43" s="76">
        <f t="shared" ref="S43:U43" si="81">H43/SUM($H43:$J43)</f>
        <v>0.66480446927374304</v>
      </c>
      <c r="T43" s="76">
        <f t="shared" si="81"/>
        <v>0.1787709497206704</v>
      </c>
      <c r="U43" s="76">
        <f t="shared" si="81"/>
        <v>0.15642458100558659</v>
      </c>
      <c r="V43" s="76"/>
      <c r="W43" s="76"/>
      <c r="X43" s="76"/>
    </row>
    <row r="44" spans="1:24" ht="12.5" x14ac:dyDescent="0.25">
      <c r="A44" s="347" t="s">
        <v>83</v>
      </c>
      <c r="B44" s="353" t="s">
        <v>169</v>
      </c>
      <c r="C44" s="347" t="s">
        <v>15</v>
      </c>
      <c r="D44" s="347" t="s">
        <v>16</v>
      </c>
      <c r="E44" s="356">
        <v>13</v>
      </c>
      <c r="F44" s="379"/>
      <c r="G44" s="379"/>
      <c r="H44" s="356">
        <v>6</v>
      </c>
      <c r="I44" s="379"/>
      <c r="J44" s="390"/>
      <c r="K44" s="68"/>
      <c r="L44" s="68"/>
      <c r="N44" s="82" t="str">
        <f t="shared" si="0"/>
        <v>86548 JOSE MARIA VELAZ</v>
      </c>
      <c r="O44" s="24" t="str">
        <f t="shared" si="1"/>
        <v>4 Primaria</v>
      </c>
      <c r="P44" s="76">
        <f t="shared" ref="P44:R44" si="82">E44/SUM($E44:$G44)</f>
        <v>1</v>
      </c>
      <c r="Q44" s="76">
        <f t="shared" si="82"/>
        <v>0</v>
      </c>
      <c r="R44" s="76">
        <f t="shared" si="82"/>
        <v>0</v>
      </c>
      <c r="S44" s="76">
        <f t="shared" ref="S44:U44" si="83">H44/SUM($H44:$J44)</f>
        <v>1</v>
      </c>
      <c r="T44" s="76">
        <f t="shared" si="83"/>
        <v>0</v>
      </c>
      <c r="U44" s="76">
        <f t="shared" si="83"/>
        <v>0</v>
      </c>
      <c r="V44" s="76"/>
      <c r="W44" s="76"/>
      <c r="X44" s="76"/>
    </row>
    <row r="45" spans="1:24" ht="12.5" x14ac:dyDescent="0.25">
      <c r="A45" s="352"/>
      <c r="B45" s="352"/>
      <c r="C45" s="352"/>
      <c r="D45" s="372" t="s">
        <v>37</v>
      </c>
      <c r="E45" s="360">
        <v>8</v>
      </c>
      <c r="F45" s="381"/>
      <c r="G45" s="381"/>
      <c r="H45" s="360">
        <v>12</v>
      </c>
      <c r="I45" s="381"/>
      <c r="J45" s="391"/>
      <c r="K45" s="68"/>
      <c r="L45" s="68"/>
      <c r="N45" s="75">
        <f t="shared" si="0"/>
        <v>0</v>
      </c>
      <c r="O45" s="24" t="str">
        <f t="shared" si="1"/>
        <v>6 Primaria</v>
      </c>
      <c r="P45" s="76">
        <f t="shared" ref="P45:R45" si="84">E45/SUM($E45:$G45)</f>
        <v>1</v>
      </c>
      <c r="Q45" s="76">
        <f t="shared" si="84"/>
        <v>0</v>
      </c>
      <c r="R45" s="76">
        <f t="shared" si="84"/>
        <v>0</v>
      </c>
      <c r="S45" s="76">
        <f t="shared" ref="S45:U45" si="85">H45/SUM($H45:$J45)</f>
        <v>1</v>
      </c>
      <c r="T45" s="76">
        <f t="shared" si="85"/>
        <v>0</v>
      </c>
      <c r="U45" s="76">
        <f t="shared" si="85"/>
        <v>0</v>
      </c>
      <c r="V45" s="76"/>
      <c r="W45" s="76"/>
      <c r="X45" s="76"/>
    </row>
    <row r="46" spans="1:24" ht="12.5" x14ac:dyDescent="0.25">
      <c r="A46" s="352"/>
      <c r="B46" s="353" t="s">
        <v>171</v>
      </c>
      <c r="C46" s="347" t="s">
        <v>15</v>
      </c>
      <c r="D46" s="347" t="s">
        <v>45</v>
      </c>
      <c r="E46" s="356">
        <v>4</v>
      </c>
      <c r="F46" s="379"/>
      <c r="G46" s="379"/>
      <c r="H46" s="356">
        <v>6</v>
      </c>
      <c r="I46" s="379"/>
      <c r="J46" s="390"/>
      <c r="K46" s="68"/>
      <c r="L46" s="68"/>
      <c r="N46" s="75" t="str">
        <f t="shared" si="0"/>
        <v>88247 SAN ENRIQUE</v>
      </c>
      <c r="O46" s="24" t="str">
        <f t="shared" si="1"/>
        <v>2 Primaria</v>
      </c>
      <c r="P46" s="76">
        <f t="shared" ref="P46:R46" si="86">E46/SUM($E46:$G46)</f>
        <v>1</v>
      </c>
      <c r="Q46" s="76">
        <f t="shared" si="86"/>
        <v>0</v>
      </c>
      <c r="R46" s="76">
        <f t="shared" si="86"/>
        <v>0</v>
      </c>
      <c r="S46" s="76">
        <f t="shared" ref="S46:U46" si="87">H46/SUM($H46:$J46)</f>
        <v>1</v>
      </c>
      <c r="T46" s="76">
        <f t="shared" si="87"/>
        <v>0</v>
      </c>
      <c r="U46" s="76">
        <f t="shared" si="87"/>
        <v>0</v>
      </c>
      <c r="V46" s="76"/>
      <c r="W46" s="76"/>
      <c r="X46" s="76"/>
    </row>
    <row r="47" spans="1:24" ht="12.5" x14ac:dyDescent="0.25">
      <c r="A47" s="352"/>
      <c r="B47" s="352"/>
      <c r="C47" s="352"/>
      <c r="D47" s="372" t="s">
        <v>16</v>
      </c>
      <c r="E47" s="360">
        <v>4</v>
      </c>
      <c r="F47" s="381"/>
      <c r="G47" s="381"/>
      <c r="H47" s="360">
        <v>8</v>
      </c>
      <c r="I47" s="381"/>
      <c r="J47" s="391"/>
      <c r="K47" s="68"/>
      <c r="L47" s="68"/>
      <c r="N47" s="82">
        <f t="shared" si="0"/>
        <v>0</v>
      </c>
      <c r="O47" s="24" t="str">
        <f t="shared" si="1"/>
        <v>4 Primaria</v>
      </c>
      <c r="P47" s="76">
        <f t="shared" ref="P47:R47" si="88">E47/SUM($E47:$G47)</f>
        <v>1</v>
      </c>
      <c r="Q47" s="76">
        <f t="shared" si="88"/>
        <v>0</v>
      </c>
      <c r="R47" s="76">
        <f t="shared" si="88"/>
        <v>0</v>
      </c>
      <c r="S47" s="76">
        <f t="shared" ref="S47:U47" si="89">H47/SUM($H47:$J47)</f>
        <v>1</v>
      </c>
      <c r="T47" s="76">
        <f t="shared" si="89"/>
        <v>0</v>
      </c>
      <c r="U47" s="76">
        <f t="shared" si="89"/>
        <v>0</v>
      </c>
      <c r="V47" s="76"/>
      <c r="W47" s="76"/>
      <c r="X47" s="76"/>
    </row>
    <row r="48" spans="1:24" ht="12.5" x14ac:dyDescent="0.25">
      <c r="A48" s="352"/>
      <c r="B48" s="352"/>
      <c r="C48" s="352"/>
      <c r="D48" s="372" t="s">
        <v>37</v>
      </c>
      <c r="E48" s="360">
        <v>3</v>
      </c>
      <c r="F48" s="381"/>
      <c r="G48" s="381"/>
      <c r="H48" s="360">
        <v>5</v>
      </c>
      <c r="I48" s="381"/>
      <c r="J48" s="391"/>
      <c r="K48" s="68"/>
      <c r="L48" s="68"/>
      <c r="N48" s="82">
        <f t="shared" si="0"/>
        <v>0</v>
      </c>
      <c r="O48" s="24" t="str">
        <f t="shared" si="1"/>
        <v>6 Primaria</v>
      </c>
      <c r="P48" s="76">
        <f t="shared" ref="P48:R48" si="90">E48/SUM($E48:$G48)</f>
        <v>1</v>
      </c>
      <c r="Q48" s="76">
        <f t="shared" si="90"/>
        <v>0</v>
      </c>
      <c r="R48" s="76">
        <f t="shared" si="90"/>
        <v>0</v>
      </c>
      <c r="S48" s="76">
        <f t="shared" ref="S48:U48" si="91">H48/SUM($H48:$J48)</f>
        <v>1</v>
      </c>
      <c r="T48" s="76">
        <f t="shared" si="91"/>
        <v>0</v>
      </c>
      <c r="U48" s="76">
        <f t="shared" si="91"/>
        <v>0</v>
      </c>
      <c r="V48" s="76"/>
      <c r="W48" s="76"/>
      <c r="X48" s="76"/>
    </row>
    <row r="49" spans="1:24" ht="12.5" x14ac:dyDescent="0.25">
      <c r="A49" s="347" t="s">
        <v>280</v>
      </c>
      <c r="B49" s="350"/>
      <c r="C49" s="350"/>
      <c r="D49" s="350"/>
      <c r="E49" s="356">
        <v>32</v>
      </c>
      <c r="F49" s="379"/>
      <c r="G49" s="379"/>
      <c r="H49" s="356">
        <v>37</v>
      </c>
      <c r="I49" s="379"/>
      <c r="J49" s="390"/>
      <c r="K49" s="68"/>
      <c r="L49" s="68"/>
      <c r="N49" s="82" t="str">
        <f t="shared" si="0"/>
        <v>Total 54. Ancash</v>
      </c>
      <c r="O49" s="24">
        <f t="shared" si="1"/>
        <v>0</v>
      </c>
      <c r="P49" s="76">
        <f t="shared" ref="P49:R49" si="92">E49/SUM($E49:$G49)</f>
        <v>1</v>
      </c>
      <c r="Q49" s="76">
        <f t="shared" si="92"/>
        <v>0</v>
      </c>
      <c r="R49" s="76">
        <f t="shared" si="92"/>
        <v>0</v>
      </c>
      <c r="S49" s="76">
        <f t="shared" ref="S49:U49" si="93">H49/SUM($H49:$J49)</f>
        <v>1</v>
      </c>
      <c r="T49" s="76">
        <f t="shared" si="93"/>
        <v>0</v>
      </c>
      <c r="U49" s="76">
        <f t="shared" si="93"/>
        <v>0</v>
      </c>
      <c r="V49" s="76"/>
      <c r="W49" s="76"/>
      <c r="X49" s="76"/>
    </row>
    <row r="50" spans="1:24" ht="12.5" x14ac:dyDescent="0.25">
      <c r="A50" s="347" t="s">
        <v>44</v>
      </c>
      <c r="B50" s="353" t="s">
        <v>149</v>
      </c>
      <c r="C50" s="347" t="s">
        <v>15</v>
      </c>
      <c r="D50" s="347" t="s">
        <v>16</v>
      </c>
      <c r="E50" s="356">
        <v>6</v>
      </c>
      <c r="F50" s="379">
        <v>11</v>
      </c>
      <c r="G50" s="379"/>
      <c r="H50" s="356">
        <v>10</v>
      </c>
      <c r="I50" s="379"/>
      <c r="J50" s="390"/>
      <c r="K50" s="68"/>
      <c r="L50" s="68"/>
      <c r="N50" s="82" t="str">
        <f t="shared" si="0"/>
        <v>64871-B</v>
      </c>
      <c r="O50" s="24" t="str">
        <f t="shared" si="1"/>
        <v>4 Primaria</v>
      </c>
      <c r="P50" s="76">
        <f t="shared" ref="P50:R50" si="94">E50/SUM($E50:$G50)</f>
        <v>0.35294117647058826</v>
      </c>
      <c r="Q50" s="76">
        <f t="shared" si="94"/>
        <v>0.6470588235294118</v>
      </c>
      <c r="R50" s="76">
        <f t="shared" si="94"/>
        <v>0</v>
      </c>
      <c r="S50" s="76">
        <f t="shared" ref="S50:U50" si="95">H50/SUM($H50:$J50)</f>
        <v>1</v>
      </c>
      <c r="T50" s="76">
        <f t="shared" si="95"/>
        <v>0</v>
      </c>
      <c r="U50" s="76">
        <f t="shared" si="95"/>
        <v>0</v>
      </c>
      <c r="V50" s="76"/>
      <c r="W50" s="76"/>
      <c r="X50" s="76"/>
    </row>
    <row r="51" spans="1:24" ht="12.5" x14ac:dyDescent="0.25">
      <c r="A51" s="347" t="s">
        <v>281</v>
      </c>
      <c r="B51" s="350"/>
      <c r="C51" s="350"/>
      <c r="D51" s="350"/>
      <c r="E51" s="356">
        <v>6</v>
      </c>
      <c r="F51" s="379">
        <v>11</v>
      </c>
      <c r="G51" s="379"/>
      <c r="H51" s="356">
        <v>10</v>
      </c>
      <c r="I51" s="379"/>
      <c r="J51" s="390"/>
      <c r="K51" s="68"/>
      <c r="L51" s="68"/>
      <c r="N51" s="75" t="str">
        <f t="shared" si="0"/>
        <v>Total 72. Ucayali</v>
      </c>
      <c r="O51" s="24">
        <f t="shared" si="1"/>
        <v>0</v>
      </c>
      <c r="P51" s="76">
        <f t="shared" ref="P51:R51" si="96">E51/SUM($E51:$G51)</f>
        <v>0.35294117647058826</v>
      </c>
      <c r="Q51" s="76">
        <f t="shared" si="96"/>
        <v>0.6470588235294118</v>
      </c>
      <c r="R51" s="76">
        <f t="shared" si="96"/>
        <v>0</v>
      </c>
      <c r="S51" s="76">
        <f t="shared" ref="S51:U51" si="97">H51/SUM($H51:$J51)</f>
        <v>1</v>
      </c>
      <c r="T51" s="76">
        <f t="shared" si="97"/>
        <v>0</v>
      </c>
      <c r="U51" s="76">
        <f t="shared" si="97"/>
        <v>0</v>
      </c>
      <c r="V51" s="76"/>
      <c r="W51" s="76"/>
      <c r="X51" s="76"/>
    </row>
    <row r="52" spans="1:24" ht="12.5" x14ac:dyDescent="0.25">
      <c r="A52" s="347" t="s">
        <v>54</v>
      </c>
      <c r="B52" s="353" t="s">
        <v>151</v>
      </c>
      <c r="C52" s="347" t="s">
        <v>41</v>
      </c>
      <c r="D52" s="347" t="s">
        <v>42</v>
      </c>
      <c r="E52" s="356">
        <v>36</v>
      </c>
      <c r="F52" s="379">
        <v>3</v>
      </c>
      <c r="G52" s="379">
        <v>1</v>
      </c>
      <c r="H52" s="356">
        <v>31</v>
      </c>
      <c r="I52" s="379">
        <v>8</v>
      </c>
      <c r="J52" s="390"/>
      <c r="K52" s="68"/>
      <c r="L52" s="68"/>
      <c r="N52" s="82" t="str">
        <f t="shared" si="0"/>
        <v>NUESTRA SEÑORA DE LA CANDELARIA</v>
      </c>
      <c r="O52" s="24" t="str">
        <f t="shared" si="1"/>
        <v>2 Secundaria</v>
      </c>
      <c r="P52" s="76">
        <f t="shared" ref="P52:R52" si="98">E52/SUM($E52:$G52)</f>
        <v>0.9</v>
      </c>
      <c r="Q52" s="76">
        <f t="shared" si="98"/>
        <v>7.4999999999999997E-2</v>
      </c>
      <c r="R52" s="76">
        <f t="shared" si="98"/>
        <v>2.5000000000000001E-2</v>
      </c>
      <c r="S52" s="76">
        <f t="shared" ref="S52:U52" si="99">H52/SUM($H52:$J52)</f>
        <v>0.79487179487179482</v>
      </c>
      <c r="T52" s="76">
        <f t="shared" si="99"/>
        <v>0.20512820512820512</v>
      </c>
      <c r="U52" s="76">
        <f t="shared" si="99"/>
        <v>0</v>
      </c>
      <c r="V52" s="76"/>
      <c r="W52" s="76"/>
      <c r="X52" s="76"/>
    </row>
    <row r="53" spans="1:24" ht="12.5" x14ac:dyDescent="0.25">
      <c r="A53" s="352"/>
      <c r="B53" s="352"/>
      <c r="C53" s="352"/>
      <c r="D53" s="372" t="s">
        <v>43</v>
      </c>
      <c r="E53" s="360">
        <v>35</v>
      </c>
      <c r="F53" s="381">
        <v>4</v>
      </c>
      <c r="G53" s="381"/>
      <c r="H53" s="360">
        <v>38</v>
      </c>
      <c r="I53" s="381">
        <v>8</v>
      </c>
      <c r="J53" s="391"/>
      <c r="K53" s="68"/>
      <c r="L53" s="68"/>
      <c r="N53" s="75">
        <f t="shared" ref="N53:N72" si="100">B53</f>
        <v>0</v>
      </c>
      <c r="P53" s="76"/>
      <c r="Q53" s="76"/>
      <c r="R53" s="76"/>
      <c r="S53" s="76"/>
      <c r="T53" s="76"/>
      <c r="U53" s="76"/>
      <c r="V53" s="76"/>
      <c r="W53" s="76"/>
      <c r="X53" s="76"/>
    </row>
    <row r="54" spans="1:24" ht="12.5" x14ac:dyDescent="0.25">
      <c r="A54" s="374" t="s">
        <v>282</v>
      </c>
      <c r="B54" s="389"/>
      <c r="C54" s="389"/>
      <c r="D54" s="389"/>
      <c r="E54" s="364">
        <v>71</v>
      </c>
      <c r="F54" s="383">
        <v>7</v>
      </c>
      <c r="G54" s="383">
        <v>1</v>
      </c>
      <c r="H54" s="364">
        <v>69</v>
      </c>
      <c r="I54" s="383">
        <v>16</v>
      </c>
      <c r="J54" s="392"/>
      <c r="K54" s="68"/>
      <c r="L54" s="68"/>
      <c r="N54" s="75">
        <f t="shared" si="100"/>
        <v>0</v>
      </c>
      <c r="P54" s="76"/>
      <c r="Q54" s="76"/>
      <c r="R54" s="76"/>
      <c r="S54" s="76"/>
      <c r="T54" s="76"/>
      <c r="U54" s="76"/>
      <c r="V54" s="76"/>
      <c r="W54" s="76"/>
      <c r="X54" s="76"/>
    </row>
    <row r="55" spans="1:24" ht="12.5" x14ac:dyDescent="0.25">
      <c r="A55" s="14"/>
      <c r="C55" s="68"/>
      <c r="D55" s="68"/>
      <c r="E55" s="68"/>
      <c r="F55" s="68"/>
      <c r="G55" s="68"/>
      <c r="H55" s="68"/>
      <c r="I55" s="68"/>
      <c r="J55" s="68"/>
      <c r="K55" s="68"/>
      <c r="L55" s="68"/>
      <c r="N55" s="75">
        <f t="shared" si="100"/>
        <v>0</v>
      </c>
      <c r="P55" s="76"/>
      <c r="Q55" s="76"/>
      <c r="R55" s="76"/>
      <c r="S55" s="76"/>
      <c r="T55" s="76"/>
      <c r="U55" s="76"/>
      <c r="V55" s="76"/>
      <c r="W55" s="76"/>
      <c r="X55" s="76"/>
    </row>
    <row r="56" spans="1:24" ht="12.5" x14ac:dyDescent="0.25">
      <c r="A56" s="14"/>
      <c r="C56" s="68"/>
      <c r="D56" s="68"/>
      <c r="E56" s="68"/>
      <c r="F56" s="68"/>
      <c r="G56" s="68"/>
      <c r="H56" s="68"/>
      <c r="I56" s="68"/>
      <c r="J56" s="68"/>
      <c r="K56" s="68"/>
      <c r="L56" s="68"/>
      <c r="N56" s="75">
        <f t="shared" si="100"/>
        <v>0</v>
      </c>
      <c r="P56" s="76"/>
      <c r="Q56" s="76"/>
      <c r="R56" s="76"/>
      <c r="S56" s="76"/>
      <c r="T56" s="76"/>
      <c r="U56" s="76"/>
      <c r="V56" s="76"/>
      <c r="W56" s="76"/>
      <c r="X56" s="76"/>
    </row>
    <row r="57" spans="1:24" ht="12.5" x14ac:dyDescent="0.25">
      <c r="A57" s="14"/>
      <c r="C57" s="68"/>
      <c r="D57" s="68"/>
      <c r="E57" s="68"/>
      <c r="F57" s="68"/>
      <c r="G57" s="68"/>
      <c r="H57" s="68"/>
      <c r="I57" s="68"/>
      <c r="J57" s="68"/>
      <c r="K57" s="68"/>
      <c r="L57" s="68"/>
      <c r="N57" s="75">
        <f t="shared" si="100"/>
        <v>0</v>
      </c>
      <c r="P57" s="76"/>
      <c r="Q57" s="76"/>
      <c r="R57" s="76"/>
      <c r="S57" s="76"/>
      <c r="T57" s="76"/>
      <c r="U57" s="76"/>
      <c r="V57" s="76"/>
      <c r="W57" s="76"/>
      <c r="X57" s="76"/>
    </row>
    <row r="58" spans="1:24" ht="12.5" x14ac:dyDescent="0.25">
      <c r="A58" s="14"/>
      <c r="C58" s="68"/>
      <c r="D58" s="68"/>
      <c r="E58" s="68"/>
      <c r="F58" s="68"/>
      <c r="G58" s="68"/>
      <c r="H58" s="68"/>
      <c r="I58" s="68"/>
      <c r="J58" s="68"/>
      <c r="K58" s="68"/>
      <c r="L58" s="68"/>
      <c r="N58" s="75">
        <f t="shared" si="100"/>
        <v>0</v>
      </c>
      <c r="P58" s="76"/>
      <c r="Q58" s="76"/>
      <c r="R58" s="76"/>
      <c r="S58" s="76"/>
      <c r="T58" s="76"/>
      <c r="U58" s="76"/>
      <c r="V58" s="76"/>
      <c r="W58" s="76"/>
      <c r="X58" s="76"/>
    </row>
    <row r="59" spans="1:24" ht="12.5" x14ac:dyDescent="0.25">
      <c r="A59" s="14"/>
      <c r="C59" s="68"/>
      <c r="D59" s="68"/>
      <c r="E59" s="68"/>
      <c r="F59" s="68"/>
      <c r="G59" s="68"/>
      <c r="H59" s="68"/>
      <c r="I59" s="68"/>
      <c r="J59" s="68"/>
      <c r="K59" s="68"/>
      <c r="L59" s="68"/>
      <c r="N59" s="75">
        <f t="shared" si="100"/>
        <v>0</v>
      </c>
      <c r="P59" s="76"/>
      <c r="Q59" s="76"/>
      <c r="R59" s="76"/>
      <c r="S59" s="76"/>
      <c r="T59" s="76"/>
      <c r="U59" s="76"/>
      <c r="V59" s="76"/>
      <c r="W59" s="76"/>
      <c r="X59" s="76"/>
    </row>
    <row r="60" spans="1:24" ht="12.5" x14ac:dyDescent="0.25">
      <c r="A60" s="14"/>
      <c r="C60" s="68"/>
      <c r="D60" s="68"/>
      <c r="E60" s="68"/>
      <c r="F60" s="68"/>
      <c r="G60" s="68"/>
      <c r="H60" s="68"/>
      <c r="I60" s="68"/>
      <c r="J60" s="68"/>
      <c r="K60" s="68"/>
      <c r="L60" s="68"/>
      <c r="N60" s="75">
        <f t="shared" si="100"/>
        <v>0</v>
      </c>
      <c r="P60" s="76"/>
      <c r="Q60" s="76"/>
      <c r="R60" s="76"/>
      <c r="S60" s="76"/>
      <c r="T60" s="76"/>
      <c r="U60" s="76"/>
      <c r="V60" s="76"/>
      <c r="W60" s="76"/>
      <c r="X60" s="76"/>
    </row>
    <row r="61" spans="1:24" ht="12.5" x14ac:dyDescent="0.25">
      <c r="A61" s="14"/>
      <c r="C61" s="68"/>
      <c r="D61" s="68"/>
      <c r="E61" s="68"/>
      <c r="F61" s="68"/>
      <c r="G61" s="68"/>
      <c r="H61" s="68"/>
      <c r="I61" s="68"/>
      <c r="J61" s="68"/>
      <c r="K61" s="68"/>
      <c r="L61" s="68"/>
      <c r="N61" s="75">
        <f t="shared" si="100"/>
        <v>0</v>
      </c>
      <c r="P61" s="76"/>
      <c r="Q61" s="76"/>
      <c r="R61" s="76"/>
      <c r="S61" s="76"/>
      <c r="T61" s="76"/>
      <c r="U61" s="76"/>
      <c r="V61" s="76"/>
      <c r="W61" s="76"/>
      <c r="X61" s="76"/>
    </row>
    <row r="62" spans="1:24" ht="12.5" x14ac:dyDescent="0.25">
      <c r="A62" s="14"/>
      <c r="C62" s="68"/>
      <c r="D62" s="68"/>
      <c r="E62" s="68"/>
      <c r="F62" s="68"/>
      <c r="G62" s="68"/>
      <c r="H62" s="68"/>
      <c r="I62" s="68"/>
      <c r="J62" s="68"/>
      <c r="K62" s="68"/>
      <c r="L62" s="68"/>
      <c r="N62" s="75">
        <f t="shared" si="100"/>
        <v>0</v>
      </c>
      <c r="P62" s="76"/>
      <c r="Q62" s="76"/>
      <c r="R62" s="76"/>
      <c r="S62" s="76"/>
      <c r="T62" s="76"/>
      <c r="U62" s="76"/>
      <c r="V62" s="76"/>
      <c r="W62" s="76"/>
      <c r="X62" s="76"/>
    </row>
    <row r="63" spans="1:24" ht="12.5" x14ac:dyDescent="0.25">
      <c r="A63" s="14"/>
      <c r="C63" s="68"/>
      <c r="D63" s="68"/>
      <c r="E63" s="68"/>
      <c r="F63" s="68"/>
      <c r="G63" s="68"/>
      <c r="H63" s="68"/>
      <c r="I63" s="68"/>
      <c r="J63" s="68"/>
      <c r="K63" s="68"/>
      <c r="L63" s="68"/>
      <c r="N63" s="75">
        <f t="shared" si="100"/>
        <v>0</v>
      </c>
      <c r="P63" s="76"/>
      <c r="Q63" s="76"/>
      <c r="R63" s="76"/>
      <c r="S63" s="76"/>
      <c r="T63" s="76"/>
      <c r="U63" s="76"/>
      <c r="V63" s="76"/>
      <c r="W63" s="76"/>
      <c r="X63" s="76"/>
    </row>
    <row r="64" spans="1:24" ht="12.5" x14ac:dyDescent="0.25">
      <c r="A64" s="14"/>
      <c r="C64" s="68"/>
      <c r="D64" s="68"/>
      <c r="E64" s="68"/>
      <c r="F64" s="68"/>
      <c r="G64" s="68"/>
      <c r="H64" s="68"/>
      <c r="I64" s="68"/>
      <c r="J64" s="68"/>
      <c r="K64" s="68"/>
      <c r="L64" s="68"/>
      <c r="N64" s="75">
        <f t="shared" si="100"/>
        <v>0</v>
      </c>
      <c r="P64" s="76"/>
      <c r="Q64" s="76"/>
      <c r="R64" s="76"/>
      <c r="S64" s="76"/>
      <c r="T64" s="76"/>
      <c r="U64" s="76"/>
      <c r="V64" s="76"/>
      <c r="W64" s="76"/>
      <c r="X64" s="76"/>
    </row>
    <row r="65" spans="1:24" ht="12.5" x14ac:dyDescent="0.25">
      <c r="A65" s="14"/>
      <c r="C65" s="68"/>
      <c r="D65" s="68"/>
      <c r="E65" s="68"/>
      <c r="F65" s="68"/>
      <c r="G65" s="68"/>
      <c r="H65" s="68"/>
      <c r="I65" s="68"/>
      <c r="J65" s="68"/>
      <c r="K65" s="68"/>
      <c r="L65" s="68"/>
      <c r="N65" s="75">
        <f t="shared" si="100"/>
        <v>0</v>
      </c>
      <c r="P65" s="76"/>
      <c r="Q65" s="76"/>
      <c r="R65" s="76"/>
      <c r="S65" s="76"/>
      <c r="T65" s="76"/>
      <c r="U65" s="76"/>
      <c r="V65" s="76"/>
      <c r="W65" s="76"/>
      <c r="X65" s="76"/>
    </row>
    <row r="66" spans="1:24" ht="12.5" x14ac:dyDescent="0.25">
      <c r="A66" s="14"/>
      <c r="C66" s="68"/>
      <c r="D66" s="68"/>
      <c r="E66" s="68"/>
      <c r="F66" s="68"/>
      <c r="G66" s="68"/>
      <c r="H66" s="68"/>
      <c r="I66" s="68"/>
      <c r="J66" s="68"/>
      <c r="K66" s="68"/>
      <c r="L66" s="68"/>
      <c r="N66" s="75">
        <f t="shared" si="100"/>
        <v>0</v>
      </c>
      <c r="P66" s="76"/>
      <c r="Q66" s="76"/>
      <c r="R66" s="76"/>
      <c r="S66" s="76"/>
      <c r="T66" s="76"/>
      <c r="U66" s="76"/>
      <c r="V66" s="76"/>
      <c r="W66" s="76"/>
      <c r="X66" s="76"/>
    </row>
    <row r="67" spans="1:24" ht="12.5" x14ac:dyDescent="0.25">
      <c r="A67" s="14"/>
      <c r="C67" s="68"/>
      <c r="D67" s="68"/>
      <c r="E67" s="68"/>
      <c r="F67" s="68"/>
      <c r="G67" s="68"/>
      <c r="H67" s="68"/>
      <c r="I67" s="68"/>
      <c r="J67" s="68"/>
      <c r="K67" s="68"/>
      <c r="L67" s="68"/>
      <c r="N67" s="75">
        <f t="shared" si="100"/>
        <v>0</v>
      </c>
      <c r="P67" s="76"/>
      <c r="Q67" s="76"/>
      <c r="R67" s="76"/>
      <c r="S67" s="76"/>
      <c r="T67" s="76"/>
      <c r="U67" s="76"/>
      <c r="V67" s="76"/>
      <c r="W67" s="76"/>
      <c r="X67" s="76"/>
    </row>
    <row r="68" spans="1:24" ht="12.5" x14ac:dyDescent="0.25">
      <c r="A68" s="14"/>
      <c r="C68" s="68"/>
      <c r="D68" s="68"/>
      <c r="E68" s="68"/>
      <c r="F68" s="68"/>
      <c r="G68" s="68"/>
      <c r="H68" s="68"/>
      <c r="I68" s="68"/>
      <c r="J68" s="68"/>
      <c r="K68" s="68"/>
      <c r="L68" s="68"/>
      <c r="N68" s="75">
        <f t="shared" si="100"/>
        <v>0</v>
      </c>
      <c r="P68" s="76"/>
      <c r="Q68" s="76"/>
      <c r="R68" s="76"/>
      <c r="S68" s="76"/>
      <c r="T68" s="76"/>
      <c r="U68" s="76"/>
      <c r="V68" s="76"/>
      <c r="W68" s="76"/>
      <c r="X68" s="76"/>
    </row>
    <row r="69" spans="1:24" ht="12.5" x14ac:dyDescent="0.25">
      <c r="A69" s="14"/>
      <c r="C69" s="68"/>
      <c r="D69" s="68"/>
      <c r="E69" s="68"/>
      <c r="F69" s="68"/>
      <c r="G69" s="68"/>
      <c r="H69" s="68"/>
      <c r="I69" s="68"/>
      <c r="J69" s="68"/>
      <c r="K69" s="68"/>
      <c r="L69" s="68"/>
      <c r="N69" s="75">
        <f t="shared" si="100"/>
        <v>0</v>
      </c>
      <c r="P69" s="76"/>
      <c r="Q69" s="76"/>
      <c r="R69" s="76"/>
      <c r="S69" s="76"/>
      <c r="T69" s="76"/>
      <c r="U69" s="76"/>
      <c r="V69" s="76"/>
      <c r="W69" s="76"/>
      <c r="X69" s="76"/>
    </row>
    <row r="70" spans="1:24" ht="12.5" x14ac:dyDescent="0.25">
      <c r="A70" s="14"/>
      <c r="C70" s="68"/>
      <c r="D70" s="68"/>
      <c r="E70" s="68"/>
      <c r="F70" s="68"/>
      <c r="G70" s="68"/>
      <c r="H70" s="68"/>
      <c r="I70" s="68"/>
      <c r="J70" s="68"/>
      <c r="K70" s="68"/>
      <c r="L70" s="68"/>
      <c r="N70" s="75">
        <f t="shared" si="100"/>
        <v>0</v>
      </c>
      <c r="P70" s="76"/>
      <c r="Q70" s="76"/>
      <c r="R70" s="76"/>
      <c r="S70" s="76"/>
      <c r="T70" s="76"/>
      <c r="U70" s="76"/>
      <c r="V70" s="76"/>
      <c r="W70" s="76"/>
      <c r="X70" s="76"/>
    </row>
    <row r="71" spans="1:24" ht="12.5" x14ac:dyDescent="0.25">
      <c r="A71" s="14"/>
      <c r="C71" s="68"/>
      <c r="D71" s="68"/>
      <c r="E71" s="68"/>
      <c r="F71" s="68"/>
      <c r="G71" s="68"/>
      <c r="H71" s="68"/>
      <c r="I71" s="68"/>
      <c r="J71" s="68"/>
      <c r="K71" s="68"/>
      <c r="L71" s="68"/>
      <c r="N71" s="75">
        <f t="shared" si="100"/>
        <v>0</v>
      </c>
      <c r="P71" s="76"/>
      <c r="Q71" s="76"/>
      <c r="R71" s="76"/>
      <c r="S71" s="76"/>
      <c r="T71" s="76"/>
      <c r="U71" s="76"/>
      <c r="V71" s="76"/>
      <c r="W71" s="76"/>
      <c r="X71" s="76"/>
    </row>
    <row r="72" spans="1:24" ht="12.5" x14ac:dyDescent="0.25">
      <c r="A72" s="14"/>
      <c r="C72" s="75"/>
      <c r="D72" s="68"/>
      <c r="E72" s="68"/>
      <c r="F72" s="68"/>
      <c r="G72" s="68"/>
      <c r="H72" s="68"/>
      <c r="I72" s="68"/>
      <c r="J72" s="68"/>
      <c r="K72" s="68"/>
      <c r="L72" s="68"/>
      <c r="N72" s="75">
        <f t="shared" si="100"/>
        <v>0</v>
      </c>
      <c r="P72" s="76"/>
      <c r="Q72" s="76"/>
      <c r="R72" s="76"/>
      <c r="S72" s="76"/>
      <c r="T72" s="76"/>
      <c r="U72" s="76"/>
      <c r="V72" s="76"/>
      <c r="W72" s="76"/>
      <c r="X72" s="76"/>
    </row>
    <row r="73" spans="1:24" ht="12.5" x14ac:dyDescent="0.25">
      <c r="A73" s="14"/>
      <c r="C73" s="75"/>
      <c r="D73" s="71"/>
      <c r="E73" s="71"/>
      <c r="F73" s="71"/>
      <c r="G73" s="71"/>
      <c r="H73" s="71"/>
      <c r="I73" s="71"/>
      <c r="J73" s="71"/>
      <c r="K73" s="71"/>
      <c r="L73" s="71"/>
      <c r="N73" s="75"/>
      <c r="P73" s="76"/>
      <c r="Q73" s="76"/>
      <c r="R73" s="76"/>
      <c r="S73" s="76"/>
      <c r="T73" s="76"/>
      <c r="U73" s="76"/>
      <c r="V73" s="76"/>
      <c r="W73" s="76"/>
      <c r="X73" s="76"/>
    </row>
    <row r="74" spans="1:24" ht="12.5" x14ac:dyDescent="0.25">
      <c r="A74" s="14"/>
      <c r="D74" s="76"/>
      <c r="E74" s="76"/>
      <c r="F74" s="76"/>
      <c r="G74" s="76"/>
      <c r="H74" s="76"/>
      <c r="I74" s="76"/>
      <c r="J74" s="76"/>
      <c r="K74" s="76"/>
      <c r="L74" s="76"/>
      <c r="N74" s="75"/>
    </row>
    <row r="75" spans="1:24" ht="12.5" x14ac:dyDescent="0.25">
      <c r="A75" s="14"/>
      <c r="D75" s="76"/>
      <c r="E75" s="76"/>
      <c r="F75" s="76"/>
      <c r="G75" s="76"/>
      <c r="H75" s="76"/>
      <c r="I75" s="76"/>
      <c r="J75" s="76"/>
      <c r="K75" s="76"/>
      <c r="L75" s="76"/>
      <c r="N75" s="75"/>
    </row>
    <row r="76" spans="1:24" ht="12.5" x14ac:dyDescent="0.25">
      <c r="A76" s="14"/>
      <c r="D76" s="76"/>
      <c r="E76" s="76"/>
      <c r="F76" s="76"/>
      <c r="G76" s="76"/>
      <c r="H76" s="76"/>
      <c r="I76" s="76"/>
      <c r="J76" s="76"/>
      <c r="K76" s="76"/>
      <c r="L76" s="76"/>
      <c r="N76" s="75"/>
    </row>
    <row r="77" spans="1:24" ht="12.5" x14ac:dyDescent="0.25">
      <c r="A77" s="14"/>
      <c r="D77" s="76"/>
      <c r="E77" s="76"/>
      <c r="F77" s="76"/>
      <c r="G77" s="76"/>
      <c r="H77" s="76"/>
      <c r="I77" s="76"/>
      <c r="J77" s="76"/>
      <c r="K77" s="76"/>
      <c r="L77" s="76"/>
      <c r="N77" s="75"/>
    </row>
    <row r="78" spans="1:24" ht="12.5" x14ac:dyDescent="0.25">
      <c r="A78" s="14"/>
      <c r="D78" s="76"/>
      <c r="E78" s="76"/>
      <c r="F78" s="76"/>
      <c r="G78" s="76"/>
      <c r="H78" s="76"/>
      <c r="I78" s="76"/>
      <c r="J78" s="76"/>
      <c r="K78" s="76"/>
      <c r="L78" s="76"/>
      <c r="N78" s="75"/>
    </row>
    <row r="79" spans="1:24" ht="12.5" x14ac:dyDescent="0.25">
      <c r="A79" s="14"/>
      <c r="C79" s="68"/>
      <c r="D79" s="68"/>
      <c r="E79" s="68"/>
      <c r="F79" s="68"/>
      <c r="G79" s="68"/>
      <c r="H79" s="68"/>
      <c r="I79" s="68"/>
      <c r="J79" s="68"/>
      <c r="K79" s="68"/>
      <c r="L79" s="68"/>
      <c r="N79" s="75"/>
    </row>
    <row r="80" spans="1:24" ht="12.5" x14ac:dyDescent="0.25">
      <c r="A80" s="14"/>
      <c r="C80" s="68"/>
      <c r="D80" s="68"/>
      <c r="E80" s="68"/>
      <c r="F80" s="68"/>
      <c r="G80" s="68"/>
      <c r="H80" s="68"/>
      <c r="I80" s="68"/>
      <c r="J80" s="68"/>
      <c r="K80" s="68"/>
      <c r="L80" s="68"/>
      <c r="N80" s="75"/>
    </row>
    <row r="81" spans="1:14" ht="12.5" x14ac:dyDescent="0.25">
      <c r="A81" s="14"/>
      <c r="C81" s="68"/>
      <c r="D81" s="68"/>
      <c r="E81" s="68"/>
      <c r="F81" s="68"/>
      <c r="G81" s="68"/>
      <c r="H81" s="68"/>
      <c r="I81" s="68"/>
      <c r="J81" s="68"/>
      <c r="K81" s="68"/>
      <c r="L81" s="68"/>
      <c r="N81" s="75"/>
    </row>
    <row r="82" spans="1:14" ht="12.5" x14ac:dyDescent="0.25">
      <c r="A82" s="14"/>
      <c r="C82" s="68"/>
      <c r="D82" s="68"/>
      <c r="E82" s="68"/>
      <c r="F82" s="68"/>
      <c r="G82" s="68"/>
      <c r="H82" s="68"/>
      <c r="I82" s="68"/>
      <c r="J82" s="68"/>
      <c r="K82" s="68"/>
      <c r="L82" s="68"/>
      <c r="N82" s="75"/>
    </row>
    <row r="83" spans="1:14" ht="12.5" x14ac:dyDescent="0.25">
      <c r="A83" s="14"/>
      <c r="C83" s="68"/>
      <c r="D83" s="68"/>
      <c r="E83" s="68"/>
      <c r="F83" s="68"/>
      <c r="G83" s="68"/>
      <c r="H83" s="68"/>
      <c r="I83" s="68"/>
      <c r="J83" s="68"/>
      <c r="K83" s="68"/>
      <c r="L83" s="68"/>
      <c r="N83" s="75"/>
    </row>
    <row r="84" spans="1:14" ht="12.5" x14ac:dyDescent="0.25">
      <c r="A84" s="14"/>
      <c r="C84" s="68"/>
      <c r="D84" s="68"/>
      <c r="E84" s="68"/>
      <c r="F84" s="68"/>
      <c r="G84" s="68"/>
      <c r="H84" s="68"/>
      <c r="I84" s="68"/>
      <c r="J84" s="68"/>
      <c r="K84" s="68"/>
      <c r="L84" s="68"/>
      <c r="N84" s="75"/>
    </row>
    <row r="85" spans="1:14" ht="12.5" x14ac:dyDescent="0.25">
      <c r="A85" s="14"/>
      <c r="C85" s="68"/>
      <c r="D85" s="68"/>
      <c r="E85" s="68"/>
      <c r="F85" s="68"/>
      <c r="G85" s="68"/>
      <c r="H85" s="68"/>
      <c r="I85" s="68"/>
      <c r="J85" s="68"/>
      <c r="K85" s="68"/>
      <c r="L85" s="68"/>
      <c r="N85" s="75"/>
    </row>
    <row r="86" spans="1:14" ht="12.5" x14ac:dyDescent="0.25">
      <c r="A86" s="14"/>
      <c r="C86" s="68"/>
      <c r="D86" s="68"/>
      <c r="E86" s="68"/>
      <c r="F86" s="68"/>
      <c r="G86" s="68"/>
      <c r="H86" s="68"/>
      <c r="I86" s="68"/>
      <c r="J86" s="68"/>
      <c r="K86" s="68"/>
      <c r="L86" s="68"/>
      <c r="N86" s="75"/>
    </row>
    <row r="87" spans="1:14" ht="12.5" x14ac:dyDescent="0.25">
      <c r="A87" s="14"/>
      <c r="C87" s="68"/>
      <c r="D87" s="68"/>
      <c r="E87" s="68"/>
      <c r="F87" s="68"/>
      <c r="G87" s="68"/>
      <c r="H87" s="68"/>
      <c r="I87" s="68"/>
      <c r="J87" s="68"/>
      <c r="K87" s="68"/>
      <c r="L87" s="68"/>
      <c r="N87" s="75"/>
    </row>
    <row r="88" spans="1:14" ht="12.5" x14ac:dyDescent="0.25">
      <c r="A88" s="14"/>
      <c r="C88" s="68"/>
      <c r="D88" s="68"/>
      <c r="E88" s="68"/>
      <c r="F88" s="68"/>
      <c r="G88" s="68"/>
      <c r="H88" s="68"/>
      <c r="I88" s="68"/>
      <c r="J88" s="68"/>
      <c r="K88" s="68"/>
      <c r="L88" s="68"/>
      <c r="N88" s="75"/>
    </row>
    <row r="89" spans="1:14" ht="12.5" x14ac:dyDescent="0.25">
      <c r="A89" s="14"/>
      <c r="C89" s="68"/>
      <c r="D89" s="68"/>
      <c r="E89" s="68"/>
      <c r="F89" s="68"/>
      <c r="G89" s="68"/>
      <c r="H89" s="68"/>
      <c r="I89" s="68"/>
      <c r="J89" s="68"/>
      <c r="K89" s="68"/>
      <c r="L89" s="68"/>
      <c r="N89" s="75"/>
    </row>
    <row r="90" spans="1:14" ht="12.5" x14ac:dyDescent="0.25">
      <c r="A90" s="14"/>
      <c r="C90" s="68"/>
      <c r="D90" s="68"/>
      <c r="E90" s="68"/>
      <c r="F90" s="68"/>
      <c r="G90" s="68"/>
      <c r="H90" s="68"/>
      <c r="I90" s="68"/>
      <c r="J90" s="68"/>
      <c r="K90" s="68"/>
      <c r="L90" s="68"/>
      <c r="N90" s="75"/>
    </row>
    <row r="91" spans="1:14" ht="12.5" x14ac:dyDescent="0.25">
      <c r="A91" s="14"/>
      <c r="C91" s="68"/>
      <c r="D91" s="68"/>
      <c r="E91" s="68"/>
      <c r="F91" s="68"/>
      <c r="G91" s="68"/>
      <c r="H91" s="68"/>
      <c r="I91" s="68"/>
      <c r="J91" s="68"/>
      <c r="K91" s="68"/>
      <c r="L91" s="68"/>
      <c r="N91" s="75"/>
    </row>
    <row r="92" spans="1:14" ht="12.5" x14ac:dyDescent="0.25">
      <c r="A92" s="14"/>
      <c r="C92" s="68"/>
      <c r="D92" s="68"/>
      <c r="E92" s="68"/>
      <c r="F92" s="68"/>
      <c r="G92" s="68"/>
      <c r="H92" s="68"/>
      <c r="I92" s="68"/>
      <c r="J92" s="68"/>
      <c r="K92" s="68"/>
      <c r="L92" s="68"/>
      <c r="N92" s="75"/>
    </row>
    <row r="93" spans="1:14" ht="12.5" x14ac:dyDescent="0.25">
      <c r="A93" s="14"/>
      <c r="C93" s="68"/>
      <c r="D93" s="68"/>
      <c r="E93" s="68"/>
      <c r="F93" s="68"/>
      <c r="G93" s="68"/>
      <c r="H93" s="68"/>
      <c r="I93" s="68"/>
      <c r="J93" s="68"/>
      <c r="K93" s="68"/>
      <c r="L93" s="68"/>
      <c r="N93" s="75"/>
    </row>
    <row r="94" spans="1:14" ht="12.5" x14ac:dyDescent="0.25">
      <c r="A94" s="14"/>
      <c r="C94" s="68"/>
      <c r="D94" s="68"/>
      <c r="E94" s="68"/>
      <c r="F94" s="68"/>
      <c r="G94" s="68"/>
      <c r="H94" s="68"/>
      <c r="I94" s="68"/>
      <c r="J94" s="68"/>
      <c r="K94" s="68"/>
      <c r="L94" s="68"/>
      <c r="N94" s="75"/>
    </row>
    <row r="95" spans="1:14" ht="12.5" x14ac:dyDescent="0.25">
      <c r="A95" s="14"/>
      <c r="C95" s="68"/>
      <c r="D95" s="68"/>
      <c r="E95" s="68"/>
      <c r="F95" s="68"/>
      <c r="G95" s="68"/>
      <c r="H95" s="68"/>
      <c r="I95" s="68"/>
      <c r="J95" s="68"/>
      <c r="K95" s="68"/>
      <c r="L95" s="68"/>
      <c r="N95" s="75"/>
    </row>
    <row r="96" spans="1:14" ht="12.5" x14ac:dyDescent="0.25">
      <c r="A96" s="14"/>
      <c r="C96" s="68"/>
      <c r="D96" s="68"/>
      <c r="E96" s="68"/>
      <c r="F96" s="68"/>
      <c r="G96" s="68"/>
      <c r="H96" s="68"/>
      <c r="I96" s="68"/>
      <c r="J96" s="68"/>
      <c r="K96" s="68"/>
      <c r="L96" s="68"/>
      <c r="N96" s="75"/>
    </row>
    <row r="97" spans="1:14" ht="12.5" x14ac:dyDescent="0.25">
      <c r="A97" s="14"/>
      <c r="C97" s="68"/>
      <c r="D97" s="68"/>
      <c r="E97" s="68"/>
      <c r="F97" s="68"/>
      <c r="G97" s="68"/>
      <c r="H97" s="68"/>
      <c r="I97" s="68"/>
      <c r="J97" s="68"/>
      <c r="K97" s="68"/>
      <c r="L97" s="68"/>
      <c r="N97" s="75"/>
    </row>
    <row r="98" spans="1:14" ht="12.5" x14ac:dyDescent="0.25">
      <c r="A98" s="14"/>
      <c r="C98" s="68"/>
      <c r="D98" s="68"/>
      <c r="E98" s="68"/>
      <c r="F98" s="68"/>
      <c r="G98" s="68"/>
      <c r="H98" s="68"/>
      <c r="I98" s="68"/>
      <c r="J98" s="68"/>
      <c r="K98" s="68"/>
      <c r="L98" s="68"/>
      <c r="N98" s="75"/>
    </row>
    <row r="99" spans="1:14" ht="12.5" x14ac:dyDescent="0.25">
      <c r="A99" s="14"/>
      <c r="C99" s="68"/>
      <c r="D99" s="68"/>
      <c r="E99" s="68"/>
      <c r="F99" s="68"/>
      <c r="G99" s="68"/>
      <c r="H99" s="68"/>
      <c r="I99" s="68"/>
      <c r="J99" s="68"/>
      <c r="K99" s="68"/>
      <c r="L99" s="68"/>
      <c r="N99" s="75"/>
    </row>
    <row r="100" spans="1:14" ht="12.5" x14ac:dyDescent="0.25">
      <c r="A100" s="14"/>
      <c r="C100" s="68"/>
      <c r="D100" s="68"/>
      <c r="E100" s="68"/>
      <c r="F100" s="68"/>
      <c r="G100" s="68"/>
      <c r="H100" s="68"/>
      <c r="I100" s="68"/>
      <c r="J100" s="68"/>
      <c r="K100" s="68"/>
      <c r="L100" s="68"/>
      <c r="N100" s="75"/>
    </row>
    <row r="101" spans="1:14" ht="12.5" x14ac:dyDescent="0.25">
      <c r="A101" s="14"/>
      <c r="C101" s="68"/>
      <c r="D101" s="68"/>
      <c r="E101" s="68"/>
      <c r="F101" s="68"/>
      <c r="G101" s="68"/>
      <c r="H101" s="68"/>
      <c r="I101" s="68"/>
      <c r="J101" s="68"/>
      <c r="K101" s="68"/>
      <c r="L101" s="68"/>
      <c r="N101" s="75"/>
    </row>
    <row r="102" spans="1:14" ht="12.5" x14ac:dyDescent="0.25">
      <c r="A102" s="14"/>
      <c r="C102" s="68"/>
      <c r="D102" s="68"/>
      <c r="E102" s="68"/>
      <c r="F102" s="68"/>
      <c r="G102" s="68"/>
      <c r="H102" s="68"/>
      <c r="I102" s="68"/>
      <c r="J102" s="68"/>
      <c r="K102" s="68"/>
      <c r="L102" s="68"/>
      <c r="N102" s="75"/>
    </row>
    <row r="103" spans="1:14" ht="12.5" x14ac:dyDescent="0.25">
      <c r="A103" s="14"/>
      <c r="C103" s="68"/>
      <c r="D103" s="68"/>
      <c r="E103" s="68"/>
      <c r="F103" s="68"/>
      <c r="G103" s="68"/>
      <c r="H103" s="68"/>
      <c r="I103" s="68"/>
      <c r="J103" s="68"/>
      <c r="K103" s="68"/>
      <c r="L103" s="68"/>
      <c r="N103" s="75"/>
    </row>
    <row r="104" spans="1:14" ht="12.5" x14ac:dyDescent="0.25">
      <c r="A104" s="14"/>
      <c r="C104" s="68"/>
      <c r="D104" s="68"/>
      <c r="E104" s="68"/>
      <c r="F104" s="68"/>
      <c r="G104" s="68"/>
      <c r="H104" s="68"/>
      <c r="I104" s="68"/>
      <c r="J104" s="68"/>
      <c r="K104" s="68"/>
      <c r="L104" s="68"/>
      <c r="N104" s="75"/>
    </row>
    <row r="105" spans="1:14" ht="12.5" x14ac:dyDescent="0.25">
      <c r="A105" s="14"/>
      <c r="C105" s="68"/>
      <c r="D105" s="68"/>
      <c r="E105" s="68"/>
      <c r="F105" s="68"/>
      <c r="G105" s="68"/>
      <c r="H105" s="68"/>
      <c r="I105" s="68"/>
      <c r="J105" s="68"/>
      <c r="K105" s="68"/>
      <c r="L105" s="68"/>
      <c r="N105" s="75"/>
    </row>
    <row r="106" spans="1:14" ht="12.5" x14ac:dyDescent="0.25">
      <c r="A106" s="14"/>
      <c r="C106" s="68"/>
      <c r="D106" s="68"/>
      <c r="E106" s="68"/>
      <c r="F106" s="68"/>
      <c r="G106" s="68"/>
      <c r="H106" s="68"/>
      <c r="I106" s="68"/>
      <c r="J106" s="68"/>
      <c r="K106" s="68"/>
      <c r="L106" s="68"/>
      <c r="N106" s="75"/>
    </row>
    <row r="107" spans="1:14" ht="12.5" x14ac:dyDescent="0.25">
      <c r="A107" s="14"/>
      <c r="C107" s="68"/>
      <c r="D107" s="68"/>
      <c r="E107" s="68"/>
      <c r="F107" s="68"/>
      <c r="G107" s="68"/>
      <c r="H107" s="68"/>
      <c r="I107" s="68"/>
      <c r="J107" s="68"/>
      <c r="K107" s="68"/>
      <c r="L107" s="68"/>
      <c r="N107" s="75"/>
    </row>
    <row r="108" spans="1:14" ht="12.5" x14ac:dyDescent="0.25">
      <c r="A108" s="14"/>
      <c r="C108" s="68"/>
      <c r="D108" s="68"/>
      <c r="E108" s="68"/>
      <c r="F108" s="68"/>
      <c r="G108" s="68"/>
      <c r="H108" s="68"/>
      <c r="I108" s="68"/>
      <c r="J108" s="68"/>
      <c r="K108" s="68"/>
      <c r="L108" s="68"/>
      <c r="N108" s="75"/>
    </row>
    <row r="109" spans="1:14" ht="12.5" x14ac:dyDescent="0.25">
      <c r="A109" s="14"/>
      <c r="C109" s="68"/>
      <c r="D109" s="68"/>
      <c r="E109" s="68"/>
      <c r="F109" s="68"/>
      <c r="G109" s="68"/>
      <c r="H109" s="68"/>
      <c r="I109" s="68"/>
      <c r="J109" s="68"/>
      <c r="K109" s="68"/>
      <c r="L109" s="68"/>
      <c r="N109" s="75"/>
    </row>
    <row r="110" spans="1:14" ht="12.5" x14ac:dyDescent="0.25">
      <c r="A110" s="14"/>
      <c r="C110" s="68"/>
      <c r="D110" s="68"/>
      <c r="E110" s="68"/>
      <c r="F110" s="68"/>
      <c r="G110" s="68"/>
      <c r="H110" s="68"/>
      <c r="I110" s="68"/>
      <c r="J110" s="68"/>
      <c r="K110" s="68"/>
      <c r="L110" s="68"/>
      <c r="N110" s="75"/>
    </row>
    <row r="111" spans="1:14" ht="12.5" x14ac:dyDescent="0.25">
      <c r="A111" s="14"/>
      <c r="C111" s="68"/>
      <c r="D111" s="68"/>
      <c r="E111" s="68"/>
      <c r="F111" s="68"/>
      <c r="G111" s="68"/>
      <c r="H111" s="68"/>
      <c r="I111" s="68"/>
      <c r="J111" s="68"/>
      <c r="K111" s="68"/>
      <c r="L111" s="68"/>
      <c r="N111" s="75"/>
    </row>
    <row r="112" spans="1:14" ht="12.5" x14ac:dyDescent="0.25">
      <c r="A112" s="14"/>
      <c r="C112" s="68"/>
      <c r="D112" s="68"/>
      <c r="E112" s="68"/>
      <c r="F112" s="68"/>
      <c r="G112" s="68"/>
      <c r="H112" s="68"/>
      <c r="I112" s="68"/>
      <c r="J112" s="68"/>
      <c r="K112" s="68"/>
      <c r="L112" s="68"/>
      <c r="N112" s="75"/>
    </row>
    <row r="113" spans="1:14" ht="12.5" x14ac:dyDescent="0.25">
      <c r="A113" s="14"/>
      <c r="C113" s="68"/>
      <c r="D113" s="68"/>
      <c r="E113" s="68"/>
      <c r="F113" s="68"/>
      <c r="G113" s="68"/>
      <c r="H113" s="68"/>
      <c r="I113" s="68"/>
      <c r="J113" s="68"/>
      <c r="K113" s="68"/>
      <c r="L113" s="68"/>
      <c r="N113" s="75"/>
    </row>
    <row r="114" spans="1:14" ht="12.5" x14ac:dyDescent="0.25">
      <c r="A114" s="14"/>
      <c r="C114" s="68"/>
      <c r="D114" s="68"/>
      <c r="E114" s="68"/>
      <c r="F114" s="68"/>
      <c r="G114" s="68"/>
      <c r="H114" s="68"/>
      <c r="I114" s="68"/>
      <c r="J114" s="68"/>
      <c r="K114" s="68"/>
      <c r="L114" s="68"/>
      <c r="N114" s="75"/>
    </row>
    <row r="115" spans="1:14" ht="12.5" x14ac:dyDescent="0.25">
      <c r="A115" s="14"/>
      <c r="C115" s="68"/>
      <c r="D115" s="68"/>
      <c r="E115" s="68"/>
      <c r="F115" s="68"/>
      <c r="G115" s="68"/>
      <c r="H115" s="68"/>
      <c r="I115" s="68"/>
      <c r="J115" s="68"/>
      <c r="K115" s="68"/>
      <c r="L115" s="68"/>
      <c r="N115" s="75"/>
    </row>
    <row r="116" spans="1:14" ht="12.5" x14ac:dyDescent="0.25">
      <c r="A116" s="14"/>
      <c r="C116" s="68"/>
      <c r="D116" s="68"/>
      <c r="E116" s="68"/>
      <c r="F116" s="68"/>
      <c r="G116" s="68"/>
      <c r="H116" s="68"/>
      <c r="I116" s="68"/>
      <c r="J116" s="68"/>
      <c r="K116" s="68"/>
      <c r="L116" s="68"/>
      <c r="N116" s="75"/>
    </row>
    <row r="117" spans="1:14" ht="12.5" x14ac:dyDescent="0.25">
      <c r="A117" s="14"/>
      <c r="C117" s="68"/>
      <c r="D117" s="68"/>
      <c r="E117" s="68"/>
      <c r="F117" s="68"/>
      <c r="G117" s="68"/>
      <c r="H117" s="68"/>
      <c r="I117" s="68"/>
      <c r="J117" s="68"/>
      <c r="K117" s="68"/>
      <c r="L117" s="68"/>
      <c r="N117" s="75"/>
    </row>
    <row r="118" spans="1:14" ht="12.5" x14ac:dyDescent="0.25">
      <c r="A118" s="14"/>
      <c r="C118" s="68"/>
      <c r="D118" s="68"/>
      <c r="E118" s="68"/>
      <c r="F118" s="68"/>
      <c r="G118" s="68"/>
      <c r="H118" s="68"/>
      <c r="I118" s="68"/>
      <c r="J118" s="68"/>
      <c r="K118" s="68"/>
      <c r="L118" s="68"/>
      <c r="N118" s="75"/>
    </row>
    <row r="119" spans="1:14" ht="12.5" x14ac:dyDescent="0.25">
      <c r="A119" s="14"/>
      <c r="C119" s="68"/>
      <c r="D119" s="68"/>
      <c r="E119" s="68"/>
      <c r="F119" s="68"/>
      <c r="G119" s="68"/>
      <c r="H119" s="68"/>
      <c r="I119" s="68"/>
      <c r="J119" s="68"/>
      <c r="K119" s="68"/>
      <c r="L119" s="68"/>
      <c r="N119" s="75"/>
    </row>
    <row r="120" spans="1:14" ht="12.5" x14ac:dyDescent="0.25">
      <c r="A120" s="14"/>
      <c r="C120" s="68"/>
      <c r="D120" s="68"/>
      <c r="E120" s="68"/>
      <c r="F120" s="68"/>
      <c r="G120" s="68"/>
      <c r="H120" s="68"/>
      <c r="I120" s="68"/>
      <c r="J120" s="68"/>
      <c r="K120" s="68"/>
      <c r="L120" s="68"/>
      <c r="N120" s="75"/>
    </row>
    <row r="121" spans="1:14" ht="12.5" x14ac:dyDescent="0.25">
      <c r="A121" s="14"/>
      <c r="C121" s="68"/>
      <c r="D121" s="68"/>
      <c r="E121" s="68"/>
      <c r="F121" s="68"/>
      <c r="G121" s="68"/>
      <c r="H121" s="68"/>
      <c r="I121" s="68"/>
      <c r="J121" s="68"/>
      <c r="K121" s="68"/>
      <c r="L121" s="68"/>
      <c r="N121" s="75"/>
    </row>
    <row r="122" spans="1:14" ht="12.5" x14ac:dyDescent="0.25">
      <c r="A122" s="14"/>
      <c r="C122" s="68"/>
      <c r="D122" s="68"/>
      <c r="E122" s="68"/>
      <c r="F122" s="68"/>
      <c r="G122" s="68"/>
      <c r="H122" s="68"/>
      <c r="I122" s="68"/>
      <c r="J122" s="68"/>
      <c r="K122" s="68"/>
      <c r="L122" s="68"/>
      <c r="N122" s="75"/>
    </row>
    <row r="123" spans="1:14" ht="12.5" x14ac:dyDescent="0.25">
      <c r="A123" s="14"/>
      <c r="C123" s="68"/>
      <c r="D123" s="68"/>
      <c r="E123" s="68"/>
      <c r="F123" s="68"/>
      <c r="G123" s="68"/>
      <c r="H123" s="68"/>
      <c r="I123" s="68"/>
      <c r="J123" s="68"/>
      <c r="K123" s="68"/>
      <c r="L123" s="68"/>
      <c r="N123" s="75"/>
    </row>
    <row r="124" spans="1:14" ht="12.5" x14ac:dyDescent="0.25">
      <c r="A124" s="14"/>
      <c r="C124" s="68"/>
      <c r="D124" s="68"/>
      <c r="E124" s="68"/>
      <c r="F124" s="68"/>
      <c r="G124" s="68"/>
      <c r="H124" s="68"/>
      <c r="I124" s="68"/>
      <c r="J124" s="68"/>
      <c r="K124" s="68"/>
      <c r="L124" s="68"/>
      <c r="N124" s="75"/>
    </row>
    <row r="125" spans="1:14" ht="12.5" x14ac:dyDescent="0.25">
      <c r="A125" s="14"/>
      <c r="C125" s="68"/>
      <c r="D125" s="68"/>
      <c r="E125" s="68"/>
      <c r="F125" s="68"/>
      <c r="G125" s="68"/>
      <c r="H125" s="68"/>
      <c r="I125" s="68"/>
      <c r="J125" s="68"/>
      <c r="K125" s="68"/>
      <c r="L125" s="68"/>
      <c r="N125" s="75"/>
    </row>
    <row r="126" spans="1:14" ht="12.5" x14ac:dyDescent="0.25">
      <c r="A126" s="14"/>
      <c r="C126" s="68"/>
      <c r="D126" s="68"/>
      <c r="E126" s="68"/>
      <c r="F126" s="68"/>
      <c r="G126" s="68"/>
      <c r="H126" s="68"/>
      <c r="I126" s="68"/>
      <c r="J126" s="68"/>
      <c r="K126" s="68"/>
      <c r="L126" s="68"/>
      <c r="N126" s="75"/>
    </row>
    <row r="127" spans="1:14" ht="12.5" x14ac:dyDescent="0.25">
      <c r="A127" s="14"/>
      <c r="C127" s="68"/>
      <c r="D127" s="68"/>
      <c r="E127" s="68"/>
      <c r="F127" s="68"/>
      <c r="G127" s="68"/>
      <c r="H127" s="68"/>
      <c r="I127" s="68"/>
      <c r="J127" s="68"/>
      <c r="K127" s="68"/>
      <c r="L127" s="68"/>
      <c r="N127" s="75"/>
    </row>
    <row r="128" spans="1:14" ht="12.5" x14ac:dyDescent="0.25">
      <c r="A128" s="14"/>
      <c r="C128" s="68"/>
      <c r="D128" s="68"/>
      <c r="E128" s="68"/>
      <c r="F128" s="68"/>
      <c r="G128" s="68"/>
      <c r="H128" s="68"/>
      <c r="I128" s="68"/>
      <c r="J128" s="68"/>
      <c r="K128" s="68"/>
      <c r="L128" s="68"/>
      <c r="N128" s="75"/>
    </row>
    <row r="129" spans="1:14" ht="12.5" x14ac:dyDescent="0.25">
      <c r="A129" s="14"/>
      <c r="C129" s="68"/>
      <c r="D129" s="68"/>
      <c r="E129" s="68"/>
      <c r="F129" s="68"/>
      <c r="G129" s="68"/>
      <c r="H129" s="68"/>
      <c r="I129" s="68"/>
      <c r="J129" s="68"/>
      <c r="K129" s="68"/>
      <c r="L129" s="68"/>
      <c r="N129" s="75"/>
    </row>
    <row r="130" spans="1:14" ht="12.5" x14ac:dyDescent="0.25">
      <c r="A130" s="14"/>
      <c r="C130" s="68"/>
      <c r="D130" s="68"/>
      <c r="E130" s="68"/>
      <c r="F130" s="68"/>
      <c r="G130" s="68"/>
      <c r="H130" s="68"/>
      <c r="I130" s="68"/>
      <c r="J130" s="68"/>
      <c r="K130" s="68"/>
      <c r="L130" s="68"/>
      <c r="N130" s="75"/>
    </row>
    <row r="131" spans="1:14" ht="12.5" x14ac:dyDescent="0.25">
      <c r="A131" s="14"/>
      <c r="C131" s="68"/>
      <c r="D131" s="68"/>
      <c r="E131" s="68"/>
      <c r="F131" s="68"/>
      <c r="G131" s="68"/>
      <c r="H131" s="68"/>
      <c r="I131" s="68"/>
      <c r="J131" s="68"/>
      <c r="K131" s="68"/>
      <c r="L131" s="68"/>
      <c r="N131" s="75"/>
    </row>
    <row r="132" spans="1:14" ht="12.5" x14ac:dyDescent="0.25">
      <c r="A132" s="14"/>
      <c r="C132" s="68"/>
      <c r="D132" s="68"/>
      <c r="E132" s="68"/>
      <c r="F132" s="68"/>
      <c r="G132" s="68"/>
      <c r="H132" s="68"/>
      <c r="I132" s="68"/>
      <c r="J132" s="68"/>
      <c r="K132" s="68"/>
      <c r="L132" s="68"/>
      <c r="N132" s="75"/>
    </row>
    <row r="133" spans="1:14" ht="12.5" x14ac:dyDescent="0.25">
      <c r="A133" s="14"/>
      <c r="C133" s="68"/>
      <c r="D133" s="68"/>
      <c r="E133" s="68"/>
      <c r="F133" s="68"/>
      <c r="G133" s="68"/>
      <c r="H133" s="68"/>
      <c r="I133" s="68"/>
      <c r="J133" s="68"/>
      <c r="K133" s="68"/>
      <c r="L133" s="68"/>
      <c r="N133" s="75"/>
    </row>
    <row r="134" spans="1:14" ht="12.5" x14ac:dyDescent="0.25">
      <c r="A134" s="14"/>
      <c r="C134" s="68"/>
      <c r="D134" s="68"/>
      <c r="E134" s="68"/>
      <c r="F134" s="68"/>
      <c r="G134" s="68"/>
      <c r="H134" s="68"/>
      <c r="I134" s="68"/>
      <c r="J134" s="68"/>
      <c r="K134" s="68"/>
      <c r="L134" s="68"/>
      <c r="N134" s="75"/>
    </row>
    <row r="135" spans="1:14" ht="12.5" x14ac:dyDescent="0.25">
      <c r="A135" s="14"/>
      <c r="C135" s="68"/>
      <c r="D135" s="68"/>
      <c r="E135" s="68"/>
      <c r="F135" s="68"/>
      <c r="G135" s="68"/>
      <c r="H135" s="68"/>
      <c r="I135" s="68"/>
      <c r="J135" s="68"/>
      <c r="K135" s="68"/>
      <c r="L135" s="68"/>
      <c r="N135" s="75"/>
    </row>
    <row r="136" spans="1:14" ht="12.5" x14ac:dyDescent="0.25">
      <c r="A136" s="14"/>
      <c r="C136" s="68"/>
      <c r="D136" s="68"/>
      <c r="E136" s="68"/>
      <c r="F136" s="68"/>
      <c r="G136" s="68"/>
      <c r="H136" s="68"/>
      <c r="I136" s="68"/>
      <c r="J136" s="68"/>
      <c r="K136" s="68"/>
      <c r="L136" s="68"/>
      <c r="N136" s="75"/>
    </row>
    <row r="137" spans="1:14" ht="12.5" x14ac:dyDescent="0.25">
      <c r="A137" s="14"/>
      <c r="C137" s="68"/>
      <c r="D137" s="68"/>
      <c r="E137" s="68"/>
      <c r="F137" s="68"/>
      <c r="G137" s="68"/>
      <c r="H137" s="68"/>
      <c r="I137" s="68"/>
      <c r="J137" s="68"/>
      <c r="K137" s="68"/>
      <c r="L137" s="68"/>
      <c r="N137" s="75"/>
    </row>
    <row r="138" spans="1:14" ht="12.5" x14ac:dyDescent="0.25">
      <c r="A138" s="14"/>
      <c r="C138" s="68"/>
      <c r="D138" s="68"/>
      <c r="E138" s="68"/>
      <c r="F138" s="68"/>
      <c r="G138" s="68"/>
      <c r="H138" s="68"/>
      <c r="I138" s="68"/>
      <c r="J138" s="68"/>
      <c r="K138" s="68"/>
      <c r="L138" s="68"/>
      <c r="N138" s="75"/>
    </row>
    <row r="139" spans="1:14" ht="12.5" x14ac:dyDescent="0.25">
      <c r="A139" s="14"/>
      <c r="C139" s="68"/>
      <c r="D139" s="68"/>
      <c r="E139" s="68"/>
      <c r="F139" s="68"/>
      <c r="G139" s="68"/>
      <c r="H139" s="68"/>
      <c r="I139" s="68"/>
      <c r="J139" s="68"/>
      <c r="K139" s="68"/>
      <c r="L139" s="68"/>
      <c r="N139" s="75"/>
    </row>
    <row r="140" spans="1:14" ht="12.5" x14ac:dyDescent="0.25">
      <c r="A140" s="14"/>
      <c r="C140" s="68"/>
      <c r="D140" s="68"/>
      <c r="E140" s="68"/>
      <c r="F140" s="68"/>
      <c r="G140" s="68"/>
      <c r="H140" s="68"/>
      <c r="I140" s="68"/>
      <c r="J140" s="68"/>
      <c r="K140" s="68"/>
      <c r="L140" s="68"/>
      <c r="N140" s="75"/>
    </row>
    <row r="141" spans="1:14" ht="12.5" x14ac:dyDescent="0.25">
      <c r="A141" s="14"/>
      <c r="C141" s="68"/>
      <c r="D141" s="68"/>
      <c r="E141" s="68"/>
      <c r="F141" s="68"/>
      <c r="G141" s="68"/>
      <c r="H141" s="68"/>
      <c r="I141" s="68"/>
      <c r="J141" s="68"/>
      <c r="K141" s="68"/>
      <c r="L141" s="68"/>
      <c r="N141" s="75"/>
    </row>
    <row r="142" spans="1:14" ht="12.5" x14ac:dyDescent="0.25">
      <c r="A142" s="14"/>
      <c r="C142" s="68"/>
      <c r="D142" s="68"/>
      <c r="E142" s="68"/>
      <c r="F142" s="68"/>
      <c r="G142" s="68"/>
      <c r="H142" s="68"/>
      <c r="I142" s="68"/>
      <c r="J142" s="68"/>
      <c r="K142" s="68"/>
      <c r="L142" s="68"/>
      <c r="N142" s="75"/>
    </row>
    <row r="143" spans="1:14" ht="12.5" x14ac:dyDescent="0.25">
      <c r="A143" s="14"/>
      <c r="C143" s="68"/>
      <c r="D143" s="68"/>
      <c r="E143" s="68"/>
      <c r="F143" s="68"/>
      <c r="G143" s="68"/>
      <c r="H143" s="68"/>
      <c r="I143" s="68"/>
      <c r="J143" s="68"/>
      <c r="K143" s="68"/>
      <c r="L143" s="68"/>
      <c r="N143" s="75"/>
    </row>
    <row r="144" spans="1:14" ht="12.5" x14ac:dyDescent="0.25">
      <c r="A144" s="14"/>
      <c r="C144" s="68"/>
      <c r="D144" s="68"/>
      <c r="E144" s="68"/>
      <c r="F144" s="68"/>
      <c r="G144" s="68"/>
      <c r="H144" s="68"/>
      <c r="I144" s="68"/>
      <c r="J144" s="68"/>
      <c r="K144" s="68"/>
      <c r="L144" s="68"/>
      <c r="N144" s="75"/>
    </row>
    <row r="145" spans="1:14" ht="12.5" x14ac:dyDescent="0.25">
      <c r="A145" s="14"/>
      <c r="C145" s="68"/>
      <c r="D145" s="68"/>
      <c r="E145" s="68"/>
      <c r="F145" s="68"/>
      <c r="G145" s="68"/>
      <c r="H145" s="68"/>
      <c r="I145" s="68"/>
      <c r="J145" s="68"/>
      <c r="K145" s="68"/>
      <c r="L145" s="68"/>
      <c r="N145" s="75"/>
    </row>
    <row r="146" spans="1:14" ht="12.5" x14ac:dyDescent="0.25">
      <c r="A146" s="14"/>
      <c r="C146" s="68"/>
      <c r="D146" s="68"/>
      <c r="E146" s="68"/>
      <c r="F146" s="68"/>
      <c r="G146" s="68"/>
      <c r="H146" s="68"/>
      <c r="I146" s="68"/>
      <c r="J146" s="68"/>
      <c r="K146" s="68"/>
      <c r="L146" s="68"/>
      <c r="N146" s="75"/>
    </row>
    <row r="147" spans="1:14" ht="12.5" x14ac:dyDescent="0.25">
      <c r="A147" s="14"/>
      <c r="C147" s="68"/>
      <c r="D147" s="68"/>
      <c r="E147" s="68"/>
      <c r="F147" s="68"/>
      <c r="G147" s="68"/>
      <c r="H147" s="68"/>
      <c r="I147" s="68"/>
      <c r="J147" s="68"/>
      <c r="K147" s="68"/>
      <c r="L147" s="68"/>
      <c r="N147" s="75"/>
    </row>
    <row r="148" spans="1:14" ht="12.5" x14ac:dyDescent="0.25">
      <c r="A148" s="14"/>
      <c r="C148" s="68"/>
      <c r="D148" s="68"/>
      <c r="E148" s="68"/>
      <c r="F148" s="68"/>
      <c r="G148" s="68"/>
      <c r="H148" s="68"/>
      <c r="I148" s="68"/>
      <c r="J148" s="68"/>
      <c r="K148" s="68"/>
      <c r="L148" s="68"/>
      <c r="N148" s="75"/>
    </row>
    <row r="149" spans="1:14" ht="12.5" x14ac:dyDescent="0.25">
      <c r="A149" s="14"/>
      <c r="C149" s="68"/>
      <c r="D149" s="68"/>
      <c r="E149" s="68"/>
      <c r="F149" s="68"/>
      <c r="G149" s="68"/>
      <c r="H149" s="68"/>
      <c r="I149" s="68"/>
      <c r="J149" s="68"/>
      <c r="K149" s="68"/>
      <c r="L149" s="68"/>
      <c r="N149" s="75"/>
    </row>
    <row r="150" spans="1:14" ht="12.5" x14ac:dyDescent="0.25">
      <c r="A150" s="14"/>
      <c r="C150" s="68"/>
      <c r="D150" s="68"/>
      <c r="E150" s="68"/>
      <c r="F150" s="68"/>
      <c r="G150" s="68"/>
      <c r="H150" s="68"/>
      <c r="I150" s="68"/>
      <c r="J150" s="68"/>
      <c r="K150" s="68"/>
      <c r="L150" s="68"/>
      <c r="N150" s="75"/>
    </row>
    <row r="151" spans="1:14" ht="12.5" x14ac:dyDescent="0.25">
      <c r="A151" s="14"/>
      <c r="C151" s="68"/>
      <c r="D151" s="68"/>
      <c r="E151" s="68"/>
      <c r="F151" s="68"/>
      <c r="G151" s="68"/>
      <c r="H151" s="68"/>
      <c r="I151" s="68"/>
      <c r="J151" s="68"/>
      <c r="K151" s="68"/>
      <c r="L151" s="68"/>
      <c r="N151" s="75"/>
    </row>
    <row r="152" spans="1:14" ht="12.5" x14ac:dyDescent="0.25">
      <c r="A152" s="14"/>
      <c r="C152" s="68"/>
      <c r="D152" s="68"/>
      <c r="E152" s="68"/>
      <c r="F152" s="68"/>
      <c r="G152" s="68"/>
      <c r="H152" s="68"/>
      <c r="I152" s="68"/>
      <c r="J152" s="68"/>
      <c r="K152" s="68"/>
      <c r="L152" s="68"/>
      <c r="N152" s="75"/>
    </row>
    <row r="153" spans="1:14" ht="12.5" x14ac:dyDescent="0.25">
      <c r="A153" s="14"/>
      <c r="C153" s="68"/>
      <c r="D153" s="68"/>
      <c r="E153" s="68"/>
      <c r="F153" s="68"/>
      <c r="G153" s="68"/>
      <c r="H153" s="68"/>
      <c r="I153" s="68"/>
      <c r="J153" s="68"/>
      <c r="K153" s="68"/>
      <c r="L153" s="68"/>
      <c r="N153" s="75"/>
    </row>
    <row r="154" spans="1:14" ht="12.5" x14ac:dyDescent="0.25">
      <c r="A154" s="14"/>
      <c r="C154" s="68"/>
      <c r="D154" s="68"/>
      <c r="E154" s="68"/>
      <c r="F154" s="68"/>
      <c r="G154" s="68"/>
      <c r="H154" s="68"/>
      <c r="I154" s="68"/>
      <c r="J154" s="68"/>
      <c r="K154" s="68"/>
      <c r="L154" s="68"/>
      <c r="N154" s="75"/>
    </row>
    <row r="155" spans="1:14" ht="12.5" x14ac:dyDescent="0.25">
      <c r="A155" s="14"/>
      <c r="C155" s="68"/>
      <c r="D155" s="68"/>
      <c r="E155" s="68"/>
      <c r="F155" s="68"/>
      <c r="G155" s="68"/>
      <c r="H155" s="68"/>
      <c r="I155" s="68"/>
      <c r="J155" s="68"/>
      <c r="K155" s="68"/>
      <c r="L155" s="68"/>
      <c r="N155" s="75"/>
    </row>
    <row r="156" spans="1:14" ht="12.5" x14ac:dyDescent="0.25">
      <c r="A156" s="14"/>
      <c r="C156" s="68"/>
      <c r="D156" s="68"/>
      <c r="E156" s="68"/>
      <c r="F156" s="68"/>
      <c r="G156" s="68"/>
      <c r="H156" s="68"/>
      <c r="I156" s="68"/>
      <c r="J156" s="68"/>
      <c r="K156" s="68"/>
      <c r="L156" s="68"/>
      <c r="N156" s="75"/>
    </row>
    <row r="157" spans="1:14" ht="12.5" x14ac:dyDescent="0.25">
      <c r="A157" s="14"/>
      <c r="C157" s="68"/>
      <c r="D157" s="68"/>
      <c r="E157" s="68"/>
      <c r="F157" s="68"/>
      <c r="G157" s="68"/>
      <c r="H157" s="68"/>
      <c r="I157" s="68"/>
      <c r="J157" s="68"/>
      <c r="K157" s="68"/>
      <c r="L157" s="68"/>
      <c r="N157" s="75"/>
    </row>
    <row r="158" spans="1:14" ht="12.5" x14ac:dyDescent="0.25">
      <c r="A158" s="14"/>
      <c r="C158" s="68"/>
      <c r="D158" s="68"/>
      <c r="E158" s="68"/>
      <c r="F158" s="68"/>
      <c r="G158" s="68"/>
      <c r="H158" s="68"/>
      <c r="I158" s="68"/>
      <c r="J158" s="68"/>
      <c r="K158" s="68"/>
      <c r="L158" s="68"/>
      <c r="N158" s="75"/>
    </row>
    <row r="159" spans="1:14" ht="12.5" x14ac:dyDescent="0.25">
      <c r="A159" s="14"/>
      <c r="C159" s="68"/>
      <c r="D159" s="68"/>
      <c r="E159" s="68"/>
      <c r="F159" s="68"/>
      <c r="G159" s="68"/>
      <c r="H159" s="68"/>
      <c r="I159" s="68"/>
      <c r="J159" s="68"/>
      <c r="K159" s="68"/>
      <c r="L159" s="68"/>
      <c r="N159" s="75"/>
    </row>
    <row r="160" spans="1:14" ht="12.5" x14ac:dyDescent="0.25">
      <c r="A160" s="14"/>
      <c r="C160" s="68"/>
      <c r="D160" s="68"/>
      <c r="E160" s="68"/>
      <c r="F160" s="68"/>
      <c r="G160" s="68"/>
      <c r="H160" s="68"/>
      <c r="I160" s="68"/>
      <c r="J160" s="68"/>
      <c r="K160" s="68"/>
      <c r="L160" s="68"/>
      <c r="N160" s="75"/>
    </row>
    <row r="161" spans="1:14" ht="12.5" x14ac:dyDescent="0.25">
      <c r="A161" s="14"/>
      <c r="C161" s="68"/>
      <c r="D161" s="68"/>
      <c r="E161" s="68"/>
      <c r="F161" s="68"/>
      <c r="G161" s="68"/>
      <c r="H161" s="68"/>
      <c r="I161" s="68"/>
      <c r="J161" s="68"/>
      <c r="K161" s="68"/>
      <c r="L161" s="68"/>
      <c r="N161" s="75"/>
    </row>
    <row r="162" spans="1:14" ht="12.5" x14ac:dyDescent="0.25">
      <c r="A162" s="14"/>
      <c r="C162" s="68"/>
      <c r="D162" s="68"/>
      <c r="E162" s="68"/>
      <c r="F162" s="68"/>
      <c r="G162" s="68"/>
      <c r="H162" s="68"/>
      <c r="I162" s="68"/>
      <c r="J162" s="68"/>
      <c r="K162" s="68"/>
      <c r="L162" s="68"/>
      <c r="N162" s="75"/>
    </row>
    <row r="163" spans="1:14" ht="12.5" x14ac:dyDescent="0.25">
      <c r="A163" s="14"/>
      <c r="C163" s="68"/>
      <c r="D163" s="68"/>
      <c r="E163" s="68"/>
      <c r="F163" s="68"/>
      <c r="G163" s="68"/>
      <c r="H163" s="68"/>
      <c r="I163" s="68"/>
      <c r="J163" s="68"/>
      <c r="K163" s="68"/>
      <c r="L163" s="68"/>
      <c r="N163" s="75"/>
    </row>
    <row r="164" spans="1:14" ht="12.5" x14ac:dyDescent="0.25">
      <c r="A164" s="14"/>
      <c r="C164" s="68"/>
      <c r="D164" s="68"/>
      <c r="E164" s="68"/>
      <c r="F164" s="68"/>
      <c r="G164" s="68"/>
      <c r="H164" s="68"/>
      <c r="I164" s="68"/>
      <c r="J164" s="68"/>
      <c r="K164" s="68"/>
      <c r="L164" s="68"/>
      <c r="N164" s="75"/>
    </row>
    <row r="165" spans="1:14" ht="12.5" x14ac:dyDescent="0.25">
      <c r="A165" s="14"/>
      <c r="C165" s="68"/>
      <c r="D165" s="68"/>
      <c r="E165" s="68"/>
      <c r="F165" s="68"/>
      <c r="G165" s="68"/>
      <c r="H165" s="68"/>
      <c r="I165" s="68"/>
      <c r="J165" s="68"/>
      <c r="K165" s="68"/>
      <c r="L165" s="68"/>
      <c r="N165" s="75"/>
    </row>
    <row r="166" spans="1:14" ht="12.5" x14ac:dyDescent="0.25">
      <c r="A166" s="14"/>
      <c r="C166" s="68"/>
      <c r="D166" s="68"/>
      <c r="E166" s="68"/>
      <c r="F166" s="68"/>
      <c r="G166" s="68"/>
      <c r="H166" s="68"/>
      <c r="I166" s="68"/>
      <c r="J166" s="68"/>
      <c r="K166" s="68"/>
      <c r="L166" s="68"/>
      <c r="N166" s="75"/>
    </row>
    <row r="167" spans="1:14" ht="12.5" x14ac:dyDescent="0.25">
      <c r="A167" s="14"/>
      <c r="C167" s="68"/>
      <c r="D167" s="68"/>
      <c r="E167" s="68"/>
      <c r="F167" s="68"/>
      <c r="G167" s="68"/>
      <c r="H167" s="68"/>
      <c r="I167" s="68"/>
      <c r="J167" s="68"/>
      <c r="K167" s="68"/>
      <c r="L167" s="68"/>
      <c r="N167" s="75"/>
    </row>
    <row r="168" spans="1:14" ht="12.5" x14ac:dyDescent="0.25">
      <c r="A168" s="14"/>
      <c r="C168" s="68"/>
      <c r="D168" s="68"/>
      <c r="E168" s="68"/>
      <c r="F168" s="68"/>
      <c r="G168" s="68"/>
      <c r="H168" s="68"/>
      <c r="I168" s="68"/>
      <c r="J168" s="68"/>
      <c r="K168" s="68"/>
      <c r="L168" s="68"/>
      <c r="N168" s="75"/>
    </row>
    <row r="169" spans="1:14" ht="12.5" x14ac:dyDescent="0.25">
      <c r="A169" s="14"/>
      <c r="C169" s="68"/>
      <c r="D169" s="68"/>
      <c r="E169" s="68"/>
      <c r="F169" s="68"/>
      <c r="G169" s="68"/>
      <c r="H169" s="68"/>
      <c r="I169" s="68"/>
      <c r="J169" s="68"/>
      <c r="K169" s="68"/>
      <c r="L169" s="68"/>
      <c r="N169" s="75"/>
    </row>
    <row r="170" spans="1:14" ht="12.5" x14ac:dyDescent="0.25">
      <c r="A170" s="14"/>
      <c r="C170" s="68"/>
      <c r="D170" s="68"/>
      <c r="E170" s="68"/>
      <c r="F170" s="68"/>
      <c r="G170" s="68"/>
      <c r="H170" s="68"/>
      <c r="I170" s="68"/>
      <c r="J170" s="68"/>
      <c r="K170" s="68"/>
      <c r="L170" s="68"/>
      <c r="N170" s="75"/>
    </row>
    <row r="171" spans="1:14" ht="12.5" x14ac:dyDescent="0.25">
      <c r="A171" s="14"/>
      <c r="C171" s="68"/>
      <c r="D171" s="68"/>
      <c r="E171" s="68"/>
      <c r="F171" s="68"/>
      <c r="G171" s="68"/>
      <c r="H171" s="68"/>
      <c r="I171" s="68"/>
      <c r="J171" s="68"/>
      <c r="K171" s="68"/>
      <c r="L171" s="68"/>
      <c r="N171" s="75"/>
    </row>
    <row r="172" spans="1:14" ht="12.5" x14ac:dyDescent="0.25">
      <c r="A172" s="14"/>
      <c r="C172" s="68"/>
      <c r="D172" s="68"/>
      <c r="E172" s="68"/>
      <c r="F172" s="68"/>
      <c r="G172" s="68"/>
      <c r="H172" s="68"/>
      <c r="I172" s="68"/>
      <c r="J172" s="68"/>
      <c r="K172" s="68"/>
      <c r="L172" s="68"/>
      <c r="N172" s="75"/>
    </row>
    <row r="173" spans="1:14" ht="12.5" x14ac:dyDescent="0.25">
      <c r="A173" s="14"/>
      <c r="C173" s="68"/>
      <c r="D173" s="68"/>
      <c r="E173" s="68"/>
      <c r="F173" s="68"/>
      <c r="G173" s="68"/>
      <c r="H173" s="68"/>
      <c r="I173" s="68"/>
      <c r="J173" s="68"/>
      <c r="K173" s="68"/>
      <c r="L173" s="68"/>
      <c r="N173" s="75"/>
    </row>
    <row r="174" spans="1:14" ht="12.5" x14ac:dyDescent="0.25">
      <c r="A174" s="14"/>
      <c r="C174" s="68"/>
      <c r="D174" s="68"/>
      <c r="E174" s="68"/>
      <c r="F174" s="68"/>
      <c r="G174" s="68"/>
      <c r="H174" s="68"/>
      <c r="I174" s="68"/>
      <c r="J174" s="68"/>
      <c r="K174" s="68"/>
      <c r="L174" s="68"/>
      <c r="N174" s="75"/>
    </row>
    <row r="175" spans="1:14" ht="12.5" x14ac:dyDescent="0.25">
      <c r="A175" s="14"/>
      <c r="C175" s="68"/>
      <c r="D175" s="68"/>
      <c r="E175" s="68"/>
      <c r="F175" s="68"/>
      <c r="G175" s="68"/>
      <c r="H175" s="68"/>
      <c r="I175" s="68"/>
      <c r="J175" s="68"/>
      <c r="K175" s="68"/>
      <c r="L175" s="68"/>
      <c r="N175" s="75"/>
    </row>
    <row r="176" spans="1:14" ht="12.5" x14ac:dyDescent="0.25">
      <c r="A176" s="14"/>
      <c r="C176" s="68"/>
      <c r="D176" s="68"/>
      <c r="E176" s="68"/>
      <c r="F176" s="68"/>
      <c r="G176" s="68"/>
      <c r="H176" s="68"/>
      <c r="I176" s="68"/>
      <c r="J176" s="68"/>
      <c r="K176" s="68"/>
      <c r="L176" s="68"/>
      <c r="N176" s="75"/>
    </row>
    <row r="177" spans="1:14" ht="12.5" x14ac:dyDescent="0.25">
      <c r="A177" s="14"/>
      <c r="C177" s="68"/>
      <c r="D177" s="68"/>
      <c r="E177" s="68"/>
      <c r="F177" s="68"/>
      <c r="G177" s="68"/>
      <c r="H177" s="68"/>
      <c r="I177" s="68"/>
      <c r="J177" s="68"/>
      <c r="K177" s="68"/>
      <c r="L177" s="68"/>
      <c r="N177" s="75"/>
    </row>
    <row r="178" spans="1:14" ht="12.5" x14ac:dyDescent="0.25">
      <c r="A178" s="14"/>
      <c r="C178" s="68"/>
      <c r="D178" s="68"/>
      <c r="E178" s="68"/>
      <c r="F178" s="68"/>
      <c r="G178" s="68"/>
      <c r="H178" s="68"/>
      <c r="I178" s="68"/>
      <c r="J178" s="68"/>
      <c r="K178" s="68"/>
      <c r="L178" s="68"/>
      <c r="N178" s="75"/>
    </row>
    <row r="179" spans="1:14" ht="12.5" x14ac:dyDescent="0.25">
      <c r="A179" s="14"/>
      <c r="C179" s="68"/>
      <c r="D179" s="68"/>
      <c r="E179" s="68"/>
      <c r="F179" s="68"/>
      <c r="G179" s="68"/>
      <c r="H179" s="68"/>
      <c r="I179" s="68"/>
      <c r="J179" s="68"/>
      <c r="K179" s="68"/>
      <c r="L179" s="68"/>
      <c r="N179" s="75"/>
    </row>
    <row r="180" spans="1:14" ht="12.5" x14ac:dyDescent="0.25">
      <c r="A180" s="14"/>
      <c r="C180" s="68"/>
      <c r="D180" s="68"/>
      <c r="E180" s="68"/>
      <c r="F180" s="68"/>
      <c r="G180" s="68"/>
      <c r="H180" s="68"/>
      <c r="I180" s="68"/>
      <c r="J180" s="68"/>
      <c r="K180" s="68"/>
      <c r="L180" s="68"/>
      <c r="N180" s="75"/>
    </row>
    <row r="181" spans="1:14" ht="12.5" x14ac:dyDescent="0.25">
      <c r="A181" s="14"/>
      <c r="C181" s="68"/>
      <c r="D181" s="68"/>
      <c r="E181" s="68"/>
      <c r="F181" s="68"/>
      <c r="G181" s="68"/>
      <c r="H181" s="68"/>
      <c r="I181" s="68"/>
      <c r="J181" s="68"/>
      <c r="K181" s="68"/>
      <c r="L181" s="68"/>
      <c r="N181" s="75"/>
    </row>
    <row r="182" spans="1:14" ht="12.5" x14ac:dyDescent="0.25">
      <c r="A182" s="14"/>
      <c r="C182" s="68"/>
      <c r="D182" s="68"/>
      <c r="E182" s="68"/>
      <c r="F182" s="68"/>
      <c r="G182" s="68"/>
      <c r="H182" s="68"/>
      <c r="I182" s="68"/>
      <c r="J182" s="68"/>
      <c r="K182" s="68"/>
      <c r="L182" s="68"/>
      <c r="N182" s="75"/>
    </row>
    <row r="183" spans="1:14" ht="12.5" x14ac:dyDescent="0.25">
      <c r="A183" s="14"/>
      <c r="C183" s="68"/>
      <c r="D183" s="68"/>
      <c r="E183" s="68"/>
      <c r="F183" s="68"/>
      <c r="G183" s="68"/>
      <c r="H183" s="68"/>
      <c r="I183" s="68"/>
      <c r="J183" s="68"/>
      <c r="K183" s="68"/>
      <c r="L183" s="68"/>
      <c r="N183" s="75"/>
    </row>
    <row r="184" spans="1:14" ht="12.5" x14ac:dyDescent="0.25">
      <c r="A184" s="14"/>
      <c r="C184" s="68"/>
      <c r="D184" s="68"/>
      <c r="E184" s="68"/>
      <c r="F184" s="68"/>
      <c r="G184" s="68"/>
      <c r="H184" s="68"/>
      <c r="I184" s="68"/>
      <c r="J184" s="68"/>
      <c r="K184" s="68"/>
      <c r="L184" s="68"/>
      <c r="N184" s="75"/>
    </row>
    <row r="185" spans="1:14" ht="12.5" x14ac:dyDescent="0.25">
      <c r="A185" s="14"/>
      <c r="C185" s="68"/>
      <c r="D185" s="68"/>
      <c r="E185" s="68"/>
      <c r="F185" s="68"/>
      <c r="G185" s="68"/>
      <c r="H185" s="68"/>
      <c r="I185" s="68"/>
      <c r="J185" s="68"/>
      <c r="K185" s="68"/>
      <c r="L185" s="68"/>
      <c r="N185" s="75"/>
    </row>
    <row r="186" spans="1:14" ht="12.5" x14ac:dyDescent="0.25">
      <c r="A186" s="14"/>
      <c r="C186" s="68"/>
      <c r="D186" s="68"/>
      <c r="E186" s="68"/>
      <c r="F186" s="68"/>
      <c r="G186" s="68"/>
      <c r="H186" s="68"/>
      <c r="I186" s="68"/>
      <c r="J186" s="68"/>
      <c r="K186" s="68"/>
      <c r="L186" s="68"/>
      <c r="N186" s="75"/>
    </row>
    <row r="187" spans="1:14" ht="12.5" x14ac:dyDescent="0.25">
      <c r="A187" s="14"/>
      <c r="C187" s="68"/>
      <c r="D187" s="68"/>
      <c r="E187" s="68"/>
      <c r="F187" s="68"/>
      <c r="G187" s="68"/>
      <c r="H187" s="68"/>
      <c r="I187" s="68"/>
      <c r="J187" s="68"/>
      <c r="K187" s="68"/>
      <c r="L187" s="68"/>
      <c r="N187" s="75"/>
    </row>
    <row r="188" spans="1:14" ht="12.5" x14ac:dyDescent="0.25">
      <c r="A188" s="14"/>
      <c r="C188" s="68"/>
      <c r="D188" s="68"/>
      <c r="E188" s="68"/>
      <c r="F188" s="68"/>
      <c r="G188" s="68"/>
      <c r="H188" s="68"/>
      <c r="I188" s="68"/>
      <c r="J188" s="68"/>
      <c r="K188" s="68"/>
      <c r="L188" s="68"/>
      <c r="N188" s="75"/>
    </row>
    <row r="189" spans="1:14" ht="12.5" x14ac:dyDescent="0.25">
      <c r="A189" s="14"/>
      <c r="C189" s="68"/>
      <c r="D189" s="68"/>
      <c r="E189" s="68"/>
      <c r="F189" s="68"/>
      <c r="G189" s="68"/>
      <c r="H189" s="68"/>
      <c r="I189" s="68"/>
      <c r="J189" s="68"/>
      <c r="K189" s="68"/>
      <c r="L189" s="68"/>
      <c r="N189" s="75"/>
    </row>
    <row r="190" spans="1:14" ht="12.5" x14ac:dyDescent="0.25">
      <c r="A190" s="14"/>
      <c r="C190" s="68"/>
      <c r="D190" s="68"/>
      <c r="E190" s="68"/>
      <c r="F190" s="68"/>
      <c r="G190" s="68"/>
      <c r="H190" s="68"/>
      <c r="I190" s="68"/>
      <c r="J190" s="68"/>
      <c r="K190" s="68"/>
      <c r="L190" s="68"/>
      <c r="N190" s="75"/>
    </row>
    <row r="191" spans="1:14" ht="12.5" x14ac:dyDescent="0.25">
      <c r="A191" s="14"/>
      <c r="C191" s="68"/>
      <c r="D191" s="68"/>
      <c r="E191" s="68"/>
      <c r="F191" s="68"/>
      <c r="G191" s="68"/>
      <c r="H191" s="68"/>
      <c r="I191" s="68"/>
      <c r="J191" s="68"/>
      <c r="K191" s="68"/>
      <c r="L191" s="68"/>
      <c r="N191" s="75"/>
    </row>
    <row r="192" spans="1:14" ht="12.5" x14ac:dyDescent="0.25">
      <c r="A192" s="14"/>
      <c r="C192" s="68"/>
      <c r="D192" s="68"/>
      <c r="E192" s="68"/>
      <c r="F192" s="68"/>
      <c r="G192" s="68"/>
      <c r="H192" s="68"/>
      <c r="I192" s="68"/>
      <c r="J192" s="68"/>
      <c r="K192" s="68"/>
      <c r="L192" s="68"/>
      <c r="N192" s="75"/>
    </row>
    <row r="193" spans="1:14" ht="12.5" x14ac:dyDescent="0.25">
      <c r="A193" s="14"/>
      <c r="C193" s="68"/>
      <c r="D193" s="68"/>
      <c r="E193" s="68"/>
      <c r="F193" s="68"/>
      <c r="G193" s="68"/>
      <c r="H193" s="68"/>
      <c r="I193" s="68"/>
      <c r="J193" s="68"/>
      <c r="K193" s="68"/>
      <c r="L193" s="68"/>
      <c r="N193" s="75"/>
    </row>
    <row r="194" spans="1:14" ht="12.5" x14ac:dyDescent="0.25">
      <c r="A194" s="14"/>
      <c r="C194" s="68"/>
      <c r="D194" s="68"/>
      <c r="E194" s="68"/>
      <c r="F194" s="68"/>
      <c r="G194" s="68"/>
      <c r="H194" s="68"/>
      <c r="I194" s="68"/>
      <c r="J194" s="68"/>
      <c r="K194" s="68"/>
      <c r="L194" s="68"/>
      <c r="N194" s="75"/>
    </row>
    <row r="195" spans="1:14" ht="12.5" x14ac:dyDescent="0.25">
      <c r="A195" s="14"/>
      <c r="C195" s="68"/>
      <c r="D195" s="68"/>
      <c r="E195" s="68"/>
      <c r="F195" s="68"/>
      <c r="G195" s="68"/>
      <c r="H195" s="68"/>
      <c r="I195" s="68"/>
      <c r="J195" s="68"/>
      <c r="K195" s="68"/>
      <c r="L195" s="68"/>
      <c r="N195" s="75"/>
    </row>
    <row r="196" spans="1:14" ht="12.5" x14ac:dyDescent="0.25">
      <c r="A196" s="14"/>
      <c r="C196" s="68"/>
      <c r="D196" s="68"/>
      <c r="E196" s="68"/>
      <c r="F196" s="68"/>
      <c r="G196" s="68"/>
      <c r="H196" s="68"/>
      <c r="I196" s="68"/>
      <c r="J196" s="68"/>
      <c r="K196" s="68"/>
      <c r="L196" s="68"/>
      <c r="N196" s="75"/>
    </row>
    <row r="197" spans="1:14" ht="12.5" x14ac:dyDescent="0.25">
      <c r="A197" s="14"/>
      <c r="C197" s="68"/>
      <c r="D197" s="68"/>
      <c r="E197" s="68"/>
      <c r="F197" s="68"/>
      <c r="G197" s="68"/>
      <c r="H197" s="68"/>
      <c r="I197" s="68"/>
      <c r="J197" s="68"/>
      <c r="K197" s="68"/>
      <c r="L197" s="68"/>
      <c r="N197" s="75"/>
    </row>
    <row r="198" spans="1:14" ht="12.5" x14ac:dyDescent="0.25">
      <c r="A198" s="14"/>
      <c r="C198" s="68"/>
      <c r="D198" s="68"/>
      <c r="E198" s="68"/>
      <c r="F198" s="68"/>
      <c r="G198" s="68"/>
      <c r="H198" s="68"/>
      <c r="I198" s="68"/>
      <c r="J198" s="68"/>
      <c r="K198" s="68"/>
      <c r="L198" s="68"/>
      <c r="N198" s="75"/>
    </row>
    <row r="199" spans="1:14" ht="12.5" x14ac:dyDescent="0.25">
      <c r="A199" s="14"/>
      <c r="C199" s="68"/>
      <c r="D199" s="68"/>
      <c r="E199" s="68"/>
      <c r="F199" s="68"/>
      <c r="G199" s="68"/>
      <c r="H199" s="68"/>
      <c r="I199" s="68"/>
      <c r="J199" s="68"/>
      <c r="K199" s="68"/>
      <c r="L199" s="68"/>
      <c r="N199" s="75"/>
    </row>
    <row r="200" spans="1:14" ht="12.5" x14ac:dyDescent="0.25">
      <c r="A200" s="14"/>
      <c r="C200" s="68"/>
      <c r="D200" s="68"/>
      <c r="E200" s="68"/>
      <c r="F200" s="68"/>
      <c r="G200" s="68"/>
      <c r="H200" s="68"/>
      <c r="I200" s="68"/>
      <c r="J200" s="68"/>
      <c r="K200" s="68"/>
      <c r="L200" s="68"/>
      <c r="N200" s="75"/>
    </row>
    <row r="201" spans="1:14" ht="12.5" x14ac:dyDescent="0.25">
      <c r="A201" s="14"/>
      <c r="C201" s="68"/>
      <c r="D201" s="68"/>
      <c r="E201" s="68"/>
      <c r="F201" s="68"/>
      <c r="G201" s="68"/>
      <c r="H201" s="68"/>
      <c r="I201" s="68"/>
      <c r="J201" s="68"/>
      <c r="K201" s="68"/>
      <c r="L201" s="68"/>
      <c r="N201" s="75"/>
    </row>
    <row r="202" spans="1:14" ht="12.5" x14ac:dyDescent="0.25">
      <c r="A202" s="14"/>
      <c r="C202" s="68"/>
      <c r="D202" s="68"/>
      <c r="E202" s="68"/>
      <c r="F202" s="68"/>
      <c r="G202" s="68"/>
      <c r="H202" s="68"/>
      <c r="I202" s="68"/>
      <c r="J202" s="68"/>
      <c r="K202" s="68"/>
      <c r="L202" s="68"/>
      <c r="N202" s="75"/>
    </row>
    <row r="203" spans="1:14" ht="12.5" x14ac:dyDescent="0.25">
      <c r="A203" s="14"/>
      <c r="C203" s="68"/>
      <c r="D203" s="68"/>
      <c r="E203" s="68"/>
      <c r="F203" s="68"/>
      <c r="G203" s="68"/>
      <c r="H203" s="68"/>
      <c r="I203" s="68"/>
      <c r="J203" s="68"/>
      <c r="K203" s="68"/>
      <c r="L203" s="68"/>
      <c r="N203" s="75"/>
    </row>
    <row r="204" spans="1:14" ht="12.5" x14ac:dyDescent="0.25">
      <c r="A204" s="14"/>
      <c r="C204" s="68"/>
      <c r="D204" s="68"/>
      <c r="E204" s="68"/>
      <c r="F204" s="68"/>
      <c r="G204" s="68"/>
      <c r="H204" s="68"/>
      <c r="I204" s="68"/>
      <c r="J204" s="68"/>
      <c r="K204" s="68"/>
      <c r="L204" s="68"/>
      <c r="N204" s="75"/>
    </row>
    <row r="205" spans="1:14" ht="12.5" x14ac:dyDescent="0.25">
      <c r="A205" s="14"/>
      <c r="C205" s="68"/>
      <c r="D205" s="68"/>
      <c r="E205" s="68"/>
      <c r="F205" s="68"/>
      <c r="G205" s="68"/>
      <c r="H205" s="68"/>
      <c r="I205" s="68"/>
      <c r="J205" s="68"/>
      <c r="K205" s="68"/>
      <c r="L205" s="68"/>
      <c r="N205" s="75"/>
    </row>
    <row r="206" spans="1:14" ht="12.5" x14ac:dyDescent="0.25">
      <c r="A206" s="14"/>
      <c r="C206" s="68"/>
      <c r="D206" s="68"/>
      <c r="E206" s="68"/>
      <c r="F206" s="68"/>
      <c r="G206" s="68"/>
      <c r="H206" s="68"/>
      <c r="I206" s="68"/>
      <c r="J206" s="68"/>
      <c r="K206" s="68"/>
      <c r="L206" s="68"/>
      <c r="N206" s="75"/>
    </row>
    <row r="207" spans="1:14" ht="12.5" x14ac:dyDescent="0.25">
      <c r="A207" s="14"/>
      <c r="C207" s="68"/>
      <c r="D207" s="68"/>
      <c r="E207" s="68"/>
      <c r="F207" s="68"/>
      <c r="G207" s="68"/>
      <c r="H207" s="68"/>
      <c r="I207" s="68"/>
      <c r="J207" s="68"/>
      <c r="K207" s="68"/>
      <c r="L207" s="68"/>
      <c r="N207" s="75"/>
    </row>
    <row r="208" spans="1:14" ht="12.5" x14ac:dyDescent="0.25">
      <c r="A208" s="14"/>
      <c r="C208" s="68"/>
      <c r="D208" s="68"/>
      <c r="E208" s="68"/>
      <c r="F208" s="68"/>
      <c r="G208" s="68"/>
      <c r="H208" s="68"/>
      <c r="I208" s="68"/>
      <c r="J208" s="68"/>
      <c r="K208" s="68"/>
      <c r="L208" s="68"/>
      <c r="N208" s="75"/>
    </row>
    <row r="209" spans="1:14" ht="12.5" x14ac:dyDescent="0.25">
      <c r="A209" s="14"/>
      <c r="C209" s="68"/>
      <c r="D209" s="68"/>
      <c r="E209" s="68"/>
      <c r="F209" s="68"/>
      <c r="G209" s="68"/>
      <c r="H209" s="68"/>
      <c r="I209" s="68"/>
      <c r="J209" s="68"/>
      <c r="K209" s="68"/>
      <c r="L209" s="68"/>
      <c r="N209" s="75"/>
    </row>
    <row r="210" spans="1:14" ht="12.5" x14ac:dyDescent="0.25">
      <c r="A210" s="14"/>
      <c r="C210" s="68"/>
      <c r="D210" s="68"/>
      <c r="E210" s="68"/>
      <c r="F210" s="68"/>
      <c r="G210" s="68"/>
      <c r="H210" s="68"/>
      <c r="I210" s="68"/>
      <c r="J210" s="68"/>
      <c r="K210" s="68"/>
      <c r="L210" s="68"/>
      <c r="N210" s="75"/>
    </row>
    <row r="211" spans="1:14" ht="12.5" x14ac:dyDescent="0.25">
      <c r="A211" s="14"/>
      <c r="C211" s="68"/>
      <c r="D211" s="68"/>
      <c r="E211" s="68"/>
      <c r="F211" s="68"/>
      <c r="G211" s="68"/>
      <c r="H211" s="68"/>
      <c r="I211" s="68"/>
      <c r="J211" s="68"/>
      <c r="K211" s="68"/>
      <c r="L211" s="68"/>
      <c r="N211" s="75"/>
    </row>
    <row r="212" spans="1:14" ht="12.5" x14ac:dyDescent="0.25">
      <c r="A212" s="14"/>
      <c r="C212" s="68"/>
      <c r="D212" s="68"/>
      <c r="E212" s="68"/>
      <c r="F212" s="68"/>
      <c r="G212" s="68"/>
      <c r="H212" s="68"/>
      <c r="I212" s="68"/>
      <c r="J212" s="68"/>
      <c r="K212" s="68"/>
      <c r="L212" s="68"/>
      <c r="N212" s="75"/>
    </row>
    <row r="213" spans="1:14" ht="12.5" x14ac:dyDescent="0.25">
      <c r="A213" s="14"/>
      <c r="C213" s="68"/>
      <c r="D213" s="68"/>
      <c r="E213" s="68"/>
      <c r="F213" s="68"/>
      <c r="G213" s="68"/>
      <c r="H213" s="68"/>
      <c r="I213" s="68"/>
      <c r="J213" s="68"/>
      <c r="K213" s="68"/>
      <c r="L213" s="68"/>
      <c r="N213" s="75"/>
    </row>
    <row r="214" spans="1:14" ht="12.5" x14ac:dyDescent="0.25">
      <c r="A214" s="14"/>
      <c r="C214" s="68"/>
      <c r="D214" s="68"/>
      <c r="E214" s="68"/>
      <c r="F214" s="68"/>
      <c r="G214" s="68"/>
      <c r="H214" s="68"/>
      <c r="I214" s="68"/>
      <c r="J214" s="68"/>
      <c r="K214" s="68"/>
      <c r="L214" s="68"/>
      <c r="N214" s="75"/>
    </row>
    <row r="215" spans="1:14" ht="12.5" x14ac:dyDescent="0.25">
      <c r="A215" s="14"/>
      <c r="C215" s="68"/>
      <c r="D215" s="68"/>
      <c r="E215" s="68"/>
      <c r="F215" s="68"/>
      <c r="G215" s="68"/>
      <c r="H215" s="68"/>
      <c r="I215" s="68"/>
      <c r="J215" s="68"/>
      <c r="K215" s="68"/>
      <c r="L215" s="68"/>
      <c r="N215" s="75"/>
    </row>
    <row r="216" spans="1:14" ht="12.5" x14ac:dyDescent="0.25">
      <c r="A216" s="14"/>
      <c r="C216" s="68"/>
      <c r="D216" s="68"/>
      <c r="E216" s="68"/>
      <c r="F216" s="68"/>
      <c r="G216" s="68"/>
      <c r="H216" s="68"/>
      <c r="I216" s="68"/>
      <c r="J216" s="68"/>
      <c r="K216" s="68"/>
      <c r="L216" s="68"/>
      <c r="N216" s="75"/>
    </row>
    <row r="217" spans="1:14" ht="12.5" x14ac:dyDescent="0.25">
      <c r="A217" s="14"/>
      <c r="C217" s="68"/>
      <c r="D217" s="68"/>
      <c r="E217" s="68"/>
      <c r="F217" s="68"/>
      <c r="G217" s="68"/>
      <c r="H217" s="68"/>
      <c r="I217" s="68"/>
      <c r="J217" s="68"/>
      <c r="K217" s="68"/>
      <c r="L217" s="68"/>
      <c r="N217" s="75"/>
    </row>
    <row r="218" spans="1:14" ht="12.5" x14ac:dyDescent="0.25">
      <c r="A218" s="14"/>
      <c r="C218" s="68"/>
      <c r="D218" s="68"/>
      <c r="E218" s="68"/>
      <c r="F218" s="68"/>
      <c r="G218" s="68"/>
      <c r="H218" s="68"/>
      <c r="I218" s="68"/>
      <c r="J218" s="68"/>
      <c r="K218" s="68"/>
      <c r="L218" s="68"/>
      <c r="N218" s="75"/>
    </row>
    <row r="219" spans="1:14" ht="12.5" x14ac:dyDescent="0.25">
      <c r="A219" s="14"/>
      <c r="C219" s="68"/>
      <c r="D219" s="68"/>
      <c r="E219" s="68"/>
      <c r="F219" s="68"/>
      <c r="G219" s="68"/>
      <c r="H219" s="68"/>
      <c r="I219" s="68"/>
      <c r="J219" s="68"/>
      <c r="K219" s="68"/>
      <c r="L219" s="68"/>
      <c r="N219" s="75"/>
    </row>
    <row r="220" spans="1:14" ht="12.5" x14ac:dyDescent="0.25">
      <c r="A220" s="14"/>
      <c r="C220" s="68"/>
      <c r="D220" s="68"/>
      <c r="E220" s="68"/>
      <c r="F220" s="68"/>
      <c r="G220" s="68"/>
      <c r="H220" s="68"/>
      <c r="I220" s="68"/>
      <c r="J220" s="68"/>
      <c r="K220" s="68"/>
      <c r="L220" s="68"/>
      <c r="N220" s="75"/>
    </row>
    <row r="221" spans="1:14" ht="12.5" x14ac:dyDescent="0.25">
      <c r="A221" s="14"/>
      <c r="C221" s="68"/>
      <c r="D221" s="68"/>
      <c r="E221" s="68"/>
      <c r="F221" s="68"/>
      <c r="G221" s="68"/>
      <c r="H221" s="68"/>
      <c r="I221" s="68"/>
      <c r="J221" s="68"/>
      <c r="K221" s="68"/>
      <c r="L221" s="68"/>
      <c r="N221" s="75"/>
    </row>
    <row r="222" spans="1:14" ht="12.5" x14ac:dyDescent="0.25">
      <c r="A222" s="14"/>
      <c r="C222" s="68"/>
      <c r="D222" s="68"/>
      <c r="E222" s="68"/>
      <c r="F222" s="68"/>
      <c r="G222" s="68"/>
      <c r="H222" s="68"/>
      <c r="I222" s="68"/>
      <c r="J222" s="68"/>
      <c r="K222" s="68"/>
      <c r="L222" s="68"/>
      <c r="N222" s="75"/>
    </row>
    <row r="223" spans="1:14" ht="12.5" x14ac:dyDescent="0.25">
      <c r="A223" s="14"/>
      <c r="C223" s="68"/>
      <c r="D223" s="68"/>
      <c r="E223" s="68"/>
      <c r="F223" s="68"/>
      <c r="G223" s="68"/>
      <c r="H223" s="68"/>
      <c r="I223" s="68"/>
      <c r="J223" s="68"/>
      <c r="K223" s="68"/>
      <c r="L223" s="68"/>
      <c r="N223" s="75"/>
    </row>
    <row r="224" spans="1:14" ht="12.5" x14ac:dyDescent="0.25">
      <c r="A224" s="14"/>
      <c r="C224" s="68"/>
      <c r="D224" s="68"/>
      <c r="E224" s="68"/>
      <c r="F224" s="68"/>
      <c r="G224" s="68"/>
      <c r="H224" s="68"/>
      <c r="I224" s="68"/>
      <c r="J224" s="68"/>
      <c r="K224" s="68"/>
      <c r="L224" s="68"/>
      <c r="N224" s="75"/>
    </row>
    <row r="225" spans="1:14" ht="12.5" x14ac:dyDescent="0.25">
      <c r="A225" s="14"/>
      <c r="C225" s="68"/>
      <c r="D225" s="68"/>
      <c r="E225" s="68"/>
      <c r="F225" s="68"/>
      <c r="G225" s="68"/>
      <c r="H225" s="68"/>
      <c r="I225" s="68"/>
      <c r="J225" s="68"/>
      <c r="K225" s="68"/>
      <c r="L225" s="68"/>
      <c r="N225" s="75"/>
    </row>
    <row r="226" spans="1:14" ht="12.5" x14ac:dyDescent="0.25">
      <c r="A226" s="14"/>
      <c r="C226" s="68"/>
      <c r="D226" s="68"/>
      <c r="E226" s="68"/>
      <c r="F226" s="68"/>
      <c r="G226" s="68"/>
      <c r="H226" s="68"/>
      <c r="I226" s="68"/>
      <c r="J226" s="68"/>
      <c r="K226" s="68"/>
      <c r="L226" s="68"/>
      <c r="N226" s="75"/>
    </row>
    <row r="227" spans="1:14" ht="12.5" x14ac:dyDescent="0.25">
      <c r="A227" s="14"/>
      <c r="C227" s="68"/>
      <c r="D227" s="68"/>
      <c r="E227" s="68"/>
      <c r="F227" s="68"/>
      <c r="G227" s="68"/>
      <c r="H227" s="68"/>
      <c r="I227" s="68"/>
      <c r="J227" s="68"/>
      <c r="K227" s="68"/>
      <c r="L227" s="68"/>
      <c r="N227" s="75"/>
    </row>
    <row r="228" spans="1:14" ht="12.5" x14ac:dyDescent="0.25">
      <c r="A228" s="14"/>
      <c r="C228" s="68"/>
      <c r="D228" s="68"/>
      <c r="E228" s="68"/>
      <c r="F228" s="68"/>
      <c r="G228" s="68"/>
      <c r="H228" s="68"/>
      <c r="I228" s="68"/>
      <c r="J228" s="68"/>
      <c r="K228" s="68"/>
      <c r="L228" s="68"/>
      <c r="N228" s="75"/>
    </row>
    <row r="229" spans="1:14" ht="12.5" x14ac:dyDescent="0.25">
      <c r="A229" s="14"/>
      <c r="C229" s="68"/>
      <c r="D229" s="68"/>
      <c r="E229" s="68"/>
      <c r="F229" s="68"/>
      <c r="G229" s="68"/>
      <c r="H229" s="68"/>
      <c r="I229" s="68"/>
      <c r="J229" s="68"/>
      <c r="K229" s="68"/>
      <c r="L229" s="68"/>
      <c r="N229" s="75"/>
    </row>
    <row r="230" spans="1:14" ht="12.5" x14ac:dyDescent="0.25">
      <c r="A230" s="14"/>
      <c r="C230" s="68"/>
      <c r="D230" s="68"/>
      <c r="E230" s="68"/>
      <c r="F230" s="68"/>
      <c r="G230" s="68"/>
      <c r="H230" s="68"/>
      <c r="I230" s="68"/>
      <c r="J230" s="68"/>
      <c r="K230" s="68"/>
      <c r="L230" s="68"/>
      <c r="N230" s="75"/>
    </row>
    <row r="231" spans="1:14" ht="12.5" x14ac:dyDescent="0.25">
      <c r="A231" s="14"/>
      <c r="C231" s="68"/>
      <c r="D231" s="68"/>
      <c r="E231" s="68"/>
      <c r="F231" s="68"/>
      <c r="G231" s="68"/>
      <c r="H231" s="68"/>
      <c r="I231" s="68"/>
      <c r="J231" s="68"/>
      <c r="K231" s="68"/>
      <c r="L231" s="68"/>
      <c r="N231" s="75"/>
    </row>
    <row r="232" spans="1:14" ht="12.5" x14ac:dyDescent="0.25">
      <c r="A232" s="14"/>
      <c r="C232" s="68"/>
      <c r="D232" s="68"/>
      <c r="E232" s="68"/>
      <c r="F232" s="68"/>
      <c r="G232" s="68"/>
      <c r="H232" s="68"/>
      <c r="I232" s="68"/>
      <c r="J232" s="68"/>
      <c r="K232" s="68"/>
      <c r="L232" s="68"/>
      <c r="N232" s="75"/>
    </row>
    <row r="233" spans="1:14" ht="12.5" x14ac:dyDescent="0.25">
      <c r="A233" s="14"/>
      <c r="C233" s="68"/>
      <c r="D233" s="68"/>
      <c r="E233" s="68"/>
      <c r="F233" s="68"/>
      <c r="G233" s="68"/>
      <c r="H233" s="68"/>
      <c r="I233" s="68"/>
      <c r="J233" s="68"/>
      <c r="K233" s="68"/>
      <c r="L233" s="68"/>
      <c r="N233" s="75"/>
    </row>
    <row r="234" spans="1:14" ht="12.5" x14ac:dyDescent="0.25">
      <c r="A234" s="14"/>
      <c r="C234" s="68"/>
      <c r="D234" s="68"/>
      <c r="E234" s="68"/>
      <c r="F234" s="68"/>
      <c r="G234" s="68"/>
      <c r="H234" s="68"/>
      <c r="I234" s="68"/>
      <c r="J234" s="68"/>
      <c r="K234" s="68"/>
      <c r="L234" s="68"/>
      <c r="N234" s="75"/>
    </row>
    <row r="235" spans="1:14" ht="12.5" x14ac:dyDescent="0.25">
      <c r="A235" s="14"/>
      <c r="C235" s="68"/>
      <c r="D235" s="68"/>
      <c r="E235" s="68"/>
      <c r="F235" s="68"/>
      <c r="G235" s="68"/>
      <c r="H235" s="68"/>
      <c r="I235" s="68"/>
      <c r="J235" s="68"/>
      <c r="K235" s="68"/>
      <c r="L235" s="68"/>
      <c r="N235" s="75"/>
    </row>
    <row r="236" spans="1:14" ht="12.5" x14ac:dyDescent="0.25">
      <c r="A236" s="14"/>
      <c r="C236" s="68"/>
      <c r="D236" s="68"/>
      <c r="E236" s="68"/>
      <c r="F236" s="68"/>
      <c r="G236" s="68"/>
      <c r="H236" s="68"/>
      <c r="I236" s="68"/>
      <c r="J236" s="68"/>
      <c r="K236" s="68"/>
      <c r="L236" s="68"/>
      <c r="N236" s="75"/>
    </row>
    <row r="237" spans="1:14" ht="12.5" x14ac:dyDescent="0.25">
      <c r="A237" s="14"/>
      <c r="C237" s="68"/>
      <c r="D237" s="68"/>
      <c r="E237" s="68"/>
      <c r="F237" s="68"/>
      <c r="G237" s="68"/>
      <c r="H237" s="68"/>
      <c r="I237" s="68"/>
      <c r="J237" s="68"/>
      <c r="K237" s="68"/>
      <c r="L237" s="68"/>
      <c r="N237" s="75"/>
    </row>
    <row r="238" spans="1:14" ht="12.5" x14ac:dyDescent="0.25">
      <c r="A238" s="14"/>
      <c r="C238" s="68"/>
      <c r="D238" s="68"/>
      <c r="E238" s="68"/>
      <c r="F238" s="68"/>
      <c r="G238" s="68"/>
      <c r="H238" s="68"/>
      <c r="I238" s="68"/>
      <c r="J238" s="68"/>
      <c r="K238" s="68"/>
      <c r="L238" s="68"/>
      <c r="N238" s="75"/>
    </row>
    <row r="239" spans="1:14" ht="12.5" x14ac:dyDescent="0.25">
      <c r="A239" s="14"/>
      <c r="C239" s="68"/>
      <c r="D239" s="68"/>
      <c r="E239" s="68"/>
      <c r="F239" s="68"/>
      <c r="G239" s="68"/>
      <c r="H239" s="68"/>
      <c r="I239" s="68"/>
      <c r="J239" s="68"/>
      <c r="K239" s="68"/>
      <c r="L239" s="68"/>
      <c r="N239" s="75"/>
    </row>
    <row r="240" spans="1:14" ht="12.5" x14ac:dyDescent="0.25">
      <c r="A240" s="14"/>
      <c r="C240" s="68"/>
      <c r="D240" s="68"/>
      <c r="E240" s="68"/>
      <c r="F240" s="68"/>
      <c r="G240" s="68"/>
      <c r="H240" s="68"/>
      <c r="I240" s="68"/>
      <c r="J240" s="68"/>
      <c r="K240" s="68"/>
      <c r="L240" s="68"/>
      <c r="N240" s="75"/>
    </row>
    <row r="241" spans="1:14" ht="12.5" x14ac:dyDescent="0.25">
      <c r="A241" s="14"/>
      <c r="C241" s="68"/>
      <c r="D241" s="68"/>
      <c r="E241" s="68"/>
      <c r="F241" s="68"/>
      <c r="G241" s="68"/>
      <c r="H241" s="68"/>
      <c r="I241" s="68"/>
      <c r="J241" s="68"/>
      <c r="K241" s="68"/>
      <c r="L241" s="68"/>
      <c r="N241" s="75"/>
    </row>
    <row r="242" spans="1:14" ht="12.5" x14ac:dyDescent="0.25">
      <c r="A242" s="14"/>
      <c r="C242" s="68"/>
      <c r="D242" s="68"/>
      <c r="E242" s="68"/>
      <c r="F242" s="68"/>
      <c r="G242" s="68"/>
      <c r="H242" s="68"/>
      <c r="I242" s="68"/>
      <c r="J242" s="68"/>
      <c r="K242" s="68"/>
      <c r="L242" s="68"/>
      <c r="N242" s="75"/>
    </row>
    <row r="243" spans="1:14" ht="12.5" x14ac:dyDescent="0.25">
      <c r="A243" s="14"/>
      <c r="C243" s="68"/>
      <c r="D243" s="68"/>
      <c r="E243" s="68"/>
      <c r="F243" s="68"/>
      <c r="G243" s="68"/>
      <c r="H243" s="68"/>
      <c r="I243" s="68"/>
      <c r="J243" s="68"/>
      <c r="K243" s="68"/>
      <c r="L243" s="68"/>
      <c r="N243" s="75"/>
    </row>
    <row r="244" spans="1:14" ht="12.5" x14ac:dyDescent="0.25">
      <c r="A244" s="14"/>
      <c r="C244" s="68"/>
      <c r="D244" s="68"/>
      <c r="E244" s="68"/>
      <c r="F244" s="68"/>
      <c r="G244" s="68"/>
      <c r="H244" s="68"/>
      <c r="I244" s="68"/>
      <c r="J244" s="68"/>
      <c r="K244" s="68"/>
      <c r="L244" s="68"/>
      <c r="N244" s="75"/>
    </row>
    <row r="245" spans="1:14" ht="12.5" x14ac:dyDescent="0.25">
      <c r="A245" s="14"/>
      <c r="C245" s="68"/>
      <c r="D245" s="68"/>
      <c r="E245" s="68"/>
      <c r="F245" s="68"/>
      <c r="G245" s="68"/>
      <c r="H245" s="68"/>
      <c r="I245" s="68"/>
      <c r="J245" s="68"/>
      <c r="K245" s="68"/>
      <c r="L245" s="68"/>
      <c r="N245" s="75"/>
    </row>
    <row r="246" spans="1:14" ht="12.5" x14ac:dyDescent="0.25">
      <c r="A246" s="14"/>
      <c r="C246" s="68"/>
      <c r="D246" s="68"/>
      <c r="E246" s="68"/>
      <c r="F246" s="68"/>
      <c r="G246" s="68"/>
      <c r="H246" s="68"/>
      <c r="I246" s="68"/>
      <c r="J246" s="68"/>
      <c r="K246" s="68"/>
      <c r="L246" s="68"/>
      <c r="N246" s="75"/>
    </row>
    <row r="247" spans="1:14" ht="12.5" x14ac:dyDescent="0.25">
      <c r="A247" s="14"/>
      <c r="C247" s="68"/>
      <c r="D247" s="68"/>
      <c r="E247" s="68"/>
      <c r="F247" s="68"/>
      <c r="G247" s="68"/>
      <c r="H247" s="68"/>
      <c r="I247" s="68"/>
      <c r="J247" s="68"/>
      <c r="K247" s="68"/>
      <c r="L247" s="68"/>
      <c r="N247" s="75"/>
    </row>
    <row r="248" spans="1:14" ht="12.5" x14ac:dyDescent="0.25">
      <c r="A248" s="14"/>
      <c r="C248" s="68"/>
      <c r="D248" s="68"/>
      <c r="E248" s="68"/>
      <c r="F248" s="68"/>
      <c r="G248" s="68"/>
      <c r="H248" s="68"/>
      <c r="I248" s="68"/>
      <c r="J248" s="68"/>
      <c r="K248" s="68"/>
      <c r="L248" s="68"/>
      <c r="N248" s="75"/>
    </row>
    <row r="249" spans="1:14" ht="12.5" x14ac:dyDescent="0.25">
      <c r="A249" s="14"/>
      <c r="C249" s="68"/>
      <c r="D249" s="68"/>
      <c r="E249" s="68"/>
      <c r="F249" s="68"/>
      <c r="G249" s="68"/>
      <c r="H249" s="68"/>
      <c r="I249" s="68"/>
      <c r="J249" s="68"/>
      <c r="K249" s="68"/>
      <c r="L249" s="68"/>
      <c r="N249" s="75"/>
    </row>
    <row r="250" spans="1:14" ht="12.5" x14ac:dyDescent="0.25">
      <c r="A250" s="14"/>
      <c r="C250" s="68"/>
      <c r="D250" s="68"/>
      <c r="E250" s="68"/>
      <c r="F250" s="68"/>
      <c r="G250" s="68"/>
      <c r="H250" s="68"/>
      <c r="I250" s="68"/>
      <c r="J250" s="68"/>
      <c r="K250" s="68"/>
      <c r="L250" s="68"/>
      <c r="N250" s="75"/>
    </row>
    <row r="251" spans="1:14" ht="12.5" x14ac:dyDescent="0.25">
      <c r="A251" s="14"/>
      <c r="C251" s="68"/>
      <c r="D251" s="68"/>
      <c r="E251" s="68"/>
      <c r="F251" s="68"/>
      <c r="G251" s="68"/>
      <c r="H251" s="68"/>
      <c r="I251" s="68"/>
      <c r="J251" s="68"/>
      <c r="K251" s="68"/>
      <c r="L251" s="68"/>
      <c r="N251" s="75"/>
    </row>
    <row r="252" spans="1:14" ht="12.5" x14ac:dyDescent="0.25">
      <c r="A252" s="14"/>
      <c r="C252" s="68"/>
      <c r="D252" s="68"/>
      <c r="E252" s="68"/>
      <c r="F252" s="68"/>
      <c r="G252" s="68"/>
      <c r="H252" s="68"/>
      <c r="I252" s="68"/>
      <c r="J252" s="68"/>
      <c r="K252" s="68"/>
      <c r="L252" s="68"/>
      <c r="N252" s="75"/>
    </row>
    <row r="253" spans="1:14" ht="12.5" x14ac:dyDescent="0.25">
      <c r="A253" s="14"/>
      <c r="C253" s="68"/>
      <c r="D253" s="68"/>
      <c r="E253" s="68"/>
      <c r="F253" s="68"/>
      <c r="G253" s="68"/>
      <c r="H253" s="68"/>
      <c r="I253" s="68"/>
      <c r="J253" s="68"/>
      <c r="K253" s="68"/>
      <c r="L253" s="68"/>
      <c r="N253" s="75"/>
    </row>
    <row r="254" spans="1:14" ht="12.5" x14ac:dyDescent="0.25">
      <c r="A254" s="14"/>
      <c r="C254" s="68"/>
      <c r="D254" s="68"/>
      <c r="E254" s="68"/>
      <c r="F254" s="68"/>
      <c r="G254" s="68"/>
      <c r="H254" s="68"/>
      <c r="I254" s="68"/>
      <c r="J254" s="68"/>
      <c r="K254" s="68"/>
      <c r="L254" s="68"/>
      <c r="N254" s="75"/>
    </row>
    <row r="255" spans="1:14" ht="12.5" x14ac:dyDescent="0.25">
      <c r="A255" s="14"/>
      <c r="C255" s="68"/>
      <c r="D255" s="68"/>
      <c r="E255" s="68"/>
      <c r="F255" s="68"/>
      <c r="G255" s="68"/>
      <c r="H255" s="68"/>
      <c r="I255" s="68"/>
      <c r="J255" s="68"/>
      <c r="K255" s="68"/>
      <c r="L255" s="68"/>
      <c r="N255" s="75"/>
    </row>
    <row r="256" spans="1:14" ht="12.5" x14ac:dyDescent="0.25">
      <c r="A256" s="14"/>
      <c r="C256" s="68"/>
      <c r="D256" s="68"/>
      <c r="E256" s="68"/>
      <c r="F256" s="68"/>
      <c r="G256" s="68"/>
      <c r="H256" s="68"/>
      <c r="I256" s="68"/>
      <c r="J256" s="68"/>
      <c r="K256" s="68"/>
      <c r="L256" s="68"/>
      <c r="N256" s="75"/>
    </row>
    <row r="257" spans="1:14" ht="12.5" x14ac:dyDescent="0.25">
      <c r="A257" s="14"/>
      <c r="C257" s="68"/>
      <c r="D257" s="68"/>
      <c r="E257" s="68"/>
      <c r="F257" s="68"/>
      <c r="G257" s="68"/>
      <c r="H257" s="68"/>
      <c r="I257" s="68"/>
      <c r="J257" s="68"/>
      <c r="K257" s="68"/>
      <c r="L257" s="68"/>
      <c r="N257" s="75"/>
    </row>
    <row r="258" spans="1:14" ht="12.5" x14ac:dyDescent="0.25">
      <c r="A258" s="14"/>
      <c r="C258" s="68"/>
      <c r="D258" s="68"/>
      <c r="E258" s="68"/>
      <c r="F258" s="68"/>
      <c r="G258" s="68"/>
      <c r="H258" s="68"/>
      <c r="I258" s="68"/>
      <c r="J258" s="68"/>
      <c r="K258" s="68"/>
      <c r="L258" s="68"/>
      <c r="N258" s="75"/>
    </row>
    <row r="259" spans="1:14" ht="12.5" x14ac:dyDescent="0.25">
      <c r="A259" s="14"/>
      <c r="C259" s="68"/>
      <c r="D259" s="68"/>
      <c r="E259" s="68"/>
      <c r="F259" s="68"/>
      <c r="G259" s="68"/>
      <c r="H259" s="68"/>
      <c r="I259" s="68"/>
      <c r="J259" s="68"/>
      <c r="K259" s="68"/>
      <c r="L259" s="68"/>
      <c r="N259" s="75"/>
    </row>
    <row r="260" spans="1:14" ht="12.5" x14ac:dyDescent="0.25">
      <c r="A260" s="14"/>
      <c r="C260" s="68"/>
      <c r="D260" s="68"/>
      <c r="E260" s="68"/>
      <c r="F260" s="68"/>
      <c r="G260" s="68"/>
      <c r="H260" s="68"/>
      <c r="I260" s="68"/>
      <c r="J260" s="68"/>
      <c r="K260" s="68"/>
      <c r="L260" s="68"/>
      <c r="N260" s="75"/>
    </row>
    <row r="261" spans="1:14" ht="12.5" x14ac:dyDescent="0.25">
      <c r="A261" s="14"/>
      <c r="C261" s="68"/>
      <c r="D261" s="68"/>
      <c r="E261" s="68"/>
      <c r="F261" s="68"/>
      <c r="G261" s="68"/>
      <c r="H261" s="68"/>
      <c r="I261" s="68"/>
      <c r="J261" s="68"/>
      <c r="K261" s="68"/>
      <c r="L261" s="68"/>
      <c r="N261" s="75"/>
    </row>
    <row r="262" spans="1:14" ht="12.5" x14ac:dyDescent="0.25">
      <c r="A262" s="14"/>
      <c r="C262" s="68"/>
      <c r="D262" s="68"/>
      <c r="E262" s="68"/>
      <c r="F262" s="68"/>
      <c r="G262" s="68"/>
      <c r="H262" s="68"/>
      <c r="I262" s="68"/>
      <c r="J262" s="68"/>
      <c r="K262" s="68"/>
      <c r="L262" s="68"/>
      <c r="N262" s="75"/>
    </row>
    <row r="263" spans="1:14" ht="12.5" x14ac:dyDescent="0.25">
      <c r="A263" s="14"/>
      <c r="C263" s="68"/>
      <c r="D263" s="68"/>
      <c r="E263" s="68"/>
      <c r="F263" s="68"/>
      <c r="G263" s="68"/>
      <c r="H263" s="68"/>
      <c r="I263" s="68"/>
      <c r="J263" s="68"/>
      <c r="K263" s="68"/>
      <c r="L263" s="68"/>
      <c r="N263" s="75"/>
    </row>
    <row r="264" spans="1:14" ht="12.5" x14ac:dyDescent="0.25">
      <c r="A264" s="14"/>
      <c r="C264" s="68"/>
      <c r="D264" s="68"/>
      <c r="E264" s="68"/>
      <c r="F264" s="68"/>
      <c r="G264" s="68"/>
      <c r="H264" s="68"/>
      <c r="I264" s="68"/>
      <c r="J264" s="68"/>
      <c r="K264" s="68"/>
      <c r="L264" s="68"/>
      <c r="N264" s="75"/>
    </row>
    <row r="265" spans="1:14" ht="12.5" x14ac:dyDescent="0.25">
      <c r="A265" s="14"/>
      <c r="C265" s="68"/>
      <c r="D265" s="68"/>
      <c r="E265" s="68"/>
      <c r="F265" s="68"/>
      <c r="G265" s="68"/>
      <c r="H265" s="68"/>
      <c r="I265" s="68"/>
      <c r="J265" s="68"/>
      <c r="K265" s="68"/>
      <c r="L265" s="68"/>
      <c r="N265" s="75"/>
    </row>
    <row r="266" spans="1:14" ht="12.5" x14ac:dyDescent="0.25">
      <c r="A266" s="14"/>
      <c r="C266" s="68"/>
      <c r="D266" s="68"/>
      <c r="E266" s="68"/>
      <c r="F266" s="68"/>
      <c r="G266" s="68"/>
      <c r="H266" s="68"/>
      <c r="I266" s="68"/>
      <c r="J266" s="68"/>
      <c r="K266" s="68"/>
      <c r="L266" s="68"/>
      <c r="N266" s="75"/>
    </row>
    <row r="267" spans="1:14" ht="12.5" x14ac:dyDescent="0.25">
      <c r="A267" s="14"/>
      <c r="C267" s="68"/>
      <c r="D267" s="68"/>
      <c r="E267" s="68"/>
      <c r="F267" s="68"/>
      <c r="G267" s="68"/>
      <c r="H267" s="68"/>
      <c r="I267" s="68"/>
      <c r="J267" s="68"/>
      <c r="K267" s="68"/>
      <c r="L267" s="68"/>
      <c r="N267" s="75"/>
    </row>
    <row r="268" spans="1:14" ht="12.5" x14ac:dyDescent="0.25">
      <c r="A268" s="14"/>
      <c r="C268" s="68"/>
      <c r="D268" s="68"/>
      <c r="E268" s="68"/>
      <c r="F268" s="68"/>
      <c r="G268" s="68"/>
      <c r="H268" s="68"/>
      <c r="I268" s="68"/>
      <c r="J268" s="68"/>
      <c r="K268" s="68"/>
      <c r="L268" s="68"/>
      <c r="N268" s="75"/>
    </row>
    <row r="269" spans="1:14" ht="12.5" x14ac:dyDescent="0.25">
      <c r="A269" s="14"/>
      <c r="C269" s="68"/>
      <c r="D269" s="68"/>
      <c r="E269" s="68"/>
      <c r="F269" s="68"/>
      <c r="G269" s="68"/>
      <c r="H269" s="68"/>
      <c r="I269" s="68"/>
      <c r="J269" s="68"/>
      <c r="K269" s="68"/>
      <c r="L269" s="68"/>
      <c r="N269" s="75"/>
    </row>
    <row r="270" spans="1:14" ht="12.5" x14ac:dyDescent="0.25">
      <c r="A270" s="14"/>
      <c r="C270" s="68"/>
      <c r="D270" s="68"/>
      <c r="E270" s="68"/>
      <c r="F270" s="68"/>
      <c r="G270" s="68"/>
      <c r="H270" s="68"/>
      <c r="I270" s="68"/>
      <c r="J270" s="68"/>
      <c r="K270" s="68"/>
      <c r="L270" s="68"/>
      <c r="N270" s="75"/>
    </row>
    <row r="271" spans="1:14" ht="12.5" x14ac:dyDescent="0.25">
      <c r="A271" s="14"/>
      <c r="C271" s="68"/>
      <c r="D271" s="68"/>
      <c r="E271" s="68"/>
      <c r="F271" s="68"/>
      <c r="G271" s="68"/>
      <c r="H271" s="68"/>
      <c r="I271" s="68"/>
      <c r="J271" s="68"/>
      <c r="K271" s="68"/>
      <c r="L271" s="68"/>
      <c r="N271" s="75"/>
    </row>
    <row r="272" spans="1:14" ht="12.5" x14ac:dyDescent="0.25">
      <c r="A272" s="14"/>
      <c r="C272" s="68"/>
      <c r="D272" s="68"/>
      <c r="E272" s="68"/>
      <c r="F272" s="68"/>
      <c r="G272" s="68"/>
      <c r="H272" s="68"/>
      <c r="I272" s="68"/>
      <c r="J272" s="68"/>
      <c r="K272" s="68"/>
      <c r="L272" s="68"/>
      <c r="N272" s="75"/>
    </row>
    <row r="273" spans="1:14" ht="12.5" x14ac:dyDescent="0.25">
      <c r="A273" s="14"/>
      <c r="C273" s="68"/>
      <c r="D273" s="68"/>
      <c r="E273" s="68"/>
      <c r="F273" s="68"/>
      <c r="G273" s="68"/>
      <c r="H273" s="68"/>
      <c r="I273" s="68"/>
      <c r="J273" s="68"/>
      <c r="K273" s="68"/>
      <c r="L273" s="68"/>
      <c r="N273" s="75"/>
    </row>
    <row r="274" spans="1:14" ht="12.5" x14ac:dyDescent="0.25">
      <c r="A274" s="14"/>
      <c r="C274" s="68"/>
      <c r="D274" s="68"/>
      <c r="E274" s="68"/>
      <c r="F274" s="68"/>
      <c r="G274" s="68"/>
      <c r="H274" s="68"/>
      <c r="I274" s="68"/>
      <c r="J274" s="68"/>
      <c r="K274" s="68"/>
      <c r="L274" s="68"/>
      <c r="N274" s="75"/>
    </row>
    <row r="275" spans="1:14" ht="12.5" x14ac:dyDescent="0.25">
      <c r="A275" s="14"/>
      <c r="C275" s="68"/>
      <c r="D275" s="68"/>
      <c r="E275" s="68"/>
      <c r="F275" s="68"/>
      <c r="G275" s="68"/>
      <c r="H275" s="68"/>
      <c r="I275" s="68"/>
      <c r="J275" s="68"/>
      <c r="K275" s="68"/>
      <c r="L275" s="68"/>
      <c r="N275" s="75"/>
    </row>
    <row r="276" spans="1:14" ht="12.5" x14ac:dyDescent="0.25">
      <c r="A276" s="14"/>
      <c r="C276" s="68"/>
      <c r="D276" s="68"/>
      <c r="E276" s="68"/>
      <c r="F276" s="68"/>
      <c r="G276" s="68"/>
      <c r="H276" s="68"/>
      <c r="I276" s="68"/>
      <c r="J276" s="68"/>
      <c r="K276" s="68"/>
      <c r="L276" s="68"/>
      <c r="N276" s="75"/>
    </row>
    <row r="277" spans="1:14" ht="12.5" x14ac:dyDescent="0.25">
      <c r="A277" s="14"/>
      <c r="C277" s="68"/>
      <c r="D277" s="68"/>
      <c r="E277" s="68"/>
      <c r="F277" s="68"/>
      <c r="G277" s="68"/>
      <c r="H277" s="68"/>
      <c r="I277" s="68"/>
      <c r="J277" s="68"/>
      <c r="K277" s="68"/>
      <c r="L277" s="68"/>
      <c r="N277" s="75"/>
    </row>
    <row r="278" spans="1:14" ht="12.5" x14ac:dyDescent="0.25">
      <c r="A278" s="14"/>
      <c r="C278" s="68"/>
      <c r="D278" s="68"/>
      <c r="E278" s="68"/>
      <c r="F278" s="68"/>
      <c r="G278" s="68"/>
      <c r="H278" s="68"/>
      <c r="I278" s="68"/>
      <c r="J278" s="68"/>
      <c r="K278" s="68"/>
      <c r="L278" s="68"/>
      <c r="N278" s="75"/>
    </row>
    <row r="279" spans="1:14" ht="12.5" x14ac:dyDescent="0.25">
      <c r="A279" s="14"/>
      <c r="C279" s="68"/>
      <c r="D279" s="68"/>
      <c r="E279" s="68"/>
      <c r="F279" s="68"/>
      <c r="G279" s="68"/>
      <c r="H279" s="68"/>
      <c r="I279" s="68"/>
      <c r="J279" s="68"/>
      <c r="K279" s="68"/>
      <c r="L279" s="68"/>
      <c r="N279" s="75"/>
    </row>
    <row r="280" spans="1:14" ht="12.5" x14ac:dyDescent="0.25">
      <c r="A280" s="14"/>
      <c r="C280" s="68"/>
      <c r="D280" s="68"/>
      <c r="E280" s="68"/>
      <c r="F280" s="68"/>
      <c r="G280" s="68"/>
      <c r="H280" s="68"/>
      <c r="I280" s="68"/>
      <c r="J280" s="68"/>
      <c r="K280" s="68"/>
      <c r="L280" s="68"/>
      <c r="N280" s="75"/>
    </row>
    <row r="281" spans="1:14" ht="12.5" x14ac:dyDescent="0.25">
      <c r="A281" s="14"/>
      <c r="C281" s="68"/>
      <c r="D281" s="68"/>
      <c r="E281" s="68"/>
      <c r="F281" s="68"/>
      <c r="G281" s="68"/>
      <c r="H281" s="68"/>
      <c r="I281" s="68"/>
      <c r="J281" s="68"/>
      <c r="K281" s="68"/>
      <c r="L281" s="68"/>
      <c r="N281" s="75"/>
    </row>
    <row r="282" spans="1:14" ht="12.5" x14ac:dyDescent="0.25">
      <c r="A282" s="14"/>
      <c r="C282" s="68"/>
      <c r="D282" s="68"/>
      <c r="E282" s="68"/>
      <c r="F282" s="68"/>
      <c r="G282" s="68"/>
      <c r="H282" s="68"/>
      <c r="I282" s="68"/>
      <c r="J282" s="68"/>
      <c r="K282" s="68"/>
      <c r="L282" s="68"/>
      <c r="N282" s="75"/>
    </row>
    <row r="283" spans="1:14" ht="12.5" x14ac:dyDescent="0.25">
      <c r="A283" s="14"/>
      <c r="C283" s="68"/>
      <c r="D283" s="68"/>
      <c r="E283" s="68"/>
      <c r="F283" s="68"/>
      <c r="G283" s="68"/>
      <c r="H283" s="68"/>
      <c r="I283" s="68"/>
      <c r="J283" s="68"/>
      <c r="K283" s="68"/>
      <c r="L283" s="68"/>
      <c r="N283" s="75"/>
    </row>
    <row r="284" spans="1:14" ht="12.5" x14ac:dyDescent="0.25">
      <c r="A284" s="14"/>
      <c r="C284" s="68"/>
      <c r="D284" s="68"/>
      <c r="E284" s="68"/>
      <c r="F284" s="68"/>
      <c r="G284" s="68"/>
      <c r="H284" s="68"/>
      <c r="I284" s="68"/>
      <c r="J284" s="68"/>
      <c r="K284" s="68"/>
      <c r="L284" s="68"/>
      <c r="N284" s="75"/>
    </row>
    <row r="285" spans="1:14" ht="12.5" x14ac:dyDescent="0.25">
      <c r="A285" s="14"/>
      <c r="C285" s="68"/>
      <c r="D285" s="68"/>
      <c r="E285" s="68"/>
      <c r="F285" s="68"/>
      <c r="G285" s="68"/>
      <c r="H285" s="68"/>
      <c r="I285" s="68"/>
      <c r="J285" s="68"/>
      <c r="K285" s="68"/>
      <c r="L285" s="68"/>
      <c r="N285" s="75"/>
    </row>
    <row r="286" spans="1:14" ht="12.5" x14ac:dyDescent="0.25">
      <c r="A286" s="14"/>
      <c r="C286" s="68"/>
      <c r="D286" s="68"/>
      <c r="E286" s="68"/>
      <c r="F286" s="68"/>
      <c r="G286" s="68"/>
      <c r="H286" s="68"/>
      <c r="I286" s="68"/>
      <c r="J286" s="68"/>
      <c r="K286" s="68"/>
      <c r="L286" s="68"/>
      <c r="N286" s="75"/>
    </row>
    <row r="287" spans="1:14" ht="12.5" x14ac:dyDescent="0.25">
      <c r="A287" s="14"/>
      <c r="C287" s="68"/>
      <c r="D287" s="68"/>
      <c r="E287" s="68"/>
      <c r="F287" s="68"/>
      <c r="G287" s="68"/>
      <c r="H287" s="68"/>
      <c r="I287" s="68"/>
      <c r="J287" s="68"/>
      <c r="K287" s="68"/>
      <c r="L287" s="68"/>
      <c r="N287" s="75"/>
    </row>
    <row r="288" spans="1:14" ht="12.5" x14ac:dyDescent="0.25">
      <c r="A288" s="14"/>
      <c r="C288" s="68"/>
      <c r="D288" s="68"/>
      <c r="E288" s="68"/>
      <c r="F288" s="68"/>
      <c r="G288" s="68"/>
      <c r="H288" s="68"/>
      <c r="I288" s="68"/>
      <c r="J288" s="68"/>
      <c r="K288" s="68"/>
      <c r="L288" s="68"/>
      <c r="N288" s="75"/>
    </row>
    <row r="289" spans="1:14" ht="12.5" x14ac:dyDescent="0.25">
      <c r="A289" s="14"/>
      <c r="C289" s="68"/>
      <c r="D289" s="68"/>
      <c r="E289" s="68"/>
      <c r="F289" s="68"/>
      <c r="G289" s="68"/>
      <c r="H289" s="68"/>
      <c r="I289" s="68"/>
      <c r="J289" s="68"/>
      <c r="K289" s="68"/>
      <c r="L289" s="68"/>
      <c r="N289" s="75"/>
    </row>
    <row r="290" spans="1:14" ht="12.5" x14ac:dyDescent="0.25">
      <c r="A290" s="14"/>
      <c r="C290" s="68"/>
      <c r="D290" s="68"/>
      <c r="E290" s="68"/>
      <c r="F290" s="68"/>
      <c r="G290" s="68"/>
      <c r="H290" s="68"/>
      <c r="I290" s="68"/>
      <c r="J290" s="68"/>
      <c r="K290" s="68"/>
      <c r="L290" s="68"/>
      <c r="N290" s="75"/>
    </row>
    <row r="291" spans="1:14" ht="12.5" x14ac:dyDescent="0.25">
      <c r="A291" s="14"/>
      <c r="C291" s="68"/>
      <c r="D291" s="68"/>
      <c r="E291" s="68"/>
      <c r="F291" s="68"/>
      <c r="G291" s="68"/>
      <c r="H291" s="68"/>
      <c r="I291" s="68"/>
      <c r="J291" s="68"/>
      <c r="K291" s="68"/>
      <c r="L291" s="68"/>
      <c r="N291" s="75"/>
    </row>
    <row r="292" spans="1:14" ht="12.5" x14ac:dyDescent="0.25">
      <c r="A292" s="14"/>
      <c r="C292" s="68"/>
      <c r="D292" s="68"/>
      <c r="E292" s="68"/>
      <c r="F292" s="68"/>
      <c r="G292" s="68"/>
      <c r="H292" s="68"/>
      <c r="I292" s="68"/>
      <c r="J292" s="68"/>
      <c r="K292" s="68"/>
      <c r="L292" s="68"/>
      <c r="N292" s="75"/>
    </row>
    <row r="293" spans="1:14" ht="12.5" x14ac:dyDescent="0.25">
      <c r="A293" s="14"/>
      <c r="C293" s="68"/>
      <c r="D293" s="68"/>
      <c r="E293" s="68"/>
      <c r="F293" s="68"/>
      <c r="G293" s="68"/>
      <c r="H293" s="68"/>
      <c r="I293" s="68"/>
      <c r="J293" s="68"/>
      <c r="K293" s="68"/>
      <c r="L293" s="68"/>
      <c r="N293" s="75"/>
    </row>
    <row r="294" spans="1:14" ht="12.5" x14ac:dyDescent="0.25">
      <c r="A294" s="14"/>
      <c r="C294" s="68"/>
      <c r="D294" s="68"/>
      <c r="E294" s="68"/>
      <c r="F294" s="68"/>
      <c r="G294" s="68"/>
      <c r="H294" s="68"/>
      <c r="I294" s="68"/>
      <c r="J294" s="68"/>
      <c r="K294" s="68"/>
      <c r="L294" s="68"/>
      <c r="N294" s="75"/>
    </row>
    <row r="295" spans="1:14" ht="12.5" x14ac:dyDescent="0.25">
      <c r="A295" s="14"/>
      <c r="C295" s="68"/>
      <c r="D295" s="68"/>
      <c r="E295" s="68"/>
      <c r="F295" s="68"/>
      <c r="G295" s="68"/>
      <c r="H295" s="68"/>
      <c r="I295" s="68"/>
      <c r="J295" s="68"/>
      <c r="K295" s="68"/>
      <c r="L295" s="68"/>
      <c r="N295" s="75"/>
    </row>
    <row r="296" spans="1:14" ht="12.5" x14ac:dyDescent="0.25">
      <c r="A296" s="14"/>
      <c r="C296" s="68"/>
      <c r="D296" s="68"/>
      <c r="E296" s="68"/>
      <c r="F296" s="68"/>
      <c r="G296" s="68"/>
      <c r="H296" s="68"/>
      <c r="I296" s="68"/>
      <c r="J296" s="68"/>
      <c r="K296" s="68"/>
      <c r="L296" s="68"/>
      <c r="N296" s="75"/>
    </row>
    <row r="297" spans="1:14" ht="12.5" x14ac:dyDescent="0.25">
      <c r="A297" s="14"/>
      <c r="C297" s="68"/>
      <c r="D297" s="68"/>
      <c r="E297" s="68"/>
      <c r="F297" s="68"/>
      <c r="G297" s="68"/>
      <c r="H297" s="68"/>
      <c r="I297" s="68"/>
      <c r="J297" s="68"/>
      <c r="K297" s="68"/>
      <c r="L297" s="68"/>
      <c r="N297" s="75"/>
    </row>
    <row r="298" spans="1:14" ht="12.5" x14ac:dyDescent="0.25">
      <c r="A298" s="14"/>
      <c r="C298" s="68"/>
      <c r="D298" s="68"/>
      <c r="E298" s="68"/>
      <c r="F298" s="68"/>
      <c r="G298" s="68"/>
      <c r="H298" s="68"/>
      <c r="I298" s="68"/>
      <c r="J298" s="68"/>
      <c r="K298" s="68"/>
      <c r="L298" s="68"/>
      <c r="N298" s="75"/>
    </row>
    <row r="299" spans="1:14" ht="12.5" x14ac:dyDescent="0.25">
      <c r="A299" s="14"/>
      <c r="C299" s="68"/>
      <c r="D299" s="68"/>
      <c r="E299" s="68"/>
      <c r="F299" s="68"/>
      <c r="G299" s="68"/>
      <c r="H299" s="68"/>
      <c r="I299" s="68"/>
      <c r="J299" s="68"/>
      <c r="K299" s="68"/>
      <c r="L299" s="68"/>
      <c r="N299" s="75"/>
    </row>
    <row r="300" spans="1:14" ht="12.5" x14ac:dyDescent="0.25">
      <c r="A300" s="14"/>
      <c r="C300" s="68"/>
      <c r="D300" s="68"/>
      <c r="E300" s="68"/>
      <c r="F300" s="68"/>
      <c r="G300" s="68"/>
      <c r="H300" s="68"/>
      <c r="I300" s="68"/>
      <c r="J300" s="68"/>
      <c r="K300" s="68"/>
      <c r="L300" s="68"/>
      <c r="N300" s="75"/>
    </row>
    <row r="301" spans="1:14" ht="12.5" x14ac:dyDescent="0.25">
      <c r="A301" s="14"/>
      <c r="C301" s="68"/>
      <c r="D301" s="68"/>
      <c r="E301" s="68"/>
      <c r="F301" s="68"/>
      <c r="G301" s="68"/>
      <c r="H301" s="68"/>
      <c r="I301" s="68"/>
      <c r="J301" s="68"/>
      <c r="K301" s="68"/>
      <c r="L301" s="68"/>
      <c r="N301" s="75"/>
    </row>
    <row r="302" spans="1:14" ht="12.5" x14ac:dyDescent="0.25">
      <c r="A302" s="14"/>
      <c r="C302" s="68"/>
      <c r="D302" s="68"/>
      <c r="E302" s="68"/>
      <c r="F302" s="68"/>
      <c r="G302" s="68"/>
      <c r="H302" s="68"/>
      <c r="I302" s="68"/>
      <c r="J302" s="68"/>
      <c r="K302" s="68"/>
      <c r="L302" s="68"/>
      <c r="N302" s="75"/>
    </row>
    <row r="303" spans="1:14" ht="12.5" x14ac:dyDescent="0.25">
      <c r="A303" s="14"/>
      <c r="C303" s="68"/>
      <c r="D303" s="68"/>
      <c r="E303" s="68"/>
      <c r="F303" s="68"/>
      <c r="G303" s="68"/>
      <c r="H303" s="68"/>
      <c r="I303" s="68"/>
      <c r="J303" s="68"/>
      <c r="K303" s="68"/>
      <c r="L303" s="68"/>
      <c r="N303" s="75"/>
    </row>
    <row r="304" spans="1:14" ht="12.5" x14ac:dyDescent="0.25">
      <c r="A304" s="14"/>
      <c r="C304" s="68"/>
      <c r="D304" s="68"/>
      <c r="E304" s="68"/>
      <c r="F304" s="68"/>
      <c r="G304" s="68"/>
      <c r="H304" s="68"/>
      <c r="I304" s="68"/>
      <c r="J304" s="68"/>
      <c r="K304" s="68"/>
      <c r="L304" s="68"/>
      <c r="N304" s="75"/>
    </row>
    <row r="305" spans="1:14" ht="12.5" x14ac:dyDescent="0.25">
      <c r="A305" s="14"/>
      <c r="C305" s="68"/>
      <c r="D305" s="68"/>
      <c r="E305" s="68"/>
      <c r="F305" s="68"/>
      <c r="G305" s="68"/>
      <c r="H305" s="68"/>
      <c r="I305" s="68"/>
      <c r="J305" s="68"/>
      <c r="K305" s="68"/>
      <c r="L305" s="68"/>
      <c r="N305" s="75"/>
    </row>
    <row r="306" spans="1:14" ht="12.5" x14ac:dyDescent="0.25">
      <c r="A306" s="14"/>
      <c r="C306" s="68"/>
      <c r="D306" s="68"/>
      <c r="E306" s="68"/>
      <c r="F306" s="68"/>
      <c r="G306" s="68"/>
      <c r="H306" s="68"/>
      <c r="I306" s="68"/>
      <c r="J306" s="68"/>
      <c r="K306" s="68"/>
      <c r="L306" s="68"/>
      <c r="N306" s="75"/>
    </row>
    <row r="307" spans="1:14" ht="12.5" x14ac:dyDescent="0.25">
      <c r="A307" s="14"/>
      <c r="C307" s="68"/>
      <c r="D307" s="68"/>
      <c r="E307" s="68"/>
      <c r="F307" s="68"/>
      <c r="G307" s="68"/>
      <c r="H307" s="68"/>
      <c r="I307" s="68"/>
      <c r="J307" s="68"/>
      <c r="K307" s="68"/>
      <c r="L307" s="68"/>
      <c r="N307" s="75"/>
    </row>
    <row r="308" spans="1:14" ht="12.5" x14ac:dyDescent="0.25">
      <c r="A308" s="14"/>
      <c r="C308" s="68"/>
      <c r="D308" s="68"/>
      <c r="E308" s="68"/>
      <c r="F308" s="68"/>
      <c r="G308" s="68"/>
      <c r="H308" s="68"/>
      <c r="I308" s="68"/>
      <c r="J308" s="68"/>
      <c r="K308" s="68"/>
      <c r="L308" s="68"/>
      <c r="N308" s="75"/>
    </row>
    <row r="309" spans="1:14" ht="12.5" x14ac:dyDescent="0.25">
      <c r="A309" s="14"/>
      <c r="C309" s="68"/>
      <c r="D309" s="68"/>
      <c r="E309" s="68"/>
      <c r="F309" s="68"/>
      <c r="G309" s="68"/>
      <c r="H309" s="68"/>
      <c r="I309" s="68"/>
      <c r="J309" s="68"/>
      <c r="K309" s="68"/>
      <c r="L309" s="68"/>
      <c r="N309" s="75"/>
    </row>
    <row r="310" spans="1:14" ht="12.5" x14ac:dyDescent="0.25">
      <c r="A310" s="14"/>
      <c r="C310" s="68"/>
      <c r="D310" s="68"/>
      <c r="E310" s="68"/>
      <c r="F310" s="68"/>
      <c r="G310" s="68"/>
      <c r="H310" s="68"/>
      <c r="I310" s="68"/>
      <c r="J310" s="68"/>
      <c r="K310" s="68"/>
      <c r="L310" s="68"/>
      <c r="N310" s="75"/>
    </row>
    <row r="311" spans="1:14" ht="12.5" x14ac:dyDescent="0.25">
      <c r="A311" s="14"/>
      <c r="C311" s="68"/>
      <c r="D311" s="68"/>
      <c r="E311" s="68"/>
      <c r="F311" s="68"/>
      <c r="G311" s="68"/>
      <c r="H311" s="68"/>
      <c r="I311" s="68"/>
      <c r="J311" s="68"/>
      <c r="K311" s="68"/>
      <c r="L311" s="68"/>
      <c r="N311" s="75"/>
    </row>
    <row r="312" spans="1:14" ht="12.5" x14ac:dyDescent="0.25">
      <c r="A312" s="14"/>
      <c r="C312" s="68"/>
      <c r="D312" s="68"/>
      <c r="E312" s="68"/>
      <c r="F312" s="68"/>
      <c r="G312" s="68"/>
      <c r="H312" s="68"/>
      <c r="I312" s="68"/>
      <c r="J312" s="68"/>
      <c r="K312" s="68"/>
      <c r="L312" s="68"/>
      <c r="N312" s="75"/>
    </row>
    <row r="313" spans="1:14" ht="12.5" x14ac:dyDescent="0.25">
      <c r="A313" s="14"/>
      <c r="C313" s="68"/>
      <c r="D313" s="68"/>
      <c r="E313" s="68"/>
      <c r="F313" s="68"/>
      <c r="G313" s="68"/>
      <c r="H313" s="68"/>
      <c r="I313" s="68"/>
      <c r="J313" s="68"/>
      <c r="K313" s="68"/>
      <c r="L313" s="68"/>
      <c r="N313" s="75"/>
    </row>
    <row r="314" spans="1:14" ht="12.5" x14ac:dyDescent="0.25">
      <c r="A314" s="14"/>
      <c r="C314" s="68"/>
      <c r="D314" s="68"/>
      <c r="E314" s="68"/>
      <c r="F314" s="68"/>
      <c r="G314" s="68"/>
      <c r="H314" s="68"/>
      <c r="I314" s="68"/>
      <c r="J314" s="68"/>
      <c r="K314" s="68"/>
      <c r="L314" s="68"/>
      <c r="N314" s="75"/>
    </row>
    <row r="315" spans="1:14" ht="12.5" x14ac:dyDescent="0.25">
      <c r="A315" s="14"/>
      <c r="C315" s="68"/>
      <c r="D315" s="68"/>
      <c r="E315" s="68"/>
      <c r="F315" s="68"/>
      <c r="G315" s="68"/>
      <c r="H315" s="68"/>
      <c r="I315" s="68"/>
      <c r="J315" s="68"/>
      <c r="K315" s="68"/>
      <c r="L315" s="68"/>
      <c r="N315" s="75"/>
    </row>
    <row r="316" spans="1:14" ht="12.5" x14ac:dyDescent="0.25">
      <c r="A316" s="14"/>
      <c r="C316" s="68"/>
      <c r="D316" s="68"/>
      <c r="E316" s="68"/>
      <c r="F316" s="68"/>
      <c r="G316" s="68"/>
      <c r="H316" s="68"/>
      <c r="I316" s="68"/>
      <c r="J316" s="68"/>
      <c r="K316" s="68"/>
      <c r="L316" s="68"/>
      <c r="N316" s="75"/>
    </row>
    <row r="317" spans="1:14" ht="12.5" x14ac:dyDescent="0.25">
      <c r="A317" s="14"/>
      <c r="C317" s="68"/>
      <c r="D317" s="68"/>
      <c r="E317" s="68"/>
      <c r="F317" s="68"/>
      <c r="G317" s="68"/>
      <c r="H317" s="68"/>
      <c r="I317" s="68"/>
      <c r="J317" s="68"/>
      <c r="K317" s="68"/>
      <c r="L317" s="68"/>
      <c r="N317" s="75"/>
    </row>
    <row r="318" spans="1:14" ht="12.5" x14ac:dyDescent="0.25">
      <c r="A318" s="14"/>
      <c r="C318" s="68"/>
      <c r="D318" s="68"/>
      <c r="E318" s="68"/>
      <c r="F318" s="68"/>
      <c r="G318" s="68"/>
      <c r="H318" s="68"/>
      <c r="I318" s="68"/>
      <c r="J318" s="68"/>
      <c r="K318" s="68"/>
      <c r="L318" s="68"/>
      <c r="N318" s="75"/>
    </row>
    <row r="319" spans="1:14" ht="12.5" x14ac:dyDescent="0.25">
      <c r="A319" s="14"/>
      <c r="C319" s="68"/>
      <c r="D319" s="68"/>
      <c r="E319" s="68"/>
      <c r="F319" s="68"/>
      <c r="G319" s="68"/>
      <c r="H319" s="68"/>
      <c r="I319" s="68"/>
      <c r="J319" s="68"/>
      <c r="K319" s="68"/>
      <c r="L319" s="68"/>
      <c r="N319" s="75"/>
    </row>
    <row r="320" spans="1:14" ht="12.5" x14ac:dyDescent="0.25">
      <c r="A320" s="14"/>
      <c r="C320" s="68"/>
      <c r="D320" s="68"/>
      <c r="E320" s="68"/>
      <c r="F320" s="68"/>
      <c r="G320" s="68"/>
      <c r="H320" s="68"/>
      <c r="I320" s="68"/>
      <c r="J320" s="68"/>
      <c r="K320" s="68"/>
      <c r="L320" s="68"/>
      <c r="N320" s="75"/>
    </row>
    <row r="321" spans="1:14" ht="12.5" x14ac:dyDescent="0.25">
      <c r="A321" s="14"/>
      <c r="C321" s="68"/>
      <c r="D321" s="68"/>
      <c r="E321" s="68"/>
      <c r="F321" s="68"/>
      <c r="G321" s="68"/>
      <c r="H321" s="68"/>
      <c r="I321" s="68"/>
      <c r="J321" s="68"/>
      <c r="K321" s="68"/>
      <c r="L321" s="68"/>
      <c r="N321" s="75"/>
    </row>
    <row r="322" spans="1:14" ht="12.5" x14ac:dyDescent="0.25">
      <c r="A322" s="14"/>
      <c r="C322" s="68"/>
      <c r="D322" s="68"/>
      <c r="E322" s="68"/>
      <c r="F322" s="68"/>
      <c r="G322" s="68"/>
      <c r="H322" s="68"/>
      <c r="I322" s="68"/>
      <c r="J322" s="68"/>
      <c r="K322" s="68"/>
      <c r="L322" s="68"/>
      <c r="N322" s="75"/>
    </row>
    <row r="323" spans="1:14" ht="12.5" x14ac:dyDescent="0.25">
      <c r="A323" s="14"/>
      <c r="C323" s="68"/>
      <c r="D323" s="68"/>
      <c r="E323" s="68"/>
      <c r="F323" s="68"/>
      <c r="G323" s="68"/>
      <c r="H323" s="68"/>
      <c r="I323" s="68"/>
      <c r="J323" s="68"/>
      <c r="K323" s="68"/>
      <c r="L323" s="68"/>
      <c r="N323" s="75"/>
    </row>
    <row r="324" spans="1:14" ht="12.5" x14ac:dyDescent="0.25">
      <c r="A324" s="14"/>
      <c r="C324" s="68"/>
      <c r="D324" s="68"/>
      <c r="E324" s="68"/>
      <c r="F324" s="68"/>
      <c r="G324" s="68"/>
      <c r="H324" s="68"/>
      <c r="I324" s="68"/>
      <c r="J324" s="68"/>
      <c r="K324" s="68"/>
      <c r="L324" s="68"/>
      <c r="N324" s="75"/>
    </row>
    <row r="325" spans="1:14" ht="12.5" x14ac:dyDescent="0.25">
      <c r="A325" s="14"/>
      <c r="C325" s="68"/>
      <c r="D325" s="68"/>
      <c r="E325" s="68"/>
      <c r="F325" s="68"/>
      <c r="G325" s="68"/>
      <c r="H325" s="68"/>
      <c r="I325" s="68"/>
      <c r="J325" s="68"/>
      <c r="K325" s="68"/>
      <c r="L325" s="68"/>
      <c r="N325" s="75"/>
    </row>
    <row r="326" spans="1:14" ht="12.5" x14ac:dyDescent="0.25">
      <c r="A326" s="14"/>
      <c r="C326" s="68"/>
      <c r="D326" s="68"/>
      <c r="E326" s="68"/>
      <c r="F326" s="68"/>
      <c r="G326" s="68"/>
      <c r="H326" s="68"/>
      <c r="I326" s="68"/>
      <c r="J326" s="68"/>
      <c r="K326" s="68"/>
      <c r="L326" s="68"/>
      <c r="N326" s="75"/>
    </row>
    <row r="327" spans="1:14" ht="12.5" x14ac:dyDescent="0.25">
      <c r="A327" s="14"/>
      <c r="C327" s="68"/>
      <c r="D327" s="68"/>
      <c r="E327" s="68"/>
      <c r="F327" s="68"/>
      <c r="G327" s="68"/>
      <c r="H327" s="68"/>
      <c r="I327" s="68"/>
      <c r="J327" s="68"/>
      <c r="K327" s="68"/>
      <c r="L327" s="68"/>
      <c r="N327" s="75"/>
    </row>
    <row r="328" spans="1:14" ht="12.5" x14ac:dyDescent="0.25">
      <c r="A328" s="14"/>
      <c r="C328" s="68"/>
      <c r="D328" s="68"/>
      <c r="E328" s="68"/>
      <c r="F328" s="68"/>
      <c r="G328" s="68"/>
      <c r="H328" s="68"/>
      <c r="I328" s="68"/>
      <c r="J328" s="68"/>
      <c r="K328" s="68"/>
      <c r="L328" s="68"/>
      <c r="N328" s="75"/>
    </row>
    <row r="329" spans="1:14" ht="12.5" x14ac:dyDescent="0.25">
      <c r="A329" s="14"/>
      <c r="C329" s="68"/>
      <c r="D329" s="68"/>
      <c r="E329" s="68"/>
      <c r="F329" s="68"/>
      <c r="G329" s="68"/>
      <c r="H329" s="68"/>
      <c r="I329" s="68"/>
      <c r="J329" s="68"/>
      <c r="K329" s="68"/>
      <c r="L329" s="68"/>
      <c r="N329" s="75"/>
    </row>
    <row r="330" spans="1:14" ht="12.5" x14ac:dyDescent="0.25">
      <c r="A330" s="14"/>
      <c r="C330" s="68"/>
      <c r="D330" s="68"/>
      <c r="E330" s="68"/>
      <c r="F330" s="68"/>
      <c r="G330" s="68"/>
      <c r="H330" s="68"/>
      <c r="I330" s="68"/>
      <c r="J330" s="68"/>
      <c r="K330" s="68"/>
      <c r="L330" s="68"/>
      <c r="N330" s="75"/>
    </row>
    <row r="331" spans="1:14" ht="12.5" x14ac:dyDescent="0.25">
      <c r="A331" s="14"/>
      <c r="C331" s="68"/>
      <c r="D331" s="68"/>
      <c r="E331" s="68"/>
      <c r="F331" s="68"/>
      <c r="G331" s="68"/>
      <c r="H331" s="68"/>
      <c r="I331" s="68"/>
      <c r="J331" s="68"/>
      <c r="K331" s="68"/>
      <c r="L331" s="68"/>
      <c r="N331" s="75"/>
    </row>
    <row r="332" spans="1:14" ht="12.5" x14ac:dyDescent="0.25">
      <c r="A332" s="14"/>
      <c r="C332" s="68"/>
      <c r="D332" s="68"/>
      <c r="E332" s="68"/>
      <c r="F332" s="68"/>
      <c r="G332" s="68"/>
      <c r="H332" s="68"/>
      <c r="I332" s="68"/>
      <c r="J332" s="68"/>
      <c r="K332" s="68"/>
      <c r="L332" s="68"/>
      <c r="N332" s="75"/>
    </row>
    <row r="333" spans="1:14" ht="12.5" x14ac:dyDescent="0.25">
      <c r="A333" s="14"/>
      <c r="C333" s="68"/>
      <c r="D333" s="68"/>
      <c r="E333" s="68"/>
      <c r="F333" s="68"/>
      <c r="G333" s="68"/>
      <c r="H333" s="68"/>
      <c r="I333" s="68"/>
      <c r="J333" s="68"/>
      <c r="K333" s="68"/>
      <c r="L333" s="68"/>
      <c r="N333" s="75"/>
    </row>
    <row r="334" spans="1:14" ht="12.5" x14ac:dyDescent="0.25">
      <c r="A334" s="14"/>
      <c r="C334" s="68"/>
      <c r="D334" s="68"/>
      <c r="E334" s="68"/>
      <c r="F334" s="68"/>
      <c r="G334" s="68"/>
      <c r="H334" s="68"/>
      <c r="I334" s="68"/>
      <c r="J334" s="68"/>
      <c r="K334" s="68"/>
      <c r="L334" s="68"/>
      <c r="N334" s="75"/>
    </row>
    <row r="335" spans="1:14" ht="12.5" x14ac:dyDescent="0.25">
      <c r="A335" s="14"/>
      <c r="C335" s="68"/>
      <c r="D335" s="68"/>
      <c r="E335" s="68"/>
      <c r="F335" s="68"/>
      <c r="G335" s="68"/>
      <c r="H335" s="68"/>
      <c r="I335" s="68"/>
      <c r="J335" s="68"/>
      <c r="K335" s="68"/>
      <c r="L335" s="68"/>
      <c r="N335" s="75"/>
    </row>
    <row r="336" spans="1:14" ht="12.5" x14ac:dyDescent="0.25">
      <c r="A336" s="14"/>
      <c r="C336" s="68"/>
      <c r="D336" s="68"/>
      <c r="E336" s="68"/>
      <c r="F336" s="68"/>
      <c r="G336" s="68"/>
      <c r="H336" s="68"/>
      <c r="I336" s="68"/>
      <c r="J336" s="68"/>
      <c r="K336" s="68"/>
      <c r="L336" s="68"/>
      <c r="N336" s="75"/>
    </row>
    <row r="337" spans="1:14" ht="12.5" x14ac:dyDescent="0.25">
      <c r="A337" s="14"/>
      <c r="C337" s="68"/>
      <c r="D337" s="68"/>
      <c r="E337" s="68"/>
      <c r="F337" s="68"/>
      <c r="G337" s="68"/>
      <c r="H337" s="68"/>
      <c r="I337" s="68"/>
      <c r="J337" s="68"/>
      <c r="K337" s="68"/>
      <c r="L337" s="68"/>
      <c r="N337" s="75"/>
    </row>
    <row r="338" spans="1:14" ht="12.5" x14ac:dyDescent="0.25">
      <c r="A338" s="14"/>
      <c r="C338" s="68"/>
      <c r="D338" s="68"/>
      <c r="E338" s="68"/>
      <c r="F338" s="68"/>
      <c r="G338" s="68"/>
      <c r="H338" s="68"/>
      <c r="I338" s="68"/>
      <c r="J338" s="68"/>
      <c r="K338" s="68"/>
      <c r="L338" s="68"/>
      <c r="N338" s="75"/>
    </row>
    <row r="339" spans="1:14" ht="12.5" x14ac:dyDescent="0.25">
      <c r="A339" s="14"/>
      <c r="C339" s="68"/>
      <c r="D339" s="68"/>
      <c r="E339" s="68"/>
      <c r="F339" s="68"/>
      <c r="G339" s="68"/>
      <c r="H339" s="68"/>
      <c r="I339" s="68"/>
      <c r="J339" s="68"/>
      <c r="K339" s="68"/>
      <c r="L339" s="68"/>
      <c r="N339" s="75"/>
    </row>
    <row r="340" spans="1:14" ht="12.5" x14ac:dyDescent="0.25">
      <c r="A340" s="14"/>
      <c r="C340" s="68"/>
      <c r="D340" s="68"/>
      <c r="E340" s="68"/>
      <c r="F340" s="68"/>
      <c r="G340" s="68"/>
      <c r="H340" s="68"/>
      <c r="I340" s="68"/>
      <c r="J340" s="68"/>
      <c r="K340" s="68"/>
      <c r="L340" s="68"/>
      <c r="N340" s="75"/>
    </row>
    <row r="341" spans="1:14" ht="12.5" x14ac:dyDescent="0.25">
      <c r="A341" s="14"/>
      <c r="C341" s="68"/>
      <c r="D341" s="68"/>
      <c r="E341" s="68"/>
      <c r="F341" s="68"/>
      <c r="G341" s="68"/>
      <c r="H341" s="68"/>
      <c r="I341" s="68"/>
      <c r="J341" s="68"/>
      <c r="K341" s="68"/>
      <c r="L341" s="68"/>
      <c r="N341" s="75"/>
    </row>
    <row r="342" spans="1:14" ht="12.5" x14ac:dyDescent="0.25">
      <c r="A342" s="14"/>
      <c r="C342" s="68"/>
      <c r="D342" s="68"/>
      <c r="E342" s="68"/>
      <c r="F342" s="68"/>
      <c r="G342" s="68"/>
      <c r="H342" s="68"/>
      <c r="I342" s="68"/>
      <c r="J342" s="68"/>
      <c r="K342" s="68"/>
      <c r="L342" s="68"/>
      <c r="N342" s="75"/>
    </row>
    <row r="343" spans="1:14" ht="12.5" x14ac:dyDescent="0.25">
      <c r="A343" s="14"/>
      <c r="C343" s="68"/>
      <c r="D343" s="68"/>
      <c r="E343" s="68"/>
      <c r="F343" s="68"/>
      <c r="G343" s="68"/>
      <c r="H343" s="68"/>
      <c r="I343" s="68"/>
      <c r="J343" s="68"/>
      <c r="K343" s="68"/>
      <c r="L343" s="68"/>
      <c r="N343" s="75"/>
    </row>
    <row r="344" spans="1:14" ht="12.5" x14ac:dyDescent="0.25">
      <c r="A344" s="14"/>
      <c r="C344" s="68"/>
      <c r="D344" s="68"/>
      <c r="E344" s="68"/>
      <c r="F344" s="68"/>
      <c r="G344" s="68"/>
      <c r="H344" s="68"/>
      <c r="I344" s="68"/>
      <c r="J344" s="68"/>
      <c r="K344" s="68"/>
      <c r="L344" s="68"/>
      <c r="N344" s="75"/>
    </row>
    <row r="345" spans="1:14" ht="12.5" x14ac:dyDescent="0.25">
      <c r="A345" s="14"/>
      <c r="C345" s="68"/>
      <c r="D345" s="68"/>
      <c r="E345" s="68"/>
      <c r="F345" s="68"/>
      <c r="G345" s="68"/>
      <c r="H345" s="68"/>
      <c r="I345" s="68"/>
      <c r="J345" s="68"/>
      <c r="K345" s="68"/>
      <c r="L345" s="68"/>
      <c r="N345" s="75"/>
    </row>
    <row r="346" spans="1:14" ht="12.5" x14ac:dyDescent="0.25">
      <c r="A346" s="14"/>
      <c r="C346" s="68"/>
      <c r="D346" s="68"/>
      <c r="E346" s="68"/>
      <c r="F346" s="68"/>
      <c r="G346" s="68"/>
      <c r="H346" s="68"/>
      <c r="I346" s="68"/>
      <c r="J346" s="68"/>
      <c r="K346" s="68"/>
      <c r="L346" s="68"/>
      <c r="N346" s="75"/>
    </row>
    <row r="347" spans="1:14" ht="12.5" x14ac:dyDescent="0.25">
      <c r="A347" s="14"/>
      <c r="C347" s="68"/>
      <c r="D347" s="68"/>
      <c r="E347" s="68"/>
      <c r="F347" s="68"/>
      <c r="G347" s="68"/>
      <c r="H347" s="68"/>
      <c r="I347" s="68"/>
      <c r="J347" s="68"/>
      <c r="K347" s="68"/>
      <c r="L347" s="68"/>
      <c r="N347" s="75"/>
    </row>
    <row r="348" spans="1:14" ht="12.5" x14ac:dyDescent="0.25">
      <c r="A348" s="14"/>
      <c r="C348" s="68"/>
      <c r="D348" s="68"/>
      <c r="E348" s="68"/>
      <c r="F348" s="68"/>
      <c r="G348" s="68"/>
      <c r="H348" s="68"/>
      <c r="I348" s="68"/>
      <c r="J348" s="68"/>
      <c r="K348" s="68"/>
      <c r="L348" s="68"/>
      <c r="N348" s="75"/>
    </row>
    <row r="349" spans="1:14" ht="12.5" x14ac:dyDescent="0.25">
      <c r="A349" s="14"/>
      <c r="C349" s="68"/>
      <c r="D349" s="68"/>
      <c r="E349" s="68"/>
      <c r="F349" s="68"/>
      <c r="G349" s="68"/>
      <c r="H349" s="68"/>
      <c r="I349" s="68"/>
      <c r="J349" s="68"/>
      <c r="K349" s="68"/>
      <c r="L349" s="68"/>
      <c r="N349" s="75"/>
    </row>
    <row r="350" spans="1:14" ht="12.5" x14ac:dyDescent="0.25">
      <c r="A350" s="14"/>
      <c r="C350" s="68"/>
      <c r="D350" s="68"/>
      <c r="E350" s="68"/>
      <c r="F350" s="68"/>
      <c r="G350" s="68"/>
      <c r="H350" s="68"/>
      <c r="I350" s="68"/>
      <c r="J350" s="68"/>
      <c r="K350" s="68"/>
      <c r="L350" s="68"/>
      <c r="N350" s="75"/>
    </row>
    <row r="351" spans="1:14" ht="12.5" x14ac:dyDescent="0.25">
      <c r="A351" s="14"/>
      <c r="C351" s="68"/>
      <c r="D351" s="68"/>
      <c r="E351" s="68"/>
      <c r="F351" s="68"/>
      <c r="G351" s="68"/>
      <c r="H351" s="68"/>
      <c r="I351" s="68"/>
      <c r="J351" s="68"/>
      <c r="K351" s="68"/>
      <c r="L351" s="68"/>
      <c r="N351" s="75"/>
    </row>
    <row r="352" spans="1:14" ht="12.5" x14ac:dyDescent="0.25">
      <c r="A352" s="14"/>
      <c r="C352" s="68"/>
      <c r="D352" s="68"/>
      <c r="E352" s="68"/>
      <c r="F352" s="68"/>
      <c r="G352" s="68"/>
      <c r="H352" s="68"/>
      <c r="I352" s="68"/>
      <c r="J352" s="68"/>
      <c r="K352" s="68"/>
      <c r="L352" s="68"/>
      <c r="N352" s="75"/>
    </row>
    <row r="353" spans="1:14" ht="12.5" x14ac:dyDescent="0.25">
      <c r="A353" s="14"/>
      <c r="C353" s="68"/>
      <c r="D353" s="68"/>
      <c r="E353" s="68"/>
      <c r="F353" s="68"/>
      <c r="G353" s="68"/>
      <c r="H353" s="68"/>
      <c r="I353" s="68"/>
      <c r="J353" s="68"/>
      <c r="K353" s="68"/>
      <c r="L353" s="68"/>
      <c r="N353" s="75"/>
    </row>
    <row r="354" spans="1:14" ht="12.5" x14ac:dyDescent="0.25">
      <c r="A354" s="14"/>
      <c r="C354" s="68"/>
      <c r="D354" s="68"/>
      <c r="E354" s="68"/>
      <c r="F354" s="68"/>
      <c r="G354" s="68"/>
      <c r="H354" s="68"/>
      <c r="I354" s="68"/>
      <c r="J354" s="68"/>
      <c r="K354" s="68"/>
      <c r="L354" s="68"/>
      <c r="N354" s="75"/>
    </row>
    <row r="355" spans="1:14" ht="12.5" x14ac:dyDescent="0.25">
      <c r="A355" s="14"/>
      <c r="C355" s="68"/>
      <c r="D355" s="68"/>
      <c r="E355" s="68"/>
      <c r="F355" s="68"/>
      <c r="G355" s="68"/>
      <c r="H355" s="68"/>
      <c r="I355" s="68"/>
      <c r="J355" s="68"/>
      <c r="K355" s="68"/>
      <c r="L355" s="68"/>
      <c r="N355" s="75"/>
    </row>
    <row r="356" spans="1:14" ht="12.5" x14ac:dyDescent="0.25">
      <c r="A356" s="14"/>
      <c r="C356" s="68"/>
      <c r="D356" s="68"/>
      <c r="E356" s="68"/>
      <c r="F356" s="68"/>
      <c r="G356" s="68"/>
      <c r="H356" s="68"/>
      <c r="I356" s="68"/>
      <c r="J356" s="68"/>
      <c r="K356" s="68"/>
      <c r="L356" s="68"/>
      <c r="N356" s="75"/>
    </row>
    <row r="357" spans="1:14" ht="12.5" x14ac:dyDescent="0.25">
      <c r="A357" s="14"/>
      <c r="C357" s="68"/>
      <c r="D357" s="68"/>
      <c r="E357" s="68"/>
      <c r="F357" s="68"/>
      <c r="G357" s="68"/>
      <c r="H357" s="68"/>
      <c r="I357" s="68"/>
      <c r="J357" s="68"/>
      <c r="K357" s="68"/>
      <c r="L357" s="68"/>
      <c r="N357" s="75"/>
    </row>
    <row r="358" spans="1:14" ht="12.5" x14ac:dyDescent="0.25">
      <c r="A358" s="14"/>
      <c r="C358" s="68"/>
      <c r="D358" s="68"/>
      <c r="E358" s="68"/>
      <c r="F358" s="68"/>
      <c r="G358" s="68"/>
      <c r="H358" s="68"/>
      <c r="I358" s="68"/>
      <c r="J358" s="68"/>
      <c r="K358" s="68"/>
      <c r="L358" s="68"/>
      <c r="N358" s="75"/>
    </row>
    <row r="359" spans="1:14" ht="12.5" x14ac:dyDescent="0.25">
      <c r="A359" s="14"/>
      <c r="C359" s="68"/>
      <c r="D359" s="68"/>
      <c r="E359" s="68"/>
      <c r="F359" s="68"/>
      <c r="G359" s="68"/>
      <c r="H359" s="68"/>
      <c r="I359" s="68"/>
      <c r="J359" s="68"/>
      <c r="K359" s="68"/>
      <c r="L359" s="68"/>
      <c r="N359" s="75"/>
    </row>
    <row r="360" spans="1:14" ht="12.5" x14ac:dyDescent="0.25">
      <c r="A360" s="14"/>
      <c r="C360" s="68"/>
      <c r="D360" s="68"/>
      <c r="E360" s="68"/>
      <c r="F360" s="68"/>
      <c r="G360" s="68"/>
      <c r="H360" s="68"/>
      <c r="I360" s="68"/>
      <c r="J360" s="68"/>
      <c r="K360" s="68"/>
      <c r="L360" s="68"/>
      <c r="N360" s="75"/>
    </row>
    <row r="361" spans="1:14" ht="12.5" x14ac:dyDescent="0.25">
      <c r="A361" s="14"/>
      <c r="C361" s="68"/>
      <c r="D361" s="68"/>
      <c r="E361" s="68"/>
      <c r="F361" s="68"/>
      <c r="G361" s="68"/>
      <c r="H361" s="68"/>
      <c r="I361" s="68"/>
      <c r="J361" s="68"/>
      <c r="K361" s="68"/>
      <c r="L361" s="68"/>
      <c r="N361" s="75"/>
    </row>
    <row r="362" spans="1:14" ht="12.5" x14ac:dyDescent="0.25">
      <c r="A362" s="14"/>
      <c r="C362" s="68"/>
      <c r="D362" s="68"/>
      <c r="E362" s="68"/>
      <c r="F362" s="68"/>
      <c r="G362" s="68"/>
      <c r="H362" s="68"/>
      <c r="I362" s="68"/>
      <c r="J362" s="68"/>
      <c r="K362" s="68"/>
      <c r="L362" s="68"/>
      <c r="N362" s="75"/>
    </row>
    <row r="363" spans="1:14" ht="12.5" x14ac:dyDescent="0.25">
      <c r="A363" s="14"/>
      <c r="C363" s="68"/>
      <c r="D363" s="68"/>
      <c r="E363" s="68"/>
      <c r="F363" s="68"/>
      <c r="G363" s="68"/>
      <c r="H363" s="68"/>
      <c r="I363" s="68"/>
      <c r="J363" s="68"/>
      <c r="K363" s="68"/>
      <c r="L363" s="68"/>
      <c r="N363" s="75"/>
    </row>
    <row r="364" spans="1:14" ht="12.5" x14ac:dyDescent="0.25">
      <c r="A364" s="14"/>
      <c r="C364" s="68"/>
      <c r="D364" s="68"/>
      <c r="E364" s="68"/>
      <c r="F364" s="68"/>
      <c r="G364" s="68"/>
      <c r="H364" s="68"/>
      <c r="I364" s="68"/>
      <c r="J364" s="68"/>
      <c r="K364" s="68"/>
      <c r="L364" s="68"/>
      <c r="N364" s="75"/>
    </row>
    <row r="365" spans="1:14" ht="12.5" x14ac:dyDescent="0.25">
      <c r="A365" s="14"/>
      <c r="C365" s="68"/>
      <c r="D365" s="68"/>
      <c r="E365" s="68"/>
      <c r="F365" s="68"/>
      <c r="G365" s="68"/>
      <c r="H365" s="68"/>
      <c r="I365" s="68"/>
      <c r="J365" s="68"/>
      <c r="K365" s="68"/>
      <c r="L365" s="68"/>
      <c r="N365" s="75"/>
    </row>
    <row r="366" spans="1:14" ht="12.5" x14ac:dyDescent="0.25">
      <c r="A366" s="14"/>
      <c r="C366" s="68"/>
      <c r="D366" s="68"/>
      <c r="E366" s="68"/>
      <c r="F366" s="68"/>
      <c r="G366" s="68"/>
      <c r="H366" s="68"/>
      <c r="I366" s="68"/>
      <c r="J366" s="68"/>
      <c r="K366" s="68"/>
      <c r="L366" s="68"/>
      <c r="N366" s="75"/>
    </row>
    <row r="367" spans="1:14" ht="12.5" x14ac:dyDescent="0.25">
      <c r="A367" s="14"/>
      <c r="C367" s="68"/>
      <c r="D367" s="68"/>
      <c r="E367" s="68"/>
      <c r="F367" s="68"/>
      <c r="G367" s="68"/>
      <c r="H367" s="68"/>
      <c r="I367" s="68"/>
      <c r="J367" s="68"/>
      <c r="K367" s="68"/>
      <c r="L367" s="68"/>
      <c r="N367" s="75"/>
    </row>
    <row r="368" spans="1:14" ht="12.5" x14ac:dyDescent="0.25">
      <c r="A368" s="14"/>
      <c r="C368" s="68"/>
      <c r="D368" s="68"/>
      <c r="E368" s="68"/>
      <c r="F368" s="68"/>
      <c r="G368" s="68"/>
      <c r="H368" s="68"/>
      <c r="I368" s="68"/>
      <c r="J368" s="68"/>
      <c r="K368" s="68"/>
      <c r="L368" s="68"/>
      <c r="N368" s="75"/>
    </row>
    <row r="369" spans="1:14" ht="12.5" x14ac:dyDescent="0.25">
      <c r="A369" s="14"/>
      <c r="C369" s="68"/>
      <c r="D369" s="68"/>
      <c r="E369" s="68"/>
      <c r="F369" s="68"/>
      <c r="G369" s="68"/>
      <c r="H369" s="68"/>
      <c r="I369" s="68"/>
      <c r="J369" s="68"/>
      <c r="K369" s="68"/>
      <c r="L369" s="68"/>
      <c r="N369" s="75"/>
    </row>
    <row r="370" spans="1:14" ht="12.5" x14ac:dyDescent="0.25">
      <c r="A370" s="14"/>
      <c r="C370" s="68"/>
      <c r="D370" s="68"/>
      <c r="E370" s="68"/>
      <c r="F370" s="68"/>
      <c r="G370" s="68"/>
      <c r="H370" s="68"/>
      <c r="I370" s="68"/>
      <c r="J370" s="68"/>
      <c r="K370" s="68"/>
      <c r="L370" s="68"/>
      <c r="N370" s="75"/>
    </row>
    <row r="371" spans="1:14" ht="12.5" x14ac:dyDescent="0.25">
      <c r="A371" s="14"/>
      <c r="C371" s="68"/>
      <c r="D371" s="68"/>
      <c r="E371" s="68"/>
      <c r="F371" s="68"/>
      <c r="G371" s="68"/>
      <c r="H371" s="68"/>
      <c r="I371" s="68"/>
      <c r="J371" s="68"/>
      <c r="K371" s="68"/>
      <c r="L371" s="68"/>
      <c r="N371" s="75"/>
    </row>
    <row r="372" spans="1:14" ht="12.5" x14ac:dyDescent="0.25">
      <c r="A372" s="14"/>
      <c r="C372" s="68"/>
      <c r="D372" s="68"/>
      <c r="E372" s="68"/>
      <c r="F372" s="68"/>
      <c r="G372" s="68"/>
      <c r="H372" s="68"/>
      <c r="I372" s="68"/>
      <c r="J372" s="68"/>
      <c r="K372" s="68"/>
      <c r="L372" s="68"/>
      <c r="N372" s="75"/>
    </row>
    <row r="373" spans="1:14" ht="12.5" x14ac:dyDescent="0.25">
      <c r="A373" s="14"/>
      <c r="C373" s="68"/>
      <c r="D373" s="68"/>
      <c r="E373" s="68"/>
      <c r="F373" s="68"/>
      <c r="G373" s="68"/>
      <c r="H373" s="68"/>
      <c r="I373" s="68"/>
      <c r="J373" s="68"/>
      <c r="K373" s="68"/>
      <c r="L373" s="68"/>
      <c r="N373" s="75"/>
    </row>
    <row r="374" spans="1:14" ht="12.5" x14ac:dyDescent="0.25">
      <c r="A374" s="14"/>
      <c r="C374" s="68"/>
      <c r="D374" s="68"/>
      <c r="E374" s="68"/>
      <c r="F374" s="68"/>
      <c r="G374" s="68"/>
      <c r="H374" s="68"/>
      <c r="I374" s="68"/>
      <c r="J374" s="68"/>
      <c r="K374" s="68"/>
      <c r="L374" s="68"/>
      <c r="N374" s="75"/>
    </row>
    <row r="375" spans="1:14" ht="12.5" x14ac:dyDescent="0.25">
      <c r="A375" s="14"/>
      <c r="C375" s="68"/>
      <c r="D375" s="68"/>
      <c r="E375" s="68"/>
      <c r="F375" s="68"/>
      <c r="G375" s="68"/>
      <c r="H375" s="68"/>
      <c r="I375" s="68"/>
      <c r="J375" s="68"/>
      <c r="K375" s="68"/>
      <c r="L375" s="68"/>
      <c r="N375" s="75"/>
    </row>
    <row r="376" spans="1:14" ht="12.5" x14ac:dyDescent="0.25">
      <c r="A376" s="14"/>
      <c r="C376" s="68"/>
      <c r="D376" s="68"/>
      <c r="E376" s="68"/>
      <c r="F376" s="68"/>
      <c r="G376" s="68"/>
      <c r="H376" s="68"/>
      <c r="I376" s="68"/>
      <c r="J376" s="68"/>
      <c r="K376" s="68"/>
      <c r="L376" s="68"/>
      <c r="N376" s="75"/>
    </row>
    <row r="377" spans="1:14" ht="12.5" x14ac:dyDescent="0.25">
      <c r="A377" s="14"/>
      <c r="C377" s="68"/>
      <c r="D377" s="68"/>
      <c r="E377" s="68"/>
      <c r="F377" s="68"/>
      <c r="G377" s="68"/>
      <c r="H377" s="68"/>
      <c r="I377" s="68"/>
      <c r="J377" s="68"/>
      <c r="K377" s="68"/>
      <c r="L377" s="68"/>
      <c r="N377" s="75"/>
    </row>
    <row r="378" spans="1:14" ht="12.5" x14ac:dyDescent="0.25">
      <c r="A378" s="14"/>
      <c r="C378" s="68"/>
      <c r="D378" s="68"/>
      <c r="E378" s="68"/>
      <c r="F378" s="68"/>
      <c r="G378" s="68"/>
      <c r="H378" s="68"/>
      <c r="I378" s="68"/>
      <c r="J378" s="68"/>
      <c r="K378" s="68"/>
      <c r="L378" s="68"/>
      <c r="N378" s="75"/>
    </row>
    <row r="379" spans="1:14" ht="12.5" x14ac:dyDescent="0.25">
      <c r="A379" s="14"/>
      <c r="C379" s="68"/>
      <c r="D379" s="68"/>
      <c r="E379" s="68"/>
      <c r="F379" s="68"/>
      <c r="G379" s="68"/>
      <c r="H379" s="68"/>
      <c r="I379" s="68"/>
      <c r="J379" s="68"/>
      <c r="K379" s="68"/>
      <c r="L379" s="68"/>
      <c r="N379" s="75"/>
    </row>
    <row r="380" spans="1:14" ht="12.5" x14ac:dyDescent="0.25">
      <c r="A380" s="14"/>
      <c r="C380" s="68"/>
      <c r="D380" s="68"/>
      <c r="E380" s="68"/>
      <c r="F380" s="68"/>
      <c r="G380" s="68"/>
      <c r="H380" s="68"/>
      <c r="I380" s="68"/>
      <c r="J380" s="68"/>
      <c r="K380" s="68"/>
      <c r="L380" s="68"/>
      <c r="N380" s="75"/>
    </row>
    <row r="381" spans="1:14" ht="12.5" x14ac:dyDescent="0.25">
      <c r="A381" s="14"/>
      <c r="C381" s="68"/>
      <c r="D381" s="68"/>
      <c r="E381" s="68"/>
      <c r="F381" s="68"/>
      <c r="G381" s="68"/>
      <c r="H381" s="68"/>
      <c r="I381" s="68"/>
      <c r="J381" s="68"/>
      <c r="K381" s="68"/>
      <c r="L381" s="68"/>
      <c r="N381" s="75"/>
    </row>
    <row r="382" spans="1:14" ht="12.5" x14ac:dyDescent="0.25">
      <c r="A382" s="14"/>
      <c r="C382" s="68"/>
      <c r="D382" s="68"/>
      <c r="E382" s="68"/>
      <c r="F382" s="68"/>
      <c r="G382" s="68"/>
      <c r="H382" s="68"/>
      <c r="I382" s="68"/>
      <c r="J382" s="68"/>
      <c r="K382" s="68"/>
      <c r="L382" s="68"/>
      <c r="N382" s="75"/>
    </row>
    <row r="383" spans="1:14" ht="12.5" x14ac:dyDescent="0.25">
      <c r="A383" s="14"/>
      <c r="C383" s="68"/>
      <c r="D383" s="68"/>
      <c r="E383" s="68"/>
      <c r="F383" s="68"/>
      <c r="G383" s="68"/>
      <c r="H383" s="68"/>
      <c r="I383" s="68"/>
      <c r="J383" s="68"/>
      <c r="K383" s="68"/>
      <c r="L383" s="68"/>
      <c r="N383" s="75"/>
    </row>
    <row r="384" spans="1:14" ht="12.5" x14ac:dyDescent="0.25">
      <c r="A384" s="14"/>
      <c r="C384" s="68"/>
      <c r="D384" s="68"/>
      <c r="E384" s="68"/>
      <c r="F384" s="68"/>
      <c r="G384" s="68"/>
      <c r="H384" s="68"/>
      <c r="I384" s="68"/>
      <c r="J384" s="68"/>
      <c r="K384" s="68"/>
      <c r="L384" s="68"/>
      <c r="N384" s="75"/>
    </row>
    <row r="385" spans="1:14" ht="12.5" x14ac:dyDescent="0.25">
      <c r="A385" s="14"/>
      <c r="C385" s="68"/>
      <c r="D385" s="68"/>
      <c r="E385" s="68"/>
      <c r="F385" s="68"/>
      <c r="G385" s="68"/>
      <c r="H385" s="68"/>
      <c r="I385" s="68"/>
      <c r="J385" s="68"/>
      <c r="K385" s="68"/>
      <c r="L385" s="68"/>
      <c r="N385" s="75"/>
    </row>
    <row r="386" spans="1:14" ht="12.5" x14ac:dyDescent="0.25">
      <c r="A386" s="14"/>
      <c r="C386" s="68"/>
      <c r="D386" s="68"/>
      <c r="E386" s="68"/>
      <c r="F386" s="68"/>
      <c r="G386" s="68"/>
      <c r="H386" s="68"/>
      <c r="I386" s="68"/>
      <c r="J386" s="68"/>
      <c r="K386" s="68"/>
      <c r="L386" s="68"/>
      <c r="N386" s="75"/>
    </row>
    <row r="387" spans="1:14" ht="12.5" x14ac:dyDescent="0.25">
      <c r="A387" s="14"/>
      <c r="C387" s="68"/>
      <c r="D387" s="68"/>
      <c r="E387" s="68"/>
      <c r="F387" s="68"/>
      <c r="G387" s="68"/>
      <c r="H387" s="68"/>
      <c r="I387" s="68"/>
      <c r="J387" s="68"/>
      <c r="K387" s="68"/>
      <c r="L387" s="68"/>
      <c r="N387" s="75"/>
    </row>
    <row r="388" spans="1:14" ht="12.5" x14ac:dyDescent="0.25">
      <c r="A388" s="14"/>
      <c r="C388" s="68"/>
      <c r="D388" s="68"/>
      <c r="E388" s="68"/>
      <c r="F388" s="68"/>
      <c r="G388" s="68"/>
      <c r="H388" s="68"/>
      <c r="I388" s="68"/>
      <c r="J388" s="68"/>
      <c r="K388" s="68"/>
      <c r="L388" s="68"/>
      <c r="N388" s="75"/>
    </row>
    <row r="389" spans="1:14" ht="12.5" x14ac:dyDescent="0.25">
      <c r="A389" s="14"/>
      <c r="C389" s="68"/>
      <c r="D389" s="68"/>
      <c r="E389" s="68"/>
      <c r="F389" s="68"/>
      <c r="G389" s="68"/>
      <c r="H389" s="68"/>
      <c r="I389" s="68"/>
      <c r="J389" s="68"/>
      <c r="K389" s="68"/>
      <c r="L389" s="68"/>
      <c r="N389" s="75"/>
    </row>
    <row r="390" spans="1:14" ht="12.5" x14ac:dyDescent="0.25">
      <c r="A390" s="14"/>
      <c r="C390" s="68"/>
      <c r="D390" s="68"/>
      <c r="E390" s="68"/>
      <c r="F390" s="68"/>
      <c r="G390" s="68"/>
      <c r="H390" s="68"/>
      <c r="I390" s="68"/>
      <c r="J390" s="68"/>
      <c r="K390" s="68"/>
      <c r="L390" s="68"/>
      <c r="N390" s="75"/>
    </row>
    <row r="391" spans="1:14" ht="12.5" x14ac:dyDescent="0.25">
      <c r="A391" s="14"/>
      <c r="C391" s="68"/>
      <c r="D391" s="68"/>
      <c r="E391" s="68"/>
      <c r="F391" s="68"/>
      <c r="G391" s="68"/>
      <c r="H391" s="68"/>
      <c r="I391" s="68"/>
      <c r="J391" s="68"/>
      <c r="K391" s="68"/>
      <c r="L391" s="68"/>
      <c r="N391" s="75"/>
    </row>
    <row r="392" spans="1:14" ht="12.5" x14ac:dyDescent="0.25">
      <c r="A392" s="14"/>
      <c r="C392" s="68"/>
      <c r="D392" s="68"/>
      <c r="E392" s="68"/>
      <c r="F392" s="68"/>
      <c r="G392" s="68"/>
      <c r="H392" s="68"/>
      <c r="I392" s="68"/>
      <c r="J392" s="68"/>
      <c r="K392" s="68"/>
      <c r="L392" s="68"/>
      <c r="N392" s="75"/>
    </row>
    <row r="393" spans="1:14" ht="12.5" x14ac:dyDescent="0.25">
      <c r="A393" s="14"/>
      <c r="C393" s="68"/>
      <c r="D393" s="68"/>
      <c r="E393" s="68"/>
      <c r="F393" s="68"/>
      <c r="G393" s="68"/>
      <c r="H393" s="68"/>
      <c r="I393" s="68"/>
      <c r="J393" s="68"/>
      <c r="K393" s="68"/>
      <c r="L393" s="68"/>
      <c r="N393" s="75"/>
    </row>
    <row r="394" spans="1:14" ht="12.5" x14ac:dyDescent="0.25">
      <c r="A394" s="14"/>
      <c r="C394" s="68"/>
      <c r="D394" s="68"/>
      <c r="E394" s="68"/>
      <c r="F394" s="68"/>
      <c r="G394" s="68"/>
      <c r="H394" s="68"/>
      <c r="I394" s="68"/>
      <c r="J394" s="68"/>
      <c r="K394" s="68"/>
      <c r="L394" s="68"/>
      <c r="N394" s="75"/>
    </row>
    <row r="395" spans="1:14" ht="12.5" x14ac:dyDescent="0.25">
      <c r="A395" s="14"/>
      <c r="C395" s="68"/>
      <c r="D395" s="68"/>
      <c r="E395" s="68"/>
      <c r="F395" s="68"/>
      <c r="G395" s="68"/>
      <c r="H395" s="68"/>
      <c r="I395" s="68"/>
      <c r="J395" s="68"/>
      <c r="K395" s="68"/>
      <c r="L395" s="68"/>
      <c r="N395" s="75"/>
    </row>
    <row r="396" spans="1:14" ht="12.5" x14ac:dyDescent="0.25">
      <c r="A396" s="14"/>
      <c r="C396" s="68"/>
      <c r="D396" s="68"/>
      <c r="E396" s="68"/>
      <c r="F396" s="68"/>
      <c r="G396" s="68"/>
      <c r="H396" s="68"/>
      <c r="I396" s="68"/>
      <c r="J396" s="68"/>
      <c r="K396" s="68"/>
      <c r="L396" s="68"/>
      <c r="N396" s="75"/>
    </row>
    <row r="397" spans="1:14" ht="12.5" x14ac:dyDescent="0.25">
      <c r="A397" s="14"/>
      <c r="C397" s="68"/>
      <c r="D397" s="68"/>
      <c r="E397" s="68"/>
      <c r="F397" s="68"/>
      <c r="G397" s="68"/>
      <c r="H397" s="68"/>
      <c r="I397" s="68"/>
      <c r="J397" s="68"/>
      <c r="K397" s="68"/>
      <c r="L397" s="68"/>
      <c r="N397" s="75"/>
    </row>
    <row r="398" spans="1:14" ht="12.5" x14ac:dyDescent="0.25">
      <c r="A398" s="14"/>
      <c r="C398" s="68"/>
      <c r="D398" s="68"/>
      <c r="E398" s="68"/>
      <c r="F398" s="68"/>
      <c r="G398" s="68"/>
      <c r="H398" s="68"/>
      <c r="I398" s="68"/>
      <c r="J398" s="68"/>
      <c r="K398" s="68"/>
      <c r="L398" s="68"/>
      <c r="N398" s="75"/>
    </row>
    <row r="399" spans="1:14" ht="12.5" x14ac:dyDescent="0.25">
      <c r="A399" s="14"/>
      <c r="C399" s="68"/>
      <c r="D399" s="68"/>
      <c r="E399" s="68"/>
      <c r="F399" s="68"/>
      <c r="G399" s="68"/>
      <c r="H399" s="68"/>
      <c r="I399" s="68"/>
      <c r="J399" s="68"/>
      <c r="K399" s="68"/>
      <c r="L399" s="68"/>
      <c r="N399" s="75"/>
    </row>
    <row r="400" spans="1:14" ht="12.5" x14ac:dyDescent="0.25">
      <c r="A400" s="14"/>
      <c r="C400" s="68"/>
      <c r="D400" s="68"/>
      <c r="E400" s="68"/>
      <c r="F400" s="68"/>
      <c r="G400" s="68"/>
      <c r="H400" s="68"/>
      <c r="I400" s="68"/>
      <c r="J400" s="68"/>
      <c r="K400" s="68"/>
      <c r="L400" s="68"/>
      <c r="N400" s="75"/>
    </row>
    <row r="401" spans="1:14" ht="12.5" x14ac:dyDescent="0.25">
      <c r="A401" s="14"/>
      <c r="C401" s="68"/>
      <c r="D401" s="68"/>
      <c r="E401" s="68"/>
      <c r="F401" s="68"/>
      <c r="G401" s="68"/>
      <c r="H401" s="68"/>
      <c r="I401" s="68"/>
      <c r="J401" s="68"/>
      <c r="K401" s="68"/>
      <c r="L401" s="68"/>
      <c r="N401" s="75"/>
    </row>
    <row r="402" spans="1:14" ht="12.5" x14ac:dyDescent="0.25">
      <c r="A402" s="14"/>
      <c r="C402" s="68"/>
      <c r="D402" s="68"/>
      <c r="E402" s="68"/>
      <c r="F402" s="68"/>
      <c r="G402" s="68"/>
      <c r="H402" s="68"/>
      <c r="I402" s="68"/>
      <c r="J402" s="68"/>
      <c r="K402" s="68"/>
      <c r="L402" s="68"/>
      <c r="N402" s="75"/>
    </row>
    <row r="403" spans="1:14" ht="12.5" x14ac:dyDescent="0.25">
      <c r="A403" s="14"/>
      <c r="C403" s="68"/>
      <c r="D403" s="68"/>
      <c r="E403" s="68"/>
      <c r="F403" s="68"/>
      <c r="G403" s="68"/>
      <c r="H403" s="68"/>
      <c r="I403" s="68"/>
      <c r="J403" s="68"/>
      <c r="K403" s="68"/>
      <c r="L403" s="68"/>
      <c r="N403" s="75"/>
    </row>
    <row r="404" spans="1:14" ht="12.5" x14ac:dyDescent="0.25">
      <c r="A404" s="14"/>
      <c r="C404" s="68"/>
      <c r="D404" s="68"/>
      <c r="E404" s="68"/>
      <c r="F404" s="68"/>
      <c r="G404" s="68"/>
      <c r="H404" s="68"/>
      <c r="I404" s="68"/>
      <c r="J404" s="68"/>
      <c r="K404" s="68"/>
      <c r="L404" s="68"/>
      <c r="N404" s="75"/>
    </row>
    <row r="405" spans="1:14" ht="12.5" x14ac:dyDescent="0.25">
      <c r="A405" s="14"/>
      <c r="C405" s="68"/>
      <c r="D405" s="68"/>
      <c r="E405" s="68"/>
      <c r="F405" s="68"/>
      <c r="G405" s="68"/>
      <c r="H405" s="68"/>
      <c r="I405" s="68"/>
      <c r="J405" s="68"/>
      <c r="K405" s="68"/>
      <c r="L405" s="68"/>
      <c r="N405" s="75"/>
    </row>
    <row r="406" spans="1:14" ht="12.5" x14ac:dyDescent="0.25">
      <c r="A406" s="14"/>
      <c r="C406" s="68"/>
      <c r="D406" s="68"/>
      <c r="E406" s="68"/>
      <c r="F406" s="68"/>
      <c r="G406" s="68"/>
      <c r="H406" s="68"/>
      <c r="I406" s="68"/>
      <c r="J406" s="68"/>
      <c r="K406" s="68"/>
      <c r="L406" s="68"/>
      <c r="N406" s="75"/>
    </row>
    <row r="407" spans="1:14" ht="12.5" x14ac:dyDescent="0.25">
      <c r="A407" s="14"/>
      <c r="C407" s="68"/>
      <c r="D407" s="68"/>
      <c r="E407" s="68"/>
      <c r="F407" s="68"/>
      <c r="G407" s="68"/>
      <c r="H407" s="68"/>
      <c r="I407" s="68"/>
      <c r="J407" s="68"/>
      <c r="K407" s="68"/>
      <c r="L407" s="68"/>
      <c r="N407" s="75"/>
    </row>
    <row r="408" spans="1:14" ht="12.5" x14ac:dyDescent="0.25">
      <c r="A408" s="14"/>
      <c r="C408" s="68"/>
      <c r="D408" s="68"/>
      <c r="E408" s="68"/>
      <c r="F408" s="68"/>
      <c r="G408" s="68"/>
      <c r="H408" s="68"/>
      <c r="I408" s="68"/>
      <c r="J408" s="68"/>
      <c r="K408" s="68"/>
      <c r="L408" s="68"/>
      <c r="N408" s="75"/>
    </row>
    <row r="409" spans="1:14" ht="12.5" x14ac:dyDescent="0.25">
      <c r="A409" s="14"/>
      <c r="C409" s="68"/>
      <c r="D409" s="68"/>
      <c r="E409" s="68"/>
      <c r="F409" s="68"/>
      <c r="G409" s="68"/>
      <c r="H409" s="68"/>
      <c r="I409" s="68"/>
      <c r="J409" s="68"/>
      <c r="K409" s="68"/>
      <c r="L409" s="68"/>
      <c r="N409" s="75"/>
    </row>
    <row r="410" spans="1:14" ht="12.5" x14ac:dyDescent="0.25">
      <c r="A410" s="14"/>
      <c r="C410" s="68"/>
      <c r="D410" s="68"/>
      <c r="E410" s="68"/>
      <c r="F410" s="68"/>
      <c r="G410" s="68"/>
      <c r="H410" s="68"/>
      <c r="I410" s="68"/>
      <c r="J410" s="68"/>
      <c r="K410" s="68"/>
      <c r="L410" s="68"/>
      <c r="N410" s="75"/>
    </row>
    <row r="411" spans="1:14" ht="12.5" x14ac:dyDescent="0.25">
      <c r="A411" s="14"/>
      <c r="C411" s="68"/>
      <c r="D411" s="68"/>
      <c r="E411" s="68"/>
      <c r="F411" s="68"/>
      <c r="G411" s="68"/>
      <c r="H411" s="68"/>
      <c r="I411" s="68"/>
      <c r="J411" s="68"/>
      <c r="K411" s="68"/>
      <c r="L411" s="68"/>
      <c r="N411" s="75"/>
    </row>
    <row r="412" spans="1:14" ht="12.5" x14ac:dyDescent="0.25">
      <c r="A412" s="14"/>
      <c r="C412" s="68"/>
      <c r="D412" s="68"/>
      <c r="E412" s="68"/>
      <c r="F412" s="68"/>
      <c r="G412" s="68"/>
      <c r="H412" s="68"/>
      <c r="I412" s="68"/>
      <c r="J412" s="68"/>
      <c r="K412" s="68"/>
      <c r="L412" s="68"/>
      <c r="N412" s="75"/>
    </row>
    <row r="413" spans="1:14" ht="12.5" x14ac:dyDescent="0.25">
      <c r="A413" s="14"/>
      <c r="C413" s="68"/>
      <c r="D413" s="68"/>
      <c r="E413" s="68"/>
      <c r="F413" s="68"/>
      <c r="G413" s="68"/>
      <c r="H413" s="68"/>
      <c r="I413" s="68"/>
      <c r="J413" s="68"/>
      <c r="K413" s="68"/>
      <c r="L413" s="68"/>
      <c r="N413" s="75"/>
    </row>
    <row r="414" spans="1:14" ht="12.5" x14ac:dyDescent="0.25">
      <c r="A414" s="14"/>
      <c r="C414" s="68"/>
      <c r="D414" s="68"/>
      <c r="E414" s="68"/>
      <c r="F414" s="68"/>
      <c r="G414" s="68"/>
      <c r="H414" s="68"/>
      <c r="I414" s="68"/>
      <c r="J414" s="68"/>
      <c r="K414" s="68"/>
      <c r="L414" s="68"/>
      <c r="N414" s="75"/>
    </row>
    <row r="415" spans="1:14" ht="12.5" x14ac:dyDescent="0.25">
      <c r="A415" s="14"/>
      <c r="C415" s="68"/>
      <c r="D415" s="68"/>
      <c r="E415" s="68"/>
      <c r="F415" s="68"/>
      <c r="G415" s="68"/>
      <c r="H415" s="68"/>
      <c r="I415" s="68"/>
      <c r="J415" s="68"/>
      <c r="K415" s="68"/>
      <c r="L415" s="68"/>
      <c r="N415" s="75"/>
    </row>
    <row r="416" spans="1:14" ht="12.5" x14ac:dyDescent="0.25">
      <c r="A416" s="14"/>
      <c r="C416" s="68"/>
      <c r="D416" s="68"/>
      <c r="E416" s="68"/>
      <c r="F416" s="68"/>
      <c r="G416" s="68"/>
      <c r="H416" s="68"/>
      <c r="I416" s="68"/>
      <c r="J416" s="68"/>
      <c r="K416" s="68"/>
      <c r="L416" s="68"/>
      <c r="N416" s="75"/>
    </row>
    <row r="417" spans="1:14" ht="12.5" x14ac:dyDescent="0.25">
      <c r="A417" s="14"/>
      <c r="C417" s="68"/>
      <c r="D417" s="68"/>
      <c r="E417" s="68"/>
      <c r="F417" s="68"/>
      <c r="G417" s="68"/>
      <c r="H417" s="68"/>
      <c r="I417" s="68"/>
      <c r="J417" s="68"/>
      <c r="K417" s="68"/>
      <c r="L417" s="68"/>
      <c r="N417" s="75"/>
    </row>
    <row r="418" spans="1:14" ht="12.5" x14ac:dyDescent="0.25">
      <c r="A418" s="14"/>
      <c r="C418" s="68"/>
      <c r="D418" s="68"/>
      <c r="E418" s="68"/>
      <c r="F418" s="68"/>
      <c r="G418" s="68"/>
      <c r="H418" s="68"/>
      <c r="I418" s="68"/>
      <c r="J418" s="68"/>
      <c r="K418" s="68"/>
      <c r="L418" s="68"/>
      <c r="N418" s="75"/>
    </row>
    <row r="419" spans="1:14" ht="12.5" x14ac:dyDescent="0.25">
      <c r="A419" s="14"/>
      <c r="C419" s="68"/>
      <c r="D419" s="68"/>
      <c r="E419" s="68"/>
      <c r="F419" s="68"/>
      <c r="G419" s="68"/>
      <c r="H419" s="68"/>
      <c r="I419" s="68"/>
      <c r="J419" s="68"/>
      <c r="K419" s="68"/>
      <c r="L419" s="68"/>
      <c r="N419" s="75"/>
    </row>
    <row r="420" spans="1:14" ht="12.5" x14ac:dyDescent="0.25">
      <c r="A420" s="14"/>
      <c r="C420" s="68"/>
      <c r="D420" s="68"/>
      <c r="E420" s="68"/>
      <c r="F420" s="68"/>
      <c r="G420" s="68"/>
      <c r="H420" s="68"/>
      <c r="I420" s="68"/>
      <c r="J420" s="68"/>
      <c r="K420" s="68"/>
      <c r="L420" s="68"/>
      <c r="N420" s="75"/>
    </row>
    <row r="421" spans="1:14" ht="12.5" x14ac:dyDescent="0.25">
      <c r="A421" s="14"/>
      <c r="C421" s="68"/>
      <c r="D421" s="68"/>
      <c r="E421" s="68"/>
      <c r="F421" s="68"/>
      <c r="G421" s="68"/>
      <c r="H421" s="68"/>
      <c r="I421" s="68"/>
      <c r="J421" s="68"/>
      <c r="K421" s="68"/>
      <c r="L421" s="68"/>
      <c r="N421" s="75"/>
    </row>
    <row r="422" spans="1:14" ht="12.5" x14ac:dyDescent="0.25">
      <c r="A422" s="14"/>
      <c r="C422" s="68"/>
      <c r="D422" s="68"/>
      <c r="E422" s="68"/>
      <c r="F422" s="68"/>
      <c r="G422" s="68"/>
      <c r="H422" s="68"/>
      <c r="I422" s="68"/>
      <c r="J422" s="68"/>
      <c r="K422" s="68"/>
      <c r="L422" s="68"/>
      <c r="N422" s="75"/>
    </row>
    <row r="423" spans="1:14" ht="12.5" x14ac:dyDescent="0.25">
      <c r="A423" s="14"/>
      <c r="C423" s="68"/>
      <c r="D423" s="68"/>
      <c r="E423" s="68"/>
      <c r="F423" s="68"/>
      <c r="G423" s="68"/>
      <c r="H423" s="68"/>
      <c r="I423" s="68"/>
      <c r="J423" s="68"/>
      <c r="K423" s="68"/>
      <c r="L423" s="68"/>
      <c r="N423" s="75"/>
    </row>
    <row r="424" spans="1:14" ht="12.5" x14ac:dyDescent="0.25">
      <c r="A424" s="14"/>
      <c r="C424" s="68"/>
      <c r="D424" s="68"/>
      <c r="E424" s="68"/>
      <c r="F424" s="68"/>
      <c r="G424" s="68"/>
      <c r="H424" s="68"/>
      <c r="I424" s="68"/>
      <c r="J424" s="68"/>
      <c r="K424" s="68"/>
      <c r="L424" s="68"/>
      <c r="N424" s="75"/>
    </row>
    <row r="425" spans="1:14" ht="12.5" x14ac:dyDescent="0.25">
      <c r="A425" s="14"/>
      <c r="C425" s="68"/>
      <c r="D425" s="68"/>
      <c r="E425" s="68"/>
      <c r="F425" s="68"/>
      <c r="G425" s="68"/>
      <c r="H425" s="68"/>
      <c r="I425" s="68"/>
      <c r="J425" s="68"/>
      <c r="K425" s="68"/>
      <c r="L425" s="68"/>
      <c r="N425" s="75"/>
    </row>
    <row r="426" spans="1:14" ht="12.5" x14ac:dyDescent="0.25">
      <c r="A426" s="14"/>
      <c r="C426" s="68"/>
      <c r="D426" s="68"/>
      <c r="E426" s="68"/>
      <c r="F426" s="68"/>
      <c r="G426" s="68"/>
      <c r="H426" s="68"/>
      <c r="I426" s="68"/>
      <c r="J426" s="68"/>
      <c r="K426" s="68"/>
      <c r="L426" s="68"/>
      <c r="N426" s="75"/>
    </row>
    <row r="427" spans="1:14" ht="12.5" x14ac:dyDescent="0.25">
      <c r="A427" s="14"/>
      <c r="C427" s="68"/>
      <c r="D427" s="68"/>
      <c r="E427" s="68"/>
      <c r="F427" s="68"/>
      <c r="G427" s="68"/>
      <c r="H427" s="68"/>
      <c r="I427" s="68"/>
      <c r="J427" s="68"/>
      <c r="K427" s="68"/>
      <c r="L427" s="68"/>
      <c r="N427" s="75"/>
    </row>
    <row r="428" spans="1:14" ht="12.5" x14ac:dyDescent="0.25">
      <c r="A428" s="14"/>
      <c r="C428" s="68"/>
      <c r="D428" s="68"/>
      <c r="E428" s="68"/>
      <c r="F428" s="68"/>
      <c r="G428" s="68"/>
      <c r="H428" s="68"/>
      <c r="I428" s="68"/>
      <c r="J428" s="68"/>
      <c r="K428" s="68"/>
      <c r="L428" s="68"/>
      <c r="N428" s="75"/>
    </row>
    <row r="429" spans="1:14" ht="12.5" x14ac:dyDescent="0.25">
      <c r="A429" s="14"/>
      <c r="C429" s="68"/>
      <c r="D429" s="68"/>
      <c r="E429" s="68"/>
      <c r="F429" s="68"/>
      <c r="G429" s="68"/>
      <c r="H429" s="68"/>
      <c r="I429" s="68"/>
      <c r="J429" s="68"/>
      <c r="K429" s="68"/>
      <c r="L429" s="68"/>
      <c r="N429" s="75"/>
    </row>
    <row r="430" spans="1:14" ht="12.5" x14ac:dyDescent="0.25">
      <c r="A430" s="14"/>
      <c r="C430" s="68"/>
      <c r="D430" s="68"/>
      <c r="E430" s="68"/>
      <c r="F430" s="68"/>
      <c r="G430" s="68"/>
      <c r="H430" s="68"/>
      <c r="I430" s="68"/>
      <c r="J430" s="68"/>
      <c r="K430" s="68"/>
      <c r="L430" s="68"/>
      <c r="N430" s="75"/>
    </row>
    <row r="431" spans="1:14" ht="12.5" x14ac:dyDescent="0.25">
      <c r="A431" s="14"/>
      <c r="C431" s="68"/>
      <c r="D431" s="68"/>
      <c r="E431" s="68"/>
      <c r="F431" s="68"/>
      <c r="G431" s="68"/>
      <c r="H431" s="68"/>
      <c r="I431" s="68"/>
      <c r="J431" s="68"/>
      <c r="K431" s="68"/>
      <c r="L431" s="68"/>
      <c r="N431" s="75"/>
    </row>
    <row r="432" spans="1:14" ht="12.5" x14ac:dyDescent="0.25">
      <c r="A432" s="14"/>
      <c r="C432" s="68"/>
      <c r="D432" s="68"/>
      <c r="E432" s="68"/>
      <c r="F432" s="68"/>
      <c r="G432" s="68"/>
      <c r="H432" s="68"/>
      <c r="I432" s="68"/>
      <c r="J432" s="68"/>
      <c r="K432" s="68"/>
      <c r="L432" s="68"/>
      <c r="N432" s="75"/>
    </row>
    <row r="433" spans="1:14" ht="12.5" x14ac:dyDescent="0.25">
      <c r="A433" s="14"/>
      <c r="C433" s="68"/>
      <c r="D433" s="68"/>
      <c r="E433" s="68"/>
      <c r="F433" s="68"/>
      <c r="G433" s="68"/>
      <c r="H433" s="68"/>
      <c r="I433" s="68"/>
      <c r="J433" s="68"/>
      <c r="K433" s="68"/>
      <c r="L433" s="68"/>
      <c r="N433" s="75"/>
    </row>
    <row r="434" spans="1:14" ht="12.5" x14ac:dyDescent="0.25">
      <c r="A434" s="14"/>
      <c r="C434" s="68"/>
      <c r="D434" s="68"/>
      <c r="E434" s="68"/>
      <c r="F434" s="68"/>
      <c r="G434" s="68"/>
      <c r="H434" s="68"/>
      <c r="I434" s="68"/>
      <c r="J434" s="68"/>
      <c r="K434" s="68"/>
      <c r="L434" s="68"/>
      <c r="N434" s="75"/>
    </row>
    <row r="435" spans="1:14" ht="12.5" x14ac:dyDescent="0.25">
      <c r="A435" s="14"/>
      <c r="C435" s="68"/>
      <c r="D435" s="68"/>
      <c r="E435" s="68"/>
      <c r="F435" s="68"/>
      <c r="G435" s="68"/>
      <c r="H435" s="68"/>
      <c r="I435" s="68"/>
      <c r="J435" s="68"/>
      <c r="K435" s="68"/>
      <c r="L435" s="68"/>
      <c r="N435" s="75"/>
    </row>
    <row r="436" spans="1:14" ht="12.5" x14ac:dyDescent="0.25">
      <c r="A436" s="14"/>
      <c r="C436" s="68"/>
      <c r="D436" s="68"/>
      <c r="E436" s="68"/>
      <c r="F436" s="68"/>
      <c r="G436" s="68"/>
      <c r="H436" s="68"/>
      <c r="I436" s="68"/>
      <c r="J436" s="68"/>
      <c r="K436" s="68"/>
      <c r="L436" s="68"/>
      <c r="N436" s="75"/>
    </row>
    <row r="437" spans="1:14" ht="12.5" x14ac:dyDescent="0.25">
      <c r="A437" s="14"/>
      <c r="C437" s="68"/>
      <c r="D437" s="68"/>
      <c r="E437" s="68"/>
      <c r="F437" s="68"/>
      <c r="G437" s="68"/>
      <c r="H437" s="68"/>
      <c r="I437" s="68"/>
      <c r="J437" s="68"/>
      <c r="K437" s="68"/>
      <c r="L437" s="68"/>
      <c r="N437" s="75"/>
    </row>
    <row r="438" spans="1:14" ht="12.5" x14ac:dyDescent="0.25">
      <c r="A438" s="14"/>
      <c r="C438" s="68"/>
      <c r="D438" s="68"/>
      <c r="E438" s="68"/>
      <c r="F438" s="68"/>
      <c r="G438" s="68"/>
      <c r="H438" s="68"/>
      <c r="I438" s="68"/>
      <c r="J438" s="68"/>
      <c r="K438" s="68"/>
      <c r="L438" s="68"/>
      <c r="N438" s="75"/>
    </row>
    <row r="439" spans="1:14" ht="12.5" x14ac:dyDescent="0.25">
      <c r="A439" s="14"/>
      <c r="C439" s="68"/>
      <c r="D439" s="68"/>
      <c r="E439" s="68"/>
      <c r="F439" s="68"/>
      <c r="G439" s="68"/>
      <c r="H439" s="68"/>
      <c r="I439" s="68"/>
      <c r="J439" s="68"/>
      <c r="K439" s="68"/>
      <c r="L439" s="68"/>
      <c r="N439" s="75"/>
    </row>
    <row r="440" spans="1:14" ht="12.5" x14ac:dyDescent="0.25">
      <c r="A440" s="14"/>
      <c r="C440" s="68"/>
      <c r="D440" s="68"/>
      <c r="E440" s="68"/>
      <c r="F440" s="68"/>
      <c r="G440" s="68"/>
      <c r="H440" s="68"/>
      <c r="I440" s="68"/>
      <c r="J440" s="68"/>
      <c r="K440" s="68"/>
      <c r="L440" s="68"/>
      <c r="N440" s="75"/>
    </row>
    <row r="441" spans="1:14" ht="12.5" x14ac:dyDescent="0.25">
      <c r="A441" s="14"/>
      <c r="C441" s="68"/>
      <c r="D441" s="68"/>
      <c r="E441" s="68"/>
      <c r="F441" s="68"/>
      <c r="G441" s="68"/>
      <c r="H441" s="68"/>
      <c r="I441" s="68"/>
      <c r="J441" s="68"/>
      <c r="K441" s="68"/>
      <c r="L441" s="68"/>
      <c r="N441" s="75"/>
    </row>
    <row r="442" spans="1:14" ht="12.5" x14ac:dyDescent="0.25">
      <c r="A442" s="14"/>
      <c r="C442" s="68"/>
      <c r="D442" s="68"/>
      <c r="E442" s="68"/>
      <c r="F442" s="68"/>
      <c r="G442" s="68"/>
      <c r="H442" s="68"/>
      <c r="I442" s="68"/>
      <c r="J442" s="68"/>
      <c r="K442" s="68"/>
      <c r="L442" s="68"/>
      <c r="N442" s="75"/>
    </row>
    <row r="443" spans="1:14" ht="12.5" x14ac:dyDescent="0.25">
      <c r="A443" s="14"/>
      <c r="C443" s="68"/>
      <c r="D443" s="68"/>
      <c r="E443" s="68"/>
      <c r="F443" s="68"/>
      <c r="G443" s="68"/>
      <c r="H443" s="68"/>
      <c r="I443" s="68"/>
      <c r="J443" s="68"/>
      <c r="K443" s="68"/>
      <c r="L443" s="68"/>
      <c r="N443" s="75"/>
    </row>
    <row r="444" spans="1:14" ht="12.5" x14ac:dyDescent="0.25">
      <c r="A444" s="14"/>
      <c r="C444" s="68"/>
      <c r="D444" s="68"/>
      <c r="E444" s="68"/>
      <c r="F444" s="68"/>
      <c r="G444" s="68"/>
      <c r="H444" s="68"/>
      <c r="I444" s="68"/>
      <c r="J444" s="68"/>
      <c r="K444" s="68"/>
      <c r="L444" s="68"/>
      <c r="N444" s="75"/>
    </row>
    <row r="445" spans="1:14" ht="12.5" x14ac:dyDescent="0.25">
      <c r="A445" s="14"/>
      <c r="C445" s="68"/>
      <c r="D445" s="68"/>
      <c r="E445" s="68"/>
      <c r="F445" s="68"/>
      <c r="G445" s="68"/>
      <c r="H445" s="68"/>
      <c r="I445" s="68"/>
      <c r="J445" s="68"/>
      <c r="K445" s="68"/>
      <c r="L445" s="68"/>
      <c r="N445" s="75"/>
    </row>
    <row r="446" spans="1:14" ht="12.5" x14ac:dyDescent="0.25">
      <c r="A446" s="14"/>
      <c r="C446" s="68"/>
      <c r="D446" s="68"/>
      <c r="E446" s="68"/>
      <c r="F446" s="68"/>
      <c r="G446" s="68"/>
      <c r="H446" s="68"/>
      <c r="I446" s="68"/>
      <c r="J446" s="68"/>
      <c r="K446" s="68"/>
      <c r="L446" s="68"/>
      <c r="N446" s="75"/>
    </row>
    <row r="447" spans="1:14" ht="12.5" x14ac:dyDescent="0.25">
      <c r="A447" s="14"/>
      <c r="C447" s="68"/>
      <c r="D447" s="68"/>
      <c r="E447" s="68"/>
      <c r="F447" s="68"/>
      <c r="G447" s="68"/>
      <c r="H447" s="68"/>
      <c r="I447" s="68"/>
      <c r="J447" s="68"/>
      <c r="K447" s="68"/>
      <c r="L447" s="68"/>
      <c r="N447" s="75"/>
    </row>
    <row r="448" spans="1:14" ht="12.5" x14ac:dyDescent="0.25">
      <c r="A448" s="14"/>
      <c r="C448" s="68"/>
      <c r="D448" s="68"/>
      <c r="E448" s="68"/>
      <c r="F448" s="68"/>
      <c r="G448" s="68"/>
      <c r="H448" s="68"/>
      <c r="I448" s="68"/>
      <c r="J448" s="68"/>
      <c r="K448" s="68"/>
      <c r="L448" s="68"/>
      <c r="N448" s="75"/>
    </row>
    <row r="449" spans="1:14" ht="12.5" x14ac:dyDescent="0.25">
      <c r="A449" s="14"/>
      <c r="C449" s="68"/>
      <c r="D449" s="68"/>
      <c r="E449" s="68"/>
      <c r="F449" s="68"/>
      <c r="G449" s="68"/>
      <c r="H449" s="68"/>
      <c r="I449" s="68"/>
      <c r="J449" s="68"/>
      <c r="K449" s="68"/>
      <c r="L449" s="68"/>
      <c r="N449" s="75"/>
    </row>
    <row r="450" spans="1:14" ht="12.5" x14ac:dyDescent="0.25">
      <c r="A450" s="14"/>
      <c r="C450" s="68"/>
      <c r="D450" s="68"/>
      <c r="E450" s="68"/>
      <c r="F450" s="68"/>
      <c r="G450" s="68"/>
      <c r="H450" s="68"/>
      <c r="I450" s="68"/>
      <c r="J450" s="68"/>
      <c r="K450" s="68"/>
      <c r="L450" s="68"/>
      <c r="N450" s="75"/>
    </row>
    <row r="451" spans="1:14" ht="12.5" x14ac:dyDescent="0.25">
      <c r="A451" s="14"/>
      <c r="C451" s="68"/>
      <c r="D451" s="68"/>
      <c r="E451" s="68"/>
      <c r="F451" s="68"/>
      <c r="G451" s="68"/>
      <c r="H451" s="68"/>
      <c r="I451" s="68"/>
      <c r="J451" s="68"/>
      <c r="K451" s="68"/>
      <c r="L451" s="68"/>
      <c r="N451" s="75"/>
    </row>
    <row r="452" spans="1:14" ht="12.5" x14ac:dyDescent="0.25">
      <c r="A452" s="14"/>
      <c r="C452" s="68"/>
      <c r="D452" s="68"/>
      <c r="E452" s="68"/>
      <c r="F452" s="68"/>
      <c r="G452" s="68"/>
      <c r="H452" s="68"/>
      <c r="I452" s="68"/>
      <c r="J452" s="68"/>
      <c r="K452" s="68"/>
      <c r="L452" s="68"/>
      <c r="N452" s="75"/>
    </row>
    <row r="453" spans="1:14" ht="12.5" x14ac:dyDescent="0.25">
      <c r="A453" s="14"/>
      <c r="C453" s="68"/>
      <c r="D453" s="68"/>
      <c r="E453" s="68"/>
      <c r="F453" s="68"/>
      <c r="G453" s="68"/>
      <c r="H453" s="68"/>
      <c r="I453" s="68"/>
      <c r="J453" s="68"/>
      <c r="K453" s="68"/>
      <c r="L453" s="68"/>
      <c r="N453" s="75"/>
    </row>
    <row r="454" spans="1:14" ht="12.5" x14ac:dyDescent="0.25">
      <c r="A454" s="14"/>
      <c r="C454" s="68"/>
      <c r="D454" s="68"/>
      <c r="E454" s="68"/>
      <c r="F454" s="68"/>
      <c r="G454" s="68"/>
      <c r="H454" s="68"/>
      <c r="I454" s="68"/>
      <c r="J454" s="68"/>
      <c r="K454" s="68"/>
      <c r="L454" s="68"/>
      <c r="N454" s="75"/>
    </row>
    <row r="455" spans="1:14" ht="12.5" x14ac:dyDescent="0.25">
      <c r="A455" s="14"/>
      <c r="C455" s="68"/>
      <c r="D455" s="68"/>
      <c r="E455" s="68"/>
      <c r="F455" s="68"/>
      <c r="G455" s="68"/>
      <c r="H455" s="68"/>
      <c r="I455" s="68"/>
      <c r="J455" s="68"/>
      <c r="K455" s="68"/>
      <c r="L455" s="68"/>
      <c r="N455" s="75"/>
    </row>
    <row r="456" spans="1:14" ht="12.5" x14ac:dyDescent="0.25">
      <c r="A456" s="14"/>
      <c r="C456" s="68"/>
      <c r="D456" s="68"/>
      <c r="E456" s="68"/>
      <c r="F456" s="68"/>
      <c r="G456" s="68"/>
      <c r="H456" s="68"/>
      <c r="I456" s="68"/>
      <c r="J456" s="68"/>
      <c r="K456" s="68"/>
      <c r="L456" s="68"/>
      <c r="N456" s="75"/>
    </row>
    <row r="457" spans="1:14" ht="12.5" x14ac:dyDescent="0.25">
      <c r="A457" s="14"/>
      <c r="C457" s="68"/>
      <c r="D457" s="68"/>
      <c r="E457" s="68"/>
      <c r="F457" s="68"/>
      <c r="G457" s="68"/>
      <c r="H457" s="68"/>
      <c r="I457" s="68"/>
      <c r="J457" s="68"/>
      <c r="K457" s="68"/>
      <c r="L457" s="68"/>
      <c r="N457" s="75"/>
    </row>
    <row r="458" spans="1:14" ht="12.5" x14ac:dyDescent="0.25">
      <c r="A458" s="14"/>
      <c r="C458" s="68"/>
      <c r="D458" s="68"/>
      <c r="E458" s="68"/>
      <c r="F458" s="68"/>
      <c r="G458" s="68"/>
      <c r="H458" s="68"/>
      <c r="I458" s="68"/>
      <c r="J458" s="68"/>
      <c r="K458" s="68"/>
      <c r="L458" s="68"/>
      <c r="N458" s="75"/>
    </row>
    <row r="459" spans="1:14" ht="12.5" x14ac:dyDescent="0.25">
      <c r="A459" s="14"/>
      <c r="C459" s="68"/>
      <c r="D459" s="68"/>
      <c r="E459" s="68"/>
      <c r="F459" s="68"/>
      <c r="G459" s="68"/>
      <c r="H459" s="68"/>
      <c r="I459" s="68"/>
      <c r="J459" s="68"/>
      <c r="K459" s="68"/>
      <c r="L459" s="68"/>
      <c r="N459" s="75"/>
    </row>
    <row r="460" spans="1:14" ht="12.5" x14ac:dyDescent="0.25">
      <c r="A460" s="14"/>
      <c r="C460" s="68"/>
      <c r="D460" s="68"/>
      <c r="E460" s="68"/>
      <c r="F460" s="68"/>
      <c r="G460" s="68"/>
      <c r="H460" s="68"/>
      <c r="I460" s="68"/>
      <c r="J460" s="68"/>
      <c r="K460" s="68"/>
      <c r="L460" s="68"/>
      <c r="N460" s="75"/>
    </row>
    <row r="461" spans="1:14" ht="12.5" x14ac:dyDescent="0.25">
      <c r="A461" s="14"/>
      <c r="C461" s="68"/>
      <c r="D461" s="68"/>
      <c r="E461" s="68"/>
      <c r="F461" s="68"/>
      <c r="G461" s="68"/>
      <c r="H461" s="68"/>
      <c r="I461" s="68"/>
      <c r="J461" s="68"/>
      <c r="K461" s="68"/>
      <c r="L461" s="68"/>
      <c r="N461" s="75"/>
    </row>
    <row r="462" spans="1:14" ht="12.5" x14ac:dyDescent="0.25">
      <c r="A462" s="14"/>
      <c r="C462" s="68"/>
      <c r="D462" s="68"/>
      <c r="E462" s="68"/>
      <c r="F462" s="68"/>
      <c r="G462" s="68"/>
      <c r="H462" s="68"/>
      <c r="I462" s="68"/>
      <c r="J462" s="68"/>
      <c r="K462" s="68"/>
      <c r="L462" s="68"/>
      <c r="N462" s="75"/>
    </row>
    <row r="463" spans="1:14" ht="12.5" x14ac:dyDescent="0.25">
      <c r="A463" s="14"/>
      <c r="C463" s="68"/>
      <c r="D463" s="68"/>
      <c r="E463" s="68"/>
      <c r="F463" s="68"/>
      <c r="G463" s="68"/>
      <c r="H463" s="68"/>
      <c r="I463" s="68"/>
      <c r="J463" s="68"/>
      <c r="K463" s="68"/>
      <c r="L463" s="68"/>
      <c r="N463" s="75"/>
    </row>
    <row r="464" spans="1:14" ht="12.5" x14ac:dyDescent="0.25">
      <c r="A464" s="14"/>
      <c r="C464" s="68"/>
      <c r="D464" s="68"/>
      <c r="E464" s="68"/>
      <c r="F464" s="68"/>
      <c r="G464" s="68"/>
      <c r="H464" s="68"/>
      <c r="I464" s="68"/>
      <c r="J464" s="68"/>
      <c r="K464" s="68"/>
      <c r="L464" s="68"/>
      <c r="N464" s="75"/>
    </row>
    <row r="465" spans="1:14" ht="12.5" x14ac:dyDescent="0.25">
      <c r="A465" s="14"/>
      <c r="C465" s="68"/>
      <c r="D465" s="68"/>
      <c r="E465" s="68"/>
      <c r="F465" s="68"/>
      <c r="G465" s="68"/>
      <c r="H465" s="68"/>
      <c r="I465" s="68"/>
      <c r="J465" s="68"/>
      <c r="K465" s="68"/>
      <c r="L465" s="68"/>
      <c r="N465" s="75"/>
    </row>
    <row r="466" spans="1:14" ht="12.5" x14ac:dyDescent="0.25">
      <c r="A466" s="14"/>
      <c r="C466" s="68"/>
      <c r="D466" s="68"/>
      <c r="E466" s="68"/>
      <c r="F466" s="68"/>
      <c r="G466" s="68"/>
      <c r="H466" s="68"/>
      <c r="I466" s="68"/>
      <c r="J466" s="68"/>
      <c r="K466" s="68"/>
      <c r="L466" s="68"/>
      <c r="N466" s="75"/>
    </row>
    <row r="467" spans="1:14" ht="12.5" x14ac:dyDescent="0.25">
      <c r="A467" s="14"/>
      <c r="C467" s="68"/>
      <c r="D467" s="68"/>
      <c r="E467" s="68"/>
      <c r="F467" s="68"/>
      <c r="G467" s="68"/>
      <c r="H467" s="68"/>
      <c r="I467" s="68"/>
      <c r="J467" s="68"/>
      <c r="K467" s="68"/>
      <c r="L467" s="68"/>
      <c r="N467" s="75"/>
    </row>
    <row r="468" spans="1:14" ht="12.5" x14ac:dyDescent="0.25">
      <c r="A468" s="14"/>
      <c r="C468" s="68"/>
      <c r="D468" s="68"/>
      <c r="E468" s="68"/>
      <c r="F468" s="68"/>
      <c r="G468" s="68"/>
      <c r="H468" s="68"/>
      <c r="I468" s="68"/>
      <c r="J468" s="68"/>
      <c r="K468" s="68"/>
      <c r="L468" s="68"/>
      <c r="N468" s="75"/>
    </row>
    <row r="469" spans="1:14" ht="12.5" x14ac:dyDescent="0.25">
      <c r="A469" s="14"/>
      <c r="C469" s="68"/>
      <c r="D469" s="68"/>
      <c r="E469" s="68"/>
      <c r="F469" s="68"/>
      <c r="G469" s="68"/>
      <c r="H469" s="68"/>
      <c r="I469" s="68"/>
      <c r="J469" s="68"/>
      <c r="K469" s="68"/>
      <c r="L469" s="68"/>
      <c r="N469" s="75"/>
    </row>
    <row r="470" spans="1:14" ht="12.5" x14ac:dyDescent="0.25">
      <c r="A470" s="14"/>
      <c r="C470" s="68"/>
      <c r="D470" s="68"/>
      <c r="E470" s="68"/>
      <c r="F470" s="68"/>
      <c r="G470" s="68"/>
      <c r="H470" s="68"/>
      <c r="I470" s="68"/>
      <c r="J470" s="68"/>
      <c r="K470" s="68"/>
      <c r="L470" s="68"/>
      <c r="N470" s="75"/>
    </row>
    <row r="471" spans="1:14" ht="12.5" x14ac:dyDescent="0.25">
      <c r="A471" s="14"/>
      <c r="C471" s="68"/>
      <c r="D471" s="68"/>
      <c r="E471" s="68"/>
      <c r="F471" s="68"/>
      <c r="G471" s="68"/>
      <c r="H471" s="68"/>
      <c r="I471" s="68"/>
      <c r="J471" s="68"/>
      <c r="K471" s="68"/>
      <c r="L471" s="68"/>
      <c r="N471" s="75"/>
    </row>
    <row r="472" spans="1:14" ht="12.5" x14ac:dyDescent="0.25">
      <c r="A472" s="14"/>
      <c r="C472" s="68"/>
      <c r="D472" s="68"/>
      <c r="E472" s="68"/>
      <c r="F472" s="68"/>
      <c r="G472" s="68"/>
      <c r="H472" s="68"/>
      <c r="I472" s="68"/>
      <c r="J472" s="68"/>
      <c r="K472" s="68"/>
      <c r="L472" s="68"/>
      <c r="N472" s="75"/>
    </row>
    <row r="473" spans="1:14" ht="12.5" x14ac:dyDescent="0.25">
      <c r="A473" s="14"/>
      <c r="C473" s="68"/>
      <c r="D473" s="68"/>
      <c r="E473" s="68"/>
      <c r="F473" s="68"/>
      <c r="G473" s="68"/>
      <c r="H473" s="68"/>
      <c r="I473" s="68"/>
      <c r="J473" s="68"/>
      <c r="K473" s="68"/>
      <c r="L473" s="68"/>
      <c r="N473" s="75"/>
    </row>
    <row r="474" spans="1:14" ht="12.5" x14ac:dyDescent="0.25">
      <c r="A474" s="14"/>
      <c r="C474" s="68"/>
      <c r="D474" s="68"/>
      <c r="E474" s="68"/>
      <c r="F474" s="68"/>
      <c r="G474" s="68"/>
      <c r="H474" s="68"/>
      <c r="I474" s="68"/>
      <c r="J474" s="68"/>
      <c r="K474" s="68"/>
      <c r="L474" s="68"/>
      <c r="N474" s="75"/>
    </row>
    <row r="475" spans="1:14" ht="12.5" x14ac:dyDescent="0.25">
      <c r="A475" s="14"/>
      <c r="C475" s="68"/>
      <c r="D475" s="68"/>
      <c r="E475" s="68"/>
      <c r="F475" s="68"/>
      <c r="G475" s="68"/>
      <c r="H475" s="68"/>
      <c r="I475" s="68"/>
      <c r="J475" s="68"/>
      <c r="K475" s="68"/>
      <c r="L475" s="68"/>
      <c r="N475" s="75"/>
    </row>
    <row r="476" spans="1:14" ht="12.5" x14ac:dyDescent="0.25">
      <c r="A476" s="14"/>
      <c r="C476" s="68"/>
      <c r="D476" s="68"/>
      <c r="E476" s="68"/>
      <c r="F476" s="68"/>
      <c r="G476" s="68"/>
      <c r="H476" s="68"/>
      <c r="I476" s="68"/>
      <c r="J476" s="68"/>
      <c r="K476" s="68"/>
      <c r="L476" s="68"/>
      <c r="N476" s="75"/>
    </row>
    <row r="477" spans="1:14" ht="12.5" x14ac:dyDescent="0.25">
      <c r="A477" s="14"/>
      <c r="C477" s="68"/>
      <c r="D477" s="68"/>
      <c r="E477" s="68"/>
      <c r="F477" s="68"/>
      <c r="G477" s="68"/>
      <c r="H477" s="68"/>
      <c r="I477" s="68"/>
      <c r="J477" s="68"/>
      <c r="K477" s="68"/>
      <c r="L477" s="68"/>
      <c r="N477" s="75"/>
    </row>
    <row r="478" spans="1:14" ht="12.5" x14ac:dyDescent="0.25">
      <c r="A478" s="14"/>
      <c r="C478" s="68"/>
      <c r="D478" s="68"/>
      <c r="E478" s="68"/>
      <c r="F478" s="68"/>
      <c r="G478" s="68"/>
      <c r="H478" s="68"/>
      <c r="I478" s="68"/>
      <c r="J478" s="68"/>
      <c r="K478" s="68"/>
      <c r="L478" s="68"/>
      <c r="N478" s="75"/>
    </row>
    <row r="479" spans="1:14" ht="12.5" x14ac:dyDescent="0.25">
      <c r="A479" s="14"/>
      <c r="C479" s="68"/>
      <c r="D479" s="68"/>
      <c r="E479" s="68"/>
      <c r="F479" s="68"/>
      <c r="G479" s="68"/>
      <c r="H479" s="68"/>
      <c r="I479" s="68"/>
      <c r="J479" s="68"/>
      <c r="K479" s="68"/>
      <c r="L479" s="68"/>
      <c r="N479" s="75"/>
    </row>
    <row r="480" spans="1:14" ht="12.5" x14ac:dyDescent="0.25">
      <c r="A480" s="14"/>
      <c r="C480" s="68"/>
      <c r="D480" s="68"/>
      <c r="E480" s="68"/>
      <c r="F480" s="68"/>
      <c r="G480" s="68"/>
      <c r="H480" s="68"/>
      <c r="I480" s="68"/>
      <c r="J480" s="68"/>
      <c r="K480" s="68"/>
      <c r="L480" s="68"/>
      <c r="N480" s="75"/>
    </row>
    <row r="481" spans="1:14" ht="12.5" x14ac:dyDescent="0.25">
      <c r="A481" s="14"/>
      <c r="C481" s="68"/>
      <c r="D481" s="68"/>
      <c r="E481" s="68"/>
      <c r="F481" s="68"/>
      <c r="G481" s="68"/>
      <c r="H481" s="68"/>
      <c r="I481" s="68"/>
      <c r="J481" s="68"/>
      <c r="K481" s="68"/>
      <c r="L481" s="68"/>
      <c r="N481" s="75"/>
    </row>
    <row r="482" spans="1:14" ht="12.5" x14ac:dyDescent="0.25">
      <c r="A482" s="14"/>
      <c r="C482" s="68"/>
      <c r="D482" s="68"/>
      <c r="E482" s="68"/>
      <c r="F482" s="68"/>
      <c r="G482" s="68"/>
      <c r="H482" s="68"/>
      <c r="I482" s="68"/>
      <c r="J482" s="68"/>
      <c r="K482" s="68"/>
      <c r="L482" s="68"/>
      <c r="N482" s="75"/>
    </row>
    <row r="483" spans="1:14" ht="12.5" x14ac:dyDescent="0.25">
      <c r="A483" s="14"/>
      <c r="C483" s="68"/>
      <c r="D483" s="68"/>
      <c r="E483" s="68"/>
      <c r="F483" s="68"/>
      <c r="G483" s="68"/>
      <c r="H483" s="68"/>
      <c r="I483" s="68"/>
      <c r="J483" s="68"/>
      <c r="K483" s="68"/>
      <c r="L483" s="68"/>
      <c r="N483" s="75"/>
    </row>
    <row r="484" spans="1:14" ht="12.5" x14ac:dyDescent="0.25">
      <c r="A484" s="14"/>
      <c r="C484" s="68"/>
      <c r="D484" s="68"/>
      <c r="E484" s="68"/>
      <c r="F484" s="68"/>
      <c r="G484" s="68"/>
      <c r="H484" s="68"/>
      <c r="I484" s="68"/>
      <c r="J484" s="68"/>
      <c r="K484" s="68"/>
      <c r="L484" s="68"/>
      <c r="N484" s="75"/>
    </row>
    <row r="485" spans="1:14" ht="12.5" x14ac:dyDescent="0.25">
      <c r="A485" s="14"/>
      <c r="C485" s="68"/>
      <c r="D485" s="68"/>
      <c r="E485" s="68"/>
      <c r="F485" s="68"/>
      <c r="G485" s="68"/>
      <c r="H485" s="68"/>
      <c r="I485" s="68"/>
      <c r="J485" s="68"/>
      <c r="K485" s="68"/>
      <c r="L485" s="68"/>
      <c r="N485" s="75"/>
    </row>
    <row r="486" spans="1:14" ht="12.5" x14ac:dyDescent="0.25">
      <c r="A486" s="14"/>
      <c r="C486" s="68"/>
      <c r="D486" s="68"/>
      <c r="E486" s="68"/>
      <c r="F486" s="68"/>
      <c r="G486" s="68"/>
      <c r="H486" s="68"/>
      <c r="I486" s="68"/>
      <c r="J486" s="68"/>
      <c r="K486" s="68"/>
      <c r="L486" s="68"/>
      <c r="N486" s="75"/>
    </row>
    <row r="487" spans="1:14" ht="12.5" x14ac:dyDescent="0.25">
      <c r="A487" s="14"/>
      <c r="C487" s="68"/>
      <c r="D487" s="68"/>
      <c r="E487" s="68"/>
      <c r="F487" s="68"/>
      <c r="G487" s="68"/>
      <c r="H487" s="68"/>
      <c r="I487" s="68"/>
      <c r="J487" s="68"/>
      <c r="K487" s="68"/>
      <c r="L487" s="68"/>
      <c r="N487" s="75"/>
    </row>
    <row r="488" spans="1:14" ht="12.5" x14ac:dyDescent="0.25">
      <c r="A488" s="14"/>
      <c r="C488" s="68"/>
      <c r="D488" s="68"/>
      <c r="E488" s="68"/>
      <c r="F488" s="68"/>
      <c r="G488" s="68"/>
      <c r="H488" s="68"/>
      <c r="I488" s="68"/>
      <c r="J488" s="68"/>
      <c r="K488" s="68"/>
      <c r="L488" s="68"/>
      <c r="N488" s="75"/>
    </row>
    <row r="489" spans="1:14" ht="12.5" x14ac:dyDescent="0.25">
      <c r="A489" s="14"/>
      <c r="C489" s="68"/>
      <c r="D489" s="68"/>
      <c r="E489" s="68"/>
      <c r="F489" s="68"/>
      <c r="G489" s="68"/>
      <c r="H489" s="68"/>
      <c r="I489" s="68"/>
      <c r="J489" s="68"/>
      <c r="K489" s="68"/>
      <c r="L489" s="68"/>
      <c r="N489" s="75"/>
    </row>
    <row r="490" spans="1:14" ht="12.5" x14ac:dyDescent="0.25">
      <c r="A490" s="14"/>
      <c r="C490" s="68"/>
      <c r="D490" s="68"/>
      <c r="E490" s="68"/>
      <c r="F490" s="68"/>
      <c r="G490" s="68"/>
      <c r="H490" s="68"/>
      <c r="I490" s="68"/>
      <c r="J490" s="68"/>
      <c r="K490" s="68"/>
      <c r="L490" s="68"/>
      <c r="N490" s="75"/>
    </row>
    <row r="491" spans="1:14" ht="12.5" x14ac:dyDescent="0.25">
      <c r="A491" s="14"/>
      <c r="C491" s="68"/>
      <c r="D491" s="68"/>
      <c r="E491" s="68"/>
      <c r="F491" s="68"/>
      <c r="G491" s="68"/>
      <c r="H491" s="68"/>
      <c r="I491" s="68"/>
      <c r="J491" s="68"/>
      <c r="K491" s="68"/>
      <c r="L491" s="68"/>
      <c r="N491" s="75"/>
    </row>
    <row r="492" spans="1:14" ht="12.5" x14ac:dyDescent="0.25">
      <c r="A492" s="14"/>
      <c r="C492" s="68"/>
      <c r="D492" s="68"/>
      <c r="E492" s="68"/>
      <c r="F492" s="68"/>
      <c r="G492" s="68"/>
      <c r="H492" s="68"/>
      <c r="I492" s="68"/>
      <c r="J492" s="68"/>
      <c r="K492" s="68"/>
      <c r="L492" s="68"/>
      <c r="N492" s="75"/>
    </row>
    <row r="493" spans="1:14" ht="12.5" x14ac:dyDescent="0.25">
      <c r="A493" s="14"/>
      <c r="C493" s="68"/>
      <c r="D493" s="68"/>
      <c r="E493" s="68"/>
      <c r="F493" s="68"/>
      <c r="G493" s="68"/>
      <c r="H493" s="68"/>
      <c r="I493" s="68"/>
      <c r="J493" s="68"/>
      <c r="K493" s="68"/>
      <c r="L493" s="68"/>
      <c r="N493" s="75"/>
    </row>
    <row r="494" spans="1:14" ht="12.5" x14ac:dyDescent="0.25">
      <c r="A494" s="14"/>
      <c r="C494" s="68"/>
      <c r="D494" s="68"/>
      <c r="E494" s="68"/>
      <c r="F494" s="68"/>
      <c r="G494" s="68"/>
      <c r="H494" s="68"/>
      <c r="I494" s="68"/>
      <c r="J494" s="68"/>
      <c r="K494" s="68"/>
      <c r="L494" s="68"/>
      <c r="N494" s="75"/>
    </row>
    <row r="495" spans="1:14" ht="12.5" x14ac:dyDescent="0.25">
      <c r="A495" s="14"/>
      <c r="C495" s="68"/>
      <c r="D495" s="68"/>
      <c r="E495" s="68"/>
      <c r="F495" s="68"/>
      <c r="G495" s="68"/>
      <c r="H495" s="68"/>
      <c r="I495" s="68"/>
      <c r="J495" s="68"/>
      <c r="K495" s="68"/>
      <c r="L495" s="68"/>
      <c r="N495" s="75"/>
    </row>
    <row r="496" spans="1:14" ht="12.5" x14ac:dyDescent="0.25">
      <c r="A496" s="14"/>
      <c r="C496" s="68"/>
      <c r="D496" s="68"/>
      <c r="E496" s="68"/>
      <c r="F496" s="68"/>
      <c r="G496" s="68"/>
      <c r="H496" s="68"/>
      <c r="I496" s="68"/>
      <c r="J496" s="68"/>
      <c r="K496" s="68"/>
      <c r="L496" s="68"/>
      <c r="N496" s="75"/>
    </row>
    <row r="497" spans="1:14" ht="12.5" x14ac:dyDescent="0.25">
      <c r="A497" s="14"/>
      <c r="C497" s="68"/>
      <c r="D497" s="68"/>
      <c r="E497" s="68"/>
      <c r="F497" s="68"/>
      <c r="G497" s="68"/>
      <c r="H497" s="68"/>
      <c r="I497" s="68"/>
      <c r="J497" s="68"/>
      <c r="K497" s="68"/>
      <c r="L497" s="68"/>
      <c r="N497" s="75"/>
    </row>
    <row r="498" spans="1:14" ht="12.5" x14ac:dyDescent="0.25">
      <c r="A498" s="14"/>
      <c r="C498" s="68"/>
      <c r="D498" s="68"/>
      <c r="E498" s="68"/>
      <c r="F498" s="68"/>
      <c r="G498" s="68"/>
      <c r="H498" s="68"/>
      <c r="I498" s="68"/>
      <c r="J498" s="68"/>
      <c r="K498" s="68"/>
      <c r="L498" s="68"/>
      <c r="N498" s="75"/>
    </row>
    <row r="499" spans="1:14" ht="12.5" x14ac:dyDescent="0.25">
      <c r="A499" s="14"/>
      <c r="C499" s="68"/>
      <c r="D499" s="68"/>
      <c r="E499" s="68"/>
      <c r="F499" s="68"/>
      <c r="G499" s="68"/>
      <c r="H499" s="68"/>
      <c r="I499" s="68"/>
      <c r="J499" s="68"/>
      <c r="K499" s="68"/>
      <c r="L499" s="68"/>
      <c r="N499" s="75"/>
    </row>
    <row r="500" spans="1:14" ht="12.5" x14ac:dyDescent="0.25">
      <c r="A500" s="14"/>
      <c r="C500" s="68"/>
      <c r="D500" s="68"/>
      <c r="E500" s="68"/>
      <c r="F500" s="68"/>
      <c r="G500" s="68"/>
      <c r="H500" s="68"/>
      <c r="I500" s="68"/>
      <c r="J500" s="68"/>
      <c r="K500" s="68"/>
      <c r="L500" s="68"/>
      <c r="N500" s="75"/>
    </row>
    <row r="501" spans="1:14" ht="12.5" x14ac:dyDescent="0.25">
      <c r="A501" s="14"/>
      <c r="C501" s="68"/>
      <c r="D501" s="68"/>
      <c r="E501" s="68"/>
      <c r="F501" s="68"/>
      <c r="G501" s="68"/>
      <c r="H501" s="68"/>
      <c r="I501" s="68"/>
      <c r="J501" s="68"/>
      <c r="K501" s="68"/>
      <c r="L501" s="68"/>
      <c r="N501" s="75"/>
    </row>
    <row r="502" spans="1:14" ht="12.5" x14ac:dyDescent="0.25">
      <c r="A502" s="14"/>
      <c r="C502" s="68"/>
      <c r="D502" s="68"/>
      <c r="E502" s="68"/>
      <c r="F502" s="68"/>
      <c r="G502" s="68"/>
      <c r="H502" s="68"/>
      <c r="I502" s="68"/>
      <c r="J502" s="68"/>
      <c r="K502" s="68"/>
      <c r="L502" s="68"/>
      <c r="N502" s="75"/>
    </row>
    <row r="503" spans="1:14" ht="12.5" x14ac:dyDescent="0.25">
      <c r="A503" s="14"/>
      <c r="C503" s="68"/>
      <c r="D503" s="68"/>
      <c r="E503" s="68"/>
      <c r="F503" s="68"/>
      <c r="G503" s="68"/>
      <c r="H503" s="68"/>
      <c r="I503" s="68"/>
      <c r="J503" s="68"/>
      <c r="K503" s="68"/>
      <c r="L503" s="68"/>
      <c r="N503" s="75"/>
    </row>
    <row r="504" spans="1:14" ht="12.5" x14ac:dyDescent="0.25">
      <c r="A504" s="14"/>
      <c r="C504" s="68"/>
      <c r="D504" s="68"/>
      <c r="E504" s="68"/>
      <c r="F504" s="68"/>
      <c r="G504" s="68"/>
      <c r="H504" s="68"/>
      <c r="I504" s="68"/>
      <c r="J504" s="68"/>
      <c r="K504" s="68"/>
      <c r="L504" s="68"/>
      <c r="N504" s="75"/>
    </row>
    <row r="505" spans="1:14" ht="12.5" x14ac:dyDescent="0.25">
      <c r="A505" s="14"/>
      <c r="C505" s="68"/>
      <c r="D505" s="68"/>
      <c r="E505" s="68"/>
      <c r="F505" s="68"/>
      <c r="G505" s="68"/>
      <c r="H505" s="68"/>
      <c r="I505" s="68"/>
      <c r="J505" s="68"/>
      <c r="K505" s="68"/>
      <c r="L505" s="68"/>
      <c r="N505" s="75"/>
    </row>
    <row r="506" spans="1:14" ht="12.5" x14ac:dyDescent="0.25">
      <c r="A506" s="14"/>
      <c r="C506" s="68"/>
      <c r="D506" s="68"/>
      <c r="E506" s="68"/>
      <c r="F506" s="68"/>
      <c r="G506" s="68"/>
      <c r="H506" s="68"/>
      <c r="I506" s="68"/>
      <c r="J506" s="68"/>
      <c r="K506" s="68"/>
      <c r="L506" s="68"/>
      <c r="N506" s="75"/>
    </row>
    <row r="507" spans="1:14" ht="12.5" x14ac:dyDescent="0.25">
      <c r="A507" s="14"/>
      <c r="C507" s="68"/>
      <c r="D507" s="68"/>
      <c r="E507" s="68"/>
      <c r="F507" s="68"/>
      <c r="G507" s="68"/>
      <c r="H507" s="68"/>
      <c r="I507" s="68"/>
      <c r="J507" s="68"/>
      <c r="K507" s="68"/>
      <c r="L507" s="68"/>
      <c r="N507" s="75"/>
    </row>
    <row r="508" spans="1:14" ht="12.5" x14ac:dyDescent="0.25">
      <c r="A508" s="14"/>
      <c r="C508" s="68"/>
      <c r="D508" s="68"/>
      <c r="E508" s="68"/>
      <c r="F508" s="68"/>
      <c r="G508" s="68"/>
      <c r="H508" s="68"/>
      <c r="I508" s="68"/>
      <c r="J508" s="68"/>
      <c r="K508" s="68"/>
      <c r="L508" s="68"/>
      <c r="N508" s="75"/>
    </row>
    <row r="509" spans="1:14" ht="12.5" x14ac:dyDescent="0.25">
      <c r="A509" s="14"/>
      <c r="C509" s="68"/>
      <c r="D509" s="68"/>
      <c r="E509" s="68"/>
      <c r="F509" s="68"/>
      <c r="G509" s="68"/>
      <c r="H509" s="68"/>
      <c r="I509" s="68"/>
      <c r="J509" s="68"/>
      <c r="K509" s="68"/>
      <c r="L509" s="68"/>
      <c r="N509" s="75"/>
    </row>
    <row r="510" spans="1:14" ht="12.5" x14ac:dyDescent="0.25">
      <c r="A510" s="14"/>
      <c r="C510" s="68"/>
      <c r="D510" s="68"/>
      <c r="E510" s="68"/>
      <c r="F510" s="68"/>
      <c r="G510" s="68"/>
      <c r="H510" s="68"/>
      <c r="I510" s="68"/>
      <c r="J510" s="68"/>
      <c r="K510" s="68"/>
      <c r="L510" s="68"/>
      <c r="N510" s="75"/>
    </row>
    <row r="511" spans="1:14" ht="12.5" x14ac:dyDescent="0.25">
      <c r="A511" s="14"/>
      <c r="C511" s="68"/>
      <c r="D511" s="68"/>
      <c r="E511" s="68"/>
      <c r="F511" s="68"/>
      <c r="G511" s="68"/>
      <c r="H511" s="68"/>
      <c r="I511" s="68"/>
      <c r="J511" s="68"/>
      <c r="K511" s="68"/>
      <c r="L511" s="68"/>
      <c r="N511" s="75"/>
    </row>
    <row r="512" spans="1:14" ht="12.5" x14ac:dyDescent="0.25">
      <c r="A512" s="14"/>
      <c r="C512" s="68"/>
      <c r="D512" s="68"/>
      <c r="E512" s="68"/>
      <c r="F512" s="68"/>
      <c r="G512" s="68"/>
      <c r="H512" s="68"/>
      <c r="I512" s="68"/>
      <c r="J512" s="68"/>
      <c r="K512" s="68"/>
      <c r="L512" s="68"/>
      <c r="N512" s="75"/>
    </row>
    <row r="513" spans="1:14" ht="12.5" x14ac:dyDescent="0.25">
      <c r="A513" s="14"/>
      <c r="C513" s="68"/>
      <c r="D513" s="68"/>
      <c r="E513" s="68"/>
      <c r="F513" s="68"/>
      <c r="G513" s="68"/>
      <c r="H513" s="68"/>
      <c r="I513" s="68"/>
      <c r="J513" s="68"/>
      <c r="K513" s="68"/>
      <c r="L513" s="68"/>
      <c r="N513" s="75"/>
    </row>
    <row r="514" spans="1:14" ht="12.5" x14ac:dyDescent="0.25">
      <c r="A514" s="14"/>
      <c r="C514" s="68"/>
      <c r="D514" s="68"/>
      <c r="E514" s="68"/>
      <c r="F514" s="68"/>
      <c r="G514" s="68"/>
      <c r="H514" s="68"/>
      <c r="I514" s="68"/>
      <c r="J514" s="68"/>
      <c r="K514" s="68"/>
      <c r="L514" s="68"/>
      <c r="N514" s="75"/>
    </row>
    <row r="515" spans="1:14" ht="12.5" x14ac:dyDescent="0.25">
      <c r="A515" s="14"/>
      <c r="C515" s="68"/>
      <c r="D515" s="68"/>
      <c r="E515" s="68"/>
      <c r="F515" s="68"/>
      <c r="G515" s="68"/>
      <c r="H515" s="68"/>
      <c r="I515" s="68"/>
      <c r="J515" s="68"/>
      <c r="K515" s="68"/>
      <c r="L515" s="68"/>
      <c r="N515" s="75"/>
    </row>
    <row r="516" spans="1:14" ht="12.5" x14ac:dyDescent="0.25">
      <c r="A516" s="14"/>
      <c r="C516" s="68"/>
      <c r="D516" s="68"/>
      <c r="E516" s="68"/>
      <c r="F516" s="68"/>
      <c r="G516" s="68"/>
      <c r="H516" s="68"/>
      <c r="I516" s="68"/>
      <c r="J516" s="68"/>
      <c r="K516" s="68"/>
      <c r="L516" s="68"/>
      <c r="N516" s="75"/>
    </row>
    <row r="517" spans="1:14" ht="12.5" x14ac:dyDescent="0.25">
      <c r="A517" s="14"/>
      <c r="C517" s="68"/>
      <c r="D517" s="68"/>
      <c r="E517" s="68"/>
      <c r="F517" s="68"/>
      <c r="G517" s="68"/>
      <c r="H517" s="68"/>
      <c r="I517" s="68"/>
      <c r="J517" s="68"/>
      <c r="K517" s="68"/>
      <c r="L517" s="68"/>
      <c r="N517" s="75"/>
    </row>
    <row r="518" spans="1:14" ht="12.5" x14ac:dyDescent="0.25">
      <c r="A518" s="14"/>
      <c r="C518" s="68"/>
      <c r="D518" s="68"/>
      <c r="E518" s="68"/>
      <c r="F518" s="68"/>
      <c r="G518" s="68"/>
      <c r="H518" s="68"/>
      <c r="I518" s="68"/>
      <c r="J518" s="68"/>
      <c r="K518" s="68"/>
      <c r="L518" s="68"/>
      <c r="N518" s="75"/>
    </row>
    <row r="519" spans="1:14" ht="12.5" x14ac:dyDescent="0.25">
      <c r="A519" s="14"/>
      <c r="C519" s="68"/>
      <c r="D519" s="68"/>
      <c r="E519" s="68"/>
      <c r="F519" s="68"/>
      <c r="G519" s="68"/>
      <c r="H519" s="68"/>
      <c r="I519" s="68"/>
      <c r="J519" s="68"/>
      <c r="K519" s="68"/>
      <c r="L519" s="68"/>
      <c r="N519" s="75"/>
    </row>
    <row r="520" spans="1:14" ht="12.5" x14ac:dyDescent="0.25">
      <c r="A520" s="14"/>
      <c r="C520" s="68"/>
      <c r="D520" s="68"/>
      <c r="E520" s="68"/>
      <c r="F520" s="68"/>
      <c r="G520" s="68"/>
      <c r="H520" s="68"/>
      <c r="I520" s="68"/>
      <c r="J520" s="68"/>
      <c r="K520" s="68"/>
      <c r="L520" s="68"/>
      <c r="N520" s="75"/>
    </row>
    <row r="521" spans="1:14" ht="12.5" x14ac:dyDescent="0.25">
      <c r="A521" s="14"/>
      <c r="C521" s="68"/>
      <c r="D521" s="68"/>
      <c r="E521" s="68"/>
      <c r="F521" s="68"/>
      <c r="G521" s="68"/>
      <c r="H521" s="68"/>
      <c r="I521" s="68"/>
      <c r="J521" s="68"/>
      <c r="K521" s="68"/>
      <c r="L521" s="68"/>
      <c r="N521" s="75"/>
    </row>
    <row r="522" spans="1:14" ht="12.5" x14ac:dyDescent="0.25">
      <c r="A522" s="14"/>
      <c r="C522" s="68"/>
      <c r="D522" s="68"/>
      <c r="E522" s="68"/>
      <c r="F522" s="68"/>
      <c r="G522" s="68"/>
      <c r="H522" s="68"/>
      <c r="I522" s="68"/>
      <c r="J522" s="68"/>
      <c r="K522" s="68"/>
      <c r="L522" s="68"/>
      <c r="N522" s="75"/>
    </row>
    <row r="523" spans="1:14" ht="12.5" x14ac:dyDescent="0.25">
      <c r="A523" s="14"/>
      <c r="C523" s="68"/>
      <c r="D523" s="68"/>
      <c r="E523" s="68"/>
      <c r="F523" s="68"/>
      <c r="G523" s="68"/>
      <c r="H523" s="68"/>
      <c r="I523" s="68"/>
      <c r="J523" s="68"/>
      <c r="K523" s="68"/>
      <c r="L523" s="68"/>
      <c r="N523" s="75"/>
    </row>
    <row r="524" spans="1:14" ht="12.5" x14ac:dyDescent="0.25">
      <c r="A524" s="14"/>
      <c r="C524" s="68"/>
      <c r="D524" s="68"/>
      <c r="E524" s="68"/>
      <c r="F524" s="68"/>
      <c r="G524" s="68"/>
      <c r="H524" s="68"/>
      <c r="I524" s="68"/>
      <c r="J524" s="68"/>
      <c r="K524" s="68"/>
      <c r="L524" s="68"/>
      <c r="N524" s="75"/>
    </row>
    <row r="525" spans="1:14" ht="12.5" x14ac:dyDescent="0.25">
      <c r="A525" s="14"/>
      <c r="C525" s="68"/>
      <c r="D525" s="68"/>
      <c r="E525" s="68"/>
      <c r="F525" s="68"/>
      <c r="G525" s="68"/>
      <c r="H525" s="68"/>
      <c r="I525" s="68"/>
      <c r="J525" s="68"/>
      <c r="K525" s="68"/>
      <c r="L525" s="68"/>
      <c r="N525" s="75"/>
    </row>
    <row r="526" spans="1:14" ht="12.5" x14ac:dyDescent="0.25">
      <c r="A526" s="14"/>
      <c r="C526" s="68"/>
      <c r="D526" s="68"/>
      <c r="E526" s="68"/>
      <c r="F526" s="68"/>
      <c r="G526" s="68"/>
      <c r="H526" s="68"/>
      <c r="I526" s="68"/>
      <c r="J526" s="68"/>
      <c r="K526" s="68"/>
      <c r="L526" s="68"/>
      <c r="N526" s="75"/>
    </row>
    <row r="527" spans="1:14" ht="12.5" x14ac:dyDescent="0.25">
      <c r="A527" s="14"/>
      <c r="C527" s="68"/>
      <c r="D527" s="68"/>
      <c r="E527" s="68"/>
      <c r="F527" s="68"/>
      <c r="G527" s="68"/>
      <c r="H527" s="68"/>
      <c r="I527" s="68"/>
      <c r="J527" s="68"/>
      <c r="K527" s="68"/>
      <c r="L527" s="68"/>
      <c r="N527" s="75"/>
    </row>
    <row r="528" spans="1:14" ht="12.5" x14ac:dyDescent="0.25">
      <c r="A528" s="14"/>
      <c r="C528" s="68"/>
      <c r="D528" s="68"/>
      <c r="E528" s="68"/>
      <c r="F528" s="68"/>
      <c r="G528" s="68"/>
      <c r="H528" s="68"/>
      <c r="I528" s="68"/>
      <c r="J528" s="68"/>
      <c r="K528" s="68"/>
      <c r="L528" s="68"/>
      <c r="N528" s="75"/>
    </row>
    <row r="529" spans="1:14" ht="12.5" x14ac:dyDescent="0.25">
      <c r="A529" s="14"/>
      <c r="C529" s="68"/>
      <c r="D529" s="68"/>
      <c r="E529" s="68"/>
      <c r="F529" s="68"/>
      <c r="G529" s="68"/>
      <c r="H529" s="68"/>
      <c r="I529" s="68"/>
      <c r="J529" s="68"/>
      <c r="K529" s="68"/>
      <c r="L529" s="68"/>
      <c r="N529" s="75"/>
    </row>
    <row r="530" spans="1:14" ht="12.5" x14ac:dyDescent="0.25">
      <c r="A530" s="14"/>
      <c r="C530" s="68"/>
      <c r="D530" s="68"/>
      <c r="E530" s="68"/>
      <c r="F530" s="68"/>
      <c r="G530" s="68"/>
      <c r="H530" s="68"/>
      <c r="I530" s="68"/>
      <c r="J530" s="68"/>
      <c r="K530" s="68"/>
      <c r="L530" s="68"/>
      <c r="N530" s="75"/>
    </row>
    <row r="531" spans="1:14" ht="12.5" x14ac:dyDescent="0.25">
      <c r="A531" s="14"/>
      <c r="C531" s="68"/>
      <c r="D531" s="68"/>
      <c r="E531" s="68"/>
      <c r="F531" s="68"/>
      <c r="G531" s="68"/>
      <c r="H531" s="68"/>
      <c r="I531" s="68"/>
      <c r="J531" s="68"/>
      <c r="K531" s="68"/>
      <c r="L531" s="68"/>
      <c r="N531" s="75"/>
    </row>
    <row r="532" spans="1:14" ht="12.5" x14ac:dyDescent="0.25">
      <c r="A532" s="14"/>
      <c r="C532" s="68"/>
      <c r="D532" s="68"/>
      <c r="E532" s="68"/>
      <c r="F532" s="68"/>
      <c r="G532" s="68"/>
      <c r="H532" s="68"/>
      <c r="I532" s="68"/>
      <c r="J532" s="68"/>
      <c r="K532" s="68"/>
      <c r="L532" s="68"/>
      <c r="N532" s="75"/>
    </row>
    <row r="533" spans="1:14" ht="12.5" x14ac:dyDescent="0.25">
      <c r="A533" s="14"/>
      <c r="C533" s="68"/>
      <c r="D533" s="68"/>
      <c r="E533" s="68"/>
      <c r="F533" s="68"/>
      <c r="G533" s="68"/>
      <c r="H533" s="68"/>
      <c r="I533" s="68"/>
      <c r="J533" s="68"/>
      <c r="K533" s="68"/>
      <c r="L533" s="68"/>
      <c r="N533" s="75"/>
    </row>
    <row r="534" spans="1:14" ht="12.5" x14ac:dyDescent="0.25">
      <c r="A534" s="14"/>
      <c r="C534" s="68"/>
      <c r="D534" s="68"/>
      <c r="E534" s="68"/>
      <c r="F534" s="68"/>
      <c r="G534" s="68"/>
      <c r="H534" s="68"/>
      <c r="I534" s="68"/>
      <c r="J534" s="68"/>
      <c r="K534" s="68"/>
      <c r="L534" s="68"/>
      <c r="N534" s="75"/>
    </row>
    <row r="535" spans="1:14" ht="12.5" x14ac:dyDescent="0.25">
      <c r="A535" s="14"/>
      <c r="C535" s="68"/>
      <c r="D535" s="68"/>
      <c r="E535" s="68"/>
      <c r="F535" s="68"/>
      <c r="G535" s="68"/>
      <c r="H535" s="68"/>
      <c r="I535" s="68"/>
      <c r="J535" s="68"/>
      <c r="K535" s="68"/>
      <c r="L535" s="68"/>
      <c r="N535" s="75"/>
    </row>
    <row r="536" spans="1:14" ht="12.5" x14ac:dyDescent="0.25">
      <c r="A536" s="14"/>
      <c r="C536" s="68"/>
      <c r="D536" s="68"/>
      <c r="E536" s="68"/>
      <c r="F536" s="68"/>
      <c r="G536" s="68"/>
      <c r="H536" s="68"/>
      <c r="I536" s="68"/>
      <c r="J536" s="68"/>
      <c r="K536" s="68"/>
      <c r="L536" s="68"/>
      <c r="N536" s="75"/>
    </row>
    <row r="537" spans="1:14" ht="12.5" x14ac:dyDescent="0.25">
      <c r="A537" s="14"/>
      <c r="C537" s="68"/>
      <c r="D537" s="68"/>
      <c r="E537" s="68"/>
      <c r="F537" s="68"/>
      <c r="G537" s="68"/>
      <c r="H537" s="68"/>
      <c r="I537" s="68"/>
      <c r="J537" s="68"/>
      <c r="K537" s="68"/>
      <c r="L537" s="68"/>
      <c r="N537" s="75"/>
    </row>
    <row r="538" spans="1:14" ht="12.5" x14ac:dyDescent="0.25">
      <c r="A538" s="14"/>
      <c r="C538" s="68"/>
      <c r="D538" s="68"/>
      <c r="E538" s="68"/>
      <c r="F538" s="68"/>
      <c r="G538" s="68"/>
      <c r="H538" s="68"/>
      <c r="I538" s="68"/>
      <c r="J538" s="68"/>
      <c r="K538" s="68"/>
      <c r="L538" s="68"/>
      <c r="N538" s="75"/>
    </row>
    <row r="539" spans="1:14" ht="12.5" x14ac:dyDescent="0.25">
      <c r="A539" s="14"/>
      <c r="C539" s="68"/>
      <c r="D539" s="68"/>
      <c r="E539" s="68"/>
      <c r="F539" s="68"/>
      <c r="G539" s="68"/>
      <c r="H539" s="68"/>
      <c r="I539" s="68"/>
      <c r="J539" s="68"/>
      <c r="K539" s="68"/>
      <c r="L539" s="68"/>
      <c r="N539" s="75"/>
    </row>
    <row r="540" spans="1:14" ht="12.5" x14ac:dyDescent="0.25">
      <c r="A540" s="14"/>
      <c r="C540" s="68"/>
      <c r="D540" s="68"/>
      <c r="E540" s="68"/>
      <c r="F540" s="68"/>
      <c r="G540" s="68"/>
      <c r="H540" s="68"/>
      <c r="I540" s="68"/>
      <c r="J540" s="68"/>
      <c r="K540" s="68"/>
      <c r="L540" s="68"/>
      <c r="N540" s="75"/>
    </row>
    <row r="541" spans="1:14" ht="12.5" x14ac:dyDescent="0.25">
      <c r="A541" s="14"/>
      <c r="C541" s="68"/>
      <c r="D541" s="68"/>
      <c r="E541" s="68"/>
      <c r="F541" s="68"/>
      <c r="G541" s="68"/>
      <c r="H541" s="68"/>
      <c r="I541" s="68"/>
      <c r="J541" s="68"/>
      <c r="K541" s="68"/>
      <c r="L541" s="68"/>
      <c r="N541" s="75"/>
    </row>
    <row r="542" spans="1:14" ht="12.5" x14ac:dyDescent="0.25">
      <c r="A542" s="14"/>
      <c r="C542" s="68"/>
      <c r="D542" s="68"/>
      <c r="E542" s="68"/>
      <c r="F542" s="68"/>
      <c r="G542" s="68"/>
      <c r="H542" s="68"/>
      <c r="I542" s="68"/>
      <c r="J542" s="68"/>
      <c r="K542" s="68"/>
      <c r="L542" s="68"/>
      <c r="N542" s="75"/>
    </row>
    <row r="543" spans="1:14" ht="12.5" x14ac:dyDescent="0.25">
      <c r="A543" s="14"/>
      <c r="C543" s="68"/>
      <c r="D543" s="68"/>
      <c r="E543" s="68"/>
      <c r="F543" s="68"/>
      <c r="G543" s="68"/>
      <c r="H543" s="68"/>
      <c r="I543" s="68"/>
      <c r="J543" s="68"/>
      <c r="K543" s="68"/>
      <c r="L543" s="68"/>
      <c r="N543" s="75"/>
    </row>
    <row r="544" spans="1:14" ht="12.5" x14ac:dyDescent="0.25">
      <c r="A544" s="14"/>
      <c r="C544" s="68"/>
      <c r="D544" s="68"/>
      <c r="E544" s="68"/>
      <c r="F544" s="68"/>
      <c r="G544" s="68"/>
      <c r="H544" s="68"/>
      <c r="I544" s="68"/>
      <c r="J544" s="68"/>
      <c r="K544" s="68"/>
      <c r="L544" s="68"/>
      <c r="N544" s="75"/>
    </row>
    <row r="545" spans="1:14" ht="12.5" x14ac:dyDescent="0.25">
      <c r="A545" s="14"/>
      <c r="C545" s="68"/>
      <c r="D545" s="68"/>
      <c r="E545" s="68"/>
      <c r="F545" s="68"/>
      <c r="G545" s="68"/>
      <c r="H545" s="68"/>
      <c r="I545" s="68"/>
      <c r="J545" s="68"/>
      <c r="K545" s="68"/>
      <c r="L545" s="68"/>
      <c r="N545" s="75"/>
    </row>
    <row r="546" spans="1:14" ht="12.5" x14ac:dyDescent="0.25">
      <c r="A546" s="14"/>
      <c r="C546" s="68"/>
      <c r="D546" s="68"/>
      <c r="E546" s="68"/>
      <c r="F546" s="68"/>
      <c r="G546" s="68"/>
      <c r="H546" s="68"/>
      <c r="I546" s="68"/>
      <c r="J546" s="68"/>
      <c r="K546" s="68"/>
      <c r="L546" s="68"/>
      <c r="N546" s="75"/>
    </row>
    <row r="547" spans="1:14" ht="12.5" x14ac:dyDescent="0.25">
      <c r="A547" s="14"/>
      <c r="C547" s="68"/>
      <c r="D547" s="68"/>
      <c r="E547" s="68"/>
      <c r="F547" s="68"/>
      <c r="G547" s="68"/>
      <c r="H547" s="68"/>
      <c r="I547" s="68"/>
      <c r="J547" s="68"/>
      <c r="K547" s="68"/>
      <c r="L547" s="68"/>
      <c r="N547" s="75"/>
    </row>
    <row r="548" spans="1:14" ht="12.5" x14ac:dyDescent="0.25">
      <c r="A548" s="14"/>
      <c r="C548" s="68"/>
      <c r="D548" s="68"/>
      <c r="E548" s="68"/>
      <c r="F548" s="68"/>
      <c r="G548" s="68"/>
      <c r="H548" s="68"/>
      <c r="I548" s="68"/>
      <c r="J548" s="68"/>
      <c r="K548" s="68"/>
      <c r="L548" s="68"/>
      <c r="N548" s="75"/>
    </row>
    <row r="549" spans="1:14" ht="12.5" x14ac:dyDescent="0.25">
      <c r="A549" s="14"/>
      <c r="C549" s="68"/>
      <c r="D549" s="68"/>
      <c r="E549" s="68"/>
      <c r="F549" s="68"/>
      <c r="G549" s="68"/>
      <c r="H549" s="68"/>
      <c r="I549" s="68"/>
      <c r="J549" s="68"/>
      <c r="K549" s="68"/>
      <c r="L549" s="68"/>
      <c r="N549" s="75"/>
    </row>
    <row r="550" spans="1:14" ht="12.5" x14ac:dyDescent="0.25">
      <c r="A550" s="14"/>
      <c r="C550" s="68"/>
      <c r="D550" s="68"/>
      <c r="E550" s="68"/>
      <c r="F550" s="68"/>
      <c r="G550" s="68"/>
      <c r="H550" s="68"/>
      <c r="I550" s="68"/>
      <c r="J550" s="68"/>
      <c r="K550" s="68"/>
      <c r="L550" s="68"/>
      <c r="N550" s="75"/>
    </row>
    <row r="551" spans="1:14" ht="12.5" x14ac:dyDescent="0.25">
      <c r="A551" s="14"/>
      <c r="C551" s="68"/>
      <c r="D551" s="68"/>
      <c r="E551" s="68"/>
      <c r="F551" s="68"/>
      <c r="G551" s="68"/>
      <c r="H551" s="68"/>
      <c r="I551" s="68"/>
      <c r="J551" s="68"/>
      <c r="K551" s="68"/>
      <c r="L551" s="68"/>
      <c r="N551" s="75"/>
    </row>
    <row r="552" spans="1:14" ht="12.5" x14ac:dyDescent="0.25">
      <c r="A552" s="14"/>
      <c r="C552" s="68"/>
      <c r="D552" s="68"/>
      <c r="E552" s="68"/>
      <c r="F552" s="68"/>
      <c r="G552" s="68"/>
      <c r="H552" s="68"/>
      <c r="I552" s="68"/>
      <c r="J552" s="68"/>
      <c r="K552" s="68"/>
      <c r="L552" s="68"/>
      <c r="N552" s="75"/>
    </row>
    <row r="553" spans="1:14" ht="12.5" x14ac:dyDescent="0.25">
      <c r="A553" s="14"/>
      <c r="C553" s="68"/>
      <c r="D553" s="68"/>
      <c r="E553" s="68"/>
      <c r="F553" s="68"/>
      <c r="G553" s="68"/>
      <c r="H553" s="68"/>
      <c r="I553" s="68"/>
      <c r="J553" s="68"/>
      <c r="K553" s="68"/>
      <c r="L553" s="68"/>
      <c r="N553" s="75"/>
    </row>
    <row r="554" spans="1:14" ht="12.5" x14ac:dyDescent="0.25">
      <c r="A554" s="14"/>
      <c r="C554" s="68"/>
      <c r="D554" s="68"/>
      <c r="E554" s="68"/>
      <c r="F554" s="68"/>
      <c r="G554" s="68"/>
      <c r="H554" s="68"/>
      <c r="I554" s="68"/>
      <c r="J554" s="68"/>
      <c r="K554" s="68"/>
      <c r="L554" s="68"/>
      <c r="N554" s="75"/>
    </row>
    <row r="555" spans="1:14" ht="12.5" x14ac:dyDescent="0.25">
      <c r="A555" s="14"/>
      <c r="C555" s="68"/>
      <c r="D555" s="68"/>
      <c r="E555" s="68"/>
      <c r="F555" s="68"/>
      <c r="G555" s="68"/>
      <c r="H555" s="68"/>
      <c r="I555" s="68"/>
      <c r="J555" s="68"/>
      <c r="K555" s="68"/>
      <c r="L555" s="68"/>
      <c r="N555" s="75"/>
    </row>
    <row r="556" spans="1:14" ht="12.5" x14ac:dyDescent="0.25">
      <c r="A556" s="14"/>
      <c r="C556" s="68"/>
      <c r="D556" s="68"/>
      <c r="E556" s="68"/>
      <c r="F556" s="68"/>
      <c r="G556" s="68"/>
      <c r="H556" s="68"/>
      <c r="I556" s="68"/>
      <c r="J556" s="68"/>
      <c r="K556" s="68"/>
      <c r="L556" s="68"/>
      <c r="N556" s="75"/>
    </row>
    <row r="557" spans="1:14" ht="12.5" x14ac:dyDescent="0.25">
      <c r="A557" s="14"/>
      <c r="C557" s="68"/>
      <c r="D557" s="68"/>
      <c r="E557" s="68"/>
      <c r="F557" s="68"/>
      <c r="G557" s="68"/>
      <c r="H557" s="68"/>
      <c r="I557" s="68"/>
      <c r="J557" s="68"/>
      <c r="K557" s="68"/>
      <c r="L557" s="68"/>
      <c r="N557" s="75"/>
    </row>
    <row r="558" spans="1:14" ht="12.5" x14ac:dyDescent="0.25">
      <c r="A558" s="14"/>
      <c r="C558" s="68"/>
      <c r="D558" s="68"/>
      <c r="E558" s="68"/>
      <c r="F558" s="68"/>
      <c r="G558" s="68"/>
      <c r="H558" s="68"/>
      <c r="I558" s="68"/>
      <c r="J558" s="68"/>
      <c r="K558" s="68"/>
      <c r="L558" s="68"/>
      <c r="N558" s="75"/>
    </row>
    <row r="559" spans="1:14" ht="12.5" x14ac:dyDescent="0.25">
      <c r="A559" s="14"/>
      <c r="C559" s="68"/>
      <c r="D559" s="68"/>
      <c r="E559" s="68"/>
      <c r="F559" s="68"/>
      <c r="G559" s="68"/>
      <c r="H559" s="68"/>
      <c r="I559" s="68"/>
      <c r="J559" s="68"/>
      <c r="K559" s="68"/>
      <c r="L559" s="68"/>
      <c r="N559" s="75"/>
    </row>
    <row r="560" spans="1:14" ht="12.5" x14ac:dyDescent="0.25">
      <c r="A560" s="14"/>
      <c r="C560" s="68"/>
      <c r="D560" s="68"/>
      <c r="E560" s="68"/>
      <c r="F560" s="68"/>
      <c r="G560" s="68"/>
      <c r="H560" s="68"/>
      <c r="I560" s="68"/>
      <c r="J560" s="68"/>
      <c r="K560" s="68"/>
      <c r="L560" s="68"/>
      <c r="N560" s="75"/>
    </row>
    <row r="561" spans="1:14" ht="12.5" x14ac:dyDescent="0.25">
      <c r="A561" s="14"/>
      <c r="C561" s="68"/>
      <c r="D561" s="68"/>
      <c r="E561" s="68"/>
      <c r="F561" s="68"/>
      <c r="G561" s="68"/>
      <c r="H561" s="68"/>
      <c r="I561" s="68"/>
      <c r="J561" s="68"/>
      <c r="K561" s="68"/>
      <c r="L561" s="68"/>
      <c r="N561" s="75"/>
    </row>
    <row r="562" spans="1:14" ht="12.5" x14ac:dyDescent="0.25">
      <c r="A562" s="14"/>
      <c r="C562" s="68"/>
      <c r="D562" s="68"/>
      <c r="E562" s="68"/>
      <c r="F562" s="68"/>
      <c r="G562" s="68"/>
      <c r="H562" s="68"/>
      <c r="I562" s="68"/>
      <c r="J562" s="68"/>
      <c r="K562" s="68"/>
      <c r="L562" s="68"/>
      <c r="N562" s="75"/>
    </row>
    <row r="563" spans="1:14" ht="12.5" x14ac:dyDescent="0.25">
      <c r="A563" s="14"/>
      <c r="C563" s="68"/>
      <c r="D563" s="68"/>
      <c r="E563" s="68"/>
      <c r="F563" s="68"/>
      <c r="G563" s="68"/>
      <c r="H563" s="68"/>
      <c r="I563" s="68"/>
      <c r="J563" s="68"/>
      <c r="K563" s="68"/>
      <c r="L563" s="68"/>
      <c r="N563" s="75"/>
    </row>
    <row r="564" spans="1:14" ht="12.5" x14ac:dyDescent="0.25">
      <c r="A564" s="14"/>
      <c r="C564" s="68"/>
      <c r="D564" s="68"/>
      <c r="E564" s="68"/>
      <c r="F564" s="68"/>
      <c r="G564" s="68"/>
      <c r="H564" s="68"/>
      <c r="I564" s="68"/>
      <c r="J564" s="68"/>
      <c r="K564" s="68"/>
      <c r="L564" s="68"/>
      <c r="N564" s="75"/>
    </row>
    <row r="565" spans="1:14" ht="12.5" x14ac:dyDescent="0.25">
      <c r="A565" s="14"/>
      <c r="C565" s="68"/>
      <c r="D565" s="68"/>
      <c r="E565" s="68"/>
      <c r="F565" s="68"/>
      <c r="G565" s="68"/>
      <c r="H565" s="68"/>
      <c r="I565" s="68"/>
      <c r="J565" s="68"/>
      <c r="K565" s="68"/>
      <c r="L565" s="68"/>
      <c r="N565" s="75"/>
    </row>
    <row r="566" spans="1:14" ht="12.5" x14ac:dyDescent="0.25">
      <c r="A566" s="14"/>
      <c r="C566" s="68"/>
      <c r="D566" s="68"/>
      <c r="E566" s="68"/>
      <c r="F566" s="68"/>
      <c r="G566" s="68"/>
      <c r="H566" s="68"/>
      <c r="I566" s="68"/>
      <c r="J566" s="68"/>
      <c r="K566" s="68"/>
      <c r="L566" s="68"/>
      <c r="N566" s="75"/>
    </row>
    <row r="567" spans="1:14" ht="12.5" x14ac:dyDescent="0.25">
      <c r="A567" s="14"/>
      <c r="C567" s="68"/>
      <c r="D567" s="68"/>
      <c r="E567" s="68"/>
      <c r="F567" s="68"/>
      <c r="G567" s="68"/>
      <c r="H567" s="68"/>
      <c r="I567" s="68"/>
      <c r="J567" s="68"/>
      <c r="K567" s="68"/>
      <c r="L567" s="68"/>
      <c r="N567" s="75"/>
    </row>
    <row r="568" spans="1:14" ht="12.5" x14ac:dyDescent="0.25">
      <c r="A568" s="14"/>
      <c r="C568" s="68"/>
      <c r="D568" s="68"/>
      <c r="E568" s="68"/>
      <c r="F568" s="68"/>
      <c r="G568" s="68"/>
      <c r="H568" s="68"/>
      <c r="I568" s="68"/>
      <c r="J568" s="68"/>
      <c r="K568" s="68"/>
      <c r="L568" s="68"/>
      <c r="N568" s="75"/>
    </row>
    <row r="569" spans="1:14" ht="12.5" x14ac:dyDescent="0.25">
      <c r="A569" s="14"/>
      <c r="C569" s="68"/>
      <c r="D569" s="68"/>
      <c r="E569" s="68"/>
      <c r="F569" s="68"/>
      <c r="G569" s="68"/>
      <c r="H569" s="68"/>
      <c r="I569" s="68"/>
      <c r="J569" s="68"/>
      <c r="K569" s="68"/>
      <c r="L569" s="68"/>
      <c r="N569" s="75"/>
    </row>
    <row r="570" spans="1:14" ht="12.5" x14ac:dyDescent="0.25">
      <c r="A570" s="14"/>
      <c r="C570" s="68"/>
      <c r="D570" s="68"/>
      <c r="E570" s="68"/>
      <c r="F570" s="68"/>
      <c r="G570" s="68"/>
      <c r="H570" s="68"/>
      <c r="I570" s="68"/>
      <c r="J570" s="68"/>
      <c r="K570" s="68"/>
      <c r="L570" s="68"/>
      <c r="N570" s="75"/>
    </row>
    <row r="571" spans="1:14" ht="12.5" x14ac:dyDescent="0.25">
      <c r="A571" s="14"/>
      <c r="C571" s="68"/>
      <c r="D571" s="68"/>
      <c r="E571" s="68"/>
      <c r="F571" s="68"/>
      <c r="G571" s="68"/>
      <c r="H571" s="68"/>
      <c r="I571" s="68"/>
      <c r="J571" s="68"/>
      <c r="K571" s="68"/>
      <c r="L571" s="68"/>
      <c r="N571" s="75"/>
    </row>
    <row r="572" spans="1:14" ht="12.5" x14ac:dyDescent="0.25">
      <c r="A572" s="14"/>
      <c r="C572" s="68"/>
      <c r="D572" s="68"/>
      <c r="E572" s="68"/>
      <c r="F572" s="68"/>
      <c r="G572" s="68"/>
      <c r="H572" s="68"/>
      <c r="I572" s="68"/>
      <c r="J572" s="68"/>
      <c r="K572" s="68"/>
      <c r="L572" s="68"/>
      <c r="N572" s="75"/>
    </row>
    <row r="573" spans="1:14" ht="12.5" x14ac:dyDescent="0.25">
      <c r="A573" s="14"/>
      <c r="C573" s="68"/>
      <c r="D573" s="68"/>
      <c r="E573" s="68"/>
      <c r="F573" s="68"/>
      <c r="G573" s="68"/>
      <c r="H573" s="68"/>
      <c r="I573" s="68"/>
      <c r="J573" s="68"/>
      <c r="K573" s="68"/>
      <c r="L573" s="68"/>
      <c r="N573" s="75"/>
    </row>
    <row r="574" spans="1:14" ht="12.5" x14ac:dyDescent="0.25">
      <c r="A574" s="14"/>
      <c r="C574" s="68"/>
      <c r="D574" s="68"/>
      <c r="E574" s="68"/>
      <c r="F574" s="68"/>
      <c r="G574" s="68"/>
      <c r="H574" s="68"/>
      <c r="I574" s="68"/>
      <c r="J574" s="68"/>
      <c r="K574" s="68"/>
      <c r="L574" s="68"/>
      <c r="N574" s="75"/>
    </row>
    <row r="575" spans="1:14" ht="12.5" x14ac:dyDescent="0.25">
      <c r="A575" s="14"/>
      <c r="C575" s="68"/>
      <c r="D575" s="68"/>
      <c r="E575" s="68"/>
      <c r="F575" s="68"/>
      <c r="G575" s="68"/>
      <c r="H575" s="68"/>
      <c r="I575" s="68"/>
      <c r="J575" s="68"/>
      <c r="K575" s="68"/>
      <c r="L575" s="68"/>
      <c r="N575" s="75"/>
    </row>
    <row r="576" spans="1:14" ht="12.5" x14ac:dyDescent="0.25">
      <c r="A576" s="14"/>
      <c r="C576" s="68"/>
      <c r="D576" s="68"/>
      <c r="E576" s="68"/>
      <c r="F576" s="68"/>
      <c r="G576" s="68"/>
      <c r="H576" s="68"/>
      <c r="I576" s="68"/>
      <c r="J576" s="68"/>
      <c r="K576" s="68"/>
      <c r="L576" s="68"/>
      <c r="N576" s="75"/>
    </row>
    <row r="577" spans="1:14" ht="12.5" x14ac:dyDescent="0.25">
      <c r="A577" s="14"/>
      <c r="C577" s="68"/>
      <c r="D577" s="68"/>
      <c r="E577" s="68"/>
      <c r="F577" s="68"/>
      <c r="G577" s="68"/>
      <c r="H577" s="68"/>
      <c r="I577" s="68"/>
      <c r="J577" s="68"/>
      <c r="K577" s="68"/>
      <c r="L577" s="68"/>
      <c r="N577" s="75"/>
    </row>
    <row r="578" spans="1:14" ht="12.5" x14ac:dyDescent="0.25">
      <c r="A578" s="14"/>
      <c r="C578" s="68"/>
      <c r="D578" s="68"/>
      <c r="E578" s="68"/>
      <c r="F578" s="68"/>
      <c r="G578" s="68"/>
      <c r="H578" s="68"/>
      <c r="I578" s="68"/>
      <c r="J578" s="68"/>
      <c r="K578" s="68"/>
      <c r="L578" s="68"/>
      <c r="N578" s="75"/>
    </row>
    <row r="579" spans="1:14" ht="12.5" x14ac:dyDescent="0.25">
      <c r="A579" s="14"/>
      <c r="C579" s="68"/>
      <c r="D579" s="68"/>
      <c r="E579" s="68"/>
      <c r="F579" s="68"/>
      <c r="G579" s="68"/>
      <c r="H579" s="68"/>
      <c r="I579" s="68"/>
      <c r="J579" s="68"/>
      <c r="K579" s="68"/>
      <c r="L579" s="68"/>
      <c r="N579" s="75"/>
    </row>
    <row r="580" spans="1:14" ht="12.5" x14ac:dyDescent="0.25">
      <c r="A580" s="14"/>
      <c r="C580" s="68"/>
      <c r="D580" s="68"/>
      <c r="E580" s="68"/>
      <c r="F580" s="68"/>
      <c r="G580" s="68"/>
      <c r="H580" s="68"/>
      <c r="I580" s="68"/>
      <c r="J580" s="68"/>
      <c r="K580" s="68"/>
      <c r="L580" s="68"/>
      <c r="N580" s="75"/>
    </row>
    <row r="581" spans="1:14" ht="12.5" x14ac:dyDescent="0.25">
      <c r="A581" s="14"/>
      <c r="C581" s="68"/>
      <c r="D581" s="68"/>
      <c r="E581" s="68"/>
      <c r="F581" s="68"/>
      <c r="G581" s="68"/>
      <c r="H581" s="68"/>
      <c r="I581" s="68"/>
      <c r="J581" s="68"/>
      <c r="K581" s="68"/>
      <c r="L581" s="68"/>
      <c r="N581" s="75"/>
    </row>
    <row r="582" spans="1:14" ht="12.5" x14ac:dyDescent="0.25">
      <c r="A582" s="14"/>
      <c r="C582" s="68"/>
      <c r="D582" s="68"/>
      <c r="E582" s="68"/>
      <c r="F582" s="68"/>
      <c r="G582" s="68"/>
      <c r="H582" s="68"/>
      <c r="I582" s="68"/>
      <c r="J582" s="68"/>
      <c r="K582" s="68"/>
      <c r="L582" s="68"/>
      <c r="N582" s="75"/>
    </row>
    <row r="583" spans="1:14" ht="12.5" x14ac:dyDescent="0.25">
      <c r="A583" s="14"/>
      <c r="C583" s="68"/>
      <c r="D583" s="68"/>
      <c r="E583" s="68"/>
      <c r="F583" s="68"/>
      <c r="G583" s="68"/>
      <c r="H583" s="68"/>
      <c r="I583" s="68"/>
      <c r="J583" s="68"/>
      <c r="K583" s="68"/>
      <c r="L583" s="68"/>
      <c r="N583" s="75"/>
    </row>
    <row r="584" spans="1:14" ht="12.5" x14ac:dyDescent="0.25">
      <c r="A584" s="14"/>
      <c r="C584" s="68"/>
      <c r="D584" s="68"/>
      <c r="E584" s="68"/>
      <c r="F584" s="68"/>
      <c r="G584" s="68"/>
      <c r="H584" s="68"/>
      <c r="I584" s="68"/>
      <c r="J584" s="68"/>
      <c r="K584" s="68"/>
      <c r="L584" s="68"/>
      <c r="N584" s="75"/>
    </row>
    <row r="585" spans="1:14" ht="12.5" x14ac:dyDescent="0.25">
      <c r="A585" s="14"/>
      <c r="C585" s="68"/>
      <c r="D585" s="68"/>
      <c r="E585" s="68"/>
      <c r="F585" s="68"/>
      <c r="G585" s="68"/>
      <c r="H585" s="68"/>
      <c r="I585" s="68"/>
      <c r="J585" s="68"/>
      <c r="K585" s="68"/>
      <c r="L585" s="68"/>
      <c r="N585" s="75"/>
    </row>
    <row r="586" spans="1:14" ht="12.5" x14ac:dyDescent="0.25">
      <c r="A586" s="14"/>
      <c r="C586" s="68"/>
      <c r="D586" s="68"/>
      <c r="E586" s="68"/>
      <c r="F586" s="68"/>
      <c r="G586" s="68"/>
      <c r="H586" s="68"/>
      <c r="I586" s="68"/>
      <c r="J586" s="68"/>
      <c r="K586" s="68"/>
      <c r="L586" s="68"/>
      <c r="N586" s="75"/>
    </row>
    <row r="587" spans="1:14" ht="12.5" x14ac:dyDescent="0.25">
      <c r="A587" s="14"/>
      <c r="C587" s="68"/>
      <c r="D587" s="68"/>
      <c r="E587" s="68"/>
      <c r="F587" s="68"/>
      <c r="G587" s="68"/>
      <c r="H587" s="68"/>
      <c r="I587" s="68"/>
      <c r="J587" s="68"/>
      <c r="K587" s="68"/>
      <c r="L587" s="68"/>
      <c r="N587" s="75"/>
    </row>
    <row r="588" spans="1:14" ht="12.5" x14ac:dyDescent="0.25">
      <c r="A588" s="14"/>
      <c r="C588" s="68"/>
      <c r="D588" s="68"/>
      <c r="E588" s="68"/>
      <c r="F588" s="68"/>
      <c r="G588" s="68"/>
      <c r="H588" s="68"/>
      <c r="I588" s="68"/>
      <c r="J588" s="68"/>
      <c r="K588" s="68"/>
      <c r="L588" s="68"/>
      <c r="N588" s="75"/>
    </row>
    <row r="589" spans="1:14" ht="12.5" x14ac:dyDescent="0.25">
      <c r="A589" s="14"/>
      <c r="C589" s="68"/>
      <c r="D589" s="68"/>
      <c r="E589" s="68"/>
      <c r="F589" s="68"/>
      <c r="G589" s="68"/>
      <c r="H589" s="68"/>
      <c r="I589" s="68"/>
      <c r="J589" s="68"/>
      <c r="K589" s="68"/>
      <c r="L589" s="68"/>
      <c r="N589" s="75"/>
    </row>
    <row r="590" spans="1:14" ht="12.5" x14ac:dyDescent="0.25">
      <c r="A590" s="14"/>
      <c r="C590" s="68"/>
      <c r="D590" s="68"/>
      <c r="E590" s="68"/>
      <c r="F590" s="68"/>
      <c r="G590" s="68"/>
      <c r="H590" s="68"/>
      <c r="I590" s="68"/>
      <c r="J590" s="68"/>
      <c r="K590" s="68"/>
      <c r="L590" s="68"/>
      <c r="N590" s="75"/>
    </row>
    <row r="591" spans="1:14" ht="12.5" x14ac:dyDescent="0.25">
      <c r="A591" s="14"/>
      <c r="C591" s="68"/>
      <c r="D591" s="68"/>
      <c r="E591" s="68"/>
      <c r="F591" s="68"/>
      <c r="G591" s="68"/>
      <c r="H591" s="68"/>
      <c r="I591" s="68"/>
      <c r="J591" s="68"/>
      <c r="K591" s="68"/>
      <c r="L591" s="68"/>
      <c r="N591" s="75"/>
    </row>
    <row r="592" spans="1:14" ht="12.5" x14ac:dyDescent="0.25">
      <c r="A592" s="14"/>
      <c r="C592" s="68"/>
      <c r="D592" s="68"/>
      <c r="E592" s="68"/>
      <c r="F592" s="68"/>
      <c r="G592" s="68"/>
      <c r="H592" s="68"/>
      <c r="I592" s="68"/>
      <c r="J592" s="68"/>
      <c r="K592" s="68"/>
      <c r="L592" s="68"/>
      <c r="N592" s="75"/>
    </row>
    <row r="593" spans="1:14" ht="12.5" x14ac:dyDescent="0.25">
      <c r="A593" s="14"/>
      <c r="C593" s="68"/>
      <c r="D593" s="68"/>
      <c r="E593" s="68"/>
      <c r="F593" s="68"/>
      <c r="G593" s="68"/>
      <c r="H593" s="68"/>
      <c r="I593" s="68"/>
      <c r="J593" s="68"/>
      <c r="K593" s="68"/>
      <c r="L593" s="68"/>
      <c r="N593" s="75"/>
    </row>
    <row r="594" spans="1:14" ht="12.5" x14ac:dyDescent="0.25">
      <c r="A594" s="14"/>
      <c r="C594" s="68"/>
      <c r="D594" s="68"/>
      <c r="E594" s="68"/>
      <c r="F594" s="68"/>
      <c r="G594" s="68"/>
      <c r="H594" s="68"/>
      <c r="I594" s="68"/>
      <c r="J594" s="68"/>
      <c r="K594" s="68"/>
      <c r="L594" s="68"/>
      <c r="N594" s="75"/>
    </row>
    <row r="595" spans="1:14" ht="12.5" x14ac:dyDescent="0.25">
      <c r="A595" s="14"/>
      <c r="C595" s="68"/>
      <c r="D595" s="68"/>
      <c r="E595" s="68"/>
      <c r="F595" s="68"/>
      <c r="G595" s="68"/>
      <c r="H595" s="68"/>
      <c r="I595" s="68"/>
      <c r="J595" s="68"/>
      <c r="K595" s="68"/>
      <c r="L595" s="68"/>
      <c r="N595" s="75"/>
    </row>
    <row r="596" spans="1:14" ht="12.5" x14ac:dyDescent="0.25">
      <c r="A596" s="14"/>
      <c r="C596" s="68"/>
      <c r="D596" s="68"/>
      <c r="E596" s="68"/>
      <c r="F596" s="68"/>
      <c r="G596" s="68"/>
      <c r="H596" s="68"/>
      <c r="I596" s="68"/>
      <c r="J596" s="68"/>
      <c r="K596" s="68"/>
      <c r="L596" s="68"/>
      <c r="N596" s="75"/>
    </row>
    <row r="597" spans="1:14" ht="12.5" x14ac:dyDescent="0.25">
      <c r="A597" s="14"/>
      <c r="C597" s="68"/>
      <c r="D597" s="68"/>
      <c r="E597" s="68"/>
      <c r="F597" s="68"/>
      <c r="G597" s="68"/>
      <c r="H597" s="68"/>
      <c r="I597" s="68"/>
      <c r="J597" s="68"/>
      <c r="K597" s="68"/>
      <c r="L597" s="68"/>
      <c r="N597" s="75"/>
    </row>
    <row r="598" spans="1:14" ht="12.5" x14ac:dyDescent="0.25">
      <c r="A598" s="14"/>
      <c r="C598" s="68"/>
      <c r="D598" s="68"/>
      <c r="E598" s="68"/>
      <c r="F598" s="68"/>
      <c r="G598" s="68"/>
      <c r="H598" s="68"/>
      <c r="I598" s="68"/>
      <c r="J598" s="68"/>
      <c r="K598" s="68"/>
      <c r="L598" s="68"/>
      <c r="N598" s="75"/>
    </row>
    <row r="599" spans="1:14" ht="12.5" x14ac:dyDescent="0.25">
      <c r="A599" s="14"/>
      <c r="C599" s="68"/>
      <c r="D599" s="68"/>
      <c r="E599" s="68"/>
      <c r="F599" s="68"/>
      <c r="G599" s="68"/>
      <c r="H599" s="68"/>
      <c r="I599" s="68"/>
      <c r="J599" s="68"/>
      <c r="K599" s="68"/>
      <c r="L599" s="68"/>
      <c r="N599" s="75"/>
    </row>
    <row r="600" spans="1:14" ht="12.5" x14ac:dyDescent="0.25">
      <c r="A600" s="14"/>
      <c r="C600" s="68"/>
      <c r="D600" s="68"/>
      <c r="E600" s="68"/>
      <c r="F600" s="68"/>
      <c r="G600" s="68"/>
      <c r="H600" s="68"/>
      <c r="I600" s="68"/>
      <c r="J600" s="68"/>
      <c r="K600" s="68"/>
      <c r="L600" s="68"/>
      <c r="N600" s="75"/>
    </row>
    <row r="601" spans="1:14" ht="12.5" x14ac:dyDescent="0.25">
      <c r="A601" s="14"/>
      <c r="C601" s="68"/>
      <c r="D601" s="68"/>
      <c r="E601" s="68"/>
      <c r="F601" s="68"/>
      <c r="G601" s="68"/>
      <c r="H601" s="68"/>
      <c r="I601" s="68"/>
      <c r="J601" s="68"/>
      <c r="K601" s="68"/>
      <c r="L601" s="68"/>
      <c r="N601" s="75"/>
    </row>
    <row r="602" spans="1:14" ht="12.5" x14ac:dyDescent="0.25">
      <c r="A602" s="14"/>
      <c r="C602" s="68"/>
      <c r="D602" s="68"/>
      <c r="E602" s="68"/>
      <c r="F602" s="68"/>
      <c r="G602" s="68"/>
      <c r="H602" s="68"/>
      <c r="I602" s="68"/>
      <c r="J602" s="68"/>
      <c r="K602" s="68"/>
      <c r="L602" s="68"/>
      <c r="N602" s="75"/>
    </row>
    <row r="603" spans="1:14" ht="12.5" x14ac:dyDescent="0.25">
      <c r="A603" s="14"/>
      <c r="C603" s="68"/>
      <c r="D603" s="68"/>
      <c r="E603" s="68"/>
      <c r="F603" s="68"/>
      <c r="G603" s="68"/>
      <c r="H603" s="68"/>
      <c r="I603" s="68"/>
      <c r="J603" s="68"/>
      <c r="K603" s="68"/>
      <c r="L603" s="68"/>
      <c r="N603" s="75"/>
    </row>
    <row r="604" spans="1:14" ht="12.5" x14ac:dyDescent="0.25">
      <c r="A604" s="14"/>
      <c r="C604" s="68"/>
      <c r="D604" s="68"/>
      <c r="E604" s="68"/>
      <c r="F604" s="68"/>
      <c r="G604" s="68"/>
      <c r="H604" s="68"/>
      <c r="I604" s="68"/>
      <c r="J604" s="68"/>
      <c r="K604" s="68"/>
      <c r="L604" s="68"/>
      <c r="N604" s="75"/>
    </row>
    <row r="605" spans="1:14" ht="12.5" x14ac:dyDescent="0.25">
      <c r="A605" s="14"/>
      <c r="C605" s="68"/>
      <c r="D605" s="68"/>
      <c r="E605" s="68"/>
      <c r="F605" s="68"/>
      <c r="G605" s="68"/>
      <c r="H605" s="68"/>
      <c r="I605" s="68"/>
      <c r="J605" s="68"/>
      <c r="K605" s="68"/>
      <c r="L605" s="68"/>
      <c r="N605" s="75"/>
    </row>
    <row r="606" spans="1:14" ht="12.5" x14ac:dyDescent="0.25">
      <c r="A606" s="14"/>
      <c r="C606" s="68"/>
      <c r="D606" s="68"/>
      <c r="E606" s="68"/>
      <c r="F606" s="68"/>
      <c r="G606" s="68"/>
      <c r="H606" s="68"/>
      <c r="I606" s="68"/>
      <c r="J606" s="68"/>
      <c r="K606" s="68"/>
      <c r="L606" s="68"/>
      <c r="N606" s="75"/>
    </row>
    <row r="607" spans="1:14" ht="12.5" x14ac:dyDescent="0.25">
      <c r="A607" s="14"/>
      <c r="C607" s="68"/>
      <c r="D607" s="68"/>
      <c r="E607" s="68"/>
      <c r="F607" s="68"/>
      <c r="G607" s="68"/>
      <c r="H607" s="68"/>
      <c r="I607" s="68"/>
      <c r="J607" s="68"/>
      <c r="K607" s="68"/>
      <c r="L607" s="68"/>
      <c r="N607" s="75"/>
    </row>
    <row r="608" spans="1:14" ht="12.5" x14ac:dyDescent="0.25">
      <c r="A608" s="14"/>
      <c r="C608" s="68"/>
      <c r="D608" s="68"/>
      <c r="E608" s="68"/>
      <c r="F608" s="68"/>
      <c r="G608" s="68"/>
      <c r="H608" s="68"/>
      <c r="I608" s="68"/>
      <c r="J608" s="68"/>
      <c r="K608" s="68"/>
      <c r="L608" s="68"/>
      <c r="N608" s="75"/>
    </row>
    <row r="609" spans="1:14" ht="12.5" x14ac:dyDescent="0.25">
      <c r="A609" s="14"/>
      <c r="C609" s="68"/>
      <c r="D609" s="68"/>
      <c r="E609" s="68"/>
      <c r="F609" s="68"/>
      <c r="G609" s="68"/>
      <c r="H609" s="68"/>
      <c r="I609" s="68"/>
      <c r="J609" s="68"/>
      <c r="K609" s="68"/>
      <c r="L609" s="68"/>
      <c r="N609" s="75"/>
    </row>
    <row r="610" spans="1:14" ht="12.5" x14ac:dyDescent="0.25">
      <c r="A610" s="14"/>
      <c r="C610" s="68"/>
      <c r="D610" s="68"/>
      <c r="E610" s="68"/>
      <c r="F610" s="68"/>
      <c r="G610" s="68"/>
      <c r="H610" s="68"/>
      <c r="I610" s="68"/>
      <c r="J610" s="68"/>
      <c r="K610" s="68"/>
      <c r="L610" s="68"/>
      <c r="N610" s="75"/>
    </row>
    <row r="611" spans="1:14" ht="12.5" x14ac:dyDescent="0.25">
      <c r="A611" s="14"/>
      <c r="C611" s="68"/>
      <c r="D611" s="68"/>
      <c r="E611" s="68"/>
      <c r="F611" s="68"/>
      <c r="G611" s="68"/>
      <c r="H611" s="68"/>
      <c r="I611" s="68"/>
      <c r="J611" s="68"/>
      <c r="K611" s="68"/>
      <c r="L611" s="68"/>
      <c r="N611" s="75"/>
    </row>
    <row r="612" spans="1:14" ht="12.5" x14ac:dyDescent="0.25">
      <c r="A612" s="14"/>
      <c r="C612" s="68"/>
      <c r="D612" s="68"/>
      <c r="E612" s="68"/>
      <c r="F612" s="68"/>
      <c r="G612" s="68"/>
      <c r="H612" s="68"/>
      <c r="I612" s="68"/>
      <c r="J612" s="68"/>
      <c r="K612" s="68"/>
      <c r="L612" s="68"/>
      <c r="N612" s="75"/>
    </row>
    <row r="613" spans="1:14" ht="12.5" x14ac:dyDescent="0.25">
      <c r="A613" s="14"/>
      <c r="C613" s="68"/>
      <c r="D613" s="68"/>
      <c r="E613" s="68"/>
      <c r="F613" s="68"/>
      <c r="G613" s="68"/>
      <c r="H613" s="68"/>
      <c r="I613" s="68"/>
      <c r="J613" s="68"/>
      <c r="K613" s="68"/>
      <c r="L613" s="68"/>
      <c r="N613" s="75"/>
    </row>
    <row r="614" spans="1:14" ht="12.5" x14ac:dyDescent="0.25">
      <c r="A614" s="14"/>
      <c r="C614" s="68"/>
      <c r="D614" s="68"/>
      <c r="E614" s="68"/>
      <c r="F614" s="68"/>
      <c r="G614" s="68"/>
      <c r="H614" s="68"/>
      <c r="I614" s="68"/>
      <c r="J614" s="68"/>
      <c r="K614" s="68"/>
      <c r="L614" s="68"/>
      <c r="N614" s="75"/>
    </row>
    <row r="615" spans="1:14" ht="12.5" x14ac:dyDescent="0.25">
      <c r="A615" s="14"/>
      <c r="C615" s="68"/>
      <c r="D615" s="68"/>
      <c r="E615" s="68"/>
      <c r="F615" s="68"/>
      <c r="G615" s="68"/>
      <c r="H615" s="68"/>
      <c r="I615" s="68"/>
      <c r="J615" s="68"/>
      <c r="K615" s="68"/>
      <c r="L615" s="68"/>
      <c r="N615" s="75"/>
    </row>
    <row r="616" spans="1:14" ht="12.5" x14ac:dyDescent="0.25">
      <c r="A616" s="14"/>
      <c r="C616" s="68"/>
      <c r="D616" s="68"/>
      <c r="E616" s="68"/>
      <c r="F616" s="68"/>
      <c r="G616" s="68"/>
      <c r="H616" s="68"/>
      <c r="I616" s="68"/>
      <c r="J616" s="68"/>
      <c r="K616" s="68"/>
      <c r="L616" s="68"/>
      <c r="N616" s="75"/>
    </row>
    <row r="617" spans="1:14" ht="12.5" x14ac:dyDescent="0.25">
      <c r="A617" s="14"/>
      <c r="C617" s="68"/>
      <c r="D617" s="68"/>
      <c r="E617" s="68"/>
      <c r="F617" s="68"/>
      <c r="G617" s="68"/>
      <c r="H617" s="68"/>
      <c r="I617" s="68"/>
      <c r="J617" s="68"/>
      <c r="K617" s="68"/>
      <c r="L617" s="68"/>
      <c r="N617" s="75"/>
    </row>
    <row r="618" spans="1:14" ht="12.5" x14ac:dyDescent="0.25">
      <c r="A618" s="14"/>
      <c r="C618" s="68"/>
      <c r="D618" s="68"/>
      <c r="E618" s="68"/>
      <c r="F618" s="68"/>
      <c r="G618" s="68"/>
      <c r="H618" s="68"/>
      <c r="I618" s="68"/>
      <c r="J618" s="68"/>
      <c r="K618" s="68"/>
      <c r="L618" s="68"/>
      <c r="N618" s="75"/>
    </row>
    <row r="619" spans="1:14" ht="12.5" x14ac:dyDescent="0.25">
      <c r="A619" s="14"/>
      <c r="C619" s="68"/>
      <c r="D619" s="68"/>
      <c r="E619" s="68"/>
      <c r="F619" s="68"/>
      <c r="G619" s="68"/>
      <c r="H619" s="68"/>
      <c r="I619" s="68"/>
      <c r="J619" s="68"/>
      <c r="K619" s="68"/>
      <c r="L619" s="68"/>
      <c r="N619" s="75"/>
    </row>
    <row r="620" spans="1:14" ht="12.5" x14ac:dyDescent="0.25">
      <c r="A620" s="14"/>
      <c r="C620" s="68"/>
      <c r="D620" s="68"/>
      <c r="E620" s="68"/>
      <c r="F620" s="68"/>
      <c r="G620" s="68"/>
      <c r="H620" s="68"/>
      <c r="I620" s="68"/>
      <c r="J620" s="68"/>
      <c r="K620" s="68"/>
      <c r="L620" s="68"/>
      <c r="N620" s="75"/>
    </row>
    <row r="621" spans="1:14" ht="12.5" x14ac:dyDescent="0.25">
      <c r="A621" s="14"/>
      <c r="C621" s="68"/>
      <c r="D621" s="68"/>
      <c r="E621" s="68"/>
      <c r="F621" s="68"/>
      <c r="G621" s="68"/>
      <c r="H621" s="68"/>
      <c r="I621" s="68"/>
      <c r="J621" s="68"/>
      <c r="K621" s="68"/>
      <c r="L621" s="68"/>
      <c r="N621" s="75"/>
    </row>
    <row r="622" spans="1:14" ht="12.5" x14ac:dyDescent="0.25">
      <c r="A622" s="14"/>
      <c r="C622" s="68"/>
      <c r="D622" s="68"/>
      <c r="E622" s="68"/>
      <c r="F622" s="68"/>
      <c r="G622" s="68"/>
      <c r="H622" s="68"/>
      <c r="I622" s="68"/>
      <c r="J622" s="68"/>
      <c r="K622" s="68"/>
      <c r="L622" s="68"/>
      <c r="N622" s="75"/>
    </row>
    <row r="623" spans="1:14" ht="12.5" x14ac:dyDescent="0.25">
      <c r="A623" s="14"/>
      <c r="C623" s="68"/>
      <c r="D623" s="68"/>
      <c r="E623" s="68"/>
      <c r="F623" s="68"/>
      <c r="G623" s="68"/>
      <c r="H623" s="68"/>
      <c r="I623" s="68"/>
      <c r="J623" s="68"/>
      <c r="K623" s="68"/>
      <c r="L623" s="68"/>
      <c r="N623" s="75"/>
    </row>
    <row r="624" spans="1:14" ht="12.5" x14ac:dyDescent="0.25">
      <c r="A624" s="14"/>
      <c r="C624" s="68"/>
      <c r="D624" s="68"/>
      <c r="E624" s="68"/>
      <c r="F624" s="68"/>
      <c r="G624" s="68"/>
      <c r="H624" s="68"/>
      <c r="I624" s="68"/>
      <c r="J624" s="68"/>
      <c r="K624" s="68"/>
      <c r="L624" s="68"/>
      <c r="N624" s="75"/>
    </row>
    <row r="625" spans="1:14" ht="12.5" x14ac:dyDescent="0.25">
      <c r="A625" s="14"/>
      <c r="C625" s="68"/>
      <c r="D625" s="68"/>
      <c r="E625" s="68"/>
      <c r="F625" s="68"/>
      <c r="G625" s="68"/>
      <c r="H625" s="68"/>
      <c r="I625" s="68"/>
      <c r="J625" s="68"/>
      <c r="K625" s="68"/>
      <c r="L625" s="68"/>
      <c r="N625" s="75"/>
    </row>
    <row r="626" spans="1:14" ht="12.5" x14ac:dyDescent="0.25">
      <c r="A626" s="14"/>
      <c r="C626" s="68"/>
      <c r="D626" s="68"/>
      <c r="E626" s="68"/>
      <c r="F626" s="68"/>
      <c r="G626" s="68"/>
      <c r="H626" s="68"/>
      <c r="I626" s="68"/>
      <c r="J626" s="68"/>
      <c r="K626" s="68"/>
      <c r="L626" s="68"/>
      <c r="N626" s="75"/>
    </row>
    <row r="627" spans="1:14" ht="12.5" x14ac:dyDescent="0.25">
      <c r="A627" s="14"/>
      <c r="C627" s="68"/>
      <c r="D627" s="68"/>
      <c r="E627" s="68"/>
      <c r="F627" s="68"/>
      <c r="G627" s="68"/>
      <c r="H627" s="68"/>
      <c r="I627" s="68"/>
      <c r="J627" s="68"/>
      <c r="K627" s="68"/>
      <c r="L627" s="68"/>
      <c r="N627" s="75"/>
    </row>
    <row r="628" spans="1:14" ht="12.5" x14ac:dyDescent="0.25">
      <c r="A628" s="14"/>
      <c r="C628" s="68"/>
      <c r="D628" s="68"/>
      <c r="E628" s="68"/>
      <c r="F628" s="68"/>
      <c r="G628" s="68"/>
      <c r="H628" s="68"/>
      <c r="I628" s="68"/>
      <c r="J628" s="68"/>
      <c r="K628" s="68"/>
      <c r="L628" s="68"/>
      <c r="N628" s="75"/>
    </row>
    <row r="629" spans="1:14" ht="12.5" x14ac:dyDescent="0.25">
      <c r="A629" s="14"/>
      <c r="C629" s="68"/>
      <c r="D629" s="68"/>
      <c r="E629" s="68"/>
      <c r="F629" s="68"/>
      <c r="G629" s="68"/>
      <c r="H629" s="68"/>
      <c r="I629" s="68"/>
      <c r="J629" s="68"/>
      <c r="K629" s="68"/>
      <c r="L629" s="68"/>
      <c r="N629" s="75"/>
    </row>
    <row r="630" spans="1:14" ht="12.5" x14ac:dyDescent="0.25">
      <c r="A630" s="14"/>
      <c r="C630" s="68"/>
      <c r="D630" s="68"/>
      <c r="E630" s="68"/>
      <c r="F630" s="68"/>
      <c r="G630" s="68"/>
      <c r="H630" s="68"/>
      <c r="I630" s="68"/>
      <c r="J630" s="68"/>
      <c r="K630" s="68"/>
      <c r="L630" s="68"/>
      <c r="N630" s="75"/>
    </row>
    <row r="631" spans="1:14" ht="12.5" x14ac:dyDescent="0.25">
      <c r="A631" s="14"/>
      <c r="C631" s="68"/>
      <c r="D631" s="68"/>
      <c r="E631" s="68"/>
      <c r="F631" s="68"/>
      <c r="G631" s="68"/>
      <c r="H631" s="68"/>
      <c r="I631" s="68"/>
      <c r="J631" s="68"/>
      <c r="K631" s="68"/>
      <c r="L631" s="68"/>
      <c r="N631" s="75"/>
    </row>
    <row r="632" spans="1:14" ht="12.5" x14ac:dyDescent="0.25">
      <c r="A632" s="14"/>
      <c r="C632" s="68"/>
      <c r="D632" s="68"/>
      <c r="E632" s="68"/>
      <c r="F632" s="68"/>
      <c r="G632" s="68"/>
      <c r="H632" s="68"/>
      <c r="I632" s="68"/>
      <c r="J632" s="68"/>
      <c r="K632" s="68"/>
      <c r="L632" s="68"/>
      <c r="N632" s="75"/>
    </row>
    <row r="633" spans="1:14" ht="12.5" x14ac:dyDescent="0.25">
      <c r="A633" s="14"/>
      <c r="C633" s="68"/>
      <c r="D633" s="68"/>
      <c r="E633" s="68"/>
      <c r="F633" s="68"/>
      <c r="G633" s="68"/>
      <c r="H633" s="68"/>
      <c r="I633" s="68"/>
      <c r="J633" s="68"/>
      <c r="K633" s="68"/>
      <c r="L633" s="68"/>
      <c r="N633" s="75"/>
    </row>
    <row r="634" spans="1:14" ht="12.5" x14ac:dyDescent="0.25">
      <c r="A634" s="14"/>
      <c r="C634" s="68"/>
      <c r="D634" s="68"/>
      <c r="E634" s="68"/>
      <c r="F634" s="68"/>
      <c r="G634" s="68"/>
      <c r="H634" s="68"/>
      <c r="I634" s="68"/>
      <c r="J634" s="68"/>
      <c r="K634" s="68"/>
      <c r="L634" s="68"/>
      <c r="N634" s="75"/>
    </row>
    <row r="635" spans="1:14" ht="12.5" x14ac:dyDescent="0.25">
      <c r="A635" s="14"/>
      <c r="C635" s="68"/>
      <c r="D635" s="68"/>
      <c r="E635" s="68"/>
      <c r="F635" s="68"/>
      <c r="G635" s="68"/>
      <c r="H635" s="68"/>
      <c r="I635" s="68"/>
      <c r="J635" s="68"/>
      <c r="K635" s="68"/>
      <c r="L635" s="68"/>
      <c r="N635" s="75"/>
    </row>
    <row r="636" spans="1:14" ht="12.5" x14ac:dyDescent="0.25">
      <c r="A636" s="14"/>
      <c r="C636" s="68"/>
      <c r="D636" s="68"/>
      <c r="E636" s="68"/>
      <c r="F636" s="68"/>
      <c r="G636" s="68"/>
      <c r="H636" s="68"/>
      <c r="I636" s="68"/>
      <c r="J636" s="68"/>
      <c r="K636" s="68"/>
      <c r="L636" s="68"/>
      <c r="N636" s="75"/>
    </row>
    <row r="637" spans="1:14" ht="12.5" x14ac:dyDescent="0.25">
      <c r="A637" s="14"/>
      <c r="C637" s="68"/>
      <c r="D637" s="68"/>
      <c r="E637" s="68"/>
      <c r="F637" s="68"/>
      <c r="G637" s="68"/>
      <c r="H637" s="68"/>
      <c r="I637" s="68"/>
      <c r="J637" s="68"/>
      <c r="K637" s="68"/>
      <c r="L637" s="68"/>
      <c r="N637" s="75"/>
    </row>
    <row r="638" spans="1:14" ht="12.5" x14ac:dyDescent="0.25">
      <c r="A638" s="14"/>
      <c r="C638" s="68"/>
      <c r="D638" s="68"/>
      <c r="E638" s="68"/>
      <c r="F638" s="68"/>
      <c r="G638" s="68"/>
      <c r="H638" s="68"/>
      <c r="I638" s="68"/>
      <c r="J638" s="68"/>
      <c r="K638" s="68"/>
      <c r="L638" s="68"/>
      <c r="N638" s="75"/>
    </row>
    <row r="639" spans="1:14" ht="12.5" x14ac:dyDescent="0.25">
      <c r="A639" s="14"/>
      <c r="C639" s="68"/>
      <c r="D639" s="68"/>
      <c r="E639" s="68"/>
      <c r="F639" s="68"/>
      <c r="G639" s="68"/>
      <c r="H639" s="68"/>
      <c r="I639" s="68"/>
      <c r="J639" s="68"/>
      <c r="K639" s="68"/>
      <c r="L639" s="68"/>
      <c r="N639" s="75"/>
    </row>
    <row r="640" spans="1:14" ht="12.5" x14ac:dyDescent="0.25">
      <c r="A640" s="14"/>
      <c r="C640" s="68"/>
      <c r="D640" s="68"/>
      <c r="E640" s="68"/>
      <c r="F640" s="68"/>
      <c r="G640" s="68"/>
      <c r="H640" s="68"/>
      <c r="I640" s="68"/>
      <c r="J640" s="68"/>
      <c r="K640" s="68"/>
      <c r="L640" s="68"/>
      <c r="N640" s="75"/>
    </row>
    <row r="641" spans="1:14" ht="12.5" x14ac:dyDescent="0.25">
      <c r="A641" s="14"/>
      <c r="C641" s="68"/>
      <c r="D641" s="68"/>
      <c r="E641" s="68"/>
      <c r="F641" s="68"/>
      <c r="G641" s="68"/>
      <c r="H641" s="68"/>
      <c r="I641" s="68"/>
      <c r="J641" s="68"/>
      <c r="K641" s="68"/>
      <c r="L641" s="68"/>
      <c r="N641" s="75"/>
    </row>
    <row r="642" spans="1:14" ht="12.5" x14ac:dyDescent="0.25">
      <c r="A642" s="14"/>
      <c r="C642" s="68"/>
      <c r="D642" s="68"/>
      <c r="E642" s="68"/>
      <c r="F642" s="68"/>
      <c r="G642" s="68"/>
      <c r="H642" s="68"/>
      <c r="I642" s="68"/>
      <c r="J642" s="68"/>
      <c r="K642" s="68"/>
      <c r="L642" s="68"/>
      <c r="N642" s="75"/>
    </row>
    <row r="643" spans="1:14" ht="12.5" x14ac:dyDescent="0.25">
      <c r="A643" s="14"/>
      <c r="C643" s="68"/>
      <c r="D643" s="68"/>
      <c r="E643" s="68"/>
      <c r="F643" s="68"/>
      <c r="G643" s="68"/>
      <c r="H643" s="68"/>
      <c r="I643" s="68"/>
      <c r="J643" s="68"/>
      <c r="K643" s="68"/>
      <c r="L643" s="68"/>
      <c r="N643" s="75"/>
    </row>
    <row r="644" spans="1:14" ht="12.5" x14ac:dyDescent="0.25">
      <c r="A644" s="14"/>
      <c r="C644" s="68"/>
      <c r="D644" s="68"/>
      <c r="E644" s="68"/>
      <c r="F644" s="68"/>
      <c r="G644" s="68"/>
      <c r="H644" s="68"/>
      <c r="I644" s="68"/>
      <c r="J644" s="68"/>
      <c r="K644" s="68"/>
      <c r="L644" s="68"/>
      <c r="N644" s="75"/>
    </row>
    <row r="645" spans="1:14" ht="12.5" x14ac:dyDescent="0.25">
      <c r="A645" s="14"/>
      <c r="C645" s="68"/>
      <c r="D645" s="68"/>
      <c r="E645" s="68"/>
      <c r="F645" s="68"/>
      <c r="G645" s="68"/>
      <c r="H645" s="68"/>
      <c r="I645" s="68"/>
      <c r="J645" s="68"/>
      <c r="K645" s="68"/>
      <c r="L645" s="68"/>
      <c r="N645" s="75"/>
    </row>
    <row r="646" spans="1:14" ht="12.5" x14ac:dyDescent="0.25">
      <c r="A646" s="14"/>
      <c r="C646" s="68"/>
      <c r="D646" s="68"/>
      <c r="E646" s="68"/>
      <c r="F646" s="68"/>
      <c r="G646" s="68"/>
      <c r="H646" s="68"/>
      <c r="I646" s="68"/>
      <c r="J646" s="68"/>
      <c r="K646" s="68"/>
      <c r="L646" s="68"/>
      <c r="N646" s="75"/>
    </row>
    <row r="647" spans="1:14" ht="12.5" x14ac:dyDescent="0.25">
      <c r="A647" s="14"/>
      <c r="C647" s="68"/>
      <c r="D647" s="68"/>
      <c r="E647" s="68"/>
      <c r="F647" s="68"/>
      <c r="G647" s="68"/>
      <c r="H647" s="68"/>
      <c r="I647" s="68"/>
      <c r="J647" s="68"/>
      <c r="K647" s="68"/>
      <c r="L647" s="68"/>
      <c r="N647" s="75"/>
    </row>
    <row r="648" spans="1:14" ht="12.5" x14ac:dyDescent="0.25">
      <c r="A648" s="14"/>
      <c r="C648" s="68"/>
      <c r="D648" s="68"/>
      <c r="E648" s="68"/>
      <c r="F648" s="68"/>
      <c r="G648" s="68"/>
      <c r="H648" s="68"/>
      <c r="I648" s="68"/>
      <c r="J648" s="68"/>
      <c r="K648" s="68"/>
      <c r="L648" s="68"/>
      <c r="N648" s="75"/>
    </row>
    <row r="649" spans="1:14" ht="12.5" x14ac:dyDescent="0.25">
      <c r="A649" s="14"/>
      <c r="C649" s="68"/>
      <c r="D649" s="68"/>
      <c r="E649" s="68"/>
      <c r="F649" s="68"/>
      <c r="G649" s="68"/>
      <c r="H649" s="68"/>
      <c r="I649" s="68"/>
      <c r="J649" s="68"/>
      <c r="K649" s="68"/>
      <c r="L649" s="68"/>
      <c r="N649" s="75"/>
    </row>
    <row r="650" spans="1:14" ht="12.5" x14ac:dyDescent="0.25">
      <c r="A650" s="14"/>
      <c r="C650" s="68"/>
      <c r="D650" s="68"/>
      <c r="E650" s="68"/>
      <c r="F650" s="68"/>
      <c r="G650" s="68"/>
      <c r="H650" s="68"/>
      <c r="I650" s="68"/>
      <c r="J650" s="68"/>
      <c r="K650" s="68"/>
      <c r="L650" s="68"/>
      <c r="N650" s="75"/>
    </row>
    <row r="651" spans="1:14" ht="12.5" x14ac:dyDescent="0.25">
      <c r="A651" s="14"/>
      <c r="C651" s="68"/>
      <c r="D651" s="68"/>
      <c r="E651" s="68"/>
      <c r="F651" s="68"/>
      <c r="G651" s="68"/>
      <c r="H651" s="68"/>
      <c r="I651" s="68"/>
      <c r="J651" s="68"/>
      <c r="K651" s="68"/>
      <c r="L651" s="68"/>
      <c r="N651" s="75"/>
    </row>
    <row r="652" spans="1:14" ht="12.5" x14ac:dyDescent="0.25">
      <c r="A652" s="14"/>
      <c r="C652" s="68"/>
      <c r="D652" s="68"/>
      <c r="E652" s="68"/>
      <c r="F652" s="68"/>
      <c r="G652" s="68"/>
      <c r="H652" s="68"/>
      <c r="I652" s="68"/>
      <c r="J652" s="68"/>
      <c r="K652" s="68"/>
      <c r="L652" s="68"/>
      <c r="N652" s="75"/>
    </row>
    <row r="653" spans="1:14" ht="12.5" x14ac:dyDescent="0.25">
      <c r="A653" s="14"/>
      <c r="C653" s="68"/>
      <c r="D653" s="68"/>
      <c r="E653" s="68"/>
      <c r="F653" s="68"/>
      <c r="G653" s="68"/>
      <c r="H653" s="68"/>
      <c r="I653" s="68"/>
      <c r="J653" s="68"/>
      <c r="K653" s="68"/>
      <c r="L653" s="68"/>
      <c r="N653" s="75"/>
    </row>
    <row r="654" spans="1:14" ht="12.5" x14ac:dyDescent="0.25">
      <c r="A654" s="14"/>
      <c r="C654" s="68"/>
      <c r="D654" s="68"/>
      <c r="E654" s="68"/>
      <c r="F654" s="68"/>
      <c r="G654" s="68"/>
      <c r="H654" s="68"/>
      <c r="I654" s="68"/>
      <c r="J654" s="68"/>
      <c r="K654" s="68"/>
      <c r="L654" s="68"/>
      <c r="N654" s="75"/>
    </row>
    <row r="655" spans="1:14" ht="12.5" x14ac:dyDescent="0.25">
      <c r="A655" s="14"/>
      <c r="C655" s="68"/>
      <c r="D655" s="68"/>
      <c r="E655" s="68"/>
      <c r="F655" s="68"/>
      <c r="G655" s="68"/>
      <c r="H655" s="68"/>
      <c r="I655" s="68"/>
      <c r="J655" s="68"/>
      <c r="K655" s="68"/>
      <c r="L655" s="68"/>
      <c r="N655" s="75"/>
    </row>
    <row r="656" spans="1:14" ht="12.5" x14ac:dyDescent="0.25">
      <c r="A656" s="14"/>
      <c r="C656" s="68"/>
      <c r="D656" s="68"/>
      <c r="E656" s="68"/>
      <c r="F656" s="68"/>
      <c r="G656" s="68"/>
      <c r="H656" s="68"/>
      <c r="I656" s="68"/>
      <c r="J656" s="68"/>
      <c r="K656" s="68"/>
      <c r="L656" s="68"/>
      <c r="N656" s="75"/>
    </row>
    <row r="657" spans="1:14" ht="12.5" x14ac:dyDescent="0.25">
      <c r="A657" s="14"/>
      <c r="C657" s="68"/>
      <c r="D657" s="68"/>
      <c r="E657" s="68"/>
      <c r="F657" s="68"/>
      <c r="G657" s="68"/>
      <c r="H657" s="68"/>
      <c r="I657" s="68"/>
      <c r="J657" s="68"/>
      <c r="K657" s="68"/>
      <c r="L657" s="68"/>
      <c r="N657" s="75"/>
    </row>
    <row r="658" spans="1:14" ht="12.5" x14ac:dyDescent="0.25">
      <c r="A658" s="14"/>
      <c r="C658" s="68"/>
      <c r="D658" s="68"/>
      <c r="E658" s="68"/>
      <c r="F658" s="68"/>
      <c r="G658" s="68"/>
      <c r="H658" s="68"/>
      <c r="I658" s="68"/>
      <c r="J658" s="68"/>
      <c r="K658" s="68"/>
      <c r="L658" s="68"/>
      <c r="N658" s="75"/>
    </row>
    <row r="659" spans="1:14" ht="12.5" x14ac:dyDescent="0.25">
      <c r="A659" s="14"/>
      <c r="C659" s="68"/>
      <c r="D659" s="68"/>
      <c r="E659" s="68"/>
      <c r="F659" s="68"/>
      <c r="G659" s="68"/>
      <c r="H659" s="68"/>
      <c r="I659" s="68"/>
      <c r="J659" s="68"/>
      <c r="K659" s="68"/>
      <c r="L659" s="68"/>
      <c r="N659" s="75"/>
    </row>
    <row r="660" spans="1:14" ht="12.5" x14ac:dyDescent="0.25">
      <c r="A660" s="14"/>
      <c r="C660" s="68"/>
      <c r="D660" s="68"/>
      <c r="E660" s="68"/>
      <c r="F660" s="68"/>
      <c r="G660" s="68"/>
      <c r="H660" s="68"/>
      <c r="I660" s="68"/>
      <c r="J660" s="68"/>
      <c r="K660" s="68"/>
      <c r="L660" s="68"/>
      <c r="N660" s="75"/>
    </row>
    <row r="661" spans="1:14" ht="12.5" x14ac:dyDescent="0.25">
      <c r="A661" s="14"/>
      <c r="C661" s="68"/>
      <c r="D661" s="68"/>
      <c r="E661" s="68"/>
      <c r="F661" s="68"/>
      <c r="G661" s="68"/>
      <c r="H661" s="68"/>
      <c r="I661" s="68"/>
      <c r="J661" s="68"/>
      <c r="K661" s="68"/>
      <c r="L661" s="68"/>
      <c r="N661" s="75"/>
    </row>
    <row r="662" spans="1:14" ht="12.5" x14ac:dyDescent="0.25">
      <c r="A662" s="14"/>
      <c r="C662" s="68"/>
      <c r="D662" s="68"/>
      <c r="E662" s="68"/>
      <c r="F662" s="68"/>
      <c r="G662" s="68"/>
      <c r="H662" s="68"/>
      <c r="I662" s="68"/>
      <c r="J662" s="68"/>
      <c r="K662" s="68"/>
      <c r="L662" s="68"/>
      <c r="N662" s="75"/>
    </row>
    <row r="663" spans="1:14" ht="12.5" x14ac:dyDescent="0.25">
      <c r="A663" s="14"/>
      <c r="C663" s="68"/>
      <c r="D663" s="68"/>
      <c r="E663" s="68"/>
      <c r="F663" s="68"/>
      <c r="G663" s="68"/>
      <c r="H663" s="68"/>
      <c r="I663" s="68"/>
      <c r="J663" s="68"/>
      <c r="K663" s="68"/>
      <c r="L663" s="68"/>
      <c r="N663" s="75"/>
    </row>
    <row r="664" spans="1:14" ht="12.5" x14ac:dyDescent="0.25">
      <c r="A664" s="14"/>
      <c r="C664" s="68"/>
      <c r="D664" s="68"/>
      <c r="E664" s="68"/>
      <c r="F664" s="68"/>
      <c r="G664" s="68"/>
      <c r="H664" s="68"/>
      <c r="I664" s="68"/>
      <c r="J664" s="68"/>
      <c r="K664" s="68"/>
      <c r="L664" s="68"/>
      <c r="N664" s="75"/>
    </row>
    <row r="665" spans="1:14" ht="12.5" x14ac:dyDescent="0.25">
      <c r="A665" s="14"/>
      <c r="C665" s="68"/>
      <c r="D665" s="68"/>
      <c r="E665" s="68"/>
      <c r="F665" s="68"/>
      <c r="G665" s="68"/>
      <c r="H665" s="68"/>
      <c r="I665" s="68"/>
      <c r="J665" s="68"/>
      <c r="K665" s="68"/>
      <c r="L665" s="68"/>
      <c r="N665" s="75"/>
    </row>
    <row r="666" spans="1:14" ht="12.5" x14ac:dyDescent="0.25">
      <c r="A666" s="14"/>
      <c r="C666" s="68"/>
      <c r="D666" s="68"/>
      <c r="E666" s="68"/>
      <c r="F666" s="68"/>
      <c r="G666" s="68"/>
      <c r="H666" s="68"/>
      <c r="I666" s="68"/>
      <c r="J666" s="68"/>
      <c r="K666" s="68"/>
      <c r="L666" s="68"/>
      <c r="N666" s="75"/>
    </row>
    <row r="667" spans="1:14" ht="12.5" x14ac:dyDescent="0.25">
      <c r="A667" s="14"/>
      <c r="C667" s="68"/>
      <c r="D667" s="68"/>
      <c r="E667" s="68"/>
      <c r="F667" s="68"/>
      <c r="G667" s="68"/>
      <c r="H667" s="68"/>
      <c r="I667" s="68"/>
      <c r="J667" s="68"/>
      <c r="K667" s="68"/>
      <c r="L667" s="68"/>
      <c r="N667" s="75"/>
    </row>
    <row r="668" spans="1:14" ht="12.5" x14ac:dyDescent="0.25">
      <c r="A668" s="14"/>
      <c r="C668" s="68"/>
      <c r="D668" s="68"/>
      <c r="E668" s="68"/>
      <c r="F668" s="68"/>
      <c r="G668" s="68"/>
      <c r="H668" s="68"/>
      <c r="I668" s="68"/>
      <c r="J668" s="68"/>
      <c r="K668" s="68"/>
      <c r="L668" s="68"/>
      <c r="N668" s="75"/>
    </row>
    <row r="669" spans="1:14" ht="12.5" x14ac:dyDescent="0.25">
      <c r="A669" s="14"/>
      <c r="C669" s="68"/>
      <c r="D669" s="68"/>
      <c r="E669" s="68"/>
      <c r="F669" s="68"/>
      <c r="G669" s="68"/>
      <c r="H669" s="68"/>
      <c r="I669" s="68"/>
      <c r="J669" s="68"/>
      <c r="K669" s="68"/>
      <c r="L669" s="68"/>
      <c r="N669" s="75"/>
    </row>
    <row r="670" spans="1:14" ht="12.5" x14ac:dyDescent="0.25">
      <c r="A670" s="14"/>
      <c r="C670" s="68"/>
      <c r="D670" s="68"/>
      <c r="E670" s="68"/>
      <c r="F670" s="68"/>
      <c r="G670" s="68"/>
      <c r="H670" s="68"/>
      <c r="I670" s="68"/>
      <c r="J670" s="68"/>
      <c r="K670" s="68"/>
      <c r="L670" s="68"/>
      <c r="N670" s="75"/>
    </row>
    <row r="671" spans="1:14" ht="12.5" x14ac:dyDescent="0.25">
      <c r="A671" s="14"/>
      <c r="C671" s="68"/>
      <c r="D671" s="68"/>
      <c r="E671" s="68"/>
      <c r="F671" s="68"/>
      <c r="G671" s="68"/>
      <c r="H671" s="68"/>
      <c r="I671" s="68"/>
      <c r="J671" s="68"/>
      <c r="K671" s="68"/>
      <c r="L671" s="68"/>
      <c r="N671" s="75"/>
    </row>
    <row r="672" spans="1:14" ht="12.5" x14ac:dyDescent="0.25">
      <c r="A672" s="14"/>
      <c r="C672" s="68"/>
      <c r="D672" s="68"/>
      <c r="E672" s="68"/>
      <c r="F672" s="68"/>
      <c r="G672" s="68"/>
      <c r="H672" s="68"/>
      <c r="I672" s="68"/>
      <c r="J672" s="68"/>
      <c r="K672" s="68"/>
      <c r="L672" s="68"/>
      <c r="N672" s="75"/>
    </row>
    <row r="673" spans="1:14" ht="12.5" x14ac:dyDescent="0.25">
      <c r="A673" s="14"/>
      <c r="C673" s="68"/>
      <c r="D673" s="68"/>
      <c r="E673" s="68"/>
      <c r="F673" s="68"/>
      <c r="G673" s="68"/>
      <c r="H673" s="68"/>
      <c r="I673" s="68"/>
      <c r="J673" s="68"/>
      <c r="K673" s="68"/>
      <c r="L673" s="68"/>
      <c r="N673" s="75"/>
    </row>
    <row r="674" spans="1:14" ht="12.5" x14ac:dyDescent="0.25">
      <c r="A674" s="14"/>
      <c r="C674" s="68"/>
      <c r="D674" s="68"/>
      <c r="E674" s="68"/>
      <c r="F674" s="68"/>
      <c r="G674" s="68"/>
      <c r="H674" s="68"/>
      <c r="I674" s="68"/>
      <c r="J674" s="68"/>
      <c r="K674" s="68"/>
      <c r="L674" s="68"/>
      <c r="N674" s="75"/>
    </row>
    <row r="675" spans="1:14" ht="12.5" x14ac:dyDescent="0.25">
      <c r="A675" s="14"/>
      <c r="C675" s="68"/>
      <c r="D675" s="68"/>
      <c r="E675" s="68"/>
      <c r="F675" s="68"/>
      <c r="G675" s="68"/>
      <c r="H675" s="68"/>
      <c r="I675" s="68"/>
      <c r="J675" s="68"/>
      <c r="K675" s="68"/>
      <c r="L675" s="68"/>
      <c r="N675" s="75"/>
    </row>
    <row r="676" spans="1:14" ht="12.5" x14ac:dyDescent="0.25">
      <c r="A676" s="14"/>
      <c r="C676" s="68"/>
      <c r="D676" s="68"/>
      <c r="E676" s="68"/>
      <c r="F676" s="68"/>
      <c r="G676" s="68"/>
      <c r="H676" s="68"/>
      <c r="I676" s="68"/>
      <c r="J676" s="68"/>
      <c r="K676" s="68"/>
      <c r="L676" s="68"/>
      <c r="N676" s="75"/>
    </row>
    <row r="677" spans="1:14" ht="12.5" x14ac:dyDescent="0.25">
      <c r="A677" s="14"/>
      <c r="C677" s="68"/>
      <c r="D677" s="68"/>
      <c r="E677" s="68"/>
      <c r="F677" s="68"/>
      <c r="G677" s="68"/>
      <c r="H677" s="68"/>
      <c r="I677" s="68"/>
      <c r="J677" s="68"/>
      <c r="K677" s="68"/>
      <c r="L677" s="68"/>
      <c r="N677" s="75"/>
    </row>
    <row r="678" spans="1:14" ht="12.5" x14ac:dyDescent="0.25">
      <c r="A678" s="14"/>
      <c r="C678" s="68"/>
      <c r="D678" s="68"/>
      <c r="E678" s="68"/>
      <c r="F678" s="68"/>
      <c r="G678" s="68"/>
      <c r="H678" s="68"/>
      <c r="I678" s="68"/>
      <c r="J678" s="68"/>
      <c r="K678" s="68"/>
      <c r="L678" s="68"/>
      <c r="N678" s="75"/>
    </row>
    <row r="679" spans="1:14" ht="12.5" x14ac:dyDescent="0.25">
      <c r="A679" s="14"/>
      <c r="C679" s="68"/>
      <c r="D679" s="68"/>
      <c r="E679" s="68"/>
      <c r="F679" s="68"/>
      <c r="G679" s="68"/>
      <c r="H679" s="68"/>
      <c r="I679" s="68"/>
      <c r="J679" s="68"/>
      <c r="K679" s="68"/>
      <c r="L679" s="68"/>
      <c r="N679" s="75"/>
    </row>
    <row r="680" spans="1:14" ht="12.5" x14ac:dyDescent="0.25">
      <c r="A680" s="14"/>
      <c r="C680" s="68"/>
      <c r="D680" s="68"/>
      <c r="E680" s="68"/>
      <c r="F680" s="68"/>
      <c r="G680" s="68"/>
      <c r="H680" s="68"/>
      <c r="I680" s="68"/>
      <c r="J680" s="68"/>
      <c r="K680" s="68"/>
      <c r="L680" s="68"/>
      <c r="N680" s="75"/>
    </row>
    <row r="681" spans="1:14" ht="12.5" x14ac:dyDescent="0.25">
      <c r="A681" s="14"/>
      <c r="C681" s="68"/>
      <c r="D681" s="68"/>
      <c r="E681" s="68"/>
      <c r="F681" s="68"/>
      <c r="G681" s="68"/>
      <c r="H681" s="68"/>
      <c r="I681" s="68"/>
      <c r="J681" s="68"/>
      <c r="K681" s="68"/>
      <c r="L681" s="68"/>
      <c r="N681" s="75"/>
    </row>
    <row r="682" spans="1:14" ht="12.5" x14ac:dyDescent="0.25">
      <c r="A682" s="14"/>
      <c r="C682" s="68"/>
      <c r="D682" s="68"/>
      <c r="E682" s="68"/>
      <c r="F682" s="68"/>
      <c r="G682" s="68"/>
      <c r="H682" s="68"/>
      <c r="I682" s="68"/>
      <c r="J682" s="68"/>
      <c r="K682" s="68"/>
      <c r="L682" s="68"/>
      <c r="N682" s="75"/>
    </row>
    <row r="683" spans="1:14" ht="12.5" x14ac:dyDescent="0.25">
      <c r="A683" s="14"/>
      <c r="C683" s="68"/>
      <c r="D683" s="68"/>
      <c r="E683" s="68"/>
      <c r="F683" s="68"/>
      <c r="G683" s="68"/>
      <c r="H683" s="68"/>
      <c r="I683" s="68"/>
      <c r="J683" s="68"/>
      <c r="K683" s="68"/>
      <c r="L683" s="68"/>
      <c r="N683" s="75"/>
    </row>
    <row r="684" spans="1:14" ht="12.5" x14ac:dyDescent="0.25">
      <c r="A684" s="14"/>
      <c r="C684" s="68"/>
      <c r="D684" s="68"/>
      <c r="E684" s="68"/>
      <c r="F684" s="68"/>
      <c r="G684" s="68"/>
      <c r="H684" s="68"/>
      <c r="I684" s="68"/>
      <c r="J684" s="68"/>
      <c r="K684" s="68"/>
      <c r="L684" s="68"/>
      <c r="N684" s="75"/>
    </row>
    <row r="685" spans="1:14" ht="12.5" x14ac:dyDescent="0.25">
      <c r="A685" s="14"/>
      <c r="C685" s="68"/>
      <c r="D685" s="68"/>
      <c r="E685" s="68"/>
      <c r="F685" s="68"/>
      <c r="G685" s="68"/>
      <c r="H685" s="68"/>
      <c r="I685" s="68"/>
      <c r="J685" s="68"/>
      <c r="K685" s="68"/>
      <c r="L685" s="68"/>
      <c r="N685" s="75"/>
    </row>
    <row r="686" spans="1:14" ht="12.5" x14ac:dyDescent="0.25">
      <c r="A686" s="14"/>
      <c r="C686" s="68"/>
      <c r="D686" s="68"/>
      <c r="E686" s="68"/>
      <c r="F686" s="68"/>
      <c r="G686" s="68"/>
      <c r="H686" s="68"/>
      <c r="I686" s="68"/>
      <c r="J686" s="68"/>
      <c r="K686" s="68"/>
      <c r="L686" s="68"/>
      <c r="N686" s="75"/>
    </row>
    <row r="687" spans="1:14" ht="12.5" x14ac:dyDescent="0.25">
      <c r="A687" s="14"/>
      <c r="C687" s="68"/>
      <c r="D687" s="68"/>
      <c r="E687" s="68"/>
      <c r="F687" s="68"/>
      <c r="G687" s="68"/>
      <c r="H687" s="68"/>
      <c r="I687" s="68"/>
      <c r="J687" s="68"/>
      <c r="K687" s="68"/>
      <c r="L687" s="68"/>
      <c r="N687" s="75"/>
    </row>
    <row r="688" spans="1:14" ht="12.5" x14ac:dyDescent="0.25">
      <c r="A688" s="14"/>
      <c r="C688" s="68"/>
      <c r="D688" s="68"/>
      <c r="E688" s="68"/>
      <c r="F688" s="68"/>
      <c r="G688" s="68"/>
      <c r="H688" s="68"/>
      <c r="I688" s="68"/>
      <c r="J688" s="68"/>
      <c r="K688" s="68"/>
      <c r="L688" s="68"/>
      <c r="N688" s="75"/>
    </row>
    <row r="689" spans="1:14" ht="12.5" x14ac:dyDescent="0.25">
      <c r="A689" s="14"/>
      <c r="C689" s="68"/>
      <c r="D689" s="68"/>
      <c r="E689" s="68"/>
      <c r="F689" s="68"/>
      <c r="G689" s="68"/>
      <c r="H689" s="68"/>
      <c r="I689" s="68"/>
      <c r="J689" s="68"/>
      <c r="K689" s="68"/>
      <c r="L689" s="68"/>
      <c r="N689" s="75"/>
    </row>
    <row r="690" spans="1:14" ht="12.5" x14ac:dyDescent="0.25">
      <c r="A690" s="14"/>
      <c r="C690" s="68"/>
      <c r="D690" s="68"/>
      <c r="E690" s="68"/>
      <c r="F690" s="68"/>
      <c r="G690" s="68"/>
      <c r="H690" s="68"/>
      <c r="I690" s="68"/>
      <c r="J690" s="68"/>
      <c r="K690" s="68"/>
      <c r="L690" s="68"/>
      <c r="N690" s="75"/>
    </row>
    <row r="691" spans="1:14" ht="12.5" x14ac:dyDescent="0.25">
      <c r="A691" s="14"/>
      <c r="C691" s="68"/>
      <c r="D691" s="68"/>
      <c r="E691" s="68"/>
      <c r="F691" s="68"/>
      <c r="G691" s="68"/>
      <c r="H691" s="68"/>
      <c r="I691" s="68"/>
      <c r="J691" s="68"/>
      <c r="K691" s="68"/>
      <c r="L691" s="68"/>
      <c r="N691" s="75"/>
    </row>
    <row r="692" spans="1:14" ht="12.5" x14ac:dyDescent="0.25">
      <c r="A692" s="14"/>
      <c r="C692" s="68"/>
      <c r="D692" s="68"/>
      <c r="E692" s="68"/>
      <c r="F692" s="68"/>
      <c r="G692" s="68"/>
      <c r="H692" s="68"/>
      <c r="I692" s="68"/>
      <c r="J692" s="68"/>
      <c r="K692" s="68"/>
      <c r="L692" s="68"/>
      <c r="N692" s="75"/>
    </row>
    <row r="693" spans="1:14" ht="12.5" x14ac:dyDescent="0.25">
      <c r="A693" s="14"/>
      <c r="C693" s="68"/>
      <c r="D693" s="68"/>
      <c r="E693" s="68"/>
      <c r="F693" s="68"/>
      <c r="G693" s="68"/>
      <c r="H693" s="68"/>
      <c r="I693" s="68"/>
      <c r="J693" s="68"/>
      <c r="K693" s="68"/>
      <c r="L693" s="68"/>
      <c r="N693" s="75"/>
    </row>
    <row r="694" spans="1:14" ht="12.5" x14ac:dyDescent="0.25">
      <c r="A694" s="14"/>
      <c r="C694" s="68"/>
      <c r="D694" s="68"/>
      <c r="E694" s="68"/>
      <c r="F694" s="68"/>
      <c r="G694" s="68"/>
      <c r="H694" s="68"/>
      <c r="I694" s="68"/>
      <c r="J694" s="68"/>
      <c r="K694" s="68"/>
      <c r="L694" s="68"/>
      <c r="N694" s="75"/>
    </row>
    <row r="695" spans="1:14" ht="12.5" x14ac:dyDescent="0.25">
      <c r="A695" s="14"/>
      <c r="C695" s="68"/>
      <c r="D695" s="68"/>
      <c r="E695" s="68"/>
      <c r="F695" s="68"/>
      <c r="G695" s="68"/>
      <c r="H695" s="68"/>
      <c r="I695" s="68"/>
      <c r="J695" s="68"/>
      <c r="K695" s="68"/>
      <c r="L695" s="68"/>
      <c r="N695" s="75"/>
    </row>
    <row r="696" spans="1:14" ht="12.5" x14ac:dyDescent="0.25">
      <c r="A696" s="14"/>
      <c r="C696" s="68"/>
      <c r="D696" s="68"/>
      <c r="E696" s="68"/>
      <c r="F696" s="68"/>
      <c r="G696" s="68"/>
      <c r="H696" s="68"/>
      <c r="I696" s="68"/>
      <c r="J696" s="68"/>
      <c r="K696" s="68"/>
      <c r="L696" s="68"/>
      <c r="N696" s="75"/>
    </row>
    <row r="697" spans="1:14" ht="12.5" x14ac:dyDescent="0.25">
      <c r="A697" s="14"/>
      <c r="C697" s="68"/>
      <c r="D697" s="68"/>
      <c r="E697" s="68"/>
      <c r="F697" s="68"/>
      <c r="G697" s="68"/>
      <c r="H697" s="68"/>
      <c r="I697" s="68"/>
      <c r="J697" s="68"/>
      <c r="K697" s="68"/>
      <c r="L697" s="68"/>
      <c r="N697" s="75"/>
    </row>
    <row r="698" spans="1:14" ht="12.5" x14ac:dyDescent="0.25">
      <c r="A698" s="14"/>
      <c r="C698" s="68"/>
      <c r="D698" s="68"/>
      <c r="E698" s="68"/>
      <c r="F698" s="68"/>
      <c r="G698" s="68"/>
      <c r="H698" s="68"/>
      <c r="I698" s="68"/>
      <c r="J698" s="68"/>
      <c r="K698" s="68"/>
      <c r="L698" s="68"/>
      <c r="N698" s="75"/>
    </row>
    <row r="699" spans="1:14" ht="12.5" x14ac:dyDescent="0.25">
      <c r="A699" s="14"/>
      <c r="C699" s="68"/>
      <c r="D699" s="68"/>
      <c r="E699" s="68"/>
      <c r="F699" s="68"/>
      <c r="G699" s="68"/>
      <c r="H699" s="68"/>
      <c r="I699" s="68"/>
      <c r="J699" s="68"/>
      <c r="K699" s="68"/>
      <c r="L699" s="68"/>
      <c r="N699" s="75"/>
    </row>
    <row r="700" spans="1:14" ht="12.5" x14ac:dyDescent="0.25">
      <c r="A700" s="14"/>
      <c r="C700" s="68"/>
      <c r="D700" s="68"/>
      <c r="E700" s="68"/>
      <c r="F700" s="68"/>
      <c r="G700" s="68"/>
      <c r="H700" s="68"/>
      <c r="I700" s="68"/>
      <c r="J700" s="68"/>
      <c r="K700" s="68"/>
      <c r="L700" s="68"/>
      <c r="N700" s="75"/>
    </row>
    <row r="701" spans="1:14" ht="12.5" x14ac:dyDescent="0.25">
      <c r="A701" s="14"/>
      <c r="C701" s="68"/>
      <c r="D701" s="68"/>
      <c r="E701" s="68"/>
      <c r="F701" s="68"/>
      <c r="G701" s="68"/>
      <c r="H701" s="68"/>
      <c r="I701" s="68"/>
      <c r="J701" s="68"/>
      <c r="K701" s="68"/>
      <c r="L701" s="68"/>
      <c r="N701" s="75"/>
    </row>
    <row r="702" spans="1:14" ht="12.5" x14ac:dyDescent="0.25">
      <c r="A702" s="14"/>
      <c r="C702" s="68"/>
      <c r="D702" s="68"/>
      <c r="E702" s="68"/>
      <c r="F702" s="68"/>
      <c r="G702" s="68"/>
      <c r="H702" s="68"/>
      <c r="I702" s="68"/>
      <c r="J702" s="68"/>
      <c r="K702" s="68"/>
      <c r="L702" s="68"/>
      <c r="N702" s="75"/>
    </row>
    <row r="703" spans="1:14" ht="12.5" x14ac:dyDescent="0.25">
      <c r="A703" s="14"/>
      <c r="C703" s="68"/>
      <c r="D703" s="68"/>
      <c r="E703" s="68"/>
      <c r="F703" s="68"/>
      <c r="G703" s="68"/>
      <c r="H703" s="68"/>
      <c r="I703" s="68"/>
      <c r="J703" s="68"/>
      <c r="K703" s="68"/>
      <c r="L703" s="68"/>
      <c r="N703" s="75"/>
    </row>
    <row r="704" spans="1:14" ht="12.5" x14ac:dyDescent="0.25">
      <c r="A704" s="14"/>
      <c r="C704" s="68"/>
      <c r="D704" s="68"/>
      <c r="E704" s="68"/>
      <c r="F704" s="68"/>
      <c r="G704" s="68"/>
      <c r="H704" s="68"/>
      <c r="I704" s="68"/>
      <c r="J704" s="68"/>
      <c r="K704" s="68"/>
      <c r="L704" s="68"/>
      <c r="N704" s="75"/>
    </row>
    <row r="705" spans="1:14" ht="12.5" x14ac:dyDescent="0.25">
      <c r="A705" s="14"/>
      <c r="C705" s="68"/>
      <c r="D705" s="68"/>
      <c r="E705" s="68"/>
      <c r="F705" s="68"/>
      <c r="G705" s="68"/>
      <c r="H705" s="68"/>
      <c r="I705" s="68"/>
      <c r="J705" s="68"/>
      <c r="K705" s="68"/>
      <c r="L705" s="68"/>
      <c r="N705" s="75"/>
    </row>
    <row r="706" spans="1:14" ht="12.5" x14ac:dyDescent="0.25">
      <c r="A706" s="14"/>
      <c r="C706" s="68"/>
      <c r="D706" s="68"/>
      <c r="E706" s="68"/>
      <c r="F706" s="68"/>
      <c r="G706" s="68"/>
      <c r="H706" s="68"/>
      <c r="I706" s="68"/>
      <c r="J706" s="68"/>
      <c r="K706" s="68"/>
      <c r="L706" s="68"/>
      <c r="N706" s="75"/>
    </row>
    <row r="707" spans="1:14" ht="12.5" x14ac:dyDescent="0.25">
      <c r="A707" s="14"/>
      <c r="C707" s="68"/>
      <c r="D707" s="68"/>
      <c r="E707" s="68"/>
      <c r="F707" s="68"/>
      <c r="G707" s="68"/>
      <c r="H707" s="68"/>
      <c r="I707" s="68"/>
      <c r="J707" s="68"/>
      <c r="K707" s="68"/>
      <c r="L707" s="68"/>
      <c r="N707" s="75"/>
    </row>
    <row r="708" spans="1:14" ht="12.5" x14ac:dyDescent="0.25">
      <c r="A708" s="14"/>
      <c r="C708" s="68"/>
      <c r="D708" s="68"/>
      <c r="E708" s="68"/>
      <c r="F708" s="68"/>
      <c r="G708" s="68"/>
      <c r="H708" s="68"/>
      <c r="I708" s="68"/>
      <c r="J708" s="68"/>
      <c r="K708" s="68"/>
      <c r="L708" s="68"/>
      <c r="N708" s="75"/>
    </row>
    <row r="709" spans="1:14" ht="12.5" x14ac:dyDescent="0.25">
      <c r="A709" s="14"/>
      <c r="C709" s="68"/>
      <c r="D709" s="68"/>
      <c r="E709" s="68"/>
      <c r="F709" s="68"/>
      <c r="G709" s="68"/>
      <c r="H709" s="68"/>
      <c r="I709" s="68"/>
      <c r="J709" s="68"/>
      <c r="K709" s="68"/>
      <c r="L709" s="68"/>
      <c r="N709" s="75"/>
    </row>
    <row r="710" spans="1:14" ht="12.5" x14ac:dyDescent="0.25">
      <c r="A710" s="14"/>
      <c r="C710" s="68"/>
      <c r="D710" s="68"/>
      <c r="E710" s="68"/>
      <c r="F710" s="68"/>
      <c r="G710" s="68"/>
      <c r="H710" s="68"/>
      <c r="I710" s="68"/>
      <c r="J710" s="68"/>
      <c r="K710" s="68"/>
      <c r="L710" s="68"/>
      <c r="N710" s="75"/>
    </row>
    <row r="711" spans="1:14" ht="12.5" x14ac:dyDescent="0.25">
      <c r="A711" s="14"/>
      <c r="C711" s="68"/>
      <c r="D711" s="68"/>
      <c r="E711" s="68"/>
      <c r="F711" s="68"/>
      <c r="G711" s="68"/>
      <c r="H711" s="68"/>
      <c r="I711" s="68"/>
      <c r="J711" s="68"/>
      <c r="K711" s="68"/>
      <c r="L711" s="68"/>
      <c r="N711" s="75"/>
    </row>
    <row r="712" spans="1:14" ht="12.5" x14ac:dyDescent="0.25">
      <c r="A712" s="14"/>
      <c r="C712" s="68"/>
      <c r="D712" s="68"/>
      <c r="E712" s="68"/>
      <c r="F712" s="68"/>
      <c r="G712" s="68"/>
      <c r="H712" s="68"/>
      <c r="I712" s="68"/>
      <c r="J712" s="68"/>
      <c r="K712" s="68"/>
      <c r="L712" s="68"/>
      <c r="N712" s="75"/>
    </row>
    <row r="713" spans="1:14" ht="12.5" x14ac:dyDescent="0.25">
      <c r="A713" s="14"/>
      <c r="C713" s="68"/>
      <c r="D713" s="68"/>
      <c r="E713" s="68"/>
      <c r="F713" s="68"/>
      <c r="G713" s="68"/>
      <c r="H713" s="68"/>
      <c r="I713" s="68"/>
      <c r="J713" s="68"/>
      <c r="K713" s="68"/>
      <c r="L713" s="68"/>
      <c r="N713" s="75"/>
    </row>
    <row r="714" spans="1:14" ht="12.5" x14ac:dyDescent="0.25">
      <c r="A714" s="14"/>
      <c r="C714" s="68"/>
      <c r="D714" s="68"/>
      <c r="E714" s="68"/>
      <c r="F714" s="68"/>
      <c r="G714" s="68"/>
      <c r="H714" s="68"/>
      <c r="I714" s="68"/>
      <c r="J714" s="68"/>
      <c r="K714" s="68"/>
      <c r="L714" s="68"/>
      <c r="N714" s="75"/>
    </row>
    <row r="715" spans="1:14" ht="12.5" x14ac:dyDescent="0.25">
      <c r="A715" s="14"/>
      <c r="C715" s="68"/>
      <c r="D715" s="68"/>
      <c r="E715" s="68"/>
      <c r="F715" s="68"/>
      <c r="G715" s="68"/>
      <c r="H715" s="68"/>
      <c r="I715" s="68"/>
      <c r="J715" s="68"/>
      <c r="K715" s="68"/>
      <c r="L715" s="68"/>
      <c r="N715" s="75"/>
    </row>
    <row r="716" spans="1:14" ht="12.5" x14ac:dyDescent="0.25">
      <c r="A716" s="14"/>
      <c r="C716" s="68"/>
      <c r="D716" s="68"/>
      <c r="E716" s="68"/>
      <c r="F716" s="68"/>
      <c r="G716" s="68"/>
      <c r="H716" s="68"/>
      <c r="I716" s="68"/>
      <c r="J716" s="68"/>
      <c r="K716" s="68"/>
      <c r="L716" s="68"/>
      <c r="N716" s="75"/>
    </row>
    <row r="717" spans="1:14" ht="12.5" x14ac:dyDescent="0.25">
      <c r="A717" s="14"/>
      <c r="C717" s="68"/>
      <c r="D717" s="68"/>
      <c r="E717" s="68"/>
      <c r="F717" s="68"/>
      <c r="G717" s="68"/>
      <c r="H717" s="68"/>
      <c r="I717" s="68"/>
      <c r="J717" s="68"/>
      <c r="K717" s="68"/>
      <c r="L717" s="68"/>
      <c r="N717" s="75"/>
    </row>
    <row r="718" spans="1:14" ht="12.5" x14ac:dyDescent="0.25">
      <c r="A718" s="14"/>
      <c r="C718" s="68"/>
      <c r="D718" s="68"/>
      <c r="E718" s="68"/>
      <c r="F718" s="68"/>
      <c r="G718" s="68"/>
      <c r="H718" s="68"/>
      <c r="I718" s="68"/>
      <c r="J718" s="68"/>
      <c r="K718" s="68"/>
      <c r="L718" s="68"/>
      <c r="N718" s="75"/>
    </row>
    <row r="719" spans="1:14" ht="12.5" x14ac:dyDescent="0.25">
      <c r="A719" s="14"/>
      <c r="C719" s="68"/>
      <c r="D719" s="68"/>
      <c r="E719" s="68"/>
      <c r="F719" s="68"/>
      <c r="G719" s="68"/>
      <c r="H719" s="68"/>
      <c r="I719" s="68"/>
      <c r="J719" s="68"/>
      <c r="K719" s="68"/>
      <c r="L719" s="68"/>
      <c r="N719" s="75"/>
    </row>
    <row r="720" spans="1:14" ht="12.5" x14ac:dyDescent="0.25">
      <c r="A720" s="14"/>
      <c r="C720" s="68"/>
      <c r="D720" s="68"/>
      <c r="E720" s="68"/>
      <c r="F720" s="68"/>
      <c r="G720" s="68"/>
      <c r="H720" s="68"/>
      <c r="I720" s="68"/>
      <c r="J720" s="68"/>
      <c r="K720" s="68"/>
      <c r="L720" s="68"/>
      <c r="N720" s="75"/>
    </row>
    <row r="721" spans="1:14" ht="12.5" x14ac:dyDescent="0.25">
      <c r="A721" s="14"/>
      <c r="C721" s="68"/>
      <c r="D721" s="68"/>
      <c r="E721" s="68"/>
      <c r="F721" s="68"/>
      <c r="G721" s="68"/>
      <c r="H721" s="68"/>
      <c r="I721" s="68"/>
      <c r="J721" s="68"/>
      <c r="K721" s="68"/>
      <c r="L721" s="68"/>
      <c r="N721" s="75"/>
    </row>
    <row r="722" spans="1:14" ht="12.5" x14ac:dyDescent="0.25">
      <c r="A722" s="14"/>
      <c r="C722" s="68"/>
      <c r="D722" s="68"/>
      <c r="E722" s="68"/>
      <c r="F722" s="68"/>
      <c r="G722" s="68"/>
      <c r="H722" s="68"/>
      <c r="I722" s="68"/>
      <c r="J722" s="68"/>
      <c r="K722" s="68"/>
      <c r="L722" s="68"/>
      <c r="N722" s="75"/>
    </row>
    <row r="723" spans="1:14" ht="12.5" x14ac:dyDescent="0.25">
      <c r="A723" s="14"/>
      <c r="C723" s="68"/>
      <c r="D723" s="68"/>
      <c r="E723" s="68"/>
      <c r="F723" s="68"/>
      <c r="G723" s="68"/>
      <c r="H723" s="68"/>
      <c r="I723" s="68"/>
      <c r="J723" s="68"/>
      <c r="K723" s="68"/>
      <c r="L723" s="68"/>
      <c r="N723" s="75"/>
    </row>
    <row r="724" spans="1:14" ht="12.5" x14ac:dyDescent="0.25">
      <c r="A724" s="14"/>
      <c r="C724" s="68"/>
      <c r="D724" s="68"/>
      <c r="E724" s="68"/>
      <c r="F724" s="68"/>
      <c r="G724" s="68"/>
      <c r="H724" s="68"/>
      <c r="I724" s="68"/>
      <c r="J724" s="68"/>
      <c r="K724" s="68"/>
      <c r="L724" s="68"/>
      <c r="N724" s="75"/>
    </row>
    <row r="725" spans="1:14" ht="12.5" x14ac:dyDescent="0.25">
      <c r="A725" s="14"/>
      <c r="C725" s="68"/>
      <c r="D725" s="68"/>
      <c r="E725" s="68"/>
      <c r="F725" s="68"/>
      <c r="G725" s="68"/>
      <c r="H725" s="68"/>
      <c r="I725" s="68"/>
      <c r="J725" s="68"/>
      <c r="K725" s="68"/>
      <c r="L725" s="68"/>
      <c r="N725" s="75"/>
    </row>
    <row r="726" spans="1:14" ht="12.5" x14ac:dyDescent="0.25">
      <c r="A726" s="14"/>
      <c r="C726" s="68"/>
      <c r="D726" s="68"/>
      <c r="E726" s="68"/>
      <c r="F726" s="68"/>
      <c r="G726" s="68"/>
      <c r="H726" s="68"/>
      <c r="I726" s="68"/>
      <c r="J726" s="68"/>
      <c r="K726" s="68"/>
      <c r="L726" s="68"/>
      <c r="N726" s="75"/>
    </row>
    <row r="727" spans="1:14" ht="12.5" x14ac:dyDescent="0.25">
      <c r="A727" s="14"/>
      <c r="C727" s="68"/>
      <c r="D727" s="68"/>
      <c r="E727" s="68"/>
      <c r="F727" s="68"/>
      <c r="G727" s="68"/>
      <c r="H727" s="68"/>
      <c r="I727" s="68"/>
      <c r="J727" s="68"/>
      <c r="K727" s="68"/>
      <c r="L727" s="68"/>
      <c r="N727" s="75"/>
    </row>
    <row r="728" spans="1:14" ht="12.5" x14ac:dyDescent="0.25">
      <c r="A728" s="14"/>
      <c r="C728" s="68"/>
      <c r="D728" s="68"/>
      <c r="E728" s="68"/>
      <c r="F728" s="68"/>
      <c r="G728" s="68"/>
      <c r="H728" s="68"/>
      <c r="I728" s="68"/>
      <c r="J728" s="68"/>
      <c r="K728" s="68"/>
      <c r="L728" s="68"/>
      <c r="N728" s="75"/>
    </row>
    <row r="729" spans="1:14" ht="12.5" x14ac:dyDescent="0.25">
      <c r="A729" s="14"/>
      <c r="C729" s="68"/>
      <c r="D729" s="68"/>
      <c r="E729" s="68"/>
      <c r="F729" s="68"/>
      <c r="G729" s="68"/>
      <c r="H729" s="68"/>
      <c r="I729" s="68"/>
      <c r="J729" s="68"/>
      <c r="K729" s="68"/>
      <c r="L729" s="68"/>
      <c r="N729" s="75"/>
    </row>
    <row r="730" spans="1:14" ht="12.5" x14ac:dyDescent="0.25">
      <c r="A730" s="14"/>
      <c r="C730" s="68"/>
      <c r="D730" s="68"/>
      <c r="E730" s="68"/>
      <c r="F730" s="68"/>
      <c r="G730" s="68"/>
      <c r="H730" s="68"/>
      <c r="I730" s="68"/>
      <c r="J730" s="68"/>
      <c r="K730" s="68"/>
      <c r="L730" s="68"/>
      <c r="N730" s="75"/>
    </row>
    <row r="731" spans="1:14" ht="12.5" x14ac:dyDescent="0.25">
      <c r="A731" s="14"/>
      <c r="C731" s="68"/>
      <c r="D731" s="68"/>
      <c r="E731" s="68"/>
      <c r="F731" s="68"/>
      <c r="G731" s="68"/>
      <c r="H731" s="68"/>
      <c r="I731" s="68"/>
      <c r="J731" s="68"/>
      <c r="K731" s="68"/>
      <c r="L731" s="68"/>
      <c r="N731" s="75"/>
    </row>
    <row r="732" spans="1:14" ht="12.5" x14ac:dyDescent="0.25">
      <c r="A732" s="14"/>
      <c r="C732" s="68"/>
      <c r="D732" s="68"/>
      <c r="E732" s="68"/>
      <c r="F732" s="68"/>
      <c r="G732" s="68"/>
      <c r="H732" s="68"/>
      <c r="I732" s="68"/>
      <c r="J732" s="68"/>
      <c r="K732" s="68"/>
      <c r="L732" s="68"/>
      <c r="N732" s="75"/>
    </row>
    <row r="733" spans="1:14" ht="12.5" x14ac:dyDescent="0.25">
      <c r="A733" s="14"/>
      <c r="C733" s="68"/>
      <c r="D733" s="68"/>
      <c r="E733" s="68"/>
      <c r="F733" s="68"/>
      <c r="G733" s="68"/>
      <c r="H733" s="68"/>
      <c r="I733" s="68"/>
      <c r="J733" s="68"/>
      <c r="K733" s="68"/>
      <c r="L733" s="68"/>
      <c r="N733" s="75"/>
    </row>
    <row r="734" spans="1:14" ht="12.5" x14ac:dyDescent="0.25">
      <c r="A734" s="14"/>
      <c r="C734" s="68"/>
      <c r="D734" s="68"/>
      <c r="E734" s="68"/>
      <c r="F734" s="68"/>
      <c r="G734" s="68"/>
      <c r="H734" s="68"/>
      <c r="I734" s="68"/>
      <c r="J734" s="68"/>
      <c r="K734" s="68"/>
      <c r="L734" s="68"/>
      <c r="N734" s="75"/>
    </row>
    <row r="735" spans="1:14" ht="12.5" x14ac:dyDescent="0.25">
      <c r="A735" s="14"/>
      <c r="C735" s="68"/>
      <c r="D735" s="68"/>
      <c r="E735" s="68"/>
      <c r="F735" s="68"/>
      <c r="G735" s="68"/>
      <c r="H735" s="68"/>
      <c r="I735" s="68"/>
      <c r="J735" s="68"/>
      <c r="K735" s="68"/>
      <c r="L735" s="68"/>
      <c r="N735" s="75"/>
    </row>
    <row r="736" spans="1:14" ht="12.5" x14ac:dyDescent="0.25">
      <c r="A736" s="14"/>
      <c r="C736" s="68"/>
      <c r="D736" s="68"/>
      <c r="E736" s="68"/>
      <c r="F736" s="68"/>
      <c r="G736" s="68"/>
      <c r="H736" s="68"/>
      <c r="I736" s="68"/>
      <c r="J736" s="68"/>
      <c r="K736" s="68"/>
      <c r="L736" s="68"/>
      <c r="N736" s="75"/>
    </row>
    <row r="737" spans="1:14" ht="12.5" x14ac:dyDescent="0.25">
      <c r="A737" s="14"/>
      <c r="C737" s="68"/>
      <c r="D737" s="68"/>
      <c r="E737" s="68"/>
      <c r="F737" s="68"/>
      <c r="G737" s="68"/>
      <c r="H737" s="68"/>
      <c r="I737" s="68"/>
      <c r="J737" s="68"/>
      <c r="K737" s="68"/>
      <c r="L737" s="68"/>
      <c r="N737" s="75"/>
    </row>
    <row r="738" spans="1:14" ht="12.5" x14ac:dyDescent="0.25">
      <c r="A738" s="14"/>
      <c r="C738" s="68"/>
      <c r="D738" s="68"/>
      <c r="E738" s="68"/>
      <c r="F738" s="68"/>
      <c r="G738" s="68"/>
      <c r="H738" s="68"/>
      <c r="I738" s="68"/>
      <c r="J738" s="68"/>
      <c r="K738" s="68"/>
      <c r="L738" s="68"/>
      <c r="N738" s="75"/>
    </row>
    <row r="739" spans="1:14" ht="12.5" x14ac:dyDescent="0.25">
      <c r="A739" s="14"/>
      <c r="C739" s="68"/>
      <c r="D739" s="68"/>
      <c r="E739" s="68"/>
      <c r="F739" s="68"/>
      <c r="G739" s="68"/>
      <c r="H739" s="68"/>
      <c r="I739" s="68"/>
      <c r="J739" s="68"/>
      <c r="K739" s="68"/>
      <c r="L739" s="68"/>
      <c r="N739" s="75"/>
    </row>
    <row r="740" spans="1:14" ht="12.5" x14ac:dyDescent="0.25">
      <c r="A740" s="14"/>
      <c r="C740" s="68"/>
      <c r="D740" s="68"/>
      <c r="E740" s="68"/>
      <c r="F740" s="68"/>
      <c r="G740" s="68"/>
      <c r="H740" s="68"/>
      <c r="I740" s="68"/>
      <c r="J740" s="68"/>
      <c r="K740" s="68"/>
      <c r="L740" s="68"/>
      <c r="N740" s="75"/>
    </row>
    <row r="741" spans="1:14" ht="12.5" x14ac:dyDescent="0.25">
      <c r="A741" s="14"/>
      <c r="C741" s="68"/>
      <c r="D741" s="68"/>
      <c r="E741" s="68"/>
      <c r="F741" s="68"/>
      <c r="G741" s="68"/>
      <c r="H741" s="68"/>
      <c r="I741" s="68"/>
      <c r="J741" s="68"/>
      <c r="K741" s="68"/>
      <c r="L741" s="68"/>
      <c r="N741" s="75"/>
    </row>
    <row r="742" spans="1:14" ht="12.5" x14ac:dyDescent="0.25">
      <c r="A742" s="14"/>
      <c r="C742" s="68"/>
      <c r="D742" s="68"/>
      <c r="E742" s="68"/>
      <c r="F742" s="68"/>
      <c r="G742" s="68"/>
      <c r="H742" s="68"/>
      <c r="I742" s="68"/>
      <c r="J742" s="68"/>
      <c r="K742" s="68"/>
      <c r="L742" s="68"/>
      <c r="N742" s="75"/>
    </row>
    <row r="743" spans="1:14" ht="12.5" x14ac:dyDescent="0.25">
      <c r="A743" s="14"/>
      <c r="C743" s="68"/>
      <c r="D743" s="68"/>
      <c r="E743" s="68"/>
      <c r="F743" s="68"/>
      <c r="G743" s="68"/>
      <c r="H743" s="68"/>
      <c r="I743" s="68"/>
      <c r="J743" s="68"/>
      <c r="K743" s="68"/>
      <c r="L743" s="68"/>
      <c r="N743" s="75"/>
    </row>
    <row r="744" spans="1:14" ht="12.5" x14ac:dyDescent="0.25">
      <c r="A744" s="14"/>
      <c r="C744" s="68"/>
      <c r="D744" s="68"/>
      <c r="E744" s="68"/>
      <c r="F744" s="68"/>
      <c r="G744" s="68"/>
      <c r="H744" s="68"/>
      <c r="I744" s="68"/>
      <c r="J744" s="68"/>
      <c r="K744" s="68"/>
      <c r="L744" s="68"/>
      <c r="N744" s="75"/>
    </row>
    <row r="745" spans="1:14" ht="12.5" x14ac:dyDescent="0.25">
      <c r="A745" s="14"/>
      <c r="C745" s="68"/>
      <c r="D745" s="68"/>
      <c r="E745" s="68"/>
      <c r="F745" s="68"/>
      <c r="G745" s="68"/>
      <c r="H745" s="68"/>
      <c r="I745" s="68"/>
      <c r="J745" s="68"/>
      <c r="K745" s="68"/>
      <c r="L745" s="68"/>
      <c r="N745" s="75"/>
    </row>
    <row r="746" spans="1:14" ht="12.5" x14ac:dyDescent="0.25">
      <c r="A746" s="14"/>
      <c r="C746" s="68"/>
      <c r="D746" s="68"/>
      <c r="E746" s="68"/>
      <c r="F746" s="68"/>
      <c r="G746" s="68"/>
      <c r="H746" s="68"/>
      <c r="I746" s="68"/>
      <c r="J746" s="68"/>
      <c r="K746" s="68"/>
      <c r="L746" s="68"/>
      <c r="N746" s="75"/>
    </row>
    <row r="747" spans="1:14" ht="12.5" x14ac:dyDescent="0.25">
      <c r="A747" s="14"/>
      <c r="C747" s="68"/>
      <c r="D747" s="68"/>
      <c r="E747" s="68"/>
      <c r="F747" s="68"/>
      <c r="G747" s="68"/>
      <c r="H747" s="68"/>
      <c r="I747" s="68"/>
      <c r="J747" s="68"/>
      <c r="K747" s="68"/>
      <c r="L747" s="68"/>
      <c r="N747" s="75"/>
    </row>
    <row r="748" spans="1:14" ht="12.5" x14ac:dyDescent="0.25">
      <c r="A748" s="14"/>
      <c r="C748" s="68"/>
      <c r="D748" s="68"/>
      <c r="E748" s="68"/>
      <c r="F748" s="68"/>
      <c r="G748" s="68"/>
      <c r="H748" s="68"/>
      <c r="I748" s="68"/>
      <c r="J748" s="68"/>
      <c r="K748" s="68"/>
      <c r="L748" s="68"/>
      <c r="N748" s="75"/>
    </row>
    <row r="749" spans="1:14" ht="12.5" x14ac:dyDescent="0.25">
      <c r="A749" s="14"/>
      <c r="C749" s="68"/>
      <c r="D749" s="68"/>
      <c r="E749" s="68"/>
      <c r="F749" s="68"/>
      <c r="G749" s="68"/>
      <c r="H749" s="68"/>
      <c r="I749" s="68"/>
      <c r="J749" s="68"/>
      <c r="K749" s="68"/>
      <c r="L749" s="68"/>
      <c r="N749" s="75"/>
    </row>
    <row r="750" spans="1:14" ht="12.5" x14ac:dyDescent="0.25">
      <c r="A750" s="14"/>
      <c r="C750" s="68"/>
      <c r="D750" s="68"/>
      <c r="E750" s="68"/>
      <c r="F750" s="68"/>
      <c r="G750" s="68"/>
      <c r="H750" s="68"/>
      <c r="I750" s="68"/>
      <c r="J750" s="68"/>
      <c r="K750" s="68"/>
      <c r="L750" s="68"/>
      <c r="N750" s="75"/>
    </row>
    <row r="751" spans="1:14" ht="12.5" x14ac:dyDescent="0.25">
      <c r="A751" s="14"/>
      <c r="C751" s="68"/>
      <c r="D751" s="68"/>
      <c r="E751" s="68"/>
      <c r="F751" s="68"/>
      <c r="G751" s="68"/>
      <c r="H751" s="68"/>
      <c r="I751" s="68"/>
      <c r="J751" s="68"/>
      <c r="K751" s="68"/>
      <c r="L751" s="68"/>
      <c r="N751" s="75"/>
    </row>
    <row r="752" spans="1:14" ht="12.5" x14ac:dyDescent="0.25">
      <c r="A752" s="14"/>
      <c r="C752" s="68"/>
      <c r="D752" s="68"/>
      <c r="E752" s="68"/>
      <c r="F752" s="68"/>
      <c r="G752" s="68"/>
      <c r="H752" s="68"/>
      <c r="I752" s="68"/>
      <c r="J752" s="68"/>
      <c r="K752" s="68"/>
      <c r="L752" s="68"/>
      <c r="N752" s="75"/>
    </row>
    <row r="753" spans="1:14" ht="12.5" x14ac:dyDescent="0.25">
      <c r="A753" s="14"/>
      <c r="C753" s="68"/>
      <c r="D753" s="68"/>
      <c r="E753" s="68"/>
      <c r="F753" s="68"/>
      <c r="G753" s="68"/>
      <c r="H753" s="68"/>
      <c r="I753" s="68"/>
      <c r="J753" s="68"/>
      <c r="K753" s="68"/>
      <c r="L753" s="68"/>
      <c r="N753" s="75"/>
    </row>
    <row r="754" spans="1:14" ht="12.5" x14ac:dyDescent="0.25">
      <c r="A754" s="14"/>
      <c r="C754" s="68"/>
      <c r="D754" s="68"/>
      <c r="E754" s="68"/>
      <c r="F754" s="68"/>
      <c r="G754" s="68"/>
      <c r="H754" s="68"/>
      <c r="I754" s="68"/>
      <c r="J754" s="68"/>
      <c r="K754" s="68"/>
      <c r="L754" s="68"/>
      <c r="N754" s="75"/>
    </row>
    <row r="755" spans="1:14" ht="12.5" x14ac:dyDescent="0.25">
      <c r="A755" s="14"/>
      <c r="C755" s="68"/>
      <c r="D755" s="68"/>
      <c r="E755" s="68"/>
      <c r="F755" s="68"/>
      <c r="G755" s="68"/>
      <c r="H755" s="68"/>
      <c r="I755" s="68"/>
      <c r="J755" s="68"/>
      <c r="K755" s="68"/>
      <c r="L755" s="68"/>
      <c r="N755" s="75"/>
    </row>
    <row r="756" spans="1:14" ht="12.5" x14ac:dyDescent="0.25">
      <c r="A756" s="14"/>
      <c r="C756" s="68"/>
      <c r="D756" s="68"/>
      <c r="E756" s="68"/>
      <c r="F756" s="68"/>
      <c r="G756" s="68"/>
      <c r="H756" s="68"/>
      <c r="I756" s="68"/>
      <c r="J756" s="68"/>
      <c r="K756" s="68"/>
      <c r="L756" s="68"/>
      <c r="N756" s="75"/>
    </row>
    <row r="757" spans="1:14" ht="12.5" x14ac:dyDescent="0.25">
      <c r="A757" s="14"/>
      <c r="C757" s="68"/>
      <c r="D757" s="68"/>
      <c r="E757" s="68"/>
      <c r="F757" s="68"/>
      <c r="G757" s="68"/>
      <c r="H757" s="68"/>
      <c r="I757" s="68"/>
      <c r="J757" s="68"/>
      <c r="K757" s="68"/>
      <c r="L757" s="68"/>
      <c r="N757" s="75"/>
    </row>
    <row r="758" spans="1:14" ht="12.5" x14ac:dyDescent="0.25">
      <c r="A758" s="14"/>
      <c r="C758" s="68"/>
      <c r="D758" s="68"/>
      <c r="E758" s="68"/>
      <c r="F758" s="68"/>
      <c r="G758" s="68"/>
      <c r="H758" s="68"/>
      <c r="I758" s="68"/>
      <c r="J758" s="68"/>
      <c r="K758" s="68"/>
      <c r="L758" s="68"/>
      <c r="N758" s="75"/>
    </row>
    <row r="759" spans="1:14" ht="12.5" x14ac:dyDescent="0.25">
      <c r="A759" s="14"/>
      <c r="C759" s="68"/>
      <c r="D759" s="68"/>
      <c r="E759" s="68"/>
      <c r="F759" s="68"/>
      <c r="G759" s="68"/>
      <c r="H759" s="68"/>
      <c r="I759" s="68"/>
      <c r="J759" s="68"/>
      <c r="K759" s="68"/>
      <c r="L759" s="68"/>
      <c r="N759" s="75"/>
    </row>
    <row r="760" spans="1:14" ht="12.5" x14ac:dyDescent="0.25">
      <c r="A760" s="14"/>
      <c r="C760" s="68"/>
      <c r="D760" s="68"/>
      <c r="E760" s="68"/>
      <c r="F760" s="68"/>
      <c r="G760" s="68"/>
      <c r="H760" s="68"/>
      <c r="I760" s="68"/>
      <c r="J760" s="68"/>
      <c r="K760" s="68"/>
      <c r="L760" s="68"/>
      <c r="N760" s="75"/>
    </row>
    <row r="761" spans="1:14" ht="12.5" x14ac:dyDescent="0.25">
      <c r="A761" s="14"/>
      <c r="C761" s="68"/>
      <c r="D761" s="68"/>
      <c r="E761" s="68"/>
      <c r="F761" s="68"/>
      <c r="G761" s="68"/>
      <c r="H761" s="68"/>
      <c r="I761" s="68"/>
      <c r="J761" s="68"/>
      <c r="K761" s="68"/>
      <c r="L761" s="68"/>
      <c r="N761" s="75"/>
    </row>
    <row r="762" spans="1:14" ht="12.5" x14ac:dyDescent="0.25">
      <c r="A762" s="14"/>
      <c r="C762" s="68"/>
      <c r="D762" s="68"/>
      <c r="E762" s="68"/>
      <c r="F762" s="68"/>
      <c r="G762" s="68"/>
      <c r="H762" s="68"/>
      <c r="I762" s="68"/>
      <c r="J762" s="68"/>
      <c r="K762" s="68"/>
      <c r="L762" s="68"/>
      <c r="N762" s="75"/>
    </row>
    <row r="763" spans="1:14" ht="12.5" x14ac:dyDescent="0.25">
      <c r="A763" s="14"/>
      <c r="C763" s="68"/>
      <c r="D763" s="68"/>
      <c r="E763" s="68"/>
      <c r="F763" s="68"/>
      <c r="G763" s="68"/>
      <c r="H763" s="68"/>
      <c r="I763" s="68"/>
      <c r="J763" s="68"/>
      <c r="K763" s="68"/>
      <c r="L763" s="68"/>
      <c r="N763" s="75"/>
    </row>
    <row r="764" spans="1:14" ht="12.5" x14ac:dyDescent="0.25">
      <c r="A764" s="14"/>
      <c r="C764" s="68"/>
      <c r="D764" s="68"/>
      <c r="E764" s="68"/>
      <c r="F764" s="68"/>
      <c r="G764" s="68"/>
      <c r="H764" s="68"/>
      <c r="I764" s="68"/>
      <c r="J764" s="68"/>
      <c r="K764" s="68"/>
      <c r="L764" s="68"/>
      <c r="N764" s="75"/>
    </row>
    <row r="765" spans="1:14" ht="12.5" x14ac:dyDescent="0.25">
      <c r="A765" s="14"/>
      <c r="C765" s="68"/>
      <c r="D765" s="68"/>
      <c r="E765" s="68"/>
      <c r="F765" s="68"/>
      <c r="G765" s="68"/>
      <c r="H765" s="68"/>
      <c r="I765" s="68"/>
      <c r="J765" s="68"/>
      <c r="K765" s="68"/>
      <c r="L765" s="68"/>
      <c r="N765" s="75"/>
    </row>
    <row r="766" spans="1:14" ht="12.5" x14ac:dyDescent="0.25">
      <c r="A766" s="14"/>
      <c r="C766" s="68"/>
      <c r="D766" s="68"/>
      <c r="E766" s="68"/>
      <c r="F766" s="68"/>
      <c r="G766" s="68"/>
      <c r="H766" s="68"/>
      <c r="I766" s="68"/>
      <c r="J766" s="68"/>
      <c r="K766" s="68"/>
      <c r="L766" s="68"/>
      <c r="N766" s="75"/>
    </row>
    <row r="767" spans="1:14" ht="12.5" x14ac:dyDescent="0.25">
      <c r="A767" s="14"/>
      <c r="C767" s="68"/>
      <c r="D767" s="68"/>
      <c r="E767" s="68"/>
      <c r="F767" s="68"/>
      <c r="G767" s="68"/>
      <c r="H767" s="68"/>
      <c r="I767" s="68"/>
      <c r="J767" s="68"/>
      <c r="K767" s="68"/>
      <c r="L767" s="68"/>
      <c r="N767" s="75"/>
    </row>
    <row r="768" spans="1:14" ht="12.5" x14ac:dyDescent="0.25">
      <c r="A768" s="14"/>
      <c r="C768" s="68"/>
      <c r="D768" s="68"/>
      <c r="E768" s="68"/>
      <c r="F768" s="68"/>
      <c r="G768" s="68"/>
      <c r="H768" s="68"/>
      <c r="I768" s="68"/>
      <c r="J768" s="68"/>
      <c r="K768" s="68"/>
      <c r="L768" s="68"/>
      <c r="N768" s="75"/>
    </row>
    <row r="769" spans="1:14" ht="12.5" x14ac:dyDescent="0.25">
      <c r="A769" s="14"/>
      <c r="C769" s="68"/>
      <c r="D769" s="68"/>
      <c r="E769" s="68"/>
      <c r="F769" s="68"/>
      <c r="G769" s="68"/>
      <c r="H769" s="68"/>
      <c r="I769" s="68"/>
      <c r="J769" s="68"/>
      <c r="K769" s="68"/>
      <c r="L769" s="68"/>
      <c r="N769" s="75"/>
    </row>
    <row r="770" spans="1:14" ht="12.5" x14ac:dyDescent="0.25">
      <c r="A770" s="14"/>
      <c r="C770" s="68"/>
      <c r="D770" s="68"/>
      <c r="E770" s="68"/>
      <c r="F770" s="68"/>
      <c r="G770" s="68"/>
      <c r="H770" s="68"/>
      <c r="I770" s="68"/>
      <c r="J770" s="68"/>
      <c r="K770" s="68"/>
      <c r="L770" s="68"/>
      <c r="N770" s="75"/>
    </row>
    <row r="771" spans="1:14" ht="12.5" x14ac:dyDescent="0.25">
      <c r="A771" s="14"/>
      <c r="C771" s="68"/>
      <c r="D771" s="68"/>
      <c r="E771" s="68"/>
      <c r="F771" s="68"/>
      <c r="G771" s="68"/>
      <c r="H771" s="68"/>
      <c r="I771" s="68"/>
      <c r="J771" s="68"/>
      <c r="K771" s="68"/>
      <c r="L771" s="68"/>
      <c r="N771" s="75"/>
    </row>
    <row r="772" spans="1:14" ht="12.5" x14ac:dyDescent="0.25">
      <c r="A772" s="14"/>
      <c r="C772" s="68"/>
      <c r="D772" s="68"/>
      <c r="E772" s="68"/>
      <c r="F772" s="68"/>
      <c r="G772" s="68"/>
      <c r="H772" s="68"/>
      <c r="I772" s="68"/>
      <c r="J772" s="68"/>
      <c r="K772" s="68"/>
      <c r="L772" s="68"/>
      <c r="N772" s="75"/>
    </row>
    <row r="773" spans="1:14" ht="12.5" x14ac:dyDescent="0.25">
      <c r="A773" s="14"/>
      <c r="C773" s="68"/>
      <c r="D773" s="68"/>
      <c r="E773" s="68"/>
      <c r="F773" s="68"/>
      <c r="G773" s="68"/>
      <c r="H773" s="68"/>
      <c r="I773" s="68"/>
      <c r="J773" s="68"/>
      <c r="K773" s="68"/>
      <c r="L773" s="68"/>
      <c r="N773" s="75"/>
    </row>
    <row r="774" spans="1:14" ht="12.5" x14ac:dyDescent="0.25">
      <c r="A774" s="14"/>
      <c r="C774" s="68"/>
      <c r="D774" s="68"/>
      <c r="E774" s="68"/>
      <c r="F774" s="68"/>
      <c r="G774" s="68"/>
      <c r="H774" s="68"/>
      <c r="I774" s="68"/>
      <c r="J774" s="68"/>
      <c r="K774" s="68"/>
      <c r="L774" s="68"/>
      <c r="N774" s="75"/>
    </row>
    <row r="775" spans="1:14" ht="12.5" x14ac:dyDescent="0.25">
      <c r="A775" s="14"/>
      <c r="C775" s="68"/>
      <c r="D775" s="68"/>
      <c r="E775" s="68"/>
      <c r="F775" s="68"/>
      <c r="G775" s="68"/>
      <c r="H775" s="68"/>
      <c r="I775" s="68"/>
      <c r="J775" s="68"/>
      <c r="K775" s="68"/>
      <c r="L775" s="68"/>
      <c r="N775" s="75"/>
    </row>
    <row r="776" spans="1:14" ht="12.5" x14ac:dyDescent="0.25">
      <c r="A776" s="14"/>
      <c r="C776" s="68"/>
      <c r="D776" s="68"/>
      <c r="E776" s="68"/>
      <c r="F776" s="68"/>
      <c r="G776" s="68"/>
      <c r="H776" s="68"/>
      <c r="I776" s="68"/>
      <c r="J776" s="68"/>
      <c r="K776" s="68"/>
      <c r="L776" s="68"/>
      <c r="N776" s="75"/>
    </row>
    <row r="777" spans="1:14" ht="12.5" x14ac:dyDescent="0.25">
      <c r="A777" s="14"/>
      <c r="C777" s="68"/>
      <c r="D777" s="68"/>
      <c r="E777" s="68"/>
      <c r="F777" s="68"/>
      <c r="G777" s="68"/>
      <c r="H777" s="68"/>
      <c r="I777" s="68"/>
      <c r="J777" s="68"/>
      <c r="K777" s="68"/>
      <c r="L777" s="68"/>
      <c r="N777" s="75"/>
    </row>
    <row r="778" spans="1:14" ht="12.5" x14ac:dyDescent="0.25">
      <c r="A778" s="14"/>
      <c r="C778" s="68"/>
      <c r="D778" s="68"/>
      <c r="E778" s="68"/>
      <c r="F778" s="68"/>
      <c r="G778" s="68"/>
      <c r="H778" s="68"/>
      <c r="I778" s="68"/>
      <c r="J778" s="68"/>
      <c r="K778" s="68"/>
      <c r="L778" s="68"/>
      <c r="N778" s="75"/>
    </row>
    <row r="779" spans="1:14" ht="12.5" x14ac:dyDescent="0.25">
      <c r="A779" s="14"/>
      <c r="C779" s="68"/>
      <c r="D779" s="68"/>
      <c r="E779" s="68"/>
      <c r="F779" s="68"/>
      <c r="G779" s="68"/>
      <c r="H779" s="68"/>
      <c r="I779" s="68"/>
      <c r="J779" s="68"/>
      <c r="K779" s="68"/>
      <c r="L779" s="68"/>
      <c r="N779" s="75"/>
    </row>
    <row r="780" spans="1:14" ht="12.5" x14ac:dyDescent="0.25">
      <c r="A780" s="14"/>
      <c r="C780" s="68"/>
      <c r="D780" s="68"/>
      <c r="E780" s="68"/>
      <c r="F780" s="68"/>
      <c r="G780" s="68"/>
      <c r="H780" s="68"/>
      <c r="I780" s="68"/>
      <c r="J780" s="68"/>
      <c r="K780" s="68"/>
      <c r="L780" s="68"/>
      <c r="N780" s="75"/>
    </row>
    <row r="781" spans="1:14" ht="12.5" x14ac:dyDescent="0.25">
      <c r="A781" s="14"/>
      <c r="C781" s="68"/>
      <c r="D781" s="68"/>
      <c r="E781" s="68"/>
      <c r="F781" s="68"/>
      <c r="G781" s="68"/>
      <c r="H781" s="68"/>
      <c r="I781" s="68"/>
      <c r="J781" s="68"/>
      <c r="K781" s="68"/>
      <c r="L781" s="68"/>
      <c r="N781" s="75"/>
    </row>
    <row r="782" spans="1:14" ht="12.5" x14ac:dyDescent="0.25">
      <c r="A782" s="14"/>
      <c r="C782" s="68"/>
      <c r="D782" s="68"/>
      <c r="E782" s="68"/>
      <c r="F782" s="68"/>
      <c r="G782" s="68"/>
      <c r="H782" s="68"/>
      <c r="I782" s="68"/>
      <c r="J782" s="68"/>
      <c r="K782" s="68"/>
      <c r="L782" s="68"/>
      <c r="N782" s="75"/>
    </row>
    <row r="783" spans="1:14" ht="12.5" x14ac:dyDescent="0.25">
      <c r="A783" s="14"/>
      <c r="C783" s="68"/>
      <c r="D783" s="68"/>
      <c r="E783" s="68"/>
      <c r="F783" s="68"/>
      <c r="G783" s="68"/>
      <c r="H783" s="68"/>
      <c r="I783" s="68"/>
      <c r="J783" s="68"/>
      <c r="K783" s="68"/>
      <c r="L783" s="68"/>
      <c r="N783" s="75"/>
    </row>
    <row r="784" spans="1:14" ht="12.5" x14ac:dyDescent="0.25">
      <c r="A784" s="14"/>
      <c r="C784" s="68"/>
      <c r="D784" s="68"/>
      <c r="E784" s="68"/>
      <c r="F784" s="68"/>
      <c r="G784" s="68"/>
      <c r="H784" s="68"/>
      <c r="I784" s="68"/>
      <c r="J784" s="68"/>
      <c r="K784" s="68"/>
      <c r="L784" s="68"/>
      <c r="N784" s="75"/>
    </row>
    <row r="785" spans="1:14" ht="12.5" x14ac:dyDescent="0.25">
      <c r="A785" s="14"/>
      <c r="C785" s="68"/>
      <c r="D785" s="68"/>
      <c r="E785" s="68"/>
      <c r="F785" s="68"/>
      <c r="G785" s="68"/>
      <c r="H785" s="68"/>
      <c r="I785" s="68"/>
      <c r="J785" s="68"/>
      <c r="K785" s="68"/>
      <c r="L785" s="68"/>
      <c r="N785" s="75"/>
    </row>
    <row r="786" spans="1:14" ht="12.5" x14ac:dyDescent="0.25">
      <c r="A786" s="14"/>
      <c r="C786" s="68"/>
      <c r="D786" s="68"/>
      <c r="E786" s="68"/>
      <c r="F786" s="68"/>
      <c r="G786" s="68"/>
      <c r="H786" s="68"/>
      <c r="I786" s="68"/>
      <c r="J786" s="68"/>
      <c r="K786" s="68"/>
      <c r="L786" s="68"/>
      <c r="N786" s="75"/>
    </row>
    <row r="787" spans="1:14" ht="12.5" x14ac:dyDescent="0.25">
      <c r="A787" s="14"/>
      <c r="C787" s="68"/>
      <c r="D787" s="68"/>
      <c r="E787" s="68"/>
      <c r="F787" s="68"/>
      <c r="G787" s="68"/>
      <c r="H787" s="68"/>
      <c r="I787" s="68"/>
      <c r="J787" s="68"/>
      <c r="K787" s="68"/>
      <c r="L787" s="68"/>
      <c r="N787" s="75"/>
    </row>
    <row r="788" spans="1:14" ht="12.5" x14ac:dyDescent="0.25">
      <c r="A788" s="14"/>
      <c r="C788" s="68"/>
      <c r="D788" s="68"/>
      <c r="E788" s="68"/>
      <c r="F788" s="68"/>
      <c r="G788" s="68"/>
      <c r="H788" s="68"/>
      <c r="I788" s="68"/>
      <c r="J788" s="68"/>
      <c r="K788" s="68"/>
      <c r="L788" s="68"/>
      <c r="N788" s="75"/>
    </row>
    <row r="789" spans="1:14" ht="12.5" x14ac:dyDescent="0.25">
      <c r="A789" s="14"/>
      <c r="C789" s="68"/>
      <c r="D789" s="68"/>
      <c r="E789" s="68"/>
      <c r="F789" s="68"/>
      <c r="G789" s="68"/>
      <c r="H789" s="68"/>
      <c r="I789" s="68"/>
      <c r="J789" s="68"/>
      <c r="K789" s="68"/>
      <c r="L789" s="68"/>
      <c r="N789" s="75"/>
    </row>
    <row r="790" spans="1:14" ht="12.5" x14ac:dyDescent="0.25">
      <c r="A790" s="14"/>
      <c r="C790" s="68"/>
      <c r="D790" s="68"/>
      <c r="E790" s="68"/>
      <c r="F790" s="68"/>
      <c r="G790" s="68"/>
      <c r="H790" s="68"/>
      <c r="I790" s="68"/>
      <c r="J790" s="68"/>
      <c r="K790" s="68"/>
      <c r="L790" s="68"/>
      <c r="N790" s="75"/>
    </row>
    <row r="791" spans="1:14" ht="12.5" x14ac:dyDescent="0.25">
      <c r="A791" s="14"/>
      <c r="C791" s="68"/>
      <c r="D791" s="68"/>
      <c r="E791" s="68"/>
      <c r="F791" s="68"/>
      <c r="G791" s="68"/>
      <c r="H791" s="68"/>
      <c r="I791" s="68"/>
      <c r="J791" s="68"/>
      <c r="K791" s="68"/>
      <c r="L791" s="68"/>
      <c r="N791" s="75"/>
    </row>
    <row r="792" spans="1:14" ht="12.5" x14ac:dyDescent="0.25">
      <c r="A792" s="14"/>
      <c r="C792" s="68"/>
      <c r="D792" s="68"/>
      <c r="E792" s="68"/>
      <c r="F792" s="68"/>
      <c r="G792" s="68"/>
      <c r="H792" s="68"/>
      <c r="I792" s="68"/>
      <c r="J792" s="68"/>
      <c r="K792" s="68"/>
      <c r="L792" s="68"/>
      <c r="N792" s="75"/>
    </row>
    <row r="793" spans="1:14" ht="12.5" x14ac:dyDescent="0.25">
      <c r="A793" s="14"/>
      <c r="C793" s="68"/>
      <c r="D793" s="68"/>
      <c r="E793" s="68"/>
      <c r="F793" s="68"/>
      <c r="G793" s="68"/>
      <c r="H793" s="68"/>
      <c r="I793" s="68"/>
      <c r="J793" s="68"/>
      <c r="K793" s="68"/>
      <c r="L793" s="68"/>
      <c r="N793" s="75"/>
    </row>
    <row r="794" spans="1:14" ht="12.5" x14ac:dyDescent="0.25">
      <c r="A794" s="14"/>
      <c r="C794" s="68"/>
      <c r="D794" s="68"/>
      <c r="E794" s="68"/>
      <c r="F794" s="68"/>
      <c r="G794" s="68"/>
      <c r="H794" s="68"/>
      <c r="I794" s="68"/>
      <c r="J794" s="68"/>
      <c r="K794" s="68"/>
      <c r="L794" s="68"/>
      <c r="N794" s="75"/>
    </row>
    <row r="795" spans="1:14" ht="12.5" x14ac:dyDescent="0.25">
      <c r="A795" s="14"/>
      <c r="C795" s="68"/>
      <c r="D795" s="68"/>
      <c r="E795" s="68"/>
      <c r="F795" s="68"/>
      <c r="G795" s="68"/>
      <c r="H795" s="68"/>
      <c r="I795" s="68"/>
      <c r="J795" s="68"/>
      <c r="K795" s="68"/>
      <c r="L795" s="68"/>
      <c r="N795" s="75"/>
    </row>
    <row r="796" spans="1:14" ht="12.5" x14ac:dyDescent="0.25">
      <c r="A796" s="14"/>
      <c r="C796" s="68"/>
      <c r="D796" s="68"/>
      <c r="E796" s="68"/>
      <c r="F796" s="68"/>
      <c r="G796" s="68"/>
      <c r="H796" s="68"/>
      <c r="I796" s="68"/>
      <c r="J796" s="68"/>
      <c r="K796" s="68"/>
      <c r="L796" s="68"/>
      <c r="N796" s="75"/>
    </row>
    <row r="797" spans="1:14" ht="12.5" x14ac:dyDescent="0.25">
      <c r="A797" s="14"/>
      <c r="C797" s="68"/>
      <c r="D797" s="68"/>
      <c r="E797" s="68"/>
      <c r="F797" s="68"/>
      <c r="G797" s="68"/>
      <c r="H797" s="68"/>
      <c r="I797" s="68"/>
      <c r="J797" s="68"/>
      <c r="K797" s="68"/>
      <c r="L797" s="68"/>
      <c r="N797" s="75"/>
    </row>
    <row r="798" spans="1:14" ht="12.5" x14ac:dyDescent="0.25">
      <c r="A798" s="14"/>
      <c r="C798" s="68"/>
      <c r="D798" s="68"/>
      <c r="E798" s="68"/>
      <c r="F798" s="68"/>
      <c r="G798" s="68"/>
      <c r="H798" s="68"/>
      <c r="I798" s="68"/>
      <c r="J798" s="68"/>
      <c r="K798" s="68"/>
      <c r="L798" s="68"/>
      <c r="N798" s="75"/>
    </row>
    <row r="799" spans="1:14" ht="12.5" x14ac:dyDescent="0.25">
      <c r="A799" s="14"/>
      <c r="C799" s="68"/>
      <c r="D799" s="68"/>
      <c r="E799" s="68"/>
      <c r="F799" s="68"/>
      <c r="G799" s="68"/>
      <c r="H799" s="68"/>
      <c r="I799" s="68"/>
      <c r="J799" s="68"/>
      <c r="K799" s="68"/>
      <c r="L799" s="68"/>
      <c r="N799" s="75"/>
    </row>
    <row r="800" spans="1:14" ht="12.5" x14ac:dyDescent="0.25">
      <c r="A800" s="14"/>
      <c r="C800" s="68"/>
      <c r="D800" s="68"/>
      <c r="E800" s="68"/>
      <c r="F800" s="68"/>
      <c r="G800" s="68"/>
      <c r="H800" s="68"/>
      <c r="I800" s="68"/>
      <c r="J800" s="68"/>
      <c r="K800" s="68"/>
      <c r="L800" s="68"/>
      <c r="N800" s="75"/>
    </row>
    <row r="801" spans="1:14" ht="12.5" x14ac:dyDescent="0.25">
      <c r="A801" s="14"/>
      <c r="C801" s="68"/>
      <c r="D801" s="68"/>
      <c r="E801" s="68"/>
      <c r="F801" s="68"/>
      <c r="G801" s="68"/>
      <c r="H801" s="68"/>
      <c r="I801" s="68"/>
      <c r="J801" s="68"/>
      <c r="K801" s="68"/>
      <c r="L801" s="68"/>
      <c r="N801" s="75"/>
    </row>
    <row r="802" spans="1:14" ht="12.5" x14ac:dyDescent="0.25">
      <c r="A802" s="14"/>
      <c r="C802" s="68"/>
      <c r="D802" s="68"/>
      <c r="E802" s="68"/>
      <c r="F802" s="68"/>
      <c r="G802" s="68"/>
      <c r="H802" s="68"/>
      <c r="I802" s="68"/>
      <c r="J802" s="68"/>
      <c r="K802" s="68"/>
      <c r="L802" s="68"/>
      <c r="N802" s="75"/>
    </row>
    <row r="803" spans="1:14" ht="12.5" x14ac:dyDescent="0.25">
      <c r="A803" s="14"/>
      <c r="C803" s="68"/>
      <c r="D803" s="68"/>
      <c r="E803" s="68"/>
      <c r="F803" s="68"/>
      <c r="G803" s="68"/>
      <c r="H803" s="68"/>
      <c r="I803" s="68"/>
      <c r="J803" s="68"/>
      <c r="K803" s="68"/>
      <c r="L803" s="68"/>
      <c r="N803" s="75"/>
    </row>
    <row r="804" spans="1:14" ht="12.5" x14ac:dyDescent="0.25">
      <c r="A804" s="14"/>
      <c r="C804" s="68"/>
      <c r="D804" s="68"/>
      <c r="E804" s="68"/>
      <c r="F804" s="68"/>
      <c r="G804" s="68"/>
      <c r="H804" s="68"/>
      <c r="I804" s="68"/>
      <c r="J804" s="68"/>
      <c r="K804" s="68"/>
      <c r="L804" s="68"/>
      <c r="N804" s="75"/>
    </row>
    <row r="805" spans="1:14" ht="12.5" x14ac:dyDescent="0.25">
      <c r="A805" s="14"/>
      <c r="C805" s="68"/>
      <c r="D805" s="68"/>
      <c r="E805" s="68"/>
      <c r="F805" s="68"/>
      <c r="G805" s="68"/>
      <c r="H805" s="68"/>
      <c r="I805" s="68"/>
      <c r="J805" s="68"/>
      <c r="K805" s="68"/>
      <c r="L805" s="68"/>
      <c r="N805" s="75"/>
    </row>
    <row r="806" spans="1:14" ht="12.5" x14ac:dyDescent="0.25">
      <c r="A806" s="14"/>
      <c r="C806" s="68"/>
      <c r="D806" s="68"/>
      <c r="E806" s="68"/>
      <c r="F806" s="68"/>
      <c r="G806" s="68"/>
      <c r="H806" s="68"/>
      <c r="I806" s="68"/>
      <c r="J806" s="68"/>
      <c r="K806" s="68"/>
      <c r="L806" s="68"/>
      <c r="N806" s="75"/>
    </row>
    <row r="807" spans="1:14" ht="12.5" x14ac:dyDescent="0.25">
      <c r="A807" s="14"/>
      <c r="C807" s="68"/>
      <c r="D807" s="68"/>
      <c r="E807" s="68"/>
      <c r="F807" s="68"/>
      <c r="G807" s="68"/>
      <c r="H807" s="68"/>
      <c r="I807" s="68"/>
      <c r="J807" s="68"/>
      <c r="K807" s="68"/>
      <c r="L807" s="68"/>
      <c r="N807" s="75"/>
    </row>
    <row r="808" spans="1:14" ht="12.5" x14ac:dyDescent="0.25">
      <c r="A808" s="14"/>
      <c r="C808" s="68"/>
      <c r="D808" s="68"/>
      <c r="E808" s="68"/>
      <c r="F808" s="68"/>
      <c r="G808" s="68"/>
      <c r="H808" s="68"/>
      <c r="I808" s="68"/>
      <c r="J808" s="68"/>
      <c r="K808" s="68"/>
      <c r="L808" s="68"/>
      <c r="N808" s="75"/>
    </row>
    <row r="809" spans="1:14" ht="12.5" x14ac:dyDescent="0.25">
      <c r="A809" s="14"/>
      <c r="C809" s="68"/>
      <c r="D809" s="68"/>
      <c r="E809" s="68"/>
      <c r="F809" s="68"/>
      <c r="G809" s="68"/>
      <c r="H809" s="68"/>
      <c r="I809" s="68"/>
      <c r="J809" s="68"/>
      <c r="K809" s="68"/>
      <c r="L809" s="68"/>
      <c r="N809" s="75"/>
    </row>
    <row r="810" spans="1:14" ht="12.5" x14ac:dyDescent="0.25">
      <c r="A810" s="14"/>
      <c r="C810" s="68"/>
      <c r="D810" s="68"/>
      <c r="E810" s="68"/>
      <c r="F810" s="68"/>
      <c r="G810" s="68"/>
      <c r="H810" s="68"/>
      <c r="I810" s="68"/>
      <c r="J810" s="68"/>
      <c r="K810" s="68"/>
      <c r="L810" s="68"/>
      <c r="N810" s="75"/>
    </row>
    <row r="811" spans="1:14" ht="12.5" x14ac:dyDescent="0.25">
      <c r="A811" s="14"/>
      <c r="C811" s="68"/>
      <c r="D811" s="68"/>
      <c r="E811" s="68"/>
      <c r="F811" s="68"/>
      <c r="G811" s="68"/>
      <c r="H811" s="68"/>
      <c r="I811" s="68"/>
      <c r="J811" s="68"/>
      <c r="K811" s="68"/>
      <c r="L811" s="68"/>
      <c r="N811" s="75"/>
    </row>
    <row r="812" spans="1:14" ht="12.5" x14ac:dyDescent="0.25">
      <c r="A812" s="14"/>
      <c r="C812" s="68"/>
      <c r="D812" s="68"/>
      <c r="E812" s="68"/>
      <c r="F812" s="68"/>
      <c r="G812" s="68"/>
      <c r="H812" s="68"/>
      <c r="I812" s="68"/>
      <c r="J812" s="68"/>
      <c r="K812" s="68"/>
      <c r="L812" s="68"/>
      <c r="N812" s="75"/>
    </row>
    <row r="813" spans="1:14" ht="12.5" x14ac:dyDescent="0.25">
      <c r="A813" s="14"/>
      <c r="C813" s="68"/>
      <c r="D813" s="68"/>
      <c r="E813" s="68"/>
      <c r="F813" s="68"/>
      <c r="G813" s="68"/>
      <c r="H813" s="68"/>
      <c r="I813" s="68"/>
      <c r="J813" s="68"/>
      <c r="K813" s="68"/>
      <c r="L813" s="68"/>
      <c r="N813" s="75"/>
    </row>
    <row r="814" spans="1:14" ht="12.5" x14ac:dyDescent="0.25">
      <c r="A814" s="14"/>
      <c r="C814" s="68"/>
      <c r="D814" s="68"/>
      <c r="E814" s="68"/>
      <c r="F814" s="68"/>
      <c r="G814" s="68"/>
      <c r="H814" s="68"/>
      <c r="I814" s="68"/>
      <c r="J814" s="68"/>
      <c r="K814" s="68"/>
      <c r="L814" s="68"/>
      <c r="N814" s="75"/>
    </row>
    <row r="815" spans="1:14" ht="12.5" x14ac:dyDescent="0.25">
      <c r="A815" s="14"/>
      <c r="C815" s="68"/>
      <c r="D815" s="68"/>
      <c r="E815" s="68"/>
      <c r="F815" s="68"/>
      <c r="G815" s="68"/>
      <c r="H815" s="68"/>
      <c r="I815" s="68"/>
      <c r="J815" s="68"/>
      <c r="K815" s="68"/>
      <c r="L815" s="68"/>
      <c r="N815" s="75"/>
    </row>
    <row r="816" spans="1:14" ht="12.5" x14ac:dyDescent="0.25">
      <c r="A816" s="14"/>
      <c r="C816" s="68"/>
      <c r="D816" s="68"/>
      <c r="E816" s="68"/>
      <c r="F816" s="68"/>
      <c r="G816" s="68"/>
      <c r="H816" s="68"/>
      <c r="I816" s="68"/>
      <c r="J816" s="68"/>
      <c r="K816" s="68"/>
      <c r="L816" s="68"/>
      <c r="N816" s="75"/>
    </row>
    <row r="817" spans="1:14" ht="12.5" x14ac:dyDescent="0.25">
      <c r="A817" s="14"/>
      <c r="C817" s="68"/>
      <c r="D817" s="68"/>
      <c r="E817" s="68"/>
      <c r="F817" s="68"/>
      <c r="G817" s="68"/>
      <c r="H817" s="68"/>
      <c r="I817" s="68"/>
      <c r="J817" s="68"/>
      <c r="K817" s="68"/>
      <c r="L817" s="68"/>
      <c r="N817" s="75"/>
    </row>
    <row r="818" spans="1:14" ht="12.5" x14ac:dyDescent="0.25">
      <c r="A818" s="14"/>
      <c r="C818" s="68"/>
      <c r="D818" s="68"/>
      <c r="E818" s="68"/>
      <c r="F818" s="68"/>
      <c r="G818" s="68"/>
      <c r="H818" s="68"/>
      <c r="I818" s="68"/>
      <c r="J818" s="68"/>
      <c r="K818" s="68"/>
      <c r="L818" s="68"/>
      <c r="N818" s="75"/>
    </row>
    <row r="819" spans="1:14" ht="12.5" x14ac:dyDescent="0.25">
      <c r="A819" s="14"/>
      <c r="C819" s="68"/>
      <c r="D819" s="68"/>
      <c r="E819" s="68"/>
      <c r="F819" s="68"/>
      <c r="G819" s="68"/>
      <c r="H819" s="68"/>
      <c r="I819" s="68"/>
      <c r="J819" s="68"/>
      <c r="K819" s="68"/>
      <c r="L819" s="68"/>
      <c r="N819" s="75"/>
    </row>
    <row r="820" spans="1:14" ht="12.5" x14ac:dyDescent="0.25">
      <c r="A820" s="14"/>
      <c r="C820" s="68"/>
      <c r="D820" s="68"/>
      <c r="E820" s="68"/>
      <c r="F820" s="68"/>
      <c r="G820" s="68"/>
      <c r="H820" s="68"/>
      <c r="I820" s="68"/>
      <c r="J820" s="68"/>
      <c r="K820" s="68"/>
      <c r="L820" s="68"/>
      <c r="N820" s="75"/>
    </row>
    <row r="821" spans="1:14" ht="12.5" x14ac:dyDescent="0.25">
      <c r="A821" s="14"/>
      <c r="C821" s="68"/>
      <c r="D821" s="68"/>
      <c r="E821" s="68"/>
      <c r="F821" s="68"/>
      <c r="G821" s="68"/>
      <c r="H821" s="68"/>
      <c r="I821" s="68"/>
      <c r="J821" s="68"/>
      <c r="K821" s="68"/>
      <c r="L821" s="68"/>
      <c r="N821" s="75"/>
    </row>
    <row r="822" spans="1:14" ht="12.5" x14ac:dyDescent="0.25">
      <c r="A822" s="14"/>
      <c r="C822" s="68"/>
      <c r="D822" s="68"/>
      <c r="E822" s="68"/>
      <c r="F822" s="68"/>
      <c r="G822" s="68"/>
      <c r="H822" s="68"/>
      <c r="I822" s="68"/>
      <c r="J822" s="68"/>
      <c r="K822" s="68"/>
      <c r="L822" s="68"/>
      <c r="N822" s="75"/>
    </row>
    <row r="823" spans="1:14" ht="12.5" x14ac:dyDescent="0.25">
      <c r="A823" s="14"/>
      <c r="C823" s="68"/>
      <c r="D823" s="68"/>
      <c r="E823" s="68"/>
      <c r="F823" s="68"/>
      <c r="G823" s="68"/>
      <c r="H823" s="68"/>
      <c r="I823" s="68"/>
      <c r="J823" s="68"/>
      <c r="K823" s="68"/>
      <c r="L823" s="68"/>
      <c r="N823" s="75"/>
    </row>
    <row r="824" spans="1:14" ht="12.5" x14ac:dyDescent="0.25">
      <c r="A824" s="14"/>
      <c r="C824" s="68"/>
      <c r="D824" s="68"/>
      <c r="E824" s="68"/>
      <c r="F824" s="68"/>
      <c r="G824" s="68"/>
      <c r="H824" s="68"/>
      <c r="I824" s="68"/>
      <c r="J824" s="68"/>
      <c r="K824" s="68"/>
      <c r="L824" s="68"/>
      <c r="N824" s="75"/>
    </row>
    <row r="825" spans="1:14" ht="12.5" x14ac:dyDescent="0.25">
      <c r="A825" s="14"/>
      <c r="C825" s="68"/>
      <c r="D825" s="68"/>
      <c r="E825" s="68"/>
      <c r="F825" s="68"/>
      <c r="G825" s="68"/>
      <c r="H825" s="68"/>
      <c r="I825" s="68"/>
      <c r="J825" s="68"/>
      <c r="K825" s="68"/>
      <c r="L825" s="68"/>
      <c r="N825" s="75"/>
    </row>
    <row r="826" spans="1:14" ht="12.5" x14ac:dyDescent="0.25">
      <c r="A826" s="14"/>
      <c r="C826" s="68"/>
      <c r="D826" s="68"/>
      <c r="E826" s="68"/>
      <c r="F826" s="68"/>
      <c r="G826" s="68"/>
      <c r="H826" s="68"/>
      <c r="I826" s="68"/>
      <c r="J826" s="68"/>
      <c r="K826" s="68"/>
      <c r="L826" s="68"/>
      <c r="N826" s="75"/>
    </row>
    <row r="827" spans="1:14" ht="12.5" x14ac:dyDescent="0.25">
      <c r="A827" s="14"/>
      <c r="C827" s="68"/>
      <c r="D827" s="68"/>
      <c r="E827" s="68"/>
      <c r="F827" s="68"/>
      <c r="G827" s="68"/>
      <c r="H827" s="68"/>
      <c r="I827" s="68"/>
      <c r="J827" s="68"/>
      <c r="K827" s="68"/>
      <c r="L827" s="68"/>
      <c r="N827" s="75"/>
    </row>
    <row r="828" spans="1:14" ht="12.5" x14ac:dyDescent="0.25">
      <c r="A828" s="14"/>
      <c r="C828" s="68"/>
      <c r="D828" s="68"/>
      <c r="E828" s="68"/>
      <c r="F828" s="68"/>
      <c r="G828" s="68"/>
      <c r="H828" s="68"/>
      <c r="I828" s="68"/>
      <c r="J828" s="68"/>
      <c r="K828" s="68"/>
      <c r="L828" s="68"/>
      <c r="N828" s="75"/>
    </row>
    <row r="829" spans="1:14" ht="12.5" x14ac:dyDescent="0.25">
      <c r="A829" s="14"/>
      <c r="C829" s="68"/>
      <c r="D829" s="68"/>
      <c r="E829" s="68"/>
      <c r="F829" s="68"/>
      <c r="G829" s="68"/>
      <c r="H829" s="68"/>
      <c r="I829" s="68"/>
      <c r="J829" s="68"/>
      <c r="K829" s="68"/>
      <c r="L829" s="68"/>
      <c r="N829" s="75"/>
    </row>
    <row r="830" spans="1:14" ht="12.5" x14ac:dyDescent="0.25">
      <c r="A830" s="14"/>
      <c r="C830" s="68"/>
      <c r="D830" s="68"/>
      <c r="E830" s="68"/>
      <c r="F830" s="68"/>
      <c r="G830" s="68"/>
      <c r="H830" s="68"/>
      <c r="I830" s="68"/>
      <c r="J830" s="68"/>
      <c r="K830" s="68"/>
      <c r="L830" s="68"/>
      <c r="N830" s="75"/>
    </row>
    <row r="831" spans="1:14" ht="12.5" x14ac:dyDescent="0.25">
      <c r="A831" s="14"/>
      <c r="C831" s="68"/>
      <c r="D831" s="68"/>
      <c r="E831" s="68"/>
      <c r="F831" s="68"/>
      <c r="G831" s="68"/>
      <c r="H831" s="68"/>
      <c r="I831" s="68"/>
      <c r="J831" s="68"/>
      <c r="K831" s="68"/>
      <c r="L831" s="68"/>
      <c r="N831" s="75"/>
    </row>
    <row r="832" spans="1:14" ht="12.5" x14ac:dyDescent="0.25">
      <c r="A832" s="14"/>
      <c r="C832" s="68"/>
      <c r="D832" s="68"/>
      <c r="E832" s="68"/>
      <c r="F832" s="68"/>
      <c r="G832" s="68"/>
      <c r="H832" s="68"/>
      <c r="I832" s="68"/>
      <c r="J832" s="68"/>
      <c r="K832" s="68"/>
      <c r="L832" s="68"/>
      <c r="N832" s="75"/>
    </row>
    <row r="833" spans="1:14" ht="12.5" x14ac:dyDescent="0.25">
      <c r="A833" s="14"/>
      <c r="C833" s="68"/>
      <c r="D833" s="68"/>
      <c r="E833" s="68"/>
      <c r="F833" s="68"/>
      <c r="G833" s="68"/>
      <c r="H833" s="68"/>
      <c r="I833" s="68"/>
      <c r="J833" s="68"/>
      <c r="K833" s="68"/>
      <c r="L833" s="68"/>
      <c r="N833" s="75"/>
    </row>
    <row r="834" spans="1:14" ht="12.5" x14ac:dyDescent="0.25">
      <c r="A834" s="14"/>
      <c r="C834" s="68"/>
      <c r="D834" s="68"/>
      <c r="E834" s="68"/>
      <c r="F834" s="68"/>
      <c r="G834" s="68"/>
      <c r="H834" s="68"/>
      <c r="I834" s="68"/>
      <c r="J834" s="68"/>
      <c r="K834" s="68"/>
      <c r="L834" s="68"/>
      <c r="N834" s="75"/>
    </row>
    <row r="835" spans="1:14" ht="12.5" x14ac:dyDescent="0.25">
      <c r="A835" s="14"/>
      <c r="C835" s="68"/>
      <c r="D835" s="68"/>
      <c r="E835" s="68"/>
      <c r="F835" s="68"/>
      <c r="G835" s="68"/>
      <c r="H835" s="68"/>
      <c r="I835" s="68"/>
      <c r="J835" s="68"/>
      <c r="K835" s="68"/>
      <c r="L835" s="68"/>
      <c r="N835" s="75"/>
    </row>
    <row r="836" spans="1:14" ht="12.5" x14ac:dyDescent="0.25">
      <c r="A836" s="14"/>
      <c r="C836" s="68"/>
      <c r="D836" s="68"/>
      <c r="E836" s="68"/>
      <c r="F836" s="68"/>
      <c r="G836" s="68"/>
      <c r="H836" s="68"/>
      <c r="I836" s="68"/>
      <c r="J836" s="68"/>
      <c r="K836" s="68"/>
      <c r="L836" s="68"/>
      <c r="N836" s="75"/>
    </row>
    <row r="837" spans="1:14" ht="12.5" x14ac:dyDescent="0.25">
      <c r="A837" s="14"/>
      <c r="C837" s="68"/>
      <c r="D837" s="68"/>
      <c r="E837" s="68"/>
      <c r="F837" s="68"/>
      <c r="G837" s="68"/>
      <c r="H837" s="68"/>
      <c r="I837" s="68"/>
      <c r="J837" s="68"/>
      <c r="K837" s="68"/>
      <c r="L837" s="68"/>
      <c r="N837" s="75"/>
    </row>
    <row r="838" spans="1:14" ht="12.5" x14ac:dyDescent="0.25">
      <c r="A838" s="14"/>
      <c r="C838" s="68"/>
      <c r="D838" s="68"/>
      <c r="E838" s="68"/>
      <c r="F838" s="68"/>
      <c r="G838" s="68"/>
      <c r="H838" s="68"/>
      <c r="I838" s="68"/>
      <c r="J838" s="68"/>
      <c r="K838" s="68"/>
      <c r="L838" s="68"/>
      <c r="N838" s="75"/>
    </row>
    <row r="839" spans="1:14" ht="12.5" x14ac:dyDescent="0.25">
      <c r="A839" s="14"/>
      <c r="C839" s="68"/>
      <c r="D839" s="68"/>
      <c r="E839" s="68"/>
      <c r="F839" s="68"/>
      <c r="G839" s="68"/>
      <c r="H839" s="68"/>
      <c r="I839" s="68"/>
      <c r="J839" s="68"/>
      <c r="K839" s="68"/>
      <c r="L839" s="68"/>
      <c r="N839" s="75"/>
    </row>
    <row r="840" spans="1:14" ht="12.5" x14ac:dyDescent="0.25">
      <c r="A840" s="14"/>
      <c r="C840" s="68"/>
      <c r="D840" s="68"/>
      <c r="E840" s="68"/>
      <c r="F840" s="68"/>
      <c r="G840" s="68"/>
      <c r="H840" s="68"/>
      <c r="I840" s="68"/>
      <c r="J840" s="68"/>
      <c r="K840" s="68"/>
      <c r="L840" s="68"/>
      <c r="N840" s="75"/>
    </row>
    <row r="841" spans="1:14" ht="12.5" x14ac:dyDescent="0.25">
      <c r="A841" s="14"/>
      <c r="C841" s="68"/>
      <c r="D841" s="68"/>
      <c r="E841" s="68"/>
      <c r="F841" s="68"/>
      <c r="G841" s="68"/>
      <c r="H841" s="68"/>
      <c r="I841" s="68"/>
      <c r="J841" s="68"/>
      <c r="K841" s="68"/>
      <c r="L841" s="68"/>
      <c r="N841" s="75"/>
    </row>
    <row r="842" spans="1:14" ht="12.5" x14ac:dyDescent="0.25">
      <c r="A842" s="14"/>
      <c r="C842" s="68"/>
      <c r="D842" s="68"/>
      <c r="E842" s="68"/>
      <c r="F842" s="68"/>
      <c r="G842" s="68"/>
      <c r="H842" s="68"/>
      <c r="I842" s="68"/>
      <c r="J842" s="68"/>
      <c r="K842" s="68"/>
      <c r="L842" s="68"/>
      <c r="N842" s="75"/>
    </row>
    <row r="843" spans="1:14" ht="12.5" x14ac:dyDescent="0.25">
      <c r="A843" s="14"/>
      <c r="C843" s="68"/>
      <c r="D843" s="68"/>
      <c r="E843" s="68"/>
      <c r="F843" s="68"/>
      <c r="G843" s="68"/>
      <c r="H843" s="68"/>
      <c r="I843" s="68"/>
      <c r="J843" s="68"/>
      <c r="K843" s="68"/>
      <c r="L843" s="68"/>
      <c r="N843" s="75"/>
    </row>
    <row r="844" spans="1:14" ht="12.5" x14ac:dyDescent="0.25">
      <c r="A844" s="14"/>
      <c r="C844" s="68"/>
      <c r="D844" s="68"/>
      <c r="E844" s="68"/>
      <c r="F844" s="68"/>
      <c r="G844" s="68"/>
      <c r="H844" s="68"/>
      <c r="I844" s="68"/>
      <c r="J844" s="68"/>
      <c r="K844" s="68"/>
      <c r="L844" s="68"/>
      <c r="N844" s="75"/>
    </row>
    <row r="845" spans="1:14" ht="12.5" x14ac:dyDescent="0.25">
      <c r="A845" s="14"/>
      <c r="C845" s="68"/>
      <c r="D845" s="68"/>
      <c r="E845" s="68"/>
      <c r="F845" s="68"/>
      <c r="G845" s="68"/>
      <c r="H845" s="68"/>
      <c r="I845" s="68"/>
      <c r="J845" s="68"/>
      <c r="K845" s="68"/>
      <c r="L845" s="68"/>
      <c r="N845" s="75"/>
    </row>
    <row r="846" spans="1:14" ht="12.5" x14ac:dyDescent="0.25">
      <c r="A846" s="14"/>
      <c r="C846" s="68"/>
      <c r="D846" s="68"/>
      <c r="E846" s="68"/>
      <c r="F846" s="68"/>
      <c r="G846" s="68"/>
      <c r="H846" s="68"/>
      <c r="I846" s="68"/>
      <c r="J846" s="68"/>
      <c r="K846" s="68"/>
      <c r="L846" s="68"/>
      <c r="N846" s="75"/>
    </row>
    <row r="847" spans="1:14" ht="12.5" x14ac:dyDescent="0.25">
      <c r="A847" s="14"/>
      <c r="C847" s="68"/>
      <c r="D847" s="68"/>
      <c r="E847" s="68"/>
      <c r="F847" s="68"/>
      <c r="G847" s="68"/>
      <c r="H847" s="68"/>
      <c r="I847" s="68"/>
      <c r="J847" s="68"/>
      <c r="K847" s="68"/>
      <c r="L847" s="68"/>
      <c r="N847" s="75"/>
    </row>
    <row r="848" spans="1:14" ht="12.5" x14ac:dyDescent="0.25">
      <c r="A848" s="14"/>
      <c r="C848" s="68"/>
      <c r="D848" s="68"/>
      <c r="E848" s="68"/>
      <c r="F848" s="68"/>
      <c r="G848" s="68"/>
      <c r="H848" s="68"/>
      <c r="I848" s="68"/>
      <c r="J848" s="68"/>
      <c r="K848" s="68"/>
      <c r="L848" s="68"/>
      <c r="N848" s="75"/>
    </row>
    <row r="849" spans="1:14" ht="12.5" x14ac:dyDescent="0.25">
      <c r="A849" s="14"/>
      <c r="C849" s="68"/>
      <c r="D849" s="68"/>
      <c r="E849" s="68"/>
      <c r="F849" s="68"/>
      <c r="G849" s="68"/>
      <c r="H849" s="68"/>
      <c r="I849" s="68"/>
      <c r="J849" s="68"/>
      <c r="K849" s="68"/>
      <c r="L849" s="68"/>
      <c r="N849" s="75"/>
    </row>
    <row r="850" spans="1:14" ht="12.5" x14ac:dyDescent="0.25">
      <c r="A850" s="14"/>
      <c r="C850" s="68"/>
      <c r="D850" s="68"/>
      <c r="E850" s="68"/>
      <c r="F850" s="68"/>
      <c r="G850" s="68"/>
      <c r="H850" s="68"/>
      <c r="I850" s="68"/>
      <c r="J850" s="68"/>
      <c r="K850" s="68"/>
      <c r="L850" s="68"/>
      <c r="N850" s="75"/>
    </row>
    <row r="851" spans="1:14" ht="12.5" x14ac:dyDescent="0.25">
      <c r="A851" s="14"/>
      <c r="C851" s="68"/>
      <c r="D851" s="68"/>
      <c r="E851" s="68"/>
      <c r="F851" s="68"/>
      <c r="G851" s="68"/>
      <c r="H851" s="68"/>
      <c r="I851" s="68"/>
      <c r="J851" s="68"/>
      <c r="K851" s="68"/>
      <c r="L851" s="68"/>
      <c r="N851" s="75"/>
    </row>
    <row r="852" spans="1:14" ht="12.5" x14ac:dyDescent="0.25">
      <c r="A852" s="14"/>
      <c r="C852" s="68"/>
      <c r="D852" s="68"/>
      <c r="E852" s="68"/>
      <c r="F852" s="68"/>
      <c r="G852" s="68"/>
      <c r="H852" s="68"/>
      <c r="I852" s="68"/>
      <c r="J852" s="68"/>
      <c r="K852" s="68"/>
      <c r="L852" s="68"/>
      <c r="N852" s="75"/>
    </row>
    <row r="853" spans="1:14" ht="12.5" x14ac:dyDescent="0.25">
      <c r="A853" s="14"/>
      <c r="C853" s="68"/>
      <c r="D853" s="68"/>
      <c r="E853" s="68"/>
      <c r="F853" s="68"/>
      <c r="G853" s="68"/>
      <c r="H853" s="68"/>
      <c r="I853" s="68"/>
      <c r="J853" s="68"/>
      <c r="K853" s="68"/>
      <c r="L853" s="68"/>
      <c r="N853" s="75"/>
    </row>
    <row r="854" spans="1:14" ht="12.5" x14ac:dyDescent="0.25">
      <c r="A854" s="14"/>
      <c r="C854" s="68"/>
      <c r="D854" s="68"/>
      <c r="E854" s="68"/>
      <c r="F854" s="68"/>
      <c r="G854" s="68"/>
      <c r="H854" s="68"/>
      <c r="I854" s="68"/>
      <c r="J854" s="68"/>
      <c r="K854" s="68"/>
      <c r="L854" s="68"/>
      <c r="N854" s="75"/>
    </row>
    <row r="855" spans="1:14" ht="12.5" x14ac:dyDescent="0.25">
      <c r="A855" s="14"/>
      <c r="C855" s="68"/>
      <c r="D855" s="68"/>
      <c r="E855" s="68"/>
      <c r="F855" s="68"/>
      <c r="G855" s="68"/>
      <c r="H855" s="68"/>
      <c r="I855" s="68"/>
      <c r="J855" s="68"/>
      <c r="K855" s="68"/>
      <c r="L855" s="68"/>
      <c r="N855" s="75"/>
    </row>
    <row r="856" spans="1:14" ht="12.5" x14ac:dyDescent="0.25">
      <c r="A856" s="14"/>
      <c r="C856" s="68"/>
      <c r="D856" s="68"/>
      <c r="E856" s="68"/>
      <c r="F856" s="68"/>
      <c r="G856" s="68"/>
      <c r="H856" s="68"/>
      <c r="I856" s="68"/>
      <c r="J856" s="68"/>
      <c r="K856" s="68"/>
      <c r="L856" s="68"/>
      <c r="N856" s="75"/>
    </row>
    <row r="857" spans="1:14" ht="12.5" x14ac:dyDescent="0.25">
      <c r="A857" s="14"/>
      <c r="C857" s="68"/>
      <c r="D857" s="68"/>
      <c r="E857" s="68"/>
      <c r="F857" s="68"/>
      <c r="G857" s="68"/>
      <c r="H857" s="68"/>
      <c r="I857" s="68"/>
      <c r="J857" s="68"/>
      <c r="K857" s="68"/>
      <c r="L857" s="68"/>
      <c r="N857" s="75"/>
    </row>
    <row r="858" spans="1:14" ht="12.5" x14ac:dyDescent="0.25">
      <c r="A858" s="14"/>
      <c r="C858" s="68"/>
      <c r="D858" s="68"/>
      <c r="E858" s="68"/>
      <c r="F858" s="68"/>
      <c r="G858" s="68"/>
      <c r="H858" s="68"/>
      <c r="I858" s="68"/>
      <c r="J858" s="68"/>
      <c r="K858" s="68"/>
      <c r="L858" s="68"/>
      <c r="N858" s="75"/>
    </row>
    <row r="859" spans="1:14" ht="12.5" x14ac:dyDescent="0.25">
      <c r="A859" s="14"/>
      <c r="C859" s="68"/>
      <c r="D859" s="68"/>
      <c r="E859" s="68"/>
      <c r="F859" s="68"/>
      <c r="G859" s="68"/>
      <c r="H859" s="68"/>
      <c r="I859" s="68"/>
      <c r="J859" s="68"/>
      <c r="K859" s="68"/>
      <c r="L859" s="68"/>
      <c r="N859" s="75"/>
    </row>
    <row r="860" spans="1:14" ht="12.5" x14ac:dyDescent="0.25">
      <c r="A860" s="14"/>
      <c r="C860" s="68"/>
      <c r="D860" s="68"/>
      <c r="E860" s="68"/>
      <c r="F860" s="68"/>
      <c r="G860" s="68"/>
      <c r="H860" s="68"/>
      <c r="I860" s="68"/>
      <c r="J860" s="68"/>
      <c r="K860" s="68"/>
      <c r="L860" s="68"/>
      <c r="N860" s="75"/>
    </row>
    <row r="861" spans="1:14" ht="12.5" x14ac:dyDescent="0.25">
      <c r="A861" s="14"/>
      <c r="C861" s="68"/>
      <c r="D861" s="68"/>
      <c r="E861" s="68"/>
      <c r="F861" s="68"/>
      <c r="G861" s="68"/>
      <c r="H861" s="68"/>
      <c r="I861" s="68"/>
      <c r="J861" s="68"/>
      <c r="K861" s="68"/>
      <c r="L861" s="68"/>
      <c r="N861" s="75"/>
    </row>
    <row r="862" spans="1:14" ht="12.5" x14ac:dyDescent="0.25">
      <c r="A862" s="14"/>
      <c r="C862" s="68"/>
      <c r="D862" s="68"/>
      <c r="E862" s="68"/>
      <c r="F862" s="68"/>
      <c r="G862" s="68"/>
      <c r="H862" s="68"/>
      <c r="I862" s="68"/>
      <c r="J862" s="68"/>
      <c r="K862" s="68"/>
      <c r="L862" s="68"/>
      <c r="N862" s="75"/>
    </row>
    <row r="863" spans="1:14" ht="12.5" x14ac:dyDescent="0.25">
      <c r="A863" s="14"/>
      <c r="C863" s="68"/>
      <c r="D863" s="68"/>
      <c r="E863" s="68"/>
      <c r="F863" s="68"/>
      <c r="G863" s="68"/>
      <c r="H863" s="68"/>
      <c r="I863" s="68"/>
      <c r="J863" s="68"/>
      <c r="K863" s="68"/>
      <c r="L863" s="68"/>
      <c r="N863" s="75"/>
    </row>
    <row r="864" spans="1:14" ht="12.5" x14ac:dyDescent="0.25">
      <c r="A864" s="14"/>
      <c r="C864" s="68"/>
      <c r="D864" s="68"/>
      <c r="E864" s="68"/>
      <c r="F864" s="68"/>
      <c r="G864" s="68"/>
      <c r="H864" s="68"/>
      <c r="I864" s="68"/>
      <c r="J864" s="68"/>
      <c r="K864" s="68"/>
      <c r="L864" s="68"/>
      <c r="N864" s="75"/>
    </row>
    <row r="865" spans="1:14" ht="12.5" x14ac:dyDescent="0.25">
      <c r="A865" s="14"/>
      <c r="C865" s="68"/>
      <c r="D865" s="68"/>
      <c r="E865" s="68"/>
      <c r="F865" s="68"/>
      <c r="G865" s="68"/>
      <c r="H865" s="68"/>
      <c r="I865" s="68"/>
      <c r="J865" s="68"/>
      <c r="K865" s="68"/>
      <c r="L865" s="68"/>
      <c r="N865" s="75"/>
    </row>
    <row r="866" spans="1:14" ht="12.5" x14ac:dyDescent="0.25">
      <c r="A866" s="14"/>
      <c r="C866" s="68"/>
      <c r="D866" s="68"/>
      <c r="E866" s="68"/>
      <c r="F866" s="68"/>
      <c r="G866" s="68"/>
      <c r="H866" s="68"/>
      <c r="I866" s="68"/>
      <c r="J866" s="68"/>
      <c r="K866" s="68"/>
      <c r="L866" s="68"/>
      <c r="N866" s="75"/>
    </row>
    <row r="867" spans="1:14" ht="12.5" x14ac:dyDescent="0.25">
      <c r="A867" s="14"/>
      <c r="C867" s="68"/>
      <c r="D867" s="68"/>
      <c r="E867" s="68"/>
      <c r="F867" s="68"/>
      <c r="G867" s="68"/>
      <c r="H867" s="68"/>
      <c r="I867" s="68"/>
      <c r="J867" s="68"/>
      <c r="K867" s="68"/>
      <c r="L867" s="68"/>
      <c r="N867" s="75"/>
    </row>
    <row r="868" spans="1:14" ht="12.5" x14ac:dyDescent="0.25">
      <c r="A868" s="14"/>
      <c r="C868" s="68"/>
      <c r="D868" s="68"/>
      <c r="E868" s="68"/>
      <c r="F868" s="68"/>
      <c r="G868" s="68"/>
      <c r="H868" s="68"/>
      <c r="I868" s="68"/>
      <c r="J868" s="68"/>
      <c r="K868" s="68"/>
      <c r="L868" s="68"/>
      <c r="N868" s="75"/>
    </row>
    <row r="869" spans="1:14" ht="12.5" x14ac:dyDescent="0.25">
      <c r="A869" s="14"/>
      <c r="C869" s="68"/>
      <c r="D869" s="68"/>
      <c r="E869" s="68"/>
      <c r="F869" s="68"/>
      <c r="G869" s="68"/>
      <c r="H869" s="68"/>
      <c r="I869" s="68"/>
      <c r="J869" s="68"/>
      <c r="K869" s="68"/>
      <c r="L869" s="68"/>
      <c r="N869" s="75"/>
    </row>
    <row r="870" spans="1:14" ht="12.5" x14ac:dyDescent="0.25">
      <c r="A870" s="14"/>
      <c r="C870" s="68"/>
      <c r="D870" s="68"/>
      <c r="E870" s="68"/>
      <c r="F870" s="68"/>
      <c r="G870" s="68"/>
      <c r="H870" s="68"/>
      <c r="I870" s="68"/>
      <c r="J870" s="68"/>
      <c r="K870" s="68"/>
      <c r="L870" s="68"/>
      <c r="N870" s="75"/>
    </row>
    <row r="871" spans="1:14" ht="12.5" x14ac:dyDescent="0.25">
      <c r="A871" s="14"/>
      <c r="C871" s="68"/>
      <c r="D871" s="68"/>
      <c r="E871" s="68"/>
      <c r="F871" s="68"/>
      <c r="G871" s="68"/>
      <c r="H871" s="68"/>
      <c r="I871" s="68"/>
      <c r="J871" s="68"/>
      <c r="K871" s="68"/>
      <c r="L871" s="68"/>
      <c r="N871" s="75"/>
    </row>
    <row r="872" spans="1:14" ht="12.5" x14ac:dyDescent="0.25">
      <c r="A872" s="14"/>
      <c r="C872" s="68"/>
      <c r="D872" s="68"/>
      <c r="E872" s="68"/>
      <c r="F872" s="68"/>
      <c r="G872" s="68"/>
      <c r="H872" s="68"/>
      <c r="I872" s="68"/>
      <c r="J872" s="68"/>
      <c r="K872" s="68"/>
      <c r="L872" s="68"/>
      <c r="N872" s="75"/>
    </row>
    <row r="873" spans="1:14" ht="12.5" x14ac:dyDescent="0.25">
      <c r="A873" s="14"/>
      <c r="C873" s="68"/>
      <c r="D873" s="68"/>
      <c r="E873" s="68"/>
      <c r="F873" s="68"/>
      <c r="G873" s="68"/>
      <c r="H873" s="68"/>
      <c r="I873" s="68"/>
      <c r="J873" s="68"/>
      <c r="K873" s="68"/>
      <c r="L873" s="68"/>
      <c r="N873" s="75"/>
    </row>
    <row r="874" spans="1:14" ht="12.5" x14ac:dyDescent="0.25">
      <c r="A874" s="14"/>
      <c r="C874" s="68"/>
      <c r="D874" s="68"/>
      <c r="E874" s="68"/>
      <c r="F874" s="68"/>
      <c r="G874" s="68"/>
      <c r="H874" s="68"/>
      <c r="I874" s="68"/>
      <c r="J874" s="68"/>
      <c r="K874" s="68"/>
      <c r="L874" s="68"/>
      <c r="N874" s="75"/>
    </row>
    <row r="875" spans="1:14" ht="12.5" x14ac:dyDescent="0.25">
      <c r="A875" s="14"/>
      <c r="C875" s="68"/>
      <c r="D875" s="68"/>
      <c r="E875" s="68"/>
      <c r="F875" s="68"/>
      <c r="G875" s="68"/>
      <c r="H875" s="68"/>
      <c r="I875" s="68"/>
      <c r="J875" s="68"/>
      <c r="K875" s="68"/>
      <c r="L875" s="68"/>
      <c r="N875" s="75"/>
    </row>
    <row r="876" spans="1:14" ht="12.5" x14ac:dyDescent="0.25">
      <c r="A876" s="14"/>
      <c r="C876" s="68"/>
      <c r="D876" s="68"/>
      <c r="E876" s="68"/>
      <c r="F876" s="68"/>
      <c r="G876" s="68"/>
      <c r="H876" s="68"/>
      <c r="I876" s="68"/>
      <c r="J876" s="68"/>
      <c r="K876" s="68"/>
      <c r="L876" s="68"/>
      <c r="N876" s="75"/>
    </row>
    <row r="877" spans="1:14" ht="12.5" x14ac:dyDescent="0.25">
      <c r="A877" s="14"/>
      <c r="C877" s="68"/>
      <c r="D877" s="68"/>
      <c r="E877" s="68"/>
      <c r="F877" s="68"/>
      <c r="G877" s="68"/>
      <c r="H877" s="68"/>
      <c r="I877" s="68"/>
      <c r="J877" s="68"/>
      <c r="K877" s="68"/>
      <c r="L877" s="68"/>
      <c r="N877" s="75"/>
    </row>
    <row r="878" spans="1:14" ht="12.5" x14ac:dyDescent="0.25">
      <c r="A878" s="14"/>
      <c r="C878" s="68"/>
      <c r="D878" s="68"/>
      <c r="E878" s="68"/>
      <c r="F878" s="68"/>
      <c r="G878" s="68"/>
      <c r="H878" s="68"/>
      <c r="I878" s="68"/>
      <c r="J878" s="68"/>
      <c r="K878" s="68"/>
      <c r="L878" s="68"/>
      <c r="N878" s="75"/>
    </row>
    <row r="879" spans="1:14" ht="12.5" x14ac:dyDescent="0.25">
      <c r="A879" s="14"/>
      <c r="C879" s="68"/>
      <c r="D879" s="68"/>
      <c r="E879" s="68"/>
      <c r="F879" s="68"/>
      <c r="G879" s="68"/>
      <c r="H879" s="68"/>
      <c r="I879" s="68"/>
      <c r="J879" s="68"/>
      <c r="K879" s="68"/>
      <c r="L879" s="68"/>
      <c r="N879" s="75"/>
    </row>
    <row r="880" spans="1:14" ht="12.5" x14ac:dyDescent="0.25">
      <c r="A880" s="14"/>
      <c r="C880" s="68"/>
      <c r="D880" s="68"/>
      <c r="E880" s="68"/>
      <c r="F880" s="68"/>
      <c r="G880" s="68"/>
      <c r="H880" s="68"/>
      <c r="I880" s="68"/>
      <c r="J880" s="68"/>
      <c r="K880" s="68"/>
      <c r="L880" s="68"/>
      <c r="N880" s="75"/>
    </row>
    <row r="881" spans="1:14" ht="12.5" x14ac:dyDescent="0.25">
      <c r="A881" s="14"/>
      <c r="C881" s="68"/>
      <c r="D881" s="68"/>
      <c r="E881" s="68"/>
      <c r="F881" s="68"/>
      <c r="G881" s="68"/>
      <c r="H881" s="68"/>
      <c r="I881" s="68"/>
      <c r="J881" s="68"/>
      <c r="K881" s="68"/>
      <c r="L881" s="68"/>
      <c r="N881" s="75"/>
    </row>
    <row r="882" spans="1:14" ht="12.5" x14ac:dyDescent="0.25">
      <c r="A882" s="14"/>
      <c r="C882" s="68"/>
      <c r="D882" s="68"/>
      <c r="E882" s="68"/>
      <c r="F882" s="68"/>
      <c r="G882" s="68"/>
      <c r="H882" s="68"/>
      <c r="I882" s="68"/>
      <c r="J882" s="68"/>
      <c r="K882" s="68"/>
      <c r="L882" s="68"/>
      <c r="N882" s="75"/>
    </row>
    <row r="883" spans="1:14" ht="12.5" x14ac:dyDescent="0.25">
      <c r="A883" s="14"/>
      <c r="C883" s="68"/>
      <c r="D883" s="68"/>
      <c r="E883" s="68"/>
      <c r="F883" s="68"/>
      <c r="G883" s="68"/>
      <c r="H883" s="68"/>
      <c r="I883" s="68"/>
      <c r="J883" s="68"/>
      <c r="K883" s="68"/>
      <c r="L883" s="68"/>
      <c r="N883" s="75"/>
    </row>
    <row r="884" spans="1:14" ht="12.5" x14ac:dyDescent="0.25">
      <c r="A884" s="14"/>
      <c r="C884" s="68"/>
      <c r="D884" s="68"/>
      <c r="E884" s="68"/>
      <c r="F884" s="68"/>
      <c r="G884" s="68"/>
      <c r="H884" s="68"/>
      <c r="I884" s="68"/>
      <c r="J884" s="68"/>
      <c r="K884" s="68"/>
      <c r="L884" s="68"/>
      <c r="N884" s="75"/>
    </row>
    <row r="885" spans="1:14" ht="12.5" x14ac:dyDescent="0.25">
      <c r="A885" s="14"/>
      <c r="C885" s="68"/>
      <c r="D885" s="68"/>
      <c r="E885" s="68"/>
      <c r="F885" s="68"/>
      <c r="G885" s="68"/>
      <c r="H885" s="68"/>
      <c r="I885" s="68"/>
      <c r="J885" s="68"/>
      <c r="K885" s="68"/>
      <c r="L885" s="68"/>
      <c r="N885" s="75"/>
    </row>
    <row r="886" spans="1:14" ht="12.5" x14ac:dyDescent="0.25">
      <c r="A886" s="14"/>
      <c r="C886" s="68"/>
      <c r="D886" s="68"/>
      <c r="E886" s="68"/>
      <c r="F886" s="68"/>
      <c r="G886" s="68"/>
      <c r="H886" s="68"/>
      <c r="I886" s="68"/>
      <c r="J886" s="68"/>
      <c r="K886" s="68"/>
      <c r="L886" s="68"/>
      <c r="N886" s="75"/>
    </row>
    <row r="887" spans="1:14" ht="12.5" x14ac:dyDescent="0.25">
      <c r="A887" s="14"/>
      <c r="C887" s="68"/>
      <c r="D887" s="68"/>
      <c r="E887" s="68"/>
      <c r="F887" s="68"/>
      <c r="G887" s="68"/>
      <c r="H887" s="68"/>
      <c r="I887" s="68"/>
      <c r="J887" s="68"/>
      <c r="K887" s="68"/>
      <c r="L887" s="68"/>
      <c r="N887" s="75"/>
    </row>
    <row r="888" spans="1:14" ht="12.5" x14ac:dyDescent="0.25">
      <c r="A888" s="14"/>
      <c r="C888" s="68"/>
      <c r="D888" s="68"/>
      <c r="E888" s="68"/>
      <c r="F888" s="68"/>
      <c r="G888" s="68"/>
      <c r="H888" s="68"/>
      <c r="I888" s="68"/>
      <c r="J888" s="68"/>
      <c r="K888" s="68"/>
      <c r="L888" s="68"/>
      <c r="N888" s="75"/>
    </row>
    <row r="889" spans="1:14" ht="12.5" x14ac:dyDescent="0.25">
      <c r="A889" s="14"/>
      <c r="C889" s="68"/>
      <c r="D889" s="68"/>
      <c r="E889" s="68"/>
      <c r="F889" s="68"/>
      <c r="G889" s="68"/>
      <c r="H889" s="68"/>
      <c r="I889" s="68"/>
      <c r="J889" s="68"/>
      <c r="K889" s="68"/>
      <c r="L889" s="68"/>
      <c r="N889" s="75"/>
    </row>
    <row r="890" spans="1:14" ht="12.5" x14ac:dyDescent="0.25">
      <c r="A890" s="14"/>
      <c r="C890" s="68"/>
      <c r="D890" s="68"/>
      <c r="E890" s="68"/>
      <c r="F890" s="68"/>
      <c r="G890" s="68"/>
      <c r="H890" s="68"/>
      <c r="I890" s="68"/>
      <c r="J890" s="68"/>
      <c r="K890" s="68"/>
      <c r="L890" s="68"/>
      <c r="N890" s="75"/>
    </row>
    <row r="891" spans="1:14" ht="12.5" x14ac:dyDescent="0.25">
      <c r="A891" s="14"/>
      <c r="C891" s="68"/>
      <c r="D891" s="68"/>
      <c r="E891" s="68"/>
      <c r="F891" s="68"/>
      <c r="G891" s="68"/>
      <c r="H891" s="68"/>
      <c r="I891" s="68"/>
      <c r="J891" s="68"/>
      <c r="K891" s="68"/>
      <c r="L891" s="68"/>
      <c r="N891" s="75"/>
    </row>
    <row r="892" spans="1:14" ht="12.5" x14ac:dyDescent="0.25">
      <c r="A892" s="14"/>
      <c r="C892" s="68"/>
      <c r="D892" s="68"/>
      <c r="E892" s="68"/>
      <c r="F892" s="68"/>
      <c r="G892" s="68"/>
      <c r="H892" s="68"/>
      <c r="I892" s="68"/>
      <c r="J892" s="68"/>
      <c r="K892" s="68"/>
      <c r="L892" s="68"/>
      <c r="N892" s="75"/>
    </row>
    <row r="893" spans="1:14" ht="12.5" x14ac:dyDescent="0.25">
      <c r="A893" s="14"/>
      <c r="C893" s="68"/>
      <c r="D893" s="68"/>
      <c r="E893" s="68"/>
      <c r="F893" s="68"/>
      <c r="G893" s="68"/>
      <c r="H893" s="68"/>
      <c r="I893" s="68"/>
      <c r="J893" s="68"/>
      <c r="K893" s="68"/>
      <c r="L893" s="68"/>
      <c r="N893" s="75"/>
    </row>
    <row r="894" spans="1:14" ht="12.5" x14ac:dyDescent="0.25">
      <c r="A894" s="14"/>
      <c r="C894" s="68"/>
      <c r="D894" s="68"/>
      <c r="E894" s="68"/>
      <c r="F894" s="68"/>
      <c r="G894" s="68"/>
      <c r="H894" s="68"/>
      <c r="I894" s="68"/>
      <c r="J894" s="68"/>
      <c r="K894" s="68"/>
      <c r="L894" s="68"/>
      <c r="N894" s="75"/>
    </row>
    <row r="895" spans="1:14" ht="12.5" x14ac:dyDescent="0.25">
      <c r="A895" s="14"/>
      <c r="C895" s="68"/>
      <c r="D895" s="68"/>
      <c r="E895" s="68"/>
      <c r="F895" s="68"/>
      <c r="G895" s="68"/>
      <c r="H895" s="68"/>
      <c r="I895" s="68"/>
      <c r="J895" s="68"/>
      <c r="K895" s="68"/>
      <c r="L895" s="68"/>
      <c r="N895" s="75"/>
    </row>
    <row r="896" spans="1:14" ht="12.5" x14ac:dyDescent="0.25">
      <c r="A896" s="14"/>
      <c r="C896" s="68"/>
      <c r="D896" s="68"/>
      <c r="E896" s="68"/>
      <c r="F896" s="68"/>
      <c r="G896" s="68"/>
      <c r="H896" s="68"/>
      <c r="I896" s="68"/>
      <c r="J896" s="68"/>
      <c r="K896" s="68"/>
      <c r="L896" s="68"/>
      <c r="N896" s="75"/>
    </row>
    <row r="897" spans="1:14" ht="12.5" x14ac:dyDescent="0.25">
      <c r="A897" s="14"/>
      <c r="C897" s="68"/>
      <c r="D897" s="68"/>
      <c r="E897" s="68"/>
      <c r="F897" s="68"/>
      <c r="G897" s="68"/>
      <c r="H897" s="68"/>
      <c r="I897" s="68"/>
      <c r="J897" s="68"/>
      <c r="K897" s="68"/>
      <c r="L897" s="68"/>
      <c r="N897" s="75"/>
    </row>
    <row r="898" spans="1:14" ht="12.5" x14ac:dyDescent="0.25">
      <c r="A898" s="14"/>
      <c r="C898" s="68"/>
      <c r="D898" s="68"/>
      <c r="E898" s="68"/>
      <c r="F898" s="68"/>
      <c r="G898" s="68"/>
      <c r="H898" s="68"/>
      <c r="I898" s="68"/>
      <c r="J898" s="68"/>
      <c r="K898" s="68"/>
      <c r="L898" s="68"/>
      <c r="N898" s="75"/>
    </row>
    <row r="899" spans="1:14" ht="12.5" x14ac:dyDescent="0.25">
      <c r="A899" s="14"/>
      <c r="C899" s="68"/>
      <c r="D899" s="68"/>
      <c r="E899" s="68"/>
      <c r="F899" s="68"/>
      <c r="G899" s="68"/>
      <c r="H899" s="68"/>
      <c r="I899" s="68"/>
      <c r="J899" s="68"/>
      <c r="K899" s="68"/>
      <c r="L899" s="68"/>
      <c r="N899" s="75"/>
    </row>
    <row r="900" spans="1:14" ht="12.5" x14ac:dyDescent="0.25">
      <c r="A900" s="14"/>
      <c r="C900" s="68"/>
      <c r="D900" s="68"/>
      <c r="E900" s="68"/>
      <c r="F900" s="68"/>
      <c r="G900" s="68"/>
      <c r="H900" s="68"/>
      <c r="I900" s="68"/>
      <c r="J900" s="68"/>
      <c r="K900" s="68"/>
      <c r="L900" s="68"/>
      <c r="N900" s="75"/>
    </row>
    <row r="901" spans="1:14" ht="12.5" x14ac:dyDescent="0.25">
      <c r="A901" s="14"/>
      <c r="C901" s="68"/>
      <c r="D901" s="68"/>
      <c r="E901" s="68"/>
      <c r="F901" s="68"/>
      <c r="G901" s="68"/>
      <c r="H901" s="68"/>
      <c r="I901" s="68"/>
      <c r="J901" s="68"/>
      <c r="K901" s="68"/>
      <c r="L901" s="68"/>
      <c r="N901" s="75"/>
    </row>
    <row r="902" spans="1:14" ht="12.5" x14ac:dyDescent="0.25">
      <c r="A902" s="14"/>
      <c r="C902" s="68"/>
      <c r="D902" s="68"/>
      <c r="E902" s="68"/>
      <c r="F902" s="68"/>
      <c r="G902" s="68"/>
      <c r="H902" s="68"/>
      <c r="I902" s="68"/>
      <c r="J902" s="68"/>
      <c r="K902" s="68"/>
      <c r="L902" s="68"/>
      <c r="N902" s="75"/>
    </row>
    <row r="903" spans="1:14" ht="12.5" x14ac:dyDescent="0.25">
      <c r="A903" s="14"/>
      <c r="C903" s="68"/>
      <c r="D903" s="68"/>
      <c r="E903" s="68"/>
      <c r="F903" s="68"/>
      <c r="G903" s="68"/>
      <c r="H903" s="68"/>
      <c r="I903" s="68"/>
      <c r="J903" s="68"/>
      <c r="K903" s="68"/>
      <c r="L903" s="68"/>
      <c r="N903" s="75"/>
    </row>
    <row r="904" spans="1:14" ht="12.5" x14ac:dyDescent="0.25">
      <c r="A904" s="14"/>
      <c r="C904" s="68"/>
      <c r="D904" s="68"/>
      <c r="E904" s="68"/>
      <c r="F904" s="68"/>
      <c r="G904" s="68"/>
      <c r="H904" s="68"/>
      <c r="I904" s="68"/>
      <c r="J904" s="68"/>
      <c r="K904" s="68"/>
      <c r="L904" s="68"/>
      <c r="N904" s="75"/>
    </row>
    <row r="905" spans="1:14" ht="12.5" x14ac:dyDescent="0.25">
      <c r="A905" s="14"/>
      <c r="C905" s="68"/>
      <c r="D905" s="68"/>
      <c r="E905" s="68"/>
      <c r="F905" s="68"/>
      <c r="G905" s="68"/>
      <c r="H905" s="68"/>
      <c r="I905" s="68"/>
      <c r="J905" s="68"/>
      <c r="K905" s="68"/>
      <c r="L905" s="68"/>
      <c r="N905" s="75"/>
    </row>
    <row r="906" spans="1:14" ht="12.5" x14ac:dyDescent="0.25">
      <c r="A906" s="14"/>
      <c r="C906" s="68"/>
      <c r="D906" s="68"/>
      <c r="E906" s="68"/>
      <c r="F906" s="68"/>
      <c r="G906" s="68"/>
      <c r="H906" s="68"/>
      <c r="I906" s="68"/>
      <c r="J906" s="68"/>
      <c r="K906" s="68"/>
      <c r="L906" s="68"/>
      <c r="N906" s="75"/>
    </row>
    <row r="907" spans="1:14" ht="12.5" x14ac:dyDescent="0.25">
      <c r="A907" s="14"/>
      <c r="C907" s="68"/>
      <c r="D907" s="68"/>
      <c r="E907" s="68"/>
      <c r="F907" s="68"/>
      <c r="G907" s="68"/>
      <c r="H907" s="68"/>
      <c r="I907" s="68"/>
      <c r="J907" s="68"/>
      <c r="K907" s="68"/>
      <c r="L907" s="68"/>
      <c r="N907" s="75"/>
    </row>
    <row r="908" spans="1:14" ht="12.5" x14ac:dyDescent="0.25">
      <c r="A908" s="14"/>
      <c r="C908" s="68"/>
      <c r="D908" s="68"/>
      <c r="E908" s="68"/>
      <c r="F908" s="68"/>
      <c r="G908" s="68"/>
      <c r="H908" s="68"/>
      <c r="I908" s="68"/>
      <c r="J908" s="68"/>
      <c r="K908" s="68"/>
      <c r="L908" s="68"/>
      <c r="N908" s="75"/>
    </row>
    <row r="909" spans="1:14" ht="12.5" x14ac:dyDescent="0.25">
      <c r="A909" s="14"/>
      <c r="C909" s="68"/>
      <c r="D909" s="68"/>
      <c r="E909" s="68"/>
      <c r="F909" s="68"/>
      <c r="G909" s="68"/>
      <c r="H909" s="68"/>
      <c r="I909" s="68"/>
      <c r="J909" s="68"/>
      <c r="K909" s="68"/>
      <c r="L909" s="68"/>
      <c r="N909" s="75"/>
    </row>
    <row r="910" spans="1:14" ht="12.5" x14ac:dyDescent="0.25">
      <c r="A910" s="14"/>
      <c r="C910" s="68"/>
      <c r="D910" s="68"/>
      <c r="E910" s="68"/>
      <c r="F910" s="68"/>
      <c r="G910" s="68"/>
      <c r="H910" s="68"/>
      <c r="I910" s="68"/>
      <c r="J910" s="68"/>
      <c r="K910" s="68"/>
      <c r="L910" s="68"/>
      <c r="N910" s="75"/>
    </row>
    <row r="911" spans="1:14" ht="12.5" x14ac:dyDescent="0.25">
      <c r="A911" s="14"/>
      <c r="C911" s="68"/>
      <c r="D911" s="68"/>
      <c r="E911" s="68"/>
      <c r="F911" s="68"/>
      <c r="G911" s="68"/>
      <c r="H911" s="68"/>
      <c r="I911" s="68"/>
      <c r="J911" s="68"/>
      <c r="K911" s="68"/>
      <c r="L911" s="68"/>
      <c r="N911" s="75"/>
    </row>
    <row r="912" spans="1:14" ht="12.5" x14ac:dyDescent="0.25">
      <c r="A912" s="14"/>
      <c r="C912" s="68"/>
      <c r="D912" s="68"/>
      <c r="E912" s="68"/>
      <c r="F912" s="68"/>
      <c r="G912" s="68"/>
      <c r="H912" s="68"/>
      <c r="I912" s="68"/>
      <c r="J912" s="68"/>
      <c r="K912" s="68"/>
      <c r="L912" s="68"/>
      <c r="N912" s="75"/>
    </row>
    <row r="913" spans="1:14" ht="12.5" x14ac:dyDescent="0.25">
      <c r="A913" s="14"/>
      <c r="C913" s="68"/>
      <c r="D913" s="68"/>
      <c r="E913" s="68"/>
      <c r="F913" s="68"/>
      <c r="G913" s="68"/>
      <c r="H913" s="68"/>
      <c r="I913" s="68"/>
      <c r="J913" s="68"/>
      <c r="K913" s="68"/>
      <c r="L913" s="68"/>
      <c r="N913" s="75"/>
    </row>
    <row r="914" spans="1:14" ht="12.5" x14ac:dyDescent="0.25">
      <c r="A914" s="14"/>
      <c r="C914" s="68"/>
      <c r="D914" s="68"/>
      <c r="E914" s="68"/>
      <c r="F914" s="68"/>
      <c r="G914" s="68"/>
      <c r="H914" s="68"/>
      <c r="I914" s="68"/>
      <c r="J914" s="68"/>
      <c r="K914" s="68"/>
      <c r="L914" s="68"/>
      <c r="N914" s="75"/>
    </row>
    <row r="915" spans="1:14" ht="12.5" x14ac:dyDescent="0.25">
      <c r="A915" s="14"/>
      <c r="C915" s="68"/>
      <c r="D915" s="68"/>
      <c r="E915" s="68"/>
      <c r="F915" s="68"/>
      <c r="G915" s="68"/>
      <c r="H915" s="68"/>
      <c r="I915" s="68"/>
      <c r="J915" s="68"/>
      <c r="K915" s="68"/>
      <c r="L915" s="68"/>
      <c r="N915" s="75"/>
    </row>
    <row r="916" spans="1:14" ht="12.5" x14ac:dyDescent="0.25">
      <c r="A916" s="14"/>
      <c r="C916" s="68"/>
      <c r="D916" s="68"/>
      <c r="E916" s="68"/>
      <c r="F916" s="68"/>
      <c r="G916" s="68"/>
      <c r="H916" s="68"/>
      <c r="I916" s="68"/>
      <c r="J916" s="68"/>
      <c r="K916" s="68"/>
      <c r="L916" s="68"/>
      <c r="N916" s="75"/>
    </row>
    <row r="917" spans="1:14" ht="12.5" x14ac:dyDescent="0.25">
      <c r="A917" s="14"/>
      <c r="C917" s="68"/>
      <c r="D917" s="68"/>
      <c r="E917" s="68"/>
      <c r="F917" s="68"/>
      <c r="G917" s="68"/>
      <c r="H917" s="68"/>
      <c r="I917" s="68"/>
      <c r="J917" s="68"/>
      <c r="K917" s="68"/>
      <c r="L917" s="68"/>
      <c r="N917" s="75"/>
    </row>
    <row r="918" spans="1:14" ht="12.5" x14ac:dyDescent="0.25">
      <c r="A918" s="14"/>
      <c r="C918" s="68"/>
      <c r="D918" s="68"/>
      <c r="E918" s="68"/>
      <c r="F918" s="68"/>
      <c r="G918" s="68"/>
      <c r="H918" s="68"/>
      <c r="I918" s="68"/>
      <c r="J918" s="68"/>
      <c r="K918" s="68"/>
      <c r="L918" s="68"/>
      <c r="N918" s="75"/>
    </row>
    <row r="919" spans="1:14" ht="12.5" x14ac:dyDescent="0.25">
      <c r="A919" s="14"/>
      <c r="C919" s="68"/>
      <c r="D919" s="68"/>
      <c r="E919" s="68"/>
      <c r="F919" s="68"/>
      <c r="G919" s="68"/>
      <c r="H919" s="68"/>
      <c r="I919" s="68"/>
      <c r="J919" s="68"/>
      <c r="K919" s="68"/>
      <c r="L919" s="68"/>
      <c r="N919" s="75"/>
    </row>
    <row r="920" spans="1:14" ht="12.5" x14ac:dyDescent="0.25">
      <c r="A920" s="14"/>
      <c r="C920" s="68"/>
      <c r="D920" s="68"/>
      <c r="E920" s="68"/>
      <c r="F920" s="68"/>
      <c r="G920" s="68"/>
      <c r="H920" s="68"/>
      <c r="I920" s="68"/>
      <c r="J920" s="68"/>
      <c r="K920" s="68"/>
      <c r="L920" s="68"/>
      <c r="N920" s="75"/>
    </row>
    <row r="921" spans="1:14" ht="12.5" x14ac:dyDescent="0.25">
      <c r="A921" s="14"/>
      <c r="C921" s="68"/>
      <c r="D921" s="68"/>
      <c r="E921" s="68"/>
      <c r="F921" s="68"/>
      <c r="G921" s="68"/>
      <c r="H921" s="68"/>
      <c r="I921" s="68"/>
      <c r="J921" s="68"/>
      <c r="K921" s="68"/>
      <c r="L921" s="68"/>
      <c r="N921" s="75"/>
    </row>
    <row r="922" spans="1:14" ht="12.5" x14ac:dyDescent="0.25">
      <c r="A922" s="14"/>
      <c r="C922" s="68"/>
      <c r="D922" s="68"/>
      <c r="E922" s="68"/>
      <c r="F922" s="68"/>
      <c r="G922" s="68"/>
      <c r="H922" s="68"/>
      <c r="I922" s="68"/>
      <c r="J922" s="68"/>
      <c r="K922" s="68"/>
      <c r="L922" s="68"/>
      <c r="N922" s="75"/>
    </row>
    <row r="923" spans="1:14" ht="12.5" x14ac:dyDescent="0.25">
      <c r="A923" s="14"/>
      <c r="C923" s="68"/>
      <c r="D923" s="68"/>
      <c r="E923" s="68"/>
      <c r="F923" s="68"/>
      <c r="G923" s="68"/>
      <c r="H923" s="68"/>
      <c r="I923" s="68"/>
      <c r="J923" s="68"/>
      <c r="K923" s="68"/>
      <c r="L923" s="68"/>
      <c r="N923" s="75"/>
    </row>
    <row r="924" spans="1:14" ht="12.5" x14ac:dyDescent="0.25">
      <c r="A924" s="14"/>
      <c r="C924" s="68"/>
      <c r="D924" s="68"/>
      <c r="E924" s="68"/>
      <c r="F924" s="68"/>
      <c r="G924" s="68"/>
      <c r="H924" s="68"/>
      <c r="I924" s="68"/>
      <c r="J924" s="68"/>
      <c r="K924" s="68"/>
      <c r="L924" s="68"/>
      <c r="N924" s="75"/>
    </row>
    <row r="925" spans="1:14" ht="12.5" x14ac:dyDescent="0.25">
      <c r="A925" s="14"/>
      <c r="C925" s="68"/>
      <c r="D925" s="68"/>
      <c r="E925" s="68"/>
      <c r="F925" s="68"/>
      <c r="G925" s="68"/>
      <c r="H925" s="68"/>
      <c r="I925" s="68"/>
      <c r="J925" s="68"/>
      <c r="K925" s="68"/>
      <c r="L925" s="68"/>
      <c r="N925" s="75"/>
    </row>
    <row r="926" spans="1:14" ht="12.5" x14ac:dyDescent="0.25">
      <c r="A926" s="14"/>
      <c r="C926" s="68"/>
      <c r="D926" s="68"/>
      <c r="E926" s="68"/>
      <c r="F926" s="68"/>
      <c r="G926" s="68"/>
      <c r="H926" s="68"/>
      <c r="I926" s="68"/>
      <c r="J926" s="68"/>
      <c r="K926" s="68"/>
      <c r="L926" s="68"/>
      <c r="N926" s="75"/>
    </row>
    <row r="927" spans="1:14" ht="12.5" x14ac:dyDescent="0.25">
      <c r="A927" s="14"/>
      <c r="C927" s="68"/>
      <c r="D927" s="68"/>
      <c r="E927" s="68"/>
      <c r="F927" s="68"/>
      <c r="G927" s="68"/>
      <c r="H927" s="68"/>
      <c r="I927" s="68"/>
      <c r="J927" s="68"/>
      <c r="K927" s="68"/>
      <c r="L927" s="68"/>
      <c r="N927" s="75"/>
    </row>
    <row r="928" spans="1:14" ht="12.5" x14ac:dyDescent="0.25">
      <c r="A928" s="14"/>
      <c r="C928" s="68"/>
      <c r="D928" s="68"/>
      <c r="E928" s="68"/>
      <c r="F928" s="68"/>
      <c r="G928" s="68"/>
      <c r="H928" s="68"/>
      <c r="I928" s="68"/>
      <c r="J928" s="68"/>
      <c r="K928" s="68"/>
      <c r="L928" s="68"/>
      <c r="N928" s="75"/>
    </row>
    <row r="929" spans="1:14" ht="12.5" x14ac:dyDescent="0.25">
      <c r="A929" s="14"/>
      <c r="C929" s="68"/>
      <c r="D929" s="68"/>
      <c r="E929" s="68"/>
      <c r="F929" s="68"/>
      <c r="G929" s="68"/>
      <c r="H929" s="68"/>
      <c r="I929" s="68"/>
      <c r="J929" s="68"/>
      <c r="K929" s="68"/>
      <c r="L929" s="68"/>
      <c r="N929" s="75"/>
    </row>
    <row r="930" spans="1:14" ht="12.5" x14ac:dyDescent="0.25">
      <c r="A930" s="14"/>
      <c r="C930" s="68"/>
      <c r="D930" s="68"/>
      <c r="E930" s="68"/>
      <c r="F930" s="68"/>
      <c r="G930" s="68"/>
      <c r="H930" s="68"/>
      <c r="I930" s="68"/>
      <c r="J930" s="68"/>
      <c r="K930" s="68"/>
      <c r="L930" s="68"/>
      <c r="N930" s="75"/>
    </row>
    <row r="931" spans="1:14" ht="12.5" x14ac:dyDescent="0.25">
      <c r="A931" s="14"/>
      <c r="C931" s="68"/>
      <c r="D931" s="68"/>
      <c r="E931" s="68"/>
      <c r="F931" s="68"/>
      <c r="G931" s="68"/>
      <c r="H931" s="68"/>
      <c r="I931" s="68"/>
      <c r="J931" s="68"/>
      <c r="K931" s="68"/>
      <c r="L931" s="68"/>
      <c r="N931" s="75"/>
    </row>
    <row r="932" spans="1:14" ht="12.5" x14ac:dyDescent="0.25">
      <c r="A932" s="14"/>
      <c r="C932" s="68"/>
      <c r="D932" s="68"/>
      <c r="E932" s="68"/>
      <c r="F932" s="68"/>
      <c r="G932" s="68"/>
      <c r="H932" s="68"/>
      <c r="I932" s="68"/>
      <c r="J932" s="68"/>
      <c r="K932" s="68"/>
      <c r="L932" s="68"/>
      <c r="N932" s="75"/>
    </row>
    <row r="933" spans="1:14" ht="12.5" x14ac:dyDescent="0.25">
      <c r="A933" s="14"/>
      <c r="C933" s="68"/>
      <c r="D933" s="68"/>
      <c r="E933" s="68"/>
      <c r="F933" s="68"/>
      <c r="G933" s="68"/>
      <c r="H933" s="68"/>
      <c r="I933" s="68"/>
      <c r="J933" s="68"/>
      <c r="K933" s="68"/>
      <c r="L933" s="68"/>
      <c r="N933" s="75"/>
    </row>
    <row r="934" spans="1:14" ht="12.5" x14ac:dyDescent="0.25">
      <c r="A934" s="14"/>
      <c r="C934" s="68"/>
      <c r="D934" s="68"/>
      <c r="E934" s="68"/>
      <c r="F934" s="68"/>
      <c r="G934" s="68"/>
      <c r="H934" s="68"/>
      <c r="I934" s="68"/>
      <c r="J934" s="68"/>
      <c r="K934" s="68"/>
      <c r="L934" s="68"/>
      <c r="N934" s="75"/>
    </row>
    <row r="935" spans="1:14" ht="12.5" x14ac:dyDescent="0.25">
      <c r="A935" s="14"/>
      <c r="C935" s="68"/>
      <c r="D935" s="68"/>
      <c r="E935" s="68"/>
      <c r="F935" s="68"/>
      <c r="G935" s="68"/>
      <c r="H935" s="68"/>
      <c r="I935" s="68"/>
      <c r="J935" s="68"/>
      <c r="K935" s="68"/>
      <c r="L935" s="68"/>
      <c r="N935" s="75"/>
    </row>
    <row r="936" spans="1:14" ht="12.5" x14ac:dyDescent="0.25">
      <c r="A936" s="14"/>
      <c r="C936" s="68"/>
      <c r="D936" s="68"/>
      <c r="E936" s="68"/>
      <c r="F936" s="68"/>
      <c r="G936" s="68"/>
      <c r="H936" s="68"/>
      <c r="I936" s="68"/>
      <c r="J936" s="68"/>
      <c r="K936" s="68"/>
      <c r="L936" s="68"/>
      <c r="N936" s="75"/>
    </row>
    <row r="937" spans="1:14" ht="12.5" x14ac:dyDescent="0.25">
      <c r="A937" s="14"/>
      <c r="C937" s="68"/>
      <c r="D937" s="68"/>
      <c r="E937" s="68"/>
      <c r="F937" s="68"/>
      <c r="G937" s="68"/>
      <c r="H937" s="68"/>
      <c r="I937" s="68"/>
      <c r="J937" s="68"/>
      <c r="K937" s="68"/>
      <c r="L937" s="68"/>
      <c r="N937" s="75"/>
    </row>
    <row r="938" spans="1:14" ht="12.5" x14ac:dyDescent="0.25">
      <c r="A938" s="14"/>
      <c r="C938" s="68"/>
      <c r="D938" s="68"/>
      <c r="E938" s="68"/>
      <c r="F938" s="68"/>
      <c r="G938" s="68"/>
      <c r="H938" s="68"/>
      <c r="I938" s="68"/>
      <c r="J938" s="68"/>
      <c r="K938" s="68"/>
      <c r="L938" s="68"/>
      <c r="N938" s="75"/>
    </row>
    <row r="939" spans="1:14" ht="12.5" x14ac:dyDescent="0.25">
      <c r="A939" s="14"/>
      <c r="C939" s="68"/>
      <c r="D939" s="68"/>
      <c r="E939" s="68"/>
      <c r="F939" s="68"/>
      <c r="G939" s="68"/>
      <c r="H939" s="68"/>
      <c r="I939" s="68"/>
      <c r="J939" s="68"/>
      <c r="K939" s="68"/>
      <c r="L939" s="68"/>
      <c r="N939" s="75"/>
    </row>
    <row r="940" spans="1:14" ht="12.5" x14ac:dyDescent="0.25">
      <c r="A940" s="14"/>
      <c r="C940" s="68"/>
      <c r="D940" s="68"/>
      <c r="E940" s="68"/>
      <c r="F940" s="68"/>
      <c r="G940" s="68"/>
      <c r="H940" s="68"/>
      <c r="I940" s="68"/>
      <c r="J940" s="68"/>
      <c r="K940" s="68"/>
      <c r="L940" s="68"/>
      <c r="N940" s="75"/>
    </row>
    <row r="941" spans="1:14" ht="12.5" x14ac:dyDescent="0.25">
      <c r="A941" s="14"/>
      <c r="C941" s="68"/>
      <c r="D941" s="68"/>
      <c r="E941" s="68"/>
      <c r="F941" s="68"/>
      <c r="G941" s="68"/>
      <c r="H941" s="68"/>
      <c r="I941" s="68"/>
      <c r="J941" s="68"/>
      <c r="K941" s="68"/>
      <c r="L941" s="68"/>
      <c r="N941" s="75"/>
    </row>
    <row r="942" spans="1:14" ht="12.5" x14ac:dyDescent="0.25">
      <c r="A942" s="14"/>
      <c r="C942" s="68"/>
      <c r="D942" s="68"/>
      <c r="E942" s="68"/>
      <c r="F942" s="68"/>
      <c r="G942" s="68"/>
      <c r="H942" s="68"/>
      <c r="I942" s="68"/>
      <c r="J942" s="68"/>
      <c r="K942" s="68"/>
      <c r="L942" s="68"/>
      <c r="N942" s="75"/>
    </row>
    <row r="943" spans="1:14" ht="12.5" x14ac:dyDescent="0.25">
      <c r="A943" s="14"/>
      <c r="C943" s="68"/>
      <c r="D943" s="68"/>
      <c r="E943" s="68"/>
      <c r="F943" s="68"/>
      <c r="G943" s="68"/>
      <c r="H943" s="68"/>
      <c r="I943" s="68"/>
      <c r="J943" s="68"/>
      <c r="K943" s="68"/>
      <c r="L943" s="68"/>
      <c r="N943" s="75"/>
    </row>
    <row r="944" spans="1:14" ht="12.5" x14ac:dyDescent="0.25">
      <c r="A944" s="14"/>
      <c r="C944" s="68"/>
      <c r="D944" s="68"/>
      <c r="E944" s="68"/>
      <c r="F944" s="68"/>
      <c r="G944" s="68"/>
      <c r="H944" s="68"/>
      <c r="I944" s="68"/>
      <c r="J944" s="68"/>
      <c r="K944" s="68"/>
      <c r="L944" s="68"/>
      <c r="N944" s="75"/>
    </row>
    <row r="945" spans="1:14" ht="12.5" x14ac:dyDescent="0.25">
      <c r="A945" s="14"/>
      <c r="C945" s="68"/>
      <c r="D945" s="68"/>
      <c r="E945" s="68"/>
      <c r="F945" s="68"/>
      <c r="G945" s="68"/>
      <c r="H945" s="68"/>
      <c r="I945" s="68"/>
      <c r="J945" s="68"/>
      <c r="K945" s="68"/>
      <c r="L945" s="68"/>
      <c r="N945" s="75"/>
    </row>
    <row r="946" spans="1:14" ht="12.5" x14ac:dyDescent="0.25">
      <c r="A946" s="14"/>
      <c r="C946" s="68"/>
      <c r="D946" s="68"/>
      <c r="E946" s="68"/>
      <c r="F946" s="68"/>
      <c r="G946" s="68"/>
      <c r="H946" s="68"/>
      <c r="I946" s="68"/>
      <c r="J946" s="68"/>
      <c r="K946" s="68"/>
      <c r="L946" s="68"/>
      <c r="N946" s="75"/>
    </row>
    <row r="947" spans="1:14" ht="12.5" x14ac:dyDescent="0.25">
      <c r="A947" s="14"/>
      <c r="C947" s="68"/>
      <c r="D947" s="68"/>
      <c r="E947" s="68"/>
      <c r="F947" s="68"/>
      <c r="G947" s="68"/>
      <c r="H947" s="68"/>
      <c r="I947" s="68"/>
      <c r="J947" s="68"/>
      <c r="K947" s="68"/>
      <c r="L947" s="68"/>
      <c r="N947" s="75"/>
    </row>
    <row r="948" spans="1:14" ht="12.5" x14ac:dyDescent="0.25">
      <c r="A948" s="14"/>
      <c r="C948" s="68"/>
      <c r="D948" s="68"/>
      <c r="E948" s="68"/>
      <c r="F948" s="68"/>
      <c r="G948" s="68"/>
      <c r="H948" s="68"/>
      <c r="I948" s="68"/>
      <c r="J948" s="68"/>
      <c r="K948" s="68"/>
      <c r="L948" s="68"/>
      <c r="N948" s="75"/>
    </row>
    <row r="949" spans="1:14" ht="12.5" x14ac:dyDescent="0.25">
      <c r="A949" s="14"/>
      <c r="C949" s="68"/>
      <c r="D949" s="68"/>
      <c r="E949" s="68"/>
      <c r="F949" s="68"/>
      <c r="G949" s="68"/>
      <c r="H949" s="68"/>
      <c r="I949" s="68"/>
      <c r="J949" s="68"/>
      <c r="K949" s="68"/>
      <c r="L949" s="68"/>
      <c r="N949" s="75"/>
    </row>
    <row r="950" spans="1:14" ht="12.5" x14ac:dyDescent="0.25">
      <c r="A950" s="14"/>
      <c r="C950" s="68"/>
      <c r="D950" s="68"/>
      <c r="E950" s="68"/>
      <c r="F950" s="68"/>
      <c r="G950" s="68"/>
      <c r="H950" s="68"/>
      <c r="I950" s="68"/>
      <c r="J950" s="68"/>
      <c r="K950" s="68"/>
      <c r="L950" s="68"/>
      <c r="N950" s="75"/>
    </row>
    <row r="951" spans="1:14" ht="12.5" x14ac:dyDescent="0.25">
      <c r="A951" s="14"/>
      <c r="C951" s="68"/>
      <c r="D951" s="68"/>
      <c r="E951" s="68"/>
      <c r="F951" s="68"/>
      <c r="G951" s="68"/>
      <c r="H951" s="68"/>
      <c r="I951" s="68"/>
      <c r="J951" s="68"/>
      <c r="K951" s="68"/>
      <c r="L951" s="68"/>
      <c r="N951" s="75"/>
    </row>
    <row r="952" spans="1:14" ht="12.5" x14ac:dyDescent="0.25">
      <c r="A952" s="14"/>
      <c r="C952" s="68"/>
      <c r="D952" s="68"/>
      <c r="E952" s="68"/>
      <c r="F952" s="68"/>
      <c r="G952" s="68"/>
      <c r="H952" s="68"/>
      <c r="I952" s="68"/>
      <c r="J952" s="68"/>
      <c r="K952" s="68"/>
      <c r="L952" s="68"/>
      <c r="N952" s="75"/>
    </row>
    <row r="953" spans="1:14" ht="12.5" x14ac:dyDescent="0.25">
      <c r="A953" s="14"/>
      <c r="C953" s="68"/>
      <c r="D953" s="68"/>
      <c r="E953" s="68"/>
      <c r="F953" s="68"/>
      <c r="G953" s="68"/>
      <c r="H953" s="68"/>
      <c r="I953" s="68"/>
      <c r="J953" s="68"/>
      <c r="K953" s="68"/>
      <c r="L953" s="68"/>
      <c r="N953" s="75"/>
    </row>
  </sheetData>
  <mergeCells count="5">
    <mergeCell ref="N2:N3"/>
    <mergeCell ref="O2:O3"/>
    <mergeCell ref="P2:R2"/>
    <mergeCell ref="S2:U2"/>
    <mergeCell ref="V2:X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953"/>
  <sheetViews>
    <sheetView workbookViewId="0"/>
  </sheetViews>
  <sheetFormatPr baseColWidth="10" defaultColWidth="12.6328125" defaultRowHeight="15.75" customHeight="1" x14ac:dyDescent="0.25"/>
  <cols>
    <col min="1" max="1" width="13.36328125" customWidth="1"/>
    <col min="2" max="2" width="27.6328125" customWidth="1"/>
    <col min="4" max="7" width="5.90625" customWidth="1"/>
    <col min="11" max="13" width="11" customWidth="1"/>
    <col min="14" max="16" width="6" customWidth="1"/>
  </cols>
  <sheetData>
    <row r="1" spans="1:16" ht="15.75" customHeight="1" x14ac:dyDescent="0.25">
      <c r="A1" s="367" t="s">
        <v>9</v>
      </c>
      <c r="B1" s="395" t="s">
        <v>2014</v>
      </c>
      <c r="I1" s="75"/>
    </row>
    <row r="2" spans="1:16" ht="15.75" customHeight="1" x14ac:dyDescent="0.25">
      <c r="I2" s="303" t="s">
        <v>292</v>
      </c>
      <c r="J2" s="304" t="s">
        <v>293</v>
      </c>
      <c r="K2" s="304">
        <f>D2</f>
        <v>0</v>
      </c>
      <c r="L2" s="296"/>
      <c r="M2" s="296"/>
      <c r="N2" s="298"/>
      <c r="O2" s="296"/>
      <c r="P2" s="296"/>
    </row>
    <row r="3" spans="1:16" ht="15.75" customHeight="1" x14ac:dyDescent="0.25">
      <c r="A3" s="348" t="s">
        <v>2033</v>
      </c>
      <c r="B3" s="350"/>
      <c r="C3" s="350"/>
      <c r="D3" s="350"/>
      <c r="E3" s="348" t="s">
        <v>8</v>
      </c>
      <c r="F3" s="349" t="s">
        <v>7</v>
      </c>
      <c r="G3" s="351"/>
      <c r="I3" s="296"/>
      <c r="J3" s="296"/>
      <c r="K3" s="81" t="s">
        <v>19</v>
      </c>
      <c r="L3" s="81" t="s">
        <v>23</v>
      </c>
      <c r="M3" s="81" t="s">
        <v>25</v>
      </c>
      <c r="N3" s="71"/>
      <c r="O3" s="71"/>
      <c r="P3" s="71"/>
    </row>
    <row r="4" spans="1:16" ht="15.75" customHeight="1" x14ac:dyDescent="0.25">
      <c r="A4" s="352"/>
      <c r="B4" s="394"/>
      <c r="C4" s="394"/>
      <c r="D4" s="394"/>
      <c r="E4" s="347" t="s">
        <v>20</v>
      </c>
      <c r="F4" s="350"/>
      <c r="G4" s="351"/>
      <c r="I4" s="82">
        <f t="shared" ref="I4:I40" si="0">B4</f>
        <v>0</v>
      </c>
      <c r="J4" s="24">
        <f t="shared" ref="J4:J80" si="1">D4</f>
        <v>0</v>
      </c>
      <c r="K4" s="76" t="e">
        <f t="shared" ref="K4:M4" si="2">E4/SUM($E4:$G4)</f>
        <v>#DIV/0!</v>
      </c>
      <c r="L4" s="76" t="e">
        <f t="shared" si="2"/>
        <v>#DIV/0!</v>
      </c>
      <c r="M4" s="76" t="e">
        <f t="shared" si="2"/>
        <v>#DIV/0!</v>
      </c>
      <c r="N4" s="76"/>
      <c r="O4" s="76"/>
      <c r="P4" s="76"/>
    </row>
    <row r="5" spans="1:16" ht="15.75" customHeight="1" x14ac:dyDescent="0.25">
      <c r="A5" s="348" t="s">
        <v>1</v>
      </c>
      <c r="B5" s="348" t="s">
        <v>4</v>
      </c>
      <c r="C5" s="348" t="s">
        <v>2</v>
      </c>
      <c r="D5" s="348" t="s">
        <v>3</v>
      </c>
      <c r="E5" s="353" t="s">
        <v>19</v>
      </c>
      <c r="F5" s="369" t="s">
        <v>23</v>
      </c>
      <c r="G5" s="370" t="s">
        <v>25</v>
      </c>
      <c r="I5" s="75" t="str">
        <f t="shared" si="0"/>
        <v>Institución Educativa</v>
      </c>
      <c r="J5" s="24" t="str">
        <f t="shared" si="1"/>
        <v>Grado</v>
      </c>
      <c r="K5" s="76" t="e">
        <f t="shared" ref="K5:M5" si="3">E5/SUM($E5:$G5)</f>
        <v>#VALUE!</v>
      </c>
      <c r="L5" s="76" t="e">
        <f t="shared" si="3"/>
        <v>#VALUE!</v>
      </c>
      <c r="M5" s="76" t="e">
        <f t="shared" si="3"/>
        <v>#VALUE!</v>
      </c>
      <c r="N5" s="76"/>
      <c r="O5" s="76"/>
      <c r="P5" s="76"/>
    </row>
    <row r="6" spans="1:16" ht="15.75" customHeight="1" x14ac:dyDescent="0.25">
      <c r="A6" s="347" t="s">
        <v>89</v>
      </c>
      <c r="B6" s="353" t="s">
        <v>173</v>
      </c>
      <c r="C6" s="347" t="s">
        <v>41</v>
      </c>
      <c r="D6" s="347" t="s">
        <v>42</v>
      </c>
      <c r="E6" s="356">
        <v>5</v>
      </c>
      <c r="F6" s="379">
        <v>12</v>
      </c>
      <c r="G6" s="390"/>
      <c r="I6" s="75" t="str">
        <f t="shared" si="0"/>
        <v>501432 PAPA FRANCISCO I</v>
      </c>
      <c r="J6" s="24" t="str">
        <f t="shared" si="1"/>
        <v>2 Secundaria</v>
      </c>
      <c r="K6" s="76">
        <f t="shared" ref="K6:M6" si="4">E6/SUM($E6:$G6)</f>
        <v>0.29411764705882354</v>
      </c>
      <c r="L6" s="76">
        <f t="shared" si="4"/>
        <v>0.70588235294117652</v>
      </c>
      <c r="M6" s="76">
        <f t="shared" si="4"/>
        <v>0</v>
      </c>
      <c r="N6" s="76"/>
      <c r="O6" s="76"/>
      <c r="P6" s="76"/>
    </row>
    <row r="7" spans="1:16" ht="15.75" customHeight="1" x14ac:dyDescent="0.25">
      <c r="A7" s="352"/>
      <c r="B7" s="352"/>
      <c r="C7" s="352"/>
      <c r="D7" s="372" t="s">
        <v>43</v>
      </c>
      <c r="E7" s="360">
        <v>3</v>
      </c>
      <c r="F7" s="381">
        <v>8</v>
      </c>
      <c r="G7" s="391">
        <v>13</v>
      </c>
      <c r="I7" s="82">
        <f t="shared" si="0"/>
        <v>0</v>
      </c>
      <c r="J7" s="24" t="str">
        <f t="shared" si="1"/>
        <v>4 Secundaria</v>
      </c>
      <c r="K7" s="76">
        <f t="shared" ref="K7:M7" si="5">E7/SUM($E7:$G7)</f>
        <v>0.125</v>
      </c>
      <c r="L7" s="76">
        <f t="shared" si="5"/>
        <v>0.33333333333333331</v>
      </c>
      <c r="M7" s="76">
        <f t="shared" si="5"/>
        <v>0.54166666666666663</v>
      </c>
      <c r="N7" s="76"/>
      <c r="O7" s="76"/>
      <c r="P7" s="76"/>
    </row>
    <row r="8" spans="1:16" ht="15.75" customHeight="1" x14ac:dyDescent="0.25">
      <c r="A8" s="347" t="s">
        <v>276</v>
      </c>
      <c r="B8" s="350"/>
      <c r="C8" s="350"/>
      <c r="D8" s="350"/>
      <c r="E8" s="356">
        <v>8</v>
      </c>
      <c r="F8" s="379">
        <v>20</v>
      </c>
      <c r="G8" s="390">
        <v>13</v>
      </c>
      <c r="I8" s="75">
        <f t="shared" si="0"/>
        <v>0</v>
      </c>
      <c r="J8" s="24">
        <f t="shared" si="1"/>
        <v>0</v>
      </c>
      <c r="K8" s="76">
        <f t="shared" ref="K8:M8" si="6">E8/SUM($E8:$G8)</f>
        <v>0.1951219512195122</v>
      </c>
      <c r="L8" s="76">
        <f t="shared" si="6"/>
        <v>0.48780487804878048</v>
      </c>
      <c r="M8" s="76">
        <f t="shared" si="6"/>
        <v>0.31707317073170732</v>
      </c>
      <c r="N8" s="76"/>
      <c r="O8" s="76"/>
      <c r="P8" s="76"/>
    </row>
    <row r="9" spans="1:16" ht="15.75" customHeight="1" x14ac:dyDescent="0.25">
      <c r="A9" s="347" t="s">
        <v>60</v>
      </c>
      <c r="B9" s="353" t="s">
        <v>155</v>
      </c>
      <c r="C9" s="347" t="s">
        <v>15</v>
      </c>
      <c r="D9" s="347" t="s">
        <v>45</v>
      </c>
      <c r="E9" s="356">
        <v>1</v>
      </c>
      <c r="F9" s="379">
        <v>2</v>
      </c>
      <c r="G9" s="390"/>
      <c r="I9" s="75" t="str">
        <f t="shared" si="0"/>
        <v>6010102</v>
      </c>
      <c r="J9" s="24" t="str">
        <f t="shared" si="1"/>
        <v>2 Primaria</v>
      </c>
      <c r="K9" s="76">
        <f t="shared" ref="K9:M9" si="7">E9/SUM($E9:$G9)</f>
        <v>0.33333333333333331</v>
      </c>
      <c r="L9" s="76">
        <f t="shared" si="7"/>
        <v>0.66666666666666663</v>
      </c>
      <c r="M9" s="76">
        <f t="shared" si="7"/>
        <v>0</v>
      </c>
      <c r="N9" s="76"/>
      <c r="O9" s="76"/>
      <c r="P9" s="76"/>
    </row>
    <row r="10" spans="1:16" ht="15.75" customHeight="1" x14ac:dyDescent="0.25">
      <c r="A10" s="352"/>
      <c r="B10" s="352"/>
      <c r="C10" s="352"/>
      <c r="D10" s="372" t="s">
        <v>16</v>
      </c>
      <c r="E10" s="360">
        <v>4</v>
      </c>
      <c r="F10" s="381">
        <v>1</v>
      </c>
      <c r="G10" s="391"/>
      <c r="I10" s="82">
        <f t="shared" si="0"/>
        <v>0</v>
      </c>
      <c r="J10" s="24" t="str">
        <f t="shared" si="1"/>
        <v>4 Primaria</v>
      </c>
      <c r="K10" s="76">
        <f t="shared" ref="K10:M10" si="8">E10/SUM($E10:$G10)</f>
        <v>0.8</v>
      </c>
      <c r="L10" s="76">
        <f t="shared" si="8"/>
        <v>0.2</v>
      </c>
      <c r="M10" s="76">
        <f t="shared" si="8"/>
        <v>0</v>
      </c>
      <c r="N10" s="76"/>
      <c r="O10" s="76"/>
      <c r="P10" s="76"/>
    </row>
    <row r="11" spans="1:16" ht="15.75" customHeight="1" x14ac:dyDescent="0.25">
      <c r="A11" s="352"/>
      <c r="B11" s="352"/>
      <c r="C11" s="352"/>
      <c r="D11" s="372" t="s">
        <v>37</v>
      </c>
      <c r="E11" s="360">
        <v>1</v>
      </c>
      <c r="F11" s="381">
        <v>1</v>
      </c>
      <c r="G11" s="391"/>
      <c r="I11" s="75">
        <f t="shared" si="0"/>
        <v>0</v>
      </c>
      <c r="J11" s="24" t="str">
        <f t="shared" si="1"/>
        <v>6 Primaria</v>
      </c>
      <c r="K11" s="76">
        <f t="shared" ref="K11:M11" si="9">E11/SUM($E11:$G11)</f>
        <v>0.5</v>
      </c>
      <c r="L11" s="76">
        <f t="shared" si="9"/>
        <v>0.5</v>
      </c>
      <c r="M11" s="76">
        <f t="shared" si="9"/>
        <v>0</v>
      </c>
      <c r="N11" s="76"/>
      <c r="O11" s="76"/>
      <c r="P11" s="76"/>
    </row>
    <row r="12" spans="1:16" ht="15.75" customHeight="1" x14ac:dyDescent="0.25">
      <c r="A12" s="352"/>
      <c r="B12" s="353" t="s">
        <v>156</v>
      </c>
      <c r="C12" s="347" t="s">
        <v>15</v>
      </c>
      <c r="D12" s="347" t="s">
        <v>45</v>
      </c>
      <c r="E12" s="356">
        <v>1</v>
      </c>
      <c r="F12" s="379"/>
      <c r="G12" s="390"/>
      <c r="I12" s="82" t="str">
        <f t="shared" si="0"/>
        <v>6010178</v>
      </c>
      <c r="J12" s="24" t="str">
        <f t="shared" si="1"/>
        <v>2 Primaria</v>
      </c>
      <c r="K12" s="76">
        <f t="shared" ref="K12:M12" si="10">E12/SUM($E12:$G12)</f>
        <v>1</v>
      </c>
      <c r="L12" s="76">
        <f t="shared" si="10"/>
        <v>0</v>
      </c>
      <c r="M12" s="76">
        <f t="shared" si="10"/>
        <v>0</v>
      </c>
      <c r="N12" s="76"/>
      <c r="O12" s="76"/>
      <c r="P12" s="76"/>
    </row>
    <row r="13" spans="1:16" ht="15.75" customHeight="1" x14ac:dyDescent="0.25">
      <c r="A13" s="352"/>
      <c r="B13" s="352"/>
      <c r="C13" s="352"/>
      <c r="D13" s="372" t="s">
        <v>37</v>
      </c>
      <c r="E13" s="360"/>
      <c r="F13" s="381"/>
      <c r="G13" s="391">
        <v>1</v>
      </c>
      <c r="I13" s="75">
        <f t="shared" si="0"/>
        <v>0</v>
      </c>
      <c r="J13" s="24" t="str">
        <f t="shared" si="1"/>
        <v>6 Primaria</v>
      </c>
      <c r="K13" s="76">
        <f t="shared" ref="K13:M13" si="11">E13/SUM($E13:$G13)</f>
        <v>0</v>
      </c>
      <c r="L13" s="76">
        <f t="shared" si="11"/>
        <v>0</v>
      </c>
      <c r="M13" s="76">
        <f t="shared" si="11"/>
        <v>1</v>
      </c>
      <c r="N13" s="76"/>
      <c r="O13" s="76"/>
      <c r="P13" s="76"/>
    </row>
    <row r="14" spans="1:16" ht="15.75" customHeight="1" x14ac:dyDescent="0.25">
      <c r="A14" s="352"/>
      <c r="B14" s="353" t="s">
        <v>162</v>
      </c>
      <c r="C14" s="347" t="s">
        <v>15</v>
      </c>
      <c r="D14" s="347" t="s">
        <v>45</v>
      </c>
      <c r="E14" s="356">
        <v>10</v>
      </c>
      <c r="F14" s="379"/>
      <c r="G14" s="390"/>
      <c r="I14" s="75" t="str">
        <f t="shared" si="0"/>
        <v>6010231</v>
      </c>
      <c r="J14" s="24" t="str">
        <f t="shared" si="1"/>
        <v>2 Primaria</v>
      </c>
      <c r="K14" s="76">
        <f t="shared" ref="K14:M14" si="12">E14/SUM($E14:$G14)</f>
        <v>1</v>
      </c>
      <c r="L14" s="76">
        <f t="shared" si="12"/>
        <v>0</v>
      </c>
      <c r="M14" s="76">
        <f t="shared" si="12"/>
        <v>0</v>
      </c>
      <c r="N14" s="76"/>
      <c r="O14" s="76"/>
      <c r="P14" s="76"/>
    </row>
    <row r="15" spans="1:16" ht="15.75" customHeight="1" x14ac:dyDescent="0.25">
      <c r="A15" s="352"/>
      <c r="B15" s="352"/>
      <c r="C15" s="352"/>
      <c r="D15" s="372" t="s">
        <v>16</v>
      </c>
      <c r="E15" s="360">
        <v>15</v>
      </c>
      <c r="F15" s="381"/>
      <c r="G15" s="391"/>
      <c r="I15" s="75">
        <f t="shared" si="0"/>
        <v>0</v>
      </c>
      <c r="J15" s="24" t="str">
        <f t="shared" si="1"/>
        <v>4 Primaria</v>
      </c>
      <c r="K15" s="76">
        <f t="shared" ref="K15:M15" si="13">E15/SUM($E15:$G15)</f>
        <v>1</v>
      </c>
      <c r="L15" s="76">
        <f t="shared" si="13"/>
        <v>0</v>
      </c>
      <c r="M15" s="76">
        <f t="shared" si="13"/>
        <v>0</v>
      </c>
      <c r="N15" s="76"/>
      <c r="O15" s="76"/>
      <c r="P15" s="76"/>
    </row>
    <row r="16" spans="1:16" ht="15.75" customHeight="1" x14ac:dyDescent="0.25">
      <c r="A16" s="352"/>
      <c r="B16" s="352"/>
      <c r="C16" s="352"/>
      <c r="D16" s="372" t="s">
        <v>37</v>
      </c>
      <c r="E16" s="360">
        <v>13</v>
      </c>
      <c r="F16" s="381"/>
      <c r="G16" s="391"/>
      <c r="I16" s="75">
        <f t="shared" si="0"/>
        <v>0</v>
      </c>
      <c r="J16" s="24" t="str">
        <f t="shared" si="1"/>
        <v>6 Primaria</v>
      </c>
      <c r="K16" s="76">
        <f t="shared" ref="K16:M16" si="14">E16/SUM($E16:$G16)</f>
        <v>1</v>
      </c>
      <c r="L16" s="76">
        <f t="shared" si="14"/>
        <v>0</v>
      </c>
      <c r="M16" s="76">
        <f t="shared" si="14"/>
        <v>0</v>
      </c>
      <c r="N16" s="76"/>
      <c r="O16" s="76"/>
      <c r="P16" s="76"/>
    </row>
    <row r="17" spans="1:16" ht="15.75" customHeight="1" x14ac:dyDescent="0.25">
      <c r="A17" s="352"/>
      <c r="B17" s="352"/>
      <c r="C17" s="347" t="s">
        <v>41</v>
      </c>
      <c r="D17" s="347" t="s">
        <v>42</v>
      </c>
      <c r="E17" s="356">
        <v>23</v>
      </c>
      <c r="F17" s="379"/>
      <c r="G17" s="390"/>
      <c r="I17" s="82">
        <f t="shared" si="0"/>
        <v>0</v>
      </c>
      <c r="J17" s="24" t="str">
        <f t="shared" si="1"/>
        <v>2 Secundaria</v>
      </c>
      <c r="K17" s="76">
        <f t="shared" ref="K17:M17" si="15">E17/SUM($E17:$G17)</f>
        <v>1</v>
      </c>
      <c r="L17" s="76">
        <f t="shared" si="15"/>
        <v>0</v>
      </c>
      <c r="M17" s="76">
        <f t="shared" si="15"/>
        <v>0</v>
      </c>
      <c r="N17" s="76"/>
      <c r="O17" s="76"/>
      <c r="P17" s="76"/>
    </row>
    <row r="18" spans="1:16" ht="15.75" customHeight="1" x14ac:dyDescent="0.25">
      <c r="A18" s="352"/>
      <c r="B18" s="352"/>
      <c r="C18" s="352"/>
      <c r="D18" s="372" t="s">
        <v>43</v>
      </c>
      <c r="E18" s="360">
        <v>8</v>
      </c>
      <c r="F18" s="381"/>
      <c r="G18" s="391"/>
      <c r="I18" s="75">
        <f t="shared" si="0"/>
        <v>0</v>
      </c>
      <c r="J18" s="24" t="str">
        <f t="shared" si="1"/>
        <v>4 Secundaria</v>
      </c>
      <c r="K18" s="76">
        <f t="shared" ref="K18:M18" si="16">E18/SUM($E18:$G18)</f>
        <v>1</v>
      </c>
      <c r="L18" s="76">
        <f t="shared" si="16"/>
        <v>0</v>
      </c>
      <c r="M18" s="76">
        <f t="shared" si="16"/>
        <v>0</v>
      </c>
      <c r="N18" s="76"/>
      <c r="O18" s="76"/>
      <c r="P18" s="76"/>
    </row>
    <row r="19" spans="1:16" ht="15.75" customHeight="1" x14ac:dyDescent="0.25">
      <c r="A19" s="352"/>
      <c r="B19" s="353" t="s">
        <v>154</v>
      </c>
      <c r="C19" s="347" t="s">
        <v>15</v>
      </c>
      <c r="D19" s="347" t="s">
        <v>45</v>
      </c>
      <c r="E19" s="356">
        <v>1</v>
      </c>
      <c r="F19" s="379"/>
      <c r="G19" s="390"/>
      <c r="I19" s="75" t="str">
        <f t="shared" si="0"/>
        <v>60136</v>
      </c>
      <c r="J19" s="24" t="str">
        <f t="shared" si="1"/>
        <v>2 Primaria</v>
      </c>
      <c r="K19" s="76">
        <f t="shared" ref="K19:M19" si="17">E19/SUM($E19:$G19)</f>
        <v>1</v>
      </c>
      <c r="L19" s="76">
        <f t="shared" si="17"/>
        <v>0</v>
      </c>
      <c r="M19" s="76">
        <f t="shared" si="17"/>
        <v>0</v>
      </c>
      <c r="N19" s="76"/>
      <c r="O19" s="76"/>
      <c r="P19" s="76"/>
    </row>
    <row r="20" spans="1:16" ht="15.75" customHeight="1" x14ac:dyDescent="0.25">
      <c r="A20" s="352"/>
      <c r="B20" s="352"/>
      <c r="C20" s="352"/>
      <c r="D20" s="372" t="s">
        <v>16</v>
      </c>
      <c r="E20" s="360">
        <v>2</v>
      </c>
      <c r="F20" s="381"/>
      <c r="G20" s="391"/>
      <c r="I20" s="82">
        <f t="shared" si="0"/>
        <v>0</v>
      </c>
      <c r="J20" s="24" t="str">
        <f t="shared" si="1"/>
        <v>4 Primaria</v>
      </c>
      <c r="K20" s="76">
        <f t="shared" ref="K20:M20" si="18">E20/SUM($E20:$G20)</f>
        <v>1</v>
      </c>
      <c r="L20" s="76">
        <f t="shared" si="18"/>
        <v>0</v>
      </c>
      <c r="M20" s="76">
        <f t="shared" si="18"/>
        <v>0</v>
      </c>
      <c r="N20" s="76"/>
      <c r="O20" s="76"/>
      <c r="P20" s="76"/>
    </row>
    <row r="21" spans="1:16" ht="15.75" customHeight="1" x14ac:dyDescent="0.25">
      <c r="A21" s="352"/>
      <c r="B21" s="352"/>
      <c r="C21" s="352"/>
      <c r="D21" s="372" t="s">
        <v>37</v>
      </c>
      <c r="E21" s="360">
        <v>1</v>
      </c>
      <c r="F21" s="381">
        <v>1</v>
      </c>
      <c r="G21" s="391"/>
      <c r="I21" s="75">
        <f t="shared" si="0"/>
        <v>0</v>
      </c>
      <c r="J21" s="24" t="str">
        <f t="shared" si="1"/>
        <v>6 Primaria</v>
      </c>
      <c r="K21" s="76">
        <f t="shared" ref="K21:M21" si="19">E21/SUM($E21:$G21)</f>
        <v>0.5</v>
      </c>
      <c r="L21" s="76">
        <f t="shared" si="19"/>
        <v>0.5</v>
      </c>
      <c r="M21" s="76">
        <f t="shared" si="19"/>
        <v>0</v>
      </c>
      <c r="N21" s="76"/>
      <c r="O21" s="76"/>
      <c r="P21" s="76"/>
    </row>
    <row r="22" spans="1:16" ht="15.75" customHeight="1" x14ac:dyDescent="0.25">
      <c r="A22" s="352"/>
      <c r="B22" s="353" t="s">
        <v>157</v>
      </c>
      <c r="C22" s="347" t="s">
        <v>15</v>
      </c>
      <c r="D22" s="347" t="s">
        <v>45</v>
      </c>
      <c r="E22" s="356"/>
      <c r="F22" s="379">
        <v>1</v>
      </c>
      <c r="G22" s="390"/>
      <c r="I22" s="82" t="str">
        <f t="shared" si="0"/>
        <v>601391</v>
      </c>
      <c r="J22" s="24" t="str">
        <f t="shared" si="1"/>
        <v>2 Primaria</v>
      </c>
      <c r="K22" s="76">
        <f t="shared" ref="K22:M22" si="20">E22/SUM($E22:$G22)</f>
        <v>0</v>
      </c>
      <c r="L22" s="76">
        <f t="shared" si="20"/>
        <v>1</v>
      </c>
      <c r="M22" s="76">
        <f t="shared" si="20"/>
        <v>0</v>
      </c>
      <c r="N22" s="76"/>
      <c r="O22" s="76"/>
      <c r="P22" s="76"/>
    </row>
    <row r="23" spans="1:16" ht="15.75" customHeight="1" x14ac:dyDescent="0.25">
      <c r="A23" s="352"/>
      <c r="B23" s="352"/>
      <c r="C23" s="352"/>
      <c r="D23" s="372" t="s">
        <v>37</v>
      </c>
      <c r="E23" s="360">
        <v>1</v>
      </c>
      <c r="F23" s="381"/>
      <c r="G23" s="391"/>
      <c r="I23" s="75">
        <f t="shared" si="0"/>
        <v>0</v>
      </c>
      <c r="J23" s="24" t="str">
        <f t="shared" si="1"/>
        <v>6 Primaria</v>
      </c>
      <c r="K23" s="76">
        <f t="shared" ref="K23:M23" si="21">E23/SUM($E23:$G23)</f>
        <v>1</v>
      </c>
      <c r="L23" s="76">
        <f t="shared" si="21"/>
        <v>0</v>
      </c>
      <c r="M23" s="76">
        <f t="shared" si="21"/>
        <v>0</v>
      </c>
      <c r="N23" s="76"/>
      <c r="O23" s="76"/>
      <c r="P23" s="76"/>
    </row>
    <row r="24" spans="1:16" ht="12.5" x14ac:dyDescent="0.25">
      <c r="A24" s="352"/>
      <c r="B24" s="353" t="s">
        <v>165</v>
      </c>
      <c r="C24" s="347" t="s">
        <v>15</v>
      </c>
      <c r="D24" s="347" t="s">
        <v>45</v>
      </c>
      <c r="E24" s="356">
        <v>2</v>
      </c>
      <c r="F24" s="379"/>
      <c r="G24" s="390"/>
      <c r="I24" s="75" t="str">
        <f t="shared" si="0"/>
        <v>601444</v>
      </c>
      <c r="J24" s="24" t="str">
        <f t="shared" si="1"/>
        <v>2 Primaria</v>
      </c>
      <c r="K24" s="76">
        <f t="shared" ref="K24:M24" si="22">E24/SUM($E24:$G24)</f>
        <v>1</v>
      </c>
      <c r="L24" s="76">
        <f t="shared" si="22"/>
        <v>0</v>
      </c>
      <c r="M24" s="76">
        <f t="shared" si="22"/>
        <v>0</v>
      </c>
      <c r="N24" s="76"/>
      <c r="O24" s="76"/>
      <c r="P24" s="76"/>
    </row>
    <row r="25" spans="1:16" ht="12.5" x14ac:dyDescent="0.25">
      <c r="A25" s="352"/>
      <c r="B25" s="352"/>
      <c r="C25" s="352"/>
      <c r="D25" s="372" t="s">
        <v>16</v>
      </c>
      <c r="E25" s="360">
        <v>2</v>
      </c>
      <c r="F25" s="381"/>
      <c r="G25" s="391"/>
      <c r="I25" s="82">
        <f t="shared" si="0"/>
        <v>0</v>
      </c>
      <c r="J25" s="24" t="str">
        <f t="shared" si="1"/>
        <v>4 Primaria</v>
      </c>
      <c r="K25" s="76">
        <f t="shared" ref="K25:M25" si="23">E25/SUM($E25:$G25)</f>
        <v>1</v>
      </c>
      <c r="L25" s="76">
        <f t="shared" si="23"/>
        <v>0</v>
      </c>
      <c r="M25" s="76">
        <f t="shared" si="23"/>
        <v>0</v>
      </c>
      <c r="N25" s="76"/>
      <c r="O25" s="76"/>
      <c r="P25" s="76"/>
    </row>
    <row r="26" spans="1:16" ht="12.5" x14ac:dyDescent="0.25">
      <c r="A26" s="352"/>
      <c r="B26" s="352"/>
      <c r="C26" s="352"/>
      <c r="D26" s="372" t="s">
        <v>37</v>
      </c>
      <c r="E26" s="360">
        <v>1</v>
      </c>
      <c r="F26" s="381"/>
      <c r="G26" s="391"/>
      <c r="I26" s="75">
        <f t="shared" si="0"/>
        <v>0</v>
      </c>
      <c r="J26" s="24" t="str">
        <f t="shared" si="1"/>
        <v>6 Primaria</v>
      </c>
      <c r="K26" s="76">
        <f t="shared" ref="K26:M26" si="24">E26/SUM($E26:$G26)</f>
        <v>1</v>
      </c>
      <c r="L26" s="76">
        <f t="shared" si="24"/>
        <v>0</v>
      </c>
      <c r="M26" s="76">
        <f t="shared" si="24"/>
        <v>0</v>
      </c>
      <c r="N26" s="76"/>
      <c r="O26" s="76"/>
      <c r="P26" s="76"/>
    </row>
    <row r="27" spans="1:16" ht="12.5" x14ac:dyDescent="0.25">
      <c r="A27" s="352"/>
      <c r="B27" s="353" t="s">
        <v>163</v>
      </c>
      <c r="C27" s="347" t="s">
        <v>15</v>
      </c>
      <c r="D27" s="347" t="s">
        <v>16</v>
      </c>
      <c r="E27" s="356">
        <v>1</v>
      </c>
      <c r="F27" s="379"/>
      <c r="G27" s="390"/>
      <c r="I27" s="82" t="str">
        <f t="shared" si="0"/>
        <v>601511</v>
      </c>
      <c r="J27" s="24" t="str">
        <f t="shared" si="1"/>
        <v>4 Primaria</v>
      </c>
      <c r="K27" s="76">
        <f t="shared" ref="K27:M27" si="25">E27/SUM($E27:$G27)</f>
        <v>1</v>
      </c>
      <c r="L27" s="76">
        <f t="shared" si="25"/>
        <v>0</v>
      </c>
      <c r="M27" s="76">
        <f t="shared" si="25"/>
        <v>0</v>
      </c>
      <c r="N27" s="76"/>
      <c r="O27" s="76"/>
      <c r="P27" s="76"/>
    </row>
    <row r="28" spans="1:16" ht="12.5" x14ac:dyDescent="0.25">
      <c r="A28" s="352"/>
      <c r="B28" s="352"/>
      <c r="C28" s="352"/>
      <c r="D28" s="372" t="s">
        <v>37</v>
      </c>
      <c r="E28" s="360">
        <v>2</v>
      </c>
      <c r="F28" s="381"/>
      <c r="G28" s="391"/>
      <c r="I28" s="75">
        <f t="shared" si="0"/>
        <v>0</v>
      </c>
      <c r="J28" s="24" t="str">
        <f t="shared" si="1"/>
        <v>6 Primaria</v>
      </c>
      <c r="K28" s="76">
        <f t="shared" ref="K28:M28" si="26">E28/SUM($E28:$G28)</f>
        <v>1</v>
      </c>
      <c r="L28" s="76">
        <f t="shared" si="26"/>
        <v>0</v>
      </c>
      <c r="M28" s="76">
        <f t="shared" si="26"/>
        <v>0</v>
      </c>
      <c r="N28" s="76"/>
      <c r="O28" s="76"/>
      <c r="P28" s="76"/>
    </row>
    <row r="29" spans="1:16" ht="12.5" x14ac:dyDescent="0.25">
      <c r="A29" s="352"/>
      <c r="B29" s="353" t="s">
        <v>167</v>
      </c>
      <c r="C29" s="347" t="s">
        <v>15</v>
      </c>
      <c r="D29" s="347" t="s">
        <v>45</v>
      </c>
      <c r="E29" s="356">
        <v>1</v>
      </c>
      <c r="F29" s="379"/>
      <c r="G29" s="390"/>
      <c r="I29" s="82" t="str">
        <f t="shared" si="0"/>
        <v>601563</v>
      </c>
      <c r="J29" s="24" t="str">
        <f t="shared" si="1"/>
        <v>2 Primaria</v>
      </c>
      <c r="K29" s="76">
        <f t="shared" ref="K29:M29" si="27">E29/SUM($E29:$G29)</f>
        <v>1</v>
      </c>
      <c r="L29" s="76">
        <f t="shared" si="27"/>
        <v>0</v>
      </c>
      <c r="M29" s="76">
        <f t="shared" si="27"/>
        <v>0</v>
      </c>
      <c r="N29" s="76"/>
      <c r="O29" s="76"/>
      <c r="P29" s="76"/>
    </row>
    <row r="30" spans="1:16" ht="12.5" x14ac:dyDescent="0.25">
      <c r="A30" s="352"/>
      <c r="B30" s="352"/>
      <c r="C30" s="352"/>
      <c r="D30" s="372" t="s">
        <v>16</v>
      </c>
      <c r="E30" s="360">
        <v>1</v>
      </c>
      <c r="F30" s="381"/>
      <c r="G30" s="391"/>
      <c r="I30" s="75">
        <f t="shared" si="0"/>
        <v>0</v>
      </c>
      <c r="J30" s="24" t="str">
        <f t="shared" si="1"/>
        <v>4 Primaria</v>
      </c>
      <c r="K30" s="76">
        <f t="shared" ref="K30:M30" si="28">E30/SUM($E30:$G30)</f>
        <v>1</v>
      </c>
      <c r="L30" s="76">
        <f t="shared" si="28"/>
        <v>0</v>
      </c>
      <c r="M30" s="76">
        <f t="shared" si="28"/>
        <v>0</v>
      </c>
      <c r="N30" s="76"/>
      <c r="O30" s="76"/>
      <c r="P30" s="76"/>
    </row>
    <row r="31" spans="1:16" ht="12.5" x14ac:dyDescent="0.25">
      <c r="A31" s="352"/>
      <c r="B31" s="353" t="s">
        <v>158</v>
      </c>
      <c r="C31" s="347" t="s">
        <v>15</v>
      </c>
      <c r="D31" s="347" t="s">
        <v>45</v>
      </c>
      <c r="E31" s="356">
        <v>2</v>
      </c>
      <c r="F31" s="379"/>
      <c r="G31" s="390"/>
      <c r="I31" s="82" t="str">
        <f t="shared" si="0"/>
        <v>601570</v>
      </c>
      <c r="J31" s="24" t="str">
        <f t="shared" si="1"/>
        <v>2 Primaria</v>
      </c>
      <c r="K31" s="76">
        <f t="shared" ref="K31:M31" si="29">E31/SUM($E31:$G31)</f>
        <v>1</v>
      </c>
      <c r="L31" s="76">
        <f t="shared" si="29"/>
        <v>0</v>
      </c>
      <c r="M31" s="76">
        <f t="shared" si="29"/>
        <v>0</v>
      </c>
      <c r="N31" s="76"/>
      <c r="O31" s="76"/>
      <c r="P31" s="76"/>
    </row>
    <row r="32" spans="1:16" ht="12.5" x14ac:dyDescent="0.25">
      <c r="A32" s="352"/>
      <c r="B32" s="352"/>
      <c r="C32" s="352"/>
      <c r="D32" s="372" t="s">
        <v>37</v>
      </c>
      <c r="E32" s="360">
        <v>1</v>
      </c>
      <c r="F32" s="381"/>
      <c r="G32" s="391"/>
      <c r="I32" s="75">
        <f t="shared" si="0"/>
        <v>0</v>
      </c>
      <c r="J32" s="24" t="str">
        <f t="shared" si="1"/>
        <v>6 Primaria</v>
      </c>
      <c r="K32" s="76">
        <f t="shared" ref="K32:M32" si="30">E32/SUM($E32:$G32)</f>
        <v>1</v>
      </c>
      <c r="L32" s="76">
        <f t="shared" si="30"/>
        <v>0</v>
      </c>
      <c r="M32" s="76">
        <f t="shared" si="30"/>
        <v>0</v>
      </c>
      <c r="N32" s="76"/>
      <c r="O32" s="76"/>
      <c r="P32" s="76"/>
    </row>
    <row r="33" spans="1:16" ht="12.5" x14ac:dyDescent="0.25">
      <c r="A33" s="352"/>
      <c r="B33" s="353" t="s">
        <v>166</v>
      </c>
      <c r="C33" s="347" t="s">
        <v>15</v>
      </c>
      <c r="D33" s="347" t="s">
        <v>45</v>
      </c>
      <c r="E33" s="356">
        <v>2</v>
      </c>
      <c r="F33" s="379"/>
      <c r="G33" s="390"/>
      <c r="I33" s="75" t="str">
        <f t="shared" si="0"/>
        <v>601571</v>
      </c>
      <c r="J33" s="24" t="str">
        <f t="shared" si="1"/>
        <v>2 Primaria</v>
      </c>
      <c r="K33" s="76">
        <f t="shared" ref="K33:M33" si="31">E33/SUM($E33:$G33)</f>
        <v>1</v>
      </c>
      <c r="L33" s="76">
        <f t="shared" si="31"/>
        <v>0</v>
      </c>
      <c r="M33" s="76">
        <f t="shared" si="31"/>
        <v>0</v>
      </c>
      <c r="N33" s="76"/>
      <c r="O33" s="76"/>
      <c r="P33" s="76"/>
    </row>
    <row r="34" spans="1:16" ht="12.5" x14ac:dyDescent="0.25">
      <c r="A34" s="352"/>
      <c r="B34" s="352"/>
      <c r="C34" s="352"/>
      <c r="D34" s="372" t="s">
        <v>16</v>
      </c>
      <c r="E34" s="360">
        <v>1</v>
      </c>
      <c r="F34" s="381"/>
      <c r="G34" s="391"/>
      <c r="I34" s="82">
        <f t="shared" si="0"/>
        <v>0</v>
      </c>
      <c r="J34" s="24" t="str">
        <f t="shared" si="1"/>
        <v>4 Primaria</v>
      </c>
      <c r="K34" s="76">
        <f t="shared" ref="K34:M34" si="32">E34/SUM($E34:$G34)</f>
        <v>1</v>
      </c>
      <c r="L34" s="76">
        <f t="shared" si="32"/>
        <v>0</v>
      </c>
      <c r="M34" s="76">
        <f t="shared" si="32"/>
        <v>0</v>
      </c>
      <c r="N34" s="76"/>
      <c r="O34" s="76"/>
      <c r="P34" s="76"/>
    </row>
    <row r="35" spans="1:16" ht="12.5" x14ac:dyDescent="0.25">
      <c r="A35" s="352"/>
      <c r="B35" s="352"/>
      <c r="C35" s="352"/>
      <c r="D35" s="372" t="s">
        <v>37</v>
      </c>
      <c r="E35" s="360">
        <v>1</v>
      </c>
      <c r="F35" s="381"/>
      <c r="G35" s="391"/>
      <c r="I35" s="82">
        <f t="shared" si="0"/>
        <v>0</v>
      </c>
      <c r="J35" s="24" t="str">
        <f t="shared" si="1"/>
        <v>6 Primaria</v>
      </c>
      <c r="K35" s="76">
        <f t="shared" ref="K35:M35" si="33">E35/SUM($E35:$G35)</f>
        <v>1</v>
      </c>
      <c r="L35" s="76">
        <f t="shared" si="33"/>
        <v>0</v>
      </c>
      <c r="M35" s="76">
        <f t="shared" si="33"/>
        <v>0</v>
      </c>
      <c r="N35" s="76"/>
      <c r="O35" s="76"/>
      <c r="P35" s="76"/>
    </row>
    <row r="36" spans="1:16" ht="12.5" x14ac:dyDescent="0.25">
      <c r="A36" s="352"/>
      <c r="B36" s="353" t="s">
        <v>164</v>
      </c>
      <c r="C36" s="347" t="s">
        <v>15</v>
      </c>
      <c r="D36" s="347" t="s">
        <v>37</v>
      </c>
      <c r="E36" s="356">
        <v>2</v>
      </c>
      <c r="F36" s="379"/>
      <c r="G36" s="390"/>
      <c r="I36" s="82" t="str">
        <f t="shared" si="0"/>
        <v>601580</v>
      </c>
      <c r="J36" s="24" t="str">
        <f t="shared" si="1"/>
        <v>6 Primaria</v>
      </c>
      <c r="K36" s="76">
        <f t="shared" ref="K36:M36" si="34">E36/SUM($E36:$G36)</f>
        <v>1</v>
      </c>
      <c r="L36" s="76">
        <f t="shared" si="34"/>
        <v>0</v>
      </c>
      <c r="M36" s="76">
        <f t="shared" si="34"/>
        <v>0</v>
      </c>
      <c r="N36" s="76"/>
      <c r="O36" s="76"/>
      <c r="P36" s="76"/>
    </row>
    <row r="37" spans="1:16" ht="12.5" x14ac:dyDescent="0.25">
      <c r="A37" s="352"/>
      <c r="B37" s="353" t="s">
        <v>138</v>
      </c>
      <c r="C37" s="347" t="s">
        <v>15</v>
      </c>
      <c r="D37" s="347" t="s">
        <v>45</v>
      </c>
      <c r="E37" s="356">
        <v>1</v>
      </c>
      <c r="F37" s="379"/>
      <c r="G37" s="390"/>
      <c r="I37" s="75" t="str">
        <f t="shared" si="0"/>
        <v>601614</v>
      </c>
      <c r="J37" s="24" t="str">
        <f t="shared" si="1"/>
        <v>2 Primaria</v>
      </c>
      <c r="K37" s="76">
        <f t="shared" ref="K37:M37" si="35">E37/SUM($E37:$G37)</f>
        <v>1</v>
      </c>
      <c r="L37" s="76">
        <f t="shared" si="35"/>
        <v>0</v>
      </c>
      <c r="M37" s="76">
        <f t="shared" si="35"/>
        <v>0</v>
      </c>
      <c r="N37" s="76"/>
      <c r="O37" s="76"/>
      <c r="P37" s="76"/>
    </row>
    <row r="38" spans="1:16" ht="12.5" x14ac:dyDescent="0.25">
      <c r="A38" s="352"/>
      <c r="B38" s="353" t="s">
        <v>159</v>
      </c>
      <c r="C38" s="347" t="s">
        <v>15</v>
      </c>
      <c r="D38" s="347" t="s">
        <v>16</v>
      </c>
      <c r="E38" s="356">
        <v>1</v>
      </c>
      <c r="F38" s="379"/>
      <c r="G38" s="390"/>
      <c r="I38" s="82" t="str">
        <f t="shared" si="0"/>
        <v>601678</v>
      </c>
      <c r="J38" s="24" t="str">
        <f t="shared" si="1"/>
        <v>4 Primaria</v>
      </c>
      <c r="K38" s="76">
        <f t="shared" ref="K38:M38" si="36">E38/SUM($E38:$G38)</f>
        <v>1</v>
      </c>
      <c r="L38" s="76">
        <f t="shared" si="36"/>
        <v>0</v>
      </c>
      <c r="M38" s="76">
        <f t="shared" si="36"/>
        <v>0</v>
      </c>
      <c r="N38" s="76"/>
      <c r="O38" s="76"/>
      <c r="P38" s="76"/>
    </row>
    <row r="39" spans="1:16" ht="12.5" x14ac:dyDescent="0.25">
      <c r="A39" s="352"/>
      <c r="B39" s="352"/>
      <c r="C39" s="352"/>
      <c r="D39" s="372" t="s">
        <v>37</v>
      </c>
      <c r="E39" s="360">
        <v>1</v>
      </c>
      <c r="F39" s="381"/>
      <c r="G39" s="391"/>
      <c r="I39" s="75">
        <f t="shared" si="0"/>
        <v>0</v>
      </c>
      <c r="J39" s="24" t="str">
        <f t="shared" si="1"/>
        <v>6 Primaria</v>
      </c>
      <c r="K39" s="76">
        <f t="shared" ref="K39:M39" si="37">E39/SUM($E39:$G39)</f>
        <v>1</v>
      </c>
      <c r="L39" s="76">
        <f t="shared" si="37"/>
        <v>0</v>
      </c>
      <c r="M39" s="76">
        <f t="shared" si="37"/>
        <v>0</v>
      </c>
      <c r="N39" s="76"/>
      <c r="O39" s="76"/>
      <c r="P39" s="76"/>
    </row>
    <row r="40" spans="1:16" ht="12.5" x14ac:dyDescent="0.25">
      <c r="A40" s="352"/>
      <c r="B40" s="353" t="s">
        <v>161</v>
      </c>
      <c r="C40" s="347" t="s">
        <v>15</v>
      </c>
      <c r="D40" s="347" t="s">
        <v>45</v>
      </c>
      <c r="E40" s="356">
        <v>1</v>
      </c>
      <c r="F40" s="379"/>
      <c r="G40" s="390"/>
      <c r="I40" s="305" t="str">
        <f t="shared" si="0"/>
        <v>60181</v>
      </c>
      <c r="J40" s="24" t="str">
        <f t="shared" si="1"/>
        <v>2 Primaria</v>
      </c>
      <c r="K40" s="76">
        <f t="shared" ref="K40:M40" si="38">E40/SUM($E40:$G40)</f>
        <v>1</v>
      </c>
      <c r="L40" s="76">
        <f t="shared" si="38"/>
        <v>0</v>
      </c>
      <c r="M40" s="76">
        <f t="shared" si="38"/>
        <v>0</v>
      </c>
      <c r="N40" s="76"/>
      <c r="O40" s="76"/>
      <c r="P40" s="76"/>
    </row>
    <row r="41" spans="1:16" ht="12.5" x14ac:dyDescent="0.25">
      <c r="A41" s="347" t="s">
        <v>277</v>
      </c>
      <c r="B41" s="350"/>
      <c r="C41" s="350"/>
      <c r="D41" s="350"/>
      <c r="E41" s="356">
        <v>104</v>
      </c>
      <c r="F41" s="379">
        <v>6</v>
      </c>
      <c r="G41" s="390">
        <v>1</v>
      </c>
      <c r="I41" s="296"/>
      <c r="J41" s="24">
        <f t="shared" si="1"/>
        <v>0</v>
      </c>
      <c r="K41" s="76">
        <f t="shared" ref="K41:M41" si="39">E41/SUM($E41:$G41)</f>
        <v>0.93693693693693691</v>
      </c>
      <c r="L41" s="76">
        <f t="shared" si="39"/>
        <v>5.4054054054054057E-2</v>
      </c>
      <c r="M41" s="76">
        <f t="shared" si="39"/>
        <v>9.0090090090090089E-3</v>
      </c>
      <c r="N41" s="76"/>
      <c r="O41" s="76"/>
      <c r="P41" s="76"/>
    </row>
    <row r="42" spans="1:16" ht="12.5" x14ac:dyDescent="0.25">
      <c r="A42" s="347" t="s">
        <v>14</v>
      </c>
      <c r="B42" s="353" t="s">
        <v>35</v>
      </c>
      <c r="C42" s="347" t="s">
        <v>15</v>
      </c>
      <c r="D42" s="347" t="s">
        <v>45</v>
      </c>
      <c r="E42" s="356">
        <v>1</v>
      </c>
      <c r="F42" s="379">
        <v>1</v>
      </c>
      <c r="G42" s="390"/>
      <c r="I42" s="305" t="str">
        <f>B42</f>
        <v>14045</v>
      </c>
      <c r="J42" s="24" t="str">
        <f t="shared" si="1"/>
        <v>2 Primaria</v>
      </c>
      <c r="K42" s="76">
        <f t="shared" ref="K42:M42" si="40">E42/SUM($E42:$G42)</f>
        <v>0.5</v>
      </c>
      <c r="L42" s="76">
        <f t="shared" si="40"/>
        <v>0.5</v>
      </c>
      <c r="M42" s="76">
        <f t="shared" si="40"/>
        <v>0</v>
      </c>
      <c r="N42" s="76"/>
      <c r="O42" s="76"/>
      <c r="P42" s="76"/>
    </row>
    <row r="43" spans="1:16" ht="12.5" x14ac:dyDescent="0.25">
      <c r="A43" s="352"/>
      <c r="B43" s="352"/>
      <c r="C43" s="352"/>
      <c r="D43" s="372" t="s">
        <v>16</v>
      </c>
      <c r="E43" s="360">
        <v>2</v>
      </c>
      <c r="F43" s="381"/>
      <c r="G43" s="391"/>
      <c r="I43" s="296"/>
      <c r="J43" s="24" t="str">
        <f t="shared" si="1"/>
        <v>4 Primaria</v>
      </c>
      <c r="K43" s="76">
        <f t="shared" ref="K43:M43" si="41">E43/SUM($E43:$G43)</f>
        <v>1</v>
      </c>
      <c r="L43" s="76">
        <f t="shared" si="41"/>
        <v>0</v>
      </c>
      <c r="M43" s="76">
        <f t="shared" si="41"/>
        <v>0</v>
      </c>
      <c r="N43" s="76"/>
      <c r="O43" s="76"/>
      <c r="P43" s="76"/>
    </row>
    <row r="44" spans="1:16" ht="12.5" x14ac:dyDescent="0.25">
      <c r="A44" s="352"/>
      <c r="B44" s="353" t="s">
        <v>30</v>
      </c>
      <c r="C44" s="347" t="s">
        <v>41</v>
      </c>
      <c r="D44" s="347" t="s">
        <v>42</v>
      </c>
      <c r="E44" s="356">
        <v>30</v>
      </c>
      <c r="F44" s="379">
        <v>7</v>
      </c>
      <c r="G44" s="390"/>
      <c r="I44" s="305" t="str">
        <f>B44</f>
        <v>14144 SANTA ROSA</v>
      </c>
      <c r="J44" s="24" t="str">
        <f t="shared" si="1"/>
        <v>2 Secundaria</v>
      </c>
      <c r="K44" s="76">
        <f t="shared" ref="K44:M44" si="42">E44/SUM($E44:$G44)</f>
        <v>0.81081081081081086</v>
      </c>
      <c r="L44" s="76">
        <f t="shared" si="42"/>
        <v>0.1891891891891892</v>
      </c>
      <c r="M44" s="76">
        <f t="shared" si="42"/>
        <v>0</v>
      </c>
      <c r="N44" s="76"/>
      <c r="O44" s="76"/>
      <c r="P44" s="76"/>
    </row>
    <row r="45" spans="1:16" ht="12.5" x14ac:dyDescent="0.25">
      <c r="A45" s="352"/>
      <c r="B45" s="352"/>
      <c r="C45" s="352"/>
      <c r="D45" s="372" t="s">
        <v>43</v>
      </c>
      <c r="E45" s="360">
        <v>23</v>
      </c>
      <c r="F45" s="381">
        <v>6</v>
      </c>
      <c r="G45" s="391"/>
      <c r="I45" s="296"/>
      <c r="J45" s="24" t="str">
        <f t="shared" si="1"/>
        <v>4 Secundaria</v>
      </c>
      <c r="K45" s="76">
        <f t="shared" ref="K45:M45" si="43">E45/SUM($E45:$G45)</f>
        <v>0.7931034482758621</v>
      </c>
      <c r="L45" s="76">
        <f t="shared" si="43"/>
        <v>0.20689655172413793</v>
      </c>
      <c r="M45" s="76">
        <f t="shared" si="43"/>
        <v>0</v>
      </c>
      <c r="N45" s="76"/>
      <c r="O45" s="76"/>
      <c r="P45" s="76"/>
    </row>
    <row r="46" spans="1:16" ht="12.5" x14ac:dyDescent="0.25">
      <c r="A46" s="352"/>
      <c r="B46" s="353" t="s">
        <v>31</v>
      </c>
      <c r="C46" s="347" t="s">
        <v>15</v>
      </c>
      <c r="D46" s="347" t="s">
        <v>45</v>
      </c>
      <c r="E46" s="356">
        <v>1</v>
      </c>
      <c r="F46" s="379"/>
      <c r="G46" s="390"/>
      <c r="I46" s="305" t="str">
        <f>B46</f>
        <v>14894</v>
      </c>
      <c r="J46" s="24" t="str">
        <f t="shared" si="1"/>
        <v>2 Primaria</v>
      </c>
      <c r="K46" s="76">
        <f t="shared" ref="K46:M46" si="44">E46/SUM($E46:$G46)</f>
        <v>1</v>
      </c>
      <c r="L46" s="76">
        <f t="shared" si="44"/>
        <v>0</v>
      </c>
      <c r="M46" s="76">
        <f t="shared" si="44"/>
        <v>0</v>
      </c>
      <c r="N46" s="76"/>
      <c r="O46" s="76"/>
      <c r="P46" s="76"/>
    </row>
    <row r="47" spans="1:16" ht="12.5" x14ac:dyDescent="0.25">
      <c r="A47" s="352"/>
      <c r="B47" s="352"/>
      <c r="C47" s="352"/>
      <c r="D47" s="372" t="s">
        <v>16</v>
      </c>
      <c r="E47" s="360">
        <v>1</v>
      </c>
      <c r="F47" s="381"/>
      <c r="G47" s="391"/>
      <c r="I47" s="296"/>
      <c r="J47" s="24" t="str">
        <f t="shared" si="1"/>
        <v>4 Primaria</v>
      </c>
      <c r="K47" s="76">
        <f t="shared" ref="K47:M47" si="45">E47/SUM($E47:$G47)</f>
        <v>1</v>
      </c>
      <c r="L47" s="76">
        <f t="shared" si="45"/>
        <v>0</v>
      </c>
      <c r="M47" s="76">
        <f t="shared" si="45"/>
        <v>0</v>
      </c>
      <c r="N47" s="76"/>
      <c r="O47" s="76"/>
      <c r="P47" s="76"/>
    </row>
    <row r="48" spans="1:16" ht="12.5" x14ac:dyDescent="0.25">
      <c r="A48" s="352"/>
      <c r="B48" s="353" t="s">
        <v>21</v>
      </c>
      <c r="C48" s="347" t="s">
        <v>15</v>
      </c>
      <c r="D48" s="347" t="s">
        <v>16</v>
      </c>
      <c r="E48" s="356">
        <v>14</v>
      </c>
      <c r="F48" s="379">
        <v>6</v>
      </c>
      <c r="G48" s="390">
        <v>2</v>
      </c>
      <c r="I48" s="82" t="str">
        <f t="shared" ref="I48:I51" si="46">B48</f>
        <v>14924 DANIEL ALCIDES CARRION</v>
      </c>
      <c r="J48" s="24" t="str">
        <f t="shared" si="1"/>
        <v>4 Primaria</v>
      </c>
      <c r="K48" s="76">
        <f t="shared" ref="K48:M48" si="47">E48/SUM($E48:$G48)</f>
        <v>0.63636363636363635</v>
      </c>
      <c r="L48" s="76">
        <f t="shared" si="47"/>
        <v>0.27272727272727271</v>
      </c>
      <c r="M48" s="76">
        <f t="shared" si="47"/>
        <v>9.0909090909090912E-2</v>
      </c>
      <c r="N48" s="76"/>
      <c r="O48" s="76"/>
      <c r="P48" s="76"/>
    </row>
    <row r="49" spans="1:16" ht="12.5" x14ac:dyDescent="0.25">
      <c r="A49" s="352"/>
      <c r="B49" s="352"/>
      <c r="C49" s="352"/>
      <c r="D49" s="372" t="s">
        <v>37</v>
      </c>
      <c r="E49" s="360">
        <v>19</v>
      </c>
      <c r="F49" s="381">
        <v>3</v>
      </c>
      <c r="G49" s="391">
        <v>2</v>
      </c>
      <c r="I49" s="82">
        <f t="shared" si="46"/>
        <v>0</v>
      </c>
      <c r="J49" s="24" t="str">
        <f t="shared" si="1"/>
        <v>6 Primaria</v>
      </c>
      <c r="K49" s="76">
        <f t="shared" ref="K49:M49" si="48">E49/SUM($E49:$G49)</f>
        <v>0.79166666666666663</v>
      </c>
      <c r="L49" s="76">
        <f t="shared" si="48"/>
        <v>0.125</v>
      </c>
      <c r="M49" s="76">
        <f t="shared" si="48"/>
        <v>8.3333333333333329E-2</v>
      </c>
      <c r="N49" s="76"/>
      <c r="O49" s="76"/>
      <c r="P49" s="76"/>
    </row>
    <row r="50" spans="1:16" ht="12.5" x14ac:dyDescent="0.25">
      <c r="A50" s="352"/>
      <c r="B50" s="353" t="s">
        <v>27</v>
      </c>
      <c r="C50" s="347" t="s">
        <v>15</v>
      </c>
      <c r="D50" s="347" t="s">
        <v>16</v>
      </c>
      <c r="E50" s="356">
        <v>4</v>
      </c>
      <c r="F50" s="379">
        <v>2</v>
      </c>
      <c r="G50" s="390"/>
      <c r="I50" s="82" t="str">
        <f t="shared" si="46"/>
        <v>14975</v>
      </c>
      <c r="J50" s="24" t="str">
        <f t="shared" si="1"/>
        <v>4 Primaria</v>
      </c>
      <c r="K50" s="76">
        <f t="shared" ref="K50:M50" si="49">E50/SUM($E50:$G50)</f>
        <v>0.66666666666666663</v>
      </c>
      <c r="L50" s="76">
        <f t="shared" si="49"/>
        <v>0.33333333333333331</v>
      </c>
      <c r="M50" s="76">
        <f t="shared" si="49"/>
        <v>0</v>
      </c>
      <c r="N50" s="76"/>
      <c r="O50" s="76"/>
      <c r="P50" s="76"/>
    </row>
    <row r="51" spans="1:16" ht="12.5" x14ac:dyDescent="0.25">
      <c r="A51" s="352"/>
      <c r="B51" s="353" t="s">
        <v>278</v>
      </c>
      <c r="C51" s="347" t="s">
        <v>15</v>
      </c>
      <c r="D51" s="347" t="s">
        <v>45</v>
      </c>
      <c r="E51" s="356">
        <v>4</v>
      </c>
      <c r="F51" s="379">
        <v>2</v>
      </c>
      <c r="G51" s="390">
        <v>1</v>
      </c>
      <c r="I51" s="82" t="str">
        <f t="shared" si="46"/>
        <v>15374</v>
      </c>
      <c r="J51" s="24" t="str">
        <f t="shared" si="1"/>
        <v>2 Primaria</v>
      </c>
      <c r="K51" s="76">
        <f t="shared" ref="K51:M51" si="50">E51/SUM($E51:$G51)</f>
        <v>0.5714285714285714</v>
      </c>
      <c r="L51" s="76">
        <f t="shared" si="50"/>
        <v>0.2857142857142857</v>
      </c>
      <c r="M51" s="76">
        <f t="shared" si="50"/>
        <v>0.14285714285714285</v>
      </c>
      <c r="N51" s="76"/>
      <c r="O51" s="76"/>
      <c r="P51" s="76"/>
    </row>
    <row r="52" spans="1:16" ht="12.5" x14ac:dyDescent="0.25">
      <c r="A52" s="352"/>
      <c r="B52" s="353" t="s">
        <v>26</v>
      </c>
      <c r="C52" s="347" t="s">
        <v>15</v>
      </c>
      <c r="D52" s="347" t="s">
        <v>16</v>
      </c>
      <c r="E52" s="356">
        <v>7</v>
      </c>
      <c r="F52" s="379"/>
      <c r="G52" s="390"/>
      <c r="I52" s="75"/>
      <c r="J52" s="24" t="str">
        <f t="shared" si="1"/>
        <v>4 Primaria</v>
      </c>
      <c r="K52" s="76">
        <f t="shared" ref="K52:M52" si="51">E52/SUM($E52:$G52)</f>
        <v>1</v>
      </c>
      <c r="L52" s="76">
        <f t="shared" si="51"/>
        <v>0</v>
      </c>
      <c r="M52" s="76">
        <f t="shared" si="51"/>
        <v>0</v>
      </c>
      <c r="N52" s="76"/>
      <c r="O52" s="76"/>
      <c r="P52" s="76"/>
    </row>
    <row r="53" spans="1:16" ht="12.5" x14ac:dyDescent="0.25">
      <c r="A53" s="352"/>
      <c r="B53" s="353" t="s">
        <v>38</v>
      </c>
      <c r="C53" s="347" t="s">
        <v>15</v>
      </c>
      <c r="D53" s="347" t="s">
        <v>37</v>
      </c>
      <c r="E53" s="356"/>
      <c r="F53" s="379">
        <v>2</v>
      </c>
      <c r="G53" s="390"/>
      <c r="I53" s="82" t="str">
        <f t="shared" ref="I53:I56" si="52">B53</f>
        <v>20123</v>
      </c>
      <c r="J53" s="24" t="str">
        <f t="shared" si="1"/>
        <v>6 Primaria</v>
      </c>
      <c r="K53" s="76">
        <f t="shared" ref="K53:M53" si="53">E53/SUM($E53:$G53)</f>
        <v>0</v>
      </c>
      <c r="L53" s="76">
        <f t="shared" si="53"/>
        <v>1</v>
      </c>
      <c r="M53" s="76">
        <f t="shared" si="53"/>
        <v>0</v>
      </c>
      <c r="N53" s="76"/>
      <c r="O53" s="76"/>
      <c r="P53" s="76"/>
    </row>
    <row r="54" spans="1:16" ht="12.5" x14ac:dyDescent="0.25">
      <c r="A54" s="347" t="s">
        <v>279</v>
      </c>
      <c r="B54" s="350"/>
      <c r="C54" s="350"/>
      <c r="D54" s="350"/>
      <c r="E54" s="356">
        <v>106</v>
      </c>
      <c r="F54" s="379">
        <v>29</v>
      </c>
      <c r="G54" s="390">
        <v>5</v>
      </c>
      <c r="I54" s="82">
        <f t="shared" si="52"/>
        <v>0</v>
      </c>
      <c r="J54" s="24">
        <f t="shared" si="1"/>
        <v>0</v>
      </c>
      <c r="K54" s="76">
        <f t="shared" ref="K54:M54" si="54">E54/SUM($E54:$G54)</f>
        <v>0.75714285714285712</v>
      </c>
      <c r="L54" s="76">
        <f t="shared" si="54"/>
        <v>0.20714285714285716</v>
      </c>
      <c r="M54" s="76">
        <f t="shared" si="54"/>
        <v>3.5714285714285712E-2</v>
      </c>
      <c r="N54" s="76"/>
      <c r="O54" s="76"/>
      <c r="P54" s="76"/>
    </row>
    <row r="55" spans="1:16" ht="12.5" x14ac:dyDescent="0.25">
      <c r="A55" s="347" t="s">
        <v>83</v>
      </c>
      <c r="B55" s="353" t="s">
        <v>169</v>
      </c>
      <c r="C55" s="347" t="s">
        <v>15</v>
      </c>
      <c r="D55" s="347" t="s">
        <v>45</v>
      </c>
      <c r="E55" s="356">
        <v>15</v>
      </c>
      <c r="F55" s="379"/>
      <c r="G55" s="390"/>
      <c r="I55" s="75" t="str">
        <f t="shared" si="52"/>
        <v>86548 JOSE MARIA VELAZ</v>
      </c>
      <c r="J55" s="24" t="str">
        <f t="shared" si="1"/>
        <v>2 Primaria</v>
      </c>
      <c r="K55" s="76">
        <f t="shared" ref="K55:M55" si="55">E55/SUM($E55:$G55)</f>
        <v>1</v>
      </c>
      <c r="L55" s="76">
        <f t="shared" si="55"/>
        <v>0</v>
      </c>
      <c r="M55" s="76">
        <f t="shared" si="55"/>
        <v>0</v>
      </c>
      <c r="N55" s="76"/>
      <c r="O55" s="76"/>
      <c r="P55" s="76"/>
    </row>
    <row r="56" spans="1:16" ht="12.5" x14ac:dyDescent="0.25">
      <c r="A56" s="352"/>
      <c r="B56" s="353" t="s">
        <v>172</v>
      </c>
      <c r="C56" s="347" t="s">
        <v>15</v>
      </c>
      <c r="D56" s="347" t="s">
        <v>45</v>
      </c>
      <c r="E56" s="356">
        <v>7</v>
      </c>
      <c r="F56" s="379"/>
      <c r="G56" s="390"/>
      <c r="I56" s="305" t="str">
        <f t="shared" si="52"/>
        <v>86769 ABRAHAM VALDELOMAR</v>
      </c>
      <c r="J56" s="24" t="str">
        <f t="shared" si="1"/>
        <v>2 Primaria</v>
      </c>
      <c r="K56" s="76">
        <f t="shared" ref="K56:M56" si="56">E56/SUM($E56:$G56)</f>
        <v>1</v>
      </c>
      <c r="L56" s="76">
        <f t="shared" si="56"/>
        <v>0</v>
      </c>
      <c r="M56" s="76">
        <f t="shared" si="56"/>
        <v>0</v>
      </c>
      <c r="N56" s="76"/>
      <c r="O56" s="76"/>
      <c r="P56" s="76"/>
    </row>
    <row r="57" spans="1:16" ht="12.5" x14ac:dyDescent="0.25">
      <c r="A57" s="352"/>
      <c r="B57" s="352"/>
      <c r="C57" s="347" t="s">
        <v>41</v>
      </c>
      <c r="D57" s="347" t="s">
        <v>43</v>
      </c>
      <c r="E57" s="356">
        <v>5</v>
      </c>
      <c r="F57" s="379"/>
      <c r="G57" s="390"/>
      <c r="I57" s="296"/>
      <c r="J57" s="24" t="str">
        <f t="shared" si="1"/>
        <v>4 Secundaria</v>
      </c>
      <c r="K57" s="76">
        <f t="shared" ref="K57:M57" si="57">E57/SUM($E57:$G57)</f>
        <v>1</v>
      </c>
      <c r="L57" s="76">
        <f t="shared" si="57"/>
        <v>0</v>
      </c>
      <c r="M57" s="76">
        <f t="shared" si="57"/>
        <v>0</v>
      </c>
      <c r="N57" s="76"/>
      <c r="O57" s="76"/>
      <c r="P57" s="76"/>
    </row>
    <row r="58" spans="1:16" ht="12.5" x14ac:dyDescent="0.25">
      <c r="A58" s="352"/>
      <c r="B58" s="353" t="s">
        <v>170</v>
      </c>
      <c r="C58" s="347" t="s">
        <v>15</v>
      </c>
      <c r="D58" s="347" t="s">
        <v>16</v>
      </c>
      <c r="E58" s="356">
        <v>7</v>
      </c>
      <c r="F58" s="379"/>
      <c r="G58" s="390"/>
      <c r="I58" s="296"/>
      <c r="J58" s="24" t="str">
        <f t="shared" si="1"/>
        <v>4 Primaria</v>
      </c>
      <c r="K58" s="76">
        <f t="shared" ref="K58:M58" si="58">E58/SUM($E58:$G58)</f>
        <v>1</v>
      </c>
      <c r="L58" s="76">
        <f t="shared" si="58"/>
        <v>0</v>
      </c>
      <c r="M58" s="76">
        <f t="shared" si="58"/>
        <v>0</v>
      </c>
      <c r="N58" s="76"/>
      <c r="O58" s="76"/>
      <c r="P58" s="76"/>
    </row>
    <row r="59" spans="1:16" ht="12.5" x14ac:dyDescent="0.25">
      <c r="A59" s="347" t="s">
        <v>280</v>
      </c>
      <c r="B59" s="350"/>
      <c r="C59" s="350"/>
      <c r="D59" s="350"/>
      <c r="E59" s="356">
        <v>34</v>
      </c>
      <c r="F59" s="379"/>
      <c r="G59" s="390"/>
      <c r="I59" s="305">
        <f>B59</f>
        <v>0</v>
      </c>
      <c r="J59" s="24">
        <f t="shared" si="1"/>
        <v>0</v>
      </c>
      <c r="K59" s="76">
        <f t="shared" ref="K59:M59" si="59">E59/SUM($E59:$G59)</f>
        <v>1</v>
      </c>
      <c r="L59" s="76">
        <f t="shared" si="59"/>
        <v>0</v>
      </c>
      <c r="M59" s="76">
        <f t="shared" si="59"/>
        <v>0</v>
      </c>
      <c r="N59" s="76"/>
      <c r="O59" s="76"/>
      <c r="P59" s="76"/>
    </row>
    <row r="60" spans="1:16" ht="12.5" x14ac:dyDescent="0.25">
      <c r="A60" s="347" t="s">
        <v>44</v>
      </c>
      <c r="B60" s="353" t="s">
        <v>143</v>
      </c>
      <c r="C60" s="347" t="s">
        <v>15</v>
      </c>
      <c r="D60" s="347" t="s">
        <v>45</v>
      </c>
      <c r="E60" s="356">
        <v>1</v>
      </c>
      <c r="F60" s="379">
        <v>1</v>
      </c>
      <c r="G60" s="390"/>
      <c r="I60" s="296"/>
      <c r="J60" s="24" t="str">
        <f t="shared" si="1"/>
        <v>2 Primaria</v>
      </c>
      <c r="K60" s="76">
        <f t="shared" ref="K60:M60" si="60">E60/SUM($E60:$G60)</f>
        <v>0.5</v>
      </c>
      <c r="L60" s="76">
        <f t="shared" si="60"/>
        <v>0.5</v>
      </c>
      <c r="M60" s="76">
        <f t="shared" si="60"/>
        <v>0</v>
      </c>
      <c r="N60" s="76"/>
      <c r="O60" s="76"/>
      <c r="P60" s="76"/>
    </row>
    <row r="61" spans="1:16" ht="12.5" x14ac:dyDescent="0.25">
      <c r="A61" s="352"/>
      <c r="B61" s="353" t="s">
        <v>145</v>
      </c>
      <c r="C61" s="347" t="s">
        <v>15</v>
      </c>
      <c r="D61" s="347" t="s">
        <v>45</v>
      </c>
      <c r="E61" s="356">
        <v>8</v>
      </c>
      <c r="F61" s="379"/>
      <c r="G61" s="390"/>
      <c r="I61" s="296"/>
      <c r="J61" s="24" t="str">
        <f t="shared" si="1"/>
        <v>2 Primaria</v>
      </c>
      <c r="K61" s="76">
        <f t="shared" ref="K61:M61" si="61">E61/SUM($E61:$G61)</f>
        <v>1</v>
      </c>
      <c r="L61" s="76">
        <f t="shared" si="61"/>
        <v>0</v>
      </c>
      <c r="M61" s="76">
        <f t="shared" si="61"/>
        <v>0</v>
      </c>
      <c r="N61" s="76"/>
      <c r="O61" s="76"/>
      <c r="P61" s="76"/>
    </row>
    <row r="62" spans="1:16" ht="12.5" x14ac:dyDescent="0.25">
      <c r="A62" s="352"/>
      <c r="B62" s="352"/>
      <c r="C62" s="352"/>
      <c r="D62" s="372" t="s">
        <v>16</v>
      </c>
      <c r="E62" s="360">
        <v>9</v>
      </c>
      <c r="F62" s="381"/>
      <c r="G62" s="391"/>
      <c r="I62" s="305">
        <f>B62</f>
        <v>0</v>
      </c>
      <c r="J62" s="24" t="str">
        <f t="shared" si="1"/>
        <v>4 Primaria</v>
      </c>
      <c r="K62" s="76">
        <f t="shared" ref="K62:M62" si="62">E62/SUM($E62:$G62)</f>
        <v>1</v>
      </c>
      <c r="L62" s="76">
        <f t="shared" si="62"/>
        <v>0</v>
      </c>
      <c r="M62" s="76">
        <f t="shared" si="62"/>
        <v>0</v>
      </c>
      <c r="N62" s="76"/>
      <c r="O62" s="76"/>
      <c r="P62" s="76"/>
    </row>
    <row r="63" spans="1:16" ht="12.5" x14ac:dyDescent="0.25">
      <c r="A63" s="352"/>
      <c r="B63" s="352"/>
      <c r="C63" s="352"/>
      <c r="D63" s="372" t="s">
        <v>37</v>
      </c>
      <c r="E63" s="360">
        <v>8</v>
      </c>
      <c r="F63" s="381"/>
      <c r="G63" s="391"/>
      <c r="I63" s="296"/>
      <c r="J63" s="24" t="str">
        <f t="shared" si="1"/>
        <v>6 Primaria</v>
      </c>
      <c r="K63" s="76">
        <f t="shared" ref="K63:M63" si="63">E63/SUM($E63:$G63)</f>
        <v>1</v>
      </c>
      <c r="L63" s="76">
        <f t="shared" si="63"/>
        <v>0</v>
      </c>
      <c r="M63" s="76">
        <f t="shared" si="63"/>
        <v>0</v>
      </c>
      <c r="N63" s="76"/>
      <c r="O63" s="76"/>
      <c r="P63" s="76"/>
    </row>
    <row r="64" spans="1:16" ht="12.5" x14ac:dyDescent="0.25">
      <c r="A64" s="352"/>
      <c r="B64" s="353" t="s">
        <v>147</v>
      </c>
      <c r="C64" s="347" t="s">
        <v>15</v>
      </c>
      <c r="D64" s="347" t="s">
        <v>45</v>
      </c>
      <c r="E64" s="356">
        <v>2</v>
      </c>
      <c r="F64" s="379"/>
      <c r="G64" s="390"/>
      <c r="I64" s="295" t="str">
        <f>B64</f>
        <v>64545-B</v>
      </c>
      <c r="J64" s="24" t="str">
        <f t="shared" si="1"/>
        <v>2 Primaria</v>
      </c>
      <c r="K64" s="76">
        <f t="shared" ref="K64:M64" si="64">E64/SUM($E64:$G64)</f>
        <v>1</v>
      </c>
      <c r="L64" s="76">
        <f t="shared" si="64"/>
        <v>0</v>
      </c>
      <c r="M64" s="76">
        <f t="shared" si="64"/>
        <v>0</v>
      </c>
      <c r="N64" s="76"/>
      <c r="O64" s="76"/>
      <c r="P64" s="76"/>
    </row>
    <row r="65" spans="1:16" ht="12.5" x14ac:dyDescent="0.25">
      <c r="A65" s="352"/>
      <c r="B65" s="352"/>
      <c r="C65" s="352"/>
      <c r="D65" s="372" t="s">
        <v>16</v>
      </c>
      <c r="E65" s="360">
        <v>1</v>
      </c>
      <c r="F65" s="381"/>
      <c r="G65" s="391"/>
      <c r="I65" s="296"/>
      <c r="J65" s="24" t="str">
        <f t="shared" si="1"/>
        <v>4 Primaria</v>
      </c>
      <c r="K65" s="76">
        <f t="shared" ref="K65:M65" si="65">E65/SUM($E65:$G65)</f>
        <v>1</v>
      </c>
      <c r="L65" s="76">
        <f t="shared" si="65"/>
        <v>0</v>
      </c>
      <c r="M65" s="76">
        <f t="shared" si="65"/>
        <v>0</v>
      </c>
      <c r="N65" s="76"/>
      <c r="O65" s="76"/>
      <c r="P65" s="76"/>
    </row>
    <row r="66" spans="1:16" ht="12.5" x14ac:dyDescent="0.25">
      <c r="A66" s="352"/>
      <c r="B66" s="352"/>
      <c r="C66" s="352"/>
      <c r="D66" s="372" t="s">
        <v>37</v>
      </c>
      <c r="E66" s="360">
        <v>1</v>
      </c>
      <c r="F66" s="381"/>
      <c r="G66" s="391"/>
      <c r="I66" s="296"/>
      <c r="J66" s="24" t="str">
        <f t="shared" si="1"/>
        <v>6 Primaria</v>
      </c>
      <c r="K66" s="76">
        <f t="shared" ref="K66:M66" si="66">E66/SUM($E66:$G66)</f>
        <v>1</v>
      </c>
      <c r="L66" s="76">
        <f t="shared" si="66"/>
        <v>0</v>
      </c>
      <c r="M66" s="76">
        <f t="shared" si="66"/>
        <v>0</v>
      </c>
      <c r="N66" s="76"/>
      <c r="O66" s="76"/>
      <c r="P66" s="76"/>
    </row>
    <row r="67" spans="1:16" ht="12.5" x14ac:dyDescent="0.25">
      <c r="A67" s="352"/>
      <c r="B67" s="353" t="s">
        <v>149</v>
      </c>
      <c r="C67" s="347" t="s">
        <v>15</v>
      </c>
      <c r="D67" s="347" t="s">
        <v>45</v>
      </c>
      <c r="E67" s="356">
        <v>9</v>
      </c>
      <c r="F67" s="379"/>
      <c r="G67" s="390"/>
      <c r="I67" s="305" t="str">
        <f>B67</f>
        <v>64871-B</v>
      </c>
      <c r="J67" s="24" t="str">
        <f t="shared" si="1"/>
        <v>2 Primaria</v>
      </c>
      <c r="K67" s="76">
        <f t="shared" ref="K67:M67" si="67">E67/SUM($E67:$G67)</f>
        <v>1</v>
      </c>
      <c r="L67" s="76">
        <f t="shared" si="67"/>
        <v>0</v>
      </c>
      <c r="M67" s="76">
        <f t="shared" si="67"/>
        <v>0</v>
      </c>
      <c r="N67" s="76"/>
      <c r="O67" s="76"/>
      <c r="P67" s="76"/>
    </row>
    <row r="68" spans="1:16" ht="12.5" x14ac:dyDescent="0.25">
      <c r="A68" s="352"/>
      <c r="B68" s="352"/>
      <c r="C68" s="352"/>
      <c r="D68" s="372" t="s">
        <v>37</v>
      </c>
      <c r="E68" s="360">
        <v>10</v>
      </c>
      <c r="F68" s="381"/>
      <c r="G68" s="391"/>
      <c r="I68" s="296"/>
      <c r="J68" s="24" t="str">
        <f t="shared" si="1"/>
        <v>6 Primaria</v>
      </c>
      <c r="K68" s="76">
        <f t="shared" ref="K68:M68" si="68">E68/SUM($E68:$G68)</f>
        <v>1</v>
      </c>
      <c r="L68" s="76">
        <f t="shared" si="68"/>
        <v>0</v>
      </c>
      <c r="M68" s="76">
        <f t="shared" si="68"/>
        <v>0</v>
      </c>
      <c r="N68" s="76"/>
      <c r="O68" s="76"/>
      <c r="P68" s="76"/>
    </row>
    <row r="69" spans="1:16" ht="12.5" x14ac:dyDescent="0.25">
      <c r="A69" s="352"/>
      <c r="B69" s="353" t="s">
        <v>146</v>
      </c>
      <c r="C69" s="347" t="s">
        <v>15</v>
      </c>
      <c r="D69" s="347" t="s">
        <v>45</v>
      </c>
      <c r="E69" s="356">
        <v>7</v>
      </c>
      <c r="F69" s="379"/>
      <c r="G69" s="390"/>
      <c r="I69" s="75" t="str">
        <f t="shared" ref="I69:I70" si="69">B69</f>
        <v>64873-B</v>
      </c>
      <c r="J69" s="24" t="str">
        <f t="shared" si="1"/>
        <v>2 Primaria</v>
      </c>
      <c r="K69" s="76">
        <f t="shared" ref="K69:M69" si="70">E69/SUM($E69:$G69)</f>
        <v>1</v>
      </c>
      <c r="L69" s="76">
        <f t="shared" si="70"/>
        <v>0</v>
      </c>
      <c r="M69" s="76">
        <f t="shared" si="70"/>
        <v>0</v>
      </c>
      <c r="N69" s="76"/>
      <c r="O69" s="76"/>
      <c r="P69" s="76"/>
    </row>
    <row r="70" spans="1:16" ht="12.5" x14ac:dyDescent="0.25">
      <c r="A70" s="352"/>
      <c r="B70" s="352"/>
      <c r="C70" s="352"/>
      <c r="D70" s="372" t="s">
        <v>16</v>
      </c>
      <c r="E70" s="360">
        <v>4</v>
      </c>
      <c r="F70" s="381"/>
      <c r="G70" s="391"/>
      <c r="I70" s="305">
        <f t="shared" si="69"/>
        <v>0</v>
      </c>
      <c r="J70" s="24" t="str">
        <f t="shared" si="1"/>
        <v>4 Primaria</v>
      </c>
      <c r="K70" s="76">
        <f t="shared" ref="K70:M70" si="71">E70/SUM($E70:$G70)</f>
        <v>1</v>
      </c>
      <c r="L70" s="76">
        <f t="shared" si="71"/>
        <v>0</v>
      </c>
      <c r="M70" s="76">
        <f t="shared" si="71"/>
        <v>0</v>
      </c>
      <c r="N70" s="76"/>
      <c r="O70" s="76"/>
      <c r="P70" s="76"/>
    </row>
    <row r="71" spans="1:16" ht="12.5" x14ac:dyDescent="0.25">
      <c r="A71" s="352"/>
      <c r="B71" s="352"/>
      <c r="C71" s="352"/>
      <c r="D71" s="372" t="s">
        <v>37</v>
      </c>
      <c r="E71" s="360">
        <v>4</v>
      </c>
      <c r="F71" s="381"/>
      <c r="G71" s="391"/>
      <c r="I71" s="296"/>
      <c r="J71" s="24" t="str">
        <f t="shared" si="1"/>
        <v>6 Primaria</v>
      </c>
      <c r="K71" s="76">
        <f t="shared" ref="K71:M71" si="72">E71/SUM($E71:$G71)</f>
        <v>1</v>
      </c>
      <c r="L71" s="76">
        <f t="shared" si="72"/>
        <v>0</v>
      </c>
      <c r="M71" s="76">
        <f t="shared" si="72"/>
        <v>0</v>
      </c>
      <c r="N71" s="76"/>
      <c r="O71" s="76"/>
      <c r="P71" s="76"/>
    </row>
    <row r="72" spans="1:16" ht="12.5" x14ac:dyDescent="0.25">
      <c r="A72" s="352"/>
      <c r="B72" s="353" t="s">
        <v>148</v>
      </c>
      <c r="C72" s="347" t="s">
        <v>15</v>
      </c>
      <c r="D72" s="347" t="s">
        <v>45</v>
      </c>
      <c r="E72" s="356">
        <v>1</v>
      </c>
      <c r="F72" s="379"/>
      <c r="G72" s="390"/>
      <c r="I72" s="296"/>
      <c r="J72" s="24" t="str">
        <f t="shared" si="1"/>
        <v>2 Primaria</v>
      </c>
      <c r="K72" s="76">
        <f t="shared" ref="K72:M72" si="73">E72/SUM($E72:$G72)</f>
        <v>1</v>
      </c>
      <c r="L72" s="76">
        <f t="shared" si="73"/>
        <v>0</v>
      </c>
      <c r="M72" s="76">
        <f t="shared" si="73"/>
        <v>0</v>
      </c>
      <c r="N72" s="76"/>
      <c r="O72" s="76"/>
      <c r="P72" s="76"/>
    </row>
    <row r="73" spans="1:16" ht="12.5" x14ac:dyDescent="0.25">
      <c r="A73" s="352"/>
      <c r="B73" s="352"/>
      <c r="C73" s="352"/>
      <c r="D73" s="372" t="s">
        <v>37</v>
      </c>
      <c r="E73" s="360"/>
      <c r="F73" s="381">
        <v>1</v>
      </c>
      <c r="G73" s="391"/>
      <c r="I73" s="296"/>
      <c r="J73" s="14" t="str">
        <f t="shared" si="1"/>
        <v>6 Primaria</v>
      </c>
      <c r="K73" s="76">
        <f t="shared" ref="K73:M73" si="74">E73/SUM($E73:$G73)</f>
        <v>0</v>
      </c>
      <c r="L73" s="76">
        <f t="shared" si="74"/>
        <v>1</v>
      </c>
      <c r="M73" s="76">
        <f t="shared" si="74"/>
        <v>0</v>
      </c>
      <c r="N73" s="76"/>
      <c r="O73" s="76"/>
      <c r="P73" s="76"/>
    </row>
    <row r="74" spans="1:16" ht="12.5" x14ac:dyDescent="0.25">
      <c r="A74" s="347" t="s">
        <v>281</v>
      </c>
      <c r="B74" s="350"/>
      <c r="C74" s="350"/>
      <c r="D74" s="350"/>
      <c r="E74" s="356">
        <v>65</v>
      </c>
      <c r="F74" s="379">
        <v>2</v>
      </c>
      <c r="G74" s="390"/>
      <c r="I74" s="75">
        <f t="shared" ref="I74:I75" si="75">B74</f>
        <v>0</v>
      </c>
      <c r="J74" s="83">
        <f t="shared" si="1"/>
        <v>0</v>
      </c>
      <c r="K74" s="76">
        <f t="shared" ref="K74:M74" si="76">E74/SUM($E74:$G74)</f>
        <v>0.97014925373134331</v>
      </c>
      <c r="L74" s="76">
        <f t="shared" si="76"/>
        <v>2.9850746268656716E-2</v>
      </c>
      <c r="M74" s="76">
        <f t="shared" si="76"/>
        <v>0</v>
      </c>
    </row>
    <row r="75" spans="1:16" ht="12.5" x14ac:dyDescent="0.25">
      <c r="A75" s="347" t="s">
        <v>54</v>
      </c>
      <c r="B75" s="353" t="s">
        <v>59</v>
      </c>
      <c r="C75" s="347" t="s">
        <v>15</v>
      </c>
      <c r="D75" s="347" t="s">
        <v>141</v>
      </c>
      <c r="E75" s="356">
        <v>9</v>
      </c>
      <c r="F75" s="379">
        <v>1</v>
      </c>
      <c r="G75" s="390"/>
      <c r="I75" s="295" t="str">
        <f t="shared" si="75"/>
        <v>36173</v>
      </c>
      <c r="J75" s="83" t="str">
        <f t="shared" si="1"/>
        <v>1 Primaria</v>
      </c>
      <c r="K75" s="76">
        <f t="shared" ref="K75:M75" si="77">E75/SUM($E75:$G75)</f>
        <v>0.9</v>
      </c>
      <c r="L75" s="76">
        <f t="shared" si="77"/>
        <v>0.1</v>
      </c>
      <c r="M75" s="76">
        <f t="shared" si="77"/>
        <v>0</v>
      </c>
    </row>
    <row r="76" spans="1:16" ht="12.5" x14ac:dyDescent="0.25">
      <c r="A76" s="352"/>
      <c r="B76" s="352"/>
      <c r="C76" s="352"/>
      <c r="D76" s="372" t="s">
        <v>45</v>
      </c>
      <c r="E76" s="360">
        <v>4</v>
      </c>
      <c r="F76" s="381">
        <v>8</v>
      </c>
      <c r="G76" s="391"/>
      <c r="I76" s="296"/>
      <c r="J76" s="83" t="str">
        <f t="shared" si="1"/>
        <v>2 Primaria</v>
      </c>
      <c r="K76" s="76">
        <f t="shared" ref="K76:M76" si="78">E76/SUM($E76:$G76)</f>
        <v>0.33333333333333331</v>
      </c>
      <c r="L76" s="76">
        <f t="shared" si="78"/>
        <v>0.66666666666666663</v>
      </c>
      <c r="M76" s="76">
        <f t="shared" si="78"/>
        <v>0</v>
      </c>
    </row>
    <row r="77" spans="1:16" ht="12.5" x14ac:dyDescent="0.25">
      <c r="A77" s="352"/>
      <c r="B77" s="352"/>
      <c r="C77" s="352"/>
      <c r="D77" s="372" t="s">
        <v>16</v>
      </c>
      <c r="E77" s="360">
        <v>3</v>
      </c>
      <c r="F77" s="381">
        <v>4</v>
      </c>
      <c r="G77" s="391"/>
      <c r="I77" s="296"/>
      <c r="J77" s="83" t="str">
        <f t="shared" si="1"/>
        <v>4 Primaria</v>
      </c>
      <c r="K77" s="76">
        <f t="shared" ref="K77:M77" si="79">E77/SUM($E77:$G77)</f>
        <v>0.42857142857142855</v>
      </c>
      <c r="L77" s="76">
        <f t="shared" si="79"/>
        <v>0.5714285714285714</v>
      </c>
      <c r="M77" s="76">
        <f t="shared" si="79"/>
        <v>0</v>
      </c>
    </row>
    <row r="78" spans="1:16" ht="12.5" x14ac:dyDescent="0.25">
      <c r="A78" s="352"/>
      <c r="B78" s="352"/>
      <c r="C78" s="352"/>
      <c r="D78" s="372" t="s">
        <v>37</v>
      </c>
      <c r="E78" s="360"/>
      <c r="F78" s="381">
        <v>8</v>
      </c>
      <c r="G78" s="391"/>
      <c r="I78" s="305">
        <f>B78</f>
        <v>0</v>
      </c>
      <c r="J78" s="83" t="str">
        <f t="shared" si="1"/>
        <v>6 Primaria</v>
      </c>
      <c r="K78" s="76">
        <f t="shared" ref="K78:M78" si="80">E78/SUM($E78:$G78)</f>
        <v>0</v>
      </c>
      <c r="L78" s="76">
        <f t="shared" si="80"/>
        <v>1</v>
      </c>
      <c r="M78" s="76">
        <f t="shared" si="80"/>
        <v>0</v>
      </c>
    </row>
    <row r="79" spans="1:16" ht="12.5" x14ac:dyDescent="0.25">
      <c r="A79" s="352"/>
      <c r="B79" s="353" t="s">
        <v>57</v>
      </c>
      <c r="C79" s="347" t="s">
        <v>15</v>
      </c>
      <c r="D79" s="347" t="s">
        <v>141</v>
      </c>
      <c r="E79" s="356">
        <v>7</v>
      </c>
      <c r="F79" s="379">
        <v>1</v>
      </c>
      <c r="G79" s="390"/>
      <c r="I79" s="296"/>
      <c r="J79" s="24" t="str">
        <f t="shared" si="1"/>
        <v>1 Primaria</v>
      </c>
      <c r="K79" s="76">
        <f t="shared" ref="K79:M79" si="81">E79/SUM($E79:$G79)</f>
        <v>0.875</v>
      </c>
      <c r="L79" s="76">
        <f t="shared" si="81"/>
        <v>0.125</v>
      </c>
      <c r="M79" s="76">
        <f t="shared" si="81"/>
        <v>0</v>
      </c>
    </row>
    <row r="80" spans="1:16" ht="12.5" x14ac:dyDescent="0.25">
      <c r="A80" s="352"/>
      <c r="B80" s="353" t="s">
        <v>152</v>
      </c>
      <c r="C80" s="347" t="s">
        <v>15</v>
      </c>
      <c r="D80" s="347" t="s">
        <v>45</v>
      </c>
      <c r="E80" s="356">
        <v>2</v>
      </c>
      <c r="F80" s="379"/>
      <c r="G80" s="390"/>
      <c r="I80" s="75" t="str">
        <f>B80</f>
        <v>36789 NUESTRA SEÑORA DEL CARMEN</v>
      </c>
      <c r="J80" s="24" t="str">
        <f t="shared" si="1"/>
        <v>2 Primaria</v>
      </c>
      <c r="K80" s="76">
        <f t="shared" ref="K80:M80" si="82">E80/SUM($E80:$G80)</f>
        <v>1</v>
      </c>
      <c r="L80" s="76">
        <f t="shared" si="82"/>
        <v>0</v>
      </c>
      <c r="M80" s="76">
        <f t="shared" si="82"/>
        <v>0</v>
      </c>
    </row>
    <row r="81" spans="1:9" ht="12.5" x14ac:dyDescent="0.25">
      <c r="A81" s="352"/>
      <c r="B81" s="352"/>
      <c r="C81" s="352"/>
      <c r="D81" s="372" t="s">
        <v>16</v>
      </c>
      <c r="E81" s="360">
        <v>1</v>
      </c>
      <c r="F81" s="381"/>
      <c r="G81" s="391"/>
      <c r="I81" s="75"/>
    </row>
    <row r="82" spans="1:9" ht="12.5" x14ac:dyDescent="0.25">
      <c r="A82" s="352"/>
      <c r="B82" s="352"/>
      <c r="C82" s="352"/>
      <c r="D82" s="372" t="s">
        <v>37</v>
      </c>
      <c r="E82" s="360">
        <v>4</v>
      </c>
      <c r="F82" s="381"/>
      <c r="G82" s="391"/>
      <c r="I82" s="75"/>
    </row>
    <row r="83" spans="1:9" ht="12.5" x14ac:dyDescent="0.25">
      <c r="A83" s="352"/>
      <c r="B83" s="353" t="s">
        <v>58</v>
      </c>
      <c r="C83" s="347" t="s">
        <v>41</v>
      </c>
      <c r="D83" s="347" t="s">
        <v>42</v>
      </c>
      <c r="E83" s="356">
        <v>24</v>
      </c>
      <c r="F83" s="379">
        <v>1</v>
      </c>
      <c r="G83" s="390"/>
      <c r="I83" s="75"/>
    </row>
    <row r="84" spans="1:9" ht="12.5" x14ac:dyDescent="0.25">
      <c r="A84" s="352"/>
      <c r="B84" s="352"/>
      <c r="C84" s="352"/>
      <c r="D84" s="372" t="s">
        <v>43</v>
      </c>
      <c r="E84" s="360">
        <v>23</v>
      </c>
      <c r="F84" s="381">
        <v>2</v>
      </c>
      <c r="G84" s="391">
        <v>1</v>
      </c>
      <c r="I84" s="75"/>
    </row>
    <row r="85" spans="1:9" ht="12.5" x14ac:dyDescent="0.25">
      <c r="A85" s="374" t="s">
        <v>282</v>
      </c>
      <c r="B85" s="389"/>
      <c r="C85" s="389"/>
      <c r="D85" s="389"/>
      <c r="E85" s="364">
        <v>77</v>
      </c>
      <c r="F85" s="383">
        <v>25</v>
      </c>
      <c r="G85" s="392">
        <v>1</v>
      </c>
      <c r="I85" s="75"/>
    </row>
    <row r="86" spans="1:9" ht="12.5" x14ac:dyDescent="0.25">
      <c r="A86" s="14"/>
      <c r="C86" s="68"/>
      <c r="D86" s="68"/>
      <c r="E86" s="68"/>
      <c r="F86" s="68"/>
      <c r="G86" s="68"/>
      <c r="I86" s="75"/>
    </row>
    <row r="87" spans="1:9" ht="12.5" x14ac:dyDescent="0.25">
      <c r="A87" s="14"/>
      <c r="C87" s="68"/>
      <c r="D87" s="68"/>
      <c r="E87" s="68"/>
      <c r="F87" s="68"/>
      <c r="G87" s="68"/>
      <c r="I87" s="75"/>
    </row>
    <row r="88" spans="1:9" ht="12.5" x14ac:dyDescent="0.25">
      <c r="A88" s="14"/>
      <c r="C88" s="68"/>
      <c r="D88" s="68"/>
      <c r="E88" s="68"/>
      <c r="F88" s="68"/>
      <c r="G88" s="68"/>
      <c r="I88" s="75"/>
    </row>
    <row r="89" spans="1:9" ht="12.5" x14ac:dyDescent="0.25">
      <c r="A89" s="14"/>
      <c r="C89" s="68"/>
      <c r="D89" s="68"/>
      <c r="E89" s="68"/>
      <c r="F89" s="68"/>
      <c r="G89" s="68"/>
      <c r="I89" s="75"/>
    </row>
    <row r="90" spans="1:9" ht="12.5" x14ac:dyDescent="0.25">
      <c r="A90" s="14"/>
      <c r="C90" s="68"/>
      <c r="D90" s="68"/>
      <c r="E90" s="68"/>
      <c r="F90" s="68"/>
      <c r="G90" s="68"/>
      <c r="I90" s="75"/>
    </row>
    <row r="91" spans="1:9" ht="12.5" x14ac:dyDescent="0.25">
      <c r="A91" s="14"/>
      <c r="C91" s="68"/>
      <c r="D91" s="68"/>
      <c r="E91" s="68"/>
      <c r="F91" s="68"/>
      <c r="G91" s="68"/>
      <c r="I91" s="75"/>
    </row>
    <row r="92" spans="1:9" ht="12.5" x14ac:dyDescent="0.25">
      <c r="A92" s="14"/>
      <c r="C92" s="68"/>
      <c r="D92" s="68"/>
      <c r="E92" s="68"/>
      <c r="F92" s="68"/>
      <c r="G92" s="68"/>
      <c r="I92" s="75"/>
    </row>
    <row r="93" spans="1:9" ht="12.5" x14ac:dyDescent="0.25">
      <c r="A93" s="14"/>
      <c r="C93" s="68"/>
      <c r="D93" s="68"/>
      <c r="E93" s="68"/>
      <c r="F93" s="68"/>
      <c r="G93" s="68"/>
      <c r="I93" s="75"/>
    </row>
    <row r="94" spans="1:9" ht="12.5" x14ac:dyDescent="0.25">
      <c r="A94" s="14"/>
      <c r="C94" s="68"/>
      <c r="D94" s="68"/>
      <c r="E94" s="68"/>
      <c r="F94" s="68"/>
      <c r="G94" s="68"/>
      <c r="I94" s="75"/>
    </row>
    <row r="95" spans="1:9" ht="12.5" x14ac:dyDescent="0.25">
      <c r="A95" s="14"/>
      <c r="C95" s="68"/>
      <c r="D95" s="68"/>
      <c r="E95" s="68"/>
      <c r="F95" s="68"/>
      <c r="G95" s="68"/>
      <c r="I95" s="75"/>
    </row>
    <row r="96" spans="1:9" ht="12.5" x14ac:dyDescent="0.25">
      <c r="A96" s="14"/>
      <c r="C96" s="68"/>
      <c r="D96" s="68"/>
      <c r="E96" s="68"/>
      <c r="F96" s="68"/>
      <c r="G96" s="68"/>
      <c r="I96" s="75"/>
    </row>
    <row r="97" spans="1:9" ht="12.5" x14ac:dyDescent="0.25">
      <c r="A97" s="14"/>
      <c r="C97" s="68"/>
      <c r="D97" s="68"/>
      <c r="E97" s="68"/>
      <c r="F97" s="68"/>
      <c r="G97" s="68"/>
      <c r="I97" s="75"/>
    </row>
    <row r="98" spans="1:9" ht="12.5" x14ac:dyDescent="0.25">
      <c r="A98" s="14"/>
      <c r="C98" s="68"/>
      <c r="D98" s="68"/>
      <c r="E98" s="68"/>
      <c r="F98" s="68"/>
      <c r="G98" s="68"/>
      <c r="I98" s="75"/>
    </row>
    <row r="99" spans="1:9" ht="12.5" x14ac:dyDescent="0.25">
      <c r="A99" s="14"/>
      <c r="C99" s="68"/>
      <c r="D99" s="68"/>
      <c r="E99" s="68"/>
      <c r="F99" s="68"/>
      <c r="G99" s="68"/>
      <c r="I99" s="75"/>
    </row>
    <row r="100" spans="1:9" ht="12.5" x14ac:dyDescent="0.25">
      <c r="A100" s="14"/>
      <c r="C100" s="68"/>
      <c r="D100" s="68"/>
      <c r="E100" s="68"/>
      <c r="F100" s="68"/>
      <c r="G100" s="68"/>
      <c r="I100" s="75"/>
    </row>
    <row r="101" spans="1:9" ht="12.5" x14ac:dyDescent="0.25">
      <c r="A101" s="14"/>
      <c r="C101" s="68"/>
      <c r="D101" s="68"/>
      <c r="E101" s="68"/>
      <c r="F101" s="68"/>
      <c r="G101" s="68"/>
      <c r="I101" s="75"/>
    </row>
    <row r="102" spans="1:9" ht="12.5" x14ac:dyDescent="0.25">
      <c r="A102" s="14"/>
      <c r="C102" s="68"/>
      <c r="D102" s="68"/>
      <c r="E102" s="68"/>
      <c r="F102" s="68"/>
      <c r="G102" s="68"/>
      <c r="I102" s="75"/>
    </row>
    <row r="103" spans="1:9" ht="12.5" x14ac:dyDescent="0.25">
      <c r="A103" s="14"/>
      <c r="C103" s="68"/>
      <c r="D103" s="68"/>
      <c r="E103" s="68"/>
      <c r="F103" s="68"/>
      <c r="G103" s="68"/>
      <c r="I103" s="75"/>
    </row>
    <row r="104" spans="1:9" ht="12.5" x14ac:dyDescent="0.25">
      <c r="A104" s="14"/>
      <c r="C104" s="68"/>
      <c r="D104" s="68"/>
      <c r="E104" s="68"/>
      <c r="F104" s="68"/>
      <c r="G104" s="68"/>
      <c r="I104" s="75"/>
    </row>
    <row r="105" spans="1:9" ht="12.5" x14ac:dyDescent="0.25">
      <c r="A105" s="14"/>
      <c r="C105" s="68"/>
      <c r="D105" s="68"/>
      <c r="E105" s="68"/>
      <c r="F105" s="68"/>
      <c r="G105" s="68"/>
      <c r="I105" s="75"/>
    </row>
    <row r="106" spans="1:9" ht="12.5" x14ac:dyDescent="0.25">
      <c r="A106" s="14"/>
      <c r="C106" s="68"/>
      <c r="D106" s="68"/>
      <c r="E106" s="68"/>
      <c r="F106" s="68"/>
      <c r="G106" s="68"/>
      <c r="I106" s="75"/>
    </row>
    <row r="107" spans="1:9" ht="12.5" x14ac:dyDescent="0.25">
      <c r="A107" s="14"/>
      <c r="C107" s="68"/>
      <c r="D107" s="68"/>
      <c r="E107" s="68"/>
      <c r="F107" s="68"/>
      <c r="G107" s="68"/>
      <c r="I107" s="75"/>
    </row>
    <row r="108" spans="1:9" ht="12.5" x14ac:dyDescent="0.25">
      <c r="A108" s="14"/>
      <c r="C108" s="68"/>
      <c r="D108" s="68"/>
      <c r="E108" s="68"/>
      <c r="F108" s="68"/>
      <c r="G108" s="68"/>
      <c r="I108" s="75"/>
    </row>
    <row r="109" spans="1:9" ht="12.5" x14ac:dyDescent="0.25">
      <c r="A109" s="14"/>
      <c r="C109" s="68"/>
      <c r="D109" s="68"/>
      <c r="E109" s="68"/>
      <c r="F109" s="68"/>
      <c r="G109" s="68"/>
      <c r="I109" s="75"/>
    </row>
    <row r="110" spans="1:9" ht="12.5" x14ac:dyDescent="0.25">
      <c r="A110" s="14"/>
      <c r="C110" s="68"/>
      <c r="D110" s="68"/>
      <c r="E110" s="68"/>
      <c r="F110" s="68"/>
      <c r="G110" s="68"/>
      <c r="I110" s="75"/>
    </row>
    <row r="111" spans="1:9" ht="12.5" x14ac:dyDescent="0.25">
      <c r="A111" s="14"/>
      <c r="C111" s="68"/>
      <c r="D111" s="68"/>
      <c r="E111" s="68"/>
      <c r="F111" s="68"/>
      <c r="G111" s="68"/>
      <c r="I111" s="75"/>
    </row>
    <row r="112" spans="1:9" ht="12.5" x14ac:dyDescent="0.25">
      <c r="A112" s="14"/>
      <c r="C112" s="68"/>
      <c r="D112" s="68"/>
      <c r="E112" s="68"/>
      <c r="F112" s="68"/>
      <c r="G112" s="68"/>
      <c r="I112" s="75"/>
    </row>
    <row r="113" spans="1:9" ht="12.5" x14ac:dyDescent="0.25">
      <c r="A113" s="14"/>
      <c r="C113" s="68"/>
      <c r="D113" s="68"/>
      <c r="E113" s="68"/>
      <c r="F113" s="68"/>
      <c r="G113" s="68"/>
      <c r="I113" s="75"/>
    </row>
    <row r="114" spans="1:9" ht="12.5" x14ac:dyDescent="0.25">
      <c r="A114" s="14"/>
      <c r="C114" s="68"/>
      <c r="D114" s="68"/>
      <c r="E114" s="68"/>
      <c r="F114" s="68"/>
      <c r="G114" s="68"/>
      <c r="I114" s="75"/>
    </row>
    <row r="115" spans="1:9" ht="12.5" x14ac:dyDescent="0.25">
      <c r="A115" s="14"/>
      <c r="C115" s="68"/>
      <c r="D115" s="68"/>
      <c r="E115" s="68"/>
      <c r="F115" s="68"/>
      <c r="G115" s="68"/>
      <c r="I115" s="75"/>
    </row>
    <row r="116" spans="1:9" ht="12.5" x14ac:dyDescent="0.25">
      <c r="A116" s="14"/>
      <c r="C116" s="68"/>
      <c r="D116" s="68"/>
      <c r="E116" s="68"/>
      <c r="F116" s="68"/>
      <c r="G116" s="68"/>
      <c r="I116" s="75"/>
    </row>
    <row r="117" spans="1:9" ht="12.5" x14ac:dyDescent="0.25">
      <c r="A117" s="14"/>
      <c r="C117" s="68"/>
      <c r="D117" s="68"/>
      <c r="E117" s="68"/>
      <c r="F117" s="68"/>
      <c r="G117" s="68"/>
      <c r="I117" s="75"/>
    </row>
    <row r="118" spans="1:9" ht="12.5" x14ac:dyDescent="0.25">
      <c r="A118" s="14"/>
      <c r="C118" s="68"/>
      <c r="D118" s="68"/>
      <c r="E118" s="68"/>
      <c r="F118" s="68"/>
      <c r="G118" s="68"/>
      <c r="I118" s="75"/>
    </row>
    <row r="119" spans="1:9" ht="12.5" x14ac:dyDescent="0.25">
      <c r="A119" s="14"/>
      <c r="C119" s="68"/>
      <c r="D119" s="68"/>
      <c r="E119" s="68"/>
      <c r="F119" s="68"/>
      <c r="G119" s="68"/>
      <c r="I119" s="75"/>
    </row>
    <row r="120" spans="1:9" ht="12.5" x14ac:dyDescent="0.25">
      <c r="A120" s="14"/>
      <c r="C120" s="68"/>
      <c r="D120" s="68"/>
      <c r="E120" s="68"/>
      <c r="F120" s="68"/>
      <c r="G120" s="68"/>
      <c r="I120" s="75"/>
    </row>
    <row r="121" spans="1:9" ht="12.5" x14ac:dyDescent="0.25">
      <c r="A121" s="14"/>
      <c r="C121" s="68"/>
      <c r="D121" s="68"/>
      <c r="E121" s="68"/>
      <c r="F121" s="68"/>
      <c r="G121" s="68"/>
      <c r="I121" s="75"/>
    </row>
    <row r="122" spans="1:9" ht="12.5" x14ac:dyDescent="0.25">
      <c r="A122" s="14"/>
      <c r="C122" s="68"/>
      <c r="D122" s="68"/>
      <c r="E122" s="68"/>
      <c r="F122" s="68"/>
      <c r="G122" s="68"/>
      <c r="I122" s="75"/>
    </row>
    <row r="123" spans="1:9" ht="12.5" x14ac:dyDescent="0.25">
      <c r="A123" s="14"/>
      <c r="C123" s="68"/>
      <c r="D123" s="68"/>
      <c r="E123" s="68"/>
      <c r="F123" s="68"/>
      <c r="G123" s="68"/>
      <c r="I123" s="75"/>
    </row>
    <row r="124" spans="1:9" ht="12.5" x14ac:dyDescent="0.25">
      <c r="A124" s="14"/>
      <c r="C124" s="68"/>
      <c r="D124" s="68"/>
      <c r="E124" s="68"/>
      <c r="F124" s="68"/>
      <c r="G124" s="68"/>
      <c r="I124" s="75"/>
    </row>
    <row r="125" spans="1:9" ht="12.5" x14ac:dyDescent="0.25">
      <c r="A125" s="14"/>
      <c r="C125" s="68"/>
      <c r="D125" s="68"/>
      <c r="E125" s="68"/>
      <c r="F125" s="68"/>
      <c r="G125" s="68"/>
      <c r="I125" s="75"/>
    </row>
    <row r="126" spans="1:9" ht="12.5" x14ac:dyDescent="0.25">
      <c r="A126" s="14"/>
      <c r="C126" s="68"/>
      <c r="D126" s="68"/>
      <c r="E126" s="68"/>
      <c r="F126" s="68"/>
      <c r="G126" s="68"/>
      <c r="I126" s="75"/>
    </row>
    <row r="127" spans="1:9" ht="12.5" x14ac:dyDescent="0.25">
      <c r="A127" s="14"/>
      <c r="C127" s="68"/>
      <c r="D127" s="68"/>
      <c r="E127" s="68"/>
      <c r="F127" s="68"/>
      <c r="G127" s="68"/>
      <c r="I127" s="75"/>
    </row>
    <row r="128" spans="1:9" ht="12.5" x14ac:dyDescent="0.25">
      <c r="A128" s="14"/>
      <c r="C128" s="68"/>
      <c r="D128" s="68"/>
      <c r="E128" s="68"/>
      <c r="F128" s="68"/>
      <c r="G128" s="68"/>
      <c r="I128" s="75"/>
    </row>
    <row r="129" spans="1:9" ht="12.5" x14ac:dyDescent="0.25">
      <c r="A129" s="14"/>
      <c r="C129" s="68"/>
      <c r="D129" s="68"/>
      <c r="E129" s="68"/>
      <c r="F129" s="68"/>
      <c r="G129" s="68"/>
      <c r="I129" s="75"/>
    </row>
    <row r="130" spans="1:9" ht="12.5" x14ac:dyDescent="0.25">
      <c r="A130" s="14"/>
      <c r="C130" s="68"/>
      <c r="D130" s="68"/>
      <c r="E130" s="68"/>
      <c r="F130" s="68"/>
      <c r="G130" s="68"/>
      <c r="I130" s="75"/>
    </row>
    <row r="131" spans="1:9" ht="12.5" x14ac:dyDescent="0.25">
      <c r="A131" s="14"/>
      <c r="C131" s="68"/>
      <c r="D131" s="68"/>
      <c r="E131" s="68"/>
      <c r="F131" s="68"/>
      <c r="G131" s="68"/>
      <c r="I131" s="75"/>
    </row>
    <row r="132" spans="1:9" ht="12.5" x14ac:dyDescent="0.25">
      <c r="A132" s="14"/>
      <c r="C132" s="68"/>
      <c r="D132" s="68"/>
      <c r="E132" s="68"/>
      <c r="F132" s="68"/>
      <c r="G132" s="68"/>
      <c r="I132" s="75"/>
    </row>
    <row r="133" spans="1:9" ht="12.5" x14ac:dyDescent="0.25">
      <c r="A133" s="14"/>
      <c r="C133" s="68"/>
      <c r="D133" s="68"/>
      <c r="E133" s="68"/>
      <c r="F133" s="68"/>
      <c r="G133" s="68"/>
      <c r="I133" s="75"/>
    </row>
    <row r="134" spans="1:9" ht="12.5" x14ac:dyDescent="0.25">
      <c r="A134" s="14"/>
      <c r="C134" s="68"/>
      <c r="D134" s="68"/>
      <c r="E134" s="68"/>
      <c r="F134" s="68"/>
      <c r="G134" s="68"/>
      <c r="I134" s="75"/>
    </row>
    <row r="135" spans="1:9" ht="12.5" x14ac:dyDescent="0.25">
      <c r="A135" s="14"/>
      <c r="C135" s="68"/>
      <c r="D135" s="68"/>
      <c r="E135" s="68"/>
      <c r="F135" s="68"/>
      <c r="G135" s="68"/>
      <c r="I135" s="75"/>
    </row>
    <row r="136" spans="1:9" ht="12.5" x14ac:dyDescent="0.25">
      <c r="A136" s="14"/>
      <c r="C136" s="68"/>
      <c r="D136" s="68"/>
      <c r="E136" s="68"/>
      <c r="F136" s="68"/>
      <c r="G136" s="68"/>
      <c r="I136" s="75"/>
    </row>
    <row r="137" spans="1:9" ht="12.5" x14ac:dyDescent="0.25">
      <c r="A137" s="14"/>
      <c r="C137" s="68"/>
      <c r="D137" s="68"/>
      <c r="E137" s="68"/>
      <c r="F137" s="68"/>
      <c r="G137" s="68"/>
      <c r="I137" s="75"/>
    </row>
    <row r="138" spans="1:9" ht="12.5" x14ac:dyDescent="0.25">
      <c r="A138" s="14"/>
      <c r="C138" s="68"/>
      <c r="D138" s="68"/>
      <c r="E138" s="68"/>
      <c r="F138" s="68"/>
      <c r="G138" s="68"/>
      <c r="I138" s="75"/>
    </row>
    <row r="139" spans="1:9" ht="12.5" x14ac:dyDescent="0.25">
      <c r="A139" s="14"/>
      <c r="C139" s="68"/>
      <c r="D139" s="68"/>
      <c r="E139" s="68"/>
      <c r="F139" s="68"/>
      <c r="G139" s="68"/>
      <c r="I139" s="75"/>
    </row>
    <row r="140" spans="1:9" ht="12.5" x14ac:dyDescent="0.25">
      <c r="A140" s="14"/>
      <c r="C140" s="68"/>
      <c r="D140" s="68"/>
      <c r="E140" s="68"/>
      <c r="F140" s="68"/>
      <c r="G140" s="68"/>
      <c r="I140" s="75"/>
    </row>
    <row r="141" spans="1:9" ht="12.5" x14ac:dyDescent="0.25">
      <c r="A141" s="14"/>
      <c r="C141" s="68"/>
      <c r="D141" s="68"/>
      <c r="E141" s="68"/>
      <c r="F141" s="68"/>
      <c r="G141" s="68"/>
      <c r="I141" s="75"/>
    </row>
    <row r="142" spans="1:9" ht="12.5" x14ac:dyDescent="0.25">
      <c r="A142" s="14"/>
      <c r="C142" s="68"/>
      <c r="D142" s="68"/>
      <c r="E142" s="68"/>
      <c r="F142" s="68"/>
      <c r="G142" s="68"/>
      <c r="I142" s="75"/>
    </row>
    <row r="143" spans="1:9" ht="12.5" x14ac:dyDescent="0.25">
      <c r="A143" s="14"/>
      <c r="C143" s="68"/>
      <c r="D143" s="68"/>
      <c r="E143" s="68"/>
      <c r="F143" s="68"/>
      <c r="G143" s="68"/>
      <c r="I143" s="75"/>
    </row>
    <row r="144" spans="1:9" ht="12.5" x14ac:dyDescent="0.25">
      <c r="A144" s="14"/>
      <c r="C144" s="68"/>
      <c r="D144" s="68"/>
      <c r="E144" s="68"/>
      <c r="F144" s="68"/>
      <c r="G144" s="68"/>
      <c r="I144" s="75"/>
    </row>
    <row r="145" spans="1:9" ht="12.5" x14ac:dyDescent="0.25">
      <c r="A145" s="14"/>
      <c r="C145" s="68"/>
      <c r="D145" s="68"/>
      <c r="E145" s="68"/>
      <c r="F145" s="68"/>
      <c r="G145" s="68"/>
      <c r="I145" s="75"/>
    </row>
    <row r="146" spans="1:9" ht="12.5" x14ac:dyDescent="0.25">
      <c r="A146" s="14"/>
      <c r="C146" s="68"/>
      <c r="D146" s="68"/>
      <c r="E146" s="68"/>
      <c r="F146" s="68"/>
      <c r="G146" s="68"/>
      <c r="I146" s="75"/>
    </row>
    <row r="147" spans="1:9" ht="12.5" x14ac:dyDescent="0.25">
      <c r="A147" s="14"/>
      <c r="C147" s="68"/>
      <c r="D147" s="68"/>
      <c r="E147" s="68"/>
      <c r="F147" s="68"/>
      <c r="G147" s="68"/>
      <c r="I147" s="75"/>
    </row>
    <row r="148" spans="1:9" ht="12.5" x14ac:dyDescent="0.25">
      <c r="A148" s="14"/>
      <c r="C148" s="68"/>
      <c r="D148" s="68"/>
      <c r="E148" s="68"/>
      <c r="F148" s="68"/>
      <c r="G148" s="68"/>
      <c r="I148" s="75"/>
    </row>
    <row r="149" spans="1:9" ht="12.5" x14ac:dyDescent="0.25">
      <c r="A149" s="14"/>
      <c r="C149" s="68"/>
      <c r="D149" s="68"/>
      <c r="E149" s="68"/>
      <c r="F149" s="68"/>
      <c r="G149" s="68"/>
      <c r="I149" s="75"/>
    </row>
    <row r="150" spans="1:9" ht="12.5" x14ac:dyDescent="0.25">
      <c r="A150" s="14"/>
      <c r="C150" s="68"/>
      <c r="D150" s="68"/>
      <c r="E150" s="68"/>
      <c r="F150" s="68"/>
      <c r="G150" s="68"/>
      <c r="I150" s="75"/>
    </row>
    <row r="151" spans="1:9" ht="12.5" x14ac:dyDescent="0.25">
      <c r="A151" s="14"/>
      <c r="C151" s="68"/>
      <c r="D151" s="68"/>
      <c r="E151" s="68"/>
      <c r="F151" s="68"/>
      <c r="G151" s="68"/>
      <c r="I151" s="75"/>
    </row>
    <row r="152" spans="1:9" ht="12.5" x14ac:dyDescent="0.25">
      <c r="A152" s="14"/>
      <c r="C152" s="68"/>
      <c r="D152" s="68"/>
      <c r="E152" s="68"/>
      <c r="F152" s="68"/>
      <c r="G152" s="68"/>
      <c r="I152" s="75"/>
    </row>
    <row r="153" spans="1:9" ht="12.5" x14ac:dyDescent="0.25">
      <c r="A153" s="14"/>
      <c r="C153" s="68"/>
      <c r="D153" s="68"/>
      <c r="E153" s="68"/>
      <c r="F153" s="68"/>
      <c r="G153" s="68"/>
      <c r="I153" s="75"/>
    </row>
    <row r="154" spans="1:9" ht="12.5" x14ac:dyDescent="0.25">
      <c r="A154" s="14"/>
      <c r="C154" s="68"/>
      <c r="D154" s="68"/>
      <c r="E154" s="68"/>
      <c r="F154" s="68"/>
      <c r="G154" s="68"/>
      <c r="I154" s="75"/>
    </row>
    <row r="155" spans="1:9" ht="12.5" x14ac:dyDescent="0.25">
      <c r="A155" s="14"/>
      <c r="C155" s="68"/>
      <c r="D155" s="68"/>
      <c r="E155" s="68"/>
      <c r="F155" s="68"/>
      <c r="G155" s="68"/>
      <c r="I155" s="75"/>
    </row>
    <row r="156" spans="1:9" ht="12.5" x14ac:dyDescent="0.25">
      <c r="A156" s="14"/>
      <c r="C156" s="68"/>
      <c r="D156" s="68"/>
      <c r="E156" s="68"/>
      <c r="F156" s="68"/>
      <c r="G156" s="68"/>
      <c r="I156" s="75"/>
    </row>
    <row r="157" spans="1:9" ht="12.5" x14ac:dyDescent="0.25">
      <c r="A157" s="14"/>
      <c r="C157" s="68"/>
      <c r="D157" s="68"/>
      <c r="E157" s="68"/>
      <c r="F157" s="68"/>
      <c r="G157" s="68"/>
      <c r="I157" s="75"/>
    </row>
    <row r="158" spans="1:9" ht="12.5" x14ac:dyDescent="0.25">
      <c r="A158" s="14"/>
      <c r="C158" s="68"/>
      <c r="D158" s="68"/>
      <c r="E158" s="68"/>
      <c r="F158" s="68"/>
      <c r="G158" s="68"/>
      <c r="I158" s="75"/>
    </row>
    <row r="159" spans="1:9" ht="12.5" x14ac:dyDescent="0.25">
      <c r="A159" s="14"/>
      <c r="C159" s="68"/>
      <c r="D159" s="68"/>
      <c r="E159" s="68"/>
      <c r="F159" s="68"/>
      <c r="G159" s="68"/>
      <c r="I159" s="75"/>
    </row>
    <row r="160" spans="1:9" ht="12.5" x14ac:dyDescent="0.25">
      <c r="A160" s="14"/>
      <c r="C160" s="68"/>
      <c r="D160" s="68"/>
      <c r="E160" s="68"/>
      <c r="F160" s="68"/>
      <c r="G160" s="68"/>
      <c r="I160" s="75"/>
    </row>
    <row r="161" spans="1:9" ht="12.5" x14ac:dyDescent="0.25">
      <c r="A161" s="14"/>
      <c r="C161" s="68"/>
      <c r="D161" s="68"/>
      <c r="E161" s="68"/>
      <c r="F161" s="68"/>
      <c r="G161" s="68"/>
      <c r="I161" s="75"/>
    </row>
    <row r="162" spans="1:9" ht="12.5" x14ac:dyDescent="0.25">
      <c r="A162" s="14"/>
      <c r="C162" s="68"/>
      <c r="D162" s="68"/>
      <c r="E162" s="68"/>
      <c r="F162" s="68"/>
      <c r="G162" s="68"/>
      <c r="I162" s="75"/>
    </row>
    <row r="163" spans="1:9" ht="12.5" x14ac:dyDescent="0.25">
      <c r="A163" s="14"/>
      <c r="C163" s="68"/>
      <c r="D163" s="68"/>
      <c r="E163" s="68"/>
      <c r="F163" s="68"/>
      <c r="G163" s="68"/>
      <c r="I163" s="75"/>
    </row>
    <row r="164" spans="1:9" ht="12.5" x14ac:dyDescent="0.25">
      <c r="A164" s="14"/>
      <c r="C164" s="68"/>
      <c r="D164" s="68"/>
      <c r="E164" s="68"/>
      <c r="F164" s="68"/>
      <c r="G164" s="68"/>
      <c r="I164" s="75"/>
    </row>
    <row r="165" spans="1:9" ht="12.5" x14ac:dyDescent="0.25">
      <c r="A165" s="14"/>
      <c r="C165" s="68"/>
      <c r="D165" s="68"/>
      <c r="E165" s="68"/>
      <c r="F165" s="68"/>
      <c r="G165" s="68"/>
      <c r="I165" s="75"/>
    </row>
    <row r="166" spans="1:9" ht="12.5" x14ac:dyDescent="0.25">
      <c r="A166" s="14"/>
      <c r="C166" s="68"/>
      <c r="D166" s="68"/>
      <c r="E166" s="68"/>
      <c r="F166" s="68"/>
      <c r="G166" s="68"/>
      <c r="I166" s="75"/>
    </row>
    <row r="167" spans="1:9" ht="12.5" x14ac:dyDescent="0.25">
      <c r="A167" s="14"/>
      <c r="C167" s="68"/>
      <c r="D167" s="68"/>
      <c r="E167" s="68"/>
      <c r="F167" s="68"/>
      <c r="G167" s="68"/>
      <c r="I167" s="75"/>
    </row>
    <row r="168" spans="1:9" ht="12.5" x14ac:dyDescent="0.25">
      <c r="A168" s="14"/>
      <c r="C168" s="68"/>
      <c r="D168" s="68"/>
      <c r="E168" s="68"/>
      <c r="F168" s="68"/>
      <c r="G168" s="68"/>
      <c r="I168" s="75"/>
    </row>
    <row r="169" spans="1:9" ht="12.5" x14ac:dyDescent="0.25">
      <c r="A169" s="14"/>
      <c r="C169" s="68"/>
      <c r="D169" s="68"/>
      <c r="E169" s="68"/>
      <c r="F169" s="68"/>
      <c r="G169" s="68"/>
      <c r="I169" s="75"/>
    </row>
    <row r="170" spans="1:9" ht="12.5" x14ac:dyDescent="0.25">
      <c r="A170" s="14"/>
      <c r="C170" s="68"/>
      <c r="D170" s="68"/>
      <c r="E170" s="68"/>
      <c r="F170" s="68"/>
      <c r="G170" s="68"/>
      <c r="I170" s="75"/>
    </row>
    <row r="171" spans="1:9" ht="12.5" x14ac:dyDescent="0.25">
      <c r="A171" s="14"/>
      <c r="C171" s="68"/>
      <c r="D171" s="68"/>
      <c r="E171" s="68"/>
      <c r="F171" s="68"/>
      <c r="G171" s="68"/>
      <c r="I171" s="75"/>
    </row>
    <row r="172" spans="1:9" ht="12.5" x14ac:dyDescent="0.25">
      <c r="A172" s="14"/>
      <c r="C172" s="68"/>
      <c r="D172" s="68"/>
      <c r="E172" s="68"/>
      <c r="F172" s="68"/>
      <c r="G172" s="68"/>
      <c r="I172" s="75"/>
    </row>
    <row r="173" spans="1:9" ht="12.5" x14ac:dyDescent="0.25">
      <c r="A173" s="14"/>
      <c r="C173" s="68"/>
      <c r="D173" s="68"/>
      <c r="E173" s="68"/>
      <c r="F173" s="68"/>
      <c r="G173" s="68"/>
      <c r="I173" s="75"/>
    </row>
    <row r="174" spans="1:9" ht="12.5" x14ac:dyDescent="0.25">
      <c r="A174" s="14"/>
      <c r="C174" s="68"/>
      <c r="D174" s="68"/>
      <c r="E174" s="68"/>
      <c r="F174" s="68"/>
      <c r="G174" s="68"/>
      <c r="I174" s="75"/>
    </row>
    <row r="175" spans="1:9" ht="12.5" x14ac:dyDescent="0.25">
      <c r="A175" s="14"/>
      <c r="C175" s="68"/>
      <c r="D175" s="68"/>
      <c r="E175" s="68"/>
      <c r="F175" s="68"/>
      <c r="G175" s="68"/>
      <c r="I175" s="75"/>
    </row>
    <row r="176" spans="1:9" ht="12.5" x14ac:dyDescent="0.25">
      <c r="A176" s="14"/>
      <c r="C176" s="68"/>
      <c r="D176" s="68"/>
      <c r="E176" s="68"/>
      <c r="F176" s="68"/>
      <c r="G176" s="68"/>
      <c r="I176" s="75"/>
    </row>
    <row r="177" spans="1:9" ht="12.5" x14ac:dyDescent="0.25">
      <c r="A177" s="14"/>
      <c r="C177" s="68"/>
      <c r="D177" s="68"/>
      <c r="E177" s="68"/>
      <c r="F177" s="68"/>
      <c r="G177" s="68"/>
      <c r="I177" s="75"/>
    </row>
    <row r="178" spans="1:9" ht="12.5" x14ac:dyDescent="0.25">
      <c r="A178" s="14"/>
      <c r="C178" s="68"/>
      <c r="D178" s="68"/>
      <c r="E178" s="68"/>
      <c r="F178" s="68"/>
      <c r="G178" s="68"/>
      <c r="I178" s="75"/>
    </row>
    <row r="179" spans="1:9" ht="12.5" x14ac:dyDescent="0.25">
      <c r="A179" s="14"/>
      <c r="C179" s="68"/>
      <c r="D179" s="68"/>
      <c r="E179" s="68"/>
      <c r="F179" s="68"/>
      <c r="G179" s="68"/>
      <c r="I179" s="75"/>
    </row>
    <row r="180" spans="1:9" ht="12.5" x14ac:dyDescent="0.25">
      <c r="A180" s="14"/>
      <c r="C180" s="68"/>
      <c r="D180" s="68"/>
      <c r="E180" s="68"/>
      <c r="F180" s="68"/>
      <c r="G180" s="68"/>
      <c r="I180" s="75"/>
    </row>
    <row r="181" spans="1:9" ht="12.5" x14ac:dyDescent="0.25">
      <c r="A181" s="14"/>
      <c r="C181" s="68"/>
      <c r="D181" s="68"/>
      <c r="E181" s="68"/>
      <c r="F181" s="68"/>
      <c r="G181" s="68"/>
      <c r="I181" s="75"/>
    </row>
    <row r="182" spans="1:9" ht="12.5" x14ac:dyDescent="0.25">
      <c r="A182" s="14"/>
      <c r="C182" s="68"/>
      <c r="D182" s="68"/>
      <c r="E182" s="68"/>
      <c r="F182" s="68"/>
      <c r="G182" s="68"/>
      <c r="I182" s="75"/>
    </row>
    <row r="183" spans="1:9" ht="12.5" x14ac:dyDescent="0.25">
      <c r="A183" s="14"/>
      <c r="C183" s="68"/>
      <c r="D183" s="68"/>
      <c r="E183" s="68"/>
      <c r="F183" s="68"/>
      <c r="G183" s="68"/>
      <c r="I183" s="75"/>
    </row>
    <row r="184" spans="1:9" ht="12.5" x14ac:dyDescent="0.25">
      <c r="A184" s="14"/>
      <c r="C184" s="68"/>
      <c r="D184" s="68"/>
      <c r="E184" s="68"/>
      <c r="F184" s="68"/>
      <c r="G184" s="68"/>
      <c r="I184" s="75"/>
    </row>
    <row r="185" spans="1:9" ht="12.5" x14ac:dyDescent="0.25">
      <c r="A185" s="14"/>
      <c r="C185" s="68"/>
      <c r="D185" s="68"/>
      <c r="E185" s="68"/>
      <c r="F185" s="68"/>
      <c r="G185" s="68"/>
      <c r="I185" s="75"/>
    </row>
    <row r="186" spans="1:9" ht="12.5" x14ac:dyDescent="0.25">
      <c r="A186" s="14"/>
      <c r="C186" s="68"/>
      <c r="D186" s="68"/>
      <c r="E186" s="68"/>
      <c r="F186" s="68"/>
      <c r="G186" s="68"/>
      <c r="I186" s="75"/>
    </row>
    <row r="187" spans="1:9" ht="12.5" x14ac:dyDescent="0.25">
      <c r="A187" s="14"/>
      <c r="C187" s="68"/>
      <c r="D187" s="68"/>
      <c r="E187" s="68"/>
      <c r="F187" s="68"/>
      <c r="G187" s="68"/>
      <c r="I187" s="75"/>
    </row>
    <row r="188" spans="1:9" ht="12.5" x14ac:dyDescent="0.25">
      <c r="A188" s="14"/>
      <c r="C188" s="68"/>
      <c r="D188" s="68"/>
      <c r="E188" s="68"/>
      <c r="F188" s="68"/>
      <c r="G188" s="68"/>
      <c r="I188" s="75"/>
    </row>
    <row r="189" spans="1:9" ht="12.5" x14ac:dyDescent="0.25">
      <c r="A189" s="14"/>
      <c r="C189" s="68"/>
      <c r="D189" s="68"/>
      <c r="E189" s="68"/>
      <c r="F189" s="68"/>
      <c r="G189" s="68"/>
      <c r="I189" s="75"/>
    </row>
    <row r="190" spans="1:9" ht="12.5" x14ac:dyDescent="0.25">
      <c r="A190" s="14"/>
      <c r="C190" s="68"/>
      <c r="D190" s="68"/>
      <c r="E190" s="68"/>
      <c r="F190" s="68"/>
      <c r="G190" s="68"/>
      <c r="I190" s="75"/>
    </row>
    <row r="191" spans="1:9" ht="12.5" x14ac:dyDescent="0.25">
      <c r="A191" s="14"/>
      <c r="C191" s="68"/>
      <c r="D191" s="68"/>
      <c r="E191" s="68"/>
      <c r="F191" s="68"/>
      <c r="G191" s="68"/>
      <c r="I191" s="75"/>
    </row>
    <row r="192" spans="1:9" ht="12.5" x14ac:dyDescent="0.25">
      <c r="A192" s="14"/>
      <c r="C192" s="68"/>
      <c r="D192" s="68"/>
      <c r="E192" s="68"/>
      <c r="F192" s="68"/>
      <c r="G192" s="68"/>
      <c r="I192" s="75"/>
    </row>
    <row r="193" spans="1:9" ht="12.5" x14ac:dyDescent="0.25">
      <c r="A193" s="14"/>
      <c r="C193" s="68"/>
      <c r="D193" s="68"/>
      <c r="E193" s="68"/>
      <c r="F193" s="68"/>
      <c r="G193" s="68"/>
      <c r="I193" s="75"/>
    </row>
    <row r="194" spans="1:9" ht="12.5" x14ac:dyDescent="0.25">
      <c r="A194" s="14"/>
      <c r="C194" s="68"/>
      <c r="D194" s="68"/>
      <c r="E194" s="68"/>
      <c r="F194" s="68"/>
      <c r="G194" s="68"/>
      <c r="I194" s="75"/>
    </row>
    <row r="195" spans="1:9" ht="12.5" x14ac:dyDescent="0.25">
      <c r="A195" s="14"/>
      <c r="C195" s="68"/>
      <c r="D195" s="68"/>
      <c r="E195" s="68"/>
      <c r="F195" s="68"/>
      <c r="G195" s="68"/>
      <c r="I195" s="75"/>
    </row>
    <row r="196" spans="1:9" ht="12.5" x14ac:dyDescent="0.25">
      <c r="A196" s="14"/>
      <c r="C196" s="68"/>
      <c r="D196" s="68"/>
      <c r="E196" s="68"/>
      <c r="F196" s="68"/>
      <c r="G196" s="68"/>
      <c r="I196" s="75"/>
    </row>
    <row r="197" spans="1:9" ht="12.5" x14ac:dyDescent="0.25">
      <c r="A197" s="14"/>
      <c r="C197" s="68"/>
      <c r="D197" s="68"/>
      <c r="E197" s="68"/>
      <c r="F197" s="68"/>
      <c r="G197" s="68"/>
      <c r="I197" s="75"/>
    </row>
    <row r="198" spans="1:9" ht="12.5" x14ac:dyDescent="0.25">
      <c r="A198" s="14"/>
      <c r="C198" s="68"/>
      <c r="D198" s="68"/>
      <c r="E198" s="68"/>
      <c r="F198" s="68"/>
      <c r="G198" s="68"/>
      <c r="I198" s="75"/>
    </row>
    <row r="199" spans="1:9" ht="12.5" x14ac:dyDescent="0.25">
      <c r="A199" s="14"/>
      <c r="C199" s="68"/>
      <c r="D199" s="68"/>
      <c r="E199" s="68"/>
      <c r="F199" s="68"/>
      <c r="G199" s="68"/>
      <c r="I199" s="75"/>
    </row>
    <row r="200" spans="1:9" ht="12.5" x14ac:dyDescent="0.25">
      <c r="A200" s="14"/>
      <c r="C200" s="68"/>
      <c r="D200" s="68"/>
      <c r="E200" s="68"/>
      <c r="F200" s="68"/>
      <c r="G200" s="68"/>
      <c r="I200" s="75"/>
    </row>
    <row r="201" spans="1:9" ht="12.5" x14ac:dyDescent="0.25">
      <c r="A201" s="14"/>
      <c r="C201" s="68"/>
      <c r="D201" s="68"/>
      <c r="E201" s="68"/>
      <c r="F201" s="68"/>
      <c r="G201" s="68"/>
      <c r="I201" s="75"/>
    </row>
    <row r="202" spans="1:9" ht="12.5" x14ac:dyDescent="0.25">
      <c r="A202" s="14"/>
      <c r="C202" s="68"/>
      <c r="D202" s="68"/>
      <c r="E202" s="68"/>
      <c r="F202" s="68"/>
      <c r="G202" s="68"/>
      <c r="I202" s="75"/>
    </row>
    <row r="203" spans="1:9" ht="12.5" x14ac:dyDescent="0.25">
      <c r="A203" s="14"/>
      <c r="C203" s="68"/>
      <c r="D203" s="68"/>
      <c r="E203" s="68"/>
      <c r="F203" s="68"/>
      <c r="G203" s="68"/>
      <c r="I203" s="75"/>
    </row>
    <row r="204" spans="1:9" ht="12.5" x14ac:dyDescent="0.25">
      <c r="A204" s="14"/>
      <c r="C204" s="68"/>
      <c r="D204" s="68"/>
      <c r="E204" s="68"/>
      <c r="F204" s="68"/>
      <c r="G204" s="68"/>
      <c r="I204" s="75"/>
    </row>
    <row r="205" spans="1:9" ht="12.5" x14ac:dyDescent="0.25">
      <c r="A205" s="14"/>
      <c r="C205" s="68"/>
      <c r="D205" s="68"/>
      <c r="E205" s="68"/>
      <c r="F205" s="68"/>
      <c r="G205" s="68"/>
      <c r="I205" s="75"/>
    </row>
    <row r="206" spans="1:9" ht="12.5" x14ac:dyDescent="0.25">
      <c r="A206" s="14"/>
      <c r="C206" s="68"/>
      <c r="D206" s="68"/>
      <c r="E206" s="68"/>
      <c r="F206" s="68"/>
      <c r="G206" s="68"/>
      <c r="I206" s="75"/>
    </row>
    <row r="207" spans="1:9" ht="12.5" x14ac:dyDescent="0.25">
      <c r="A207" s="14"/>
      <c r="C207" s="68"/>
      <c r="D207" s="68"/>
      <c r="E207" s="68"/>
      <c r="F207" s="68"/>
      <c r="G207" s="68"/>
      <c r="I207" s="75"/>
    </row>
    <row r="208" spans="1:9" ht="12.5" x14ac:dyDescent="0.25">
      <c r="A208" s="14"/>
      <c r="C208" s="68"/>
      <c r="D208" s="68"/>
      <c r="E208" s="68"/>
      <c r="F208" s="68"/>
      <c r="G208" s="68"/>
      <c r="I208" s="75"/>
    </row>
    <row r="209" spans="1:9" ht="12.5" x14ac:dyDescent="0.25">
      <c r="A209" s="14"/>
      <c r="C209" s="68"/>
      <c r="D209" s="68"/>
      <c r="E209" s="68"/>
      <c r="F209" s="68"/>
      <c r="G209" s="68"/>
      <c r="I209" s="75"/>
    </row>
    <row r="210" spans="1:9" ht="12.5" x14ac:dyDescent="0.25">
      <c r="A210" s="14"/>
      <c r="C210" s="68"/>
      <c r="D210" s="68"/>
      <c r="E210" s="68"/>
      <c r="F210" s="68"/>
      <c r="G210" s="68"/>
      <c r="I210" s="75"/>
    </row>
    <row r="211" spans="1:9" ht="12.5" x14ac:dyDescent="0.25">
      <c r="A211" s="14"/>
      <c r="C211" s="68"/>
      <c r="D211" s="68"/>
      <c r="E211" s="68"/>
      <c r="F211" s="68"/>
      <c r="G211" s="68"/>
      <c r="I211" s="75"/>
    </row>
    <row r="212" spans="1:9" ht="12.5" x14ac:dyDescent="0.25">
      <c r="A212" s="14"/>
      <c r="C212" s="68"/>
      <c r="D212" s="68"/>
      <c r="E212" s="68"/>
      <c r="F212" s="68"/>
      <c r="G212" s="68"/>
      <c r="I212" s="75"/>
    </row>
    <row r="213" spans="1:9" ht="12.5" x14ac:dyDescent="0.25">
      <c r="A213" s="14"/>
      <c r="C213" s="68"/>
      <c r="D213" s="68"/>
      <c r="E213" s="68"/>
      <c r="F213" s="68"/>
      <c r="G213" s="68"/>
      <c r="I213" s="75"/>
    </row>
    <row r="214" spans="1:9" ht="12.5" x14ac:dyDescent="0.25">
      <c r="A214" s="14"/>
      <c r="C214" s="68"/>
      <c r="D214" s="68"/>
      <c r="E214" s="68"/>
      <c r="F214" s="68"/>
      <c r="G214" s="68"/>
      <c r="I214" s="75"/>
    </row>
    <row r="215" spans="1:9" ht="12.5" x14ac:dyDescent="0.25">
      <c r="A215" s="14"/>
      <c r="C215" s="68"/>
      <c r="D215" s="68"/>
      <c r="E215" s="68"/>
      <c r="F215" s="68"/>
      <c r="G215" s="68"/>
      <c r="I215" s="75"/>
    </row>
    <row r="216" spans="1:9" ht="12.5" x14ac:dyDescent="0.25">
      <c r="A216" s="14"/>
      <c r="C216" s="68"/>
      <c r="D216" s="68"/>
      <c r="E216" s="68"/>
      <c r="F216" s="68"/>
      <c r="G216" s="68"/>
      <c r="I216" s="75"/>
    </row>
    <row r="217" spans="1:9" ht="12.5" x14ac:dyDescent="0.25">
      <c r="A217" s="14"/>
      <c r="C217" s="68"/>
      <c r="D217" s="68"/>
      <c r="E217" s="68"/>
      <c r="F217" s="68"/>
      <c r="G217" s="68"/>
      <c r="I217" s="75"/>
    </row>
    <row r="218" spans="1:9" ht="12.5" x14ac:dyDescent="0.25">
      <c r="A218" s="14"/>
      <c r="C218" s="68"/>
      <c r="D218" s="68"/>
      <c r="E218" s="68"/>
      <c r="F218" s="68"/>
      <c r="G218" s="68"/>
      <c r="I218" s="75"/>
    </row>
    <row r="219" spans="1:9" ht="12.5" x14ac:dyDescent="0.25">
      <c r="A219" s="14"/>
      <c r="C219" s="68"/>
      <c r="D219" s="68"/>
      <c r="E219" s="68"/>
      <c r="F219" s="68"/>
      <c r="G219" s="68"/>
      <c r="I219" s="75"/>
    </row>
    <row r="220" spans="1:9" ht="12.5" x14ac:dyDescent="0.25">
      <c r="A220" s="14"/>
      <c r="C220" s="68"/>
      <c r="D220" s="68"/>
      <c r="E220" s="68"/>
      <c r="F220" s="68"/>
      <c r="G220" s="68"/>
      <c r="I220" s="75"/>
    </row>
    <row r="221" spans="1:9" ht="12.5" x14ac:dyDescent="0.25">
      <c r="A221" s="14"/>
      <c r="C221" s="68"/>
      <c r="D221" s="68"/>
      <c r="E221" s="68"/>
      <c r="F221" s="68"/>
      <c r="G221" s="68"/>
      <c r="I221" s="75"/>
    </row>
    <row r="222" spans="1:9" ht="12.5" x14ac:dyDescent="0.25">
      <c r="A222" s="14"/>
      <c r="C222" s="68"/>
      <c r="D222" s="68"/>
      <c r="E222" s="68"/>
      <c r="F222" s="68"/>
      <c r="G222" s="68"/>
      <c r="I222" s="75"/>
    </row>
    <row r="223" spans="1:9" ht="12.5" x14ac:dyDescent="0.25">
      <c r="A223" s="14"/>
      <c r="C223" s="68"/>
      <c r="D223" s="68"/>
      <c r="E223" s="68"/>
      <c r="F223" s="68"/>
      <c r="G223" s="68"/>
      <c r="I223" s="75"/>
    </row>
    <row r="224" spans="1:9" ht="12.5" x14ac:dyDescent="0.25">
      <c r="A224" s="14"/>
      <c r="C224" s="68"/>
      <c r="D224" s="68"/>
      <c r="E224" s="68"/>
      <c r="F224" s="68"/>
      <c r="G224" s="68"/>
      <c r="I224" s="75"/>
    </row>
    <row r="225" spans="1:9" ht="12.5" x14ac:dyDescent="0.25">
      <c r="A225" s="14"/>
      <c r="C225" s="68"/>
      <c r="D225" s="68"/>
      <c r="E225" s="68"/>
      <c r="F225" s="68"/>
      <c r="G225" s="68"/>
      <c r="I225" s="75"/>
    </row>
    <row r="226" spans="1:9" ht="12.5" x14ac:dyDescent="0.25">
      <c r="A226" s="14"/>
      <c r="C226" s="68"/>
      <c r="D226" s="68"/>
      <c r="E226" s="68"/>
      <c r="F226" s="68"/>
      <c r="G226" s="68"/>
      <c r="I226" s="75"/>
    </row>
    <row r="227" spans="1:9" ht="12.5" x14ac:dyDescent="0.25">
      <c r="A227" s="14"/>
      <c r="C227" s="68"/>
      <c r="D227" s="68"/>
      <c r="E227" s="68"/>
      <c r="F227" s="68"/>
      <c r="G227" s="68"/>
      <c r="I227" s="75"/>
    </row>
    <row r="228" spans="1:9" ht="12.5" x14ac:dyDescent="0.25">
      <c r="A228" s="14"/>
      <c r="C228" s="68"/>
      <c r="D228" s="68"/>
      <c r="E228" s="68"/>
      <c r="F228" s="68"/>
      <c r="G228" s="68"/>
      <c r="I228" s="75"/>
    </row>
    <row r="229" spans="1:9" ht="12.5" x14ac:dyDescent="0.25">
      <c r="A229" s="14"/>
      <c r="C229" s="68"/>
      <c r="D229" s="68"/>
      <c r="E229" s="68"/>
      <c r="F229" s="68"/>
      <c r="G229" s="68"/>
      <c r="I229" s="75"/>
    </row>
    <row r="230" spans="1:9" ht="12.5" x14ac:dyDescent="0.25">
      <c r="A230" s="14"/>
      <c r="C230" s="68"/>
      <c r="D230" s="68"/>
      <c r="E230" s="68"/>
      <c r="F230" s="68"/>
      <c r="G230" s="68"/>
      <c r="I230" s="75"/>
    </row>
    <row r="231" spans="1:9" ht="12.5" x14ac:dyDescent="0.25">
      <c r="A231" s="14"/>
      <c r="C231" s="68"/>
      <c r="D231" s="68"/>
      <c r="E231" s="68"/>
      <c r="F231" s="68"/>
      <c r="G231" s="68"/>
      <c r="I231" s="75"/>
    </row>
    <row r="232" spans="1:9" ht="12.5" x14ac:dyDescent="0.25">
      <c r="A232" s="14"/>
      <c r="C232" s="68"/>
      <c r="D232" s="68"/>
      <c r="E232" s="68"/>
      <c r="F232" s="68"/>
      <c r="G232" s="68"/>
      <c r="I232" s="75"/>
    </row>
    <row r="233" spans="1:9" ht="12.5" x14ac:dyDescent="0.25">
      <c r="A233" s="14"/>
      <c r="C233" s="68"/>
      <c r="D233" s="68"/>
      <c r="E233" s="68"/>
      <c r="F233" s="68"/>
      <c r="G233" s="68"/>
      <c r="I233" s="75"/>
    </row>
    <row r="234" spans="1:9" ht="12.5" x14ac:dyDescent="0.25">
      <c r="A234" s="14"/>
      <c r="C234" s="68"/>
      <c r="D234" s="68"/>
      <c r="E234" s="68"/>
      <c r="F234" s="68"/>
      <c r="G234" s="68"/>
      <c r="I234" s="75"/>
    </row>
    <row r="235" spans="1:9" ht="12.5" x14ac:dyDescent="0.25">
      <c r="A235" s="14"/>
      <c r="C235" s="68"/>
      <c r="D235" s="68"/>
      <c r="E235" s="68"/>
      <c r="F235" s="68"/>
      <c r="G235" s="68"/>
      <c r="I235" s="75"/>
    </row>
    <row r="236" spans="1:9" ht="12.5" x14ac:dyDescent="0.25">
      <c r="A236" s="14"/>
      <c r="C236" s="68"/>
      <c r="D236" s="68"/>
      <c r="E236" s="68"/>
      <c r="F236" s="68"/>
      <c r="G236" s="68"/>
      <c r="I236" s="75"/>
    </row>
    <row r="237" spans="1:9" ht="12.5" x14ac:dyDescent="0.25">
      <c r="A237" s="14"/>
      <c r="C237" s="68"/>
      <c r="D237" s="68"/>
      <c r="E237" s="68"/>
      <c r="F237" s="68"/>
      <c r="G237" s="68"/>
      <c r="I237" s="75"/>
    </row>
    <row r="238" spans="1:9" ht="12.5" x14ac:dyDescent="0.25">
      <c r="A238" s="14"/>
      <c r="C238" s="68"/>
      <c r="D238" s="68"/>
      <c r="E238" s="68"/>
      <c r="F238" s="68"/>
      <c r="G238" s="68"/>
      <c r="I238" s="75"/>
    </row>
    <row r="239" spans="1:9" ht="12.5" x14ac:dyDescent="0.25">
      <c r="A239" s="14"/>
      <c r="C239" s="68"/>
      <c r="D239" s="68"/>
      <c r="E239" s="68"/>
      <c r="F239" s="68"/>
      <c r="G239" s="68"/>
      <c r="I239" s="75"/>
    </row>
    <row r="240" spans="1:9" ht="12.5" x14ac:dyDescent="0.25">
      <c r="A240" s="14"/>
      <c r="C240" s="68"/>
      <c r="D240" s="68"/>
      <c r="E240" s="68"/>
      <c r="F240" s="68"/>
      <c r="G240" s="68"/>
      <c r="I240" s="75"/>
    </row>
    <row r="241" spans="1:9" ht="12.5" x14ac:dyDescent="0.25">
      <c r="A241" s="14"/>
      <c r="C241" s="68"/>
      <c r="D241" s="68"/>
      <c r="E241" s="68"/>
      <c r="F241" s="68"/>
      <c r="G241" s="68"/>
      <c r="I241" s="75"/>
    </row>
    <row r="242" spans="1:9" ht="12.5" x14ac:dyDescent="0.25">
      <c r="A242" s="14"/>
      <c r="C242" s="68"/>
      <c r="D242" s="68"/>
      <c r="E242" s="68"/>
      <c r="F242" s="68"/>
      <c r="G242" s="68"/>
      <c r="I242" s="75"/>
    </row>
    <row r="243" spans="1:9" ht="12.5" x14ac:dyDescent="0.25">
      <c r="A243" s="14"/>
      <c r="C243" s="68"/>
      <c r="D243" s="68"/>
      <c r="E243" s="68"/>
      <c r="F243" s="68"/>
      <c r="G243" s="68"/>
      <c r="I243" s="75"/>
    </row>
    <row r="244" spans="1:9" ht="12.5" x14ac:dyDescent="0.25">
      <c r="A244" s="14"/>
      <c r="C244" s="68"/>
      <c r="D244" s="68"/>
      <c r="E244" s="68"/>
      <c r="F244" s="68"/>
      <c r="G244" s="68"/>
      <c r="I244" s="75"/>
    </row>
    <row r="245" spans="1:9" ht="12.5" x14ac:dyDescent="0.25">
      <c r="A245" s="14"/>
      <c r="C245" s="68"/>
      <c r="D245" s="68"/>
      <c r="E245" s="68"/>
      <c r="F245" s="68"/>
      <c r="G245" s="68"/>
      <c r="I245" s="75"/>
    </row>
    <row r="246" spans="1:9" ht="12.5" x14ac:dyDescent="0.25">
      <c r="A246" s="14"/>
      <c r="C246" s="68"/>
      <c r="D246" s="68"/>
      <c r="E246" s="68"/>
      <c r="F246" s="68"/>
      <c r="G246" s="68"/>
      <c r="I246" s="75"/>
    </row>
    <row r="247" spans="1:9" ht="12.5" x14ac:dyDescent="0.25">
      <c r="A247" s="14"/>
      <c r="C247" s="68"/>
      <c r="D247" s="68"/>
      <c r="E247" s="68"/>
      <c r="F247" s="68"/>
      <c r="G247" s="68"/>
      <c r="I247" s="75"/>
    </row>
    <row r="248" spans="1:9" ht="12.5" x14ac:dyDescent="0.25">
      <c r="A248" s="14"/>
      <c r="C248" s="68"/>
      <c r="D248" s="68"/>
      <c r="E248" s="68"/>
      <c r="F248" s="68"/>
      <c r="G248" s="68"/>
      <c r="I248" s="75"/>
    </row>
    <row r="249" spans="1:9" ht="12.5" x14ac:dyDescent="0.25">
      <c r="A249" s="14"/>
      <c r="C249" s="68"/>
      <c r="D249" s="68"/>
      <c r="E249" s="68"/>
      <c r="F249" s="68"/>
      <c r="G249" s="68"/>
      <c r="I249" s="75"/>
    </row>
    <row r="250" spans="1:9" ht="12.5" x14ac:dyDescent="0.25">
      <c r="A250" s="14"/>
      <c r="C250" s="68"/>
      <c r="D250" s="68"/>
      <c r="E250" s="68"/>
      <c r="F250" s="68"/>
      <c r="G250" s="68"/>
      <c r="I250" s="75"/>
    </row>
    <row r="251" spans="1:9" ht="12.5" x14ac:dyDescent="0.25">
      <c r="A251" s="14"/>
      <c r="C251" s="68"/>
      <c r="D251" s="68"/>
      <c r="E251" s="68"/>
      <c r="F251" s="68"/>
      <c r="G251" s="68"/>
      <c r="I251" s="75"/>
    </row>
    <row r="252" spans="1:9" ht="12.5" x14ac:dyDescent="0.25">
      <c r="A252" s="14"/>
      <c r="C252" s="68"/>
      <c r="D252" s="68"/>
      <c r="E252" s="68"/>
      <c r="F252" s="68"/>
      <c r="G252" s="68"/>
      <c r="I252" s="75"/>
    </row>
    <row r="253" spans="1:9" ht="12.5" x14ac:dyDescent="0.25">
      <c r="A253" s="14"/>
      <c r="C253" s="68"/>
      <c r="D253" s="68"/>
      <c r="E253" s="68"/>
      <c r="F253" s="68"/>
      <c r="G253" s="68"/>
      <c r="I253" s="75"/>
    </row>
    <row r="254" spans="1:9" ht="12.5" x14ac:dyDescent="0.25">
      <c r="A254" s="14"/>
      <c r="C254" s="68"/>
      <c r="D254" s="68"/>
      <c r="E254" s="68"/>
      <c r="F254" s="68"/>
      <c r="G254" s="68"/>
      <c r="I254" s="75"/>
    </row>
    <row r="255" spans="1:9" ht="12.5" x14ac:dyDescent="0.25">
      <c r="A255" s="14"/>
      <c r="C255" s="68"/>
      <c r="D255" s="68"/>
      <c r="E255" s="68"/>
      <c r="F255" s="68"/>
      <c r="G255" s="68"/>
      <c r="I255" s="75"/>
    </row>
    <row r="256" spans="1:9" ht="12.5" x14ac:dyDescent="0.25">
      <c r="A256" s="14"/>
      <c r="C256" s="68"/>
      <c r="D256" s="68"/>
      <c r="E256" s="68"/>
      <c r="F256" s="68"/>
      <c r="G256" s="68"/>
      <c r="I256" s="75"/>
    </row>
    <row r="257" spans="1:9" ht="12.5" x14ac:dyDescent="0.25">
      <c r="A257" s="14"/>
      <c r="C257" s="68"/>
      <c r="D257" s="68"/>
      <c r="E257" s="68"/>
      <c r="F257" s="68"/>
      <c r="G257" s="68"/>
      <c r="I257" s="75"/>
    </row>
    <row r="258" spans="1:9" ht="12.5" x14ac:dyDescent="0.25">
      <c r="A258" s="14"/>
      <c r="C258" s="68"/>
      <c r="D258" s="68"/>
      <c r="E258" s="68"/>
      <c r="F258" s="68"/>
      <c r="G258" s="68"/>
      <c r="I258" s="75"/>
    </row>
    <row r="259" spans="1:9" ht="12.5" x14ac:dyDescent="0.25">
      <c r="A259" s="14"/>
      <c r="C259" s="68"/>
      <c r="D259" s="68"/>
      <c r="E259" s="68"/>
      <c r="F259" s="68"/>
      <c r="G259" s="68"/>
      <c r="I259" s="75"/>
    </row>
    <row r="260" spans="1:9" ht="12.5" x14ac:dyDescent="0.25">
      <c r="A260" s="14"/>
      <c r="C260" s="68"/>
      <c r="D260" s="68"/>
      <c r="E260" s="68"/>
      <c r="F260" s="68"/>
      <c r="G260" s="68"/>
      <c r="I260" s="75"/>
    </row>
    <row r="261" spans="1:9" ht="12.5" x14ac:dyDescent="0.25">
      <c r="A261" s="14"/>
      <c r="C261" s="68"/>
      <c r="D261" s="68"/>
      <c r="E261" s="68"/>
      <c r="F261" s="68"/>
      <c r="G261" s="68"/>
      <c r="I261" s="75"/>
    </row>
    <row r="262" spans="1:9" ht="12.5" x14ac:dyDescent="0.25">
      <c r="A262" s="14"/>
      <c r="C262" s="68"/>
      <c r="D262" s="68"/>
      <c r="E262" s="68"/>
      <c r="F262" s="68"/>
      <c r="G262" s="68"/>
      <c r="I262" s="75"/>
    </row>
    <row r="263" spans="1:9" ht="12.5" x14ac:dyDescent="0.25">
      <c r="A263" s="14"/>
      <c r="C263" s="68"/>
      <c r="D263" s="68"/>
      <c r="E263" s="68"/>
      <c r="F263" s="68"/>
      <c r="G263" s="68"/>
      <c r="I263" s="75"/>
    </row>
    <row r="264" spans="1:9" ht="12.5" x14ac:dyDescent="0.25">
      <c r="A264" s="14"/>
      <c r="C264" s="68"/>
      <c r="D264" s="68"/>
      <c r="E264" s="68"/>
      <c r="F264" s="68"/>
      <c r="G264" s="68"/>
      <c r="I264" s="75"/>
    </row>
    <row r="265" spans="1:9" ht="12.5" x14ac:dyDescent="0.25">
      <c r="A265" s="14"/>
      <c r="C265" s="68"/>
      <c r="D265" s="68"/>
      <c r="E265" s="68"/>
      <c r="F265" s="68"/>
      <c r="G265" s="68"/>
      <c r="I265" s="75"/>
    </row>
    <row r="266" spans="1:9" ht="12.5" x14ac:dyDescent="0.25">
      <c r="A266" s="14"/>
      <c r="C266" s="68"/>
      <c r="D266" s="68"/>
      <c r="E266" s="68"/>
      <c r="F266" s="68"/>
      <c r="G266" s="68"/>
      <c r="I266" s="75"/>
    </row>
    <row r="267" spans="1:9" ht="12.5" x14ac:dyDescent="0.25">
      <c r="A267" s="14"/>
      <c r="C267" s="68"/>
      <c r="D267" s="68"/>
      <c r="E267" s="68"/>
      <c r="F267" s="68"/>
      <c r="G267" s="68"/>
      <c r="I267" s="75"/>
    </row>
    <row r="268" spans="1:9" ht="12.5" x14ac:dyDescent="0.25">
      <c r="A268" s="14"/>
      <c r="C268" s="68"/>
      <c r="D268" s="68"/>
      <c r="E268" s="68"/>
      <c r="F268" s="68"/>
      <c r="G268" s="68"/>
      <c r="I268" s="75"/>
    </row>
    <row r="269" spans="1:9" ht="12.5" x14ac:dyDescent="0.25">
      <c r="A269" s="14"/>
      <c r="C269" s="68"/>
      <c r="D269" s="68"/>
      <c r="E269" s="68"/>
      <c r="F269" s="68"/>
      <c r="G269" s="68"/>
      <c r="I269" s="75"/>
    </row>
    <row r="270" spans="1:9" ht="12.5" x14ac:dyDescent="0.25">
      <c r="A270" s="14"/>
      <c r="C270" s="68"/>
      <c r="D270" s="68"/>
      <c r="E270" s="68"/>
      <c r="F270" s="68"/>
      <c r="G270" s="68"/>
      <c r="I270" s="75"/>
    </row>
    <row r="271" spans="1:9" ht="12.5" x14ac:dyDescent="0.25">
      <c r="A271" s="14"/>
      <c r="C271" s="68"/>
      <c r="D271" s="68"/>
      <c r="E271" s="68"/>
      <c r="F271" s="68"/>
      <c r="G271" s="68"/>
      <c r="I271" s="75"/>
    </row>
    <row r="272" spans="1:9" ht="12.5" x14ac:dyDescent="0.25">
      <c r="A272" s="14"/>
      <c r="C272" s="68"/>
      <c r="D272" s="68"/>
      <c r="E272" s="68"/>
      <c r="F272" s="68"/>
      <c r="G272" s="68"/>
      <c r="I272" s="75"/>
    </row>
    <row r="273" spans="1:9" ht="12.5" x14ac:dyDescent="0.25">
      <c r="A273" s="14"/>
      <c r="C273" s="68"/>
      <c r="D273" s="68"/>
      <c r="E273" s="68"/>
      <c r="F273" s="68"/>
      <c r="G273" s="68"/>
      <c r="I273" s="75"/>
    </row>
    <row r="274" spans="1:9" ht="12.5" x14ac:dyDescent="0.25">
      <c r="A274" s="14"/>
      <c r="C274" s="68"/>
      <c r="D274" s="68"/>
      <c r="E274" s="68"/>
      <c r="F274" s="68"/>
      <c r="G274" s="68"/>
      <c r="I274" s="75"/>
    </row>
    <row r="275" spans="1:9" ht="12.5" x14ac:dyDescent="0.25">
      <c r="A275" s="14"/>
      <c r="C275" s="68"/>
      <c r="D275" s="68"/>
      <c r="E275" s="68"/>
      <c r="F275" s="68"/>
      <c r="G275" s="68"/>
      <c r="I275" s="75"/>
    </row>
    <row r="276" spans="1:9" ht="12.5" x14ac:dyDescent="0.25">
      <c r="A276" s="14"/>
      <c r="C276" s="68"/>
      <c r="D276" s="68"/>
      <c r="E276" s="68"/>
      <c r="F276" s="68"/>
      <c r="G276" s="68"/>
      <c r="I276" s="75"/>
    </row>
    <row r="277" spans="1:9" ht="12.5" x14ac:dyDescent="0.25">
      <c r="A277" s="14"/>
      <c r="C277" s="68"/>
      <c r="D277" s="68"/>
      <c r="E277" s="68"/>
      <c r="F277" s="68"/>
      <c r="G277" s="68"/>
      <c r="I277" s="75"/>
    </row>
    <row r="278" spans="1:9" ht="12.5" x14ac:dyDescent="0.25">
      <c r="A278" s="14"/>
      <c r="C278" s="68"/>
      <c r="D278" s="68"/>
      <c r="E278" s="68"/>
      <c r="F278" s="68"/>
      <c r="G278" s="68"/>
      <c r="I278" s="75"/>
    </row>
    <row r="279" spans="1:9" ht="12.5" x14ac:dyDescent="0.25">
      <c r="A279" s="14"/>
      <c r="C279" s="68"/>
      <c r="D279" s="68"/>
      <c r="E279" s="68"/>
      <c r="F279" s="68"/>
      <c r="G279" s="68"/>
      <c r="I279" s="75"/>
    </row>
    <row r="280" spans="1:9" ht="12.5" x14ac:dyDescent="0.25">
      <c r="A280" s="14"/>
      <c r="C280" s="68"/>
      <c r="D280" s="68"/>
      <c r="E280" s="68"/>
      <c r="F280" s="68"/>
      <c r="G280" s="68"/>
      <c r="I280" s="75"/>
    </row>
    <row r="281" spans="1:9" ht="12.5" x14ac:dyDescent="0.25">
      <c r="A281" s="14"/>
      <c r="C281" s="68"/>
      <c r="D281" s="68"/>
      <c r="E281" s="68"/>
      <c r="F281" s="68"/>
      <c r="G281" s="68"/>
      <c r="I281" s="75"/>
    </row>
    <row r="282" spans="1:9" ht="12.5" x14ac:dyDescent="0.25">
      <c r="A282" s="14"/>
      <c r="C282" s="68"/>
      <c r="D282" s="68"/>
      <c r="E282" s="68"/>
      <c r="F282" s="68"/>
      <c r="G282" s="68"/>
      <c r="I282" s="75"/>
    </row>
    <row r="283" spans="1:9" ht="12.5" x14ac:dyDescent="0.25">
      <c r="A283" s="14"/>
      <c r="C283" s="68"/>
      <c r="D283" s="68"/>
      <c r="E283" s="68"/>
      <c r="F283" s="68"/>
      <c r="G283" s="68"/>
      <c r="I283" s="75"/>
    </row>
    <row r="284" spans="1:9" ht="12.5" x14ac:dyDescent="0.25">
      <c r="A284" s="14"/>
      <c r="C284" s="68"/>
      <c r="D284" s="68"/>
      <c r="E284" s="68"/>
      <c r="F284" s="68"/>
      <c r="G284" s="68"/>
      <c r="I284" s="75"/>
    </row>
    <row r="285" spans="1:9" ht="12.5" x14ac:dyDescent="0.25">
      <c r="A285" s="14"/>
      <c r="C285" s="68"/>
      <c r="D285" s="68"/>
      <c r="E285" s="68"/>
      <c r="F285" s="68"/>
      <c r="G285" s="68"/>
      <c r="I285" s="75"/>
    </row>
    <row r="286" spans="1:9" ht="12.5" x14ac:dyDescent="0.25">
      <c r="A286" s="14"/>
      <c r="C286" s="68"/>
      <c r="D286" s="68"/>
      <c r="E286" s="68"/>
      <c r="F286" s="68"/>
      <c r="G286" s="68"/>
      <c r="I286" s="75"/>
    </row>
    <row r="287" spans="1:9" ht="12.5" x14ac:dyDescent="0.25">
      <c r="A287" s="14"/>
      <c r="C287" s="68"/>
      <c r="D287" s="68"/>
      <c r="E287" s="68"/>
      <c r="F287" s="68"/>
      <c r="G287" s="68"/>
      <c r="I287" s="75"/>
    </row>
    <row r="288" spans="1:9" ht="12.5" x14ac:dyDescent="0.25">
      <c r="A288" s="14"/>
      <c r="C288" s="68"/>
      <c r="D288" s="68"/>
      <c r="E288" s="68"/>
      <c r="F288" s="68"/>
      <c r="G288" s="68"/>
      <c r="I288" s="75"/>
    </row>
    <row r="289" spans="1:9" ht="12.5" x14ac:dyDescent="0.25">
      <c r="A289" s="14"/>
      <c r="C289" s="68"/>
      <c r="D289" s="68"/>
      <c r="E289" s="68"/>
      <c r="F289" s="68"/>
      <c r="G289" s="68"/>
      <c r="I289" s="75"/>
    </row>
    <row r="290" spans="1:9" ht="12.5" x14ac:dyDescent="0.25">
      <c r="A290" s="14"/>
      <c r="C290" s="68"/>
      <c r="D290" s="68"/>
      <c r="E290" s="68"/>
      <c r="F290" s="68"/>
      <c r="G290" s="68"/>
      <c r="I290" s="75"/>
    </row>
    <row r="291" spans="1:9" ht="12.5" x14ac:dyDescent="0.25">
      <c r="A291" s="14"/>
      <c r="C291" s="68"/>
      <c r="D291" s="68"/>
      <c r="E291" s="68"/>
      <c r="F291" s="68"/>
      <c r="G291" s="68"/>
      <c r="I291" s="75"/>
    </row>
    <row r="292" spans="1:9" ht="12.5" x14ac:dyDescent="0.25">
      <c r="A292" s="14"/>
      <c r="C292" s="68"/>
      <c r="D292" s="68"/>
      <c r="E292" s="68"/>
      <c r="F292" s="68"/>
      <c r="G292" s="68"/>
      <c r="I292" s="75"/>
    </row>
    <row r="293" spans="1:9" ht="12.5" x14ac:dyDescent="0.25">
      <c r="A293" s="14"/>
      <c r="C293" s="68"/>
      <c r="D293" s="68"/>
      <c r="E293" s="68"/>
      <c r="F293" s="68"/>
      <c r="G293" s="68"/>
      <c r="I293" s="75"/>
    </row>
    <row r="294" spans="1:9" ht="12.5" x14ac:dyDescent="0.25">
      <c r="A294" s="14"/>
      <c r="C294" s="68"/>
      <c r="D294" s="68"/>
      <c r="E294" s="68"/>
      <c r="F294" s="68"/>
      <c r="G294" s="68"/>
      <c r="I294" s="75"/>
    </row>
    <row r="295" spans="1:9" ht="12.5" x14ac:dyDescent="0.25">
      <c r="A295" s="14"/>
      <c r="C295" s="68"/>
      <c r="D295" s="68"/>
      <c r="E295" s="68"/>
      <c r="F295" s="68"/>
      <c r="G295" s="68"/>
      <c r="I295" s="75"/>
    </row>
    <row r="296" spans="1:9" ht="12.5" x14ac:dyDescent="0.25">
      <c r="A296" s="14"/>
      <c r="C296" s="68"/>
      <c r="D296" s="68"/>
      <c r="E296" s="68"/>
      <c r="F296" s="68"/>
      <c r="G296" s="68"/>
      <c r="I296" s="75"/>
    </row>
    <row r="297" spans="1:9" ht="12.5" x14ac:dyDescent="0.25">
      <c r="A297" s="14"/>
      <c r="C297" s="68"/>
      <c r="D297" s="68"/>
      <c r="E297" s="68"/>
      <c r="F297" s="68"/>
      <c r="G297" s="68"/>
      <c r="I297" s="75"/>
    </row>
    <row r="298" spans="1:9" ht="12.5" x14ac:dyDescent="0.25">
      <c r="A298" s="14"/>
      <c r="C298" s="68"/>
      <c r="D298" s="68"/>
      <c r="E298" s="68"/>
      <c r="F298" s="68"/>
      <c r="G298" s="68"/>
      <c r="I298" s="75"/>
    </row>
    <row r="299" spans="1:9" ht="12.5" x14ac:dyDescent="0.25">
      <c r="A299" s="14"/>
      <c r="C299" s="68"/>
      <c r="D299" s="68"/>
      <c r="E299" s="68"/>
      <c r="F299" s="68"/>
      <c r="G299" s="68"/>
      <c r="I299" s="75"/>
    </row>
    <row r="300" spans="1:9" ht="12.5" x14ac:dyDescent="0.25">
      <c r="A300" s="14"/>
      <c r="C300" s="68"/>
      <c r="D300" s="68"/>
      <c r="E300" s="68"/>
      <c r="F300" s="68"/>
      <c r="G300" s="68"/>
      <c r="I300" s="75"/>
    </row>
    <row r="301" spans="1:9" ht="12.5" x14ac:dyDescent="0.25">
      <c r="A301" s="14"/>
      <c r="C301" s="68"/>
      <c r="D301" s="68"/>
      <c r="E301" s="68"/>
      <c r="F301" s="68"/>
      <c r="G301" s="68"/>
      <c r="I301" s="75"/>
    </row>
    <row r="302" spans="1:9" ht="12.5" x14ac:dyDescent="0.25">
      <c r="A302" s="14"/>
      <c r="C302" s="68"/>
      <c r="D302" s="68"/>
      <c r="E302" s="68"/>
      <c r="F302" s="68"/>
      <c r="G302" s="68"/>
      <c r="I302" s="75"/>
    </row>
    <row r="303" spans="1:9" ht="12.5" x14ac:dyDescent="0.25">
      <c r="A303" s="14"/>
      <c r="C303" s="68"/>
      <c r="D303" s="68"/>
      <c r="E303" s="68"/>
      <c r="F303" s="68"/>
      <c r="G303" s="68"/>
      <c r="I303" s="75"/>
    </row>
    <row r="304" spans="1:9" ht="12.5" x14ac:dyDescent="0.25">
      <c r="A304" s="14"/>
      <c r="C304" s="68"/>
      <c r="D304" s="68"/>
      <c r="E304" s="68"/>
      <c r="F304" s="68"/>
      <c r="G304" s="68"/>
      <c r="I304" s="75"/>
    </row>
    <row r="305" spans="1:9" ht="12.5" x14ac:dyDescent="0.25">
      <c r="A305" s="14"/>
      <c r="C305" s="68"/>
      <c r="D305" s="68"/>
      <c r="E305" s="68"/>
      <c r="F305" s="68"/>
      <c r="G305" s="68"/>
      <c r="I305" s="75"/>
    </row>
    <row r="306" spans="1:9" ht="12.5" x14ac:dyDescent="0.25">
      <c r="A306" s="14"/>
      <c r="C306" s="68"/>
      <c r="D306" s="68"/>
      <c r="E306" s="68"/>
      <c r="F306" s="68"/>
      <c r="G306" s="68"/>
      <c r="I306" s="75"/>
    </row>
    <row r="307" spans="1:9" ht="12.5" x14ac:dyDescent="0.25">
      <c r="A307" s="14"/>
      <c r="C307" s="68"/>
      <c r="D307" s="68"/>
      <c r="E307" s="68"/>
      <c r="F307" s="68"/>
      <c r="G307" s="68"/>
      <c r="I307" s="75"/>
    </row>
    <row r="308" spans="1:9" ht="12.5" x14ac:dyDescent="0.25">
      <c r="A308" s="14"/>
      <c r="C308" s="68"/>
      <c r="D308" s="68"/>
      <c r="E308" s="68"/>
      <c r="F308" s="68"/>
      <c r="G308" s="68"/>
      <c r="I308" s="75"/>
    </row>
    <row r="309" spans="1:9" ht="12.5" x14ac:dyDescent="0.25">
      <c r="A309" s="14"/>
      <c r="C309" s="68"/>
      <c r="D309" s="68"/>
      <c r="E309" s="68"/>
      <c r="F309" s="68"/>
      <c r="G309" s="68"/>
      <c r="I309" s="75"/>
    </row>
    <row r="310" spans="1:9" ht="12.5" x14ac:dyDescent="0.25">
      <c r="A310" s="14"/>
      <c r="C310" s="68"/>
      <c r="D310" s="68"/>
      <c r="E310" s="68"/>
      <c r="F310" s="68"/>
      <c r="G310" s="68"/>
      <c r="I310" s="75"/>
    </row>
    <row r="311" spans="1:9" ht="12.5" x14ac:dyDescent="0.25">
      <c r="A311" s="14"/>
      <c r="C311" s="68"/>
      <c r="D311" s="68"/>
      <c r="E311" s="68"/>
      <c r="F311" s="68"/>
      <c r="G311" s="68"/>
      <c r="I311" s="75"/>
    </row>
    <row r="312" spans="1:9" ht="12.5" x14ac:dyDescent="0.25">
      <c r="A312" s="14"/>
      <c r="C312" s="68"/>
      <c r="D312" s="68"/>
      <c r="E312" s="68"/>
      <c r="F312" s="68"/>
      <c r="G312" s="68"/>
      <c r="I312" s="75"/>
    </row>
    <row r="313" spans="1:9" ht="12.5" x14ac:dyDescent="0.25">
      <c r="A313" s="14"/>
      <c r="C313" s="68"/>
      <c r="D313" s="68"/>
      <c r="E313" s="68"/>
      <c r="F313" s="68"/>
      <c r="G313" s="68"/>
      <c r="I313" s="75"/>
    </row>
    <row r="314" spans="1:9" ht="12.5" x14ac:dyDescent="0.25">
      <c r="A314" s="14"/>
      <c r="C314" s="68"/>
      <c r="D314" s="68"/>
      <c r="E314" s="68"/>
      <c r="F314" s="68"/>
      <c r="G314" s="68"/>
      <c r="I314" s="75"/>
    </row>
    <row r="315" spans="1:9" ht="12.5" x14ac:dyDescent="0.25">
      <c r="A315" s="14"/>
      <c r="C315" s="68"/>
      <c r="D315" s="68"/>
      <c r="E315" s="68"/>
      <c r="F315" s="68"/>
      <c r="G315" s="68"/>
      <c r="I315" s="75"/>
    </row>
    <row r="316" spans="1:9" ht="12.5" x14ac:dyDescent="0.25">
      <c r="A316" s="14"/>
      <c r="C316" s="68"/>
      <c r="D316" s="68"/>
      <c r="E316" s="68"/>
      <c r="F316" s="68"/>
      <c r="G316" s="68"/>
      <c r="I316" s="75"/>
    </row>
    <row r="317" spans="1:9" ht="12.5" x14ac:dyDescent="0.25">
      <c r="A317" s="14"/>
      <c r="C317" s="68"/>
      <c r="D317" s="68"/>
      <c r="E317" s="68"/>
      <c r="F317" s="68"/>
      <c r="G317" s="68"/>
      <c r="I317" s="75"/>
    </row>
    <row r="318" spans="1:9" ht="12.5" x14ac:dyDescent="0.25">
      <c r="A318" s="14"/>
      <c r="C318" s="68"/>
      <c r="D318" s="68"/>
      <c r="E318" s="68"/>
      <c r="F318" s="68"/>
      <c r="G318" s="68"/>
      <c r="I318" s="75"/>
    </row>
    <row r="319" spans="1:9" ht="12.5" x14ac:dyDescent="0.25">
      <c r="A319" s="14"/>
      <c r="C319" s="68"/>
      <c r="D319" s="68"/>
      <c r="E319" s="68"/>
      <c r="F319" s="68"/>
      <c r="G319" s="68"/>
      <c r="I319" s="75"/>
    </row>
    <row r="320" spans="1:9" ht="12.5" x14ac:dyDescent="0.25">
      <c r="A320" s="14"/>
      <c r="C320" s="68"/>
      <c r="D320" s="68"/>
      <c r="E320" s="68"/>
      <c r="F320" s="68"/>
      <c r="G320" s="68"/>
      <c r="I320" s="75"/>
    </row>
    <row r="321" spans="1:9" ht="12.5" x14ac:dyDescent="0.25">
      <c r="A321" s="14"/>
      <c r="C321" s="68"/>
      <c r="D321" s="68"/>
      <c r="E321" s="68"/>
      <c r="F321" s="68"/>
      <c r="G321" s="68"/>
      <c r="I321" s="75"/>
    </row>
    <row r="322" spans="1:9" ht="12.5" x14ac:dyDescent="0.25">
      <c r="A322" s="14"/>
      <c r="C322" s="68"/>
      <c r="D322" s="68"/>
      <c r="E322" s="68"/>
      <c r="F322" s="68"/>
      <c r="G322" s="68"/>
      <c r="I322" s="75"/>
    </row>
    <row r="323" spans="1:9" ht="12.5" x14ac:dyDescent="0.25">
      <c r="A323" s="14"/>
      <c r="C323" s="68"/>
      <c r="D323" s="68"/>
      <c r="E323" s="68"/>
      <c r="F323" s="68"/>
      <c r="G323" s="68"/>
      <c r="I323" s="75"/>
    </row>
    <row r="324" spans="1:9" ht="12.5" x14ac:dyDescent="0.25">
      <c r="A324" s="14"/>
      <c r="C324" s="68"/>
      <c r="D324" s="68"/>
      <c r="E324" s="68"/>
      <c r="F324" s="68"/>
      <c r="G324" s="68"/>
      <c r="I324" s="75"/>
    </row>
    <row r="325" spans="1:9" ht="12.5" x14ac:dyDescent="0.25">
      <c r="A325" s="14"/>
      <c r="C325" s="68"/>
      <c r="D325" s="68"/>
      <c r="E325" s="68"/>
      <c r="F325" s="68"/>
      <c r="G325" s="68"/>
      <c r="I325" s="75"/>
    </row>
    <row r="326" spans="1:9" ht="12.5" x14ac:dyDescent="0.25">
      <c r="A326" s="14"/>
      <c r="C326" s="68"/>
      <c r="D326" s="68"/>
      <c r="E326" s="68"/>
      <c r="F326" s="68"/>
      <c r="G326" s="68"/>
      <c r="I326" s="75"/>
    </row>
    <row r="327" spans="1:9" ht="12.5" x14ac:dyDescent="0.25">
      <c r="A327" s="14"/>
      <c r="C327" s="68"/>
      <c r="D327" s="68"/>
      <c r="E327" s="68"/>
      <c r="F327" s="68"/>
      <c r="G327" s="68"/>
      <c r="I327" s="75"/>
    </row>
    <row r="328" spans="1:9" ht="12.5" x14ac:dyDescent="0.25">
      <c r="A328" s="14"/>
      <c r="C328" s="68"/>
      <c r="D328" s="68"/>
      <c r="E328" s="68"/>
      <c r="F328" s="68"/>
      <c r="G328" s="68"/>
      <c r="I328" s="75"/>
    </row>
    <row r="329" spans="1:9" ht="12.5" x14ac:dyDescent="0.25">
      <c r="A329" s="14"/>
      <c r="C329" s="68"/>
      <c r="D329" s="68"/>
      <c r="E329" s="68"/>
      <c r="F329" s="68"/>
      <c r="G329" s="68"/>
      <c r="I329" s="75"/>
    </row>
    <row r="330" spans="1:9" ht="12.5" x14ac:dyDescent="0.25">
      <c r="A330" s="14"/>
      <c r="C330" s="68"/>
      <c r="D330" s="68"/>
      <c r="E330" s="68"/>
      <c r="F330" s="68"/>
      <c r="G330" s="68"/>
      <c r="I330" s="75"/>
    </row>
    <row r="331" spans="1:9" ht="12.5" x14ac:dyDescent="0.25">
      <c r="A331" s="14"/>
      <c r="C331" s="68"/>
      <c r="D331" s="68"/>
      <c r="E331" s="68"/>
      <c r="F331" s="68"/>
      <c r="G331" s="68"/>
      <c r="I331" s="75"/>
    </row>
    <row r="332" spans="1:9" ht="12.5" x14ac:dyDescent="0.25">
      <c r="A332" s="14"/>
      <c r="C332" s="68"/>
      <c r="D332" s="68"/>
      <c r="E332" s="68"/>
      <c r="F332" s="68"/>
      <c r="G332" s="68"/>
      <c r="I332" s="75"/>
    </row>
    <row r="333" spans="1:9" ht="12.5" x14ac:dyDescent="0.25">
      <c r="A333" s="14"/>
      <c r="C333" s="68"/>
      <c r="D333" s="68"/>
      <c r="E333" s="68"/>
      <c r="F333" s="68"/>
      <c r="G333" s="68"/>
      <c r="I333" s="75"/>
    </row>
    <row r="334" spans="1:9" ht="12.5" x14ac:dyDescent="0.25">
      <c r="A334" s="14"/>
      <c r="C334" s="68"/>
      <c r="D334" s="68"/>
      <c r="E334" s="68"/>
      <c r="F334" s="68"/>
      <c r="G334" s="68"/>
      <c r="I334" s="75"/>
    </row>
    <row r="335" spans="1:9" ht="12.5" x14ac:dyDescent="0.25">
      <c r="A335" s="14"/>
      <c r="C335" s="68"/>
      <c r="D335" s="68"/>
      <c r="E335" s="68"/>
      <c r="F335" s="68"/>
      <c r="G335" s="68"/>
      <c r="I335" s="75"/>
    </row>
    <row r="336" spans="1:9" ht="12.5" x14ac:dyDescent="0.25">
      <c r="A336" s="14"/>
      <c r="C336" s="68"/>
      <c r="D336" s="68"/>
      <c r="E336" s="68"/>
      <c r="F336" s="68"/>
      <c r="G336" s="68"/>
      <c r="I336" s="75"/>
    </row>
    <row r="337" spans="1:9" ht="12.5" x14ac:dyDescent="0.25">
      <c r="A337" s="14"/>
      <c r="C337" s="68"/>
      <c r="D337" s="68"/>
      <c r="E337" s="68"/>
      <c r="F337" s="68"/>
      <c r="G337" s="68"/>
      <c r="I337" s="75"/>
    </row>
    <row r="338" spans="1:9" ht="12.5" x14ac:dyDescent="0.25">
      <c r="A338" s="14"/>
      <c r="C338" s="68"/>
      <c r="D338" s="68"/>
      <c r="E338" s="68"/>
      <c r="F338" s="68"/>
      <c r="G338" s="68"/>
      <c r="I338" s="75"/>
    </row>
    <row r="339" spans="1:9" ht="12.5" x14ac:dyDescent="0.25">
      <c r="A339" s="14"/>
      <c r="C339" s="68"/>
      <c r="D339" s="68"/>
      <c r="E339" s="68"/>
      <c r="F339" s="68"/>
      <c r="G339" s="68"/>
      <c r="I339" s="75"/>
    </row>
    <row r="340" spans="1:9" ht="12.5" x14ac:dyDescent="0.25">
      <c r="A340" s="14"/>
      <c r="C340" s="68"/>
      <c r="D340" s="68"/>
      <c r="E340" s="68"/>
      <c r="F340" s="68"/>
      <c r="G340" s="68"/>
      <c r="I340" s="75"/>
    </row>
    <row r="341" spans="1:9" ht="12.5" x14ac:dyDescent="0.25">
      <c r="A341" s="14"/>
      <c r="C341" s="68"/>
      <c r="D341" s="68"/>
      <c r="E341" s="68"/>
      <c r="F341" s="68"/>
      <c r="G341" s="68"/>
      <c r="I341" s="75"/>
    </row>
    <row r="342" spans="1:9" ht="12.5" x14ac:dyDescent="0.25">
      <c r="A342" s="14"/>
      <c r="C342" s="68"/>
      <c r="D342" s="68"/>
      <c r="E342" s="68"/>
      <c r="F342" s="68"/>
      <c r="G342" s="68"/>
      <c r="I342" s="75"/>
    </row>
    <row r="343" spans="1:9" ht="12.5" x14ac:dyDescent="0.25">
      <c r="A343" s="14"/>
      <c r="C343" s="68"/>
      <c r="D343" s="68"/>
      <c r="E343" s="68"/>
      <c r="F343" s="68"/>
      <c r="G343" s="68"/>
      <c r="I343" s="75"/>
    </row>
    <row r="344" spans="1:9" ht="12.5" x14ac:dyDescent="0.25">
      <c r="A344" s="14"/>
      <c r="C344" s="68"/>
      <c r="D344" s="68"/>
      <c r="E344" s="68"/>
      <c r="F344" s="68"/>
      <c r="G344" s="68"/>
      <c r="I344" s="75"/>
    </row>
    <row r="345" spans="1:9" ht="12.5" x14ac:dyDescent="0.25">
      <c r="A345" s="14"/>
      <c r="C345" s="68"/>
      <c r="D345" s="68"/>
      <c r="E345" s="68"/>
      <c r="F345" s="68"/>
      <c r="G345" s="68"/>
      <c r="I345" s="75"/>
    </row>
    <row r="346" spans="1:9" ht="12.5" x14ac:dyDescent="0.25">
      <c r="A346" s="14"/>
      <c r="C346" s="68"/>
      <c r="D346" s="68"/>
      <c r="E346" s="68"/>
      <c r="F346" s="68"/>
      <c r="G346" s="68"/>
      <c r="I346" s="75"/>
    </row>
    <row r="347" spans="1:9" ht="12.5" x14ac:dyDescent="0.25">
      <c r="A347" s="14"/>
      <c r="C347" s="68"/>
      <c r="D347" s="68"/>
      <c r="E347" s="68"/>
      <c r="F347" s="68"/>
      <c r="G347" s="68"/>
      <c r="I347" s="75"/>
    </row>
    <row r="348" spans="1:9" ht="12.5" x14ac:dyDescent="0.25">
      <c r="A348" s="14"/>
      <c r="C348" s="68"/>
      <c r="D348" s="68"/>
      <c r="E348" s="68"/>
      <c r="F348" s="68"/>
      <c r="G348" s="68"/>
      <c r="I348" s="75"/>
    </row>
    <row r="349" spans="1:9" ht="12.5" x14ac:dyDescent="0.25">
      <c r="A349" s="14"/>
      <c r="C349" s="68"/>
      <c r="D349" s="68"/>
      <c r="E349" s="68"/>
      <c r="F349" s="68"/>
      <c r="G349" s="68"/>
      <c r="I349" s="75"/>
    </row>
    <row r="350" spans="1:9" ht="12.5" x14ac:dyDescent="0.25">
      <c r="A350" s="14"/>
      <c r="C350" s="68"/>
      <c r="D350" s="68"/>
      <c r="E350" s="68"/>
      <c r="F350" s="68"/>
      <c r="G350" s="68"/>
      <c r="I350" s="75"/>
    </row>
    <row r="351" spans="1:9" ht="12.5" x14ac:dyDescent="0.25">
      <c r="A351" s="14"/>
      <c r="C351" s="68"/>
      <c r="D351" s="68"/>
      <c r="E351" s="68"/>
      <c r="F351" s="68"/>
      <c r="G351" s="68"/>
      <c r="I351" s="75"/>
    </row>
    <row r="352" spans="1:9" ht="12.5" x14ac:dyDescent="0.25">
      <c r="A352" s="14"/>
      <c r="C352" s="68"/>
      <c r="D352" s="68"/>
      <c r="E352" s="68"/>
      <c r="F352" s="68"/>
      <c r="G352" s="68"/>
      <c r="I352" s="75"/>
    </row>
    <row r="353" spans="1:9" ht="12.5" x14ac:dyDescent="0.25">
      <c r="A353" s="14"/>
      <c r="C353" s="68"/>
      <c r="D353" s="68"/>
      <c r="E353" s="68"/>
      <c r="F353" s="68"/>
      <c r="G353" s="68"/>
      <c r="I353" s="75"/>
    </row>
    <row r="354" spans="1:9" ht="12.5" x14ac:dyDescent="0.25">
      <c r="A354" s="14"/>
      <c r="C354" s="68"/>
      <c r="D354" s="68"/>
      <c r="E354" s="68"/>
      <c r="F354" s="68"/>
      <c r="G354" s="68"/>
      <c r="I354" s="75"/>
    </row>
    <row r="355" spans="1:9" ht="12.5" x14ac:dyDescent="0.25">
      <c r="A355" s="14"/>
      <c r="C355" s="68"/>
      <c r="D355" s="68"/>
      <c r="E355" s="68"/>
      <c r="F355" s="68"/>
      <c r="G355" s="68"/>
      <c r="I355" s="75"/>
    </row>
    <row r="356" spans="1:9" ht="12.5" x14ac:dyDescent="0.25">
      <c r="A356" s="14"/>
      <c r="C356" s="68"/>
      <c r="D356" s="68"/>
      <c r="E356" s="68"/>
      <c r="F356" s="68"/>
      <c r="G356" s="68"/>
      <c r="I356" s="75"/>
    </row>
    <row r="357" spans="1:9" ht="12.5" x14ac:dyDescent="0.25">
      <c r="A357" s="14"/>
      <c r="C357" s="68"/>
      <c r="D357" s="68"/>
      <c r="E357" s="68"/>
      <c r="F357" s="68"/>
      <c r="G357" s="68"/>
      <c r="I357" s="75"/>
    </row>
    <row r="358" spans="1:9" ht="12.5" x14ac:dyDescent="0.25">
      <c r="A358" s="14"/>
      <c r="C358" s="68"/>
      <c r="D358" s="68"/>
      <c r="E358" s="68"/>
      <c r="F358" s="68"/>
      <c r="G358" s="68"/>
      <c r="I358" s="75"/>
    </row>
    <row r="359" spans="1:9" ht="12.5" x14ac:dyDescent="0.25">
      <c r="A359" s="14"/>
      <c r="C359" s="68"/>
      <c r="D359" s="68"/>
      <c r="E359" s="68"/>
      <c r="F359" s="68"/>
      <c r="G359" s="68"/>
      <c r="I359" s="75"/>
    </row>
    <row r="360" spans="1:9" ht="12.5" x14ac:dyDescent="0.25">
      <c r="A360" s="14"/>
      <c r="C360" s="68"/>
      <c r="D360" s="68"/>
      <c r="E360" s="68"/>
      <c r="F360" s="68"/>
      <c r="G360" s="68"/>
      <c r="I360" s="75"/>
    </row>
    <row r="361" spans="1:9" ht="12.5" x14ac:dyDescent="0.25">
      <c r="A361" s="14"/>
      <c r="C361" s="68"/>
      <c r="D361" s="68"/>
      <c r="E361" s="68"/>
      <c r="F361" s="68"/>
      <c r="G361" s="68"/>
      <c r="I361" s="75"/>
    </row>
    <row r="362" spans="1:9" ht="12.5" x14ac:dyDescent="0.25">
      <c r="A362" s="14"/>
      <c r="C362" s="68"/>
      <c r="D362" s="68"/>
      <c r="E362" s="68"/>
      <c r="F362" s="68"/>
      <c r="G362" s="68"/>
      <c r="I362" s="75"/>
    </row>
    <row r="363" spans="1:9" ht="12.5" x14ac:dyDescent="0.25">
      <c r="A363" s="14"/>
      <c r="C363" s="68"/>
      <c r="D363" s="68"/>
      <c r="E363" s="68"/>
      <c r="F363" s="68"/>
      <c r="G363" s="68"/>
      <c r="I363" s="75"/>
    </row>
    <row r="364" spans="1:9" ht="12.5" x14ac:dyDescent="0.25">
      <c r="A364" s="14"/>
      <c r="C364" s="68"/>
      <c r="D364" s="68"/>
      <c r="E364" s="68"/>
      <c r="F364" s="68"/>
      <c r="G364" s="68"/>
      <c r="I364" s="75"/>
    </row>
    <row r="365" spans="1:9" ht="12.5" x14ac:dyDescent="0.25">
      <c r="A365" s="14"/>
      <c r="C365" s="68"/>
      <c r="D365" s="68"/>
      <c r="E365" s="68"/>
      <c r="F365" s="68"/>
      <c r="G365" s="68"/>
      <c r="I365" s="75"/>
    </row>
    <row r="366" spans="1:9" ht="12.5" x14ac:dyDescent="0.25">
      <c r="A366" s="14"/>
      <c r="C366" s="68"/>
      <c r="D366" s="68"/>
      <c r="E366" s="68"/>
      <c r="F366" s="68"/>
      <c r="G366" s="68"/>
      <c r="I366" s="75"/>
    </row>
    <row r="367" spans="1:9" ht="12.5" x14ac:dyDescent="0.25">
      <c r="A367" s="14"/>
      <c r="C367" s="68"/>
      <c r="D367" s="68"/>
      <c r="E367" s="68"/>
      <c r="F367" s="68"/>
      <c r="G367" s="68"/>
      <c r="I367" s="75"/>
    </row>
    <row r="368" spans="1:9" ht="12.5" x14ac:dyDescent="0.25">
      <c r="A368" s="14"/>
      <c r="C368" s="68"/>
      <c r="D368" s="68"/>
      <c r="E368" s="68"/>
      <c r="F368" s="68"/>
      <c r="G368" s="68"/>
      <c r="I368" s="75"/>
    </row>
    <row r="369" spans="1:9" ht="12.5" x14ac:dyDescent="0.25">
      <c r="A369" s="14"/>
      <c r="C369" s="68"/>
      <c r="D369" s="68"/>
      <c r="E369" s="68"/>
      <c r="F369" s="68"/>
      <c r="G369" s="68"/>
      <c r="I369" s="75"/>
    </row>
    <row r="370" spans="1:9" ht="12.5" x14ac:dyDescent="0.25">
      <c r="A370" s="14"/>
      <c r="C370" s="68"/>
      <c r="D370" s="68"/>
      <c r="E370" s="68"/>
      <c r="F370" s="68"/>
      <c r="G370" s="68"/>
      <c r="I370" s="75"/>
    </row>
    <row r="371" spans="1:9" ht="12.5" x14ac:dyDescent="0.25">
      <c r="A371" s="14"/>
      <c r="C371" s="68"/>
      <c r="D371" s="68"/>
      <c r="E371" s="68"/>
      <c r="F371" s="68"/>
      <c r="G371" s="68"/>
      <c r="I371" s="75"/>
    </row>
    <row r="372" spans="1:9" ht="12.5" x14ac:dyDescent="0.25">
      <c r="A372" s="14"/>
      <c r="C372" s="68"/>
      <c r="D372" s="68"/>
      <c r="E372" s="68"/>
      <c r="F372" s="68"/>
      <c r="G372" s="68"/>
      <c r="I372" s="75"/>
    </row>
    <row r="373" spans="1:9" ht="12.5" x14ac:dyDescent="0.25">
      <c r="A373" s="14"/>
      <c r="C373" s="68"/>
      <c r="D373" s="68"/>
      <c r="E373" s="68"/>
      <c r="F373" s="68"/>
      <c r="G373" s="68"/>
      <c r="I373" s="75"/>
    </row>
    <row r="374" spans="1:9" ht="12.5" x14ac:dyDescent="0.25">
      <c r="A374" s="14"/>
      <c r="C374" s="68"/>
      <c r="D374" s="68"/>
      <c r="E374" s="68"/>
      <c r="F374" s="68"/>
      <c r="G374" s="68"/>
      <c r="I374" s="75"/>
    </row>
    <row r="375" spans="1:9" ht="12.5" x14ac:dyDescent="0.25">
      <c r="A375" s="14"/>
      <c r="C375" s="68"/>
      <c r="D375" s="68"/>
      <c r="E375" s="68"/>
      <c r="F375" s="68"/>
      <c r="G375" s="68"/>
      <c r="I375" s="75"/>
    </row>
    <row r="376" spans="1:9" ht="12.5" x14ac:dyDescent="0.25">
      <c r="A376" s="14"/>
      <c r="C376" s="68"/>
      <c r="D376" s="68"/>
      <c r="E376" s="68"/>
      <c r="F376" s="68"/>
      <c r="G376" s="68"/>
      <c r="I376" s="75"/>
    </row>
    <row r="377" spans="1:9" ht="12.5" x14ac:dyDescent="0.25">
      <c r="A377" s="14"/>
      <c r="C377" s="68"/>
      <c r="D377" s="68"/>
      <c r="E377" s="68"/>
      <c r="F377" s="68"/>
      <c r="G377" s="68"/>
      <c r="I377" s="75"/>
    </row>
    <row r="378" spans="1:9" ht="12.5" x14ac:dyDescent="0.25">
      <c r="A378" s="14"/>
      <c r="C378" s="68"/>
      <c r="D378" s="68"/>
      <c r="E378" s="68"/>
      <c r="F378" s="68"/>
      <c r="G378" s="68"/>
      <c r="I378" s="75"/>
    </row>
    <row r="379" spans="1:9" ht="12.5" x14ac:dyDescent="0.25">
      <c r="A379" s="14"/>
      <c r="C379" s="68"/>
      <c r="D379" s="68"/>
      <c r="E379" s="68"/>
      <c r="F379" s="68"/>
      <c r="G379" s="68"/>
      <c r="I379" s="75"/>
    </row>
    <row r="380" spans="1:9" ht="12.5" x14ac:dyDescent="0.25">
      <c r="A380" s="14"/>
      <c r="C380" s="68"/>
      <c r="D380" s="68"/>
      <c r="E380" s="68"/>
      <c r="F380" s="68"/>
      <c r="G380" s="68"/>
      <c r="I380" s="75"/>
    </row>
    <row r="381" spans="1:9" ht="12.5" x14ac:dyDescent="0.25">
      <c r="A381" s="14"/>
      <c r="C381" s="68"/>
      <c r="D381" s="68"/>
      <c r="E381" s="68"/>
      <c r="F381" s="68"/>
      <c r="G381" s="68"/>
      <c r="I381" s="75"/>
    </row>
    <row r="382" spans="1:9" ht="12.5" x14ac:dyDescent="0.25">
      <c r="A382" s="14"/>
      <c r="C382" s="68"/>
      <c r="D382" s="68"/>
      <c r="E382" s="68"/>
      <c r="F382" s="68"/>
      <c r="G382" s="68"/>
      <c r="I382" s="75"/>
    </row>
    <row r="383" spans="1:9" ht="12.5" x14ac:dyDescent="0.25">
      <c r="A383" s="14"/>
      <c r="C383" s="68"/>
      <c r="D383" s="68"/>
      <c r="E383" s="68"/>
      <c r="F383" s="68"/>
      <c r="G383" s="68"/>
      <c r="I383" s="75"/>
    </row>
    <row r="384" spans="1:9" ht="12.5" x14ac:dyDescent="0.25">
      <c r="A384" s="14"/>
      <c r="C384" s="68"/>
      <c r="D384" s="68"/>
      <c r="E384" s="68"/>
      <c r="F384" s="68"/>
      <c r="G384" s="68"/>
      <c r="I384" s="75"/>
    </row>
    <row r="385" spans="1:9" ht="12.5" x14ac:dyDescent="0.25">
      <c r="A385" s="14"/>
      <c r="C385" s="68"/>
      <c r="D385" s="68"/>
      <c r="E385" s="68"/>
      <c r="F385" s="68"/>
      <c r="G385" s="68"/>
      <c r="I385" s="75"/>
    </row>
    <row r="386" spans="1:9" ht="12.5" x14ac:dyDescent="0.25">
      <c r="A386" s="14"/>
      <c r="C386" s="68"/>
      <c r="D386" s="68"/>
      <c r="E386" s="68"/>
      <c r="F386" s="68"/>
      <c r="G386" s="68"/>
      <c r="I386" s="75"/>
    </row>
    <row r="387" spans="1:9" ht="12.5" x14ac:dyDescent="0.25">
      <c r="A387" s="14"/>
      <c r="C387" s="68"/>
      <c r="D387" s="68"/>
      <c r="E387" s="68"/>
      <c r="F387" s="68"/>
      <c r="G387" s="68"/>
      <c r="I387" s="75"/>
    </row>
    <row r="388" spans="1:9" ht="12.5" x14ac:dyDescent="0.25">
      <c r="A388" s="14"/>
      <c r="C388" s="68"/>
      <c r="D388" s="68"/>
      <c r="E388" s="68"/>
      <c r="F388" s="68"/>
      <c r="G388" s="68"/>
      <c r="I388" s="75"/>
    </row>
    <row r="389" spans="1:9" ht="12.5" x14ac:dyDescent="0.25">
      <c r="A389" s="14"/>
      <c r="C389" s="68"/>
      <c r="D389" s="68"/>
      <c r="E389" s="68"/>
      <c r="F389" s="68"/>
      <c r="G389" s="68"/>
      <c r="I389" s="75"/>
    </row>
    <row r="390" spans="1:9" ht="12.5" x14ac:dyDescent="0.25">
      <c r="A390" s="14"/>
      <c r="C390" s="68"/>
      <c r="D390" s="68"/>
      <c r="E390" s="68"/>
      <c r="F390" s="68"/>
      <c r="G390" s="68"/>
      <c r="I390" s="75"/>
    </row>
    <row r="391" spans="1:9" ht="12.5" x14ac:dyDescent="0.25">
      <c r="A391" s="14"/>
      <c r="C391" s="68"/>
      <c r="D391" s="68"/>
      <c r="E391" s="68"/>
      <c r="F391" s="68"/>
      <c r="G391" s="68"/>
      <c r="I391" s="75"/>
    </row>
    <row r="392" spans="1:9" ht="12.5" x14ac:dyDescent="0.25">
      <c r="A392" s="14"/>
      <c r="C392" s="68"/>
      <c r="D392" s="68"/>
      <c r="E392" s="68"/>
      <c r="F392" s="68"/>
      <c r="G392" s="68"/>
      <c r="I392" s="75"/>
    </row>
    <row r="393" spans="1:9" ht="12.5" x14ac:dyDescent="0.25">
      <c r="A393" s="14"/>
      <c r="C393" s="68"/>
      <c r="D393" s="68"/>
      <c r="E393" s="68"/>
      <c r="F393" s="68"/>
      <c r="G393" s="68"/>
      <c r="I393" s="75"/>
    </row>
    <row r="394" spans="1:9" ht="12.5" x14ac:dyDescent="0.25">
      <c r="A394" s="14"/>
      <c r="C394" s="68"/>
      <c r="D394" s="68"/>
      <c r="E394" s="68"/>
      <c r="F394" s="68"/>
      <c r="G394" s="68"/>
      <c r="I394" s="75"/>
    </row>
    <row r="395" spans="1:9" ht="12.5" x14ac:dyDescent="0.25">
      <c r="A395" s="14"/>
      <c r="C395" s="68"/>
      <c r="D395" s="68"/>
      <c r="E395" s="68"/>
      <c r="F395" s="68"/>
      <c r="G395" s="68"/>
      <c r="I395" s="75"/>
    </row>
    <row r="396" spans="1:9" ht="12.5" x14ac:dyDescent="0.25">
      <c r="A396" s="14"/>
      <c r="C396" s="68"/>
      <c r="D396" s="68"/>
      <c r="E396" s="68"/>
      <c r="F396" s="68"/>
      <c r="G396" s="68"/>
      <c r="I396" s="75"/>
    </row>
    <row r="397" spans="1:9" ht="12.5" x14ac:dyDescent="0.25">
      <c r="A397" s="14"/>
      <c r="C397" s="68"/>
      <c r="D397" s="68"/>
      <c r="E397" s="68"/>
      <c r="F397" s="68"/>
      <c r="G397" s="68"/>
      <c r="I397" s="75"/>
    </row>
    <row r="398" spans="1:9" ht="12.5" x14ac:dyDescent="0.25">
      <c r="A398" s="14"/>
      <c r="C398" s="68"/>
      <c r="D398" s="68"/>
      <c r="E398" s="68"/>
      <c r="F398" s="68"/>
      <c r="G398" s="68"/>
      <c r="I398" s="75"/>
    </row>
    <row r="399" spans="1:9" ht="12.5" x14ac:dyDescent="0.25">
      <c r="A399" s="14"/>
      <c r="C399" s="68"/>
      <c r="D399" s="68"/>
      <c r="E399" s="68"/>
      <c r="F399" s="68"/>
      <c r="G399" s="68"/>
      <c r="I399" s="75"/>
    </row>
    <row r="400" spans="1:9" ht="12.5" x14ac:dyDescent="0.25">
      <c r="A400" s="14"/>
      <c r="C400" s="68"/>
      <c r="D400" s="68"/>
      <c r="E400" s="68"/>
      <c r="F400" s="68"/>
      <c r="G400" s="68"/>
      <c r="I400" s="75"/>
    </row>
    <row r="401" spans="1:9" ht="12.5" x14ac:dyDescent="0.25">
      <c r="A401" s="14"/>
      <c r="C401" s="68"/>
      <c r="D401" s="68"/>
      <c r="E401" s="68"/>
      <c r="F401" s="68"/>
      <c r="G401" s="68"/>
      <c r="I401" s="75"/>
    </row>
    <row r="402" spans="1:9" ht="12.5" x14ac:dyDescent="0.25">
      <c r="A402" s="14"/>
      <c r="C402" s="68"/>
      <c r="D402" s="68"/>
      <c r="E402" s="68"/>
      <c r="F402" s="68"/>
      <c r="G402" s="68"/>
      <c r="I402" s="75"/>
    </row>
    <row r="403" spans="1:9" ht="12.5" x14ac:dyDescent="0.25">
      <c r="A403" s="14"/>
      <c r="C403" s="68"/>
      <c r="D403" s="68"/>
      <c r="E403" s="68"/>
      <c r="F403" s="68"/>
      <c r="G403" s="68"/>
      <c r="I403" s="75"/>
    </row>
    <row r="404" spans="1:9" ht="12.5" x14ac:dyDescent="0.25">
      <c r="A404" s="14"/>
      <c r="C404" s="68"/>
      <c r="D404" s="68"/>
      <c r="E404" s="68"/>
      <c r="F404" s="68"/>
      <c r="G404" s="68"/>
      <c r="I404" s="75"/>
    </row>
    <row r="405" spans="1:9" ht="12.5" x14ac:dyDescent="0.25">
      <c r="A405" s="14"/>
      <c r="C405" s="68"/>
      <c r="D405" s="68"/>
      <c r="E405" s="68"/>
      <c r="F405" s="68"/>
      <c r="G405" s="68"/>
      <c r="I405" s="75"/>
    </row>
    <row r="406" spans="1:9" ht="12.5" x14ac:dyDescent="0.25">
      <c r="A406" s="14"/>
      <c r="C406" s="68"/>
      <c r="D406" s="68"/>
      <c r="E406" s="68"/>
      <c r="F406" s="68"/>
      <c r="G406" s="68"/>
      <c r="I406" s="75"/>
    </row>
    <row r="407" spans="1:9" ht="12.5" x14ac:dyDescent="0.25">
      <c r="A407" s="14"/>
      <c r="C407" s="68"/>
      <c r="D407" s="68"/>
      <c r="E407" s="68"/>
      <c r="F407" s="68"/>
      <c r="G407" s="68"/>
      <c r="I407" s="75"/>
    </row>
    <row r="408" spans="1:9" ht="12.5" x14ac:dyDescent="0.25">
      <c r="A408" s="14"/>
      <c r="C408" s="68"/>
      <c r="D408" s="68"/>
      <c r="E408" s="68"/>
      <c r="F408" s="68"/>
      <c r="G408" s="68"/>
      <c r="I408" s="75"/>
    </row>
    <row r="409" spans="1:9" ht="12.5" x14ac:dyDescent="0.25">
      <c r="A409" s="14"/>
      <c r="C409" s="68"/>
      <c r="D409" s="68"/>
      <c r="E409" s="68"/>
      <c r="F409" s="68"/>
      <c r="G409" s="68"/>
      <c r="I409" s="75"/>
    </row>
    <row r="410" spans="1:9" ht="12.5" x14ac:dyDescent="0.25">
      <c r="A410" s="14"/>
      <c r="C410" s="68"/>
      <c r="D410" s="68"/>
      <c r="E410" s="68"/>
      <c r="F410" s="68"/>
      <c r="G410" s="68"/>
      <c r="I410" s="75"/>
    </row>
    <row r="411" spans="1:9" ht="12.5" x14ac:dyDescent="0.25">
      <c r="A411" s="14"/>
      <c r="C411" s="68"/>
      <c r="D411" s="68"/>
      <c r="E411" s="68"/>
      <c r="F411" s="68"/>
      <c r="G411" s="68"/>
      <c r="I411" s="75"/>
    </row>
    <row r="412" spans="1:9" ht="12.5" x14ac:dyDescent="0.25">
      <c r="A412" s="14"/>
      <c r="C412" s="68"/>
      <c r="D412" s="68"/>
      <c r="E412" s="68"/>
      <c r="F412" s="68"/>
      <c r="G412" s="68"/>
      <c r="I412" s="75"/>
    </row>
    <row r="413" spans="1:9" ht="12.5" x14ac:dyDescent="0.25">
      <c r="A413" s="14"/>
      <c r="C413" s="68"/>
      <c r="D413" s="68"/>
      <c r="E413" s="68"/>
      <c r="F413" s="68"/>
      <c r="G413" s="68"/>
      <c r="I413" s="75"/>
    </row>
    <row r="414" spans="1:9" ht="12.5" x14ac:dyDescent="0.25">
      <c r="A414" s="14"/>
      <c r="C414" s="68"/>
      <c r="D414" s="68"/>
      <c r="E414" s="68"/>
      <c r="F414" s="68"/>
      <c r="G414" s="68"/>
      <c r="I414" s="75"/>
    </row>
    <row r="415" spans="1:9" ht="12.5" x14ac:dyDescent="0.25">
      <c r="A415" s="14"/>
      <c r="C415" s="68"/>
      <c r="D415" s="68"/>
      <c r="E415" s="68"/>
      <c r="F415" s="68"/>
      <c r="G415" s="68"/>
      <c r="I415" s="75"/>
    </row>
    <row r="416" spans="1:9" ht="12.5" x14ac:dyDescent="0.25">
      <c r="A416" s="14"/>
      <c r="C416" s="68"/>
      <c r="D416" s="68"/>
      <c r="E416" s="68"/>
      <c r="F416" s="68"/>
      <c r="G416" s="68"/>
      <c r="I416" s="75"/>
    </row>
    <row r="417" spans="1:9" ht="12.5" x14ac:dyDescent="0.25">
      <c r="A417" s="14"/>
      <c r="C417" s="68"/>
      <c r="D417" s="68"/>
      <c r="E417" s="68"/>
      <c r="F417" s="68"/>
      <c r="G417" s="68"/>
      <c r="I417" s="75"/>
    </row>
    <row r="418" spans="1:9" ht="12.5" x14ac:dyDescent="0.25">
      <c r="A418" s="14"/>
      <c r="C418" s="68"/>
      <c r="D418" s="68"/>
      <c r="E418" s="68"/>
      <c r="F418" s="68"/>
      <c r="G418" s="68"/>
      <c r="I418" s="75"/>
    </row>
    <row r="419" spans="1:9" ht="12.5" x14ac:dyDescent="0.25">
      <c r="A419" s="14"/>
      <c r="C419" s="68"/>
      <c r="D419" s="68"/>
      <c r="E419" s="68"/>
      <c r="F419" s="68"/>
      <c r="G419" s="68"/>
      <c r="I419" s="75"/>
    </row>
    <row r="420" spans="1:9" ht="12.5" x14ac:dyDescent="0.25">
      <c r="A420" s="14"/>
      <c r="C420" s="68"/>
      <c r="D420" s="68"/>
      <c r="E420" s="68"/>
      <c r="F420" s="68"/>
      <c r="G420" s="68"/>
      <c r="I420" s="75"/>
    </row>
    <row r="421" spans="1:9" ht="12.5" x14ac:dyDescent="0.25">
      <c r="A421" s="14"/>
      <c r="C421" s="68"/>
      <c r="D421" s="68"/>
      <c r="E421" s="68"/>
      <c r="F421" s="68"/>
      <c r="G421" s="68"/>
      <c r="I421" s="75"/>
    </row>
    <row r="422" spans="1:9" ht="12.5" x14ac:dyDescent="0.25">
      <c r="A422" s="14"/>
      <c r="C422" s="68"/>
      <c r="D422" s="68"/>
      <c r="E422" s="68"/>
      <c r="F422" s="68"/>
      <c r="G422" s="68"/>
      <c r="I422" s="75"/>
    </row>
    <row r="423" spans="1:9" ht="12.5" x14ac:dyDescent="0.25">
      <c r="A423" s="14"/>
      <c r="C423" s="68"/>
      <c r="D423" s="68"/>
      <c r="E423" s="68"/>
      <c r="F423" s="68"/>
      <c r="G423" s="68"/>
      <c r="I423" s="75"/>
    </row>
    <row r="424" spans="1:9" ht="12.5" x14ac:dyDescent="0.25">
      <c r="A424" s="14"/>
      <c r="C424" s="68"/>
      <c r="D424" s="68"/>
      <c r="E424" s="68"/>
      <c r="F424" s="68"/>
      <c r="G424" s="68"/>
      <c r="I424" s="75"/>
    </row>
    <row r="425" spans="1:9" ht="12.5" x14ac:dyDescent="0.25">
      <c r="A425" s="14"/>
      <c r="C425" s="68"/>
      <c r="D425" s="68"/>
      <c r="E425" s="68"/>
      <c r="F425" s="68"/>
      <c r="G425" s="68"/>
      <c r="I425" s="75"/>
    </row>
    <row r="426" spans="1:9" ht="12.5" x14ac:dyDescent="0.25">
      <c r="A426" s="14"/>
      <c r="C426" s="68"/>
      <c r="D426" s="68"/>
      <c r="E426" s="68"/>
      <c r="F426" s="68"/>
      <c r="G426" s="68"/>
      <c r="I426" s="75"/>
    </row>
    <row r="427" spans="1:9" ht="12.5" x14ac:dyDescent="0.25">
      <c r="A427" s="14"/>
      <c r="C427" s="68"/>
      <c r="D427" s="68"/>
      <c r="E427" s="68"/>
      <c r="F427" s="68"/>
      <c r="G427" s="68"/>
      <c r="I427" s="75"/>
    </row>
    <row r="428" spans="1:9" ht="12.5" x14ac:dyDescent="0.25">
      <c r="A428" s="14"/>
      <c r="C428" s="68"/>
      <c r="D428" s="68"/>
      <c r="E428" s="68"/>
      <c r="F428" s="68"/>
      <c r="G428" s="68"/>
      <c r="I428" s="75"/>
    </row>
    <row r="429" spans="1:9" ht="12.5" x14ac:dyDescent="0.25">
      <c r="A429" s="14"/>
      <c r="C429" s="68"/>
      <c r="D429" s="68"/>
      <c r="E429" s="68"/>
      <c r="F429" s="68"/>
      <c r="G429" s="68"/>
      <c r="I429" s="75"/>
    </row>
    <row r="430" spans="1:9" ht="12.5" x14ac:dyDescent="0.25">
      <c r="A430" s="14"/>
      <c r="C430" s="68"/>
      <c r="D430" s="68"/>
      <c r="E430" s="68"/>
      <c r="F430" s="68"/>
      <c r="G430" s="68"/>
      <c r="I430" s="75"/>
    </row>
    <row r="431" spans="1:9" ht="12.5" x14ac:dyDescent="0.25">
      <c r="A431" s="14"/>
      <c r="C431" s="68"/>
      <c r="D431" s="68"/>
      <c r="E431" s="68"/>
      <c r="F431" s="68"/>
      <c r="G431" s="68"/>
      <c r="I431" s="75"/>
    </row>
    <row r="432" spans="1:9" ht="12.5" x14ac:dyDescent="0.25">
      <c r="A432" s="14"/>
      <c r="C432" s="68"/>
      <c r="D432" s="68"/>
      <c r="E432" s="68"/>
      <c r="F432" s="68"/>
      <c r="G432" s="68"/>
      <c r="I432" s="75"/>
    </row>
    <row r="433" spans="1:9" ht="12.5" x14ac:dyDescent="0.25">
      <c r="A433" s="14"/>
      <c r="C433" s="68"/>
      <c r="D433" s="68"/>
      <c r="E433" s="68"/>
      <c r="F433" s="68"/>
      <c r="G433" s="68"/>
      <c r="I433" s="75"/>
    </row>
    <row r="434" spans="1:9" ht="12.5" x14ac:dyDescent="0.25">
      <c r="A434" s="14"/>
      <c r="C434" s="68"/>
      <c r="D434" s="68"/>
      <c r="E434" s="68"/>
      <c r="F434" s="68"/>
      <c r="G434" s="68"/>
      <c r="I434" s="75"/>
    </row>
    <row r="435" spans="1:9" ht="12.5" x14ac:dyDescent="0.25">
      <c r="A435" s="14"/>
      <c r="C435" s="68"/>
      <c r="D435" s="68"/>
      <c r="E435" s="68"/>
      <c r="F435" s="68"/>
      <c r="G435" s="68"/>
      <c r="I435" s="75"/>
    </row>
    <row r="436" spans="1:9" ht="12.5" x14ac:dyDescent="0.25">
      <c r="A436" s="14"/>
      <c r="C436" s="68"/>
      <c r="D436" s="68"/>
      <c r="E436" s="68"/>
      <c r="F436" s="68"/>
      <c r="G436" s="68"/>
      <c r="I436" s="75"/>
    </row>
    <row r="437" spans="1:9" ht="12.5" x14ac:dyDescent="0.25">
      <c r="A437" s="14"/>
      <c r="C437" s="68"/>
      <c r="D437" s="68"/>
      <c r="E437" s="68"/>
      <c r="F437" s="68"/>
      <c r="G437" s="68"/>
      <c r="I437" s="75"/>
    </row>
    <row r="438" spans="1:9" ht="12.5" x14ac:dyDescent="0.25">
      <c r="A438" s="14"/>
      <c r="C438" s="68"/>
      <c r="D438" s="68"/>
      <c r="E438" s="68"/>
      <c r="F438" s="68"/>
      <c r="G438" s="68"/>
      <c r="I438" s="75"/>
    </row>
    <row r="439" spans="1:9" ht="12.5" x14ac:dyDescent="0.25">
      <c r="A439" s="14"/>
      <c r="C439" s="68"/>
      <c r="D439" s="68"/>
      <c r="E439" s="68"/>
      <c r="F439" s="68"/>
      <c r="G439" s="68"/>
      <c r="I439" s="75"/>
    </row>
    <row r="440" spans="1:9" ht="12.5" x14ac:dyDescent="0.25">
      <c r="A440" s="14"/>
      <c r="C440" s="68"/>
      <c r="D440" s="68"/>
      <c r="E440" s="68"/>
      <c r="F440" s="68"/>
      <c r="G440" s="68"/>
      <c r="I440" s="75"/>
    </row>
    <row r="441" spans="1:9" ht="12.5" x14ac:dyDescent="0.25">
      <c r="A441" s="14"/>
      <c r="C441" s="68"/>
      <c r="D441" s="68"/>
      <c r="E441" s="68"/>
      <c r="F441" s="68"/>
      <c r="G441" s="68"/>
      <c r="I441" s="75"/>
    </row>
    <row r="442" spans="1:9" ht="12.5" x14ac:dyDescent="0.25">
      <c r="A442" s="14"/>
      <c r="C442" s="68"/>
      <c r="D442" s="68"/>
      <c r="E442" s="68"/>
      <c r="F442" s="68"/>
      <c r="G442" s="68"/>
      <c r="I442" s="75"/>
    </row>
    <row r="443" spans="1:9" ht="12.5" x14ac:dyDescent="0.25">
      <c r="A443" s="14"/>
      <c r="C443" s="68"/>
      <c r="D443" s="68"/>
      <c r="E443" s="68"/>
      <c r="F443" s="68"/>
      <c r="G443" s="68"/>
      <c r="I443" s="75"/>
    </row>
    <row r="444" spans="1:9" ht="12.5" x14ac:dyDescent="0.25">
      <c r="A444" s="14"/>
      <c r="C444" s="68"/>
      <c r="D444" s="68"/>
      <c r="E444" s="68"/>
      <c r="F444" s="68"/>
      <c r="G444" s="68"/>
      <c r="I444" s="75"/>
    </row>
    <row r="445" spans="1:9" ht="12.5" x14ac:dyDescent="0.25">
      <c r="A445" s="14"/>
      <c r="C445" s="68"/>
      <c r="D445" s="68"/>
      <c r="E445" s="68"/>
      <c r="F445" s="68"/>
      <c r="G445" s="68"/>
      <c r="I445" s="75"/>
    </row>
    <row r="446" spans="1:9" ht="12.5" x14ac:dyDescent="0.25">
      <c r="A446" s="14"/>
      <c r="C446" s="68"/>
      <c r="D446" s="68"/>
      <c r="E446" s="68"/>
      <c r="F446" s="68"/>
      <c r="G446" s="68"/>
      <c r="I446" s="75"/>
    </row>
    <row r="447" spans="1:9" ht="12.5" x14ac:dyDescent="0.25">
      <c r="A447" s="14"/>
      <c r="C447" s="68"/>
      <c r="D447" s="68"/>
      <c r="E447" s="68"/>
      <c r="F447" s="68"/>
      <c r="G447" s="68"/>
      <c r="I447" s="75"/>
    </row>
    <row r="448" spans="1:9" ht="12.5" x14ac:dyDescent="0.25">
      <c r="A448" s="14"/>
      <c r="C448" s="68"/>
      <c r="D448" s="68"/>
      <c r="E448" s="68"/>
      <c r="F448" s="68"/>
      <c r="G448" s="68"/>
      <c r="I448" s="75"/>
    </row>
    <row r="449" spans="1:9" ht="12.5" x14ac:dyDescent="0.25">
      <c r="A449" s="14"/>
      <c r="C449" s="68"/>
      <c r="D449" s="68"/>
      <c r="E449" s="68"/>
      <c r="F449" s="68"/>
      <c r="G449" s="68"/>
      <c r="I449" s="75"/>
    </row>
    <row r="450" spans="1:9" ht="12.5" x14ac:dyDescent="0.25">
      <c r="A450" s="14"/>
      <c r="C450" s="68"/>
      <c r="D450" s="68"/>
      <c r="E450" s="68"/>
      <c r="F450" s="68"/>
      <c r="G450" s="68"/>
      <c r="I450" s="75"/>
    </row>
    <row r="451" spans="1:9" ht="12.5" x14ac:dyDescent="0.25">
      <c r="A451" s="14"/>
      <c r="C451" s="68"/>
      <c r="D451" s="68"/>
      <c r="E451" s="68"/>
      <c r="F451" s="68"/>
      <c r="G451" s="68"/>
      <c r="I451" s="75"/>
    </row>
    <row r="452" spans="1:9" ht="12.5" x14ac:dyDescent="0.25">
      <c r="A452" s="14"/>
      <c r="C452" s="68"/>
      <c r="D452" s="68"/>
      <c r="E452" s="68"/>
      <c r="F452" s="68"/>
      <c r="G452" s="68"/>
      <c r="I452" s="75"/>
    </row>
    <row r="453" spans="1:9" ht="12.5" x14ac:dyDescent="0.25">
      <c r="A453" s="14"/>
      <c r="C453" s="68"/>
      <c r="D453" s="68"/>
      <c r="E453" s="68"/>
      <c r="F453" s="68"/>
      <c r="G453" s="68"/>
      <c r="I453" s="75"/>
    </row>
    <row r="454" spans="1:9" ht="12.5" x14ac:dyDescent="0.25">
      <c r="A454" s="14"/>
      <c r="C454" s="68"/>
      <c r="D454" s="68"/>
      <c r="E454" s="68"/>
      <c r="F454" s="68"/>
      <c r="G454" s="68"/>
      <c r="I454" s="75"/>
    </row>
    <row r="455" spans="1:9" ht="12.5" x14ac:dyDescent="0.25">
      <c r="A455" s="14"/>
      <c r="C455" s="68"/>
      <c r="D455" s="68"/>
      <c r="E455" s="68"/>
      <c r="F455" s="68"/>
      <c r="G455" s="68"/>
      <c r="I455" s="75"/>
    </row>
    <row r="456" spans="1:9" ht="12.5" x14ac:dyDescent="0.25">
      <c r="A456" s="14"/>
      <c r="C456" s="68"/>
      <c r="D456" s="68"/>
      <c r="E456" s="68"/>
      <c r="F456" s="68"/>
      <c r="G456" s="68"/>
      <c r="I456" s="75"/>
    </row>
    <row r="457" spans="1:9" ht="12.5" x14ac:dyDescent="0.25">
      <c r="A457" s="14"/>
      <c r="C457" s="68"/>
      <c r="D457" s="68"/>
      <c r="E457" s="68"/>
      <c r="F457" s="68"/>
      <c r="G457" s="68"/>
      <c r="I457" s="75"/>
    </row>
    <row r="458" spans="1:9" ht="12.5" x14ac:dyDescent="0.25">
      <c r="A458" s="14"/>
      <c r="C458" s="68"/>
      <c r="D458" s="68"/>
      <c r="E458" s="68"/>
      <c r="F458" s="68"/>
      <c r="G458" s="68"/>
      <c r="I458" s="75"/>
    </row>
    <row r="459" spans="1:9" ht="12.5" x14ac:dyDescent="0.25">
      <c r="A459" s="14"/>
      <c r="C459" s="68"/>
      <c r="D459" s="68"/>
      <c r="E459" s="68"/>
      <c r="F459" s="68"/>
      <c r="G459" s="68"/>
      <c r="I459" s="75"/>
    </row>
    <row r="460" spans="1:9" ht="12.5" x14ac:dyDescent="0.25">
      <c r="A460" s="14"/>
      <c r="C460" s="68"/>
      <c r="D460" s="68"/>
      <c r="E460" s="68"/>
      <c r="F460" s="68"/>
      <c r="G460" s="68"/>
      <c r="I460" s="75"/>
    </row>
    <row r="461" spans="1:9" ht="12.5" x14ac:dyDescent="0.25">
      <c r="A461" s="14"/>
      <c r="C461" s="68"/>
      <c r="D461" s="68"/>
      <c r="E461" s="68"/>
      <c r="F461" s="68"/>
      <c r="G461" s="68"/>
      <c r="I461" s="75"/>
    </row>
    <row r="462" spans="1:9" ht="12.5" x14ac:dyDescent="0.25">
      <c r="A462" s="14"/>
      <c r="C462" s="68"/>
      <c r="D462" s="68"/>
      <c r="E462" s="68"/>
      <c r="F462" s="68"/>
      <c r="G462" s="68"/>
      <c r="I462" s="75"/>
    </row>
    <row r="463" spans="1:9" ht="12.5" x14ac:dyDescent="0.25">
      <c r="A463" s="14"/>
      <c r="C463" s="68"/>
      <c r="D463" s="68"/>
      <c r="E463" s="68"/>
      <c r="F463" s="68"/>
      <c r="G463" s="68"/>
      <c r="I463" s="75"/>
    </row>
    <row r="464" spans="1:9" ht="12.5" x14ac:dyDescent="0.25">
      <c r="A464" s="14"/>
      <c r="C464" s="68"/>
      <c r="D464" s="68"/>
      <c r="E464" s="68"/>
      <c r="F464" s="68"/>
      <c r="G464" s="68"/>
      <c r="I464" s="75"/>
    </row>
    <row r="465" spans="1:9" ht="12.5" x14ac:dyDescent="0.25">
      <c r="A465" s="14"/>
      <c r="C465" s="68"/>
      <c r="D465" s="68"/>
      <c r="E465" s="68"/>
      <c r="F465" s="68"/>
      <c r="G465" s="68"/>
      <c r="I465" s="75"/>
    </row>
    <row r="466" spans="1:9" ht="12.5" x14ac:dyDescent="0.25">
      <c r="A466" s="14"/>
      <c r="C466" s="68"/>
      <c r="D466" s="68"/>
      <c r="E466" s="68"/>
      <c r="F466" s="68"/>
      <c r="G466" s="68"/>
      <c r="I466" s="75"/>
    </row>
    <row r="467" spans="1:9" ht="12.5" x14ac:dyDescent="0.25">
      <c r="A467" s="14"/>
      <c r="C467" s="68"/>
      <c r="D467" s="68"/>
      <c r="E467" s="68"/>
      <c r="F467" s="68"/>
      <c r="G467" s="68"/>
      <c r="I467" s="75"/>
    </row>
    <row r="468" spans="1:9" ht="12.5" x14ac:dyDescent="0.25">
      <c r="A468" s="14"/>
      <c r="C468" s="68"/>
      <c r="D468" s="68"/>
      <c r="E468" s="68"/>
      <c r="F468" s="68"/>
      <c r="G468" s="68"/>
      <c r="I468" s="75"/>
    </row>
    <row r="469" spans="1:9" ht="12.5" x14ac:dyDescent="0.25">
      <c r="A469" s="14"/>
      <c r="C469" s="68"/>
      <c r="D469" s="68"/>
      <c r="E469" s="68"/>
      <c r="F469" s="68"/>
      <c r="G469" s="68"/>
      <c r="I469" s="75"/>
    </row>
    <row r="470" spans="1:9" ht="12.5" x14ac:dyDescent="0.25">
      <c r="A470" s="14"/>
      <c r="C470" s="68"/>
      <c r="D470" s="68"/>
      <c r="E470" s="68"/>
      <c r="F470" s="68"/>
      <c r="G470" s="68"/>
      <c r="I470" s="75"/>
    </row>
    <row r="471" spans="1:9" ht="12.5" x14ac:dyDescent="0.25">
      <c r="A471" s="14"/>
      <c r="C471" s="68"/>
      <c r="D471" s="68"/>
      <c r="E471" s="68"/>
      <c r="F471" s="68"/>
      <c r="G471" s="68"/>
      <c r="I471" s="75"/>
    </row>
    <row r="472" spans="1:9" ht="12.5" x14ac:dyDescent="0.25">
      <c r="A472" s="14"/>
      <c r="C472" s="68"/>
      <c r="D472" s="68"/>
      <c r="E472" s="68"/>
      <c r="F472" s="68"/>
      <c r="G472" s="68"/>
      <c r="I472" s="75"/>
    </row>
    <row r="473" spans="1:9" ht="12.5" x14ac:dyDescent="0.25">
      <c r="A473" s="14"/>
      <c r="C473" s="68"/>
      <c r="D473" s="68"/>
      <c r="E473" s="68"/>
      <c r="F473" s="68"/>
      <c r="G473" s="68"/>
      <c r="I473" s="75"/>
    </row>
    <row r="474" spans="1:9" ht="12.5" x14ac:dyDescent="0.25">
      <c r="A474" s="14"/>
      <c r="C474" s="68"/>
      <c r="D474" s="68"/>
      <c r="E474" s="68"/>
      <c r="F474" s="68"/>
      <c r="G474" s="68"/>
      <c r="I474" s="75"/>
    </row>
    <row r="475" spans="1:9" ht="12.5" x14ac:dyDescent="0.25">
      <c r="A475" s="14"/>
      <c r="C475" s="68"/>
      <c r="D475" s="68"/>
      <c r="E475" s="68"/>
      <c r="F475" s="68"/>
      <c r="G475" s="68"/>
      <c r="I475" s="75"/>
    </row>
    <row r="476" spans="1:9" ht="12.5" x14ac:dyDescent="0.25">
      <c r="A476" s="14"/>
      <c r="C476" s="68"/>
      <c r="D476" s="68"/>
      <c r="E476" s="68"/>
      <c r="F476" s="68"/>
      <c r="G476" s="68"/>
      <c r="I476" s="75"/>
    </row>
    <row r="477" spans="1:9" ht="12.5" x14ac:dyDescent="0.25">
      <c r="A477" s="14"/>
      <c r="C477" s="68"/>
      <c r="D477" s="68"/>
      <c r="E477" s="68"/>
      <c r="F477" s="68"/>
      <c r="G477" s="68"/>
      <c r="I477" s="75"/>
    </row>
    <row r="478" spans="1:9" ht="12.5" x14ac:dyDescent="0.25">
      <c r="A478" s="14"/>
      <c r="C478" s="68"/>
      <c r="D478" s="68"/>
      <c r="E478" s="68"/>
      <c r="F478" s="68"/>
      <c r="G478" s="68"/>
      <c r="I478" s="75"/>
    </row>
    <row r="479" spans="1:9" ht="12.5" x14ac:dyDescent="0.25">
      <c r="A479" s="14"/>
      <c r="C479" s="68"/>
      <c r="D479" s="68"/>
      <c r="E479" s="68"/>
      <c r="F479" s="68"/>
      <c r="G479" s="68"/>
      <c r="I479" s="75"/>
    </row>
    <row r="480" spans="1:9" ht="12.5" x14ac:dyDescent="0.25">
      <c r="A480" s="14"/>
      <c r="C480" s="68"/>
      <c r="D480" s="68"/>
      <c r="E480" s="68"/>
      <c r="F480" s="68"/>
      <c r="G480" s="68"/>
      <c r="I480" s="75"/>
    </row>
    <row r="481" spans="1:9" ht="12.5" x14ac:dyDescent="0.25">
      <c r="A481" s="14"/>
      <c r="C481" s="68"/>
      <c r="D481" s="68"/>
      <c r="E481" s="68"/>
      <c r="F481" s="68"/>
      <c r="G481" s="68"/>
      <c r="I481" s="75"/>
    </row>
    <row r="482" spans="1:9" ht="12.5" x14ac:dyDescent="0.25">
      <c r="A482" s="14"/>
      <c r="C482" s="68"/>
      <c r="D482" s="68"/>
      <c r="E482" s="68"/>
      <c r="F482" s="68"/>
      <c r="G482" s="68"/>
      <c r="I482" s="75"/>
    </row>
    <row r="483" spans="1:9" ht="12.5" x14ac:dyDescent="0.25">
      <c r="A483" s="14"/>
      <c r="C483" s="68"/>
      <c r="D483" s="68"/>
      <c r="E483" s="68"/>
      <c r="F483" s="68"/>
      <c r="G483" s="68"/>
      <c r="I483" s="75"/>
    </row>
    <row r="484" spans="1:9" ht="12.5" x14ac:dyDescent="0.25">
      <c r="A484" s="14"/>
      <c r="C484" s="68"/>
      <c r="D484" s="68"/>
      <c r="E484" s="68"/>
      <c r="F484" s="68"/>
      <c r="G484" s="68"/>
      <c r="I484" s="75"/>
    </row>
    <row r="485" spans="1:9" ht="12.5" x14ac:dyDescent="0.25">
      <c r="A485" s="14"/>
      <c r="C485" s="68"/>
      <c r="D485" s="68"/>
      <c r="E485" s="68"/>
      <c r="F485" s="68"/>
      <c r="G485" s="68"/>
      <c r="I485" s="75"/>
    </row>
    <row r="486" spans="1:9" ht="12.5" x14ac:dyDescent="0.25">
      <c r="A486" s="14"/>
      <c r="C486" s="68"/>
      <c r="D486" s="68"/>
      <c r="E486" s="68"/>
      <c r="F486" s="68"/>
      <c r="G486" s="68"/>
      <c r="I486" s="75"/>
    </row>
    <row r="487" spans="1:9" ht="12.5" x14ac:dyDescent="0.25">
      <c r="A487" s="14"/>
      <c r="C487" s="68"/>
      <c r="D487" s="68"/>
      <c r="E487" s="68"/>
      <c r="F487" s="68"/>
      <c r="G487" s="68"/>
      <c r="I487" s="75"/>
    </row>
    <row r="488" spans="1:9" ht="12.5" x14ac:dyDescent="0.25">
      <c r="A488" s="14"/>
      <c r="C488" s="68"/>
      <c r="D488" s="68"/>
      <c r="E488" s="68"/>
      <c r="F488" s="68"/>
      <c r="G488" s="68"/>
      <c r="I488" s="75"/>
    </row>
    <row r="489" spans="1:9" ht="12.5" x14ac:dyDescent="0.25">
      <c r="A489" s="14"/>
      <c r="C489" s="68"/>
      <c r="D489" s="68"/>
      <c r="E489" s="68"/>
      <c r="F489" s="68"/>
      <c r="G489" s="68"/>
      <c r="I489" s="75"/>
    </row>
    <row r="490" spans="1:9" ht="12.5" x14ac:dyDescent="0.25">
      <c r="A490" s="14"/>
      <c r="C490" s="68"/>
      <c r="D490" s="68"/>
      <c r="E490" s="68"/>
      <c r="F490" s="68"/>
      <c r="G490" s="68"/>
      <c r="I490" s="75"/>
    </row>
    <row r="491" spans="1:9" ht="12.5" x14ac:dyDescent="0.25">
      <c r="A491" s="14"/>
      <c r="C491" s="68"/>
      <c r="D491" s="68"/>
      <c r="E491" s="68"/>
      <c r="F491" s="68"/>
      <c r="G491" s="68"/>
      <c r="I491" s="75"/>
    </row>
    <row r="492" spans="1:9" ht="12.5" x14ac:dyDescent="0.25">
      <c r="A492" s="14"/>
      <c r="C492" s="68"/>
      <c r="D492" s="68"/>
      <c r="E492" s="68"/>
      <c r="F492" s="68"/>
      <c r="G492" s="68"/>
      <c r="I492" s="75"/>
    </row>
    <row r="493" spans="1:9" ht="12.5" x14ac:dyDescent="0.25">
      <c r="A493" s="14"/>
      <c r="C493" s="68"/>
      <c r="D493" s="68"/>
      <c r="E493" s="68"/>
      <c r="F493" s="68"/>
      <c r="G493" s="68"/>
      <c r="I493" s="75"/>
    </row>
    <row r="494" spans="1:9" ht="12.5" x14ac:dyDescent="0.25">
      <c r="A494" s="14"/>
      <c r="C494" s="68"/>
      <c r="D494" s="68"/>
      <c r="E494" s="68"/>
      <c r="F494" s="68"/>
      <c r="G494" s="68"/>
      <c r="I494" s="75"/>
    </row>
    <row r="495" spans="1:9" ht="12.5" x14ac:dyDescent="0.25">
      <c r="A495" s="14"/>
      <c r="C495" s="68"/>
      <c r="D495" s="68"/>
      <c r="E495" s="68"/>
      <c r="F495" s="68"/>
      <c r="G495" s="68"/>
      <c r="I495" s="75"/>
    </row>
    <row r="496" spans="1:9" ht="12.5" x14ac:dyDescent="0.25">
      <c r="A496" s="14"/>
      <c r="C496" s="68"/>
      <c r="D496" s="68"/>
      <c r="E496" s="68"/>
      <c r="F496" s="68"/>
      <c r="G496" s="68"/>
      <c r="I496" s="75"/>
    </row>
    <row r="497" spans="1:9" ht="12.5" x14ac:dyDescent="0.25">
      <c r="A497" s="14"/>
      <c r="C497" s="68"/>
      <c r="D497" s="68"/>
      <c r="E497" s="68"/>
      <c r="F497" s="68"/>
      <c r="G497" s="68"/>
      <c r="I497" s="75"/>
    </row>
    <row r="498" spans="1:9" ht="12.5" x14ac:dyDescent="0.25">
      <c r="A498" s="14"/>
      <c r="C498" s="68"/>
      <c r="D498" s="68"/>
      <c r="E498" s="68"/>
      <c r="F498" s="68"/>
      <c r="G498" s="68"/>
      <c r="I498" s="75"/>
    </row>
    <row r="499" spans="1:9" ht="12.5" x14ac:dyDescent="0.25">
      <c r="A499" s="14"/>
      <c r="C499" s="68"/>
      <c r="D499" s="68"/>
      <c r="E499" s="68"/>
      <c r="F499" s="68"/>
      <c r="G499" s="68"/>
      <c r="I499" s="75"/>
    </row>
    <row r="500" spans="1:9" ht="12.5" x14ac:dyDescent="0.25">
      <c r="A500" s="14"/>
      <c r="C500" s="68"/>
      <c r="D500" s="68"/>
      <c r="E500" s="68"/>
      <c r="F500" s="68"/>
      <c r="G500" s="68"/>
      <c r="I500" s="75"/>
    </row>
    <row r="501" spans="1:9" ht="12.5" x14ac:dyDescent="0.25">
      <c r="A501" s="14"/>
      <c r="C501" s="68"/>
      <c r="D501" s="68"/>
      <c r="E501" s="68"/>
      <c r="F501" s="68"/>
      <c r="G501" s="68"/>
      <c r="I501" s="75"/>
    </row>
    <row r="502" spans="1:9" ht="12.5" x14ac:dyDescent="0.25">
      <c r="A502" s="14"/>
      <c r="C502" s="68"/>
      <c r="D502" s="68"/>
      <c r="E502" s="68"/>
      <c r="F502" s="68"/>
      <c r="G502" s="68"/>
      <c r="I502" s="75"/>
    </row>
    <row r="503" spans="1:9" ht="12.5" x14ac:dyDescent="0.25">
      <c r="A503" s="14"/>
      <c r="C503" s="68"/>
      <c r="D503" s="68"/>
      <c r="E503" s="68"/>
      <c r="F503" s="68"/>
      <c r="G503" s="68"/>
      <c r="I503" s="75"/>
    </row>
    <row r="504" spans="1:9" ht="12.5" x14ac:dyDescent="0.25">
      <c r="A504" s="14"/>
      <c r="C504" s="68"/>
      <c r="D504" s="68"/>
      <c r="E504" s="68"/>
      <c r="F504" s="68"/>
      <c r="G504" s="68"/>
      <c r="I504" s="75"/>
    </row>
    <row r="505" spans="1:9" ht="12.5" x14ac:dyDescent="0.25">
      <c r="A505" s="14"/>
      <c r="C505" s="68"/>
      <c r="D505" s="68"/>
      <c r="E505" s="68"/>
      <c r="F505" s="68"/>
      <c r="G505" s="68"/>
      <c r="I505" s="75"/>
    </row>
    <row r="506" spans="1:9" ht="12.5" x14ac:dyDescent="0.25">
      <c r="A506" s="14"/>
      <c r="C506" s="68"/>
      <c r="D506" s="68"/>
      <c r="E506" s="68"/>
      <c r="F506" s="68"/>
      <c r="G506" s="68"/>
      <c r="I506" s="75"/>
    </row>
    <row r="507" spans="1:9" ht="12.5" x14ac:dyDescent="0.25">
      <c r="A507" s="14"/>
      <c r="C507" s="68"/>
      <c r="D507" s="68"/>
      <c r="E507" s="68"/>
      <c r="F507" s="68"/>
      <c r="G507" s="68"/>
      <c r="I507" s="75"/>
    </row>
    <row r="508" spans="1:9" ht="12.5" x14ac:dyDescent="0.25">
      <c r="A508" s="14"/>
      <c r="C508" s="68"/>
      <c r="D508" s="68"/>
      <c r="E508" s="68"/>
      <c r="F508" s="68"/>
      <c r="G508" s="68"/>
      <c r="I508" s="75"/>
    </row>
    <row r="509" spans="1:9" ht="12.5" x14ac:dyDescent="0.25">
      <c r="A509" s="14"/>
      <c r="C509" s="68"/>
      <c r="D509" s="68"/>
      <c r="E509" s="68"/>
      <c r="F509" s="68"/>
      <c r="G509" s="68"/>
      <c r="I509" s="75"/>
    </row>
    <row r="510" spans="1:9" ht="12.5" x14ac:dyDescent="0.25">
      <c r="A510" s="14"/>
      <c r="C510" s="68"/>
      <c r="D510" s="68"/>
      <c r="E510" s="68"/>
      <c r="F510" s="68"/>
      <c r="G510" s="68"/>
      <c r="I510" s="75"/>
    </row>
    <row r="511" spans="1:9" ht="12.5" x14ac:dyDescent="0.25">
      <c r="A511" s="14"/>
      <c r="C511" s="68"/>
      <c r="D511" s="68"/>
      <c r="E511" s="68"/>
      <c r="F511" s="68"/>
      <c r="G511" s="68"/>
      <c r="I511" s="75"/>
    </row>
    <row r="512" spans="1:9" ht="12.5" x14ac:dyDescent="0.25">
      <c r="A512" s="14"/>
      <c r="C512" s="68"/>
      <c r="D512" s="68"/>
      <c r="E512" s="68"/>
      <c r="F512" s="68"/>
      <c r="G512" s="68"/>
      <c r="I512" s="75"/>
    </row>
    <row r="513" spans="1:9" ht="12.5" x14ac:dyDescent="0.25">
      <c r="A513" s="14"/>
      <c r="C513" s="68"/>
      <c r="D513" s="68"/>
      <c r="E513" s="68"/>
      <c r="F513" s="68"/>
      <c r="G513" s="68"/>
      <c r="I513" s="75"/>
    </row>
    <row r="514" spans="1:9" ht="12.5" x14ac:dyDescent="0.25">
      <c r="A514" s="14"/>
      <c r="C514" s="68"/>
      <c r="D514" s="68"/>
      <c r="E514" s="68"/>
      <c r="F514" s="68"/>
      <c r="G514" s="68"/>
      <c r="I514" s="75"/>
    </row>
    <row r="515" spans="1:9" ht="12.5" x14ac:dyDescent="0.25">
      <c r="A515" s="14"/>
      <c r="C515" s="68"/>
      <c r="D515" s="68"/>
      <c r="E515" s="68"/>
      <c r="F515" s="68"/>
      <c r="G515" s="68"/>
      <c r="I515" s="75"/>
    </row>
    <row r="516" spans="1:9" ht="12.5" x14ac:dyDescent="0.25">
      <c r="A516" s="14"/>
      <c r="C516" s="68"/>
      <c r="D516" s="68"/>
      <c r="E516" s="68"/>
      <c r="F516" s="68"/>
      <c r="G516" s="68"/>
      <c r="I516" s="75"/>
    </row>
    <row r="517" spans="1:9" ht="12.5" x14ac:dyDescent="0.25">
      <c r="A517" s="14"/>
      <c r="C517" s="68"/>
      <c r="D517" s="68"/>
      <c r="E517" s="68"/>
      <c r="F517" s="68"/>
      <c r="G517" s="68"/>
      <c r="I517" s="75"/>
    </row>
    <row r="518" spans="1:9" ht="12.5" x14ac:dyDescent="0.25">
      <c r="A518" s="14"/>
      <c r="C518" s="68"/>
      <c r="D518" s="68"/>
      <c r="E518" s="68"/>
      <c r="F518" s="68"/>
      <c r="G518" s="68"/>
      <c r="I518" s="75"/>
    </row>
    <row r="519" spans="1:9" ht="12.5" x14ac:dyDescent="0.25">
      <c r="A519" s="14"/>
      <c r="C519" s="68"/>
      <c r="D519" s="68"/>
      <c r="E519" s="68"/>
      <c r="F519" s="68"/>
      <c r="G519" s="68"/>
      <c r="I519" s="75"/>
    </row>
    <row r="520" spans="1:9" ht="12.5" x14ac:dyDescent="0.25">
      <c r="A520" s="14"/>
      <c r="C520" s="68"/>
      <c r="D520" s="68"/>
      <c r="E520" s="68"/>
      <c r="F520" s="68"/>
      <c r="G520" s="68"/>
      <c r="I520" s="75"/>
    </row>
    <row r="521" spans="1:9" ht="12.5" x14ac:dyDescent="0.25">
      <c r="A521" s="14"/>
      <c r="C521" s="68"/>
      <c r="D521" s="68"/>
      <c r="E521" s="68"/>
      <c r="F521" s="68"/>
      <c r="G521" s="68"/>
      <c r="I521" s="75"/>
    </row>
    <row r="522" spans="1:9" ht="12.5" x14ac:dyDescent="0.25">
      <c r="A522" s="14"/>
      <c r="C522" s="68"/>
      <c r="D522" s="68"/>
      <c r="E522" s="68"/>
      <c r="F522" s="68"/>
      <c r="G522" s="68"/>
      <c r="I522" s="75"/>
    </row>
    <row r="523" spans="1:9" ht="12.5" x14ac:dyDescent="0.25">
      <c r="A523" s="14"/>
      <c r="C523" s="68"/>
      <c r="D523" s="68"/>
      <c r="E523" s="68"/>
      <c r="F523" s="68"/>
      <c r="G523" s="68"/>
      <c r="I523" s="75"/>
    </row>
    <row r="524" spans="1:9" ht="12.5" x14ac:dyDescent="0.25">
      <c r="A524" s="14"/>
      <c r="C524" s="68"/>
      <c r="D524" s="68"/>
      <c r="E524" s="68"/>
      <c r="F524" s="68"/>
      <c r="G524" s="68"/>
      <c r="I524" s="75"/>
    </row>
    <row r="525" spans="1:9" ht="12.5" x14ac:dyDescent="0.25">
      <c r="A525" s="14"/>
      <c r="C525" s="68"/>
      <c r="D525" s="68"/>
      <c r="E525" s="68"/>
      <c r="F525" s="68"/>
      <c r="G525" s="68"/>
      <c r="I525" s="75"/>
    </row>
    <row r="526" spans="1:9" ht="12.5" x14ac:dyDescent="0.25">
      <c r="A526" s="14"/>
      <c r="C526" s="68"/>
      <c r="D526" s="68"/>
      <c r="E526" s="68"/>
      <c r="F526" s="68"/>
      <c r="G526" s="68"/>
      <c r="I526" s="75"/>
    </row>
    <row r="527" spans="1:9" ht="12.5" x14ac:dyDescent="0.25">
      <c r="A527" s="14"/>
      <c r="C527" s="68"/>
      <c r="D527" s="68"/>
      <c r="E527" s="68"/>
      <c r="F527" s="68"/>
      <c r="G527" s="68"/>
      <c r="I527" s="75"/>
    </row>
    <row r="528" spans="1:9" ht="12.5" x14ac:dyDescent="0.25">
      <c r="A528" s="14"/>
      <c r="C528" s="68"/>
      <c r="D528" s="68"/>
      <c r="E528" s="68"/>
      <c r="F528" s="68"/>
      <c r="G528" s="68"/>
      <c r="I528" s="75"/>
    </row>
    <row r="529" spans="1:9" ht="12.5" x14ac:dyDescent="0.25">
      <c r="A529" s="14"/>
      <c r="C529" s="68"/>
      <c r="D529" s="68"/>
      <c r="E529" s="68"/>
      <c r="F529" s="68"/>
      <c r="G529" s="68"/>
      <c r="I529" s="75"/>
    </row>
    <row r="530" spans="1:9" ht="12.5" x14ac:dyDescent="0.25">
      <c r="A530" s="14"/>
      <c r="C530" s="68"/>
      <c r="D530" s="68"/>
      <c r="E530" s="68"/>
      <c r="F530" s="68"/>
      <c r="G530" s="68"/>
      <c r="I530" s="75"/>
    </row>
    <row r="531" spans="1:9" ht="12.5" x14ac:dyDescent="0.25">
      <c r="A531" s="14"/>
      <c r="C531" s="68"/>
      <c r="D531" s="68"/>
      <c r="E531" s="68"/>
      <c r="F531" s="68"/>
      <c r="G531" s="68"/>
      <c r="I531" s="75"/>
    </row>
    <row r="532" spans="1:9" ht="12.5" x14ac:dyDescent="0.25">
      <c r="A532" s="14"/>
      <c r="C532" s="68"/>
      <c r="D532" s="68"/>
      <c r="E532" s="68"/>
      <c r="F532" s="68"/>
      <c r="G532" s="68"/>
      <c r="I532" s="75"/>
    </row>
    <row r="533" spans="1:9" ht="12.5" x14ac:dyDescent="0.25">
      <c r="A533" s="14"/>
      <c r="C533" s="68"/>
      <c r="D533" s="68"/>
      <c r="E533" s="68"/>
      <c r="F533" s="68"/>
      <c r="G533" s="68"/>
      <c r="I533" s="75"/>
    </row>
    <row r="534" spans="1:9" ht="12.5" x14ac:dyDescent="0.25">
      <c r="A534" s="14"/>
      <c r="C534" s="68"/>
      <c r="D534" s="68"/>
      <c r="E534" s="68"/>
      <c r="F534" s="68"/>
      <c r="G534" s="68"/>
      <c r="I534" s="75"/>
    </row>
    <row r="535" spans="1:9" ht="12.5" x14ac:dyDescent="0.25">
      <c r="A535" s="14"/>
      <c r="C535" s="68"/>
      <c r="D535" s="68"/>
      <c r="E535" s="68"/>
      <c r="F535" s="68"/>
      <c r="G535" s="68"/>
      <c r="I535" s="75"/>
    </row>
    <row r="536" spans="1:9" ht="12.5" x14ac:dyDescent="0.25">
      <c r="A536" s="14"/>
      <c r="C536" s="68"/>
      <c r="D536" s="68"/>
      <c r="E536" s="68"/>
      <c r="F536" s="68"/>
      <c r="G536" s="68"/>
      <c r="I536" s="75"/>
    </row>
    <row r="537" spans="1:9" ht="12.5" x14ac:dyDescent="0.25">
      <c r="A537" s="14"/>
      <c r="C537" s="68"/>
      <c r="D537" s="68"/>
      <c r="E537" s="68"/>
      <c r="F537" s="68"/>
      <c r="G537" s="68"/>
      <c r="I537" s="75"/>
    </row>
    <row r="538" spans="1:9" ht="12.5" x14ac:dyDescent="0.25">
      <c r="A538" s="14"/>
      <c r="C538" s="68"/>
      <c r="D538" s="68"/>
      <c r="E538" s="68"/>
      <c r="F538" s="68"/>
      <c r="G538" s="68"/>
      <c r="I538" s="75"/>
    </row>
    <row r="539" spans="1:9" ht="12.5" x14ac:dyDescent="0.25">
      <c r="A539" s="14"/>
      <c r="C539" s="68"/>
      <c r="D539" s="68"/>
      <c r="E539" s="68"/>
      <c r="F539" s="68"/>
      <c r="G539" s="68"/>
      <c r="I539" s="75"/>
    </row>
    <row r="540" spans="1:9" ht="12.5" x14ac:dyDescent="0.25">
      <c r="A540" s="14"/>
      <c r="C540" s="68"/>
      <c r="D540" s="68"/>
      <c r="E540" s="68"/>
      <c r="F540" s="68"/>
      <c r="G540" s="68"/>
      <c r="I540" s="75"/>
    </row>
    <row r="541" spans="1:9" ht="12.5" x14ac:dyDescent="0.25">
      <c r="A541" s="14"/>
      <c r="C541" s="68"/>
      <c r="D541" s="68"/>
      <c r="E541" s="68"/>
      <c r="F541" s="68"/>
      <c r="G541" s="68"/>
      <c r="I541" s="75"/>
    </row>
    <row r="542" spans="1:9" ht="12.5" x14ac:dyDescent="0.25">
      <c r="A542" s="14"/>
      <c r="C542" s="68"/>
      <c r="D542" s="68"/>
      <c r="E542" s="68"/>
      <c r="F542" s="68"/>
      <c r="G542" s="68"/>
      <c r="I542" s="75"/>
    </row>
    <row r="543" spans="1:9" ht="12.5" x14ac:dyDescent="0.25">
      <c r="A543" s="14"/>
      <c r="C543" s="68"/>
      <c r="D543" s="68"/>
      <c r="E543" s="68"/>
      <c r="F543" s="68"/>
      <c r="G543" s="68"/>
      <c r="I543" s="75"/>
    </row>
    <row r="544" spans="1:9" ht="12.5" x14ac:dyDescent="0.25">
      <c r="A544" s="14"/>
      <c r="C544" s="68"/>
      <c r="D544" s="68"/>
      <c r="E544" s="68"/>
      <c r="F544" s="68"/>
      <c r="G544" s="68"/>
      <c r="I544" s="75"/>
    </row>
    <row r="545" spans="1:9" ht="12.5" x14ac:dyDescent="0.25">
      <c r="A545" s="14"/>
      <c r="C545" s="68"/>
      <c r="D545" s="68"/>
      <c r="E545" s="68"/>
      <c r="F545" s="68"/>
      <c r="G545" s="68"/>
      <c r="I545" s="75"/>
    </row>
    <row r="546" spans="1:9" ht="12.5" x14ac:dyDescent="0.25">
      <c r="A546" s="14"/>
      <c r="C546" s="68"/>
      <c r="D546" s="68"/>
      <c r="E546" s="68"/>
      <c r="F546" s="68"/>
      <c r="G546" s="68"/>
      <c r="I546" s="75"/>
    </row>
    <row r="547" spans="1:9" ht="12.5" x14ac:dyDescent="0.25">
      <c r="A547" s="14"/>
      <c r="C547" s="68"/>
      <c r="D547" s="68"/>
      <c r="E547" s="68"/>
      <c r="F547" s="68"/>
      <c r="G547" s="68"/>
      <c r="I547" s="75"/>
    </row>
    <row r="548" spans="1:9" ht="12.5" x14ac:dyDescent="0.25">
      <c r="A548" s="14"/>
      <c r="C548" s="68"/>
      <c r="D548" s="68"/>
      <c r="E548" s="68"/>
      <c r="F548" s="68"/>
      <c r="G548" s="68"/>
      <c r="I548" s="75"/>
    </row>
    <row r="549" spans="1:9" ht="12.5" x14ac:dyDescent="0.25">
      <c r="A549" s="14"/>
      <c r="C549" s="68"/>
      <c r="D549" s="68"/>
      <c r="E549" s="68"/>
      <c r="F549" s="68"/>
      <c r="G549" s="68"/>
      <c r="I549" s="75"/>
    </row>
    <row r="550" spans="1:9" ht="12.5" x14ac:dyDescent="0.25">
      <c r="A550" s="14"/>
      <c r="C550" s="68"/>
      <c r="D550" s="68"/>
      <c r="E550" s="68"/>
      <c r="F550" s="68"/>
      <c r="G550" s="68"/>
      <c r="I550" s="75"/>
    </row>
    <row r="551" spans="1:9" ht="12.5" x14ac:dyDescent="0.25">
      <c r="A551" s="14"/>
      <c r="C551" s="68"/>
      <c r="D551" s="68"/>
      <c r="E551" s="68"/>
      <c r="F551" s="68"/>
      <c r="G551" s="68"/>
      <c r="I551" s="75"/>
    </row>
    <row r="552" spans="1:9" ht="12.5" x14ac:dyDescent="0.25">
      <c r="A552" s="14"/>
      <c r="C552" s="68"/>
      <c r="D552" s="68"/>
      <c r="E552" s="68"/>
      <c r="F552" s="68"/>
      <c r="G552" s="68"/>
      <c r="I552" s="75"/>
    </row>
    <row r="553" spans="1:9" ht="12.5" x14ac:dyDescent="0.25">
      <c r="A553" s="14"/>
      <c r="C553" s="68"/>
      <c r="D553" s="68"/>
      <c r="E553" s="68"/>
      <c r="F553" s="68"/>
      <c r="G553" s="68"/>
      <c r="I553" s="75"/>
    </row>
    <row r="554" spans="1:9" ht="12.5" x14ac:dyDescent="0.25">
      <c r="A554" s="14"/>
      <c r="C554" s="68"/>
      <c r="D554" s="68"/>
      <c r="E554" s="68"/>
      <c r="F554" s="68"/>
      <c r="G554" s="68"/>
      <c r="I554" s="75"/>
    </row>
    <row r="555" spans="1:9" ht="12.5" x14ac:dyDescent="0.25">
      <c r="A555" s="14"/>
      <c r="C555" s="68"/>
      <c r="D555" s="68"/>
      <c r="E555" s="68"/>
      <c r="F555" s="68"/>
      <c r="G555" s="68"/>
      <c r="I555" s="75"/>
    </row>
    <row r="556" spans="1:9" ht="12.5" x14ac:dyDescent="0.25">
      <c r="A556" s="14"/>
      <c r="C556" s="68"/>
      <c r="D556" s="68"/>
      <c r="E556" s="68"/>
      <c r="F556" s="68"/>
      <c r="G556" s="68"/>
      <c r="I556" s="75"/>
    </row>
    <row r="557" spans="1:9" ht="12.5" x14ac:dyDescent="0.25">
      <c r="A557" s="14"/>
      <c r="C557" s="68"/>
      <c r="D557" s="68"/>
      <c r="E557" s="68"/>
      <c r="F557" s="68"/>
      <c r="G557" s="68"/>
      <c r="I557" s="75"/>
    </row>
    <row r="558" spans="1:9" ht="12.5" x14ac:dyDescent="0.25">
      <c r="A558" s="14"/>
      <c r="C558" s="68"/>
      <c r="D558" s="68"/>
      <c r="E558" s="68"/>
      <c r="F558" s="68"/>
      <c r="G558" s="68"/>
      <c r="I558" s="75"/>
    </row>
    <row r="559" spans="1:9" ht="12.5" x14ac:dyDescent="0.25">
      <c r="A559" s="14"/>
      <c r="C559" s="68"/>
      <c r="D559" s="68"/>
      <c r="E559" s="68"/>
      <c r="F559" s="68"/>
      <c r="G559" s="68"/>
      <c r="I559" s="75"/>
    </row>
    <row r="560" spans="1:9" ht="12.5" x14ac:dyDescent="0.25">
      <c r="A560" s="14"/>
      <c r="C560" s="68"/>
      <c r="D560" s="68"/>
      <c r="E560" s="68"/>
      <c r="F560" s="68"/>
      <c r="G560" s="68"/>
      <c r="I560" s="75"/>
    </row>
    <row r="561" spans="1:9" ht="12.5" x14ac:dyDescent="0.25">
      <c r="A561" s="14"/>
      <c r="C561" s="68"/>
      <c r="D561" s="68"/>
      <c r="E561" s="68"/>
      <c r="F561" s="68"/>
      <c r="G561" s="68"/>
      <c r="I561" s="75"/>
    </row>
    <row r="562" spans="1:9" ht="12.5" x14ac:dyDescent="0.25">
      <c r="A562" s="14"/>
      <c r="C562" s="68"/>
      <c r="D562" s="68"/>
      <c r="E562" s="68"/>
      <c r="F562" s="68"/>
      <c r="G562" s="68"/>
      <c r="I562" s="75"/>
    </row>
    <row r="563" spans="1:9" ht="12.5" x14ac:dyDescent="0.25">
      <c r="A563" s="14"/>
      <c r="C563" s="68"/>
      <c r="D563" s="68"/>
      <c r="E563" s="68"/>
      <c r="F563" s="68"/>
      <c r="G563" s="68"/>
      <c r="I563" s="75"/>
    </row>
    <row r="564" spans="1:9" ht="12.5" x14ac:dyDescent="0.25">
      <c r="A564" s="14"/>
      <c r="C564" s="68"/>
      <c r="D564" s="68"/>
      <c r="E564" s="68"/>
      <c r="F564" s="68"/>
      <c r="G564" s="68"/>
      <c r="I564" s="75"/>
    </row>
    <row r="565" spans="1:9" ht="12.5" x14ac:dyDescent="0.25">
      <c r="A565" s="14"/>
      <c r="C565" s="68"/>
      <c r="D565" s="68"/>
      <c r="E565" s="68"/>
      <c r="F565" s="68"/>
      <c r="G565" s="68"/>
      <c r="I565" s="75"/>
    </row>
    <row r="566" spans="1:9" ht="12.5" x14ac:dyDescent="0.25">
      <c r="A566" s="14"/>
      <c r="C566" s="68"/>
      <c r="D566" s="68"/>
      <c r="E566" s="68"/>
      <c r="F566" s="68"/>
      <c r="G566" s="68"/>
      <c r="I566" s="75"/>
    </row>
    <row r="567" spans="1:9" ht="12.5" x14ac:dyDescent="0.25">
      <c r="A567" s="14"/>
      <c r="C567" s="68"/>
      <c r="D567" s="68"/>
      <c r="E567" s="68"/>
      <c r="F567" s="68"/>
      <c r="G567" s="68"/>
      <c r="I567" s="75"/>
    </row>
    <row r="568" spans="1:9" ht="12.5" x14ac:dyDescent="0.25">
      <c r="A568" s="14"/>
      <c r="C568" s="68"/>
      <c r="D568" s="68"/>
      <c r="E568" s="68"/>
      <c r="F568" s="68"/>
      <c r="G568" s="68"/>
      <c r="I568" s="75"/>
    </row>
    <row r="569" spans="1:9" ht="12.5" x14ac:dyDescent="0.25">
      <c r="A569" s="14"/>
      <c r="C569" s="68"/>
      <c r="D569" s="68"/>
      <c r="E569" s="68"/>
      <c r="F569" s="68"/>
      <c r="G569" s="68"/>
      <c r="I569" s="75"/>
    </row>
    <row r="570" spans="1:9" ht="12.5" x14ac:dyDescent="0.25">
      <c r="A570" s="14"/>
      <c r="C570" s="68"/>
      <c r="D570" s="68"/>
      <c r="E570" s="68"/>
      <c r="F570" s="68"/>
      <c r="G570" s="68"/>
      <c r="I570" s="75"/>
    </row>
    <row r="571" spans="1:9" ht="12.5" x14ac:dyDescent="0.25">
      <c r="A571" s="14"/>
      <c r="C571" s="68"/>
      <c r="D571" s="68"/>
      <c r="E571" s="68"/>
      <c r="F571" s="68"/>
      <c r="G571" s="68"/>
      <c r="I571" s="75"/>
    </row>
    <row r="572" spans="1:9" ht="12.5" x14ac:dyDescent="0.25">
      <c r="A572" s="14"/>
      <c r="C572" s="68"/>
      <c r="D572" s="68"/>
      <c r="E572" s="68"/>
      <c r="F572" s="68"/>
      <c r="G572" s="68"/>
      <c r="I572" s="75"/>
    </row>
    <row r="573" spans="1:9" ht="12.5" x14ac:dyDescent="0.25">
      <c r="A573" s="14"/>
      <c r="C573" s="68"/>
      <c r="D573" s="68"/>
      <c r="E573" s="68"/>
      <c r="F573" s="68"/>
      <c r="G573" s="68"/>
      <c r="I573" s="75"/>
    </row>
    <row r="574" spans="1:9" ht="12.5" x14ac:dyDescent="0.25">
      <c r="A574" s="14"/>
      <c r="C574" s="68"/>
      <c r="D574" s="68"/>
      <c r="E574" s="68"/>
      <c r="F574" s="68"/>
      <c r="G574" s="68"/>
      <c r="I574" s="75"/>
    </row>
    <row r="575" spans="1:9" ht="12.5" x14ac:dyDescent="0.25">
      <c r="A575" s="14"/>
      <c r="C575" s="68"/>
      <c r="D575" s="68"/>
      <c r="E575" s="68"/>
      <c r="F575" s="68"/>
      <c r="G575" s="68"/>
      <c r="I575" s="75"/>
    </row>
    <row r="576" spans="1:9" ht="12.5" x14ac:dyDescent="0.25">
      <c r="A576" s="14"/>
      <c r="C576" s="68"/>
      <c r="D576" s="68"/>
      <c r="E576" s="68"/>
      <c r="F576" s="68"/>
      <c r="G576" s="68"/>
      <c r="I576" s="75"/>
    </row>
    <row r="577" spans="1:9" ht="12.5" x14ac:dyDescent="0.25">
      <c r="A577" s="14"/>
      <c r="C577" s="68"/>
      <c r="D577" s="68"/>
      <c r="E577" s="68"/>
      <c r="F577" s="68"/>
      <c r="G577" s="68"/>
      <c r="I577" s="75"/>
    </row>
    <row r="578" spans="1:9" ht="12.5" x14ac:dyDescent="0.25">
      <c r="A578" s="14"/>
      <c r="C578" s="68"/>
      <c r="D578" s="68"/>
      <c r="E578" s="68"/>
      <c r="F578" s="68"/>
      <c r="G578" s="68"/>
      <c r="I578" s="75"/>
    </row>
    <row r="579" spans="1:9" ht="12.5" x14ac:dyDescent="0.25">
      <c r="A579" s="14"/>
      <c r="C579" s="68"/>
      <c r="D579" s="68"/>
      <c r="E579" s="68"/>
      <c r="F579" s="68"/>
      <c r="G579" s="68"/>
      <c r="I579" s="75"/>
    </row>
    <row r="580" spans="1:9" ht="12.5" x14ac:dyDescent="0.25">
      <c r="A580" s="14"/>
      <c r="C580" s="68"/>
      <c r="D580" s="68"/>
      <c r="E580" s="68"/>
      <c r="F580" s="68"/>
      <c r="G580" s="68"/>
      <c r="I580" s="75"/>
    </row>
    <row r="581" spans="1:9" ht="12.5" x14ac:dyDescent="0.25">
      <c r="A581" s="14"/>
      <c r="C581" s="68"/>
      <c r="D581" s="68"/>
      <c r="E581" s="68"/>
      <c r="F581" s="68"/>
      <c r="G581" s="68"/>
      <c r="I581" s="75"/>
    </row>
    <row r="582" spans="1:9" ht="12.5" x14ac:dyDescent="0.25">
      <c r="A582" s="14"/>
      <c r="C582" s="68"/>
      <c r="D582" s="68"/>
      <c r="E582" s="68"/>
      <c r="F582" s="68"/>
      <c r="G582" s="68"/>
      <c r="I582" s="75"/>
    </row>
    <row r="583" spans="1:9" ht="12.5" x14ac:dyDescent="0.25">
      <c r="A583" s="14"/>
      <c r="C583" s="68"/>
      <c r="D583" s="68"/>
      <c r="E583" s="68"/>
      <c r="F583" s="68"/>
      <c r="G583" s="68"/>
      <c r="I583" s="75"/>
    </row>
    <row r="584" spans="1:9" ht="12.5" x14ac:dyDescent="0.25">
      <c r="A584" s="14"/>
      <c r="C584" s="68"/>
      <c r="D584" s="68"/>
      <c r="E584" s="68"/>
      <c r="F584" s="68"/>
      <c r="G584" s="68"/>
      <c r="I584" s="75"/>
    </row>
    <row r="585" spans="1:9" ht="12.5" x14ac:dyDescent="0.25">
      <c r="A585" s="14"/>
      <c r="C585" s="68"/>
      <c r="D585" s="68"/>
      <c r="E585" s="68"/>
      <c r="F585" s="68"/>
      <c r="G585" s="68"/>
      <c r="I585" s="75"/>
    </row>
    <row r="586" spans="1:9" ht="12.5" x14ac:dyDescent="0.25">
      <c r="A586" s="14"/>
      <c r="C586" s="68"/>
      <c r="D586" s="68"/>
      <c r="E586" s="68"/>
      <c r="F586" s="68"/>
      <c r="G586" s="68"/>
      <c r="I586" s="75"/>
    </row>
    <row r="587" spans="1:9" ht="12.5" x14ac:dyDescent="0.25">
      <c r="A587" s="14"/>
      <c r="C587" s="68"/>
      <c r="D587" s="68"/>
      <c r="E587" s="68"/>
      <c r="F587" s="68"/>
      <c r="G587" s="68"/>
      <c r="I587" s="75"/>
    </row>
    <row r="588" spans="1:9" ht="12.5" x14ac:dyDescent="0.25">
      <c r="A588" s="14"/>
      <c r="C588" s="68"/>
      <c r="D588" s="68"/>
      <c r="E588" s="68"/>
      <c r="F588" s="68"/>
      <c r="G588" s="68"/>
      <c r="I588" s="75"/>
    </row>
    <row r="589" spans="1:9" ht="12.5" x14ac:dyDescent="0.25">
      <c r="A589" s="14"/>
      <c r="C589" s="68"/>
      <c r="D589" s="68"/>
      <c r="E589" s="68"/>
      <c r="F589" s="68"/>
      <c r="G589" s="68"/>
      <c r="I589" s="75"/>
    </row>
    <row r="590" spans="1:9" ht="12.5" x14ac:dyDescent="0.25">
      <c r="A590" s="14"/>
      <c r="C590" s="68"/>
      <c r="D590" s="68"/>
      <c r="E590" s="68"/>
      <c r="F590" s="68"/>
      <c r="G590" s="68"/>
      <c r="I590" s="75"/>
    </row>
    <row r="591" spans="1:9" ht="12.5" x14ac:dyDescent="0.25">
      <c r="A591" s="14"/>
      <c r="C591" s="68"/>
      <c r="D591" s="68"/>
      <c r="E591" s="68"/>
      <c r="F591" s="68"/>
      <c r="G591" s="68"/>
      <c r="I591" s="75"/>
    </row>
    <row r="592" spans="1:9" ht="12.5" x14ac:dyDescent="0.25">
      <c r="A592" s="14"/>
      <c r="C592" s="68"/>
      <c r="D592" s="68"/>
      <c r="E592" s="68"/>
      <c r="F592" s="68"/>
      <c r="G592" s="68"/>
      <c r="I592" s="75"/>
    </row>
    <row r="593" spans="1:9" ht="12.5" x14ac:dyDescent="0.25">
      <c r="A593" s="14"/>
      <c r="C593" s="68"/>
      <c r="D593" s="68"/>
      <c r="E593" s="68"/>
      <c r="F593" s="68"/>
      <c r="G593" s="68"/>
      <c r="I593" s="75"/>
    </row>
    <row r="594" spans="1:9" ht="12.5" x14ac:dyDescent="0.25">
      <c r="A594" s="14"/>
      <c r="C594" s="68"/>
      <c r="D594" s="68"/>
      <c r="E594" s="68"/>
      <c r="F594" s="68"/>
      <c r="G594" s="68"/>
      <c r="I594" s="75"/>
    </row>
    <row r="595" spans="1:9" ht="12.5" x14ac:dyDescent="0.25">
      <c r="A595" s="14"/>
      <c r="C595" s="68"/>
      <c r="D595" s="68"/>
      <c r="E595" s="68"/>
      <c r="F595" s="68"/>
      <c r="G595" s="68"/>
      <c r="I595" s="75"/>
    </row>
    <row r="596" spans="1:9" ht="12.5" x14ac:dyDescent="0.25">
      <c r="A596" s="14"/>
      <c r="C596" s="68"/>
      <c r="D596" s="68"/>
      <c r="E596" s="68"/>
      <c r="F596" s="68"/>
      <c r="G596" s="68"/>
      <c r="I596" s="75"/>
    </row>
    <row r="597" spans="1:9" ht="12.5" x14ac:dyDescent="0.25">
      <c r="A597" s="14"/>
      <c r="C597" s="68"/>
      <c r="D597" s="68"/>
      <c r="E597" s="68"/>
      <c r="F597" s="68"/>
      <c r="G597" s="68"/>
      <c r="I597" s="75"/>
    </row>
    <row r="598" spans="1:9" ht="12.5" x14ac:dyDescent="0.25">
      <c r="A598" s="14"/>
      <c r="C598" s="68"/>
      <c r="D598" s="68"/>
      <c r="E598" s="68"/>
      <c r="F598" s="68"/>
      <c r="G598" s="68"/>
      <c r="I598" s="75"/>
    </row>
    <row r="599" spans="1:9" ht="12.5" x14ac:dyDescent="0.25">
      <c r="A599" s="14"/>
      <c r="C599" s="68"/>
      <c r="D599" s="68"/>
      <c r="E599" s="68"/>
      <c r="F599" s="68"/>
      <c r="G599" s="68"/>
      <c r="I599" s="75"/>
    </row>
    <row r="600" spans="1:9" ht="12.5" x14ac:dyDescent="0.25">
      <c r="A600" s="14"/>
      <c r="C600" s="68"/>
      <c r="D600" s="68"/>
      <c r="E600" s="68"/>
      <c r="F600" s="68"/>
      <c r="G600" s="68"/>
      <c r="I600" s="75"/>
    </row>
    <row r="601" spans="1:9" ht="12.5" x14ac:dyDescent="0.25">
      <c r="A601" s="14"/>
      <c r="C601" s="68"/>
      <c r="D601" s="68"/>
      <c r="E601" s="68"/>
      <c r="F601" s="68"/>
      <c r="G601" s="68"/>
      <c r="I601" s="75"/>
    </row>
    <row r="602" spans="1:9" ht="12.5" x14ac:dyDescent="0.25">
      <c r="A602" s="14"/>
      <c r="C602" s="68"/>
      <c r="D602" s="68"/>
      <c r="E602" s="68"/>
      <c r="F602" s="68"/>
      <c r="G602" s="68"/>
      <c r="I602" s="75"/>
    </row>
    <row r="603" spans="1:9" ht="12.5" x14ac:dyDescent="0.25">
      <c r="A603" s="14"/>
      <c r="C603" s="68"/>
      <c r="D603" s="68"/>
      <c r="E603" s="68"/>
      <c r="F603" s="68"/>
      <c r="G603" s="68"/>
      <c r="I603" s="75"/>
    </row>
    <row r="604" spans="1:9" ht="12.5" x14ac:dyDescent="0.25">
      <c r="A604" s="14"/>
      <c r="C604" s="68"/>
      <c r="D604" s="68"/>
      <c r="E604" s="68"/>
      <c r="F604" s="68"/>
      <c r="G604" s="68"/>
      <c r="I604" s="75"/>
    </row>
    <row r="605" spans="1:9" ht="12.5" x14ac:dyDescent="0.25">
      <c r="A605" s="14"/>
      <c r="C605" s="68"/>
      <c r="D605" s="68"/>
      <c r="E605" s="68"/>
      <c r="F605" s="68"/>
      <c r="G605" s="68"/>
      <c r="I605" s="75"/>
    </row>
    <row r="606" spans="1:9" ht="12.5" x14ac:dyDescent="0.25">
      <c r="A606" s="14"/>
      <c r="C606" s="68"/>
      <c r="D606" s="68"/>
      <c r="E606" s="68"/>
      <c r="F606" s="68"/>
      <c r="G606" s="68"/>
      <c r="I606" s="75"/>
    </row>
    <row r="607" spans="1:9" ht="12.5" x14ac:dyDescent="0.25">
      <c r="A607" s="14"/>
      <c r="C607" s="68"/>
      <c r="D607" s="68"/>
      <c r="E607" s="68"/>
      <c r="F607" s="68"/>
      <c r="G607" s="68"/>
      <c r="I607" s="75"/>
    </row>
    <row r="608" spans="1:9" ht="12.5" x14ac:dyDescent="0.25">
      <c r="A608" s="14"/>
      <c r="C608" s="68"/>
      <c r="D608" s="68"/>
      <c r="E608" s="68"/>
      <c r="F608" s="68"/>
      <c r="G608" s="68"/>
      <c r="I608" s="75"/>
    </row>
    <row r="609" spans="1:9" ht="12.5" x14ac:dyDescent="0.25">
      <c r="A609" s="14"/>
      <c r="C609" s="68"/>
      <c r="D609" s="68"/>
      <c r="E609" s="68"/>
      <c r="F609" s="68"/>
      <c r="G609" s="68"/>
      <c r="I609" s="75"/>
    </row>
    <row r="610" spans="1:9" ht="12.5" x14ac:dyDescent="0.25">
      <c r="A610" s="14"/>
      <c r="C610" s="68"/>
      <c r="D610" s="68"/>
      <c r="E610" s="68"/>
      <c r="F610" s="68"/>
      <c r="G610" s="68"/>
      <c r="I610" s="75"/>
    </row>
    <row r="611" spans="1:9" ht="12.5" x14ac:dyDescent="0.25">
      <c r="A611" s="14"/>
      <c r="C611" s="68"/>
      <c r="D611" s="68"/>
      <c r="E611" s="68"/>
      <c r="F611" s="68"/>
      <c r="G611" s="68"/>
      <c r="I611" s="75"/>
    </row>
    <row r="612" spans="1:9" ht="12.5" x14ac:dyDescent="0.25">
      <c r="A612" s="14"/>
      <c r="C612" s="68"/>
      <c r="D612" s="68"/>
      <c r="E612" s="68"/>
      <c r="F612" s="68"/>
      <c r="G612" s="68"/>
      <c r="I612" s="75"/>
    </row>
    <row r="613" spans="1:9" ht="12.5" x14ac:dyDescent="0.25">
      <c r="A613" s="14"/>
      <c r="C613" s="68"/>
      <c r="D613" s="68"/>
      <c r="E613" s="68"/>
      <c r="F613" s="68"/>
      <c r="G613" s="68"/>
      <c r="I613" s="75"/>
    </row>
    <row r="614" spans="1:9" ht="12.5" x14ac:dyDescent="0.25">
      <c r="A614" s="14"/>
      <c r="C614" s="68"/>
      <c r="D614" s="68"/>
      <c r="E614" s="68"/>
      <c r="F614" s="68"/>
      <c r="G614" s="68"/>
      <c r="I614" s="75"/>
    </row>
    <row r="615" spans="1:9" ht="12.5" x14ac:dyDescent="0.25">
      <c r="A615" s="14"/>
      <c r="C615" s="68"/>
      <c r="D615" s="68"/>
      <c r="E615" s="68"/>
      <c r="F615" s="68"/>
      <c r="G615" s="68"/>
      <c r="I615" s="75"/>
    </row>
    <row r="616" spans="1:9" ht="12.5" x14ac:dyDescent="0.25">
      <c r="A616" s="14"/>
      <c r="C616" s="68"/>
      <c r="D616" s="68"/>
      <c r="E616" s="68"/>
      <c r="F616" s="68"/>
      <c r="G616" s="68"/>
      <c r="I616" s="75"/>
    </row>
    <row r="617" spans="1:9" ht="12.5" x14ac:dyDescent="0.25">
      <c r="A617" s="14"/>
      <c r="C617" s="68"/>
      <c r="D617" s="68"/>
      <c r="E617" s="68"/>
      <c r="F617" s="68"/>
      <c r="G617" s="68"/>
      <c r="I617" s="75"/>
    </row>
    <row r="618" spans="1:9" ht="12.5" x14ac:dyDescent="0.25">
      <c r="A618" s="14"/>
      <c r="C618" s="68"/>
      <c r="D618" s="68"/>
      <c r="E618" s="68"/>
      <c r="F618" s="68"/>
      <c r="G618" s="68"/>
      <c r="I618" s="75"/>
    </row>
    <row r="619" spans="1:9" ht="12.5" x14ac:dyDescent="0.25">
      <c r="A619" s="14"/>
      <c r="C619" s="68"/>
      <c r="D619" s="68"/>
      <c r="E619" s="68"/>
      <c r="F619" s="68"/>
      <c r="G619" s="68"/>
      <c r="I619" s="75"/>
    </row>
    <row r="620" spans="1:9" ht="12.5" x14ac:dyDescent="0.25">
      <c r="A620" s="14"/>
      <c r="C620" s="68"/>
      <c r="D620" s="68"/>
      <c r="E620" s="68"/>
      <c r="F620" s="68"/>
      <c r="G620" s="68"/>
      <c r="I620" s="75"/>
    </row>
    <row r="621" spans="1:9" ht="12.5" x14ac:dyDescent="0.25">
      <c r="A621" s="14"/>
      <c r="C621" s="68"/>
      <c r="D621" s="68"/>
      <c r="E621" s="68"/>
      <c r="F621" s="68"/>
      <c r="G621" s="68"/>
      <c r="I621" s="75"/>
    </row>
    <row r="622" spans="1:9" ht="12.5" x14ac:dyDescent="0.25">
      <c r="A622" s="14"/>
      <c r="C622" s="68"/>
      <c r="D622" s="68"/>
      <c r="E622" s="68"/>
      <c r="F622" s="68"/>
      <c r="G622" s="68"/>
      <c r="I622" s="75"/>
    </row>
    <row r="623" spans="1:9" ht="12.5" x14ac:dyDescent="0.25">
      <c r="A623" s="14"/>
      <c r="C623" s="68"/>
      <c r="D623" s="68"/>
      <c r="E623" s="68"/>
      <c r="F623" s="68"/>
      <c r="G623" s="68"/>
      <c r="I623" s="75"/>
    </row>
    <row r="624" spans="1:9" ht="12.5" x14ac:dyDescent="0.25">
      <c r="A624" s="14"/>
      <c r="C624" s="68"/>
      <c r="D624" s="68"/>
      <c r="E624" s="68"/>
      <c r="F624" s="68"/>
      <c r="G624" s="68"/>
      <c r="I624" s="75"/>
    </row>
    <row r="625" spans="1:9" ht="12.5" x14ac:dyDescent="0.25">
      <c r="A625" s="14"/>
      <c r="C625" s="68"/>
      <c r="D625" s="68"/>
      <c r="E625" s="68"/>
      <c r="F625" s="68"/>
      <c r="G625" s="68"/>
      <c r="I625" s="75"/>
    </row>
    <row r="626" spans="1:9" ht="12.5" x14ac:dyDescent="0.25">
      <c r="A626" s="14"/>
      <c r="C626" s="68"/>
      <c r="D626" s="68"/>
      <c r="E626" s="68"/>
      <c r="F626" s="68"/>
      <c r="G626" s="68"/>
      <c r="I626" s="75"/>
    </row>
    <row r="627" spans="1:9" ht="12.5" x14ac:dyDescent="0.25">
      <c r="A627" s="14"/>
      <c r="C627" s="68"/>
      <c r="D627" s="68"/>
      <c r="E627" s="68"/>
      <c r="F627" s="68"/>
      <c r="G627" s="68"/>
      <c r="I627" s="75"/>
    </row>
    <row r="628" spans="1:9" ht="12.5" x14ac:dyDescent="0.25">
      <c r="A628" s="14"/>
      <c r="C628" s="68"/>
      <c r="D628" s="68"/>
      <c r="E628" s="68"/>
      <c r="F628" s="68"/>
      <c r="G628" s="68"/>
      <c r="I628" s="75"/>
    </row>
    <row r="629" spans="1:9" ht="12.5" x14ac:dyDescent="0.25">
      <c r="A629" s="14"/>
      <c r="C629" s="68"/>
      <c r="D629" s="68"/>
      <c r="E629" s="68"/>
      <c r="F629" s="68"/>
      <c r="G629" s="68"/>
      <c r="I629" s="75"/>
    </row>
    <row r="630" spans="1:9" ht="12.5" x14ac:dyDescent="0.25">
      <c r="A630" s="14"/>
      <c r="C630" s="68"/>
      <c r="D630" s="68"/>
      <c r="E630" s="68"/>
      <c r="F630" s="68"/>
      <c r="G630" s="68"/>
      <c r="I630" s="75"/>
    </row>
    <row r="631" spans="1:9" ht="12.5" x14ac:dyDescent="0.25">
      <c r="A631" s="14"/>
      <c r="C631" s="68"/>
      <c r="D631" s="68"/>
      <c r="E631" s="68"/>
      <c r="F631" s="68"/>
      <c r="G631" s="68"/>
      <c r="I631" s="75"/>
    </row>
    <row r="632" spans="1:9" ht="12.5" x14ac:dyDescent="0.25">
      <c r="A632" s="14"/>
      <c r="C632" s="68"/>
      <c r="D632" s="68"/>
      <c r="E632" s="68"/>
      <c r="F632" s="68"/>
      <c r="G632" s="68"/>
      <c r="I632" s="75"/>
    </row>
    <row r="633" spans="1:9" ht="12.5" x14ac:dyDescent="0.25">
      <c r="A633" s="14"/>
      <c r="C633" s="68"/>
      <c r="D633" s="68"/>
      <c r="E633" s="68"/>
      <c r="F633" s="68"/>
      <c r="G633" s="68"/>
      <c r="I633" s="75"/>
    </row>
    <row r="634" spans="1:9" ht="12.5" x14ac:dyDescent="0.25">
      <c r="A634" s="14"/>
      <c r="C634" s="68"/>
      <c r="D634" s="68"/>
      <c r="E634" s="68"/>
      <c r="F634" s="68"/>
      <c r="G634" s="68"/>
      <c r="I634" s="75"/>
    </row>
    <row r="635" spans="1:9" ht="12.5" x14ac:dyDescent="0.25">
      <c r="A635" s="14"/>
      <c r="C635" s="68"/>
      <c r="D635" s="68"/>
      <c r="E635" s="68"/>
      <c r="F635" s="68"/>
      <c r="G635" s="68"/>
      <c r="I635" s="75"/>
    </row>
    <row r="636" spans="1:9" ht="12.5" x14ac:dyDescent="0.25">
      <c r="A636" s="14"/>
      <c r="C636" s="68"/>
      <c r="D636" s="68"/>
      <c r="E636" s="68"/>
      <c r="F636" s="68"/>
      <c r="G636" s="68"/>
      <c r="I636" s="75"/>
    </row>
    <row r="637" spans="1:9" ht="12.5" x14ac:dyDescent="0.25">
      <c r="A637" s="14"/>
      <c r="C637" s="68"/>
      <c r="D637" s="68"/>
      <c r="E637" s="68"/>
      <c r="F637" s="68"/>
      <c r="G637" s="68"/>
      <c r="I637" s="75"/>
    </row>
    <row r="638" spans="1:9" ht="12.5" x14ac:dyDescent="0.25">
      <c r="A638" s="14"/>
      <c r="C638" s="68"/>
      <c r="D638" s="68"/>
      <c r="E638" s="68"/>
      <c r="F638" s="68"/>
      <c r="G638" s="68"/>
      <c r="I638" s="75"/>
    </row>
    <row r="639" spans="1:9" ht="12.5" x14ac:dyDescent="0.25">
      <c r="A639" s="14"/>
      <c r="C639" s="68"/>
      <c r="D639" s="68"/>
      <c r="E639" s="68"/>
      <c r="F639" s="68"/>
      <c r="G639" s="68"/>
      <c r="I639" s="75"/>
    </row>
    <row r="640" spans="1:9" ht="12.5" x14ac:dyDescent="0.25">
      <c r="A640" s="14"/>
      <c r="C640" s="68"/>
      <c r="D640" s="68"/>
      <c r="E640" s="68"/>
      <c r="F640" s="68"/>
      <c r="G640" s="68"/>
      <c r="I640" s="75"/>
    </row>
    <row r="641" spans="1:9" ht="12.5" x14ac:dyDescent="0.25">
      <c r="A641" s="14"/>
      <c r="C641" s="68"/>
      <c r="D641" s="68"/>
      <c r="E641" s="68"/>
      <c r="F641" s="68"/>
      <c r="G641" s="68"/>
      <c r="I641" s="75"/>
    </row>
    <row r="642" spans="1:9" ht="12.5" x14ac:dyDescent="0.25">
      <c r="A642" s="14"/>
      <c r="C642" s="68"/>
      <c r="D642" s="68"/>
      <c r="E642" s="68"/>
      <c r="F642" s="68"/>
      <c r="G642" s="68"/>
      <c r="I642" s="75"/>
    </row>
    <row r="643" spans="1:9" ht="12.5" x14ac:dyDescent="0.25">
      <c r="A643" s="14"/>
      <c r="C643" s="68"/>
      <c r="D643" s="68"/>
      <c r="E643" s="68"/>
      <c r="F643" s="68"/>
      <c r="G643" s="68"/>
      <c r="I643" s="75"/>
    </row>
    <row r="644" spans="1:9" ht="12.5" x14ac:dyDescent="0.25">
      <c r="A644" s="14"/>
      <c r="C644" s="68"/>
      <c r="D644" s="68"/>
      <c r="E644" s="68"/>
      <c r="F644" s="68"/>
      <c r="G644" s="68"/>
      <c r="I644" s="75"/>
    </row>
    <row r="645" spans="1:9" ht="12.5" x14ac:dyDescent="0.25">
      <c r="A645" s="14"/>
      <c r="C645" s="68"/>
      <c r="D645" s="68"/>
      <c r="E645" s="68"/>
      <c r="F645" s="68"/>
      <c r="G645" s="68"/>
      <c r="I645" s="75"/>
    </row>
    <row r="646" spans="1:9" ht="12.5" x14ac:dyDescent="0.25">
      <c r="A646" s="14"/>
      <c r="C646" s="68"/>
      <c r="D646" s="68"/>
      <c r="E646" s="68"/>
      <c r="F646" s="68"/>
      <c r="G646" s="68"/>
      <c r="I646" s="75"/>
    </row>
    <row r="647" spans="1:9" ht="12.5" x14ac:dyDescent="0.25">
      <c r="A647" s="14"/>
      <c r="C647" s="68"/>
      <c r="D647" s="68"/>
      <c r="E647" s="68"/>
      <c r="F647" s="68"/>
      <c r="G647" s="68"/>
      <c r="I647" s="75"/>
    </row>
    <row r="648" spans="1:9" ht="12.5" x14ac:dyDescent="0.25">
      <c r="A648" s="14"/>
      <c r="C648" s="68"/>
      <c r="D648" s="68"/>
      <c r="E648" s="68"/>
      <c r="F648" s="68"/>
      <c r="G648" s="68"/>
      <c r="I648" s="75"/>
    </row>
    <row r="649" spans="1:9" ht="12.5" x14ac:dyDescent="0.25">
      <c r="A649" s="14"/>
      <c r="C649" s="68"/>
      <c r="D649" s="68"/>
      <c r="E649" s="68"/>
      <c r="F649" s="68"/>
      <c r="G649" s="68"/>
      <c r="I649" s="75"/>
    </row>
    <row r="650" spans="1:9" ht="12.5" x14ac:dyDescent="0.25">
      <c r="A650" s="14"/>
      <c r="C650" s="68"/>
      <c r="D650" s="68"/>
      <c r="E650" s="68"/>
      <c r="F650" s="68"/>
      <c r="G650" s="68"/>
      <c r="I650" s="75"/>
    </row>
    <row r="651" spans="1:9" ht="12.5" x14ac:dyDescent="0.25">
      <c r="A651" s="14"/>
      <c r="C651" s="68"/>
      <c r="D651" s="68"/>
      <c r="E651" s="68"/>
      <c r="F651" s="68"/>
      <c r="G651" s="68"/>
      <c r="I651" s="75"/>
    </row>
    <row r="652" spans="1:9" ht="12.5" x14ac:dyDescent="0.25">
      <c r="A652" s="14"/>
      <c r="C652" s="68"/>
      <c r="D652" s="68"/>
      <c r="E652" s="68"/>
      <c r="F652" s="68"/>
      <c r="G652" s="68"/>
      <c r="I652" s="75"/>
    </row>
    <row r="653" spans="1:9" ht="12.5" x14ac:dyDescent="0.25">
      <c r="A653" s="14"/>
      <c r="C653" s="68"/>
      <c r="D653" s="68"/>
      <c r="E653" s="68"/>
      <c r="F653" s="68"/>
      <c r="G653" s="68"/>
      <c r="I653" s="75"/>
    </row>
    <row r="654" spans="1:9" ht="12.5" x14ac:dyDescent="0.25">
      <c r="A654" s="14"/>
      <c r="C654" s="68"/>
      <c r="D654" s="68"/>
      <c r="E654" s="68"/>
      <c r="F654" s="68"/>
      <c r="G654" s="68"/>
      <c r="I654" s="75"/>
    </row>
    <row r="655" spans="1:9" ht="12.5" x14ac:dyDescent="0.25">
      <c r="A655" s="14"/>
      <c r="C655" s="68"/>
      <c r="D655" s="68"/>
      <c r="E655" s="68"/>
      <c r="F655" s="68"/>
      <c r="G655" s="68"/>
      <c r="I655" s="75"/>
    </row>
    <row r="656" spans="1:9" ht="12.5" x14ac:dyDescent="0.25">
      <c r="A656" s="14"/>
      <c r="C656" s="68"/>
      <c r="D656" s="68"/>
      <c r="E656" s="68"/>
      <c r="F656" s="68"/>
      <c r="G656" s="68"/>
      <c r="I656" s="75"/>
    </row>
    <row r="657" spans="1:9" ht="12.5" x14ac:dyDescent="0.25">
      <c r="A657" s="14"/>
      <c r="C657" s="68"/>
      <c r="D657" s="68"/>
      <c r="E657" s="68"/>
      <c r="F657" s="68"/>
      <c r="G657" s="68"/>
      <c r="I657" s="75"/>
    </row>
    <row r="658" spans="1:9" ht="12.5" x14ac:dyDescent="0.25">
      <c r="A658" s="14"/>
      <c r="C658" s="68"/>
      <c r="D658" s="68"/>
      <c r="E658" s="68"/>
      <c r="F658" s="68"/>
      <c r="G658" s="68"/>
      <c r="I658" s="75"/>
    </row>
    <row r="659" spans="1:9" ht="12.5" x14ac:dyDescent="0.25">
      <c r="A659" s="14"/>
      <c r="C659" s="68"/>
      <c r="D659" s="68"/>
      <c r="E659" s="68"/>
      <c r="F659" s="68"/>
      <c r="G659" s="68"/>
      <c r="I659" s="75"/>
    </row>
    <row r="660" spans="1:9" ht="12.5" x14ac:dyDescent="0.25">
      <c r="A660" s="14"/>
      <c r="C660" s="68"/>
      <c r="D660" s="68"/>
      <c r="E660" s="68"/>
      <c r="F660" s="68"/>
      <c r="G660" s="68"/>
      <c r="I660" s="75"/>
    </row>
    <row r="661" spans="1:9" ht="12.5" x14ac:dyDescent="0.25">
      <c r="A661" s="14"/>
      <c r="C661" s="68"/>
      <c r="D661" s="68"/>
      <c r="E661" s="68"/>
      <c r="F661" s="68"/>
      <c r="G661" s="68"/>
      <c r="I661" s="75"/>
    </row>
    <row r="662" spans="1:9" ht="12.5" x14ac:dyDescent="0.25">
      <c r="A662" s="14"/>
      <c r="C662" s="68"/>
      <c r="D662" s="68"/>
      <c r="E662" s="68"/>
      <c r="F662" s="68"/>
      <c r="G662" s="68"/>
      <c r="I662" s="75"/>
    </row>
    <row r="663" spans="1:9" ht="12.5" x14ac:dyDescent="0.25">
      <c r="A663" s="14"/>
      <c r="C663" s="68"/>
      <c r="D663" s="68"/>
      <c r="E663" s="68"/>
      <c r="F663" s="68"/>
      <c r="G663" s="68"/>
      <c r="I663" s="75"/>
    </row>
    <row r="664" spans="1:9" ht="12.5" x14ac:dyDescent="0.25">
      <c r="A664" s="14"/>
      <c r="C664" s="68"/>
      <c r="D664" s="68"/>
      <c r="E664" s="68"/>
      <c r="F664" s="68"/>
      <c r="G664" s="68"/>
      <c r="I664" s="75"/>
    </row>
    <row r="665" spans="1:9" ht="12.5" x14ac:dyDescent="0.25">
      <c r="A665" s="14"/>
      <c r="C665" s="68"/>
      <c r="D665" s="68"/>
      <c r="E665" s="68"/>
      <c r="F665" s="68"/>
      <c r="G665" s="68"/>
      <c r="I665" s="75"/>
    </row>
    <row r="666" spans="1:9" ht="12.5" x14ac:dyDescent="0.25">
      <c r="A666" s="14"/>
      <c r="C666" s="68"/>
      <c r="D666" s="68"/>
      <c r="E666" s="68"/>
      <c r="F666" s="68"/>
      <c r="G666" s="68"/>
      <c r="I666" s="75"/>
    </row>
    <row r="667" spans="1:9" ht="12.5" x14ac:dyDescent="0.25">
      <c r="A667" s="14"/>
      <c r="C667" s="68"/>
      <c r="D667" s="68"/>
      <c r="E667" s="68"/>
      <c r="F667" s="68"/>
      <c r="G667" s="68"/>
      <c r="I667" s="75"/>
    </row>
    <row r="668" spans="1:9" ht="12.5" x14ac:dyDescent="0.25">
      <c r="A668" s="14"/>
      <c r="C668" s="68"/>
      <c r="D668" s="68"/>
      <c r="E668" s="68"/>
      <c r="F668" s="68"/>
      <c r="G668" s="68"/>
      <c r="I668" s="75"/>
    </row>
    <row r="669" spans="1:9" ht="12.5" x14ac:dyDescent="0.25">
      <c r="A669" s="14"/>
      <c r="C669" s="68"/>
      <c r="D669" s="68"/>
      <c r="E669" s="68"/>
      <c r="F669" s="68"/>
      <c r="G669" s="68"/>
      <c r="I669" s="75"/>
    </row>
    <row r="670" spans="1:9" ht="12.5" x14ac:dyDescent="0.25">
      <c r="A670" s="14"/>
      <c r="C670" s="68"/>
      <c r="D670" s="68"/>
      <c r="E670" s="68"/>
      <c r="F670" s="68"/>
      <c r="G670" s="68"/>
      <c r="I670" s="75"/>
    </row>
    <row r="671" spans="1:9" ht="12.5" x14ac:dyDescent="0.25">
      <c r="A671" s="14"/>
      <c r="C671" s="68"/>
      <c r="D671" s="68"/>
      <c r="E671" s="68"/>
      <c r="F671" s="68"/>
      <c r="G671" s="68"/>
      <c r="I671" s="75"/>
    </row>
    <row r="672" spans="1:9" ht="12.5" x14ac:dyDescent="0.25">
      <c r="A672" s="14"/>
      <c r="C672" s="68"/>
      <c r="D672" s="68"/>
      <c r="E672" s="68"/>
      <c r="F672" s="68"/>
      <c r="G672" s="68"/>
      <c r="I672" s="75"/>
    </row>
    <row r="673" spans="1:9" ht="12.5" x14ac:dyDescent="0.25">
      <c r="A673" s="14"/>
      <c r="C673" s="68"/>
      <c r="D673" s="68"/>
      <c r="E673" s="68"/>
      <c r="F673" s="68"/>
      <c r="G673" s="68"/>
      <c r="I673" s="75"/>
    </row>
    <row r="674" spans="1:9" ht="12.5" x14ac:dyDescent="0.25">
      <c r="A674" s="14"/>
      <c r="C674" s="68"/>
      <c r="D674" s="68"/>
      <c r="E674" s="68"/>
      <c r="F674" s="68"/>
      <c r="G674" s="68"/>
      <c r="I674" s="75"/>
    </row>
    <row r="675" spans="1:9" ht="12.5" x14ac:dyDescent="0.25">
      <c r="A675" s="14"/>
      <c r="C675" s="68"/>
      <c r="D675" s="68"/>
      <c r="E675" s="68"/>
      <c r="F675" s="68"/>
      <c r="G675" s="68"/>
      <c r="I675" s="75"/>
    </row>
    <row r="676" spans="1:9" ht="12.5" x14ac:dyDescent="0.25">
      <c r="A676" s="14"/>
      <c r="C676" s="68"/>
      <c r="D676" s="68"/>
      <c r="E676" s="68"/>
      <c r="F676" s="68"/>
      <c r="G676" s="68"/>
      <c r="I676" s="75"/>
    </row>
    <row r="677" spans="1:9" ht="12.5" x14ac:dyDescent="0.25">
      <c r="A677" s="14"/>
      <c r="C677" s="68"/>
      <c r="D677" s="68"/>
      <c r="E677" s="68"/>
      <c r="F677" s="68"/>
      <c r="G677" s="68"/>
      <c r="I677" s="75"/>
    </row>
    <row r="678" spans="1:9" ht="12.5" x14ac:dyDescent="0.25">
      <c r="A678" s="14"/>
      <c r="C678" s="68"/>
      <c r="D678" s="68"/>
      <c r="E678" s="68"/>
      <c r="F678" s="68"/>
      <c r="G678" s="68"/>
      <c r="I678" s="75"/>
    </row>
    <row r="679" spans="1:9" ht="12.5" x14ac:dyDescent="0.25">
      <c r="A679" s="14"/>
      <c r="C679" s="68"/>
      <c r="D679" s="68"/>
      <c r="E679" s="68"/>
      <c r="F679" s="68"/>
      <c r="G679" s="68"/>
      <c r="I679" s="75"/>
    </row>
    <row r="680" spans="1:9" ht="12.5" x14ac:dyDescent="0.25">
      <c r="A680" s="14"/>
      <c r="C680" s="68"/>
      <c r="D680" s="68"/>
      <c r="E680" s="68"/>
      <c r="F680" s="68"/>
      <c r="G680" s="68"/>
      <c r="I680" s="75"/>
    </row>
    <row r="681" spans="1:9" ht="12.5" x14ac:dyDescent="0.25">
      <c r="A681" s="14"/>
      <c r="C681" s="68"/>
      <c r="D681" s="68"/>
      <c r="E681" s="68"/>
      <c r="F681" s="68"/>
      <c r="G681" s="68"/>
      <c r="I681" s="75"/>
    </row>
    <row r="682" spans="1:9" ht="12.5" x14ac:dyDescent="0.25">
      <c r="A682" s="14"/>
      <c r="C682" s="68"/>
      <c r="D682" s="68"/>
      <c r="E682" s="68"/>
      <c r="F682" s="68"/>
      <c r="G682" s="68"/>
      <c r="I682" s="75"/>
    </row>
    <row r="683" spans="1:9" ht="12.5" x14ac:dyDescent="0.25">
      <c r="A683" s="14"/>
      <c r="C683" s="68"/>
      <c r="D683" s="68"/>
      <c r="E683" s="68"/>
      <c r="F683" s="68"/>
      <c r="G683" s="68"/>
      <c r="I683" s="75"/>
    </row>
    <row r="684" spans="1:9" ht="12.5" x14ac:dyDescent="0.25">
      <c r="A684" s="14"/>
      <c r="C684" s="68"/>
      <c r="D684" s="68"/>
      <c r="E684" s="68"/>
      <c r="F684" s="68"/>
      <c r="G684" s="68"/>
      <c r="I684" s="75"/>
    </row>
    <row r="685" spans="1:9" ht="12.5" x14ac:dyDescent="0.25">
      <c r="A685" s="14"/>
      <c r="C685" s="68"/>
      <c r="D685" s="68"/>
      <c r="E685" s="68"/>
      <c r="F685" s="68"/>
      <c r="G685" s="68"/>
      <c r="I685" s="75"/>
    </row>
    <row r="686" spans="1:9" ht="12.5" x14ac:dyDescent="0.25">
      <c r="A686" s="14"/>
      <c r="C686" s="68"/>
      <c r="D686" s="68"/>
      <c r="E686" s="68"/>
      <c r="F686" s="68"/>
      <c r="G686" s="68"/>
      <c r="I686" s="75"/>
    </row>
    <row r="687" spans="1:9" ht="12.5" x14ac:dyDescent="0.25">
      <c r="A687" s="14"/>
      <c r="C687" s="68"/>
      <c r="D687" s="68"/>
      <c r="E687" s="68"/>
      <c r="F687" s="68"/>
      <c r="G687" s="68"/>
      <c r="I687" s="75"/>
    </row>
    <row r="688" spans="1:9" ht="12.5" x14ac:dyDescent="0.25">
      <c r="A688" s="14"/>
      <c r="C688" s="68"/>
      <c r="D688" s="68"/>
      <c r="E688" s="68"/>
      <c r="F688" s="68"/>
      <c r="G688" s="68"/>
      <c r="I688" s="75"/>
    </row>
    <row r="689" spans="1:9" ht="12.5" x14ac:dyDescent="0.25">
      <c r="A689" s="14"/>
      <c r="C689" s="68"/>
      <c r="D689" s="68"/>
      <c r="E689" s="68"/>
      <c r="F689" s="68"/>
      <c r="G689" s="68"/>
      <c r="I689" s="75"/>
    </row>
    <row r="690" spans="1:9" ht="12.5" x14ac:dyDescent="0.25">
      <c r="A690" s="14"/>
      <c r="C690" s="68"/>
      <c r="D690" s="68"/>
      <c r="E690" s="68"/>
      <c r="F690" s="68"/>
      <c r="G690" s="68"/>
      <c r="I690" s="75"/>
    </row>
    <row r="691" spans="1:9" ht="12.5" x14ac:dyDescent="0.25">
      <c r="A691" s="14"/>
      <c r="C691" s="68"/>
      <c r="D691" s="68"/>
      <c r="E691" s="68"/>
      <c r="F691" s="68"/>
      <c r="G691" s="68"/>
      <c r="I691" s="75"/>
    </row>
    <row r="692" spans="1:9" ht="12.5" x14ac:dyDescent="0.25">
      <c r="A692" s="14"/>
      <c r="C692" s="68"/>
      <c r="D692" s="68"/>
      <c r="E692" s="68"/>
      <c r="F692" s="68"/>
      <c r="G692" s="68"/>
      <c r="I692" s="75"/>
    </row>
    <row r="693" spans="1:9" ht="12.5" x14ac:dyDescent="0.25">
      <c r="A693" s="14"/>
      <c r="C693" s="68"/>
      <c r="D693" s="68"/>
      <c r="E693" s="68"/>
      <c r="F693" s="68"/>
      <c r="G693" s="68"/>
      <c r="I693" s="75"/>
    </row>
    <row r="694" spans="1:9" ht="12.5" x14ac:dyDescent="0.25">
      <c r="A694" s="14"/>
      <c r="C694" s="68"/>
      <c r="D694" s="68"/>
      <c r="E694" s="68"/>
      <c r="F694" s="68"/>
      <c r="G694" s="68"/>
      <c r="I694" s="75"/>
    </row>
    <row r="695" spans="1:9" ht="12.5" x14ac:dyDescent="0.25">
      <c r="A695" s="14"/>
      <c r="C695" s="68"/>
      <c r="D695" s="68"/>
      <c r="E695" s="68"/>
      <c r="F695" s="68"/>
      <c r="G695" s="68"/>
      <c r="I695" s="75"/>
    </row>
    <row r="696" spans="1:9" ht="12.5" x14ac:dyDescent="0.25">
      <c r="A696" s="14"/>
      <c r="C696" s="68"/>
      <c r="D696" s="68"/>
      <c r="E696" s="68"/>
      <c r="F696" s="68"/>
      <c r="G696" s="68"/>
      <c r="I696" s="75"/>
    </row>
    <row r="697" spans="1:9" ht="12.5" x14ac:dyDescent="0.25">
      <c r="A697" s="14"/>
      <c r="C697" s="68"/>
      <c r="D697" s="68"/>
      <c r="E697" s="68"/>
      <c r="F697" s="68"/>
      <c r="G697" s="68"/>
      <c r="I697" s="75"/>
    </row>
    <row r="698" spans="1:9" ht="12.5" x14ac:dyDescent="0.25">
      <c r="A698" s="14"/>
      <c r="C698" s="68"/>
      <c r="D698" s="68"/>
      <c r="E698" s="68"/>
      <c r="F698" s="68"/>
      <c r="G698" s="68"/>
      <c r="I698" s="75"/>
    </row>
    <row r="699" spans="1:9" ht="12.5" x14ac:dyDescent="0.25">
      <c r="A699" s="14"/>
      <c r="C699" s="68"/>
      <c r="D699" s="68"/>
      <c r="E699" s="68"/>
      <c r="F699" s="68"/>
      <c r="G699" s="68"/>
      <c r="I699" s="75"/>
    </row>
    <row r="700" spans="1:9" ht="12.5" x14ac:dyDescent="0.25">
      <c r="A700" s="14"/>
      <c r="C700" s="68"/>
      <c r="D700" s="68"/>
      <c r="E700" s="68"/>
      <c r="F700" s="68"/>
      <c r="G700" s="68"/>
      <c r="I700" s="75"/>
    </row>
    <row r="701" spans="1:9" ht="12.5" x14ac:dyDescent="0.25">
      <c r="A701" s="14"/>
      <c r="C701" s="68"/>
      <c r="D701" s="68"/>
      <c r="E701" s="68"/>
      <c r="F701" s="68"/>
      <c r="G701" s="68"/>
      <c r="I701" s="75"/>
    </row>
    <row r="702" spans="1:9" ht="12.5" x14ac:dyDescent="0.25">
      <c r="A702" s="14"/>
      <c r="C702" s="68"/>
      <c r="D702" s="68"/>
      <c r="E702" s="68"/>
      <c r="F702" s="68"/>
      <c r="G702" s="68"/>
      <c r="I702" s="75"/>
    </row>
    <row r="703" spans="1:9" ht="12.5" x14ac:dyDescent="0.25">
      <c r="A703" s="14"/>
      <c r="C703" s="68"/>
      <c r="D703" s="68"/>
      <c r="E703" s="68"/>
      <c r="F703" s="68"/>
      <c r="G703" s="68"/>
      <c r="I703" s="75"/>
    </row>
    <row r="704" spans="1:9" ht="12.5" x14ac:dyDescent="0.25">
      <c r="A704" s="14"/>
      <c r="C704" s="68"/>
      <c r="D704" s="68"/>
      <c r="E704" s="68"/>
      <c r="F704" s="68"/>
      <c r="G704" s="68"/>
      <c r="I704" s="75"/>
    </row>
    <row r="705" spans="1:9" ht="12.5" x14ac:dyDescent="0.25">
      <c r="A705" s="14"/>
      <c r="C705" s="68"/>
      <c r="D705" s="68"/>
      <c r="E705" s="68"/>
      <c r="F705" s="68"/>
      <c r="G705" s="68"/>
      <c r="I705" s="75"/>
    </row>
    <row r="706" spans="1:9" ht="12.5" x14ac:dyDescent="0.25">
      <c r="A706" s="14"/>
      <c r="C706" s="68"/>
      <c r="D706" s="68"/>
      <c r="E706" s="68"/>
      <c r="F706" s="68"/>
      <c r="G706" s="68"/>
      <c r="I706" s="75"/>
    </row>
    <row r="707" spans="1:9" ht="12.5" x14ac:dyDescent="0.25">
      <c r="A707" s="14"/>
      <c r="C707" s="68"/>
      <c r="D707" s="68"/>
      <c r="E707" s="68"/>
      <c r="F707" s="68"/>
      <c r="G707" s="68"/>
      <c r="I707" s="75"/>
    </row>
    <row r="708" spans="1:9" ht="12.5" x14ac:dyDescent="0.25">
      <c r="A708" s="14"/>
      <c r="C708" s="68"/>
      <c r="D708" s="68"/>
      <c r="E708" s="68"/>
      <c r="F708" s="68"/>
      <c r="G708" s="68"/>
      <c r="I708" s="75"/>
    </row>
    <row r="709" spans="1:9" ht="12.5" x14ac:dyDescent="0.25">
      <c r="A709" s="14"/>
      <c r="C709" s="68"/>
      <c r="D709" s="68"/>
      <c r="E709" s="68"/>
      <c r="F709" s="68"/>
      <c r="G709" s="68"/>
      <c r="I709" s="75"/>
    </row>
    <row r="710" spans="1:9" ht="12.5" x14ac:dyDescent="0.25">
      <c r="A710" s="14"/>
      <c r="C710" s="68"/>
      <c r="D710" s="68"/>
      <c r="E710" s="68"/>
      <c r="F710" s="68"/>
      <c r="G710" s="68"/>
      <c r="I710" s="75"/>
    </row>
    <row r="711" spans="1:9" ht="12.5" x14ac:dyDescent="0.25">
      <c r="A711" s="14"/>
      <c r="C711" s="68"/>
      <c r="D711" s="68"/>
      <c r="E711" s="68"/>
      <c r="F711" s="68"/>
      <c r="G711" s="68"/>
      <c r="I711" s="75"/>
    </row>
    <row r="712" spans="1:9" ht="12.5" x14ac:dyDescent="0.25">
      <c r="A712" s="14"/>
      <c r="C712" s="68"/>
      <c r="D712" s="68"/>
      <c r="E712" s="68"/>
      <c r="F712" s="68"/>
      <c r="G712" s="68"/>
      <c r="I712" s="75"/>
    </row>
    <row r="713" spans="1:9" ht="12.5" x14ac:dyDescent="0.25">
      <c r="A713" s="14"/>
      <c r="C713" s="68"/>
      <c r="D713" s="68"/>
      <c r="E713" s="68"/>
      <c r="F713" s="68"/>
      <c r="G713" s="68"/>
      <c r="I713" s="75"/>
    </row>
    <row r="714" spans="1:9" ht="12.5" x14ac:dyDescent="0.25">
      <c r="A714" s="14"/>
      <c r="C714" s="68"/>
      <c r="D714" s="68"/>
      <c r="E714" s="68"/>
      <c r="F714" s="68"/>
      <c r="G714" s="68"/>
      <c r="I714" s="75"/>
    </row>
    <row r="715" spans="1:9" ht="12.5" x14ac:dyDescent="0.25">
      <c r="A715" s="14"/>
      <c r="C715" s="68"/>
      <c r="D715" s="68"/>
      <c r="E715" s="68"/>
      <c r="F715" s="68"/>
      <c r="G715" s="68"/>
      <c r="I715" s="75"/>
    </row>
    <row r="716" spans="1:9" ht="12.5" x14ac:dyDescent="0.25">
      <c r="A716" s="14"/>
      <c r="C716" s="68"/>
      <c r="D716" s="68"/>
      <c r="E716" s="68"/>
      <c r="F716" s="68"/>
      <c r="G716" s="68"/>
      <c r="I716" s="75"/>
    </row>
    <row r="717" spans="1:9" ht="12.5" x14ac:dyDescent="0.25">
      <c r="A717" s="14"/>
      <c r="C717" s="68"/>
      <c r="D717" s="68"/>
      <c r="E717" s="68"/>
      <c r="F717" s="68"/>
      <c r="G717" s="68"/>
      <c r="I717" s="75"/>
    </row>
    <row r="718" spans="1:9" ht="12.5" x14ac:dyDescent="0.25">
      <c r="A718" s="14"/>
      <c r="C718" s="68"/>
      <c r="D718" s="68"/>
      <c r="E718" s="68"/>
      <c r="F718" s="68"/>
      <c r="G718" s="68"/>
      <c r="I718" s="75"/>
    </row>
    <row r="719" spans="1:9" ht="12.5" x14ac:dyDescent="0.25">
      <c r="A719" s="14"/>
      <c r="C719" s="68"/>
      <c r="D719" s="68"/>
      <c r="E719" s="68"/>
      <c r="F719" s="68"/>
      <c r="G719" s="68"/>
      <c r="I719" s="75"/>
    </row>
    <row r="720" spans="1:9" ht="12.5" x14ac:dyDescent="0.25">
      <c r="A720" s="14"/>
      <c r="C720" s="68"/>
      <c r="D720" s="68"/>
      <c r="E720" s="68"/>
      <c r="F720" s="68"/>
      <c r="G720" s="68"/>
      <c r="I720" s="75"/>
    </row>
    <row r="721" spans="1:9" ht="12.5" x14ac:dyDescent="0.25">
      <c r="A721" s="14"/>
      <c r="C721" s="68"/>
      <c r="D721" s="68"/>
      <c r="E721" s="68"/>
      <c r="F721" s="68"/>
      <c r="G721" s="68"/>
      <c r="I721" s="75"/>
    </row>
    <row r="722" spans="1:9" ht="12.5" x14ac:dyDescent="0.25">
      <c r="A722" s="14"/>
      <c r="C722" s="68"/>
      <c r="D722" s="68"/>
      <c r="E722" s="68"/>
      <c r="F722" s="68"/>
      <c r="G722" s="68"/>
      <c r="I722" s="75"/>
    </row>
    <row r="723" spans="1:9" ht="12.5" x14ac:dyDescent="0.25">
      <c r="A723" s="14"/>
      <c r="C723" s="68"/>
      <c r="D723" s="68"/>
      <c r="E723" s="68"/>
      <c r="F723" s="68"/>
      <c r="G723" s="68"/>
      <c r="I723" s="75"/>
    </row>
    <row r="724" spans="1:9" ht="12.5" x14ac:dyDescent="0.25">
      <c r="A724" s="14"/>
      <c r="C724" s="68"/>
      <c r="D724" s="68"/>
      <c r="E724" s="68"/>
      <c r="F724" s="68"/>
      <c r="G724" s="68"/>
      <c r="I724" s="75"/>
    </row>
    <row r="725" spans="1:9" ht="12.5" x14ac:dyDescent="0.25">
      <c r="A725" s="14"/>
      <c r="C725" s="68"/>
      <c r="D725" s="68"/>
      <c r="E725" s="68"/>
      <c r="F725" s="68"/>
      <c r="G725" s="68"/>
      <c r="I725" s="75"/>
    </row>
    <row r="726" spans="1:9" ht="12.5" x14ac:dyDescent="0.25">
      <c r="A726" s="14"/>
      <c r="C726" s="68"/>
      <c r="D726" s="68"/>
      <c r="E726" s="68"/>
      <c r="F726" s="68"/>
      <c r="G726" s="68"/>
      <c r="I726" s="75"/>
    </row>
    <row r="727" spans="1:9" ht="12.5" x14ac:dyDescent="0.25">
      <c r="A727" s="14"/>
      <c r="C727" s="68"/>
      <c r="D727" s="68"/>
      <c r="E727" s="68"/>
      <c r="F727" s="68"/>
      <c r="G727" s="68"/>
      <c r="I727" s="75"/>
    </row>
    <row r="728" spans="1:9" ht="12.5" x14ac:dyDescent="0.25">
      <c r="A728" s="14"/>
      <c r="C728" s="68"/>
      <c r="D728" s="68"/>
      <c r="E728" s="68"/>
      <c r="F728" s="68"/>
      <c r="G728" s="68"/>
      <c r="I728" s="75"/>
    </row>
    <row r="729" spans="1:9" ht="12.5" x14ac:dyDescent="0.25">
      <c r="A729" s="14"/>
      <c r="C729" s="68"/>
      <c r="D729" s="68"/>
      <c r="E729" s="68"/>
      <c r="F729" s="68"/>
      <c r="G729" s="68"/>
      <c r="I729" s="75"/>
    </row>
    <row r="730" spans="1:9" ht="12.5" x14ac:dyDescent="0.25">
      <c r="A730" s="14"/>
      <c r="C730" s="68"/>
      <c r="D730" s="68"/>
      <c r="E730" s="68"/>
      <c r="F730" s="68"/>
      <c r="G730" s="68"/>
      <c r="I730" s="75"/>
    </row>
    <row r="731" spans="1:9" ht="12.5" x14ac:dyDescent="0.25">
      <c r="A731" s="14"/>
      <c r="C731" s="68"/>
      <c r="D731" s="68"/>
      <c r="E731" s="68"/>
      <c r="F731" s="68"/>
      <c r="G731" s="68"/>
      <c r="I731" s="75"/>
    </row>
    <row r="732" spans="1:9" ht="12.5" x14ac:dyDescent="0.25">
      <c r="A732" s="14"/>
      <c r="C732" s="68"/>
      <c r="D732" s="68"/>
      <c r="E732" s="68"/>
      <c r="F732" s="68"/>
      <c r="G732" s="68"/>
      <c r="I732" s="75"/>
    </row>
    <row r="733" spans="1:9" ht="12.5" x14ac:dyDescent="0.25">
      <c r="A733" s="14"/>
      <c r="C733" s="68"/>
      <c r="D733" s="68"/>
      <c r="E733" s="68"/>
      <c r="F733" s="68"/>
      <c r="G733" s="68"/>
      <c r="I733" s="75"/>
    </row>
    <row r="734" spans="1:9" ht="12.5" x14ac:dyDescent="0.25">
      <c r="A734" s="14"/>
      <c r="C734" s="68"/>
      <c r="D734" s="68"/>
      <c r="E734" s="68"/>
      <c r="F734" s="68"/>
      <c r="G734" s="68"/>
      <c r="I734" s="75"/>
    </row>
    <row r="735" spans="1:9" ht="12.5" x14ac:dyDescent="0.25">
      <c r="A735" s="14"/>
      <c r="C735" s="68"/>
      <c r="D735" s="68"/>
      <c r="E735" s="68"/>
      <c r="F735" s="68"/>
      <c r="G735" s="68"/>
      <c r="I735" s="75"/>
    </row>
    <row r="736" spans="1:9" ht="12.5" x14ac:dyDescent="0.25">
      <c r="A736" s="14"/>
      <c r="C736" s="68"/>
      <c r="D736" s="68"/>
      <c r="E736" s="68"/>
      <c r="F736" s="68"/>
      <c r="G736" s="68"/>
      <c r="I736" s="75"/>
    </row>
    <row r="737" spans="1:9" ht="12.5" x14ac:dyDescent="0.25">
      <c r="A737" s="14"/>
      <c r="C737" s="68"/>
      <c r="D737" s="68"/>
      <c r="E737" s="68"/>
      <c r="F737" s="68"/>
      <c r="G737" s="68"/>
      <c r="I737" s="75"/>
    </row>
    <row r="738" spans="1:9" ht="12.5" x14ac:dyDescent="0.25">
      <c r="A738" s="14"/>
      <c r="C738" s="68"/>
      <c r="D738" s="68"/>
      <c r="E738" s="68"/>
      <c r="F738" s="68"/>
      <c r="G738" s="68"/>
      <c r="I738" s="75"/>
    </row>
    <row r="739" spans="1:9" ht="12.5" x14ac:dyDescent="0.25">
      <c r="A739" s="14"/>
      <c r="C739" s="68"/>
      <c r="D739" s="68"/>
      <c r="E739" s="68"/>
      <c r="F739" s="68"/>
      <c r="G739" s="68"/>
      <c r="I739" s="75"/>
    </row>
    <row r="740" spans="1:9" ht="12.5" x14ac:dyDescent="0.25">
      <c r="A740" s="14"/>
      <c r="C740" s="68"/>
      <c r="D740" s="68"/>
      <c r="E740" s="68"/>
      <c r="F740" s="68"/>
      <c r="G740" s="68"/>
      <c r="I740" s="75"/>
    </row>
    <row r="741" spans="1:9" ht="12.5" x14ac:dyDescent="0.25">
      <c r="A741" s="14"/>
      <c r="C741" s="68"/>
      <c r="D741" s="68"/>
      <c r="E741" s="68"/>
      <c r="F741" s="68"/>
      <c r="G741" s="68"/>
      <c r="I741" s="75"/>
    </row>
    <row r="742" spans="1:9" ht="12.5" x14ac:dyDescent="0.25">
      <c r="A742" s="14"/>
      <c r="C742" s="68"/>
      <c r="D742" s="68"/>
      <c r="E742" s="68"/>
      <c r="F742" s="68"/>
      <c r="G742" s="68"/>
      <c r="I742" s="75"/>
    </row>
    <row r="743" spans="1:9" ht="12.5" x14ac:dyDescent="0.25">
      <c r="A743" s="14"/>
      <c r="C743" s="68"/>
      <c r="D743" s="68"/>
      <c r="E743" s="68"/>
      <c r="F743" s="68"/>
      <c r="G743" s="68"/>
      <c r="I743" s="75"/>
    </row>
    <row r="744" spans="1:9" ht="12.5" x14ac:dyDescent="0.25">
      <c r="A744" s="14"/>
      <c r="C744" s="68"/>
      <c r="D744" s="68"/>
      <c r="E744" s="68"/>
      <c r="F744" s="68"/>
      <c r="G744" s="68"/>
      <c r="I744" s="75"/>
    </row>
    <row r="745" spans="1:9" ht="12.5" x14ac:dyDescent="0.25">
      <c r="A745" s="14"/>
      <c r="C745" s="68"/>
      <c r="D745" s="68"/>
      <c r="E745" s="68"/>
      <c r="F745" s="68"/>
      <c r="G745" s="68"/>
      <c r="I745" s="75"/>
    </row>
    <row r="746" spans="1:9" ht="12.5" x14ac:dyDescent="0.25">
      <c r="A746" s="14"/>
      <c r="C746" s="68"/>
      <c r="D746" s="68"/>
      <c r="E746" s="68"/>
      <c r="F746" s="68"/>
      <c r="G746" s="68"/>
      <c r="I746" s="75"/>
    </row>
    <row r="747" spans="1:9" ht="12.5" x14ac:dyDescent="0.25">
      <c r="A747" s="14"/>
      <c r="C747" s="68"/>
      <c r="D747" s="68"/>
      <c r="E747" s="68"/>
      <c r="F747" s="68"/>
      <c r="G747" s="68"/>
      <c r="I747" s="75"/>
    </row>
    <row r="748" spans="1:9" ht="12.5" x14ac:dyDescent="0.25">
      <c r="A748" s="14"/>
      <c r="C748" s="68"/>
      <c r="D748" s="68"/>
      <c r="E748" s="68"/>
      <c r="F748" s="68"/>
      <c r="G748" s="68"/>
      <c r="I748" s="75"/>
    </row>
    <row r="749" spans="1:9" ht="12.5" x14ac:dyDescent="0.25">
      <c r="A749" s="14"/>
      <c r="C749" s="68"/>
      <c r="D749" s="68"/>
      <c r="E749" s="68"/>
      <c r="F749" s="68"/>
      <c r="G749" s="68"/>
      <c r="I749" s="75"/>
    </row>
    <row r="750" spans="1:9" ht="12.5" x14ac:dyDescent="0.25">
      <c r="A750" s="14"/>
      <c r="C750" s="68"/>
      <c r="D750" s="68"/>
      <c r="E750" s="68"/>
      <c r="F750" s="68"/>
      <c r="G750" s="68"/>
      <c r="I750" s="75"/>
    </row>
    <row r="751" spans="1:9" ht="12.5" x14ac:dyDescent="0.25">
      <c r="A751" s="14"/>
      <c r="C751" s="68"/>
      <c r="D751" s="68"/>
      <c r="E751" s="68"/>
      <c r="F751" s="68"/>
      <c r="G751" s="68"/>
      <c r="I751" s="75"/>
    </row>
    <row r="752" spans="1:9" ht="12.5" x14ac:dyDescent="0.25">
      <c r="A752" s="14"/>
      <c r="C752" s="68"/>
      <c r="D752" s="68"/>
      <c r="E752" s="68"/>
      <c r="F752" s="68"/>
      <c r="G752" s="68"/>
      <c r="I752" s="75"/>
    </row>
    <row r="753" spans="1:9" ht="12.5" x14ac:dyDescent="0.25">
      <c r="A753" s="14"/>
      <c r="C753" s="68"/>
      <c r="D753" s="68"/>
      <c r="E753" s="68"/>
      <c r="F753" s="68"/>
      <c r="G753" s="68"/>
      <c r="I753" s="75"/>
    </row>
    <row r="754" spans="1:9" ht="12.5" x14ac:dyDescent="0.25">
      <c r="A754" s="14"/>
      <c r="C754" s="68"/>
      <c r="D754" s="68"/>
      <c r="E754" s="68"/>
      <c r="F754" s="68"/>
      <c r="G754" s="68"/>
      <c r="I754" s="75"/>
    </row>
    <row r="755" spans="1:9" ht="12.5" x14ac:dyDescent="0.25">
      <c r="A755" s="14"/>
      <c r="C755" s="68"/>
      <c r="D755" s="68"/>
      <c r="E755" s="68"/>
      <c r="F755" s="68"/>
      <c r="G755" s="68"/>
      <c r="I755" s="75"/>
    </row>
    <row r="756" spans="1:9" ht="12.5" x14ac:dyDescent="0.25">
      <c r="A756" s="14"/>
      <c r="C756" s="68"/>
      <c r="D756" s="68"/>
      <c r="E756" s="68"/>
      <c r="F756" s="68"/>
      <c r="G756" s="68"/>
      <c r="I756" s="75"/>
    </row>
    <row r="757" spans="1:9" ht="12.5" x14ac:dyDescent="0.25">
      <c r="A757" s="14"/>
      <c r="C757" s="68"/>
      <c r="D757" s="68"/>
      <c r="E757" s="68"/>
      <c r="F757" s="68"/>
      <c r="G757" s="68"/>
      <c r="I757" s="75"/>
    </row>
    <row r="758" spans="1:9" ht="12.5" x14ac:dyDescent="0.25">
      <c r="A758" s="14"/>
      <c r="C758" s="68"/>
      <c r="D758" s="68"/>
      <c r="E758" s="68"/>
      <c r="F758" s="68"/>
      <c r="G758" s="68"/>
      <c r="I758" s="75"/>
    </row>
    <row r="759" spans="1:9" ht="12.5" x14ac:dyDescent="0.25">
      <c r="A759" s="14"/>
      <c r="C759" s="68"/>
      <c r="D759" s="68"/>
      <c r="E759" s="68"/>
      <c r="F759" s="68"/>
      <c r="G759" s="68"/>
      <c r="I759" s="75"/>
    </row>
    <row r="760" spans="1:9" ht="12.5" x14ac:dyDescent="0.25">
      <c r="A760" s="14"/>
      <c r="C760" s="68"/>
      <c r="D760" s="68"/>
      <c r="E760" s="68"/>
      <c r="F760" s="68"/>
      <c r="G760" s="68"/>
      <c r="I760" s="75"/>
    </row>
    <row r="761" spans="1:9" ht="12.5" x14ac:dyDescent="0.25">
      <c r="A761" s="14"/>
      <c r="C761" s="68"/>
      <c r="D761" s="68"/>
      <c r="E761" s="68"/>
      <c r="F761" s="68"/>
      <c r="G761" s="68"/>
      <c r="I761" s="75"/>
    </row>
    <row r="762" spans="1:9" ht="12.5" x14ac:dyDescent="0.25">
      <c r="A762" s="14"/>
      <c r="C762" s="68"/>
      <c r="D762" s="68"/>
      <c r="E762" s="68"/>
      <c r="F762" s="68"/>
      <c r="G762" s="68"/>
      <c r="I762" s="75"/>
    </row>
    <row r="763" spans="1:9" ht="12.5" x14ac:dyDescent="0.25">
      <c r="A763" s="14"/>
      <c r="C763" s="68"/>
      <c r="D763" s="68"/>
      <c r="E763" s="68"/>
      <c r="F763" s="68"/>
      <c r="G763" s="68"/>
      <c r="I763" s="75"/>
    </row>
    <row r="764" spans="1:9" ht="12.5" x14ac:dyDescent="0.25">
      <c r="A764" s="14"/>
      <c r="C764" s="68"/>
      <c r="D764" s="68"/>
      <c r="E764" s="68"/>
      <c r="F764" s="68"/>
      <c r="G764" s="68"/>
      <c r="I764" s="75"/>
    </row>
    <row r="765" spans="1:9" ht="12.5" x14ac:dyDescent="0.25">
      <c r="A765" s="14"/>
      <c r="C765" s="68"/>
      <c r="D765" s="68"/>
      <c r="E765" s="68"/>
      <c r="F765" s="68"/>
      <c r="G765" s="68"/>
      <c r="I765" s="75"/>
    </row>
    <row r="766" spans="1:9" ht="12.5" x14ac:dyDescent="0.25">
      <c r="A766" s="14"/>
      <c r="C766" s="68"/>
      <c r="D766" s="68"/>
      <c r="E766" s="68"/>
      <c r="F766" s="68"/>
      <c r="G766" s="68"/>
      <c r="I766" s="75"/>
    </row>
    <row r="767" spans="1:9" ht="12.5" x14ac:dyDescent="0.25">
      <c r="A767" s="14"/>
      <c r="C767" s="68"/>
      <c r="D767" s="68"/>
      <c r="E767" s="68"/>
      <c r="F767" s="68"/>
      <c r="G767" s="68"/>
      <c r="I767" s="75"/>
    </row>
    <row r="768" spans="1:9" ht="12.5" x14ac:dyDescent="0.25">
      <c r="A768" s="14"/>
      <c r="C768" s="68"/>
      <c r="D768" s="68"/>
      <c r="E768" s="68"/>
      <c r="F768" s="68"/>
      <c r="G768" s="68"/>
      <c r="I768" s="75"/>
    </row>
    <row r="769" spans="1:9" ht="12.5" x14ac:dyDescent="0.25">
      <c r="A769" s="14"/>
      <c r="C769" s="68"/>
      <c r="D769" s="68"/>
      <c r="E769" s="68"/>
      <c r="F769" s="68"/>
      <c r="G769" s="68"/>
      <c r="I769" s="75"/>
    </row>
    <row r="770" spans="1:9" ht="12.5" x14ac:dyDescent="0.25">
      <c r="A770" s="14"/>
      <c r="C770" s="68"/>
      <c r="D770" s="68"/>
      <c r="E770" s="68"/>
      <c r="F770" s="68"/>
      <c r="G770" s="68"/>
      <c r="I770" s="75"/>
    </row>
    <row r="771" spans="1:9" ht="12.5" x14ac:dyDescent="0.25">
      <c r="A771" s="14"/>
      <c r="C771" s="68"/>
      <c r="D771" s="68"/>
      <c r="E771" s="68"/>
      <c r="F771" s="68"/>
      <c r="G771" s="68"/>
      <c r="I771" s="75"/>
    </row>
    <row r="772" spans="1:9" ht="12.5" x14ac:dyDescent="0.25">
      <c r="A772" s="14"/>
      <c r="C772" s="68"/>
      <c r="D772" s="68"/>
      <c r="E772" s="68"/>
      <c r="F772" s="68"/>
      <c r="G772" s="68"/>
      <c r="I772" s="75"/>
    </row>
    <row r="773" spans="1:9" ht="12.5" x14ac:dyDescent="0.25">
      <c r="A773" s="14"/>
      <c r="C773" s="68"/>
      <c r="D773" s="68"/>
      <c r="E773" s="68"/>
      <c r="F773" s="68"/>
      <c r="G773" s="68"/>
      <c r="I773" s="75"/>
    </row>
    <row r="774" spans="1:9" ht="12.5" x14ac:dyDescent="0.25">
      <c r="A774" s="14"/>
      <c r="C774" s="68"/>
      <c r="D774" s="68"/>
      <c r="E774" s="68"/>
      <c r="F774" s="68"/>
      <c r="G774" s="68"/>
      <c r="I774" s="75"/>
    </row>
    <row r="775" spans="1:9" ht="12.5" x14ac:dyDescent="0.25">
      <c r="A775" s="14"/>
      <c r="C775" s="68"/>
      <c r="D775" s="68"/>
      <c r="E775" s="68"/>
      <c r="F775" s="68"/>
      <c r="G775" s="68"/>
      <c r="I775" s="75"/>
    </row>
    <row r="776" spans="1:9" ht="12.5" x14ac:dyDescent="0.25">
      <c r="A776" s="14"/>
      <c r="C776" s="68"/>
      <c r="D776" s="68"/>
      <c r="E776" s="68"/>
      <c r="F776" s="68"/>
      <c r="G776" s="68"/>
      <c r="I776" s="75"/>
    </row>
    <row r="777" spans="1:9" ht="12.5" x14ac:dyDescent="0.25">
      <c r="A777" s="14"/>
      <c r="C777" s="68"/>
      <c r="D777" s="68"/>
      <c r="E777" s="68"/>
      <c r="F777" s="68"/>
      <c r="G777" s="68"/>
      <c r="I777" s="75"/>
    </row>
    <row r="778" spans="1:9" ht="12.5" x14ac:dyDescent="0.25">
      <c r="A778" s="14"/>
      <c r="C778" s="68"/>
      <c r="D778" s="68"/>
      <c r="E778" s="68"/>
      <c r="F778" s="68"/>
      <c r="G778" s="68"/>
      <c r="I778" s="75"/>
    </row>
    <row r="779" spans="1:9" ht="12.5" x14ac:dyDescent="0.25">
      <c r="A779" s="14"/>
      <c r="C779" s="68"/>
      <c r="D779" s="68"/>
      <c r="E779" s="68"/>
      <c r="F779" s="68"/>
      <c r="G779" s="68"/>
      <c r="I779" s="75"/>
    </row>
    <row r="780" spans="1:9" ht="12.5" x14ac:dyDescent="0.25">
      <c r="A780" s="14"/>
      <c r="C780" s="68"/>
      <c r="D780" s="68"/>
      <c r="E780" s="68"/>
      <c r="F780" s="68"/>
      <c r="G780" s="68"/>
      <c r="I780" s="75"/>
    </row>
    <row r="781" spans="1:9" ht="12.5" x14ac:dyDescent="0.25">
      <c r="A781" s="14"/>
      <c r="C781" s="68"/>
      <c r="D781" s="68"/>
      <c r="E781" s="68"/>
      <c r="F781" s="68"/>
      <c r="G781" s="68"/>
      <c r="I781" s="75"/>
    </row>
    <row r="782" spans="1:9" ht="12.5" x14ac:dyDescent="0.25">
      <c r="A782" s="14"/>
      <c r="C782" s="68"/>
      <c r="D782" s="68"/>
      <c r="E782" s="68"/>
      <c r="F782" s="68"/>
      <c r="G782" s="68"/>
      <c r="I782" s="75"/>
    </row>
    <row r="783" spans="1:9" ht="12.5" x14ac:dyDescent="0.25">
      <c r="A783" s="14"/>
      <c r="C783" s="68"/>
      <c r="D783" s="68"/>
      <c r="E783" s="68"/>
      <c r="F783" s="68"/>
      <c r="G783" s="68"/>
      <c r="I783" s="75"/>
    </row>
    <row r="784" spans="1:9" ht="12.5" x14ac:dyDescent="0.25">
      <c r="A784" s="14"/>
      <c r="C784" s="68"/>
      <c r="D784" s="68"/>
      <c r="E784" s="68"/>
      <c r="F784" s="68"/>
      <c r="G784" s="68"/>
      <c r="I784" s="75"/>
    </row>
    <row r="785" spans="1:9" ht="12.5" x14ac:dyDescent="0.25">
      <c r="A785" s="14"/>
      <c r="C785" s="68"/>
      <c r="D785" s="68"/>
      <c r="E785" s="68"/>
      <c r="F785" s="68"/>
      <c r="G785" s="68"/>
      <c r="I785" s="75"/>
    </row>
    <row r="786" spans="1:9" ht="12.5" x14ac:dyDescent="0.25">
      <c r="A786" s="14"/>
      <c r="C786" s="68"/>
      <c r="D786" s="68"/>
      <c r="E786" s="68"/>
      <c r="F786" s="68"/>
      <c r="G786" s="68"/>
      <c r="I786" s="75"/>
    </row>
    <row r="787" spans="1:9" ht="12.5" x14ac:dyDescent="0.25">
      <c r="A787" s="14"/>
      <c r="C787" s="68"/>
      <c r="D787" s="68"/>
      <c r="E787" s="68"/>
      <c r="F787" s="68"/>
      <c r="G787" s="68"/>
      <c r="I787" s="75"/>
    </row>
    <row r="788" spans="1:9" ht="12.5" x14ac:dyDescent="0.25">
      <c r="A788" s="14"/>
      <c r="C788" s="68"/>
      <c r="D788" s="68"/>
      <c r="E788" s="68"/>
      <c r="F788" s="68"/>
      <c r="G788" s="68"/>
      <c r="I788" s="75"/>
    </row>
    <row r="789" spans="1:9" ht="12.5" x14ac:dyDescent="0.25">
      <c r="A789" s="14"/>
      <c r="C789" s="68"/>
      <c r="D789" s="68"/>
      <c r="E789" s="68"/>
      <c r="F789" s="68"/>
      <c r="G789" s="68"/>
      <c r="I789" s="75"/>
    </row>
    <row r="790" spans="1:9" ht="12.5" x14ac:dyDescent="0.25">
      <c r="A790" s="14"/>
      <c r="C790" s="68"/>
      <c r="D790" s="68"/>
      <c r="E790" s="68"/>
      <c r="F790" s="68"/>
      <c r="G790" s="68"/>
      <c r="I790" s="75"/>
    </row>
    <row r="791" spans="1:9" ht="12.5" x14ac:dyDescent="0.25">
      <c r="A791" s="14"/>
      <c r="C791" s="68"/>
      <c r="D791" s="68"/>
      <c r="E791" s="68"/>
      <c r="F791" s="68"/>
      <c r="G791" s="68"/>
      <c r="I791" s="75"/>
    </row>
    <row r="792" spans="1:9" ht="12.5" x14ac:dyDescent="0.25">
      <c r="A792" s="14"/>
      <c r="C792" s="68"/>
      <c r="D792" s="68"/>
      <c r="E792" s="68"/>
      <c r="F792" s="68"/>
      <c r="G792" s="68"/>
      <c r="I792" s="75"/>
    </row>
    <row r="793" spans="1:9" ht="12.5" x14ac:dyDescent="0.25">
      <c r="A793" s="14"/>
      <c r="C793" s="68"/>
      <c r="D793" s="68"/>
      <c r="E793" s="68"/>
      <c r="F793" s="68"/>
      <c r="G793" s="68"/>
      <c r="I793" s="75"/>
    </row>
    <row r="794" spans="1:9" ht="12.5" x14ac:dyDescent="0.25">
      <c r="A794" s="14"/>
      <c r="C794" s="68"/>
      <c r="D794" s="68"/>
      <c r="E794" s="68"/>
      <c r="F794" s="68"/>
      <c r="G794" s="68"/>
      <c r="I794" s="75"/>
    </row>
    <row r="795" spans="1:9" ht="12.5" x14ac:dyDescent="0.25">
      <c r="A795" s="14"/>
      <c r="C795" s="68"/>
      <c r="D795" s="68"/>
      <c r="E795" s="68"/>
      <c r="F795" s="68"/>
      <c r="G795" s="68"/>
      <c r="I795" s="75"/>
    </row>
    <row r="796" spans="1:9" ht="12.5" x14ac:dyDescent="0.25">
      <c r="A796" s="14"/>
      <c r="C796" s="68"/>
      <c r="D796" s="68"/>
      <c r="E796" s="68"/>
      <c r="F796" s="68"/>
      <c r="G796" s="68"/>
      <c r="I796" s="75"/>
    </row>
    <row r="797" spans="1:9" ht="12.5" x14ac:dyDescent="0.25">
      <c r="A797" s="14"/>
      <c r="C797" s="68"/>
      <c r="D797" s="68"/>
      <c r="E797" s="68"/>
      <c r="F797" s="68"/>
      <c r="G797" s="68"/>
      <c r="I797" s="75"/>
    </row>
    <row r="798" spans="1:9" ht="12.5" x14ac:dyDescent="0.25">
      <c r="A798" s="14"/>
      <c r="C798" s="68"/>
      <c r="D798" s="68"/>
      <c r="E798" s="68"/>
      <c r="F798" s="68"/>
      <c r="G798" s="68"/>
      <c r="I798" s="75"/>
    </row>
    <row r="799" spans="1:9" ht="12.5" x14ac:dyDescent="0.25">
      <c r="A799" s="14"/>
      <c r="C799" s="68"/>
      <c r="D799" s="68"/>
      <c r="E799" s="68"/>
      <c r="F799" s="68"/>
      <c r="G799" s="68"/>
      <c r="I799" s="75"/>
    </row>
    <row r="800" spans="1:9" ht="12.5" x14ac:dyDescent="0.25">
      <c r="A800" s="14"/>
      <c r="C800" s="68"/>
      <c r="D800" s="68"/>
      <c r="E800" s="68"/>
      <c r="F800" s="68"/>
      <c r="G800" s="68"/>
      <c r="I800" s="75"/>
    </row>
    <row r="801" spans="1:9" ht="12.5" x14ac:dyDescent="0.25">
      <c r="A801" s="14"/>
      <c r="C801" s="68"/>
      <c r="D801" s="68"/>
      <c r="E801" s="68"/>
      <c r="F801" s="68"/>
      <c r="G801" s="68"/>
      <c r="I801" s="75"/>
    </row>
    <row r="802" spans="1:9" ht="12.5" x14ac:dyDescent="0.25">
      <c r="A802" s="14"/>
      <c r="C802" s="68"/>
      <c r="D802" s="68"/>
      <c r="E802" s="68"/>
      <c r="F802" s="68"/>
      <c r="G802" s="68"/>
      <c r="I802" s="75"/>
    </row>
    <row r="803" spans="1:9" ht="12.5" x14ac:dyDescent="0.25">
      <c r="A803" s="14"/>
      <c r="C803" s="68"/>
      <c r="D803" s="68"/>
      <c r="E803" s="68"/>
      <c r="F803" s="68"/>
      <c r="G803" s="68"/>
      <c r="I803" s="75"/>
    </row>
    <row r="804" spans="1:9" ht="12.5" x14ac:dyDescent="0.25">
      <c r="A804" s="14"/>
      <c r="C804" s="68"/>
      <c r="D804" s="68"/>
      <c r="E804" s="68"/>
      <c r="F804" s="68"/>
      <c r="G804" s="68"/>
      <c r="I804" s="75"/>
    </row>
    <row r="805" spans="1:9" ht="12.5" x14ac:dyDescent="0.25">
      <c r="A805" s="14"/>
      <c r="C805" s="68"/>
      <c r="D805" s="68"/>
      <c r="E805" s="68"/>
      <c r="F805" s="68"/>
      <c r="G805" s="68"/>
      <c r="I805" s="75"/>
    </row>
    <row r="806" spans="1:9" ht="12.5" x14ac:dyDescent="0.25">
      <c r="A806" s="14"/>
      <c r="C806" s="68"/>
      <c r="D806" s="68"/>
      <c r="E806" s="68"/>
      <c r="F806" s="68"/>
      <c r="G806" s="68"/>
      <c r="I806" s="75"/>
    </row>
    <row r="807" spans="1:9" ht="12.5" x14ac:dyDescent="0.25">
      <c r="A807" s="14"/>
      <c r="C807" s="68"/>
      <c r="D807" s="68"/>
      <c r="E807" s="68"/>
      <c r="F807" s="68"/>
      <c r="G807" s="68"/>
      <c r="I807" s="75"/>
    </row>
    <row r="808" spans="1:9" ht="12.5" x14ac:dyDescent="0.25">
      <c r="A808" s="14"/>
      <c r="C808" s="68"/>
      <c r="D808" s="68"/>
      <c r="E808" s="68"/>
      <c r="F808" s="68"/>
      <c r="G808" s="68"/>
      <c r="I808" s="75"/>
    </row>
    <row r="809" spans="1:9" ht="12.5" x14ac:dyDescent="0.25">
      <c r="A809" s="14"/>
      <c r="C809" s="68"/>
      <c r="D809" s="68"/>
      <c r="E809" s="68"/>
      <c r="F809" s="68"/>
      <c r="G809" s="68"/>
      <c r="I809" s="75"/>
    </row>
    <row r="810" spans="1:9" ht="12.5" x14ac:dyDescent="0.25">
      <c r="A810" s="14"/>
      <c r="C810" s="68"/>
      <c r="D810" s="68"/>
      <c r="E810" s="68"/>
      <c r="F810" s="68"/>
      <c r="G810" s="68"/>
      <c r="I810" s="75"/>
    </row>
    <row r="811" spans="1:9" ht="12.5" x14ac:dyDescent="0.25">
      <c r="A811" s="14"/>
      <c r="C811" s="68"/>
      <c r="D811" s="68"/>
      <c r="E811" s="68"/>
      <c r="F811" s="68"/>
      <c r="G811" s="68"/>
      <c r="I811" s="75"/>
    </row>
    <row r="812" spans="1:9" ht="12.5" x14ac:dyDescent="0.25">
      <c r="A812" s="14"/>
      <c r="C812" s="68"/>
      <c r="D812" s="68"/>
      <c r="E812" s="68"/>
      <c r="F812" s="68"/>
      <c r="G812" s="68"/>
      <c r="I812" s="75"/>
    </row>
    <row r="813" spans="1:9" ht="12.5" x14ac:dyDescent="0.25">
      <c r="A813" s="14"/>
      <c r="C813" s="68"/>
      <c r="D813" s="68"/>
      <c r="E813" s="68"/>
      <c r="F813" s="68"/>
      <c r="G813" s="68"/>
      <c r="I813" s="75"/>
    </row>
    <row r="814" spans="1:9" ht="12.5" x14ac:dyDescent="0.25">
      <c r="A814" s="14"/>
      <c r="C814" s="68"/>
      <c r="D814" s="68"/>
      <c r="E814" s="68"/>
      <c r="F814" s="68"/>
      <c r="G814" s="68"/>
      <c r="I814" s="75"/>
    </row>
    <row r="815" spans="1:9" ht="12.5" x14ac:dyDescent="0.25">
      <c r="A815" s="14"/>
      <c r="C815" s="68"/>
      <c r="D815" s="68"/>
      <c r="E815" s="68"/>
      <c r="F815" s="68"/>
      <c r="G815" s="68"/>
      <c r="I815" s="75"/>
    </row>
    <row r="816" spans="1:9" ht="12.5" x14ac:dyDescent="0.25">
      <c r="A816" s="14"/>
      <c r="C816" s="68"/>
      <c r="D816" s="68"/>
      <c r="E816" s="68"/>
      <c r="F816" s="68"/>
      <c r="G816" s="68"/>
      <c r="I816" s="75"/>
    </row>
    <row r="817" spans="1:9" ht="12.5" x14ac:dyDescent="0.25">
      <c r="A817" s="14"/>
      <c r="C817" s="68"/>
      <c r="D817" s="68"/>
      <c r="E817" s="68"/>
      <c r="F817" s="68"/>
      <c r="G817" s="68"/>
      <c r="I817" s="75"/>
    </row>
    <row r="818" spans="1:9" ht="12.5" x14ac:dyDescent="0.25">
      <c r="A818" s="14"/>
      <c r="C818" s="68"/>
      <c r="D818" s="68"/>
      <c r="E818" s="68"/>
      <c r="F818" s="68"/>
      <c r="G818" s="68"/>
      <c r="I818" s="75"/>
    </row>
    <row r="819" spans="1:9" ht="12.5" x14ac:dyDescent="0.25">
      <c r="A819" s="14"/>
      <c r="C819" s="68"/>
      <c r="D819" s="68"/>
      <c r="E819" s="68"/>
      <c r="F819" s="68"/>
      <c r="G819" s="68"/>
      <c r="I819" s="75"/>
    </row>
    <row r="820" spans="1:9" ht="12.5" x14ac:dyDescent="0.25">
      <c r="A820" s="14"/>
      <c r="C820" s="68"/>
      <c r="D820" s="68"/>
      <c r="E820" s="68"/>
      <c r="F820" s="68"/>
      <c r="G820" s="68"/>
      <c r="I820" s="75"/>
    </row>
    <row r="821" spans="1:9" ht="12.5" x14ac:dyDescent="0.25">
      <c r="A821" s="14"/>
      <c r="C821" s="68"/>
      <c r="D821" s="68"/>
      <c r="E821" s="68"/>
      <c r="F821" s="68"/>
      <c r="G821" s="68"/>
      <c r="I821" s="75"/>
    </row>
    <row r="822" spans="1:9" ht="12.5" x14ac:dyDescent="0.25">
      <c r="A822" s="14"/>
      <c r="C822" s="68"/>
      <c r="D822" s="68"/>
      <c r="E822" s="68"/>
      <c r="F822" s="68"/>
      <c r="G822" s="68"/>
      <c r="I822" s="75"/>
    </row>
    <row r="823" spans="1:9" ht="12.5" x14ac:dyDescent="0.25">
      <c r="A823" s="14"/>
      <c r="C823" s="68"/>
      <c r="D823" s="68"/>
      <c r="E823" s="68"/>
      <c r="F823" s="68"/>
      <c r="G823" s="68"/>
      <c r="I823" s="75"/>
    </row>
    <row r="824" spans="1:9" ht="12.5" x14ac:dyDescent="0.25">
      <c r="A824" s="14"/>
      <c r="C824" s="68"/>
      <c r="D824" s="68"/>
      <c r="E824" s="68"/>
      <c r="F824" s="68"/>
      <c r="G824" s="68"/>
      <c r="I824" s="75"/>
    </row>
    <row r="825" spans="1:9" ht="12.5" x14ac:dyDescent="0.25">
      <c r="A825" s="14"/>
      <c r="C825" s="68"/>
      <c r="D825" s="68"/>
      <c r="E825" s="68"/>
      <c r="F825" s="68"/>
      <c r="G825" s="68"/>
      <c r="I825" s="75"/>
    </row>
    <row r="826" spans="1:9" ht="12.5" x14ac:dyDescent="0.25">
      <c r="A826" s="14"/>
      <c r="C826" s="68"/>
      <c r="D826" s="68"/>
      <c r="E826" s="68"/>
      <c r="F826" s="68"/>
      <c r="G826" s="68"/>
      <c r="I826" s="75"/>
    </row>
    <row r="827" spans="1:9" ht="12.5" x14ac:dyDescent="0.25">
      <c r="A827" s="14"/>
      <c r="C827" s="68"/>
      <c r="D827" s="68"/>
      <c r="E827" s="68"/>
      <c r="F827" s="68"/>
      <c r="G827" s="68"/>
      <c r="I827" s="75"/>
    </row>
    <row r="828" spans="1:9" ht="12.5" x14ac:dyDescent="0.25">
      <c r="A828" s="14"/>
      <c r="C828" s="68"/>
      <c r="D828" s="68"/>
      <c r="E828" s="68"/>
      <c r="F828" s="68"/>
      <c r="G828" s="68"/>
      <c r="I828" s="75"/>
    </row>
    <row r="829" spans="1:9" ht="12.5" x14ac:dyDescent="0.25">
      <c r="A829" s="14"/>
      <c r="C829" s="68"/>
      <c r="D829" s="68"/>
      <c r="E829" s="68"/>
      <c r="F829" s="68"/>
      <c r="G829" s="68"/>
      <c r="I829" s="75"/>
    </row>
    <row r="830" spans="1:9" ht="12.5" x14ac:dyDescent="0.25">
      <c r="A830" s="14"/>
      <c r="C830" s="68"/>
      <c r="D830" s="68"/>
      <c r="E830" s="68"/>
      <c r="F830" s="68"/>
      <c r="G830" s="68"/>
      <c r="I830" s="75"/>
    </row>
    <row r="831" spans="1:9" ht="12.5" x14ac:dyDescent="0.25">
      <c r="A831" s="14"/>
      <c r="C831" s="68"/>
      <c r="D831" s="68"/>
      <c r="E831" s="68"/>
      <c r="F831" s="68"/>
      <c r="G831" s="68"/>
      <c r="I831" s="75"/>
    </row>
    <row r="832" spans="1:9" ht="12.5" x14ac:dyDescent="0.25">
      <c r="A832" s="14"/>
      <c r="C832" s="68"/>
      <c r="D832" s="68"/>
      <c r="E832" s="68"/>
      <c r="F832" s="68"/>
      <c r="G832" s="68"/>
      <c r="I832" s="75"/>
    </row>
    <row r="833" spans="1:9" ht="12.5" x14ac:dyDescent="0.25">
      <c r="A833" s="14"/>
      <c r="C833" s="68"/>
      <c r="D833" s="68"/>
      <c r="E833" s="68"/>
      <c r="F833" s="68"/>
      <c r="G833" s="68"/>
      <c r="I833" s="75"/>
    </row>
    <row r="834" spans="1:9" ht="12.5" x14ac:dyDescent="0.25">
      <c r="A834" s="14"/>
      <c r="C834" s="68"/>
      <c r="D834" s="68"/>
      <c r="E834" s="68"/>
      <c r="F834" s="68"/>
      <c r="G834" s="68"/>
      <c r="I834" s="75"/>
    </row>
    <row r="835" spans="1:9" ht="12.5" x14ac:dyDescent="0.25">
      <c r="A835" s="14"/>
      <c r="C835" s="68"/>
      <c r="D835" s="68"/>
      <c r="E835" s="68"/>
      <c r="F835" s="68"/>
      <c r="G835" s="68"/>
      <c r="I835" s="75"/>
    </row>
    <row r="836" spans="1:9" ht="12.5" x14ac:dyDescent="0.25">
      <c r="A836" s="14"/>
      <c r="C836" s="68"/>
      <c r="D836" s="68"/>
      <c r="E836" s="68"/>
      <c r="F836" s="68"/>
      <c r="G836" s="68"/>
      <c r="I836" s="75"/>
    </row>
    <row r="837" spans="1:9" ht="12.5" x14ac:dyDescent="0.25">
      <c r="A837" s="14"/>
      <c r="C837" s="68"/>
      <c r="D837" s="68"/>
      <c r="E837" s="68"/>
      <c r="F837" s="68"/>
      <c r="G837" s="68"/>
      <c r="I837" s="75"/>
    </row>
    <row r="838" spans="1:9" ht="12.5" x14ac:dyDescent="0.25">
      <c r="A838" s="14"/>
      <c r="C838" s="68"/>
      <c r="D838" s="68"/>
      <c r="E838" s="68"/>
      <c r="F838" s="68"/>
      <c r="G838" s="68"/>
      <c r="I838" s="75"/>
    </row>
    <row r="839" spans="1:9" ht="12.5" x14ac:dyDescent="0.25">
      <c r="A839" s="14"/>
      <c r="C839" s="68"/>
      <c r="D839" s="68"/>
      <c r="E839" s="68"/>
      <c r="F839" s="68"/>
      <c r="G839" s="68"/>
      <c r="I839" s="75"/>
    </row>
    <row r="840" spans="1:9" ht="12.5" x14ac:dyDescent="0.25">
      <c r="A840" s="14"/>
      <c r="C840" s="68"/>
      <c r="D840" s="68"/>
      <c r="E840" s="68"/>
      <c r="F840" s="68"/>
      <c r="G840" s="68"/>
      <c r="I840" s="75"/>
    </row>
    <row r="841" spans="1:9" ht="12.5" x14ac:dyDescent="0.25">
      <c r="A841" s="14"/>
      <c r="C841" s="68"/>
      <c r="D841" s="68"/>
      <c r="E841" s="68"/>
      <c r="F841" s="68"/>
      <c r="G841" s="68"/>
      <c r="I841" s="75"/>
    </row>
    <row r="842" spans="1:9" ht="12.5" x14ac:dyDescent="0.25">
      <c r="A842" s="14"/>
      <c r="C842" s="68"/>
      <c r="D842" s="68"/>
      <c r="E842" s="68"/>
      <c r="F842" s="68"/>
      <c r="G842" s="68"/>
      <c r="I842" s="75"/>
    </row>
    <row r="843" spans="1:9" ht="12.5" x14ac:dyDescent="0.25">
      <c r="A843" s="14"/>
      <c r="C843" s="68"/>
      <c r="D843" s="68"/>
      <c r="E843" s="68"/>
      <c r="F843" s="68"/>
      <c r="G843" s="68"/>
      <c r="I843" s="75"/>
    </row>
    <row r="844" spans="1:9" ht="12.5" x14ac:dyDescent="0.25">
      <c r="A844" s="14"/>
      <c r="C844" s="68"/>
      <c r="D844" s="68"/>
      <c r="E844" s="68"/>
      <c r="F844" s="68"/>
      <c r="G844" s="68"/>
      <c r="I844" s="75"/>
    </row>
    <row r="845" spans="1:9" ht="12.5" x14ac:dyDescent="0.25">
      <c r="A845" s="14"/>
      <c r="C845" s="68"/>
      <c r="D845" s="68"/>
      <c r="E845" s="68"/>
      <c r="F845" s="68"/>
      <c r="G845" s="68"/>
      <c r="I845" s="75"/>
    </row>
    <row r="846" spans="1:9" ht="12.5" x14ac:dyDescent="0.25">
      <c r="A846" s="14"/>
      <c r="C846" s="68"/>
      <c r="D846" s="68"/>
      <c r="E846" s="68"/>
      <c r="F846" s="68"/>
      <c r="G846" s="68"/>
      <c r="I846" s="75"/>
    </row>
    <row r="847" spans="1:9" ht="12.5" x14ac:dyDescent="0.25">
      <c r="A847" s="14"/>
      <c r="C847" s="68"/>
      <c r="D847" s="68"/>
      <c r="E847" s="68"/>
      <c r="F847" s="68"/>
      <c r="G847" s="68"/>
      <c r="I847" s="75"/>
    </row>
    <row r="848" spans="1:9" ht="12.5" x14ac:dyDescent="0.25">
      <c r="A848" s="14"/>
      <c r="C848" s="68"/>
      <c r="D848" s="68"/>
      <c r="E848" s="68"/>
      <c r="F848" s="68"/>
      <c r="G848" s="68"/>
      <c r="I848" s="75"/>
    </row>
    <row r="849" spans="1:9" ht="12.5" x14ac:dyDescent="0.25">
      <c r="A849" s="14"/>
      <c r="C849" s="68"/>
      <c r="D849" s="68"/>
      <c r="E849" s="68"/>
      <c r="F849" s="68"/>
      <c r="G849" s="68"/>
      <c r="I849" s="75"/>
    </row>
    <row r="850" spans="1:9" ht="12.5" x14ac:dyDescent="0.25">
      <c r="A850" s="14"/>
      <c r="C850" s="68"/>
      <c r="D850" s="68"/>
      <c r="E850" s="68"/>
      <c r="F850" s="68"/>
      <c r="G850" s="68"/>
      <c r="I850" s="75"/>
    </row>
    <row r="851" spans="1:9" ht="12.5" x14ac:dyDescent="0.25">
      <c r="A851" s="14"/>
      <c r="C851" s="68"/>
      <c r="D851" s="68"/>
      <c r="E851" s="68"/>
      <c r="F851" s="68"/>
      <c r="G851" s="68"/>
      <c r="I851" s="75"/>
    </row>
    <row r="852" spans="1:9" ht="12.5" x14ac:dyDescent="0.25">
      <c r="A852" s="14"/>
      <c r="C852" s="68"/>
      <c r="D852" s="68"/>
      <c r="E852" s="68"/>
      <c r="F852" s="68"/>
      <c r="G852" s="68"/>
      <c r="I852" s="75"/>
    </row>
    <row r="853" spans="1:9" ht="12.5" x14ac:dyDescent="0.25">
      <c r="A853" s="14"/>
      <c r="C853" s="68"/>
      <c r="D853" s="68"/>
      <c r="E853" s="68"/>
      <c r="F853" s="68"/>
      <c r="G853" s="68"/>
      <c r="I853" s="75"/>
    </row>
    <row r="854" spans="1:9" ht="12.5" x14ac:dyDescent="0.25">
      <c r="A854" s="14"/>
      <c r="C854" s="68"/>
      <c r="D854" s="68"/>
      <c r="E854" s="68"/>
      <c r="F854" s="68"/>
      <c r="G854" s="68"/>
      <c r="I854" s="75"/>
    </row>
    <row r="855" spans="1:9" ht="12.5" x14ac:dyDescent="0.25">
      <c r="A855" s="14"/>
      <c r="C855" s="68"/>
      <c r="D855" s="68"/>
      <c r="E855" s="68"/>
      <c r="F855" s="68"/>
      <c r="G855" s="68"/>
      <c r="I855" s="75"/>
    </row>
    <row r="856" spans="1:9" ht="12.5" x14ac:dyDescent="0.25">
      <c r="A856" s="14"/>
      <c r="C856" s="68"/>
      <c r="D856" s="68"/>
      <c r="E856" s="68"/>
      <c r="F856" s="68"/>
      <c r="G856" s="68"/>
      <c r="I856" s="75"/>
    </row>
    <row r="857" spans="1:9" ht="12.5" x14ac:dyDescent="0.25">
      <c r="A857" s="14"/>
      <c r="C857" s="68"/>
      <c r="D857" s="68"/>
      <c r="E857" s="68"/>
      <c r="F857" s="68"/>
      <c r="G857" s="68"/>
      <c r="I857" s="75"/>
    </row>
    <row r="858" spans="1:9" ht="12.5" x14ac:dyDescent="0.25">
      <c r="A858" s="14"/>
      <c r="C858" s="68"/>
      <c r="D858" s="68"/>
      <c r="E858" s="68"/>
      <c r="F858" s="68"/>
      <c r="G858" s="68"/>
      <c r="I858" s="75"/>
    </row>
    <row r="859" spans="1:9" ht="12.5" x14ac:dyDescent="0.25">
      <c r="A859" s="14"/>
      <c r="C859" s="68"/>
      <c r="D859" s="68"/>
      <c r="E859" s="68"/>
      <c r="F859" s="68"/>
      <c r="G859" s="68"/>
      <c r="I859" s="75"/>
    </row>
    <row r="860" spans="1:9" ht="12.5" x14ac:dyDescent="0.25">
      <c r="A860" s="14"/>
      <c r="C860" s="68"/>
      <c r="D860" s="68"/>
      <c r="E860" s="68"/>
      <c r="F860" s="68"/>
      <c r="G860" s="68"/>
      <c r="I860" s="75"/>
    </row>
    <row r="861" spans="1:9" ht="12.5" x14ac:dyDescent="0.25">
      <c r="A861" s="14"/>
      <c r="C861" s="68"/>
      <c r="D861" s="68"/>
      <c r="E861" s="68"/>
      <c r="F861" s="68"/>
      <c r="G861" s="68"/>
      <c r="I861" s="75"/>
    </row>
    <row r="862" spans="1:9" ht="12.5" x14ac:dyDescent="0.25">
      <c r="A862" s="14"/>
      <c r="C862" s="68"/>
      <c r="D862" s="68"/>
      <c r="E862" s="68"/>
      <c r="F862" s="68"/>
      <c r="G862" s="68"/>
      <c r="I862" s="75"/>
    </row>
    <row r="863" spans="1:9" ht="12.5" x14ac:dyDescent="0.25">
      <c r="A863" s="14"/>
      <c r="C863" s="68"/>
      <c r="D863" s="68"/>
      <c r="E863" s="68"/>
      <c r="F863" s="68"/>
      <c r="G863" s="68"/>
      <c r="I863" s="75"/>
    </row>
    <row r="864" spans="1:9" ht="12.5" x14ac:dyDescent="0.25">
      <c r="A864" s="14"/>
      <c r="C864" s="68"/>
      <c r="D864" s="68"/>
      <c r="E864" s="68"/>
      <c r="F864" s="68"/>
      <c r="G864" s="68"/>
      <c r="I864" s="75"/>
    </row>
    <row r="865" spans="1:9" ht="12.5" x14ac:dyDescent="0.25">
      <c r="A865" s="14"/>
      <c r="C865" s="68"/>
      <c r="D865" s="68"/>
      <c r="E865" s="68"/>
      <c r="F865" s="68"/>
      <c r="G865" s="68"/>
      <c r="I865" s="75"/>
    </row>
    <row r="866" spans="1:9" ht="12.5" x14ac:dyDescent="0.25">
      <c r="A866" s="14"/>
      <c r="C866" s="68"/>
      <c r="D866" s="68"/>
      <c r="E866" s="68"/>
      <c r="F866" s="68"/>
      <c r="G866" s="68"/>
      <c r="I866" s="75"/>
    </row>
    <row r="867" spans="1:9" ht="12.5" x14ac:dyDescent="0.25">
      <c r="A867" s="14"/>
      <c r="C867" s="68"/>
      <c r="D867" s="68"/>
      <c r="E867" s="68"/>
      <c r="F867" s="68"/>
      <c r="G867" s="68"/>
      <c r="I867" s="75"/>
    </row>
    <row r="868" spans="1:9" ht="12.5" x14ac:dyDescent="0.25">
      <c r="A868" s="14"/>
      <c r="C868" s="68"/>
      <c r="D868" s="68"/>
      <c r="E868" s="68"/>
      <c r="F868" s="68"/>
      <c r="G868" s="68"/>
      <c r="I868" s="75"/>
    </row>
    <row r="869" spans="1:9" ht="12.5" x14ac:dyDescent="0.25">
      <c r="A869" s="14"/>
      <c r="C869" s="68"/>
      <c r="D869" s="68"/>
      <c r="E869" s="68"/>
      <c r="F869" s="68"/>
      <c r="G869" s="68"/>
      <c r="I869" s="75"/>
    </row>
    <row r="870" spans="1:9" ht="12.5" x14ac:dyDescent="0.25">
      <c r="A870" s="14"/>
      <c r="C870" s="68"/>
      <c r="D870" s="68"/>
      <c r="E870" s="68"/>
      <c r="F870" s="68"/>
      <c r="G870" s="68"/>
      <c r="I870" s="75"/>
    </row>
    <row r="871" spans="1:9" ht="12.5" x14ac:dyDescent="0.25">
      <c r="A871" s="14"/>
      <c r="C871" s="68"/>
      <c r="D871" s="68"/>
      <c r="E871" s="68"/>
      <c r="F871" s="68"/>
      <c r="G871" s="68"/>
      <c r="I871" s="75"/>
    </row>
    <row r="872" spans="1:9" ht="12.5" x14ac:dyDescent="0.25">
      <c r="A872" s="14"/>
      <c r="C872" s="68"/>
      <c r="D872" s="68"/>
      <c r="E872" s="68"/>
      <c r="F872" s="68"/>
      <c r="G872" s="68"/>
      <c r="I872" s="75"/>
    </row>
    <row r="873" spans="1:9" ht="12.5" x14ac:dyDescent="0.25">
      <c r="A873" s="14"/>
      <c r="C873" s="68"/>
      <c r="D873" s="68"/>
      <c r="E873" s="68"/>
      <c r="F873" s="68"/>
      <c r="G873" s="68"/>
      <c r="I873" s="75"/>
    </row>
    <row r="874" spans="1:9" ht="12.5" x14ac:dyDescent="0.25">
      <c r="A874" s="14"/>
      <c r="C874" s="68"/>
      <c r="D874" s="68"/>
      <c r="E874" s="68"/>
      <c r="F874" s="68"/>
      <c r="G874" s="68"/>
      <c r="I874" s="75"/>
    </row>
    <row r="875" spans="1:9" ht="12.5" x14ac:dyDescent="0.25">
      <c r="A875" s="14"/>
      <c r="C875" s="68"/>
      <c r="D875" s="68"/>
      <c r="E875" s="68"/>
      <c r="F875" s="68"/>
      <c r="G875" s="68"/>
      <c r="I875" s="75"/>
    </row>
    <row r="876" spans="1:9" ht="12.5" x14ac:dyDescent="0.25">
      <c r="A876" s="14"/>
      <c r="C876" s="68"/>
      <c r="D876" s="68"/>
      <c r="E876" s="68"/>
      <c r="F876" s="68"/>
      <c r="G876" s="68"/>
      <c r="I876" s="75"/>
    </row>
    <row r="877" spans="1:9" ht="12.5" x14ac:dyDescent="0.25">
      <c r="A877" s="14"/>
      <c r="C877" s="68"/>
      <c r="D877" s="68"/>
      <c r="E877" s="68"/>
      <c r="F877" s="68"/>
      <c r="G877" s="68"/>
      <c r="I877" s="75"/>
    </row>
    <row r="878" spans="1:9" ht="12.5" x14ac:dyDescent="0.25">
      <c r="A878" s="14"/>
      <c r="C878" s="68"/>
      <c r="D878" s="68"/>
      <c r="E878" s="68"/>
      <c r="F878" s="68"/>
      <c r="G878" s="68"/>
      <c r="I878" s="75"/>
    </row>
    <row r="879" spans="1:9" ht="12.5" x14ac:dyDescent="0.25">
      <c r="A879" s="14"/>
      <c r="C879" s="68"/>
      <c r="D879" s="68"/>
      <c r="E879" s="68"/>
      <c r="F879" s="68"/>
      <c r="G879" s="68"/>
      <c r="I879" s="75"/>
    </row>
    <row r="880" spans="1:9" ht="12.5" x14ac:dyDescent="0.25">
      <c r="A880" s="14"/>
      <c r="C880" s="68"/>
      <c r="D880" s="68"/>
      <c r="E880" s="68"/>
      <c r="F880" s="68"/>
      <c r="G880" s="68"/>
      <c r="I880" s="75"/>
    </row>
    <row r="881" spans="1:9" ht="12.5" x14ac:dyDescent="0.25">
      <c r="A881" s="14"/>
      <c r="C881" s="68"/>
      <c r="D881" s="68"/>
      <c r="E881" s="68"/>
      <c r="F881" s="68"/>
      <c r="G881" s="68"/>
      <c r="I881" s="75"/>
    </row>
    <row r="882" spans="1:9" ht="12.5" x14ac:dyDescent="0.25">
      <c r="A882" s="14"/>
      <c r="C882" s="68"/>
      <c r="D882" s="68"/>
      <c r="E882" s="68"/>
      <c r="F882" s="68"/>
      <c r="G882" s="68"/>
      <c r="I882" s="75"/>
    </row>
    <row r="883" spans="1:9" ht="12.5" x14ac:dyDescent="0.25">
      <c r="A883" s="14"/>
      <c r="C883" s="68"/>
      <c r="D883" s="68"/>
      <c r="E883" s="68"/>
      <c r="F883" s="68"/>
      <c r="G883" s="68"/>
      <c r="I883" s="75"/>
    </row>
    <row r="884" spans="1:9" ht="12.5" x14ac:dyDescent="0.25">
      <c r="A884" s="14"/>
      <c r="C884" s="68"/>
      <c r="D884" s="68"/>
      <c r="E884" s="68"/>
      <c r="F884" s="68"/>
      <c r="G884" s="68"/>
      <c r="I884" s="75"/>
    </row>
    <row r="885" spans="1:9" ht="12.5" x14ac:dyDescent="0.25">
      <c r="A885" s="14"/>
      <c r="C885" s="68"/>
      <c r="D885" s="68"/>
      <c r="E885" s="68"/>
      <c r="F885" s="68"/>
      <c r="G885" s="68"/>
      <c r="I885" s="75"/>
    </row>
    <row r="886" spans="1:9" ht="12.5" x14ac:dyDescent="0.25">
      <c r="A886" s="14"/>
      <c r="C886" s="68"/>
      <c r="D886" s="68"/>
      <c r="E886" s="68"/>
      <c r="F886" s="68"/>
      <c r="G886" s="68"/>
      <c r="I886" s="75"/>
    </row>
    <row r="887" spans="1:9" ht="12.5" x14ac:dyDescent="0.25">
      <c r="A887" s="14"/>
      <c r="C887" s="68"/>
      <c r="D887" s="68"/>
      <c r="E887" s="68"/>
      <c r="F887" s="68"/>
      <c r="G887" s="68"/>
      <c r="I887" s="75"/>
    </row>
    <row r="888" spans="1:9" ht="12.5" x14ac:dyDescent="0.25">
      <c r="A888" s="14"/>
      <c r="C888" s="68"/>
      <c r="D888" s="68"/>
      <c r="E888" s="68"/>
      <c r="F888" s="68"/>
      <c r="G888" s="68"/>
      <c r="I888" s="75"/>
    </row>
    <row r="889" spans="1:9" ht="12.5" x14ac:dyDescent="0.25">
      <c r="A889" s="14"/>
      <c r="C889" s="68"/>
      <c r="D889" s="68"/>
      <c r="E889" s="68"/>
      <c r="F889" s="68"/>
      <c r="G889" s="68"/>
      <c r="I889" s="75"/>
    </row>
    <row r="890" spans="1:9" ht="12.5" x14ac:dyDescent="0.25">
      <c r="A890" s="14"/>
      <c r="C890" s="68"/>
      <c r="D890" s="68"/>
      <c r="E890" s="68"/>
      <c r="F890" s="68"/>
      <c r="G890" s="68"/>
      <c r="I890" s="75"/>
    </row>
    <row r="891" spans="1:9" ht="12.5" x14ac:dyDescent="0.25">
      <c r="A891" s="14"/>
      <c r="C891" s="68"/>
      <c r="D891" s="68"/>
      <c r="E891" s="68"/>
      <c r="F891" s="68"/>
      <c r="G891" s="68"/>
      <c r="I891" s="75"/>
    </row>
    <row r="892" spans="1:9" ht="12.5" x14ac:dyDescent="0.25">
      <c r="A892" s="14"/>
      <c r="C892" s="68"/>
      <c r="D892" s="68"/>
      <c r="E892" s="68"/>
      <c r="F892" s="68"/>
      <c r="G892" s="68"/>
      <c r="I892" s="75"/>
    </row>
    <row r="893" spans="1:9" ht="12.5" x14ac:dyDescent="0.25">
      <c r="A893" s="14"/>
      <c r="C893" s="68"/>
      <c r="D893" s="68"/>
      <c r="E893" s="68"/>
      <c r="F893" s="68"/>
      <c r="G893" s="68"/>
      <c r="I893" s="75"/>
    </row>
    <row r="894" spans="1:9" ht="12.5" x14ac:dyDescent="0.25">
      <c r="A894" s="14"/>
      <c r="C894" s="68"/>
      <c r="D894" s="68"/>
      <c r="E894" s="68"/>
      <c r="F894" s="68"/>
      <c r="G894" s="68"/>
      <c r="I894" s="75"/>
    </row>
    <row r="895" spans="1:9" ht="12.5" x14ac:dyDescent="0.25">
      <c r="A895" s="14"/>
      <c r="C895" s="68"/>
      <c r="D895" s="68"/>
      <c r="E895" s="68"/>
      <c r="F895" s="68"/>
      <c r="G895" s="68"/>
      <c r="I895" s="75"/>
    </row>
    <row r="896" spans="1:9" ht="12.5" x14ac:dyDescent="0.25">
      <c r="A896" s="14"/>
      <c r="C896" s="68"/>
      <c r="D896" s="68"/>
      <c r="E896" s="68"/>
      <c r="F896" s="68"/>
      <c r="G896" s="68"/>
      <c r="I896" s="75"/>
    </row>
    <row r="897" spans="1:9" ht="12.5" x14ac:dyDescent="0.25">
      <c r="A897" s="14"/>
      <c r="C897" s="68"/>
      <c r="D897" s="68"/>
      <c r="E897" s="68"/>
      <c r="F897" s="68"/>
      <c r="G897" s="68"/>
      <c r="I897" s="75"/>
    </row>
    <row r="898" spans="1:9" ht="12.5" x14ac:dyDescent="0.25">
      <c r="A898" s="14"/>
      <c r="C898" s="68"/>
      <c r="D898" s="68"/>
      <c r="E898" s="68"/>
      <c r="F898" s="68"/>
      <c r="G898" s="68"/>
      <c r="I898" s="75"/>
    </row>
    <row r="899" spans="1:9" ht="12.5" x14ac:dyDescent="0.25">
      <c r="A899" s="14"/>
      <c r="C899" s="68"/>
      <c r="D899" s="68"/>
      <c r="E899" s="68"/>
      <c r="F899" s="68"/>
      <c r="G899" s="68"/>
      <c r="I899" s="75"/>
    </row>
    <row r="900" spans="1:9" ht="12.5" x14ac:dyDescent="0.25">
      <c r="A900" s="14"/>
      <c r="C900" s="68"/>
      <c r="D900" s="68"/>
      <c r="E900" s="68"/>
      <c r="F900" s="68"/>
      <c r="G900" s="68"/>
      <c r="I900" s="75"/>
    </row>
    <row r="901" spans="1:9" ht="12.5" x14ac:dyDescent="0.25">
      <c r="A901" s="14"/>
      <c r="C901" s="68"/>
      <c r="D901" s="68"/>
      <c r="E901" s="68"/>
      <c r="F901" s="68"/>
      <c r="G901" s="68"/>
      <c r="I901" s="75"/>
    </row>
    <row r="902" spans="1:9" ht="12.5" x14ac:dyDescent="0.25">
      <c r="A902" s="14"/>
      <c r="C902" s="68"/>
      <c r="D902" s="68"/>
      <c r="E902" s="68"/>
      <c r="F902" s="68"/>
      <c r="G902" s="68"/>
      <c r="I902" s="75"/>
    </row>
    <row r="903" spans="1:9" ht="12.5" x14ac:dyDescent="0.25">
      <c r="A903" s="14"/>
      <c r="C903" s="68"/>
      <c r="D903" s="68"/>
      <c r="E903" s="68"/>
      <c r="F903" s="68"/>
      <c r="G903" s="68"/>
      <c r="I903" s="75"/>
    </row>
    <row r="904" spans="1:9" ht="12.5" x14ac:dyDescent="0.25">
      <c r="A904" s="14"/>
      <c r="C904" s="68"/>
      <c r="D904" s="68"/>
      <c r="E904" s="68"/>
      <c r="F904" s="68"/>
      <c r="G904" s="68"/>
      <c r="I904" s="75"/>
    </row>
    <row r="905" spans="1:9" ht="12.5" x14ac:dyDescent="0.25">
      <c r="A905" s="14"/>
      <c r="C905" s="68"/>
      <c r="D905" s="68"/>
      <c r="E905" s="68"/>
      <c r="F905" s="68"/>
      <c r="G905" s="68"/>
      <c r="I905" s="75"/>
    </row>
    <row r="906" spans="1:9" ht="12.5" x14ac:dyDescent="0.25">
      <c r="A906" s="14"/>
      <c r="C906" s="68"/>
      <c r="D906" s="68"/>
      <c r="E906" s="68"/>
      <c r="F906" s="68"/>
      <c r="G906" s="68"/>
      <c r="I906" s="75"/>
    </row>
    <row r="907" spans="1:9" ht="12.5" x14ac:dyDescent="0.25">
      <c r="A907" s="14"/>
      <c r="C907" s="68"/>
      <c r="D907" s="68"/>
      <c r="E907" s="68"/>
      <c r="F907" s="68"/>
      <c r="G907" s="68"/>
      <c r="I907" s="75"/>
    </row>
    <row r="908" spans="1:9" ht="12.5" x14ac:dyDescent="0.25">
      <c r="A908" s="14"/>
      <c r="C908" s="68"/>
      <c r="D908" s="68"/>
      <c r="E908" s="68"/>
      <c r="F908" s="68"/>
      <c r="G908" s="68"/>
      <c r="I908" s="75"/>
    </row>
    <row r="909" spans="1:9" ht="12.5" x14ac:dyDescent="0.25">
      <c r="A909" s="14"/>
      <c r="C909" s="68"/>
      <c r="D909" s="68"/>
      <c r="E909" s="68"/>
      <c r="F909" s="68"/>
      <c r="G909" s="68"/>
      <c r="I909" s="75"/>
    </row>
    <row r="910" spans="1:9" ht="12.5" x14ac:dyDescent="0.25">
      <c r="A910" s="14"/>
      <c r="C910" s="68"/>
      <c r="D910" s="68"/>
      <c r="E910" s="68"/>
      <c r="F910" s="68"/>
      <c r="G910" s="68"/>
      <c r="I910" s="75"/>
    </row>
    <row r="911" spans="1:9" ht="12.5" x14ac:dyDescent="0.25">
      <c r="A911" s="14"/>
      <c r="C911" s="68"/>
      <c r="D911" s="68"/>
      <c r="E911" s="68"/>
      <c r="F911" s="68"/>
      <c r="G911" s="68"/>
      <c r="I911" s="75"/>
    </row>
    <row r="912" spans="1:9" ht="12.5" x14ac:dyDescent="0.25">
      <c r="A912" s="14"/>
      <c r="C912" s="68"/>
      <c r="D912" s="68"/>
      <c r="E912" s="68"/>
      <c r="F912" s="68"/>
      <c r="G912" s="68"/>
      <c r="I912" s="75"/>
    </row>
    <row r="913" spans="1:9" ht="12.5" x14ac:dyDescent="0.25">
      <c r="A913" s="14"/>
      <c r="C913" s="68"/>
      <c r="D913" s="68"/>
      <c r="E913" s="68"/>
      <c r="F913" s="68"/>
      <c r="G913" s="68"/>
      <c r="I913" s="75"/>
    </row>
    <row r="914" spans="1:9" ht="12.5" x14ac:dyDescent="0.25">
      <c r="A914" s="14"/>
      <c r="C914" s="68"/>
      <c r="D914" s="68"/>
      <c r="E914" s="68"/>
      <c r="F914" s="68"/>
      <c r="G914" s="68"/>
      <c r="I914" s="75"/>
    </row>
    <row r="915" spans="1:9" ht="12.5" x14ac:dyDescent="0.25">
      <c r="A915" s="14"/>
      <c r="C915" s="68"/>
      <c r="D915" s="68"/>
      <c r="E915" s="68"/>
      <c r="F915" s="68"/>
      <c r="G915" s="68"/>
      <c r="I915" s="75"/>
    </row>
    <row r="916" spans="1:9" ht="12.5" x14ac:dyDescent="0.25">
      <c r="A916" s="14"/>
      <c r="C916" s="68"/>
      <c r="D916" s="68"/>
      <c r="E916" s="68"/>
      <c r="F916" s="68"/>
      <c r="G916" s="68"/>
      <c r="I916" s="75"/>
    </row>
    <row r="917" spans="1:9" ht="12.5" x14ac:dyDescent="0.25">
      <c r="A917" s="14"/>
      <c r="C917" s="68"/>
      <c r="D917" s="68"/>
      <c r="E917" s="68"/>
      <c r="F917" s="68"/>
      <c r="G917" s="68"/>
      <c r="I917" s="75"/>
    </row>
    <row r="918" spans="1:9" ht="12.5" x14ac:dyDescent="0.25">
      <c r="A918" s="14"/>
      <c r="C918" s="68"/>
      <c r="D918" s="68"/>
      <c r="E918" s="68"/>
      <c r="F918" s="68"/>
      <c r="G918" s="68"/>
      <c r="I918" s="75"/>
    </row>
    <row r="919" spans="1:9" ht="12.5" x14ac:dyDescent="0.25">
      <c r="A919" s="14"/>
      <c r="C919" s="68"/>
      <c r="D919" s="68"/>
      <c r="E919" s="68"/>
      <c r="F919" s="68"/>
      <c r="G919" s="68"/>
      <c r="I919" s="75"/>
    </row>
    <row r="920" spans="1:9" ht="12.5" x14ac:dyDescent="0.25">
      <c r="A920" s="14"/>
      <c r="C920" s="68"/>
      <c r="D920" s="68"/>
      <c r="E920" s="68"/>
      <c r="F920" s="68"/>
      <c r="G920" s="68"/>
      <c r="I920" s="75"/>
    </row>
    <row r="921" spans="1:9" ht="12.5" x14ac:dyDescent="0.25">
      <c r="A921" s="14"/>
      <c r="C921" s="68"/>
      <c r="D921" s="68"/>
      <c r="E921" s="68"/>
      <c r="F921" s="68"/>
      <c r="G921" s="68"/>
      <c r="I921" s="75"/>
    </row>
    <row r="922" spans="1:9" ht="12.5" x14ac:dyDescent="0.25">
      <c r="A922" s="14"/>
      <c r="C922" s="68"/>
      <c r="D922" s="68"/>
      <c r="E922" s="68"/>
      <c r="F922" s="68"/>
      <c r="G922" s="68"/>
      <c r="I922" s="75"/>
    </row>
    <row r="923" spans="1:9" ht="12.5" x14ac:dyDescent="0.25">
      <c r="A923" s="14"/>
      <c r="C923" s="68"/>
      <c r="D923" s="68"/>
      <c r="E923" s="68"/>
      <c r="F923" s="68"/>
      <c r="G923" s="68"/>
      <c r="I923" s="75"/>
    </row>
    <row r="924" spans="1:9" ht="12.5" x14ac:dyDescent="0.25">
      <c r="A924" s="14"/>
      <c r="C924" s="68"/>
      <c r="D924" s="68"/>
      <c r="E924" s="68"/>
      <c r="F924" s="68"/>
      <c r="G924" s="68"/>
      <c r="I924" s="75"/>
    </row>
    <row r="925" spans="1:9" ht="12.5" x14ac:dyDescent="0.25">
      <c r="A925" s="14"/>
      <c r="C925" s="68"/>
      <c r="D925" s="68"/>
      <c r="E925" s="68"/>
      <c r="F925" s="68"/>
      <c r="G925" s="68"/>
      <c r="I925" s="75"/>
    </row>
    <row r="926" spans="1:9" ht="12.5" x14ac:dyDescent="0.25">
      <c r="A926" s="14"/>
      <c r="C926" s="68"/>
      <c r="D926" s="68"/>
      <c r="E926" s="68"/>
      <c r="F926" s="68"/>
      <c r="G926" s="68"/>
      <c r="I926" s="75"/>
    </row>
    <row r="927" spans="1:9" ht="12.5" x14ac:dyDescent="0.25">
      <c r="A927" s="14"/>
      <c r="C927" s="68"/>
      <c r="D927" s="68"/>
      <c r="E927" s="68"/>
      <c r="F927" s="68"/>
      <c r="G927" s="68"/>
      <c r="I927" s="75"/>
    </row>
    <row r="928" spans="1:9" ht="12.5" x14ac:dyDescent="0.25">
      <c r="A928" s="14"/>
      <c r="C928" s="68"/>
      <c r="D928" s="68"/>
      <c r="E928" s="68"/>
      <c r="F928" s="68"/>
      <c r="G928" s="68"/>
      <c r="I928" s="75"/>
    </row>
    <row r="929" spans="1:9" ht="12.5" x14ac:dyDescent="0.25">
      <c r="A929" s="14"/>
      <c r="C929" s="68"/>
      <c r="D929" s="68"/>
      <c r="E929" s="68"/>
      <c r="F929" s="68"/>
      <c r="G929" s="68"/>
      <c r="I929" s="75"/>
    </row>
    <row r="930" spans="1:9" ht="12.5" x14ac:dyDescent="0.25">
      <c r="A930" s="14"/>
      <c r="C930" s="68"/>
      <c r="D930" s="68"/>
      <c r="E930" s="68"/>
      <c r="F930" s="68"/>
      <c r="G930" s="68"/>
      <c r="I930" s="75"/>
    </row>
    <row r="931" spans="1:9" ht="12.5" x14ac:dyDescent="0.25">
      <c r="A931" s="14"/>
      <c r="C931" s="68"/>
      <c r="D931" s="68"/>
      <c r="E931" s="68"/>
      <c r="F931" s="68"/>
      <c r="G931" s="68"/>
      <c r="I931" s="75"/>
    </row>
    <row r="932" spans="1:9" ht="12.5" x14ac:dyDescent="0.25">
      <c r="A932" s="14"/>
      <c r="C932" s="68"/>
      <c r="D932" s="68"/>
      <c r="E932" s="68"/>
      <c r="F932" s="68"/>
      <c r="G932" s="68"/>
      <c r="I932" s="75"/>
    </row>
    <row r="933" spans="1:9" ht="12.5" x14ac:dyDescent="0.25">
      <c r="A933" s="14"/>
      <c r="C933" s="68"/>
      <c r="D933" s="68"/>
      <c r="E933" s="68"/>
      <c r="F933" s="68"/>
      <c r="G933" s="68"/>
      <c r="I933" s="75"/>
    </row>
    <row r="934" spans="1:9" ht="12.5" x14ac:dyDescent="0.25">
      <c r="A934" s="14"/>
      <c r="C934" s="68"/>
      <c r="D934" s="68"/>
      <c r="E934" s="68"/>
      <c r="F934" s="68"/>
      <c r="G934" s="68"/>
      <c r="I934" s="75"/>
    </row>
    <row r="935" spans="1:9" ht="12.5" x14ac:dyDescent="0.25">
      <c r="A935" s="14"/>
      <c r="C935" s="68"/>
      <c r="D935" s="68"/>
      <c r="E935" s="68"/>
      <c r="F935" s="68"/>
      <c r="G935" s="68"/>
      <c r="I935" s="75"/>
    </row>
    <row r="936" spans="1:9" ht="12.5" x14ac:dyDescent="0.25">
      <c r="A936" s="14"/>
      <c r="C936" s="68"/>
      <c r="D936" s="68"/>
      <c r="E936" s="68"/>
      <c r="F936" s="68"/>
      <c r="G936" s="68"/>
      <c r="I936" s="75"/>
    </row>
    <row r="937" spans="1:9" ht="12.5" x14ac:dyDescent="0.25">
      <c r="A937" s="14"/>
      <c r="C937" s="68"/>
      <c r="D937" s="68"/>
      <c r="E937" s="68"/>
      <c r="F937" s="68"/>
      <c r="G937" s="68"/>
      <c r="I937" s="75"/>
    </row>
    <row r="938" spans="1:9" ht="12.5" x14ac:dyDescent="0.25">
      <c r="A938" s="14"/>
      <c r="C938" s="68"/>
      <c r="D938" s="68"/>
      <c r="E938" s="68"/>
      <c r="F938" s="68"/>
      <c r="G938" s="68"/>
      <c r="I938" s="75"/>
    </row>
    <row r="939" spans="1:9" ht="12.5" x14ac:dyDescent="0.25">
      <c r="A939" s="14"/>
      <c r="C939" s="68"/>
      <c r="D939" s="68"/>
      <c r="E939" s="68"/>
      <c r="F939" s="68"/>
      <c r="G939" s="68"/>
      <c r="I939" s="75"/>
    </row>
    <row r="940" spans="1:9" ht="12.5" x14ac:dyDescent="0.25">
      <c r="A940" s="14"/>
      <c r="C940" s="68"/>
      <c r="D940" s="68"/>
      <c r="E940" s="68"/>
      <c r="F940" s="68"/>
      <c r="G940" s="68"/>
      <c r="I940" s="75"/>
    </row>
    <row r="941" spans="1:9" ht="12.5" x14ac:dyDescent="0.25">
      <c r="A941" s="14"/>
      <c r="C941" s="68"/>
      <c r="D941" s="68"/>
      <c r="E941" s="68"/>
      <c r="F941" s="68"/>
      <c r="G941" s="68"/>
      <c r="I941" s="75"/>
    </row>
    <row r="942" spans="1:9" ht="12.5" x14ac:dyDescent="0.25">
      <c r="A942" s="14"/>
      <c r="C942" s="68"/>
      <c r="D942" s="68"/>
      <c r="E942" s="68"/>
      <c r="F942" s="68"/>
      <c r="G942" s="68"/>
      <c r="I942" s="75"/>
    </row>
    <row r="943" spans="1:9" ht="12.5" x14ac:dyDescent="0.25">
      <c r="A943" s="14"/>
      <c r="C943" s="68"/>
      <c r="D943" s="68"/>
      <c r="E943" s="68"/>
      <c r="F943" s="68"/>
      <c r="G943" s="68"/>
      <c r="I943" s="75"/>
    </row>
    <row r="944" spans="1:9" ht="12.5" x14ac:dyDescent="0.25">
      <c r="A944" s="14"/>
      <c r="C944" s="68"/>
      <c r="D944" s="68"/>
      <c r="E944" s="68"/>
      <c r="F944" s="68"/>
      <c r="G944" s="68"/>
      <c r="I944" s="75"/>
    </row>
    <row r="945" spans="1:9" ht="12.5" x14ac:dyDescent="0.25">
      <c r="A945" s="14"/>
      <c r="C945" s="68"/>
      <c r="D945" s="68"/>
      <c r="E945" s="68"/>
      <c r="F945" s="68"/>
      <c r="G945" s="68"/>
      <c r="I945" s="75"/>
    </row>
    <row r="946" spans="1:9" ht="12.5" x14ac:dyDescent="0.25">
      <c r="A946" s="14"/>
      <c r="C946" s="68"/>
      <c r="D946" s="68"/>
      <c r="E946" s="68"/>
      <c r="F946" s="68"/>
      <c r="G946" s="68"/>
      <c r="I946" s="75"/>
    </row>
    <row r="947" spans="1:9" ht="12.5" x14ac:dyDescent="0.25">
      <c r="A947" s="14"/>
      <c r="C947" s="68"/>
      <c r="D947" s="68"/>
      <c r="E947" s="68"/>
      <c r="F947" s="68"/>
      <c r="G947" s="68"/>
      <c r="I947" s="75"/>
    </row>
    <row r="948" spans="1:9" ht="12.5" x14ac:dyDescent="0.25">
      <c r="A948" s="14"/>
      <c r="C948" s="68"/>
      <c r="D948" s="68"/>
      <c r="E948" s="68"/>
      <c r="F948" s="68"/>
      <c r="G948" s="68"/>
      <c r="I948" s="75"/>
    </row>
    <row r="949" spans="1:9" ht="12.5" x14ac:dyDescent="0.25">
      <c r="A949" s="14"/>
      <c r="C949" s="68"/>
      <c r="D949" s="68"/>
      <c r="E949" s="68"/>
      <c r="F949" s="68"/>
      <c r="G949" s="68"/>
      <c r="I949" s="75"/>
    </row>
    <row r="950" spans="1:9" ht="12.5" x14ac:dyDescent="0.25">
      <c r="A950" s="14"/>
      <c r="C950" s="68"/>
      <c r="D950" s="68"/>
      <c r="E950" s="68"/>
      <c r="F950" s="68"/>
      <c r="G950" s="68"/>
      <c r="I950" s="75"/>
    </row>
    <row r="951" spans="1:9" ht="12.5" x14ac:dyDescent="0.25">
      <c r="A951" s="14"/>
      <c r="C951" s="68"/>
      <c r="D951" s="68"/>
      <c r="E951" s="68"/>
      <c r="F951" s="68"/>
      <c r="G951" s="68"/>
      <c r="I951" s="75"/>
    </row>
    <row r="952" spans="1:9" ht="12.5" x14ac:dyDescent="0.25">
      <c r="A952" s="14"/>
      <c r="C952" s="68"/>
      <c r="D952" s="68"/>
      <c r="E952" s="68"/>
      <c r="F952" s="68"/>
      <c r="G952" s="68"/>
      <c r="I952" s="75"/>
    </row>
    <row r="953" spans="1:9" ht="12.5" x14ac:dyDescent="0.25">
      <c r="A953" s="14"/>
      <c r="C953" s="68"/>
      <c r="D953" s="68"/>
      <c r="E953" s="68"/>
      <c r="F953" s="68"/>
      <c r="G953" s="68"/>
      <c r="I953" s="75"/>
    </row>
  </sheetData>
  <mergeCells count="16">
    <mergeCell ref="I42:I43"/>
    <mergeCell ref="I44:I45"/>
    <mergeCell ref="I75:I77"/>
    <mergeCell ref="I78:I79"/>
    <mergeCell ref="I46:I47"/>
    <mergeCell ref="I56:I58"/>
    <mergeCell ref="I59:I61"/>
    <mergeCell ref="I62:I63"/>
    <mergeCell ref="I64:I66"/>
    <mergeCell ref="I67:I68"/>
    <mergeCell ref="I70:I73"/>
    <mergeCell ref="I2:I3"/>
    <mergeCell ref="J2:J3"/>
    <mergeCell ref="K2:M2"/>
    <mergeCell ref="N2:P2"/>
    <mergeCell ref="I40:I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B2:HS78"/>
  <sheetViews>
    <sheetView showGridLines="0" workbookViewId="0"/>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2" max="12" width="7.6328125" customWidth="1"/>
    <col min="13" max="13" width="3" customWidth="1"/>
    <col min="14" max="14" width="37" customWidth="1"/>
  </cols>
  <sheetData>
    <row r="2" spans="2:227" ht="15.75" customHeight="1" x14ac:dyDescent="0.25">
      <c r="C2" s="24" t="s">
        <v>294</v>
      </c>
    </row>
    <row r="4" spans="2:227" ht="15.75" customHeight="1" x14ac:dyDescent="0.25">
      <c r="B4" s="84"/>
      <c r="C4" s="85"/>
      <c r="D4" s="85"/>
      <c r="E4" s="85"/>
      <c r="F4" s="85"/>
      <c r="G4" s="85"/>
      <c r="H4" s="85"/>
      <c r="I4" s="85"/>
      <c r="J4" s="85"/>
      <c r="K4" s="85"/>
      <c r="L4" s="85"/>
      <c r="M4" s="85"/>
      <c r="N4" s="86" t="s">
        <v>274</v>
      </c>
    </row>
    <row r="5" spans="2:227" x14ac:dyDescent="0.3">
      <c r="B5" s="87"/>
      <c r="C5" s="88" t="s">
        <v>295</v>
      </c>
      <c r="D5" s="89"/>
      <c r="E5" s="89"/>
      <c r="N5" s="307" t="e">
        <f ca="1">callGemini("Analiza los datos proporcionados, que muestran los niveles de logro en "&amp;C2&amp;" de los estudiantes en las redes rurales Fe y Alegría en los años 2024, 2023 y 2022.  
### **Instrucciones de análisis:**  
1. **Descripción de la situación actual (2024):**  
   - Explica el estado de los niveles de logro en Matemática en 2024.  
   - E"&amp;"nfócate en la categoría 'Logro esperado' y destaca su porcentaje.  
   - Cuando se trarta de comparar la movilización de estudaintes enfócate en comparar el año 2024 con el año 2022 ya que el 2022 es la linea base, menciona linea base (2022) en tu redacci"&amp;"ón para generar mayor contexto.  
2. **Comparación con años anteriores:**  
   - Calcula el cambio porcentual de 'Logro esperado' comparado con 2023 y 2022.  
   - Destaca la **movilización de estudiantes** desde el nivel 'Inicio' hacia 'Proceso'.  
   -"&amp;" Usa la fórmula: **(Porcentaje de 2024) - (Porcentaje del año anterior)** para obtener los cambios.  
   - Redondea los valores porcentuales a **números enteros (sin decimales)**.  
3. **Estructura de la respuesta:**  
   - Usa una narrativa clara y dire"&amp;"cta, similar al siguiente **EJEMPLO:**  
   *Ejemplo:*  
   *En el año 2024, los niveles de logro de los estudiantes en "&amp;C2&amp;" en todas las redes Rurales Fe y Alegria muestran que un 42% alcanzó el nivel de Satisfactorio. Este valor representa un aumento de 5 puntos porcentuales en comparación con 2023 y un aumento de 7 puntos porcentuales respecto a 2022.*  
   *Además, para el"&amp;" 2024 se observa una movilización positiva de estudiantes desde el nivel 'Inicio' hacia 'Proceso', con una reducción del 15% en 'Inicio' comparado con la linea base (2022) y un aumento del 12% en 'Proceso' comparado con la linea base, lo que indica que má"&amp;"s estudiantes están avanzando en sus aprendizajes.*  
4. **Formato de salida:**  
   - **Analisis redactado en texto plano, sin información adicional ni comentarios.**  
   - **Los valores porcentuales deben estar redondeados a números enteros (ejemplo: "&amp;"62%).**
   - **En tu redacción usa comillas dobles no comillas simples cuando menciones algun nivel de logro.**  
Los datos a analizar están en el siguiente JSON: " &amp; crearJSONdesdeTabla(C12:F15,0))</f>
        <v>#NAME?</v>
      </c>
    </row>
    <row r="6" spans="2:227" x14ac:dyDescent="0.3">
      <c r="B6" s="87"/>
      <c r="C6" s="90" t="s">
        <v>296</v>
      </c>
      <c r="D6" s="310" t="s">
        <v>297</v>
      </c>
      <c r="E6" s="311"/>
      <c r="F6" s="24" t="str">
        <f t="shared" ref="F6:F8" si="0">IF(D6="*","Todos","")</f>
        <v>Todos</v>
      </c>
      <c r="I6" s="91"/>
      <c r="J6" s="91"/>
      <c r="K6" s="91"/>
      <c r="L6" s="91"/>
      <c r="M6" s="91"/>
      <c r="N6" s="308"/>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c r="HD6" s="91"/>
      <c r="HE6" s="91"/>
      <c r="HF6" s="91"/>
      <c r="HG6" s="91"/>
      <c r="HH6" s="91"/>
      <c r="HI6" s="91"/>
      <c r="HJ6" s="91"/>
      <c r="HK6" s="91"/>
      <c r="HL6" s="91"/>
      <c r="HM6" s="91"/>
      <c r="HN6" s="91"/>
      <c r="HO6" s="91"/>
      <c r="HP6" s="91"/>
      <c r="HQ6" s="91"/>
      <c r="HR6" s="91"/>
      <c r="HS6" s="91"/>
    </row>
    <row r="7" spans="2:227" x14ac:dyDescent="0.3">
      <c r="B7" s="87"/>
      <c r="C7" s="90" t="s">
        <v>298</v>
      </c>
      <c r="D7" s="310" t="s">
        <v>297</v>
      </c>
      <c r="E7" s="311"/>
      <c r="F7" s="24" t="str">
        <f t="shared" si="0"/>
        <v>Todos</v>
      </c>
      <c r="I7" s="24"/>
      <c r="J7" s="24"/>
      <c r="K7" s="24"/>
      <c r="L7" s="24"/>
      <c r="N7" s="308"/>
    </row>
    <row r="8" spans="2:227" x14ac:dyDescent="0.3">
      <c r="B8" s="87"/>
      <c r="C8" s="90" t="s">
        <v>6</v>
      </c>
      <c r="D8" s="310" t="s">
        <v>297</v>
      </c>
      <c r="E8" s="311"/>
      <c r="F8" s="24" t="str">
        <f t="shared" si="0"/>
        <v>Todos</v>
      </c>
      <c r="I8" s="91"/>
      <c r="J8" s="91"/>
      <c r="K8" s="91"/>
      <c r="L8" s="91"/>
      <c r="M8" s="91"/>
      <c r="N8" s="308"/>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c r="HD8" s="91"/>
      <c r="HE8" s="91"/>
      <c r="HF8" s="91"/>
      <c r="HG8" s="91"/>
      <c r="HH8" s="91"/>
      <c r="HI8" s="91"/>
      <c r="HJ8" s="91"/>
      <c r="HK8" s="91"/>
      <c r="HL8" s="91"/>
      <c r="HM8" s="91"/>
      <c r="HN8" s="91"/>
      <c r="HO8" s="91"/>
      <c r="HP8" s="91"/>
      <c r="HQ8" s="91"/>
      <c r="HR8" s="91"/>
      <c r="HS8" s="91"/>
    </row>
    <row r="9" spans="2:227" ht="15.75" customHeight="1" x14ac:dyDescent="0.25">
      <c r="B9" s="87"/>
      <c r="I9" s="91"/>
      <c r="J9" s="91"/>
      <c r="K9" s="91"/>
      <c r="L9" s="91"/>
      <c r="M9" s="91"/>
      <c r="N9" s="308"/>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c r="GV9" s="91"/>
      <c r="GW9" s="91"/>
      <c r="GX9" s="91"/>
      <c r="GY9" s="91"/>
      <c r="GZ9" s="91"/>
      <c r="HA9" s="91"/>
      <c r="HB9" s="91"/>
      <c r="HC9" s="91"/>
      <c r="HD9" s="91"/>
      <c r="HE9" s="91"/>
      <c r="HF9" s="91"/>
      <c r="HG9" s="91"/>
      <c r="HH9" s="91"/>
      <c r="HI9" s="91"/>
      <c r="HJ9" s="91"/>
      <c r="HK9" s="91"/>
      <c r="HL9" s="91"/>
      <c r="HM9" s="91"/>
      <c r="HN9" s="91"/>
      <c r="HO9" s="91"/>
      <c r="HP9" s="91"/>
      <c r="HQ9" s="91"/>
      <c r="HR9" s="91"/>
      <c r="HS9" s="91"/>
    </row>
    <row r="10" spans="2:227" ht="15.75" customHeight="1" x14ac:dyDescent="0.25">
      <c r="B10" s="87"/>
      <c r="I10" s="91"/>
      <c r="J10" s="91"/>
      <c r="K10" s="91"/>
      <c r="N10" s="308"/>
    </row>
    <row r="11" spans="2:227" x14ac:dyDescent="0.3">
      <c r="B11" s="87"/>
      <c r="C11" s="92" t="s">
        <v>299</v>
      </c>
      <c r="D11" s="93"/>
      <c r="E11" s="93"/>
      <c r="F11" s="93"/>
      <c r="I11" s="91"/>
      <c r="J11" s="91"/>
      <c r="K11" s="91"/>
      <c r="N11" s="308"/>
    </row>
    <row r="12" spans="2:227" x14ac:dyDescent="0.3">
      <c r="B12" s="87"/>
      <c r="C12" s="94" t="s">
        <v>300</v>
      </c>
      <c r="D12" s="95">
        <v>2022</v>
      </c>
      <c r="E12" s="95">
        <v>2023</v>
      </c>
      <c r="F12" s="95">
        <v>2024</v>
      </c>
      <c r="I12" s="91"/>
      <c r="J12" s="91"/>
      <c r="K12" s="91"/>
      <c r="L12" s="91"/>
      <c r="M12" s="91"/>
      <c r="N12" s="308"/>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1"/>
      <c r="DZ12" s="91"/>
      <c r="EA12" s="91"/>
      <c r="EB12" s="91"/>
      <c r="EC12" s="91"/>
      <c r="ED12" s="91"/>
      <c r="EE12" s="91"/>
      <c r="EF12" s="91"/>
      <c r="EG12" s="91"/>
      <c r="EH12" s="91"/>
      <c r="EI12" s="91"/>
      <c r="EJ12" s="91"/>
      <c r="EK12" s="91"/>
      <c r="EL12" s="91"/>
      <c r="EM12" s="91"/>
      <c r="EN12" s="91"/>
      <c r="EO12" s="91"/>
      <c r="EP12" s="91"/>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c r="HD12" s="91"/>
      <c r="HE12" s="91"/>
      <c r="HF12" s="91"/>
      <c r="HG12" s="91"/>
      <c r="HH12" s="91"/>
      <c r="HI12" s="91"/>
      <c r="HJ12" s="91"/>
      <c r="HK12" s="91"/>
      <c r="HL12" s="91"/>
      <c r="HM12" s="91"/>
      <c r="HN12" s="91"/>
      <c r="HO12" s="91"/>
      <c r="HP12" s="91"/>
      <c r="HQ12" s="91"/>
      <c r="HR12" s="91"/>
      <c r="HS12" s="91"/>
    </row>
    <row r="13" spans="2:227" ht="15.75" customHeight="1" x14ac:dyDescent="0.25">
      <c r="B13" s="87"/>
      <c r="C13" s="24" t="s">
        <v>19</v>
      </c>
      <c r="D13" s="83" t="e">
        <f>COUNTIFS(DATA!$G$2:$G78,D8,DATA!$C$2:$C78,D6,DATA!$B$2:$B78,D7,DATA!$I$2:$I78,D$12,DATA!$H$2:$H78,$C13)/
COUNTIFS(DATA!$G$2:$G78,D8,DATA!$C$2:$C78,D6,DATA!$B$2:$B78,D7,DATA!$I$2:$I78,D$12,DATA!$H$2:$H78,"&lt;&gt;-")</f>
        <v>#DIV/0!</v>
      </c>
      <c r="E13" s="83" t="e">
        <f>COUNTIFS(DATA!$G$2:$G78,D8,DATA!$C$2:$C78,D6,DATA!$B$2:$B78,D7,DATA!$I$2:$I78,E$12,DATA!$H$2:$H78,$C13)/
COUNTIFS(DATA!$G$2:$G78,D8,DATA!$C$2:$C78,D6,DATA!$B$2:$B78,D7,DATA!$I$2:$I78,E$12,DATA!$H$2:$H78,"&lt;&gt;-")</f>
        <v>#DIV/0!</v>
      </c>
      <c r="F13" s="83">
        <f>COUNTIFS(DATA!$G$2:$G78,D8,DATA!$C$2:$C78,D6,DATA!$B$2:$B78,D7,DATA!$I$2:$I78,F$12,DATA!$H$2:$H78,$C13)/
COUNTIFS(DATA!$G$2:$G78,D8,DATA!$C$2:$C78,D6,DATA!$B$2:$B78,D7,DATA!$I$2:$I78,F$12,DATA!$H$2:$H78,"&lt;&gt;-")</f>
        <v>0.7142857142857143</v>
      </c>
      <c r="I13" s="91"/>
      <c r="J13" s="91"/>
      <c r="K13" s="91"/>
      <c r="L13" s="91"/>
      <c r="M13" s="91"/>
      <c r="N13" s="308"/>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row>
    <row r="14" spans="2:227" ht="15.75" customHeight="1" x14ac:dyDescent="0.25">
      <c r="B14" s="87"/>
      <c r="C14" s="24" t="s">
        <v>23</v>
      </c>
      <c r="D14" s="83" t="e">
        <f>COUNTIFS(DATA!$G$2:$G78,D8,DATA!$C$2:$C78,D6,DATA!$B$2:$B78,D7,DATA!$I$2:$I78,D$12,DATA!$H$2:$H78,$C14)/
COUNTIFS(DATA!$G$2:$G78,D8,DATA!$C$2:$C78,D6,DATA!$B$2:$B78,D7,DATA!$I$2:$I78,D$12,DATA!$H$2:$H78,"&lt;&gt;-")</f>
        <v>#DIV/0!</v>
      </c>
      <c r="E14" s="83" t="e">
        <f>COUNTIFS(DATA!$G$2:$G78,D8,DATA!$C$2:$C78,D6,DATA!$B$2:$B78,D7,DATA!$I$2:$I78,E$12,DATA!$H$2:$H78,$C14)/
COUNTIFS(DATA!$G$2:$G78,D8,DATA!$C$2:$C78,D6,DATA!$B$2:$B78,D7,DATA!$I$2:$I78,E$12,DATA!$H$2:$H78,"&lt;&gt;-")</f>
        <v>#DIV/0!</v>
      </c>
      <c r="F14" s="83">
        <f>COUNTIFS(DATA!$G$2:$G78,D8,DATA!$C$2:$C78,D6,DATA!$B$2:$B78,D7,DATA!$I$2:$I78,F$12,DATA!$H$2:$H78,$C14)/
COUNTIFS(DATA!$G$2:$G78,D8,DATA!$C$2:$C78,D6,DATA!$B$2:$B78,D7,DATA!$I$2:$I78,F$12,DATA!$H$2:$H78,"&lt;&gt;-")</f>
        <v>0.23376623376623376</v>
      </c>
      <c r="I14" s="91"/>
      <c r="J14" s="91"/>
      <c r="K14" s="91"/>
      <c r="L14" s="91"/>
      <c r="M14" s="91"/>
      <c r="N14" s="308"/>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c r="HD14" s="91"/>
      <c r="HE14" s="91"/>
      <c r="HF14" s="91"/>
      <c r="HG14" s="91"/>
      <c r="HH14" s="91"/>
      <c r="HI14" s="91"/>
      <c r="HJ14" s="91"/>
      <c r="HK14" s="91"/>
      <c r="HL14" s="91"/>
      <c r="HM14" s="91"/>
      <c r="HN14" s="91"/>
      <c r="HO14" s="91"/>
      <c r="HP14" s="91"/>
      <c r="HQ14" s="91"/>
      <c r="HR14" s="91"/>
      <c r="HS14" s="91"/>
    </row>
    <row r="15" spans="2:227" ht="15.75" customHeight="1" x14ac:dyDescent="0.25">
      <c r="B15" s="87"/>
      <c r="C15" s="24" t="s">
        <v>25</v>
      </c>
      <c r="D15" s="83" t="e">
        <f>COUNTIFS(DATA!$G$2:$G78,D8,DATA!$C$2:$C78,D6,DATA!$B$2:$B78,D7,DATA!$I$2:$I78,D$12,DATA!$H$2:$H78,$C15)/
COUNTIFS(DATA!$G$2:$G78,D8,DATA!$C$2:$C78,D6,DATA!$B$2:$B78,D7,DATA!$I$2:$I78,D$12,DATA!$H$2:$H78,"&lt;&gt;-")</f>
        <v>#DIV/0!</v>
      </c>
      <c r="E15" s="83" t="e">
        <f>COUNTIFS(DATA!$G$2:$G78,D8,DATA!$C$2:$C78,D6,DATA!$B$2:$B78,D7,DATA!$I$2:$I78,E$12,DATA!$H$2:$H78,$C15)/
COUNTIFS(DATA!$G$2:$G78,D8,DATA!$C$2:$C78,D6,DATA!$B$2:$B78,D7,DATA!$I$2:$I78,E$12,DATA!$H$2:$H78,"&lt;&gt;-")</f>
        <v>#DIV/0!</v>
      </c>
      <c r="F15" s="83">
        <f>COUNTIFS(DATA!$G$2:$G78,D8,DATA!$C$2:$C78,D6,DATA!$B$2:$B78,D7,DATA!$I$2:$I78,F$12,DATA!$H$2:$H78,$C15)/
COUNTIFS(DATA!$G$2:$G78,D8,DATA!$C$2:$C78,D6,DATA!$B$2:$B78,D7,DATA!$I$2:$I78,F$12,DATA!$H$2:$H78,"&lt;&gt;-")</f>
        <v>5.1948051948051951E-2</v>
      </c>
      <c r="N15" s="308"/>
    </row>
    <row r="16" spans="2:227" x14ac:dyDescent="0.3">
      <c r="B16" s="87"/>
      <c r="C16" s="96" t="s">
        <v>275</v>
      </c>
      <c r="D16" s="97" t="e">
        <f t="shared" ref="D16:F16" si="1">SUM(D13:D15)</f>
        <v>#DIV/0!</v>
      </c>
      <c r="E16" s="97" t="e">
        <f t="shared" si="1"/>
        <v>#DIV/0!</v>
      </c>
      <c r="F16" s="97">
        <f t="shared" si="1"/>
        <v>1</v>
      </c>
      <c r="N16" s="308"/>
    </row>
    <row r="17" spans="2:14" ht="15.75" customHeight="1" x14ac:dyDescent="0.25">
      <c r="B17" s="87"/>
      <c r="C17" s="24"/>
      <c r="D17" s="91"/>
      <c r="E17" s="91"/>
      <c r="F17" s="91"/>
      <c r="G17" s="24"/>
      <c r="H17" s="24"/>
      <c r="N17" s="308"/>
    </row>
    <row r="18" spans="2:14" ht="15.75" customHeight="1" x14ac:dyDescent="0.25">
      <c r="B18" s="87"/>
      <c r="C18" s="98"/>
      <c r="D18" s="91"/>
      <c r="E18" s="91"/>
      <c r="F18" s="91"/>
      <c r="G18" s="24"/>
      <c r="H18" s="24"/>
      <c r="N18" s="308"/>
    </row>
    <row r="19" spans="2:14" x14ac:dyDescent="0.3">
      <c r="B19" s="87"/>
      <c r="D19" s="99"/>
      <c r="G19" s="24"/>
      <c r="H19" s="24"/>
      <c r="N19" s="308"/>
    </row>
    <row r="20" spans="2:14" x14ac:dyDescent="0.3">
      <c r="B20" s="87"/>
      <c r="D20" s="99"/>
      <c r="G20" s="24"/>
      <c r="H20" s="24"/>
      <c r="N20" s="308"/>
    </row>
    <row r="21" spans="2:14" x14ac:dyDescent="0.3">
      <c r="B21" s="87"/>
      <c r="D21" s="99"/>
      <c r="G21" s="24"/>
      <c r="H21" s="24"/>
      <c r="N21" s="308"/>
    </row>
    <row r="22" spans="2:14" ht="15.75" customHeight="1" x14ac:dyDescent="0.25">
      <c r="B22" s="87"/>
      <c r="C22" s="347"/>
      <c r="D22" s="348" t="s">
        <v>8</v>
      </c>
      <c r="E22" s="349" t="s">
        <v>1489</v>
      </c>
      <c r="F22" s="350"/>
      <c r="G22" s="350"/>
      <c r="H22" s="350"/>
      <c r="I22" s="351"/>
      <c r="N22" s="308"/>
    </row>
    <row r="23" spans="2:14" ht="15.75" customHeight="1" x14ac:dyDescent="0.25">
      <c r="B23" s="87"/>
      <c r="C23" s="352"/>
      <c r="D23" s="347">
        <v>2022</v>
      </c>
      <c r="E23" s="350"/>
      <c r="F23" s="347" t="s">
        <v>113</v>
      </c>
      <c r="G23" s="350"/>
      <c r="H23" s="347" t="s">
        <v>20</v>
      </c>
      <c r="I23" s="351"/>
      <c r="N23" s="308"/>
    </row>
    <row r="24" spans="2:14" ht="12.5" x14ac:dyDescent="0.25">
      <c r="B24" s="87"/>
      <c r="C24" s="348" t="s">
        <v>7</v>
      </c>
      <c r="D24" s="347" t="s">
        <v>2033</v>
      </c>
      <c r="E24" s="354" t="s">
        <v>2033</v>
      </c>
      <c r="F24" s="347" t="s">
        <v>2033</v>
      </c>
      <c r="G24" s="354" t="s">
        <v>2033</v>
      </c>
      <c r="H24" s="347" t="s">
        <v>2033</v>
      </c>
      <c r="I24" s="355" t="s">
        <v>2033</v>
      </c>
      <c r="N24" s="308"/>
    </row>
    <row r="25" spans="2:14" ht="12.5" x14ac:dyDescent="0.25">
      <c r="B25" s="87"/>
      <c r="C25" s="353" t="s">
        <v>19</v>
      </c>
      <c r="D25" s="356">
        <v>229</v>
      </c>
      <c r="E25" s="357">
        <v>0.6450704225352113</v>
      </c>
      <c r="F25" s="356">
        <v>554</v>
      </c>
      <c r="G25" s="357">
        <v>0.59442060085836912</v>
      </c>
      <c r="H25" s="356">
        <v>823</v>
      </c>
      <c r="I25" s="358">
        <v>0.80607247796278159</v>
      </c>
      <c r="J25" s="68"/>
      <c r="K25" s="76"/>
      <c r="N25" s="308"/>
    </row>
    <row r="26" spans="2:14" ht="12.5" x14ac:dyDescent="0.25">
      <c r="B26" s="87"/>
      <c r="C26" s="359" t="s">
        <v>23</v>
      </c>
      <c r="D26" s="360">
        <v>77</v>
      </c>
      <c r="E26" s="361">
        <v>0.21690140845070421</v>
      </c>
      <c r="F26" s="360">
        <v>321</v>
      </c>
      <c r="G26" s="361">
        <v>0.34442060085836912</v>
      </c>
      <c r="H26" s="360">
        <v>169</v>
      </c>
      <c r="I26" s="362">
        <v>0.16552399608227228</v>
      </c>
      <c r="J26" s="68"/>
      <c r="K26" s="76"/>
      <c r="N26" s="308"/>
    </row>
    <row r="27" spans="2:14" ht="13" x14ac:dyDescent="0.3">
      <c r="B27" s="87"/>
      <c r="C27" s="359" t="s">
        <v>25</v>
      </c>
      <c r="D27" s="360">
        <v>49</v>
      </c>
      <c r="E27" s="361">
        <v>0.13802816901408452</v>
      </c>
      <c r="F27" s="360">
        <v>57</v>
      </c>
      <c r="G27" s="361">
        <v>6.1158798283261803E-2</v>
      </c>
      <c r="H27" s="360">
        <v>29</v>
      </c>
      <c r="I27" s="362">
        <v>2.8403525954946131E-2</v>
      </c>
      <c r="J27" s="101"/>
      <c r="K27" s="102"/>
      <c r="N27" s="308"/>
    </row>
    <row r="28" spans="2:14" ht="12.5" x14ac:dyDescent="0.25">
      <c r="B28" s="87"/>
      <c r="C28" s="363" t="s">
        <v>2034</v>
      </c>
      <c r="D28" s="364">
        <v>355</v>
      </c>
      <c r="E28" s="365">
        <v>1</v>
      </c>
      <c r="F28" s="364">
        <v>932</v>
      </c>
      <c r="G28" s="365">
        <v>1</v>
      </c>
      <c r="H28" s="364">
        <v>1021</v>
      </c>
      <c r="I28" s="366">
        <v>1</v>
      </c>
      <c r="J28" s="104"/>
      <c r="K28" s="102"/>
      <c r="N28" s="308"/>
    </row>
    <row r="29" spans="2:14" ht="13" x14ac:dyDescent="0.3">
      <c r="B29" s="87"/>
      <c r="C29" s="103"/>
      <c r="D29" s="105"/>
      <c r="E29" s="106"/>
      <c r="F29" s="106"/>
      <c r="G29" s="24"/>
      <c r="H29" s="24"/>
      <c r="N29" s="308"/>
    </row>
    <row r="30" spans="2:14" ht="13" x14ac:dyDescent="0.3">
      <c r="B30" s="87"/>
      <c r="D30" s="99"/>
      <c r="G30" s="24"/>
      <c r="H30" s="24"/>
      <c r="N30" s="308"/>
    </row>
    <row r="31" spans="2:14" ht="13" x14ac:dyDescent="0.3">
      <c r="B31" s="87"/>
      <c r="D31" s="99"/>
      <c r="G31" s="24"/>
      <c r="H31" s="24"/>
      <c r="N31" s="308"/>
    </row>
    <row r="32" spans="2:14" ht="12.5" x14ac:dyDescent="0.25">
      <c r="B32" s="107"/>
      <c r="C32" s="108"/>
      <c r="D32" s="108"/>
      <c r="E32" s="108"/>
      <c r="F32" s="108"/>
      <c r="G32" s="109"/>
      <c r="H32" s="109"/>
      <c r="I32" s="109"/>
      <c r="J32" s="109"/>
      <c r="K32" s="109"/>
      <c r="L32" s="109"/>
      <c r="M32" s="109"/>
      <c r="N32" s="309"/>
    </row>
    <row r="33" spans="2:14" ht="13" x14ac:dyDescent="0.3">
      <c r="D33" s="99"/>
    </row>
    <row r="34" spans="2:14" ht="13" x14ac:dyDescent="0.3">
      <c r="D34" s="99"/>
    </row>
    <row r="35" spans="2:14" ht="13" x14ac:dyDescent="0.3">
      <c r="D35" s="99"/>
    </row>
    <row r="36" spans="2:14" ht="13" x14ac:dyDescent="0.3">
      <c r="B36" s="84"/>
      <c r="C36" s="85"/>
      <c r="D36" s="110"/>
      <c r="E36" s="85"/>
      <c r="F36" s="85"/>
      <c r="G36" s="85"/>
      <c r="H36" s="85"/>
      <c r="I36" s="85"/>
      <c r="J36" s="85"/>
      <c r="K36" s="85"/>
      <c r="L36" s="85"/>
      <c r="M36" s="85"/>
      <c r="N36" s="111"/>
    </row>
    <row r="37" spans="2:14" ht="12.5" x14ac:dyDescent="0.25">
      <c r="B37" s="87"/>
      <c r="C37" s="348" t="s">
        <v>2033</v>
      </c>
      <c r="D37" s="348" t="s">
        <v>7</v>
      </c>
      <c r="E37" s="350"/>
      <c r="F37" s="351"/>
      <c r="N37" s="112"/>
    </row>
    <row r="38" spans="2:14" ht="12.5" x14ac:dyDescent="0.25">
      <c r="B38" s="87"/>
      <c r="C38" s="348" t="s">
        <v>1</v>
      </c>
      <c r="D38" s="353" t="s">
        <v>19</v>
      </c>
      <c r="E38" s="369" t="s">
        <v>23</v>
      </c>
      <c r="F38" s="370" t="s">
        <v>25</v>
      </c>
      <c r="N38" s="112"/>
    </row>
    <row r="39" spans="2:14" ht="12.5" x14ac:dyDescent="0.25">
      <c r="B39" s="87"/>
      <c r="C39" s="347" t="s">
        <v>89</v>
      </c>
      <c r="D39" s="371">
        <v>0.1951219512195122</v>
      </c>
      <c r="E39" s="357">
        <v>0.48780487804878048</v>
      </c>
      <c r="F39" s="358">
        <v>0.31707317073170732</v>
      </c>
      <c r="N39" s="112"/>
    </row>
    <row r="40" spans="2:14" ht="12.5" x14ac:dyDescent="0.25">
      <c r="B40" s="87"/>
      <c r="C40" s="372" t="s">
        <v>60</v>
      </c>
      <c r="D40" s="373">
        <v>0.88065843621399176</v>
      </c>
      <c r="E40" s="361">
        <v>0.102880658436214</v>
      </c>
      <c r="F40" s="362">
        <v>1.646090534979424E-2</v>
      </c>
      <c r="N40" s="112"/>
    </row>
    <row r="41" spans="2:14" ht="12.5" x14ac:dyDescent="0.25">
      <c r="B41" s="87"/>
      <c r="C41" s="372" t="s">
        <v>14</v>
      </c>
      <c r="D41" s="373">
        <v>0.75536480686695284</v>
      </c>
      <c r="E41" s="361">
        <v>0.20600858369098712</v>
      </c>
      <c r="F41" s="362">
        <v>3.8626609442060089E-2</v>
      </c>
      <c r="N41" s="112"/>
    </row>
    <row r="42" spans="2:14" ht="12.5" x14ac:dyDescent="0.25">
      <c r="B42" s="87"/>
      <c r="C42" s="372" t="s">
        <v>83</v>
      </c>
      <c r="D42" s="373">
        <v>0.92090395480225984</v>
      </c>
      <c r="E42" s="361">
        <v>7.909604519774012E-2</v>
      </c>
      <c r="F42" s="362">
        <v>0</v>
      </c>
      <c r="N42" s="112"/>
    </row>
    <row r="43" spans="2:14" ht="12.5" x14ac:dyDescent="0.25">
      <c r="B43" s="87"/>
      <c r="C43" s="372" t="s">
        <v>44</v>
      </c>
      <c r="D43" s="373">
        <v>0.61486486486486491</v>
      </c>
      <c r="E43" s="361">
        <v>0.20945945945945946</v>
      </c>
      <c r="F43" s="362">
        <v>0.17567567567567569</v>
      </c>
      <c r="N43" s="112"/>
    </row>
    <row r="44" spans="2:14" ht="12.5" x14ac:dyDescent="0.25">
      <c r="B44" s="87"/>
      <c r="C44" s="372" t="s">
        <v>54</v>
      </c>
      <c r="D44" s="373">
        <v>0.63917525773195871</v>
      </c>
      <c r="E44" s="361">
        <v>0.28522336769759449</v>
      </c>
      <c r="F44" s="362">
        <v>7.560137457044673E-2</v>
      </c>
      <c r="N44" s="112"/>
    </row>
    <row r="45" spans="2:14" ht="12.5" x14ac:dyDescent="0.25">
      <c r="B45" s="87"/>
      <c r="C45" s="374" t="s">
        <v>2034</v>
      </c>
      <c r="D45" s="375">
        <v>0.76453488372093026</v>
      </c>
      <c r="E45" s="365">
        <v>0.17877906976744187</v>
      </c>
      <c r="F45" s="366">
        <v>5.6686046511627904E-2</v>
      </c>
      <c r="N45" s="112"/>
    </row>
    <row r="46" spans="2:14" ht="13" x14ac:dyDescent="0.3">
      <c r="B46" s="87"/>
      <c r="D46" s="99"/>
      <c r="N46" s="112"/>
    </row>
    <row r="47" spans="2:14" ht="13" x14ac:dyDescent="0.3">
      <c r="B47" s="87"/>
      <c r="D47" s="99"/>
      <c r="N47" s="112"/>
    </row>
    <row r="48" spans="2:14" ht="13" x14ac:dyDescent="0.3">
      <c r="B48" s="87"/>
      <c r="D48" s="99"/>
      <c r="N48" s="112"/>
    </row>
    <row r="49" spans="2:14" ht="13" x14ac:dyDescent="0.3">
      <c r="B49" s="87"/>
      <c r="D49" s="99"/>
      <c r="N49" s="112"/>
    </row>
    <row r="50" spans="2:14" ht="13" x14ac:dyDescent="0.3">
      <c r="B50" s="87"/>
      <c r="D50" s="99"/>
      <c r="N50" s="112"/>
    </row>
    <row r="51" spans="2:14" ht="13" x14ac:dyDescent="0.3">
      <c r="B51" s="87"/>
      <c r="D51" s="99"/>
      <c r="N51" s="112"/>
    </row>
    <row r="52" spans="2:14" ht="13" x14ac:dyDescent="0.3">
      <c r="B52" s="107"/>
      <c r="C52" s="109"/>
      <c r="D52" s="113"/>
      <c r="E52" s="109"/>
      <c r="F52" s="109"/>
      <c r="G52" s="109"/>
      <c r="H52" s="109"/>
      <c r="I52" s="109"/>
      <c r="J52" s="109"/>
      <c r="K52" s="109"/>
      <c r="L52" s="109"/>
      <c r="M52" s="109"/>
      <c r="N52" s="114"/>
    </row>
    <row r="53" spans="2:14" ht="13" x14ac:dyDescent="0.3">
      <c r="D53" s="99"/>
    </row>
    <row r="54" spans="2:14" ht="13" x14ac:dyDescent="0.3">
      <c r="D54" s="99"/>
    </row>
    <row r="55" spans="2:14" ht="13" x14ac:dyDescent="0.3">
      <c r="D55" s="99"/>
    </row>
    <row r="56" spans="2:14" ht="12.5" x14ac:dyDescent="0.25">
      <c r="C56" s="367" t="s">
        <v>8</v>
      </c>
      <c r="D56" s="376">
        <v>2022</v>
      </c>
    </row>
    <row r="57" spans="2:14" ht="13" x14ac:dyDescent="0.3">
      <c r="B57" s="84"/>
      <c r="C57" s="85"/>
      <c r="D57" s="110"/>
      <c r="E57" s="85"/>
      <c r="F57" s="85"/>
      <c r="G57" s="85"/>
      <c r="H57" s="85"/>
      <c r="I57" s="85"/>
      <c r="J57" s="85"/>
      <c r="K57" s="85"/>
      <c r="L57" s="85"/>
      <c r="M57" s="85"/>
      <c r="N57" s="111"/>
    </row>
    <row r="58" spans="2:14" ht="12.5" x14ac:dyDescent="0.25">
      <c r="B58" s="87"/>
      <c r="C58" s="348" t="s">
        <v>2033</v>
      </c>
      <c r="D58" s="348" t="s">
        <v>7</v>
      </c>
      <c r="E58" s="350"/>
      <c r="F58" s="351"/>
      <c r="N58" s="112"/>
    </row>
    <row r="59" spans="2:14" ht="12.5" x14ac:dyDescent="0.25">
      <c r="B59" s="87"/>
      <c r="C59" s="348" t="s">
        <v>3</v>
      </c>
      <c r="D59" s="353" t="s">
        <v>19</v>
      </c>
      <c r="E59" s="369" t="s">
        <v>23</v>
      </c>
      <c r="F59" s="370" t="s">
        <v>25</v>
      </c>
      <c r="N59" s="112"/>
    </row>
    <row r="60" spans="2:14" ht="12.5" x14ac:dyDescent="0.25">
      <c r="B60" s="87"/>
      <c r="C60" s="347" t="s">
        <v>45</v>
      </c>
      <c r="D60" s="371">
        <v>0.54166666666666663</v>
      </c>
      <c r="E60" s="357">
        <v>0.41666666666666669</v>
      </c>
      <c r="F60" s="358">
        <v>4.1666666666666664E-2</v>
      </c>
      <c r="N60" s="112"/>
    </row>
    <row r="61" spans="2:14" ht="12.5" x14ac:dyDescent="0.25">
      <c r="B61" s="87"/>
      <c r="C61" s="372" t="s">
        <v>42</v>
      </c>
      <c r="D61" s="373">
        <v>0.82407407407407407</v>
      </c>
      <c r="E61" s="361">
        <v>5.5555555555555552E-2</v>
      </c>
      <c r="F61" s="362">
        <v>0.12037037037037036</v>
      </c>
      <c r="N61" s="112"/>
    </row>
    <row r="62" spans="2:14" ht="12.5" x14ac:dyDescent="0.25">
      <c r="B62" s="87"/>
      <c r="C62" s="372" t="s">
        <v>16</v>
      </c>
      <c r="D62" s="373">
        <v>0.47619047619047616</v>
      </c>
      <c r="E62" s="361">
        <v>0.21428571428571427</v>
      </c>
      <c r="F62" s="362">
        <v>0.30952380952380953</v>
      </c>
      <c r="N62" s="112"/>
    </row>
    <row r="63" spans="2:14" ht="12.5" x14ac:dyDescent="0.25">
      <c r="B63" s="87"/>
      <c r="C63" s="372" t="s">
        <v>43</v>
      </c>
      <c r="D63" s="373">
        <v>0.7857142857142857</v>
      </c>
      <c r="E63" s="361">
        <v>0.16071428571428573</v>
      </c>
      <c r="F63" s="362">
        <v>5.3571428571428568E-2</v>
      </c>
      <c r="N63" s="112"/>
    </row>
    <row r="64" spans="2:14" ht="12.5" x14ac:dyDescent="0.25">
      <c r="B64" s="87"/>
      <c r="C64" s="372" t="s">
        <v>37</v>
      </c>
      <c r="D64" s="373">
        <v>0.27536231884057971</v>
      </c>
      <c r="E64" s="361">
        <v>0.49275362318840582</v>
      </c>
      <c r="F64" s="362">
        <v>0.2318840579710145</v>
      </c>
      <c r="N64" s="112"/>
    </row>
    <row r="65" spans="2:14" ht="12.5" x14ac:dyDescent="0.25">
      <c r="B65" s="87"/>
      <c r="C65" s="374" t="s">
        <v>2034</v>
      </c>
      <c r="D65" s="375">
        <v>0.6450704225352113</v>
      </c>
      <c r="E65" s="365">
        <v>0.21690140845070421</v>
      </c>
      <c r="F65" s="366">
        <v>0.13802816901408452</v>
      </c>
      <c r="N65" s="112"/>
    </row>
    <row r="66" spans="2:14" ht="13" x14ac:dyDescent="0.3">
      <c r="B66" s="87"/>
      <c r="D66" s="99"/>
      <c r="N66" s="112"/>
    </row>
    <row r="67" spans="2:14" ht="13" x14ac:dyDescent="0.3">
      <c r="B67" s="87"/>
      <c r="D67" s="99"/>
      <c r="N67" s="112"/>
    </row>
    <row r="68" spans="2:14" ht="13" x14ac:dyDescent="0.3">
      <c r="B68" s="87"/>
      <c r="D68" s="99"/>
      <c r="N68" s="112"/>
    </row>
    <row r="69" spans="2:14" ht="13" x14ac:dyDescent="0.3">
      <c r="B69" s="87"/>
      <c r="D69" s="99"/>
      <c r="N69" s="112"/>
    </row>
    <row r="70" spans="2:14" ht="13" x14ac:dyDescent="0.3">
      <c r="B70" s="87"/>
      <c r="D70" s="99"/>
      <c r="N70" s="112"/>
    </row>
    <row r="71" spans="2:14" ht="13" x14ac:dyDescent="0.3">
      <c r="B71" s="87"/>
      <c r="D71" s="99"/>
      <c r="N71" s="112"/>
    </row>
    <row r="72" spans="2:14" ht="13" x14ac:dyDescent="0.3">
      <c r="B72" s="87"/>
      <c r="D72" s="99"/>
      <c r="N72" s="112"/>
    </row>
    <row r="73" spans="2:14" ht="13" x14ac:dyDescent="0.3">
      <c r="B73" s="107"/>
      <c r="C73" s="109"/>
      <c r="D73" s="113"/>
      <c r="E73" s="109"/>
      <c r="F73" s="109"/>
      <c r="G73" s="109"/>
      <c r="H73" s="109"/>
      <c r="I73" s="109"/>
      <c r="J73" s="109"/>
      <c r="K73" s="109"/>
      <c r="L73" s="109"/>
      <c r="M73" s="109"/>
      <c r="N73" s="114"/>
    </row>
    <row r="74" spans="2:14" ht="13" x14ac:dyDescent="0.3">
      <c r="D74" s="99"/>
    </row>
    <row r="75" spans="2:14" ht="13" x14ac:dyDescent="0.3">
      <c r="D75" s="99"/>
    </row>
    <row r="76" spans="2:14" ht="13" x14ac:dyDescent="0.3">
      <c r="D76" s="99"/>
    </row>
    <row r="77" spans="2:14" ht="13" x14ac:dyDescent="0.3">
      <c r="D77" s="99"/>
    </row>
    <row r="78" spans="2:14" ht="13" x14ac:dyDescent="0.3">
      <c r="D78" s="99"/>
    </row>
  </sheetData>
  <mergeCells count="4">
    <mergeCell ref="N5:N32"/>
    <mergeCell ref="D6:E6"/>
    <mergeCell ref="D7:E7"/>
    <mergeCell ref="D8:E8"/>
  </mergeCells>
  <dataValidations count="1">
    <dataValidation type="list" allowBlank="1" showErrorMessage="1" sqref="D8" xr:uid="{00000000-0002-0000-0B00-000000000000}">
      <formula1>"*,Masculino,Femenino"</formula1>
    </dataValidation>
  </dataValidations>
  <printOptions horizontalCentered="1" gridLines="1"/>
  <pageMargins left="0.7" right="0.7" top="0.75" bottom="0.75" header="0" footer="0"/>
  <pageSetup paperSize="9" fitToHeight="0" pageOrder="overThenDown" orientation="portrait" cellComments="atEnd"/>
  <drawing r:id="rId4"/>
  <extLst>
    <ext xmlns:x14="http://schemas.microsoft.com/office/spreadsheetml/2009/9/main" uri="{CCE6A557-97BC-4b89-ADB6-D9C93CAAB3DF}">
      <x14:dataValidations xmlns:xm="http://schemas.microsoft.com/office/excel/2006/main" count="2">
        <x14:dataValidation type="list" allowBlank="1" showErrorMessage="1" xr:uid="{00000000-0002-0000-0B00-000001000000}">
          <x14:formula1>
            <xm:f>claves!$B$3:$B$10</xm:f>
          </x14:formula1>
          <xm:sqref>D6</xm:sqref>
        </x14:dataValidation>
        <x14:dataValidation type="list" allowBlank="1" showErrorMessage="1" xr:uid="{00000000-0002-0000-0B00-000002000000}">
          <x14:formula1>
            <xm:f>nombres!$O$4:$O$22</xm:f>
          </x14:formula1>
          <xm:sqref>D7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1:U1298"/>
  <sheetViews>
    <sheetView showGridLines="0" workbookViewId="0"/>
  </sheetViews>
  <sheetFormatPr baseColWidth="10" defaultColWidth="12.6328125" defaultRowHeight="15.75" customHeight="1" x14ac:dyDescent="0.25"/>
  <cols>
    <col min="2" max="2" width="17.7265625" customWidth="1"/>
    <col min="3" max="3" width="28.6328125" customWidth="1"/>
    <col min="14" max="22" width="9.08984375" customWidth="1"/>
  </cols>
  <sheetData>
    <row r="1" spans="2:21" ht="15.75" customHeight="1" x14ac:dyDescent="0.25">
      <c r="B1" s="367" t="s">
        <v>8</v>
      </c>
      <c r="C1" s="368" t="s">
        <v>20</v>
      </c>
      <c r="E1" s="76"/>
      <c r="F1" s="76"/>
      <c r="G1" s="76"/>
      <c r="H1" s="76"/>
    </row>
    <row r="2" spans="2:21" ht="15.75" customHeight="1" x14ac:dyDescent="0.25">
      <c r="E2" s="76"/>
      <c r="F2" s="76"/>
      <c r="G2" s="76"/>
      <c r="H2" s="76"/>
      <c r="M2" s="367" t="s">
        <v>8</v>
      </c>
      <c r="N2" s="368" t="s">
        <v>20</v>
      </c>
    </row>
    <row r="3" spans="2:21" ht="15.75" customHeight="1" x14ac:dyDescent="0.25">
      <c r="B3" s="347"/>
      <c r="C3" s="350"/>
      <c r="D3" s="350"/>
      <c r="E3" s="348" t="s">
        <v>1489</v>
      </c>
      <c r="F3" s="351"/>
      <c r="G3" s="76"/>
      <c r="H3" s="76"/>
    </row>
    <row r="4" spans="2:21" ht="15.75" customHeight="1" x14ac:dyDescent="0.25">
      <c r="B4" s="348" t="s">
        <v>1</v>
      </c>
      <c r="C4" s="348" t="s">
        <v>4</v>
      </c>
      <c r="D4" s="348" t="s">
        <v>3</v>
      </c>
      <c r="E4" s="347" t="s">
        <v>2033</v>
      </c>
      <c r="F4" s="355" t="s">
        <v>2033</v>
      </c>
      <c r="G4" s="76"/>
      <c r="H4" s="76"/>
      <c r="M4" s="348" t="s">
        <v>2035</v>
      </c>
      <c r="N4" s="348" t="s">
        <v>2</v>
      </c>
      <c r="O4" s="349" t="s">
        <v>3</v>
      </c>
      <c r="P4" s="350"/>
      <c r="Q4" s="350"/>
      <c r="R4" s="350"/>
      <c r="S4" s="350"/>
      <c r="T4" s="350"/>
      <c r="U4" s="351"/>
    </row>
    <row r="5" spans="2:21" ht="15.75" customHeight="1" x14ac:dyDescent="0.25">
      <c r="B5" s="347" t="s">
        <v>89</v>
      </c>
      <c r="C5" s="353" t="s">
        <v>173</v>
      </c>
      <c r="D5" s="347" t="s">
        <v>42</v>
      </c>
      <c r="E5" s="356">
        <v>17</v>
      </c>
      <c r="F5" s="358">
        <v>1.6650342801175319E-2</v>
      </c>
      <c r="G5" s="76"/>
      <c r="H5" s="76"/>
      <c r="M5" s="352"/>
      <c r="N5" s="347" t="s">
        <v>15</v>
      </c>
      <c r="O5" s="350"/>
      <c r="P5" s="350"/>
      <c r="Q5" s="347" t="s">
        <v>301</v>
      </c>
      <c r="R5" s="347" t="s">
        <v>41</v>
      </c>
      <c r="S5" s="350"/>
      <c r="T5" s="347" t="s">
        <v>302</v>
      </c>
      <c r="U5" s="377" t="s">
        <v>2034</v>
      </c>
    </row>
    <row r="6" spans="2:21" ht="15.75" customHeight="1" x14ac:dyDescent="0.25">
      <c r="B6" s="352"/>
      <c r="C6" s="352"/>
      <c r="D6" s="372" t="s">
        <v>43</v>
      </c>
      <c r="E6" s="360">
        <v>24</v>
      </c>
      <c r="F6" s="362">
        <v>2.3506366307541625E-2</v>
      </c>
      <c r="G6" s="76"/>
      <c r="H6" s="76"/>
      <c r="M6" s="348" t="s">
        <v>1</v>
      </c>
      <c r="N6" s="347" t="s">
        <v>45</v>
      </c>
      <c r="O6" s="354" t="s">
        <v>16</v>
      </c>
      <c r="P6" s="354" t="s">
        <v>37</v>
      </c>
      <c r="Q6" s="352"/>
      <c r="R6" s="347" t="s">
        <v>42</v>
      </c>
      <c r="S6" s="354" t="s">
        <v>43</v>
      </c>
      <c r="T6" s="352"/>
      <c r="U6" s="378"/>
    </row>
    <row r="7" spans="2:21" ht="15.75" customHeight="1" x14ac:dyDescent="0.25">
      <c r="B7" s="347" t="s">
        <v>276</v>
      </c>
      <c r="C7" s="350"/>
      <c r="D7" s="350"/>
      <c r="E7" s="356">
        <v>41</v>
      </c>
      <c r="F7" s="358">
        <v>4.0156709108716944E-2</v>
      </c>
      <c r="G7" s="76"/>
      <c r="H7" s="76"/>
      <c r="M7" s="347" t="s">
        <v>89</v>
      </c>
      <c r="N7" s="356"/>
      <c r="O7" s="379"/>
      <c r="P7" s="379"/>
      <c r="Q7" s="356"/>
      <c r="R7" s="356">
        <v>17</v>
      </c>
      <c r="S7" s="379">
        <v>24</v>
      </c>
      <c r="T7" s="356">
        <v>41</v>
      </c>
      <c r="U7" s="380">
        <v>41</v>
      </c>
    </row>
    <row r="8" spans="2:21" ht="15.75" customHeight="1" x14ac:dyDescent="0.25">
      <c r="B8" s="347" t="s">
        <v>60</v>
      </c>
      <c r="C8" s="353" t="s">
        <v>155</v>
      </c>
      <c r="D8" s="347" t="s">
        <v>45</v>
      </c>
      <c r="E8" s="356">
        <v>3</v>
      </c>
      <c r="F8" s="358">
        <v>2.9382957884427031E-3</v>
      </c>
      <c r="G8" s="76"/>
      <c r="H8" s="76"/>
      <c r="M8" s="372" t="s">
        <v>60</v>
      </c>
      <c r="N8" s="360">
        <v>51</v>
      </c>
      <c r="O8" s="381">
        <v>52</v>
      </c>
      <c r="P8" s="381">
        <v>56</v>
      </c>
      <c r="Q8" s="360">
        <v>159</v>
      </c>
      <c r="R8" s="360">
        <v>94</v>
      </c>
      <c r="S8" s="381">
        <v>68</v>
      </c>
      <c r="T8" s="360">
        <v>162</v>
      </c>
      <c r="U8" s="382">
        <v>321</v>
      </c>
    </row>
    <row r="9" spans="2:21" ht="15.75" customHeight="1" x14ac:dyDescent="0.25">
      <c r="B9" s="352"/>
      <c r="C9" s="352"/>
      <c r="D9" s="372" t="s">
        <v>16</v>
      </c>
      <c r="E9" s="360">
        <v>5</v>
      </c>
      <c r="F9" s="362">
        <v>4.8971596474045058E-3</v>
      </c>
      <c r="G9" s="76"/>
      <c r="H9" s="76"/>
      <c r="M9" s="372" t="s">
        <v>14</v>
      </c>
      <c r="N9" s="360"/>
      <c r="O9" s="381">
        <v>80</v>
      </c>
      <c r="P9" s="381">
        <v>87</v>
      </c>
      <c r="Q9" s="360">
        <v>167</v>
      </c>
      <c r="R9" s="360">
        <v>37</v>
      </c>
      <c r="S9" s="381">
        <v>29</v>
      </c>
      <c r="T9" s="360">
        <v>66</v>
      </c>
      <c r="U9" s="382">
        <v>233</v>
      </c>
    </row>
    <row r="10" spans="2:21" ht="15.75" customHeight="1" x14ac:dyDescent="0.25">
      <c r="B10" s="352"/>
      <c r="C10" s="352"/>
      <c r="D10" s="372" t="s">
        <v>37</v>
      </c>
      <c r="E10" s="360">
        <v>2</v>
      </c>
      <c r="F10" s="362">
        <v>1.9588638589618022E-3</v>
      </c>
      <c r="G10" s="76"/>
      <c r="H10" s="76"/>
      <c r="M10" s="372" t="s">
        <v>83</v>
      </c>
      <c r="N10" s="360">
        <v>33</v>
      </c>
      <c r="O10" s="381">
        <v>30</v>
      </c>
      <c r="P10" s="381">
        <v>27</v>
      </c>
      <c r="Q10" s="360">
        <v>90</v>
      </c>
      <c r="R10" s="360">
        <v>24</v>
      </c>
      <c r="S10" s="381">
        <v>26</v>
      </c>
      <c r="T10" s="360">
        <v>50</v>
      </c>
      <c r="U10" s="382">
        <v>140</v>
      </c>
    </row>
    <row r="11" spans="2:21" ht="15.75" customHeight="1" x14ac:dyDescent="0.25">
      <c r="B11" s="352"/>
      <c r="C11" s="353" t="s">
        <v>156</v>
      </c>
      <c r="D11" s="347" t="s">
        <v>45</v>
      </c>
      <c r="E11" s="356">
        <v>1</v>
      </c>
      <c r="F11" s="358">
        <v>9.7943192948090111E-4</v>
      </c>
      <c r="G11" s="76"/>
      <c r="H11" s="76"/>
      <c r="M11" s="372" t="s">
        <v>44</v>
      </c>
      <c r="N11" s="360">
        <v>35</v>
      </c>
      <c r="O11" s="381">
        <v>32</v>
      </c>
      <c r="P11" s="381">
        <v>33</v>
      </c>
      <c r="Q11" s="360">
        <v>100</v>
      </c>
      <c r="R11" s="360"/>
      <c r="S11" s="381"/>
      <c r="T11" s="360"/>
      <c r="U11" s="382">
        <v>100</v>
      </c>
    </row>
    <row r="12" spans="2:21" ht="15.75" customHeight="1" x14ac:dyDescent="0.25">
      <c r="B12" s="352"/>
      <c r="C12" s="352"/>
      <c r="D12" s="372" t="s">
        <v>37</v>
      </c>
      <c r="E12" s="360">
        <v>1</v>
      </c>
      <c r="F12" s="362">
        <v>9.7943192948090111E-4</v>
      </c>
      <c r="G12" s="76"/>
      <c r="H12" s="76"/>
      <c r="M12" s="372" t="s">
        <v>54</v>
      </c>
      <c r="N12" s="360">
        <v>22</v>
      </c>
      <c r="O12" s="381">
        <v>12</v>
      </c>
      <c r="P12" s="381">
        <v>16</v>
      </c>
      <c r="Q12" s="360">
        <v>50</v>
      </c>
      <c r="R12" s="360">
        <v>64</v>
      </c>
      <c r="S12" s="381">
        <v>72</v>
      </c>
      <c r="T12" s="360">
        <v>136</v>
      </c>
      <c r="U12" s="382">
        <v>186</v>
      </c>
    </row>
    <row r="13" spans="2:21" ht="15.75" customHeight="1" x14ac:dyDescent="0.25">
      <c r="B13" s="352"/>
      <c r="C13" s="353" t="s">
        <v>160</v>
      </c>
      <c r="D13" s="347" t="s">
        <v>45</v>
      </c>
      <c r="E13" s="356">
        <v>2</v>
      </c>
      <c r="F13" s="358">
        <v>1.9588638589618022E-3</v>
      </c>
      <c r="G13" s="76"/>
      <c r="H13" s="76"/>
      <c r="M13" s="374" t="s">
        <v>2034</v>
      </c>
      <c r="N13" s="364">
        <v>141</v>
      </c>
      <c r="O13" s="383">
        <v>206</v>
      </c>
      <c r="P13" s="383">
        <v>219</v>
      </c>
      <c r="Q13" s="364">
        <v>566</v>
      </c>
      <c r="R13" s="364">
        <v>236</v>
      </c>
      <c r="S13" s="383">
        <v>219</v>
      </c>
      <c r="T13" s="364">
        <v>455</v>
      </c>
      <c r="U13" s="384">
        <v>1021</v>
      </c>
    </row>
    <row r="14" spans="2:21" ht="15.75" customHeight="1" x14ac:dyDescent="0.25">
      <c r="B14" s="352"/>
      <c r="C14" s="352"/>
      <c r="D14" s="372" t="s">
        <v>42</v>
      </c>
      <c r="E14" s="360">
        <v>8</v>
      </c>
      <c r="F14" s="362">
        <v>7.8354554358472089E-3</v>
      </c>
      <c r="G14" s="76"/>
      <c r="H14" s="76"/>
    </row>
    <row r="15" spans="2:21" ht="15.75" customHeight="1" x14ac:dyDescent="0.25">
      <c r="B15" s="352"/>
      <c r="C15" s="352"/>
      <c r="D15" s="372" t="s">
        <v>16</v>
      </c>
      <c r="E15" s="360">
        <v>2</v>
      </c>
      <c r="F15" s="362">
        <v>1.9588638589618022E-3</v>
      </c>
      <c r="G15" s="76"/>
      <c r="H15" s="76"/>
    </row>
    <row r="16" spans="2:21" ht="15.75" customHeight="1" x14ac:dyDescent="0.25">
      <c r="B16" s="352"/>
      <c r="C16" s="352"/>
      <c r="D16" s="372" t="s">
        <v>43</v>
      </c>
      <c r="E16" s="360">
        <v>3</v>
      </c>
      <c r="F16" s="362">
        <v>2.9382957884427031E-3</v>
      </c>
      <c r="G16" s="76"/>
      <c r="H16" s="76"/>
      <c r="M16" s="367" t="s">
        <v>8</v>
      </c>
      <c r="N16" s="368" t="s">
        <v>20</v>
      </c>
    </row>
    <row r="17" spans="2:17" ht="15.75" customHeight="1" x14ac:dyDescent="0.25">
      <c r="B17" s="352"/>
      <c r="C17" s="352"/>
      <c r="D17" s="372" t="s">
        <v>37</v>
      </c>
      <c r="E17" s="360">
        <v>4</v>
      </c>
      <c r="F17" s="362">
        <v>3.9177277179236044E-3</v>
      </c>
      <c r="G17" s="76"/>
      <c r="H17" s="76"/>
    </row>
    <row r="18" spans="2:17" ht="15.75" customHeight="1" x14ac:dyDescent="0.25">
      <c r="B18" s="352"/>
      <c r="C18" s="353" t="s">
        <v>162</v>
      </c>
      <c r="D18" s="347" t="s">
        <v>45</v>
      </c>
      <c r="E18" s="356">
        <v>10</v>
      </c>
      <c r="F18" s="358">
        <v>9.7943192948090115E-3</v>
      </c>
      <c r="G18" s="76"/>
      <c r="H18" s="76"/>
      <c r="M18" s="347"/>
      <c r="N18" s="348" t="s">
        <v>1489</v>
      </c>
      <c r="O18" s="351"/>
    </row>
    <row r="19" spans="2:17" ht="15.75" customHeight="1" x14ac:dyDescent="0.25">
      <c r="B19" s="352"/>
      <c r="C19" s="352"/>
      <c r="D19" s="372" t="s">
        <v>42</v>
      </c>
      <c r="E19" s="360">
        <v>23</v>
      </c>
      <c r="F19" s="362">
        <v>2.2526934378060724E-2</v>
      </c>
      <c r="G19" s="76"/>
      <c r="H19" s="76"/>
      <c r="M19" s="348" t="s">
        <v>3</v>
      </c>
      <c r="N19" s="347" t="s">
        <v>2033</v>
      </c>
      <c r="O19" s="355" t="s">
        <v>2033</v>
      </c>
    </row>
    <row r="20" spans="2:17" ht="15.75" customHeight="1" x14ac:dyDescent="0.25">
      <c r="B20" s="352"/>
      <c r="C20" s="352"/>
      <c r="D20" s="372" t="s">
        <v>16</v>
      </c>
      <c r="E20" s="360">
        <v>15</v>
      </c>
      <c r="F20" s="362">
        <v>1.4691478942213516E-2</v>
      </c>
      <c r="G20" s="76"/>
      <c r="H20" s="76"/>
      <c r="M20" s="347" t="s">
        <v>45</v>
      </c>
      <c r="N20" s="356">
        <v>141</v>
      </c>
      <c r="O20" s="358">
        <v>0.13809990205680706</v>
      </c>
    </row>
    <row r="21" spans="2:17" ht="15.75" customHeight="1" x14ac:dyDescent="0.25">
      <c r="B21" s="352"/>
      <c r="C21" s="352"/>
      <c r="D21" s="372" t="s">
        <v>43</v>
      </c>
      <c r="E21" s="360">
        <v>8</v>
      </c>
      <c r="F21" s="362">
        <v>7.8354554358472089E-3</v>
      </c>
      <c r="G21" s="76"/>
      <c r="H21" s="76"/>
      <c r="M21" s="372" t="s">
        <v>42</v>
      </c>
      <c r="N21" s="360">
        <v>236</v>
      </c>
      <c r="O21" s="362">
        <v>0.23114593535749264</v>
      </c>
    </row>
    <row r="22" spans="2:17" ht="15.75" customHeight="1" x14ac:dyDescent="0.25">
      <c r="B22" s="352"/>
      <c r="C22" s="352"/>
      <c r="D22" s="372" t="s">
        <v>37</v>
      </c>
      <c r="E22" s="360">
        <v>13</v>
      </c>
      <c r="F22" s="362">
        <v>1.2732615083251714E-2</v>
      </c>
      <c r="G22" s="76"/>
      <c r="H22" s="76"/>
      <c r="M22" s="372" t="s">
        <v>16</v>
      </c>
      <c r="N22" s="360">
        <v>206</v>
      </c>
      <c r="O22" s="362">
        <v>0.20176297747306562</v>
      </c>
    </row>
    <row r="23" spans="2:17" ht="15.75" customHeight="1" x14ac:dyDescent="0.25">
      <c r="B23" s="352"/>
      <c r="C23" s="353" t="s">
        <v>92</v>
      </c>
      <c r="D23" s="347" t="s">
        <v>45</v>
      </c>
      <c r="E23" s="356">
        <v>11</v>
      </c>
      <c r="F23" s="358">
        <v>1.0773751224289911E-2</v>
      </c>
      <c r="G23" s="76"/>
      <c r="H23" s="76"/>
      <c r="M23" s="372" t="s">
        <v>43</v>
      </c>
      <c r="N23" s="360">
        <v>219</v>
      </c>
      <c r="O23" s="362">
        <v>0.21449559255631734</v>
      </c>
    </row>
    <row r="24" spans="2:17" ht="12.5" x14ac:dyDescent="0.25">
      <c r="B24" s="352"/>
      <c r="C24" s="352"/>
      <c r="D24" s="372" t="s">
        <v>42</v>
      </c>
      <c r="E24" s="360">
        <v>25</v>
      </c>
      <c r="F24" s="362">
        <v>2.4485798237022526E-2</v>
      </c>
      <c r="G24" s="76"/>
      <c r="H24" s="76"/>
      <c r="M24" s="372" t="s">
        <v>37</v>
      </c>
      <c r="N24" s="360">
        <v>219</v>
      </c>
      <c r="O24" s="362">
        <v>0.21449559255631734</v>
      </c>
    </row>
    <row r="25" spans="2:17" ht="12.5" x14ac:dyDescent="0.25">
      <c r="B25" s="352"/>
      <c r="C25" s="352"/>
      <c r="D25" s="372" t="s">
        <v>16</v>
      </c>
      <c r="E25" s="360">
        <v>11</v>
      </c>
      <c r="F25" s="362">
        <v>1.0773751224289911E-2</v>
      </c>
      <c r="G25" s="76"/>
      <c r="H25" s="76"/>
      <c r="M25" s="374" t="s">
        <v>2034</v>
      </c>
      <c r="N25" s="364">
        <v>1021</v>
      </c>
      <c r="O25" s="366">
        <v>1</v>
      </c>
    </row>
    <row r="26" spans="2:17" ht="12.5" x14ac:dyDescent="0.25">
      <c r="B26" s="352"/>
      <c r="C26" s="352"/>
      <c r="D26" s="372" t="s">
        <v>43</v>
      </c>
      <c r="E26" s="360">
        <v>22</v>
      </c>
      <c r="F26" s="362">
        <v>2.1547502448579822E-2</v>
      </c>
      <c r="G26" s="76"/>
      <c r="H26" s="76"/>
    </row>
    <row r="27" spans="2:17" ht="12.5" x14ac:dyDescent="0.25">
      <c r="B27" s="352"/>
      <c r="C27" s="352"/>
      <c r="D27" s="372" t="s">
        <v>37</v>
      </c>
      <c r="E27" s="360">
        <v>12</v>
      </c>
      <c r="F27" s="362">
        <v>1.1753183153770812E-2</v>
      </c>
      <c r="G27" s="76"/>
      <c r="H27" s="76"/>
      <c r="M27" s="367" t="s">
        <v>3</v>
      </c>
      <c r="N27" s="368" t="s">
        <v>141</v>
      </c>
    </row>
    <row r="28" spans="2:17" ht="12.5" x14ac:dyDescent="0.25">
      <c r="B28" s="352"/>
      <c r="C28" s="353" t="s">
        <v>91</v>
      </c>
      <c r="D28" s="347" t="s">
        <v>45</v>
      </c>
      <c r="E28" s="356">
        <v>9</v>
      </c>
      <c r="F28" s="358">
        <v>8.8148873653281102E-3</v>
      </c>
      <c r="G28" s="76"/>
      <c r="H28" s="76"/>
      <c r="M28" s="367" t="s">
        <v>8</v>
      </c>
      <c r="N28" s="368" t="s">
        <v>20</v>
      </c>
    </row>
    <row r="29" spans="2:17" ht="12.5" x14ac:dyDescent="0.25">
      <c r="B29" s="352"/>
      <c r="C29" s="352"/>
      <c r="D29" s="372" t="s">
        <v>42</v>
      </c>
      <c r="E29" s="360">
        <v>12</v>
      </c>
      <c r="F29" s="362">
        <v>1.1753183153770812E-2</v>
      </c>
      <c r="G29" s="76"/>
      <c r="H29" s="76"/>
    </row>
    <row r="30" spans="2:17" ht="12.5" x14ac:dyDescent="0.25">
      <c r="B30" s="352"/>
      <c r="C30" s="352"/>
      <c r="D30" s="372" t="s">
        <v>16</v>
      </c>
      <c r="E30" s="360">
        <v>7</v>
      </c>
      <c r="F30" s="362">
        <v>6.8560235063663075E-3</v>
      </c>
      <c r="G30" s="76"/>
      <c r="H30" s="76"/>
      <c r="M30" s="347"/>
      <c r="N30" s="348" t="s">
        <v>7</v>
      </c>
      <c r="O30" s="349" t="s">
        <v>1489</v>
      </c>
      <c r="P30" s="350"/>
      <c r="Q30" s="351"/>
    </row>
    <row r="31" spans="2:17" ht="12.5" x14ac:dyDescent="0.25">
      <c r="B31" s="352"/>
      <c r="C31" s="352"/>
      <c r="D31" s="372" t="s">
        <v>43</v>
      </c>
      <c r="E31" s="360">
        <v>11</v>
      </c>
      <c r="F31" s="362">
        <v>1.0773751224289911E-2</v>
      </c>
      <c r="G31" s="76"/>
      <c r="H31" s="76"/>
      <c r="M31" s="352"/>
      <c r="N31" s="353" t="s">
        <v>19</v>
      </c>
      <c r="O31" s="350"/>
      <c r="P31" s="353" t="s">
        <v>23</v>
      </c>
      <c r="Q31" s="351"/>
    </row>
    <row r="32" spans="2:17" ht="12.5" x14ac:dyDescent="0.25">
      <c r="B32" s="352"/>
      <c r="C32" s="352"/>
      <c r="D32" s="372" t="s">
        <v>37</v>
      </c>
      <c r="E32" s="360">
        <v>9</v>
      </c>
      <c r="F32" s="362">
        <v>8.8148873653281102E-3</v>
      </c>
      <c r="G32" s="76"/>
      <c r="H32" s="76"/>
      <c r="M32" s="348" t="s">
        <v>4</v>
      </c>
      <c r="N32" s="347" t="s">
        <v>2033</v>
      </c>
      <c r="O32" s="354" t="s">
        <v>2033</v>
      </c>
      <c r="P32" s="347" t="s">
        <v>2033</v>
      </c>
      <c r="Q32" s="355" t="s">
        <v>2033</v>
      </c>
    </row>
    <row r="33" spans="2:17" ht="12.5" x14ac:dyDescent="0.25">
      <c r="B33" s="352"/>
      <c r="C33" s="353" t="s">
        <v>154</v>
      </c>
      <c r="D33" s="347" t="s">
        <v>45</v>
      </c>
      <c r="E33" s="356">
        <v>1</v>
      </c>
      <c r="F33" s="358">
        <v>9.7943192948090111E-4</v>
      </c>
      <c r="G33" s="76"/>
      <c r="H33" s="76"/>
      <c r="M33" s="353" t="s">
        <v>59</v>
      </c>
      <c r="N33" s="356">
        <v>9</v>
      </c>
      <c r="O33" s="357">
        <v>0.9</v>
      </c>
      <c r="P33" s="356">
        <v>1</v>
      </c>
      <c r="Q33" s="358">
        <v>0.1</v>
      </c>
    </row>
    <row r="34" spans="2:17" ht="12.5" x14ac:dyDescent="0.25">
      <c r="B34" s="352"/>
      <c r="C34" s="352"/>
      <c r="D34" s="372" t="s">
        <v>16</v>
      </c>
      <c r="E34" s="360">
        <v>2</v>
      </c>
      <c r="F34" s="362">
        <v>1.9588638589618022E-3</v>
      </c>
      <c r="G34" s="76"/>
      <c r="H34" s="76"/>
      <c r="M34" s="359" t="s">
        <v>57</v>
      </c>
      <c r="N34" s="360">
        <v>7</v>
      </c>
      <c r="O34" s="361">
        <v>0.875</v>
      </c>
      <c r="P34" s="360">
        <v>1</v>
      </c>
      <c r="Q34" s="362">
        <v>0.125</v>
      </c>
    </row>
    <row r="35" spans="2:17" ht="12.5" x14ac:dyDescent="0.25">
      <c r="B35" s="352"/>
      <c r="C35" s="352"/>
      <c r="D35" s="372" t="s">
        <v>37</v>
      </c>
      <c r="E35" s="360">
        <v>2</v>
      </c>
      <c r="F35" s="362">
        <v>1.9588638589618022E-3</v>
      </c>
      <c r="G35" s="76"/>
      <c r="H35" s="76"/>
      <c r="M35" s="363" t="s">
        <v>2034</v>
      </c>
      <c r="N35" s="364">
        <v>16</v>
      </c>
      <c r="O35" s="365">
        <v>0.88888888888888884</v>
      </c>
      <c r="P35" s="364">
        <v>2</v>
      </c>
      <c r="Q35" s="366">
        <v>0.1111111111111111</v>
      </c>
    </row>
    <row r="36" spans="2:17" ht="12.5" x14ac:dyDescent="0.25">
      <c r="B36" s="352"/>
      <c r="C36" s="353" t="s">
        <v>157</v>
      </c>
      <c r="D36" s="347" t="s">
        <v>45</v>
      </c>
      <c r="E36" s="356">
        <v>1</v>
      </c>
      <c r="F36" s="358">
        <v>9.7943192948090111E-4</v>
      </c>
      <c r="G36" s="76"/>
      <c r="H36" s="76"/>
    </row>
    <row r="37" spans="2:17" ht="12.5" x14ac:dyDescent="0.25">
      <c r="B37" s="352"/>
      <c r="C37" s="352"/>
      <c r="D37" s="372" t="s">
        <v>37</v>
      </c>
      <c r="E37" s="360">
        <v>1</v>
      </c>
      <c r="F37" s="362">
        <v>9.7943192948090111E-4</v>
      </c>
      <c r="G37" s="76"/>
      <c r="H37" s="76"/>
    </row>
    <row r="38" spans="2:17" ht="12.5" x14ac:dyDescent="0.25">
      <c r="B38" s="352"/>
      <c r="C38" s="353" t="s">
        <v>165</v>
      </c>
      <c r="D38" s="347" t="s">
        <v>45</v>
      </c>
      <c r="E38" s="356">
        <v>2</v>
      </c>
      <c r="F38" s="358">
        <v>1.9588638589618022E-3</v>
      </c>
      <c r="G38" s="76"/>
      <c r="H38" s="76"/>
    </row>
    <row r="39" spans="2:17" ht="12.5" x14ac:dyDescent="0.25">
      <c r="B39" s="352"/>
      <c r="C39" s="352"/>
      <c r="D39" s="372" t="s">
        <v>16</v>
      </c>
      <c r="E39" s="360">
        <v>2</v>
      </c>
      <c r="F39" s="362">
        <v>1.9588638589618022E-3</v>
      </c>
      <c r="G39" s="76"/>
      <c r="H39" s="76"/>
    </row>
    <row r="40" spans="2:17" ht="12.5" x14ac:dyDescent="0.25">
      <c r="B40" s="352"/>
      <c r="C40" s="352"/>
      <c r="D40" s="372" t="s">
        <v>37</v>
      </c>
      <c r="E40" s="360">
        <v>1</v>
      </c>
      <c r="F40" s="362">
        <v>9.7943192948090111E-4</v>
      </c>
      <c r="G40" s="76"/>
      <c r="H40" s="76"/>
    </row>
    <row r="41" spans="2:17" ht="12.5" x14ac:dyDescent="0.25">
      <c r="B41" s="352"/>
      <c r="C41" s="353" t="s">
        <v>94</v>
      </c>
      <c r="D41" s="347" t="s">
        <v>45</v>
      </c>
      <c r="E41" s="356">
        <v>3</v>
      </c>
      <c r="F41" s="358">
        <v>2.9382957884427031E-3</v>
      </c>
      <c r="G41" s="76"/>
      <c r="H41" s="76"/>
    </row>
    <row r="42" spans="2:17" ht="12.5" x14ac:dyDescent="0.25">
      <c r="B42" s="352"/>
      <c r="C42" s="352"/>
      <c r="D42" s="372" t="s">
        <v>16</v>
      </c>
      <c r="E42" s="360">
        <v>2</v>
      </c>
      <c r="F42" s="362">
        <v>1.9588638589618022E-3</v>
      </c>
      <c r="G42" s="76"/>
      <c r="H42" s="76"/>
    </row>
    <row r="43" spans="2:17" ht="12.5" x14ac:dyDescent="0.25">
      <c r="B43" s="352"/>
      <c r="C43" s="352"/>
      <c r="D43" s="372" t="s">
        <v>37</v>
      </c>
      <c r="E43" s="360">
        <v>2</v>
      </c>
      <c r="F43" s="362">
        <v>1.9588638589618022E-3</v>
      </c>
      <c r="G43" s="76"/>
      <c r="H43" s="76"/>
    </row>
    <row r="44" spans="2:17" ht="12.5" x14ac:dyDescent="0.25">
      <c r="B44" s="352"/>
      <c r="C44" s="353" t="s">
        <v>163</v>
      </c>
      <c r="D44" s="347" t="s">
        <v>16</v>
      </c>
      <c r="E44" s="356">
        <v>1</v>
      </c>
      <c r="F44" s="358">
        <v>9.7943192948090111E-4</v>
      </c>
      <c r="G44" s="76"/>
      <c r="H44" s="76"/>
    </row>
    <row r="45" spans="2:17" ht="12.5" x14ac:dyDescent="0.25">
      <c r="B45" s="352"/>
      <c r="C45" s="352"/>
      <c r="D45" s="372" t="s">
        <v>37</v>
      </c>
      <c r="E45" s="360">
        <v>2</v>
      </c>
      <c r="F45" s="362">
        <v>1.9588638589618022E-3</v>
      </c>
      <c r="G45" s="76"/>
      <c r="H45" s="76"/>
    </row>
    <row r="46" spans="2:17" ht="12.5" x14ac:dyDescent="0.25">
      <c r="B46" s="352"/>
      <c r="C46" s="353" t="s">
        <v>140</v>
      </c>
      <c r="D46" s="347" t="s">
        <v>45</v>
      </c>
      <c r="E46" s="356">
        <v>1</v>
      </c>
      <c r="F46" s="358">
        <v>9.7943192948090111E-4</v>
      </c>
      <c r="G46" s="76"/>
      <c r="H46" s="76"/>
    </row>
    <row r="47" spans="2:17" ht="12.5" x14ac:dyDescent="0.25">
      <c r="B47" s="352"/>
      <c r="C47" s="352"/>
      <c r="D47" s="372" t="s">
        <v>16</v>
      </c>
      <c r="E47" s="360">
        <v>1</v>
      </c>
      <c r="F47" s="362">
        <v>9.7943192948090111E-4</v>
      </c>
      <c r="G47" s="76"/>
      <c r="H47" s="76"/>
    </row>
    <row r="48" spans="2:17" ht="12.5" x14ac:dyDescent="0.25">
      <c r="B48" s="352"/>
      <c r="C48" s="352"/>
      <c r="D48" s="372" t="s">
        <v>37</v>
      </c>
      <c r="E48" s="360">
        <v>2</v>
      </c>
      <c r="F48" s="362">
        <v>1.9588638589618022E-3</v>
      </c>
      <c r="G48" s="76"/>
      <c r="H48" s="76"/>
    </row>
    <row r="49" spans="2:8" ht="12.5" x14ac:dyDescent="0.25">
      <c r="B49" s="352"/>
      <c r="C49" s="353" t="s">
        <v>167</v>
      </c>
      <c r="D49" s="347" t="s">
        <v>45</v>
      </c>
      <c r="E49" s="356">
        <v>1</v>
      </c>
      <c r="F49" s="358">
        <v>9.7943192948090111E-4</v>
      </c>
      <c r="G49" s="76"/>
      <c r="H49" s="76"/>
    </row>
    <row r="50" spans="2:8" ht="12.5" x14ac:dyDescent="0.25">
      <c r="B50" s="352"/>
      <c r="C50" s="352"/>
      <c r="D50" s="372" t="s">
        <v>16</v>
      </c>
      <c r="E50" s="360">
        <v>1</v>
      </c>
      <c r="F50" s="362">
        <v>9.7943192948090111E-4</v>
      </c>
      <c r="G50" s="76"/>
      <c r="H50" s="76"/>
    </row>
    <row r="51" spans="2:8" ht="12.5" x14ac:dyDescent="0.25">
      <c r="B51" s="352"/>
      <c r="C51" s="353" t="s">
        <v>158</v>
      </c>
      <c r="D51" s="347" t="s">
        <v>45</v>
      </c>
      <c r="E51" s="356">
        <v>2</v>
      </c>
      <c r="F51" s="358">
        <v>1.9588638589618022E-3</v>
      </c>
      <c r="G51" s="76"/>
      <c r="H51" s="76"/>
    </row>
    <row r="52" spans="2:8" ht="12.5" x14ac:dyDescent="0.25">
      <c r="B52" s="352"/>
      <c r="C52" s="352"/>
      <c r="D52" s="372" t="s">
        <v>37</v>
      </c>
      <c r="E52" s="360">
        <v>1</v>
      </c>
      <c r="F52" s="362">
        <v>9.7943192948090111E-4</v>
      </c>
      <c r="G52" s="76"/>
      <c r="H52" s="76"/>
    </row>
    <row r="53" spans="2:8" ht="12.5" x14ac:dyDescent="0.25">
      <c r="B53" s="352"/>
      <c r="C53" s="353" t="s">
        <v>166</v>
      </c>
      <c r="D53" s="347" t="s">
        <v>45</v>
      </c>
      <c r="E53" s="356">
        <v>2</v>
      </c>
      <c r="F53" s="358">
        <v>1.9588638589618022E-3</v>
      </c>
      <c r="G53" s="76"/>
      <c r="H53" s="76"/>
    </row>
    <row r="54" spans="2:8" ht="12.5" x14ac:dyDescent="0.25">
      <c r="B54" s="352"/>
      <c r="C54" s="352"/>
      <c r="D54" s="372" t="s">
        <v>16</v>
      </c>
      <c r="E54" s="360">
        <v>1</v>
      </c>
      <c r="F54" s="362">
        <v>9.7943192948090111E-4</v>
      </c>
      <c r="G54" s="76"/>
      <c r="H54" s="76"/>
    </row>
    <row r="55" spans="2:8" ht="12.5" x14ac:dyDescent="0.25">
      <c r="B55" s="352"/>
      <c r="C55" s="352"/>
      <c r="D55" s="372" t="s">
        <v>37</v>
      </c>
      <c r="E55" s="360">
        <v>1</v>
      </c>
      <c r="F55" s="362">
        <v>9.7943192948090111E-4</v>
      </c>
      <c r="G55" s="76"/>
      <c r="H55" s="76"/>
    </row>
    <row r="56" spans="2:8" ht="12.5" x14ac:dyDescent="0.25">
      <c r="B56" s="352"/>
      <c r="C56" s="353" t="s">
        <v>164</v>
      </c>
      <c r="D56" s="347" t="s">
        <v>37</v>
      </c>
      <c r="E56" s="356">
        <v>2</v>
      </c>
      <c r="F56" s="358">
        <v>1.9588638589618022E-3</v>
      </c>
      <c r="G56" s="76"/>
      <c r="H56" s="76"/>
    </row>
    <row r="57" spans="2:8" ht="12.5" x14ac:dyDescent="0.25">
      <c r="B57" s="352"/>
      <c r="C57" s="353" t="s">
        <v>138</v>
      </c>
      <c r="D57" s="347" t="s">
        <v>45</v>
      </c>
      <c r="E57" s="356">
        <v>1</v>
      </c>
      <c r="F57" s="358">
        <v>9.7943192948090111E-4</v>
      </c>
      <c r="G57" s="76"/>
      <c r="H57" s="76"/>
    </row>
    <row r="58" spans="2:8" ht="12.5" x14ac:dyDescent="0.25">
      <c r="B58" s="352"/>
      <c r="C58" s="352"/>
      <c r="D58" s="372" t="s">
        <v>16</v>
      </c>
      <c r="E58" s="360">
        <v>1</v>
      </c>
      <c r="F58" s="362">
        <v>9.7943192948090111E-4</v>
      </c>
      <c r="G58" s="76"/>
      <c r="H58" s="76"/>
    </row>
    <row r="59" spans="2:8" ht="12.5" x14ac:dyDescent="0.25">
      <c r="B59" s="352"/>
      <c r="C59" s="353" t="s">
        <v>159</v>
      </c>
      <c r="D59" s="347" t="s">
        <v>16</v>
      </c>
      <c r="E59" s="356">
        <v>1</v>
      </c>
      <c r="F59" s="358">
        <v>9.7943192948090111E-4</v>
      </c>
      <c r="G59" s="76"/>
      <c r="H59" s="76"/>
    </row>
    <row r="60" spans="2:8" ht="12.5" x14ac:dyDescent="0.25">
      <c r="B60" s="352"/>
      <c r="C60" s="352"/>
      <c r="D60" s="372" t="s">
        <v>37</v>
      </c>
      <c r="E60" s="360">
        <v>1</v>
      </c>
      <c r="F60" s="362">
        <v>9.7943192948090111E-4</v>
      </c>
      <c r="G60" s="76"/>
      <c r="H60" s="76"/>
    </row>
    <row r="61" spans="2:8" ht="12.5" x14ac:dyDescent="0.25">
      <c r="B61" s="352"/>
      <c r="C61" s="353" t="s">
        <v>161</v>
      </c>
      <c r="D61" s="347" t="s">
        <v>45</v>
      </c>
      <c r="E61" s="356">
        <v>1</v>
      </c>
      <c r="F61" s="358">
        <v>9.7943192948090111E-4</v>
      </c>
      <c r="G61" s="76"/>
      <c r="H61" s="76"/>
    </row>
    <row r="62" spans="2:8" ht="12.5" x14ac:dyDescent="0.25">
      <c r="B62" s="352"/>
      <c r="C62" s="353" t="s">
        <v>65</v>
      </c>
      <c r="D62" s="347" t="s">
        <v>42</v>
      </c>
      <c r="E62" s="356">
        <v>26</v>
      </c>
      <c r="F62" s="358">
        <v>2.5465230166503428E-2</v>
      </c>
      <c r="G62" s="76"/>
      <c r="H62" s="76"/>
    </row>
    <row r="63" spans="2:8" ht="12.5" x14ac:dyDescent="0.25">
      <c r="B63" s="352"/>
      <c r="C63" s="352"/>
      <c r="D63" s="372" t="s">
        <v>43</v>
      </c>
      <c r="E63" s="360">
        <v>24</v>
      </c>
      <c r="F63" s="362">
        <v>2.3506366307541625E-2</v>
      </c>
      <c r="G63" s="76"/>
      <c r="H63" s="76"/>
    </row>
    <row r="64" spans="2:8" ht="12.5" x14ac:dyDescent="0.25">
      <c r="B64" s="347" t="s">
        <v>277</v>
      </c>
      <c r="C64" s="350"/>
      <c r="D64" s="350"/>
      <c r="E64" s="356">
        <v>321</v>
      </c>
      <c r="F64" s="358">
        <v>0.31439764936336922</v>
      </c>
      <c r="G64" s="76"/>
      <c r="H64" s="76"/>
    </row>
    <row r="65" spans="2:8" ht="12.5" x14ac:dyDescent="0.25">
      <c r="B65" s="347" t="s">
        <v>14</v>
      </c>
      <c r="C65" s="353" t="s">
        <v>35</v>
      </c>
      <c r="D65" s="347" t="s">
        <v>16</v>
      </c>
      <c r="E65" s="356">
        <v>2</v>
      </c>
      <c r="F65" s="358">
        <v>1.9588638589618022E-3</v>
      </c>
      <c r="G65" s="76"/>
      <c r="H65" s="76"/>
    </row>
    <row r="66" spans="2:8" ht="12.5" x14ac:dyDescent="0.25">
      <c r="B66" s="352"/>
      <c r="C66" s="352"/>
      <c r="D66" s="372" t="s">
        <v>37</v>
      </c>
      <c r="E66" s="360">
        <v>1</v>
      </c>
      <c r="F66" s="362">
        <v>9.7943192948090111E-4</v>
      </c>
      <c r="G66" s="76"/>
      <c r="H66" s="76"/>
    </row>
    <row r="67" spans="2:8" ht="12.5" x14ac:dyDescent="0.25">
      <c r="B67" s="352"/>
      <c r="C67" s="353" t="s">
        <v>33</v>
      </c>
      <c r="D67" s="347" t="s">
        <v>16</v>
      </c>
      <c r="E67" s="356">
        <v>1</v>
      </c>
      <c r="F67" s="358">
        <v>9.7943192948090111E-4</v>
      </c>
      <c r="G67" s="76"/>
      <c r="H67" s="76"/>
    </row>
    <row r="68" spans="2:8" ht="12.5" x14ac:dyDescent="0.25">
      <c r="B68" s="352"/>
      <c r="C68" s="352"/>
      <c r="D68" s="372" t="s">
        <v>37</v>
      </c>
      <c r="E68" s="360">
        <v>1</v>
      </c>
      <c r="F68" s="362">
        <v>9.7943192948090111E-4</v>
      </c>
      <c r="G68" s="76"/>
      <c r="H68" s="76"/>
    </row>
    <row r="69" spans="2:8" ht="12.5" x14ac:dyDescent="0.25">
      <c r="B69" s="352"/>
      <c r="C69" s="353" t="s">
        <v>30</v>
      </c>
      <c r="D69" s="347" t="s">
        <v>42</v>
      </c>
      <c r="E69" s="356">
        <v>37</v>
      </c>
      <c r="F69" s="358">
        <v>3.6238981390793339E-2</v>
      </c>
      <c r="G69" s="76"/>
      <c r="H69" s="76"/>
    </row>
    <row r="70" spans="2:8" ht="12.5" x14ac:dyDescent="0.25">
      <c r="B70" s="352"/>
      <c r="C70" s="352"/>
      <c r="D70" s="372" t="s">
        <v>16</v>
      </c>
      <c r="E70" s="360">
        <v>20</v>
      </c>
      <c r="F70" s="362">
        <v>1.9588638589618023E-2</v>
      </c>
      <c r="G70" s="76"/>
      <c r="H70" s="76"/>
    </row>
    <row r="71" spans="2:8" ht="12.5" x14ac:dyDescent="0.25">
      <c r="B71" s="352"/>
      <c r="C71" s="352"/>
      <c r="D71" s="372" t="s">
        <v>43</v>
      </c>
      <c r="E71" s="360">
        <v>29</v>
      </c>
      <c r="F71" s="362">
        <v>2.8403525954946131E-2</v>
      </c>
      <c r="G71" s="76"/>
      <c r="H71" s="76"/>
    </row>
    <row r="72" spans="2:8" ht="12.5" x14ac:dyDescent="0.25">
      <c r="B72" s="352"/>
      <c r="C72" s="352"/>
      <c r="D72" s="372" t="s">
        <v>37</v>
      </c>
      <c r="E72" s="360">
        <v>24</v>
      </c>
      <c r="F72" s="362">
        <v>2.3506366307541625E-2</v>
      </c>
      <c r="G72" s="76"/>
      <c r="H72" s="76"/>
    </row>
    <row r="73" spans="2:8" ht="12.5" x14ac:dyDescent="0.25">
      <c r="B73" s="352"/>
      <c r="C73" s="353" t="s">
        <v>36</v>
      </c>
      <c r="D73" s="347" t="s">
        <v>16</v>
      </c>
      <c r="E73" s="356">
        <v>10</v>
      </c>
      <c r="F73" s="358">
        <v>9.7943192948090115E-3</v>
      </c>
      <c r="G73" s="76"/>
      <c r="H73" s="76"/>
    </row>
    <row r="74" spans="2:8" ht="12.5" x14ac:dyDescent="0.25">
      <c r="B74" s="352"/>
      <c r="C74" s="352"/>
      <c r="D74" s="372" t="s">
        <v>37</v>
      </c>
      <c r="E74" s="360">
        <v>10</v>
      </c>
      <c r="F74" s="362">
        <v>9.7943192948090115E-3</v>
      </c>
      <c r="G74" s="76"/>
      <c r="H74" s="76"/>
    </row>
    <row r="75" spans="2:8" ht="12.5" x14ac:dyDescent="0.25">
      <c r="B75" s="352"/>
      <c r="C75" s="353" t="s">
        <v>31</v>
      </c>
      <c r="D75" s="347" t="s">
        <v>16</v>
      </c>
      <c r="E75" s="356">
        <v>1</v>
      </c>
      <c r="F75" s="358">
        <v>9.7943192948090111E-4</v>
      </c>
      <c r="G75" s="76"/>
      <c r="H75" s="76"/>
    </row>
    <row r="76" spans="2:8" ht="12.5" x14ac:dyDescent="0.25">
      <c r="B76" s="352"/>
      <c r="C76" s="353" t="s">
        <v>21</v>
      </c>
      <c r="D76" s="347" t="s">
        <v>16</v>
      </c>
      <c r="E76" s="356">
        <v>22</v>
      </c>
      <c r="F76" s="358">
        <v>2.1547502448579822E-2</v>
      </c>
      <c r="G76" s="76"/>
      <c r="H76" s="76"/>
    </row>
    <row r="77" spans="2:8" ht="12.5" x14ac:dyDescent="0.25">
      <c r="B77" s="352"/>
      <c r="C77" s="352"/>
      <c r="D77" s="372" t="s">
        <v>37</v>
      </c>
      <c r="E77" s="360">
        <v>24</v>
      </c>
      <c r="F77" s="362">
        <v>2.3506366307541625E-2</v>
      </c>
      <c r="G77" s="76"/>
      <c r="H77" s="76"/>
    </row>
    <row r="78" spans="2:8" ht="12.5" x14ac:dyDescent="0.25">
      <c r="B78" s="352"/>
      <c r="C78" s="353" t="s">
        <v>27</v>
      </c>
      <c r="D78" s="347" t="s">
        <v>16</v>
      </c>
      <c r="E78" s="356">
        <v>6</v>
      </c>
      <c r="F78" s="358">
        <v>5.8765915768854062E-3</v>
      </c>
      <c r="G78" s="76"/>
      <c r="H78" s="76"/>
    </row>
    <row r="79" spans="2:8" ht="12.5" x14ac:dyDescent="0.25">
      <c r="B79" s="352"/>
      <c r="C79" s="352"/>
      <c r="D79" s="372" t="s">
        <v>37</v>
      </c>
      <c r="E79" s="360">
        <v>5</v>
      </c>
      <c r="F79" s="362">
        <v>4.8971596474045058E-3</v>
      </c>
      <c r="G79" s="76"/>
      <c r="H79" s="76"/>
    </row>
    <row r="80" spans="2:8" ht="12.5" x14ac:dyDescent="0.25">
      <c r="B80" s="352"/>
      <c r="C80" s="353" t="s">
        <v>39</v>
      </c>
      <c r="D80" s="347" t="s">
        <v>37</v>
      </c>
      <c r="E80" s="356">
        <v>1</v>
      </c>
      <c r="F80" s="358">
        <v>9.7943192948090111E-4</v>
      </c>
      <c r="G80" s="76"/>
      <c r="H80" s="76"/>
    </row>
    <row r="81" spans="2:8" ht="12.5" x14ac:dyDescent="0.25">
      <c r="B81" s="352"/>
      <c r="C81" s="353" t="s">
        <v>40</v>
      </c>
      <c r="D81" s="347" t="s">
        <v>37</v>
      </c>
      <c r="E81" s="356">
        <v>1</v>
      </c>
      <c r="F81" s="358">
        <v>9.7943192948090111E-4</v>
      </c>
      <c r="G81" s="76"/>
      <c r="H81" s="76"/>
    </row>
    <row r="82" spans="2:8" ht="12.5" x14ac:dyDescent="0.25">
      <c r="B82" s="352"/>
      <c r="C82" s="353" t="s">
        <v>28</v>
      </c>
      <c r="D82" s="347" t="s">
        <v>16</v>
      </c>
      <c r="E82" s="356">
        <v>2</v>
      </c>
      <c r="F82" s="358">
        <v>1.9588638589618022E-3</v>
      </c>
      <c r="G82" s="76"/>
      <c r="H82" s="76"/>
    </row>
    <row r="83" spans="2:8" ht="12.5" x14ac:dyDescent="0.25">
      <c r="B83" s="352"/>
      <c r="C83" s="352"/>
      <c r="D83" s="372" t="s">
        <v>37</v>
      </c>
      <c r="E83" s="360">
        <v>3</v>
      </c>
      <c r="F83" s="362">
        <v>2.9382957884427031E-3</v>
      </c>
      <c r="G83" s="76"/>
      <c r="H83" s="76"/>
    </row>
    <row r="84" spans="2:8" ht="12.5" x14ac:dyDescent="0.25">
      <c r="B84" s="352"/>
      <c r="C84" s="353" t="s">
        <v>32</v>
      </c>
      <c r="D84" s="347" t="s">
        <v>16</v>
      </c>
      <c r="E84" s="356">
        <v>1</v>
      </c>
      <c r="F84" s="358">
        <v>9.7943192948090111E-4</v>
      </c>
      <c r="G84" s="76"/>
      <c r="H84" s="76"/>
    </row>
    <row r="85" spans="2:8" ht="12.5" x14ac:dyDescent="0.25">
      <c r="B85" s="352"/>
      <c r="C85" s="353" t="s">
        <v>34</v>
      </c>
      <c r="D85" s="347" t="s">
        <v>16</v>
      </c>
      <c r="E85" s="356">
        <v>1</v>
      </c>
      <c r="F85" s="358">
        <v>9.7943192948090111E-4</v>
      </c>
      <c r="G85" s="76"/>
      <c r="H85" s="76"/>
    </row>
    <row r="86" spans="2:8" ht="12.5" x14ac:dyDescent="0.25">
      <c r="B86" s="352"/>
      <c r="C86" s="352"/>
      <c r="D86" s="372" t="s">
        <v>37</v>
      </c>
      <c r="E86" s="360">
        <v>2</v>
      </c>
      <c r="F86" s="362">
        <v>1.9588638589618022E-3</v>
      </c>
      <c r="G86" s="76"/>
      <c r="H86" s="76"/>
    </row>
    <row r="87" spans="2:8" ht="12.5" x14ac:dyDescent="0.25">
      <c r="B87" s="352"/>
      <c r="C87" s="353" t="s">
        <v>26</v>
      </c>
      <c r="D87" s="347" t="s">
        <v>16</v>
      </c>
      <c r="E87" s="356">
        <v>7</v>
      </c>
      <c r="F87" s="358">
        <v>6.8560235063663075E-3</v>
      </c>
      <c r="G87" s="76"/>
      <c r="H87" s="76"/>
    </row>
    <row r="88" spans="2:8" ht="12.5" x14ac:dyDescent="0.25">
      <c r="B88" s="352"/>
      <c r="C88" s="352"/>
      <c r="D88" s="372" t="s">
        <v>37</v>
      </c>
      <c r="E88" s="360">
        <v>4</v>
      </c>
      <c r="F88" s="362">
        <v>3.9177277179236044E-3</v>
      </c>
      <c r="G88" s="76"/>
      <c r="H88" s="76"/>
    </row>
    <row r="89" spans="2:8" ht="12.5" x14ac:dyDescent="0.25">
      <c r="B89" s="352"/>
      <c r="C89" s="353" t="s">
        <v>38</v>
      </c>
      <c r="D89" s="347" t="s">
        <v>37</v>
      </c>
      <c r="E89" s="356">
        <v>2</v>
      </c>
      <c r="F89" s="358">
        <v>1.9588638589618022E-3</v>
      </c>
      <c r="G89" s="76"/>
      <c r="H89" s="76"/>
    </row>
    <row r="90" spans="2:8" ht="12.5" x14ac:dyDescent="0.25">
      <c r="B90" s="352"/>
      <c r="C90" s="353" t="s">
        <v>29</v>
      </c>
      <c r="D90" s="347" t="s">
        <v>16</v>
      </c>
      <c r="E90" s="356">
        <v>7</v>
      </c>
      <c r="F90" s="358">
        <v>6.8560235063663075E-3</v>
      </c>
      <c r="G90" s="76"/>
      <c r="H90" s="76"/>
    </row>
    <row r="91" spans="2:8" ht="12.5" x14ac:dyDescent="0.25">
      <c r="B91" s="352"/>
      <c r="C91" s="352"/>
      <c r="D91" s="372" t="s">
        <v>37</v>
      </c>
      <c r="E91" s="360">
        <v>9</v>
      </c>
      <c r="F91" s="362">
        <v>8.8148873653281102E-3</v>
      </c>
      <c r="G91" s="76"/>
      <c r="H91" s="76"/>
    </row>
    <row r="92" spans="2:8" ht="12.5" x14ac:dyDescent="0.25">
      <c r="B92" s="347" t="s">
        <v>279</v>
      </c>
      <c r="C92" s="350"/>
      <c r="D92" s="350"/>
      <c r="E92" s="356">
        <v>233</v>
      </c>
      <c r="F92" s="358">
        <v>0.22820763956904996</v>
      </c>
      <c r="G92" s="76"/>
      <c r="H92" s="76"/>
    </row>
    <row r="93" spans="2:8" ht="12.5" x14ac:dyDescent="0.25">
      <c r="B93" s="347" t="s">
        <v>83</v>
      </c>
      <c r="C93" s="353" t="s">
        <v>169</v>
      </c>
      <c r="D93" s="347" t="s">
        <v>45</v>
      </c>
      <c r="E93" s="356">
        <v>15</v>
      </c>
      <c r="F93" s="358">
        <v>1.4691478942213516E-2</v>
      </c>
      <c r="G93" s="76"/>
      <c r="H93" s="76"/>
    </row>
    <row r="94" spans="2:8" ht="12.5" x14ac:dyDescent="0.25">
      <c r="B94" s="352"/>
      <c r="C94" s="352"/>
      <c r="D94" s="372" t="s">
        <v>42</v>
      </c>
      <c r="E94" s="360">
        <v>20</v>
      </c>
      <c r="F94" s="362">
        <v>1.9588638589618023E-2</v>
      </c>
      <c r="G94" s="76"/>
      <c r="H94" s="76"/>
    </row>
    <row r="95" spans="2:8" ht="12.5" x14ac:dyDescent="0.25">
      <c r="B95" s="352"/>
      <c r="C95" s="352"/>
      <c r="D95" s="372" t="s">
        <v>16</v>
      </c>
      <c r="E95" s="360">
        <v>6</v>
      </c>
      <c r="F95" s="362">
        <v>5.8765915768854062E-3</v>
      </c>
      <c r="G95" s="76"/>
      <c r="H95" s="76"/>
    </row>
    <row r="96" spans="2:8" ht="12.5" x14ac:dyDescent="0.25">
      <c r="B96" s="352"/>
      <c r="C96" s="352"/>
      <c r="D96" s="372" t="s">
        <v>43</v>
      </c>
      <c r="E96" s="360">
        <v>21</v>
      </c>
      <c r="F96" s="362">
        <v>2.0568070519098921E-2</v>
      </c>
      <c r="G96" s="76"/>
      <c r="H96" s="76"/>
    </row>
    <row r="97" spans="2:8" ht="12.5" x14ac:dyDescent="0.25">
      <c r="B97" s="352"/>
      <c r="C97" s="352"/>
      <c r="D97" s="372" t="s">
        <v>37</v>
      </c>
      <c r="E97" s="360">
        <v>12</v>
      </c>
      <c r="F97" s="362">
        <v>1.1753183153770812E-2</v>
      </c>
      <c r="G97" s="76"/>
      <c r="H97" s="76"/>
    </row>
    <row r="98" spans="2:8" ht="12.5" x14ac:dyDescent="0.25">
      <c r="B98" s="352"/>
      <c r="C98" s="353" t="s">
        <v>172</v>
      </c>
      <c r="D98" s="347" t="s">
        <v>45</v>
      </c>
      <c r="E98" s="356">
        <v>7</v>
      </c>
      <c r="F98" s="358">
        <v>6.8560235063663075E-3</v>
      </c>
      <c r="G98" s="76"/>
      <c r="H98" s="76"/>
    </row>
    <row r="99" spans="2:8" ht="12.5" x14ac:dyDescent="0.25">
      <c r="B99" s="352"/>
      <c r="C99" s="352"/>
      <c r="D99" s="372" t="s">
        <v>42</v>
      </c>
      <c r="E99" s="360">
        <v>4</v>
      </c>
      <c r="F99" s="362">
        <v>3.9177277179236044E-3</v>
      </c>
      <c r="G99" s="76"/>
      <c r="H99" s="76"/>
    </row>
    <row r="100" spans="2:8" ht="12.5" x14ac:dyDescent="0.25">
      <c r="B100" s="352"/>
      <c r="C100" s="352"/>
      <c r="D100" s="372" t="s">
        <v>16</v>
      </c>
      <c r="E100" s="360">
        <v>5</v>
      </c>
      <c r="F100" s="362">
        <v>4.8971596474045058E-3</v>
      </c>
      <c r="G100" s="76"/>
      <c r="H100" s="76"/>
    </row>
    <row r="101" spans="2:8" ht="12.5" x14ac:dyDescent="0.25">
      <c r="B101" s="352"/>
      <c r="C101" s="352"/>
      <c r="D101" s="372" t="s">
        <v>43</v>
      </c>
      <c r="E101" s="360">
        <v>5</v>
      </c>
      <c r="F101" s="362">
        <v>4.8971596474045058E-3</v>
      </c>
      <c r="G101" s="76"/>
      <c r="H101" s="76"/>
    </row>
    <row r="102" spans="2:8" ht="12.5" x14ac:dyDescent="0.25">
      <c r="B102" s="352"/>
      <c r="C102" s="352"/>
      <c r="D102" s="372" t="s">
        <v>37</v>
      </c>
      <c r="E102" s="360">
        <v>5</v>
      </c>
      <c r="F102" s="362">
        <v>4.8971596474045058E-3</v>
      </c>
      <c r="G102" s="76"/>
      <c r="H102" s="76"/>
    </row>
    <row r="103" spans="2:8" ht="12.5" x14ac:dyDescent="0.25">
      <c r="B103" s="352"/>
      <c r="C103" s="353" t="s">
        <v>168</v>
      </c>
      <c r="D103" s="347" t="s">
        <v>45</v>
      </c>
      <c r="E103" s="356">
        <v>1</v>
      </c>
      <c r="F103" s="358">
        <v>9.7943192948090111E-4</v>
      </c>
      <c r="G103" s="76"/>
      <c r="H103" s="76"/>
    </row>
    <row r="104" spans="2:8" ht="12.5" x14ac:dyDescent="0.25">
      <c r="B104" s="352"/>
      <c r="C104" s="352"/>
      <c r="D104" s="372" t="s">
        <v>16</v>
      </c>
      <c r="E104" s="360">
        <v>4</v>
      </c>
      <c r="F104" s="362">
        <v>3.9177277179236044E-3</v>
      </c>
      <c r="G104" s="76"/>
      <c r="H104" s="76"/>
    </row>
    <row r="105" spans="2:8" ht="12.5" x14ac:dyDescent="0.25">
      <c r="B105" s="352"/>
      <c r="C105" s="352"/>
      <c r="D105" s="372" t="s">
        <v>37</v>
      </c>
      <c r="E105" s="360">
        <v>2</v>
      </c>
      <c r="F105" s="362">
        <v>1.9588638589618022E-3</v>
      </c>
      <c r="G105" s="76"/>
      <c r="H105" s="76"/>
    </row>
    <row r="106" spans="2:8" ht="12.5" x14ac:dyDescent="0.25">
      <c r="B106" s="352"/>
      <c r="C106" s="353" t="s">
        <v>171</v>
      </c>
      <c r="D106" s="347" t="s">
        <v>45</v>
      </c>
      <c r="E106" s="356">
        <v>6</v>
      </c>
      <c r="F106" s="358">
        <v>5.8765915768854062E-3</v>
      </c>
      <c r="G106" s="76"/>
      <c r="H106" s="76"/>
    </row>
    <row r="107" spans="2:8" ht="12.5" x14ac:dyDescent="0.25">
      <c r="B107" s="352"/>
      <c r="C107" s="352"/>
      <c r="D107" s="372" t="s">
        <v>16</v>
      </c>
      <c r="E107" s="360">
        <v>8</v>
      </c>
      <c r="F107" s="362">
        <v>7.8354554358472089E-3</v>
      </c>
      <c r="G107" s="76"/>
      <c r="H107" s="76"/>
    </row>
    <row r="108" spans="2:8" ht="12.5" x14ac:dyDescent="0.25">
      <c r="B108" s="352"/>
      <c r="C108" s="352"/>
      <c r="D108" s="372" t="s">
        <v>37</v>
      </c>
      <c r="E108" s="360">
        <v>5</v>
      </c>
      <c r="F108" s="362">
        <v>4.8971596474045058E-3</v>
      </c>
      <c r="G108" s="76"/>
      <c r="H108" s="76"/>
    </row>
    <row r="109" spans="2:8" ht="12.5" x14ac:dyDescent="0.25">
      <c r="B109" s="352"/>
      <c r="C109" s="353" t="s">
        <v>170</v>
      </c>
      <c r="D109" s="347" t="s">
        <v>45</v>
      </c>
      <c r="E109" s="356">
        <v>4</v>
      </c>
      <c r="F109" s="358">
        <v>3.9177277179236044E-3</v>
      </c>
      <c r="G109" s="76"/>
      <c r="H109" s="76"/>
    </row>
    <row r="110" spans="2:8" ht="12.5" x14ac:dyDescent="0.25">
      <c r="B110" s="352"/>
      <c r="C110" s="352"/>
      <c r="D110" s="372" t="s">
        <v>16</v>
      </c>
      <c r="E110" s="360">
        <v>7</v>
      </c>
      <c r="F110" s="362">
        <v>6.8560235063663075E-3</v>
      </c>
      <c r="G110" s="76"/>
      <c r="H110" s="76"/>
    </row>
    <row r="111" spans="2:8" ht="12.5" x14ac:dyDescent="0.25">
      <c r="B111" s="352"/>
      <c r="C111" s="352"/>
      <c r="D111" s="372" t="s">
        <v>37</v>
      </c>
      <c r="E111" s="360">
        <v>3</v>
      </c>
      <c r="F111" s="362">
        <v>2.9382957884427031E-3</v>
      </c>
      <c r="G111" s="76"/>
      <c r="H111" s="76"/>
    </row>
    <row r="112" spans="2:8" ht="12.5" x14ac:dyDescent="0.25">
      <c r="B112" s="347" t="s">
        <v>280</v>
      </c>
      <c r="C112" s="350"/>
      <c r="D112" s="350"/>
      <c r="E112" s="356">
        <v>140</v>
      </c>
      <c r="F112" s="358">
        <v>0.13712047012732614</v>
      </c>
      <c r="G112" s="76"/>
      <c r="H112" s="76"/>
    </row>
    <row r="113" spans="2:8" ht="12.5" x14ac:dyDescent="0.25">
      <c r="B113" s="347" t="s">
        <v>44</v>
      </c>
      <c r="C113" s="353" t="s">
        <v>150</v>
      </c>
      <c r="D113" s="347" t="s">
        <v>45</v>
      </c>
      <c r="E113" s="356">
        <v>3</v>
      </c>
      <c r="F113" s="358">
        <v>2.9382957884427031E-3</v>
      </c>
      <c r="G113" s="76"/>
      <c r="H113" s="76"/>
    </row>
    <row r="114" spans="2:8" ht="12.5" x14ac:dyDescent="0.25">
      <c r="B114" s="352"/>
      <c r="C114" s="352"/>
      <c r="D114" s="372" t="s">
        <v>16</v>
      </c>
      <c r="E114" s="360">
        <v>4</v>
      </c>
      <c r="F114" s="362">
        <v>3.9177277179236044E-3</v>
      </c>
      <c r="G114" s="76"/>
      <c r="H114" s="76"/>
    </row>
    <row r="115" spans="2:8" ht="12.5" x14ac:dyDescent="0.25">
      <c r="B115" s="352"/>
      <c r="C115" s="352"/>
      <c r="D115" s="372" t="s">
        <v>37</v>
      </c>
      <c r="E115" s="360">
        <v>4</v>
      </c>
      <c r="F115" s="362">
        <v>3.9177277179236044E-3</v>
      </c>
      <c r="G115" s="76"/>
      <c r="H115" s="76"/>
    </row>
    <row r="116" spans="2:8" ht="12.5" x14ac:dyDescent="0.25">
      <c r="B116" s="352"/>
      <c r="C116" s="353" t="s">
        <v>143</v>
      </c>
      <c r="D116" s="347" t="s">
        <v>45</v>
      </c>
      <c r="E116" s="356">
        <v>2</v>
      </c>
      <c r="F116" s="358">
        <v>1.9588638589618022E-3</v>
      </c>
      <c r="G116" s="76"/>
      <c r="H116" s="76"/>
    </row>
    <row r="117" spans="2:8" ht="12.5" x14ac:dyDescent="0.25">
      <c r="B117" s="352"/>
      <c r="C117" s="352"/>
      <c r="D117" s="372" t="s">
        <v>16</v>
      </c>
      <c r="E117" s="360">
        <v>2</v>
      </c>
      <c r="F117" s="362">
        <v>1.9588638589618022E-3</v>
      </c>
      <c r="G117" s="76"/>
      <c r="H117" s="76"/>
    </row>
    <row r="118" spans="2:8" ht="12.5" x14ac:dyDescent="0.25">
      <c r="B118" s="352"/>
      <c r="C118" s="352"/>
      <c r="D118" s="372" t="s">
        <v>37</v>
      </c>
      <c r="E118" s="360">
        <v>3</v>
      </c>
      <c r="F118" s="362">
        <v>2.9382957884427031E-3</v>
      </c>
      <c r="G118" s="76"/>
      <c r="H118" s="76"/>
    </row>
    <row r="119" spans="2:8" ht="12.5" x14ac:dyDescent="0.25">
      <c r="B119" s="352"/>
      <c r="C119" s="353" t="s">
        <v>144</v>
      </c>
      <c r="D119" s="347" t="s">
        <v>45</v>
      </c>
      <c r="E119" s="356">
        <v>3</v>
      </c>
      <c r="F119" s="358">
        <v>2.9382957884427031E-3</v>
      </c>
      <c r="G119" s="76"/>
      <c r="H119" s="76"/>
    </row>
    <row r="120" spans="2:8" ht="12.5" x14ac:dyDescent="0.25">
      <c r="B120" s="352"/>
      <c r="C120" s="352"/>
      <c r="D120" s="372" t="s">
        <v>16</v>
      </c>
      <c r="E120" s="360">
        <v>2</v>
      </c>
      <c r="F120" s="362">
        <v>1.9588638589618022E-3</v>
      </c>
      <c r="G120" s="76"/>
      <c r="H120" s="76"/>
    </row>
    <row r="121" spans="2:8" ht="12.5" x14ac:dyDescent="0.25">
      <c r="B121" s="352"/>
      <c r="C121" s="352"/>
      <c r="D121" s="372" t="s">
        <v>37</v>
      </c>
      <c r="E121" s="360">
        <v>2</v>
      </c>
      <c r="F121" s="362">
        <v>1.9588638589618022E-3</v>
      </c>
      <c r="G121" s="76"/>
      <c r="H121" s="76"/>
    </row>
    <row r="122" spans="2:8" ht="12.5" x14ac:dyDescent="0.25">
      <c r="B122" s="352"/>
      <c r="C122" s="353" t="s">
        <v>145</v>
      </c>
      <c r="D122" s="347" t="s">
        <v>45</v>
      </c>
      <c r="E122" s="356">
        <v>8</v>
      </c>
      <c r="F122" s="358">
        <v>7.8354554358472089E-3</v>
      </c>
      <c r="G122" s="76"/>
      <c r="H122" s="76"/>
    </row>
    <row r="123" spans="2:8" ht="12.5" x14ac:dyDescent="0.25">
      <c r="B123" s="352"/>
      <c r="C123" s="352"/>
      <c r="D123" s="372" t="s">
        <v>16</v>
      </c>
      <c r="E123" s="360">
        <v>9</v>
      </c>
      <c r="F123" s="362">
        <v>8.8148873653281102E-3</v>
      </c>
      <c r="G123" s="76"/>
      <c r="H123" s="76"/>
    </row>
    <row r="124" spans="2:8" ht="12.5" x14ac:dyDescent="0.25">
      <c r="B124" s="352"/>
      <c r="C124" s="352"/>
      <c r="D124" s="372" t="s">
        <v>37</v>
      </c>
      <c r="E124" s="360">
        <v>8</v>
      </c>
      <c r="F124" s="362">
        <v>7.8354554358472089E-3</v>
      </c>
      <c r="G124" s="76"/>
      <c r="H124" s="76"/>
    </row>
    <row r="125" spans="2:8" ht="12.5" x14ac:dyDescent="0.25">
      <c r="B125" s="352"/>
      <c r="C125" s="353" t="s">
        <v>147</v>
      </c>
      <c r="D125" s="347" t="s">
        <v>45</v>
      </c>
      <c r="E125" s="356">
        <v>2</v>
      </c>
      <c r="F125" s="358">
        <v>1.9588638589618022E-3</v>
      </c>
      <c r="G125" s="76"/>
      <c r="H125" s="76"/>
    </row>
    <row r="126" spans="2:8" ht="12.5" x14ac:dyDescent="0.25">
      <c r="B126" s="352"/>
      <c r="C126" s="352"/>
      <c r="D126" s="372" t="s">
        <v>16</v>
      </c>
      <c r="E126" s="360">
        <v>1</v>
      </c>
      <c r="F126" s="362">
        <v>9.7943192948090111E-4</v>
      </c>
      <c r="G126" s="76"/>
      <c r="H126" s="76"/>
    </row>
    <row r="127" spans="2:8" ht="12.5" x14ac:dyDescent="0.25">
      <c r="B127" s="352"/>
      <c r="C127" s="352"/>
      <c r="D127" s="372" t="s">
        <v>37</v>
      </c>
      <c r="E127" s="360">
        <v>1</v>
      </c>
      <c r="F127" s="362">
        <v>9.7943192948090111E-4</v>
      </c>
      <c r="G127" s="76"/>
      <c r="H127" s="76"/>
    </row>
    <row r="128" spans="2:8" ht="12.5" x14ac:dyDescent="0.25">
      <c r="B128" s="352"/>
      <c r="C128" s="353" t="s">
        <v>149</v>
      </c>
      <c r="D128" s="347" t="s">
        <v>45</v>
      </c>
      <c r="E128" s="356">
        <v>9</v>
      </c>
      <c r="F128" s="358">
        <v>8.8148873653281102E-3</v>
      </c>
      <c r="G128" s="76"/>
      <c r="H128" s="76"/>
    </row>
    <row r="129" spans="2:8" ht="12.5" x14ac:dyDescent="0.25">
      <c r="B129" s="352"/>
      <c r="C129" s="352"/>
      <c r="D129" s="372" t="s">
        <v>16</v>
      </c>
      <c r="E129" s="360">
        <v>10</v>
      </c>
      <c r="F129" s="362">
        <v>9.7943192948090115E-3</v>
      </c>
      <c r="G129" s="76"/>
      <c r="H129" s="76"/>
    </row>
    <row r="130" spans="2:8" ht="12.5" x14ac:dyDescent="0.25">
      <c r="B130" s="352"/>
      <c r="C130" s="352"/>
      <c r="D130" s="372" t="s">
        <v>37</v>
      </c>
      <c r="E130" s="360">
        <v>10</v>
      </c>
      <c r="F130" s="362">
        <v>9.7943192948090115E-3</v>
      </c>
      <c r="G130" s="76"/>
      <c r="H130" s="76"/>
    </row>
    <row r="131" spans="2:8" ht="12.5" x14ac:dyDescent="0.25">
      <c r="B131" s="352"/>
      <c r="C131" s="353" t="s">
        <v>146</v>
      </c>
      <c r="D131" s="347" t="s">
        <v>45</v>
      </c>
      <c r="E131" s="356">
        <v>7</v>
      </c>
      <c r="F131" s="358">
        <v>6.8560235063663075E-3</v>
      </c>
      <c r="G131" s="76"/>
      <c r="H131" s="76"/>
    </row>
    <row r="132" spans="2:8" ht="12.5" x14ac:dyDescent="0.25">
      <c r="B132" s="352"/>
      <c r="C132" s="352"/>
      <c r="D132" s="372" t="s">
        <v>16</v>
      </c>
      <c r="E132" s="360">
        <v>4</v>
      </c>
      <c r="F132" s="362">
        <v>3.9177277179236044E-3</v>
      </c>
      <c r="G132" s="76"/>
      <c r="H132" s="76"/>
    </row>
    <row r="133" spans="2:8" ht="12.5" x14ac:dyDescent="0.25">
      <c r="B133" s="352"/>
      <c r="C133" s="352"/>
      <c r="D133" s="372" t="s">
        <v>37</v>
      </c>
      <c r="E133" s="360">
        <v>4</v>
      </c>
      <c r="F133" s="362">
        <v>3.9177277179236044E-3</v>
      </c>
      <c r="G133" s="76"/>
      <c r="H133" s="76"/>
    </row>
    <row r="134" spans="2:8" ht="12.5" x14ac:dyDescent="0.25">
      <c r="B134" s="352"/>
      <c r="C134" s="353" t="s">
        <v>148</v>
      </c>
      <c r="D134" s="347" t="s">
        <v>45</v>
      </c>
      <c r="E134" s="356">
        <v>1</v>
      </c>
      <c r="F134" s="358">
        <v>9.7943192948090111E-4</v>
      </c>
      <c r="G134" s="76"/>
      <c r="H134" s="76"/>
    </row>
    <row r="135" spans="2:8" ht="12.5" x14ac:dyDescent="0.25">
      <c r="B135" s="352"/>
      <c r="C135" s="352"/>
      <c r="D135" s="372" t="s">
        <v>37</v>
      </c>
      <c r="E135" s="360">
        <v>1</v>
      </c>
      <c r="F135" s="362">
        <v>9.7943192948090111E-4</v>
      </c>
      <c r="G135" s="76"/>
      <c r="H135" s="76"/>
    </row>
    <row r="136" spans="2:8" ht="12.5" x14ac:dyDescent="0.25">
      <c r="B136" s="347" t="s">
        <v>281</v>
      </c>
      <c r="C136" s="350"/>
      <c r="D136" s="350"/>
      <c r="E136" s="356">
        <v>100</v>
      </c>
      <c r="F136" s="358">
        <v>9.7943192948090105E-2</v>
      </c>
      <c r="G136" s="76"/>
      <c r="H136" s="76"/>
    </row>
    <row r="137" spans="2:8" ht="12.5" x14ac:dyDescent="0.25">
      <c r="B137" s="347" t="s">
        <v>54</v>
      </c>
      <c r="C137" s="353" t="s">
        <v>59</v>
      </c>
      <c r="D137" s="347" t="s">
        <v>45</v>
      </c>
      <c r="E137" s="356">
        <v>12</v>
      </c>
      <c r="F137" s="358">
        <v>1.1753183153770812E-2</v>
      </c>
      <c r="G137" s="76"/>
      <c r="H137" s="76"/>
    </row>
    <row r="138" spans="2:8" ht="12.5" x14ac:dyDescent="0.25">
      <c r="B138" s="352"/>
      <c r="C138" s="352"/>
      <c r="D138" s="372" t="s">
        <v>16</v>
      </c>
      <c r="E138" s="360">
        <v>7</v>
      </c>
      <c r="F138" s="362">
        <v>6.8560235063663075E-3</v>
      </c>
      <c r="G138" s="76"/>
      <c r="H138" s="76"/>
    </row>
    <row r="139" spans="2:8" ht="12.5" x14ac:dyDescent="0.25">
      <c r="B139" s="352"/>
      <c r="C139" s="352"/>
      <c r="D139" s="372" t="s">
        <v>37</v>
      </c>
      <c r="E139" s="360">
        <v>8</v>
      </c>
      <c r="F139" s="362">
        <v>7.8354554358472089E-3</v>
      </c>
      <c r="G139" s="76"/>
      <c r="H139" s="76"/>
    </row>
    <row r="140" spans="2:8" ht="12.5" x14ac:dyDescent="0.25">
      <c r="B140" s="352"/>
      <c r="C140" s="353" t="s">
        <v>57</v>
      </c>
      <c r="D140" s="347" t="s">
        <v>45</v>
      </c>
      <c r="E140" s="356">
        <v>8</v>
      </c>
      <c r="F140" s="358">
        <v>7.8354554358472089E-3</v>
      </c>
      <c r="G140" s="76"/>
      <c r="H140" s="76"/>
    </row>
    <row r="141" spans="2:8" ht="12.5" x14ac:dyDescent="0.25">
      <c r="B141" s="352"/>
      <c r="C141" s="352"/>
      <c r="D141" s="372" t="s">
        <v>16</v>
      </c>
      <c r="E141" s="360">
        <v>4</v>
      </c>
      <c r="F141" s="362">
        <v>3.9177277179236044E-3</v>
      </c>
      <c r="G141" s="76"/>
      <c r="H141" s="76"/>
    </row>
    <row r="142" spans="2:8" ht="12.5" x14ac:dyDescent="0.25">
      <c r="B142" s="352"/>
      <c r="C142" s="352"/>
      <c r="D142" s="372" t="s">
        <v>37</v>
      </c>
      <c r="E142" s="360">
        <v>4</v>
      </c>
      <c r="F142" s="362">
        <v>3.9177277179236044E-3</v>
      </c>
      <c r="G142" s="76"/>
      <c r="H142" s="76"/>
    </row>
    <row r="143" spans="2:8" ht="12.5" x14ac:dyDescent="0.25">
      <c r="B143" s="352"/>
      <c r="C143" s="353" t="s">
        <v>152</v>
      </c>
      <c r="D143" s="347" t="s">
        <v>45</v>
      </c>
      <c r="E143" s="356">
        <v>2</v>
      </c>
      <c r="F143" s="358">
        <v>1.9588638589618022E-3</v>
      </c>
      <c r="G143" s="76"/>
      <c r="H143" s="76"/>
    </row>
    <row r="144" spans="2:8" ht="12.5" x14ac:dyDescent="0.25">
      <c r="B144" s="352"/>
      <c r="C144" s="352"/>
      <c r="D144" s="372" t="s">
        <v>16</v>
      </c>
      <c r="E144" s="360">
        <v>1</v>
      </c>
      <c r="F144" s="362">
        <v>9.7943192948090111E-4</v>
      </c>
      <c r="G144" s="76"/>
      <c r="H144" s="76"/>
    </row>
    <row r="145" spans="2:8" ht="12.5" x14ac:dyDescent="0.25">
      <c r="B145" s="352"/>
      <c r="C145" s="352"/>
      <c r="D145" s="372" t="s">
        <v>37</v>
      </c>
      <c r="E145" s="360">
        <v>4</v>
      </c>
      <c r="F145" s="362">
        <v>3.9177277179236044E-3</v>
      </c>
      <c r="G145" s="76"/>
      <c r="H145" s="76"/>
    </row>
    <row r="146" spans="2:8" ht="12.5" x14ac:dyDescent="0.25">
      <c r="B146" s="352"/>
      <c r="C146" s="353" t="s">
        <v>58</v>
      </c>
      <c r="D146" s="347" t="s">
        <v>42</v>
      </c>
      <c r="E146" s="356">
        <v>25</v>
      </c>
      <c r="F146" s="358">
        <v>2.4485798237022526E-2</v>
      </c>
      <c r="G146" s="76"/>
      <c r="H146" s="76"/>
    </row>
    <row r="147" spans="2:8" ht="12.5" x14ac:dyDescent="0.25">
      <c r="B147" s="352"/>
      <c r="C147" s="352"/>
      <c r="D147" s="372" t="s">
        <v>43</v>
      </c>
      <c r="E147" s="360">
        <v>26</v>
      </c>
      <c r="F147" s="362">
        <v>2.5465230166503428E-2</v>
      </c>
      <c r="G147" s="76"/>
      <c r="H147" s="76"/>
    </row>
    <row r="148" spans="2:8" ht="12.5" x14ac:dyDescent="0.25">
      <c r="B148" s="352"/>
      <c r="C148" s="353" t="s">
        <v>151</v>
      </c>
      <c r="D148" s="347" t="s">
        <v>42</v>
      </c>
      <c r="E148" s="356">
        <v>39</v>
      </c>
      <c r="F148" s="358">
        <v>3.8197845249755141E-2</v>
      </c>
      <c r="G148" s="76"/>
      <c r="H148" s="76"/>
    </row>
    <row r="149" spans="2:8" ht="12.5" x14ac:dyDescent="0.25">
      <c r="B149" s="352"/>
      <c r="C149" s="352"/>
      <c r="D149" s="372" t="s">
        <v>43</v>
      </c>
      <c r="E149" s="360">
        <v>46</v>
      </c>
      <c r="F149" s="362">
        <v>4.5053868756121447E-2</v>
      </c>
      <c r="G149" s="76"/>
      <c r="H149" s="76"/>
    </row>
    <row r="150" spans="2:8" ht="12.5" x14ac:dyDescent="0.25">
      <c r="B150" s="347" t="s">
        <v>282</v>
      </c>
      <c r="C150" s="350"/>
      <c r="D150" s="350"/>
      <c r="E150" s="356">
        <v>186</v>
      </c>
      <c r="F150" s="358">
        <v>0.18217433888344761</v>
      </c>
      <c r="G150" s="76"/>
      <c r="H150" s="76"/>
    </row>
    <row r="151" spans="2:8" ht="12.5" x14ac:dyDescent="0.25">
      <c r="B151" s="374" t="s">
        <v>2034</v>
      </c>
      <c r="C151" s="389"/>
      <c r="D151" s="389"/>
      <c r="E151" s="364">
        <v>1021</v>
      </c>
      <c r="F151" s="366">
        <v>1</v>
      </c>
      <c r="G151" s="76"/>
      <c r="H151" s="76"/>
    </row>
    <row r="152" spans="2:8" ht="12.5" x14ac:dyDescent="0.25">
      <c r="E152" s="76"/>
      <c r="F152" s="76"/>
      <c r="G152" s="76"/>
      <c r="H152" s="76"/>
    </row>
    <row r="153" spans="2:8" ht="12.5" x14ac:dyDescent="0.25">
      <c r="E153" s="76"/>
      <c r="F153" s="76"/>
      <c r="G153" s="76"/>
      <c r="H153" s="76"/>
    </row>
    <row r="154" spans="2:8" ht="12.5" x14ac:dyDescent="0.25">
      <c r="E154" s="76"/>
      <c r="F154" s="76"/>
      <c r="G154" s="76"/>
      <c r="H154" s="76"/>
    </row>
    <row r="155" spans="2:8" ht="12.5" x14ac:dyDescent="0.25">
      <c r="E155" s="76"/>
      <c r="F155" s="76"/>
      <c r="G155" s="76"/>
      <c r="H155" s="76"/>
    </row>
    <row r="156" spans="2:8" ht="12.5" x14ac:dyDescent="0.25">
      <c r="B156" s="367" t="s">
        <v>8</v>
      </c>
      <c r="C156" s="368" t="s">
        <v>20</v>
      </c>
      <c r="E156" s="76"/>
      <c r="F156" s="76"/>
      <c r="G156" s="76"/>
      <c r="H156" s="76"/>
    </row>
    <row r="157" spans="2:8" ht="12.5" x14ac:dyDescent="0.25">
      <c r="E157" s="76"/>
      <c r="F157" s="76"/>
      <c r="G157" s="76"/>
      <c r="H157" s="76"/>
    </row>
    <row r="158" spans="2:8" ht="12.5" x14ac:dyDescent="0.25">
      <c r="B158" s="348" t="s">
        <v>2033</v>
      </c>
      <c r="C158" s="350"/>
      <c r="D158" s="350"/>
      <c r="E158" s="350"/>
      <c r="F158" s="348" t="s">
        <v>7</v>
      </c>
      <c r="G158" s="350"/>
      <c r="H158" s="351"/>
    </row>
    <row r="159" spans="2:8" ht="12.5" x14ac:dyDescent="0.25">
      <c r="B159" s="348" t="s">
        <v>1</v>
      </c>
      <c r="C159" s="348" t="s">
        <v>4</v>
      </c>
      <c r="D159" s="348" t="s">
        <v>2</v>
      </c>
      <c r="E159" s="348" t="s">
        <v>3</v>
      </c>
      <c r="F159" s="353" t="s">
        <v>19</v>
      </c>
      <c r="G159" s="369" t="s">
        <v>23</v>
      </c>
      <c r="H159" s="370" t="s">
        <v>25</v>
      </c>
    </row>
    <row r="160" spans="2:8" ht="12.5" x14ac:dyDescent="0.25">
      <c r="B160" s="347" t="s">
        <v>89</v>
      </c>
      <c r="C160" s="353" t="s">
        <v>173</v>
      </c>
      <c r="D160" s="347" t="s">
        <v>41</v>
      </c>
      <c r="E160" s="347" t="s">
        <v>42</v>
      </c>
      <c r="F160" s="371">
        <v>0.29411764705882354</v>
      </c>
      <c r="G160" s="357">
        <v>0.70588235294117652</v>
      </c>
      <c r="H160" s="358">
        <v>0</v>
      </c>
    </row>
    <row r="161" spans="2:8" ht="12.5" x14ac:dyDescent="0.25">
      <c r="B161" s="352"/>
      <c r="C161" s="352"/>
      <c r="D161" s="352"/>
      <c r="E161" s="372" t="s">
        <v>43</v>
      </c>
      <c r="F161" s="373">
        <v>0.125</v>
      </c>
      <c r="G161" s="361">
        <v>0.33333333333333331</v>
      </c>
      <c r="H161" s="362">
        <v>0.54166666666666663</v>
      </c>
    </row>
    <row r="162" spans="2:8" ht="12.5" x14ac:dyDescent="0.25">
      <c r="B162" s="347" t="s">
        <v>276</v>
      </c>
      <c r="C162" s="350"/>
      <c r="D162" s="350"/>
      <c r="E162" s="350"/>
      <c r="F162" s="371">
        <v>0.1951219512195122</v>
      </c>
      <c r="G162" s="357">
        <v>0.48780487804878048</v>
      </c>
      <c r="H162" s="358">
        <v>0.31707317073170732</v>
      </c>
    </row>
    <row r="163" spans="2:8" ht="12.5" x14ac:dyDescent="0.25">
      <c r="B163" s="347" t="s">
        <v>60</v>
      </c>
      <c r="C163" s="353" t="s">
        <v>155</v>
      </c>
      <c r="D163" s="347" t="s">
        <v>15</v>
      </c>
      <c r="E163" s="347" t="s">
        <v>45</v>
      </c>
      <c r="F163" s="371">
        <v>0.33333333333333331</v>
      </c>
      <c r="G163" s="357">
        <v>0.66666666666666663</v>
      </c>
      <c r="H163" s="358">
        <v>0</v>
      </c>
    </row>
    <row r="164" spans="2:8" ht="12.5" x14ac:dyDescent="0.25">
      <c r="B164" s="352"/>
      <c r="C164" s="352"/>
      <c r="D164" s="352"/>
      <c r="E164" s="372" t="s">
        <v>16</v>
      </c>
      <c r="F164" s="373">
        <v>0.8</v>
      </c>
      <c r="G164" s="361">
        <v>0.2</v>
      </c>
      <c r="H164" s="362">
        <v>0</v>
      </c>
    </row>
    <row r="165" spans="2:8" ht="12.5" x14ac:dyDescent="0.25">
      <c r="B165" s="352"/>
      <c r="C165" s="352"/>
      <c r="D165" s="352"/>
      <c r="E165" s="372" t="s">
        <v>37</v>
      </c>
      <c r="F165" s="373">
        <v>0.5</v>
      </c>
      <c r="G165" s="361">
        <v>0.5</v>
      </c>
      <c r="H165" s="362">
        <v>0</v>
      </c>
    </row>
    <row r="166" spans="2:8" ht="12.5" x14ac:dyDescent="0.25">
      <c r="B166" s="352"/>
      <c r="C166" s="353" t="s">
        <v>156</v>
      </c>
      <c r="D166" s="347" t="s">
        <v>15</v>
      </c>
      <c r="E166" s="347" t="s">
        <v>45</v>
      </c>
      <c r="F166" s="371">
        <v>1</v>
      </c>
      <c r="G166" s="357">
        <v>0</v>
      </c>
      <c r="H166" s="358">
        <v>0</v>
      </c>
    </row>
    <row r="167" spans="2:8" ht="12.5" x14ac:dyDescent="0.25">
      <c r="B167" s="352"/>
      <c r="C167" s="352"/>
      <c r="D167" s="352"/>
      <c r="E167" s="372" t="s">
        <v>37</v>
      </c>
      <c r="F167" s="373">
        <v>0</v>
      </c>
      <c r="G167" s="361">
        <v>0</v>
      </c>
      <c r="H167" s="362">
        <v>1</v>
      </c>
    </row>
    <row r="168" spans="2:8" ht="12.5" x14ac:dyDescent="0.25">
      <c r="B168" s="352"/>
      <c r="C168" s="353" t="s">
        <v>160</v>
      </c>
      <c r="D168" s="347" t="s">
        <v>15</v>
      </c>
      <c r="E168" s="347" t="s">
        <v>45</v>
      </c>
      <c r="F168" s="371">
        <v>1</v>
      </c>
      <c r="G168" s="357">
        <v>0</v>
      </c>
      <c r="H168" s="358">
        <v>0</v>
      </c>
    </row>
    <row r="169" spans="2:8" ht="12.5" x14ac:dyDescent="0.25">
      <c r="B169" s="352"/>
      <c r="C169" s="352"/>
      <c r="D169" s="352"/>
      <c r="E169" s="372" t="s">
        <v>16</v>
      </c>
      <c r="F169" s="373">
        <v>1</v>
      </c>
      <c r="G169" s="361">
        <v>0</v>
      </c>
      <c r="H169" s="362">
        <v>0</v>
      </c>
    </row>
    <row r="170" spans="2:8" ht="12.5" x14ac:dyDescent="0.25">
      <c r="B170" s="352"/>
      <c r="C170" s="352"/>
      <c r="D170" s="352"/>
      <c r="E170" s="372" t="s">
        <v>37</v>
      </c>
      <c r="F170" s="373">
        <v>1</v>
      </c>
      <c r="G170" s="361">
        <v>0</v>
      </c>
      <c r="H170" s="362">
        <v>0</v>
      </c>
    </row>
    <row r="171" spans="2:8" ht="12.5" x14ac:dyDescent="0.25">
      <c r="B171" s="352"/>
      <c r="C171" s="352"/>
      <c r="D171" s="347" t="s">
        <v>41</v>
      </c>
      <c r="E171" s="347" t="s">
        <v>42</v>
      </c>
      <c r="F171" s="371">
        <v>1</v>
      </c>
      <c r="G171" s="357">
        <v>0</v>
      </c>
      <c r="H171" s="358">
        <v>0</v>
      </c>
    </row>
    <row r="172" spans="2:8" ht="12.5" x14ac:dyDescent="0.25">
      <c r="B172" s="352"/>
      <c r="C172" s="352"/>
      <c r="D172" s="352"/>
      <c r="E172" s="372" t="s">
        <v>43</v>
      </c>
      <c r="F172" s="373">
        <v>1</v>
      </c>
      <c r="G172" s="361">
        <v>0</v>
      </c>
      <c r="H172" s="362">
        <v>0</v>
      </c>
    </row>
    <row r="173" spans="2:8" ht="12.5" x14ac:dyDescent="0.25">
      <c r="B173" s="352"/>
      <c r="C173" s="353" t="s">
        <v>162</v>
      </c>
      <c r="D173" s="347" t="s">
        <v>15</v>
      </c>
      <c r="E173" s="347" t="s">
        <v>45</v>
      </c>
      <c r="F173" s="371">
        <v>1</v>
      </c>
      <c r="G173" s="357">
        <v>0</v>
      </c>
      <c r="H173" s="358">
        <v>0</v>
      </c>
    </row>
    <row r="174" spans="2:8" ht="12.5" x14ac:dyDescent="0.25">
      <c r="B174" s="352"/>
      <c r="C174" s="352"/>
      <c r="D174" s="352"/>
      <c r="E174" s="372" t="s">
        <v>16</v>
      </c>
      <c r="F174" s="373">
        <v>1</v>
      </c>
      <c r="G174" s="361">
        <v>0</v>
      </c>
      <c r="H174" s="362">
        <v>0</v>
      </c>
    </row>
    <row r="175" spans="2:8" ht="12.5" x14ac:dyDescent="0.25">
      <c r="B175" s="352"/>
      <c r="C175" s="352"/>
      <c r="D175" s="352"/>
      <c r="E175" s="372" t="s">
        <v>37</v>
      </c>
      <c r="F175" s="373">
        <v>1</v>
      </c>
      <c r="G175" s="361">
        <v>0</v>
      </c>
      <c r="H175" s="362">
        <v>0</v>
      </c>
    </row>
    <row r="176" spans="2:8" ht="12.5" x14ac:dyDescent="0.25">
      <c r="B176" s="352"/>
      <c r="C176" s="352"/>
      <c r="D176" s="347" t="s">
        <v>41</v>
      </c>
      <c r="E176" s="347" t="s">
        <v>42</v>
      </c>
      <c r="F176" s="371">
        <v>1</v>
      </c>
      <c r="G176" s="357">
        <v>0</v>
      </c>
      <c r="H176" s="358">
        <v>0</v>
      </c>
    </row>
    <row r="177" spans="2:16" ht="12.5" x14ac:dyDescent="0.25">
      <c r="B177" s="352"/>
      <c r="C177" s="352"/>
      <c r="D177" s="352"/>
      <c r="E177" s="372" t="s">
        <v>43</v>
      </c>
      <c r="F177" s="373">
        <v>1</v>
      </c>
      <c r="G177" s="361">
        <v>0</v>
      </c>
      <c r="H177" s="362">
        <v>0</v>
      </c>
    </row>
    <row r="178" spans="2:16" ht="12.5" x14ac:dyDescent="0.25">
      <c r="B178" s="352"/>
      <c r="C178" s="353" t="s">
        <v>92</v>
      </c>
      <c r="D178" s="347" t="s">
        <v>15</v>
      </c>
      <c r="E178" s="347" t="s">
        <v>45</v>
      </c>
      <c r="F178" s="371">
        <v>0.90909090909090906</v>
      </c>
      <c r="G178" s="357">
        <v>9.0909090909090912E-2</v>
      </c>
      <c r="H178" s="358">
        <v>0</v>
      </c>
    </row>
    <row r="179" spans="2:16" ht="12.5" x14ac:dyDescent="0.25">
      <c r="B179" s="352"/>
      <c r="C179" s="352"/>
      <c r="D179" s="352"/>
      <c r="E179" s="372" t="s">
        <v>16</v>
      </c>
      <c r="F179" s="373">
        <v>0.81818181818181823</v>
      </c>
      <c r="G179" s="361">
        <v>0.18181818181818182</v>
      </c>
      <c r="H179" s="362">
        <v>0</v>
      </c>
      <c r="M179" s="367" t="s">
        <v>3</v>
      </c>
      <c r="N179" s="368" t="s">
        <v>2037</v>
      </c>
    </row>
    <row r="180" spans="2:16" ht="12.5" x14ac:dyDescent="0.25">
      <c r="B180" s="352"/>
      <c r="C180" s="352"/>
      <c r="D180" s="352"/>
      <c r="E180" s="372" t="s">
        <v>37</v>
      </c>
      <c r="F180" s="373">
        <v>1</v>
      </c>
      <c r="G180" s="361">
        <v>0</v>
      </c>
      <c r="H180" s="362">
        <v>0</v>
      </c>
    </row>
    <row r="181" spans="2:16" ht="12.5" x14ac:dyDescent="0.25">
      <c r="B181" s="352"/>
      <c r="C181" s="352"/>
      <c r="D181" s="347" t="s">
        <v>41</v>
      </c>
      <c r="E181" s="347" t="s">
        <v>42</v>
      </c>
      <c r="F181" s="371">
        <v>1</v>
      </c>
      <c r="G181" s="357">
        <v>0</v>
      </c>
      <c r="H181" s="358">
        <v>0</v>
      </c>
      <c r="M181" s="348" t="s">
        <v>2036</v>
      </c>
      <c r="N181" s="348" t="s">
        <v>8</v>
      </c>
      <c r="O181" s="350"/>
      <c r="P181" s="351"/>
    </row>
    <row r="182" spans="2:16" ht="12.5" x14ac:dyDescent="0.25">
      <c r="B182" s="352"/>
      <c r="C182" s="352"/>
      <c r="D182" s="352"/>
      <c r="E182" s="372" t="s">
        <v>43</v>
      </c>
      <c r="F182" s="373">
        <v>0.90909090909090906</v>
      </c>
      <c r="G182" s="361">
        <v>9.0909090909090912E-2</v>
      </c>
      <c r="H182" s="362">
        <v>0</v>
      </c>
      <c r="M182" s="348" t="s">
        <v>2</v>
      </c>
      <c r="N182" s="347">
        <v>2022</v>
      </c>
      <c r="O182" s="354" t="s">
        <v>113</v>
      </c>
      <c r="P182" s="355" t="s">
        <v>20</v>
      </c>
    </row>
    <row r="183" spans="2:16" ht="12.5" x14ac:dyDescent="0.25">
      <c r="B183" s="352"/>
      <c r="C183" s="353" t="s">
        <v>91</v>
      </c>
      <c r="D183" s="347" t="s">
        <v>15</v>
      </c>
      <c r="E183" s="347" t="s">
        <v>45</v>
      </c>
      <c r="F183" s="371">
        <v>1</v>
      </c>
      <c r="G183" s="357">
        <v>0</v>
      </c>
      <c r="H183" s="358">
        <v>0</v>
      </c>
      <c r="M183" s="347" t="s">
        <v>15</v>
      </c>
      <c r="N183" s="356">
        <v>135</v>
      </c>
      <c r="O183" s="379">
        <v>711</v>
      </c>
      <c r="P183" s="390">
        <v>566</v>
      </c>
    </row>
    <row r="184" spans="2:16" ht="12.5" x14ac:dyDescent="0.25">
      <c r="B184" s="352"/>
      <c r="C184" s="352"/>
      <c r="D184" s="352"/>
      <c r="E184" s="372" t="s">
        <v>16</v>
      </c>
      <c r="F184" s="373">
        <v>0.7142857142857143</v>
      </c>
      <c r="G184" s="361">
        <v>0.2857142857142857</v>
      </c>
      <c r="H184" s="362">
        <v>0</v>
      </c>
      <c r="M184" s="372" t="s">
        <v>41</v>
      </c>
      <c r="N184" s="360">
        <v>220</v>
      </c>
      <c r="O184" s="381">
        <v>221</v>
      </c>
      <c r="P184" s="391">
        <v>455</v>
      </c>
    </row>
    <row r="185" spans="2:16" ht="12.5" x14ac:dyDescent="0.25">
      <c r="B185" s="352"/>
      <c r="C185" s="352"/>
      <c r="D185" s="352"/>
      <c r="E185" s="372" t="s">
        <v>37</v>
      </c>
      <c r="F185" s="373">
        <v>0</v>
      </c>
      <c r="G185" s="361">
        <v>0.88888888888888884</v>
      </c>
      <c r="H185" s="362">
        <v>0.1111111111111111</v>
      </c>
      <c r="M185" s="374" t="s">
        <v>2034</v>
      </c>
      <c r="N185" s="364">
        <v>355</v>
      </c>
      <c r="O185" s="383">
        <v>932</v>
      </c>
      <c r="P185" s="392">
        <v>1021</v>
      </c>
    </row>
    <row r="186" spans="2:16" ht="12.5" x14ac:dyDescent="0.25">
      <c r="B186" s="352"/>
      <c r="C186" s="352"/>
      <c r="D186" s="347" t="s">
        <v>41</v>
      </c>
      <c r="E186" s="347" t="s">
        <v>42</v>
      </c>
      <c r="F186" s="371">
        <v>0.33333333333333331</v>
      </c>
      <c r="G186" s="357">
        <v>0.66666666666666663</v>
      </c>
      <c r="H186" s="358">
        <v>0</v>
      </c>
    </row>
    <row r="187" spans="2:16" ht="12.5" x14ac:dyDescent="0.25">
      <c r="B187" s="352"/>
      <c r="C187" s="352"/>
      <c r="D187" s="352"/>
      <c r="E187" s="372" t="s">
        <v>43</v>
      </c>
      <c r="F187" s="373">
        <v>0.18181818181818182</v>
      </c>
      <c r="G187" s="361">
        <v>0.81818181818181823</v>
      </c>
      <c r="H187" s="362">
        <v>0</v>
      </c>
    </row>
    <row r="188" spans="2:16" ht="12.5" x14ac:dyDescent="0.25">
      <c r="B188" s="352"/>
      <c r="C188" s="353" t="s">
        <v>154</v>
      </c>
      <c r="D188" s="347" t="s">
        <v>15</v>
      </c>
      <c r="E188" s="347" t="s">
        <v>45</v>
      </c>
      <c r="F188" s="371">
        <v>1</v>
      </c>
      <c r="G188" s="357">
        <v>0</v>
      </c>
      <c r="H188" s="358">
        <v>0</v>
      </c>
    </row>
    <row r="189" spans="2:16" ht="12.5" x14ac:dyDescent="0.25">
      <c r="B189" s="352"/>
      <c r="C189" s="352"/>
      <c r="D189" s="352"/>
      <c r="E189" s="372" t="s">
        <v>16</v>
      </c>
      <c r="F189" s="373">
        <v>1</v>
      </c>
      <c r="G189" s="361">
        <v>0</v>
      </c>
      <c r="H189" s="362">
        <v>0</v>
      </c>
    </row>
    <row r="190" spans="2:16" ht="12.5" x14ac:dyDescent="0.25">
      <c r="B190" s="352"/>
      <c r="C190" s="352"/>
      <c r="D190" s="352"/>
      <c r="E190" s="372" t="s">
        <v>37</v>
      </c>
      <c r="F190" s="373">
        <v>0.5</v>
      </c>
      <c r="G190" s="361">
        <v>0.5</v>
      </c>
      <c r="H190" s="362">
        <v>0</v>
      </c>
    </row>
    <row r="191" spans="2:16" ht="12.5" x14ac:dyDescent="0.25">
      <c r="B191" s="352"/>
      <c r="C191" s="353" t="s">
        <v>157</v>
      </c>
      <c r="D191" s="347" t="s">
        <v>15</v>
      </c>
      <c r="E191" s="347" t="s">
        <v>45</v>
      </c>
      <c r="F191" s="371">
        <v>0</v>
      </c>
      <c r="G191" s="357">
        <v>1</v>
      </c>
      <c r="H191" s="358">
        <v>0</v>
      </c>
    </row>
    <row r="192" spans="2:16" ht="12.5" x14ac:dyDescent="0.25">
      <c r="B192" s="352"/>
      <c r="C192" s="352"/>
      <c r="D192" s="352"/>
      <c r="E192" s="372" t="s">
        <v>37</v>
      </c>
      <c r="F192" s="373">
        <v>1</v>
      </c>
      <c r="G192" s="361">
        <v>0</v>
      </c>
      <c r="H192" s="362">
        <v>0</v>
      </c>
    </row>
    <row r="193" spans="2:8" ht="12.5" x14ac:dyDescent="0.25">
      <c r="B193" s="352"/>
      <c r="C193" s="353" t="s">
        <v>165</v>
      </c>
      <c r="D193" s="347" t="s">
        <v>15</v>
      </c>
      <c r="E193" s="347" t="s">
        <v>45</v>
      </c>
      <c r="F193" s="371">
        <v>1</v>
      </c>
      <c r="G193" s="357">
        <v>0</v>
      </c>
      <c r="H193" s="358">
        <v>0</v>
      </c>
    </row>
    <row r="194" spans="2:8" ht="12.5" x14ac:dyDescent="0.25">
      <c r="B194" s="352"/>
      <c r="C194" s="352"/>
      <c r="D194" s="352"/>
      <c r="E194" s="372" t="s">
        <v>16</v>
      </c>
      <c r="F194" s="373">
        <v>1</v>
      </c>
      <c r="G194" s="361">
        <v>0</v>
      </c>
      <c r="H194" s="362">
        <v>0</v>
      </c>
    </row>
    <row r="195" spans="2:8" ht="12.5" x14ac:dyDescent="0.25">
      <c r="B195" s="352"/>
      <c r="C195" s="352"/>
      <c r="D195" s="352"/>
      <c r="E195" s="372" t="s">
        <v>37</v>
      </c>
      <c r="F195" s="373">
        <v>1</v>
      </c>
      <c r="G195" s="361">
        <v>0</v>
      </c>
      <c r="H195" s="362">
        <v>0</v>
      </c>
    </row>
    <row r="196" spans="2:8" ht="12.5" x14ac:dyDescent="0.25">
      <c r="B196" s="352"/>
      <c r="C196" s="353" t="s">
        <v>94</v>
      </c>
      <c r="D196" s="347" t="s">
        <v>15</v>
      </c>
      <c r="E196" s="347" t="s">
        <v>45</v>
      </c>
      <c r="F196" s="371">
        <v>0.66666666666666663</v>
      </c>
      <c r="G196" s="357">
        <v>0.33333333333333331</v>
      </c>
      <c r="H196" s="358">
        <v>0</v>
      </c>
    </row>
    <row r="197" spans="2:8" ht="12.5" x14ac:dyDescent="0.25">
      <c r="B197" s="352"/>
      <c r="C197" s="352"/>
      <c r="D197" s="352"/>
      <c r="E197" s="372" t="s">
        <v>16</v>
      </c>
      <c r="F197" s="373">
        <v>1</v>
      </c>
      <c r="G197" s="361">
        <v>0</v>
      </c>
      <c r="H197" s="362">
        <v>0</v>
      </c>
    </row>
    <row r="198" spans="2:8" ht="12.5" x14ac:dyDescent="0.25">
      <c r="B198" s="352"/>
      <c r="C198" s="352"/>
      <c r="D198" s="352"/>
      <c r="E198" s="372" t="s">
        <v>37</v>
      </c>
      <c r="F198" s="373">
        <v>1</v>
      </c>
      <c r="G198" s="361">
        <v>0</v>
      </c>
      <c r="H198" s="362">
        <v>0</v>
      </c>
    </row>
    <row r="199" spans="2:8" ht="12.5" x14ac:dyDescent="0.25">
      <c r="B199" s="352"/>
      <c r="C199" s="353" t="s">
        <v>163</v>
      </c>
      <c r="D199" s="347" t="s">
        <v>15</v>
      </c>
      <c r="E199" s="347" t="s">
        <v>16</v>
      </c>
      <c r="F199" s="371">
        <v>1</v>
      </c>
      <c r="G199" s="357">
        <v>0</v>
      </c>
      <c r="H199" s="358">
        <v>0</v>
      </c>
    </row>
    <row r="200" spans="2:8" ht="12.5" x14ac:dyDescent="0.25">
      <c r="B200" s="352"/>
      <c r="C200" s="352"/>
      <c r="D200" s="352"/>
      <c r="E200" s="372" t="s">
        <v>37</v>
      </c>
      <c r="F200" s="373">
        <v>1</v>
      </c>
      <c r="G200" s="361">
        <v>0</v>
      </c>
      <c r="H200" s="362">
        <v>0</v>
      </c>
    </row>
    <row r="201" spans="2:8" ht="12.5" x14ac:dyDescent="0.25">
      <c r="B201" s="352"/>
      <c r="C201" s="353" t="s">
        <v>140</v>
      </c>
      <c r="D201" s="347" t="s">
        <v>15</v>
      </c>
      <c r="E201" s="347" t="s">
        <v>45</v>
      </c>
      <c r="F201" s="371">
        <v>1</v>
      </c>
      <c r="G201" s="357">
        <v>0</v>
      </c>
      <c r="H201" s="358">
        <v>0</v>
      </c>
    </row>
    <row r="202" spans="2:8" ht="12.5" x14ac:dyDescent="0.25">
      <c r="B202" s="352"/>
      <c r="C202" s="352"/>
      <c r="D202" s="352"/>
      <c r="E202" s="372" t="s">
        <v>16</v>
      </c>
      <c r="F202" s="373">
        <v>1</v>
      </c>
      <c r="G202" s="361">
        <v>0</v>
      </c>
      <c r="H202" s="362">
        <v>0</v>
      </c>
    </row>
    <row r="203" spans="2:8" ht="12.5" x14ac:dyDescent="0.25">
      <c r="B203" s="352"/>
      <c r="C203" s="352"/>
      <c r="D203" s="352"/>
      <c r="E203" s="372" t="s">
        <v>37</v>
      </c>
      <c r="F203" s="373">
        <v>1</v>
      </c>
      <c r="G203" s="361">
        <v>0</v>
      </c>
      <c r="H203" s="362">
        <v>0</v>
      </c>
    </row>
    <row r="204" spans="2:8" ht="12.5" x14ac:dyDescent="0.25">
      <c r="B204" s="352"/>
      <c r="C204" s="353" t="s">
        <v>167</v>
      </c>
      <c r="D204" s="347" t="s">
        <v>15</v>
      </c>
      <c r="E204" s="347" t="s">
        <v>45</v>
      </c>
      <c r="F204" s="371">
        <v>1</v>
      </c>
      <c r="G204" s="357">
        <v>0</v>
      </c>
      <c r="H204" s="358">
        <v>0</v>
      </c>
    </row>
    <row r="205" spans="2:8" ht="12.5" x14ac:dyDescent="0.25">
      <c r="B205" s="352"/>
      <c r="C205" s="352"/>
      <c r="D205" s="352"/>
      <c r="E205" s="372" t="s">
        <v>16</v>
      </c>
      <c r="F205" s="373">
        <v>1</v>
      </c>
      <c r="G205" s="361">
        <v>0</v>
      </c>
      <c r="H205" s="362">
        <v>0</v>
      </c>
    </row>
    <row r="206" spans="2:8" ht="12.5" x14ac:dyDescent="0.25">
      <c r="B206" s="352"/>
      <c r="C206" s="353" t="s">
        <v>158</v>
      </c>
      <c r="D206" s="347" t="s">
        <v>15</v>
      </c>
      <c r="E206" s="347" t="s">
        <v>45</v>
      </c>
      <c r="F206" s="371">
        <v>1</v>
      </c>
      <c r="G206" s="357">
        <v>0</v>
      </c>
      <c r="H206" s="358">
        <v>0</v>
      </c>
    </row>
    <row r="207" spans="2:8" ht="12.5" x14ac:dyDescent="0.25">
      <c r="B207" s="352"/>
      <c r="C207" s="352"/>
      <c r="D207" s="352"/>
      <c r="E207" s="372" t="s">
        <v>37</v>
      </c>
      <c r="F207" s="373">
        <v>1</v>
      </c>
      <c r="G207" s="361">
        <v>0</v>
      </c>
      <c r="H207" s="362">
        <v>0</v>
      </c>
    </row>
    <row r="208" spans="2:8" ht="12.5" x14ac:dyDescent="0.25">
      <c r="B208" s="352"/>
      <c r="C208" s="353" t="s">
        <v>166</v>
      </c>
      <c r="D208" s="347" t="s">
        <v>15</v>
      </c>
      <c r="E208" s="347" t="s">
        <v>45</v>
      </c>
      <c r="F208" s="371">
        <v>1</v>
      </c>
      <c r="G208" s="357">
        <v>0</v>
      </c>
      <c r="H208" s="358">
        <v>0</v>
      </c>
    </row>
    <row r="209" spans="2:8" ht="12.5" x14ac:dyDescent="0.25">
      <c r="B209" s="352"/>
      <c r="C209" s="352"/>
      <c r="D209" s="352"/>
      <c r="E209" s="372" t="s">
        <v>16</v>
      </c>
      <c r="F209" s="373">
        <v>1</v>
      </c>
      <c r="G209" s="361">
        <v>0</v>
      </c>
      <c r="H209" s="362">
        <v>0</v>
      </c>
    </row>
    <row r="210" spans="2:8" ht="12.5" x14ac:dyDescent="0.25">
      <c r="B210" s="352"/>
      <c r="C210" s="352"/>
      <c r="D210" s="352"/>
      <c r="E210" s="372" t="s">
        <v>37</v>
      </c>
      <c r="F210" s="373">
        <v>1</v>
      </c>
      <c r="G210" s="361">
        <v>0</v>
      </c>
      <c r="H210" s="362">
        <v>0</v>
      </c>
    </row>
    <row r="211" spans="2:8" ht="12.5" x14ac:dyDescent="0.25">
      <c r="B211" s="352"/>
      <c r="C211" s="353" t="s">
        <v>164</v>
      </c>
      <c r="D211" s="347" t="s">
        <v>15</v>
      </c>
      <c r="E211" s="347" t="s">
        <v>37</v>
      </c>
      <c r="F211" s="371">
        <v>1</v>
      </c>
      <c r="G211" s="357">
        <v>0</v>
      </c>
      <c r="H211" s="358">
        <v>0</v>
      </c>
    </row>
    <row r="212" spans="2:8" ht="12.5" x14ac:dyDescent="0.25">
      <c r="B212" s="352"/>
      <c r="C212" s="353" t="s">
        <v>138</v>
      </c>
      <c r="D212" s="347" t="s">
        <v>15</v>
      </c>
      <c r="E212" s="347" t="s">
        <v>45</v>
      </c>
      <c r="F212" s="371">
        <v>1</v>
      </c>
      <c r="G212" s="357">
        <v>0</v>
      </c>
      <c r="H212" s="358">
        <v>0</v>
      </c>
    </row>
    <row r="213" spans="2:8" ht="12.5" x14ac:dyDescent="0.25">
      <c r="B213" s="352"/>
      <c r="C213" s="352"/>
      <c r="D213" s="352"/>
      <c r="E213" s="372" t="s">
        <v>16</v>
      </c>
      <c r="F213" s="373">
        <v>0</v>
      </c>
      <c r="G213" s="361">
        <v>1</v>
      </c>
      <c r="H213" s="362">
        <v>0</v>
      </c>
    </row>
    <row r="214" spans="2:8" ht="12.5" x14ac:dyDescent="0.25">
      <c r="B214" s="352"/>
      <c r="C214" s="353" t="s">
        <v>159</v>
      </c>
      <c r="D214" s="347" t="s">
        <v>15</v>
      </c>
      <c r="E214" s="347" t="s">
        <v>16</v>
      </c>
      <c r="F214" s="371">
        <v>1</v>
      </c>
      <c r="G214" s="357">
        <v>0</v>
      </c>
      <c r="H214" s="358">
        <v>0</v>
      </c>
    </row>
    <row r="215" spans="2:8" ht="12.5" x14ac:dyDescent="0.25">
      <c r="B215" s="352"/>
      <c r="C215" s="352"/>
      <c r="D215" s="352"/>
      <c r="E215" s="372" t="s">
        <v>37</v>
      </c>
      <c r="F215" s="373">
        <v>1</v>
      </c>
      <c r="G215" s="361">
        <v>0</v>
      </c>
      <c r="H215" s="362">
        <v>0</v>
      </c>
    </row>
    <row r="216" spans="2:8" ht="12.5" x14ac:dyDescent="0.25">
      <c r="B216" s="352"/>
      <c r="C216" s="353" t="s">
        <v>161</v>
      </c>
      <c r="D216" s="347" t="s">
        <v>15</v>
      </c>
      <c r="E216" s="347" t="s">
        <v>45</v>
      </c>
      <c r="F216" s="371">
        <v>1</v>
      </c>
      <c r="G216" s="357">
        <v>0</v>
      </c>
      <c r="H216" s="358">
        <v>0</v>
      </c>
    </row>
    <row r="217" spans="2:8" ht="12.5" x14ac:dyDescent="0.25">
      <c r="B217" s="352"/>
      <c r="C217" s="353" t="s">
        <v>65</v>
      </c>
      <c r="D217" s="347" t="s">
        <v>41</v>
      </c>
      <c r="E217" s="347" t="s">
        <v>42</v>
      </c>
      <c r="F217" s="371">
        <v>0.84615384615384615</v>
      </c>
      <c r="G217" s="357">
        <v>0.15384615384615385</v>
      </c>
      <c r="H217" s="358">
        <v>0</v>
      </c>
    </row>
    <row r="218" spans="2:8" ht="12.5" x14ac:dyDescent="0.25">
      <c r="B218" s="352"/>
      <c r="C218" s="352"/>
      <c r="D218" s="352"/>
      <c r="E218" s="372" t="s">
        <v>43</v>
      </c>
      <c r="F218" s="373">
        <v>0.95833333333333337</v>
      </c>
      <c r="G218" s="361">
        <v>4.1666666666666664E-2</v>
      </c>
      <c r="H218" s="362">
        <v>0</v>
      </c>
    </row>
    <row r="219" spans="2:8" ht="12.5" x14ac:dyDescent="0.25">
      <c r="B219" s="347" t="s">
        <v>277</v>
      </c>
      <c r="C219" s="350"/>
      <c r="D219" s="350"/>
      <c r="E219" s="350"/>
      <c r="F219" s="371">
        <v>0.85358255451713394</v>
      </c>
      <c r="G219" s="357">
        <v>0.14018691588785046</v>
      </c>
      <c r="H219" s="358">
        <v>6.2305295950155761E-3</v>
      </c>
    </row>
    <row r="220" spans="2:8" ht="12.5" x14ac:dyDescent="0.25">
      <c r="B220" s="347" t="s">
        <v>14</v>
      </c>
      <c r="C220" s="353" t="s">
        <v>35</v>
      </c>
      <c r="D220" s="347" t="s">
        <v>15</v>
      </c>
      <c r="E220" s="347" t="s">
        <v>16</v>
      </c>
      <c r="F220" s="371">
        <v>1</v>
      </c>
      <c r="G220" s="357">
        <v>0</v>
      </c>
      <c r="H220" s="358">
        <v>0</v>
      </c>
    </row>
    <row r="221" spans="2:8" ht="12.5" x14ac:dyDescent="0.25">
      <c r="B221" s="352"/>
      <c r="C221" s="352"/>
      <c r="D221" s="352"/>
      <c r="E221" s="372" t="s">
        <v>37</v>
      </c>
      <c r="F221" s="373">
        <v>0</v>
      </c>
      <c r="G221" s="361">
        <v>1</v>
      </c>
      <c r="H221" s="362">
        <v>0</v>
      </c>
    </row>
    <row r="222" spans="2:8" ht="12.5" x14ac:dyDescent="0.25">
      <c r="B222" s="352"/>
      <c r="C222" s="353" t="s">
        <v>33</v>
      </c>
      <c r="D222" s="347" t="s">
        <v>15</v>
      </c>
      <c r="E222" s="347" t="s">
        <v>16</v>
      </c>
      <c r="F222" s="371">
        <v>1</v>
      </c>
      <c r="G222" s="357">
        <v>0</v>
      </c>
      <c r="H222" s="358">
        <v>0</v>
      </c>
    </row>
    <row r="223" spans="2:8" ht="12.5" x14ac:dyDescent="0.25">
      <c r="B223" s="352"/>
      <c r="C223" s="352"/>
      <c r="D223" s="352"/>
      <c r="E223" s="372" t="s">
        <v>37</v>
      </c>
      <c r="F223" s="373">
        <v>1</v>
      </c>
      <c r="G223" s="361">
        <v>0</v>
      </c>
      <c r="H223" s="362">
        <v>0</v>
      </c>
    </row>
    <row r="224" spans="2:8" ht="12.5" x14ac:dyDescent="0.25">
      <c r="B224" s="352"/>
      <c r="C224" s="353" t="s">
        <v>30</v>
      </c>
      <c r="D224" s="347" t="s">
        <v>15</v>
      </c>
      <c r="E224" s="347" t="s">
        <v>16</v>
      </c>
      <c r="F224" s="371">
        <v>0.45</v>
      </c>
      <c r="G224" s="357">
        <v>0.45</v>
      </c>
      <c r="H224" s="358">
        <v>0.1</v>
      </c>
    </row>
    <row r="225" spans="2:8" ht="12.5" x14ac:dyDescent="0.25">
      <c r="B225" s="352"/>
      <c r="C225" s="352"/>
      <c r="D225" s="352"/>
      <c r="E225" s="372" t="s">
        <v>37</v>
      </c>
      <c r="F225" s="373">
        <v>0.79166666666666663</v>
      </c>
      <c r="G225" s="361">
        <v>0.125</v>
      </c>
      <c r="H225" s="362">
        <v>8.3333333333333329E-2</v>
      </c>
    </row>
    <row r="226" spans="2:8" ht="12.5" x14ac:dyDescent="0.25">
      <c r="B226" s="352"/>
      <c r="C226" s="352"/>
      <c r="D226" s="347" t="s">
        <v>41</v>
      </c>
      <c r="E226" s="347" t="s">
        <v>42</v>
      </c>
      <c r="F226" s="371">
        <v>0.81081081081081086</v>
      </c>
      <c r="G226" s="357">
        <v>0.1891891891891892</v>
      </c>
      <c r="H226" s="358">
        <v>0</v>
      </c>
    </row>
    <row r="227" spans="2:8" ht="12.5" x14ac:dyDescent="0.25">
      <c r="B227" s="352"/>
      <c r="C227" s="352"/>
      <c r="D227" s="352"/>
      <c r="E227" s="372" t="s">
        <v>43</v>
      </c>
      <c r="F227" s="373">
        <v>0.7931034482758621</v>
      </c>
      <c r="G227" s="361">
        <v>0.20689655172413793</v>
      </c>
      <c r="H227" s="362">
        <v>0</v>
      </c>
    </row>
    <row r="228" spans="2:8" ht="12.5" x14ac:dyDescent="0.25">
      <c r="B228" s="352"/>
      <c r="C228" s="353" t="s">
        <v>36</v>
      </c>
      <c r="D228" s="347" t="s">
        <v>15</v>
      </c>
      <c r="E228" s="347" t="s">
        <v>16</v>
      </c>
      <c r="F228" s="371">
        <v>0.8</v>
      </c>
      <c r="G228" s="357">
        <v>0.2</v>
      </c>
      <c r="H228" s="358">
        <v>0</v>
      </c>
    </row>
    <row r="229" spans="2:8" ht="12.5" x14ac:dyDescent="0.25">
      <c r="B229" s="352"/>
      <c r="C229" s="352"/>
      <c r="D229" s="352"/>
      <c r="E229" s="372" t="s">
        <v>37</v>
      </c>
      <c r="F229" s="373">
        <v>0.7</v>
      </c>
      <c r="G229" s="361">
        <v>0.3</v>
      </c>
      <c r="H229" s="362">
        <v>0</v>
      </c>
    </row>
    <row r="230" spans="2:8" ht="12.5" x14ac:dyDescent="0.25">
      <c r="B230" s="352"/>
      <c r="C230" s="353" t="s">
        <v>31</v>
      </c>
      <c r="D230" s="347" t="s">
        <v>15</v>
      </c>
      <c r="E230" s="347" t="s">
        <v>16</v>
      </c>
      <c r="F230" s="371">
        <v>1</v>
      </c>
      <c r="G230" s="357">
        <v>0</v>
      </c>
      <c r="H230" s="358">
        <v>0</v>
      </c>
    </row>
    <row r="231" spans="2:8" ht="12.5" x14ac:dyDescent="0.25">
      <c r="B231" s="352"/>
      <c r="C231" s="353" t="s">
        <v>21</v>
      </c>
      <c r="D231" s="347" t="s">
        <v>15</v>
      </c>
      <c r="E231" s="347" t="s">
        <v>16</v>
      </c>
      <c r="F231" s="371">
        <v>0.63636363636363635</v>
      </c>
      <c r="G231" s="357">
        <v>0.27272727272727271</v>
      </c>
      <c r="H231" s="358">
        <v>9.0909090909090912E-2</v>
      </c>
    </row>
    <row r="232" spans="2:8" ht="12.5" x14ac:dyDescent="0.25">
      <c r="B232" s="352"/>
      <c r="C232" s="352"/>
      <c r="D232" s="352"/>
      <c r="E232" s="372" t="s">
        <v>37</v>
      </c>
      <c r="F232" s="373">
        <v>0.79166666666666663</v>
      </c>
      <c r="G232" s="361">
        <v>0.125</v>
      </c>
      <c r="H232" s="362">
        <v>8.3333333333333329E-2</v>
      </c>
    </row>
    <row r="233" spans="2:8" ht="12.5" x14ac:dyDescent="0.25">
      <c r="B233" s="352"/>
      <c r="C233" s="353" t="s">
        <v>27</v>
      </c>
      <c r="D233" s="347" t="s">
        <v>15</v>
      </c>
      <c r="E233" s="347" t="s">
        <v>16</v>
      </c>
      <c r="F233" s="371">
        <v>0.66666666666666663</v>
      </c>
      <c r="G233" s="357">
        <v>0.33333333333333331</v>
      </c>
      <c r="H233" s="358">
        <v>0</v>
      </c>
    </row>
    <row r="234" spans="2:8" ht="12.5" x14ac:dyDescent="0.25">
      <c r="B234" s="352"/>
      <c r="C234" s="352"/>
      <c r="D234" s="352"/>
      <c r="E234" s="372" t="s">
        <v>37</v>
      </c>
      <c r="F234" s="373">
        <v>1</v>
      </c>
      <c r="G234" s="361">
        <v>0</v>
      </c>
      <c r="H234" s="362">
        <v>0</v>
      </c>
    </row>
    <row r="235" spans="2:8" ht="12.5" x14ac:dyDescent="0.25">
      <c r="B235" s="352"/>
      <c r="C235" s="353" t="s">
        <v>39</v>
      </c>
      <c r="D235" s="347" t="s">
        <v>15</v>
      </c>
      <c r="E235" s="347" t="s">
        <v>37</v>
      </c>
      <c r="F235" s="371">
        <v>0</v>
      </c>
      <c r="G235" s="357">
        <v>1</v>
      </c>
      <c r="H235" s="358">
        <v>0</v>
      </c>
    </row>
    <row r="236" spans="2:8" ht="12.5" x14ac:dyDescent="0.25">
      <c r="B236" s="352"/>
      <c r="C236" s="353" t="s">
        <v>40</v>
      </c>
      <c r="D236" s="347" t="s">
        <v>15</v>
      </c>
      <c r="E236" s="347" t="s">
        <v>37</v>
      </c>
      <c r="F236" s="371">
        <v>0</v>
      </c>
      <c r="G236" s="357">
        <v>0</v>
      </c>
      <c r="H236" s="358">
        <v>1</v>
      </c>
    </row>
    <row r="237" spans="2:8" ht="12.5" x14ac:dyDescent="0.25">
      <c r="B237" s="352"/>
      <c r="C237" s="353" t="s">
        <v>28</v>
      </c>
      <c r="D237" s="347" t="s">
        <v>15</v>
      </c>
      <c r="E237" s="347" t="s">
        <v>16</v>
      </c>
      <c r="F237" s="371">
        <v>1</v>
      </c>
      <c r="G237" s="357">
        <v>0</v>
      </c>
      <c r="H237" s="358">
        <v>0</v>
      </c>
    </row>
    <row r="238" spans="2:8" ht="12.5" x14ac:dyDescent="0.25">
      <c r="B238" s="352"/>
      <c r="C238" s="352"/>
      <c r="D238" s="352"/>
      <c r="E238" s="372" t="s">
        <v>37</v>
      </c>
      <c r="F238" s="373">
        <v>0.66666666666666663</v>
      </c>
      <c r="G238" s="361">
        <v>0.33333333333333331</v>
      </c>
      <c r="H238" s="362">
        <v>0</v>
      </c>
    </row>
    <row r="239" spans="2:8" ht="12.5" x14ac:dyDescent="0.25">
      <c r="B239" s="352"/>
      <c r="C239" s="353" t="s">
        <v>32</v>
      </c>
      <c r="D239" s="347" t="s">
        <v>15</v>
      </c>
      <c r="E239" s="347" t="s">
        <v>16</v>
      </c>
      <c r="F239" s="371">
        <v>1</v>
      </c>
      <c r="G239" s="357">
        <v>0</v>
      </c>
      <c r="H239" s="358">
        <v>0</v>
      </c>
    </row>
    <row r="240" spans="2:8" ht="12.5" x14ac:dyDescent="0.25">
      <c r="B240" s="352"/>
      <c r="C240" s="353" t="s">
        <v>34</v>
      </c>
      <c r="D240" s="347" t="s">
        <v>15</v>
      </c>
      <c r="E240" s="347" t="s">
        <v>16</v>
      </c>
      <c r="F240" s="371">
        <v>1</v>
      </c>
      <c r="G240" s="357">
        <v>0</v>
      </c>
      <c r="H240" s="358">
        <v>0</v>
      </c>
    </row>
    <row r="241" spans="2:8" ht="12.5" x14ac:dyDescent="0.25">
      <c r="B241" s="352"/>
      <c r="C241" s="352"/>
      <c r="D241" s="352"/>
      <c r="E241" s="372" t="s">
        <v>37</v>
      </c>
      <c r="F241" s="373">
        <v>0</v>
      </c>
      <c r="G241" s="361">
        <v>1</v>
      </c>
      <c r="H241" s="362">
        <v>0</v>
      </c>
    </row>
    <row r="242" spans="2:8" ht="12.5" x14ac:dyDescent="0.25">
      <c r="B242" s="352"/>
      <c r="C242" s="353" t="s">
        <v>26</v>
      </c>
      <c r="D242" s="347" t="s">
        <v>15</v>
      </c>
      <c r="E242" s="347" t="s">
        <v>16</v>
      </c>
      <c r="F242" s="371">
        <v>1</v>
      </c>
      <c r="G242" s="357">
        <v>0</v>
      </c>
      <c r="H242" s="358">
        <v>0</v>
      </c>
    </row>
    <row r="243" spans="2:8" ht="12.5" x14ac:dyDescent="0.25">
      <c r="B243" s="352"/>
      <c r="C243" s="352"/>
      <c r="D243" s="352"/>
      <c r="E243" s="372" t="s">
        <v>37</v>
      </c>
      <c r="F243" s="373">
        <v>1</v>
      </c>
      <c r="G243" s="361">
        <v>0</v>
      </c>
      <c r="H243" s="362">
        <v>0</v>
      </c>
    </row>
    <row r="244" spans="2:8" ht="12.5" x14ac:dyDescent="0.25">
      <c r="B244" s="352"/>
      <c r="C244" s="353" t="s">
        <v>38</v>
      </c>
      <c r="D244" s="347" t="s">
        <v>15</v>
      </c>
      <c r="E244" s="347" t="s">
        <v>37</v>
      </c>
      <c r="F244" s="371">
        <v>0</v>
      </c>
      <c r="G244" s="357">
        <v>1</v>
      </c>
      <c r="H244" s="358">
        <v>0</v>
      </c>
    </row>
    <row r="245" spans="2:8" ht="12.5" x14ac:dyDescent="0.25">
      <c r="B245" s="352"/>
      <c r="C245" s="353" t="s">
        <v>29</v>
      </c>
      <c r="D245" s="347" t="s">
        <v>15</v>
      </c>
      <c r="E245" s="347" t="s">
        <v>16</v>
      </c>
      <c r="F245" s="371">
        <v>1</v>
      </c>
      <c r="G245" s="357">
        <v>0</v>
      </c>
      <c r="H245" s="358">
        <v>0</v>
      </c>
    </row>
    <row r="246" spans="2:8" ht="12.5" x14ac:dyDescent="0.25">
      <c r="B246" s="352"/>
      <c r="C246" s="352"/>
      <c r="D246" s="352"/>
      <c r="E246" s="372" t="s">
        <v>37</v>
      </c>
      <c r="F246" s="373">
        <v>1</v>
      </c>
      <c r="G246" s="361">
        <v>0</v>
      </c>
      <c r="H246" s="362">
        <v>0</v>
      </c>
    </row>
    <row r="247" spans="2:8" ht="12.5" x14ac:dyDescent="0.25">
      <c r="B247" s="347" t="s">
        <v>279</v>
      </c>
      <c r="C247" s="350"/>
      <c r="D247" s="350"/>
      <c r="E247" s="350"/>
      <c r="F247" s="371">
        <v>0.75536480686695284</v>
      </c>
      <c r="G247" s="357">
        <v>0.20600858369098712</v>
      </c>
      <c r="H247" s="358">
        <v>3.8626609442060089E-2</v>
      </c>
    </row>
    <row r="248" spans="2:8" ht="12.5" x14ac:dyDescent="0.25">
      <c r="B248" s="347" t="s">
        <v>83</v>
      </c>
      <c r="C248" s="353" t="s">
        <v>169</v>
      </c>
      <c r="D248" s="347" t="s">
        <v>15</v>
      </c>
      <c r="E248" s="347" t="s">
        <v>45</v>
      </c>
      <c r="F248" s="371">
        <v>1</v>
      </c>
      <c r="G248" s="357">
        <v>0</v>
      </c>
      <c r="H248" s="358">
        <v>0</v>
      </c>
    </row>
    <row r="249" spans="2:8" ht="12.5" x14ac:dyDescent="0.25">
      <c r="B249" s="352"/>
      <c r="C249" s="352"/>
      <c r="D249" s="352"/>
      <c r="E249" s="372" t="s">
        <v>16</v>
      </c>
      <c r="F249" s="373">
        <v>1</v>
      </c>
      <c r="G249" s="361">
        <v>0</v>
      </c>
      <c r="H249" s="362">
        <v>0</v>
      </c>
    </row>
    <row r="250" spans="2:8" ht="12.5" x14ac:dyDescent="0.25">
      <c r="B250" s="352"/>
      <c r="C250" s="352"/>
      <c r="D250" s="352"/>
      <c r="E250" s="372" t="s">
        <v>37</v>
      </c>
      <c r="F250" s="373">
        <v>1</v>
      </c>
      <c r="G250" s="361">
        <v>0</v>
      </c>
      <c r="H250" s="362">
        <v>0</v>
      </c>
    </row>
    <row r="251" spans="2:8" ht="12.5" x14ac:dyDescent="0.25">
      <c r="B251" s="352"/>
      <c r="C251" s="352"/>
      <c r="D251" s="347" t="s">
        <v>41</v>
      </c>
      <c r="E251" s="347" t="s">
        <v>42</v>
      </c>
      <c r="F251" s="371">
        <v>1</v>
      </c>
      <c r="G251" s="357">
        <v>0</v>
      </c>
      <c r="H251" s="358">
        <v>0</v>
      </c>
    </row>
    <row r="252" spans="2:8" ht="12.5" x14ac:dyDescent="0.25">
      <c r="B252" s="352"/>
      <c r="C252" s="352"/>
      <c r="D252" s="352"/>
      <c r="E252" s="372" t="s">
        <v>43</v>
      </c>
      <c r="F252" s="373">
        <v>1</v>
      </c>
      <c r="G252" s="361">
        <v>0</v>
      </c>
      <c r="H252" s="362">
        <v>0</v>
      </c>
    </row>
    <row r="253" spans="2:8" ht="12.5" x14ac:dyDescent="0.25">
      <c r="B253" s="352"/>
      <c r="C253" s="353" t="s">
        <v>172</v>
      </c>
      <c r="D253" s="347" t="s">
        <v>15</v>
      </c>
      <c r="E253" s="347" t="s">
        <v>45</v>
      </c>
      <c r="F253" s="371">
        <v>1</v>
      </c>
      <c r="G253" s="357">
        <v>0</v>
      </c>
      <c r="H253" s="358">
        <v>0</v>
      </c>
    </row>
    <row r="254" spans="2:8" ht="12.5" x14ac:dyDescent="0.25">
      <c r="B254" s="352"/>
      <c r="C254" s="352"/>
      <c r="D254" s="352"/>
      <c r="E254" s="372" t="s">
        <v>16</v>
      </c>
      <c r="F254" s="373">
        <v>1</v>
      </c>
      <c r="G254" s="361">
        <v>0</v>
      </c>
      <c r="H254" s="362">
        <v>0</v>
      </c>
    </row>
    <row r="255" spans="2:8" ht="12.5" x14ac:dyDescent="0.25">
      <c r="B255" s="352"/>
      <c r="C255" s="352"/>
      <c r="D255" s="352"/>
      <c r="E255" s="372" t="s">
        <v>37</v>
      </c>
      <c r="F255" s="373">
        <v>1</v>
      </c>
      <c r="G255" s="361">
        <v>0</v>
      </c>
      <c r="H255" s="362">
        <v>0</v>
      </c>
    </row>
    <row r="256" spans="2:8" ht="12.5" x14ac:dyDescent="0.25">
      <c r="B256" s="352"/>
      <c r="C256" s="352"/>
      <c r="D256" s="347" t="s">
        <v>41</v>
      </c>
      <c r="E256" s="347" t="s">
        <v>42</v>
      </c>
      <c r="F256" s="371">
        <v>1</v>
      </c>
      <c r="G256" s="357">
        <v>0</v>
      </c>
      <c r="H256" s="358">
        <v>0</v>
      </c>
    </row>
    <row r="257" spans="2:8" ht="12.5" x14ac:dyDescent="0.25">
      <c r="B257" s="352"/>
      <c r="C257" s="352"/>
      <c r="D257" s="352"/>
      <c r="E257" s="372" t="s">
        <v>43</v>
      </c>
      <c r="F257" s="373">
        <v>1</v>
      </c>
      <c r="G257" s="361">
        <v>0</v>
      </c>
      <c r="H257" s="362">
        <v>0</v>
      </c>
    </row>
    <row r="258" spans="2:8" ht="12.5" x14ac:dyDescent="0.25">
      <c r="B258" s="352"/>
      <c r="C258" s="353" t="s">
        <v>168</v>
      </c>
      <c r="D258" s="347" t="s">
        <v>15</v>
      </c>
      <c r="E258" s="347" t="s">
        <v>45</v>
      </c>
      <c r="F258" s="371">
        <v>1</v>
      </c>
      <c r="G258" s="357">
        <v>0</v>
      </c>
      <c r="H258" s="358">
        <v>0</v>
      </c>
    </row>
    <row r="259" spans="2:8" ht="12.5" x14ac:dyDescent="0.25">
      <c r="B259" s="352"/>
      <c r="C259" s="352"/>
      <c r="D259" s="352"/>
      <c r="E259" s="372" t="s">
        <v>16</v>
      </c>
      <c r="F259" s="373">
        <v>1</v>
      </c>
      <c r="G259" s="361">
        <v>0</v>
      </c>
      <c r="H259" s="362">
        <v>0</v>
      </c>
    </row>
    <row r="260" spans="2:8" ht="12.5" x14ac:dyDescent="0.25">
      <c r="B260" s="352"/>
      <c r="C260" s="352"/>
      <c r="D260" s="352"/>
      <c r="E260" s="372" t="s">
        <v>37</v>
      </c>
      <c r="F260" s="373">
        <v>1</v>
      </c>
      <c r="G260" s="361">
        <v>0</v>
      </c>
      <c r="H260" s="362">
        <v>0</v>
      </c>
    </row>
    <row r="261" spans="2:8" ht="12.5" x14ac:dyDescent="0.25">
      <c r="B261" s="352"/>
      <c r="C261" s="353" t="s">
        <v>171</v>
      </c>
      <c r="D261" s="347" t="s">
        <v>15</v>
      </c>
      <c r="E261" s="347" t="s">
        <v>45</v>
      </c>
      <c r="F261" s="371">
        <v>1</v>
      </c>
      <c r="G261" s="357">
        <v>0</v>
      </c>
      <c r="H261" s="358">
        <v>0</v>
      </c>
    </row>
    <row r="262" spans="2:8" ht="12.5" x14ac:dyDescent="0.25">
      <c r="B262" s="352"/>
      <c r="C262" s="352"/>
      <c r="D262" s="352"/>
      <c r="E262" s="372" t="s">
        <v>16</v>
      </c>
      <c r="F262" s="373">
        <v>1</v>
      </c>
      <c r="G262" s="361">
        <v>0</v>
      </c>
      <c r="H262" s="362">
        <v>0</v>
      </c>
    </row>
    <row r="263" spans="2:8" ht="12.5" x14ac:dyDescent="0.25">
      <c r="B263" s="352"/>
      <c r="C263" s="352"/>
      <c r="D263" s="352"/>
      <c r="E263" s="372" t="s">
        <v>37</v>
      </c>
      <c r="F263" s="373">
        <v>1</v>
      </c>
      <c r="G263" s="361">
        <v>0</v>
      </c>
      <c r="H263" s="362">
        <v>0</v>
      </c>
    </row>
    <row r="264" spans="2:8" ht="12.5" x14ac:dyDescent="0.25">
      <c r="B264" s="352"/>
      <c r="C264" s="353" t="s">
        <v>170</v>
      </c>
      <c r="D264" s="347" t="s">
        <v>15</v>
      </c>
      <c r="E264" s="347" t="s">
        <v>45</v>
      </c>
      <c r="F264" s="371">
        <v>1</v>
      </c>
      <c r="G264" s="357">
        <v>0</v>
      </c>
      <c r="H264" s="358">
        <v>0</v>
      </c>
    </row>
    <row r="265" spans="2:8" ht="12.5" x14ac:dyDescent="0.25">
      <c r="B265" s="352"/>
      <c r="C265" s="352"/>
      <c r="D265" s="352"/>
      <c r="E265" s="372" t="s">
        <v>16</v>
      </c>
      <c r="F265" s="373">
        <v>1</v>
      </c>
      <c r="G265" s="361">
        <v>0</v>
      </c>
      <c r="H265" s="362">
        <v>0</v>
      </c>
    </row>
    <row r="266" spans="2:8" ht="12.5" x14ac:dyDescent="0.25">
      <c r="B266" s="352"/>
      <c r="C266" s="352"/>
      <c r="D266" s="352"/>
      <c r="E266" s="372" t="s">
        <v>37</v>
      </c>
      <c r="F266" s="373">
        <v>1</v>
      </c>
      <c r="G266" s="361">
        <v>0</v>
      </c>
      <c r="H266" s="362">
        <v>0</v>
      </c>
    </row>
    <row r="267" spans="2:8" ht="12.5" x14ac:dyDescent="0.25">
      <c r="B267" s="347" t="s">
        <v>280</v>
      </c>
      <c r="C267" s="350"/>
      <c r="D267" s="350"/>
      <c r="E267" s="350"/>
      <c r="F267" s="371">
        <v>1</v>
      </c>
      <c r="G267" s="357">
        <v>0</v>
      </c>
      <c r="H267" s="358">
        <v>0</v>
      </c>
    </row>
    <row r="268" spans="2:8" ht="12.5" x14ac:dyDescent="0.25">
      <c r="B268" s="347" t="s">
        <v>44</v>
      </c>
      <c r="C268" s="353" t="s">
        <v>150</v>
      </c>
      <c r="D268" s="347" t="s">
        <v>15</v>
      </c>
      <c r="E268" s="347" t="s">
        <v>45</v>
      </c>
      <c r="F268" s="371">
        <v>1</v>
      </c>
      <c r="G268" s="357">
        <v>0</v>
      </c>
      <c r="H268" s="358">
        <v>0</v>
      </c>
    </row>
    <row r="269" spans="2:8" ht="12.5" x14ac:dyDescent="0.25">
      <c r="B269" s="352"/>
      <c r="C269" s="352"/>
      <c r="D269" s="352"/>
      <c r="E269" s="372" t="s">
        <v>16</v>
      </c>
      <c r="F269" s="373">
        <v>0.5</v>
      </c>
      <c r="G269" s="361">
        <v>0.5</v>
      </c>
      <c r="H269" s="362">
        <v>0</v>
      </c>
    </row>
    <row r="270" spans="2:8" ht="12.5" x14ac:dyDescent="0.25">
      <c r="B270" s="352"/>
      <c r="C270" s="352"/>
      <c r="D270" s="352"/>
      <c r="E270" s="372" t="s">
        <v>37</v>
      </c>
      <c r="F270" s="373">
        <v>0.25</v>
      </c>
      <c r="G270" s="361">
        <v>0.75</v>
      </c>
      <c r="H270" s="362">
        <v>0</v>
      </c>
    </row>
    <row r="271" spans="2:8" ht="12.5" x14ac:dyDescent="0.25">
      <c r="B271" s="352"/>
      <c r="C271" s="353" t="s">
        <v>143</v>
      </c>
      <c r="D271" s="347" t="s">
        <v>15</v>
      </c>
      <c r="E271" s="347" t="s">
        <v>45</v>
      </c>
      <c r="F271" s="371">
        <v>0.5</v>
      </c>
      <c r="G271" s="357">
        <v>0.5</v>
      </c>
      <c r="H271" s="358">
        <v>0</v>
      </c>
    </row>
    <row r="272" spans="2:8" ht="12.5" x14ac:dyDescent="0.25">
      <c r="B272" s="352"/>
      <c r="C272" s="352"/>
      <c r="D272" s="352"/>
      <c r="E272" s="372" t="s">
        <v>16</v>
      </c>
      <c r="F272" s="373">
        <v>1</v>
      </c>
      <c r="G272" s="361">
        <v>0</v>
      </c>
      <c r="H272" s="362">
        <v>0</v>
      </c>
    </row>
    <row r="273" spans="2:8" ht="12.5" x14ac:dyDescent="0.25">
      <c r="B273" s="352"/>
      <c r="C273" s="352"/>
      <c r="D273" s="352"/>
      <c r="E273" s="372" t="s">
        <v>37</v>
      </c>
      <c r="F273" s="373">
        <v>1</v>
      </c>
      <c r="G273" s="361">
        <v>0</v>
      </c>
      <c r="H273" s="362">
        <v>0</v>
      </c>
    </row>
    <row r="274" spans="2:8" ht="12.5" x14ac:dyDescent="0.25">
      <c r="B274" s="352"/>
      <c r="C274" s="353" t="s">
        <v>144</v>
      </c>
      <c r="D274" s="347" t="s">
        <v>15</v>
      </c>
      <c r="E274" s="347" t="s">
        <v>45</v>
      </c>
      <c r="F274" s="371">
        <v>0.66666666666666663</v>
      </c>
      <c r="G274" s="357">
        <v>0.33333333333333331</v>
      </c>
      <c r="H274" s="358">
        <v>0</v>
      </c>
    </row>
    <row r="275" spans="2:8" ht="12.5" x14ac:dyDescent="0.25">
      <c r="B275" s="352"/>
      <c r="C275" s="352"/>
      <c r="D275" s="352"/>
      <c r="E275" s="372" t="s">
        <v>16</v>
      </c>
      <c r="F275" s="373">
        <v>0.5</v>
      </c>
      <c r="G275" s="361">
        <v>0.5</v>
      </c>
      <c r="H275" s="362">
        <v>0</v>
      </c>
    </row>
    <row r="276" spans="2:8" ht="12.5" x14ac:dyDescent="0.25">
      <c r="B276" s="352"/>
      <c r="C276" s="352"/>
      <c r="D276" s="352"/>
      <c r="E276" s="372" t="s">
        <v>37</v>
      </c>
      <c r="F276" s="373">
        <v>1</v>
      </c>
      <c r="G276" s="361">
        <v>0</v>
      </c>
      <c r="H276" s="362">
        <v>0</v>
      </c>
    </row>
    <row r="277" spans="2:8" ht="12.5" x14ac:dyDescent="0.25">
      <c r="B277" s="352"/>
      <c r="C277" s="353" t="s">
        <v>145</v>
      </c>
      <c r="D277" s="347" t="s">
        <v>15</v>
      </c>
      <c r="E277" s="347" t="s">
        <v>45</v>
      </c>
      <c r="F277" s="371">
        <v>1</v>
      </c>
      <c r="G277" s="357">
        <v>0</v>
      </c>
      <c r="H277" s="358">
        <v>0</v>
      </c>
    </row>
    <row r="278" spans="2:8" ht="12.5" x14ac:dyDescent="0.25">
      <c r="B278" s="352"/>
      <c r="C278" s="352"/>
      <c r="D278" s="352"/>
      <c r="E278" s="372" t="s">
        <v>16</v>
      </c>
      <c r="F278" s="373">
        <v>1</v>
      </c>
      <c r="G278" s="361">
        <v>0</v>
      </c>
      <c r="H278" s="362">
        <v>0</v>
      </c>
    </row>
    <row r="279" spans="2:8" ht="12.5" x14ac:dyDescent="0.25">
      <c r="B279" s="352"/>
      <c r="C279" s="352"/>
      <c r="D279" s="352"/>
      <c r="E279" s="372" t="s">
        <v>37</v>
      </c>
      <c r="F279" s="373">
        <v>1</v>
      </c>
      <c r="G279" s="361">
        <v>0</v>
      </c>
      <c r="H279" s="362">
        <v>0</v>
      </c>
    </row>
    <row r="280" spans="2:8" ht="12.5" x14ac:dyDescent="0.25">
      <c r="B280" s="352"/>
      <c r="C280" s="353" t="s">
        <v>147</v>
      </c>
      <c r="D280" s="347" t="s">
        <v>15</v>
      </c>
      <c r="E280" s="347" t="s">
        <v>45</v>
      </c>
      <c r="F280" s="371">
        <v>1</v>
      </c>
      <c r="G280" s="357">
        <v>0</v>
      </c>
      <c r="H280" s="358">
        <v>0</v>
      </c>
    </row>
    <row r="281" spans="2:8" ht="12.5" x14ac:dyDescent="0.25">
      <c r="B281" s="352"/>
      <c r="C281" s="352"/>
      <c r="D281" s="352"/>
      <c r="E281" s="372" t="s">
        <v>16</v>
      </c>
      <c r="F281" s="373">
        <v>1</v>
      </c>
      <c r="G281" s="361">
        <v>0</v>
      </c>
      <c r="H281" s="362">
        <v>0</v>
      </c>
    </row>
    <row r="282" spans="2:8" ht="12.5" x14ac:dyDescent="0.25">
      <c r="B282" s="352"/>
      <c r="C282" s="352"/>
      <c r="D282" s="352"/>
      <c r="E282" s="372" t="s">
        <v>37</v>
      </c>
      <c r="F282" s="373">
        <v>1</v>
      </c>
      <c r="G282" s="361">
        <v>0</v>
      </c>
      <c r="H282" s="362">
        <v>0</v>
      </c>
    </row>
    <row r="283" spans="2:8" ht="12.5" x14ac:dyDescent="0.25">
      <c r="B283" s="352"/>
      <c r="C283" s="353" t="s">
        <v>149</v>
      </c>
      <c r="D283" s="347" t="s">
        <v>15</v>
      </c>
      <c r="E283" s="347" t="s">
        <v>45</v>
      </c>
      <c r="F283" s="371">
        <v>1</v>
      </c>
      <c r="G283" s="357">
        <v>0</v>
      </c>
      <c r="H283" s="358">
        <v>0</v>
      </c>
    </row>
    <row r="284" spans="2:8" ht="12.5" x14ac:dyDescent="0.25">
      <c r="B284" s="352"/>
      <c r="C284" s="352"/>
      <c r="D284" s="352"/>
      <c r="E284" s="372" t="s">
        <v>16</v>
      </c>
      <c r="F284" s="373">
        <v>1</v>
      </c>
      <c r="G284" s="361">
        <v>0</v>
      </c>
      <c r="H284" s="362">
        <v>0</v>
      </c>
    </row>
    <row r="285" spans="2:8" ht="12.5" x14ac:dyDescent="0.25">
      <c r="B285" s="352"/>
      <c r="C285" s="352"/>
      <c r="D285" s="352"/>
      <c r="E285" s="372" t="s">
        <v>37</v>
      </c>
      <c r="F285" s="373">
        <v>1</v>
      </c>
      <c r="G285" s="361">
        <v>0</v>
      </c>
      <c r="H285" s="362">
        <v>0</v>
      </c>
    </row>
    <row r="286" spans="2:8" ht="12.5" x14ac:dyDescent="0.25">
      <c r="B286" s="352"/>
      <c r="C286" s="353" t="s">
        <v>146</v>
      </c>
      <c r="D286" s="347" t="s">
        <v>15</v>
      </c>
      <c r="E286" s="347" t="s">
        <v>45</v>
      </c>
      <c r="F286" s="371">
        <v>1</v>
      </c>
      <c r="G286" s="357">
        <v>0</v>
      </c>
      <c r="H286" s="358">
        <v>0</v>
      </c>
    </row>
    <row r="287" spans="2:8" ht="12.5" x14ac:dyDescent="0.25">
      <c r="B287" s="352"/>
      <c r="C287" s="352"/>
      <c r="D287" s="352"/>
      <c r="E287" s="372" t="s">
        <v>16</v>
      </c>
      <c r="F287" s="373">
        <v>1</v>
      </c>
      <c r="G287" s="361">
        <v>0</v>
      </c>
      <c r="H287" s="362">
        <v>0</v>
      </c>
    </row>
    <row r="288" spans="2:8" ht="12.5" x14ac:dyDescent="0.25">
      <c r="B288" s="352"/>
      <c r="C288" s="352"/>
      <c r="D288" s="352"/>
      <c r="E288" s="372" t="s">
        <v>37</v>
      </c>
      <c r="F288" s="373">
        <v>1</v>
      </c>
      <c r="G288" s="361">
        <v>0</v>
      </c>
      <c r="H288" s="362">
        <v>0</v>
      </c>
    </row>
    <row r="289" spans="2:8" ht="12.5" x14ac:dyDescent="0.25">
      <c r="B289" s="352"/>
      <c r="C289" s="353" t="s">
        <v>148</v>
      </c>
      <c r="D289" s="347" t="s">
        <v>15</v>
      </c>
      <c r="E289" s="347" t="s">
        <v>45</v>
      </c>
      <c r="F289" s="371">
        <v>1</v>
      </c>
      <c r="G289" s="357">
        <v>0</v>
      </c>
      <c r="H289" s="358">
        <v>0</v>
      </c>
    </row>
    <row r="290" spans="2:8" ht="12.5" x14ac:dyDescent="0.25">
      <c r="B290" s="352"/>
      <c r="C290" s="352"/>
      <c r="D290" s="352"/>
      <c r="E290" s="372" t="s">
        <v>37</v>
      </c>
      <c r="F290" s="373">
        <v>0</v>
      </c>
      <c r="G290" s="361">
        <v>1</v>
      </c>
      <c r="H290" s="362">
        <v>0</v>
      </c>
    </row>
    <row r="291" spans="2:8" ht="12.5" x14ac:dyDescent="0.25">
      <c r="B291" s="347" t="s">
        <v>281</v>
      </c>
      <c r="C291" s="350"/>
      <c r="D291" s="350"/>
      <c r="E291" s="350"/>
      <c r="F291" s="371">
        <v>0.91</v>
      </c>
      <c r="G291" s="357">
        <v>0.09</v>
      </c>
      <c r="H291" s="358">
        <v>0</v>
      </c>
    </row>
    <row r="292" spans="2:8" ht="12.5" x14ac:dyDescent="0.25">
      <c r="B292" s="347" t="s">
        <v>54</v>
      </c>
      <c r="C292" s="353" t="s">
        <v>59</v>
      </c>
      <c r="D292" s="347" t="s">
        <v>15</v>
      </c>
      <c r="E292" s="347" t="s">
        <v>45</v>
      </c>
      <c r="F292" s="371">
        <v>0.33333333333333331</v>
      </c>
      <c r="G292" s="357">
        <v>0.66666666666666663</v>
      </c>
      <c r="H292" s="358">
        <v>0</v>
      </c>
    </row>
    <row r="293" spans="2:8" ht="12.5" x14ac:dyDescent="0.25">
      <c r="B293" s="352"/>
      <c r="C293" s="352"/>
      <c r="D293" s="352"/>
      <c r="E293" s="372" t="s">
        <v>16</v>
      </c>
      <c r="F293" s="373">
        <v>0.42857142857142855</v>
      </c>
      <c r="G293" s="361">
        <v>0.5714285714285714</v>
      </c>
      <c r="H293" s="362">
        <v>0</v>
      </c>
    </row>
    <row r="294" spans="2:8" ht="12.5" x14ac:dyDescent="0.25">
      <c r="B294" s="352"/>
      <c r="C294" s="352"/>
      <c r="D294" s="352"/>
      <c r="E294" s="372" t="s">
        <v>37</v>
      </c>
      <c r="F294" s="373">
        <v>0</v>
      </c>
      <c r="G294" s="361">
        <v>1</v>
      </c>
      <c r="H294" s="362">
        <v>0</v>
      </c>
    </row>
    <row r="295" spans="2:8" ht="12.5" x14ac:dyDescent="0.25">
      <c r="B295" s="352"/>
      <c r="C295" s="353" t="s">
        <v>57</v>
      </c>
      <c r="D295" s="347" t="s">
        <v>15</v>
      </c>
      <c r="E295" s="347" t="s">
        <v>45</v>
      </c>
      <c r="F295" s="371">
        <v>0.5</v>
      </c>
      <c r="G295" s="357">
        <v>0.5</v>
      </c>
      <c r="H295" s="358">
        <v>0</v>
      </c>
    </row>
    <row r="296" spans="2:8" ht="12.5" x14ac:dyDescent="0.25">
      <c r="B296" s="352"/>
      <c r="C296" s="352"/>
      <c r="D296" s="352"/>
      <c r="E296" s="372" t="s">
        <v>16</v>
      </c>
      <c r="F296" s="373">
        <v>0</v>
      </c>
      <c r="G296" s="361">
        <v>0.75</v>
      </c>
      <c r="H296" s="362">
        <v>0.25</v>
      </c>
    </row>
    <row r="297" spans="2:8" ht="12.5" x14ac:dyDescent="0.25">
      <c r="B297" s="352"/>
      <c r="C297" s="352"/>
      <c r="D297" s="352"/>
      <c r="E297" s="372" t="s">
        <v>37</v>
      </c>
      <c r="F297" s="373">
        <v>0</v>
      </c>
      <c r="G297" s="361">
        <v>0.25</v>
      </c>
      <c r="H297" s="362">
        <v>0.75</v>
      </c>
    </row>
    <row r="298" spans="2:8" ht="12.5" x14ac:dyDescent="0.25">
      <c r="B298" s="352"/>
      <c r="C298" s="353" t="s">
        <v>152</v>
      </c>
      <c r="D298" s="347" t="s">
        <v>15</v>
      </c>
      <c r="E298" s="347" t="s">
        <v>45</v>
      </c>
      <c r="F298" s="371">
        <v>1</v>
      </c>
      <c r="G298" s="357">
        <v>0</v>
      </c>
      <c r="H298" s="358">
        <v>0</v>
      </c>
    </row>
    <row r="299" spans="2:8" ht="12.5" x14ac:dyDescent="0.25">
      <c r="B299" s="352"/>
      <c r="C299" s="352"/>
      <c r="D299" s="352"/>
      <c r="E299" s="372" t="s">
        <v>16</v>
      </c>
      <c r="F299" s="373">
        <v>1</v>
      </c>
      <c r="G299" s="361">
        <v>0</v>
      </c>
      <c r="H299" s="362">
        <v>0</v>
      </c>
    </row>
    <row r="300" spans="2:8" ht="12.5" x14ac:dyDescent="0.25">
      <c r="B300" s="352"/>
      <c r="C300" s="352"/>
      <c r="D300" s="352"/>
      <c r="E300" s="372" t="s">
        <v>37</v>
      </c>
      <c r="F300" s="373">
        <v>1</v>
      </c>
      <c r="G300" s="361">
        <v>0</v>
      </c>
      <c r="H300" s="362">
        <v>0</v>
      </c>
    </row>
    <row r="301" spans="2:8" ht="12.5" x14ac:dyDescent="0.25">
      <c r="B301" s="352"/>
      <c r="C301" s="353" t="s">
        <v>58</v>
      </c>
      <c r="D301" s="347" t="s">
        <v>41</v>
      </c>
      <c r="E301" s="347" t="s">
        <v>42</v>
      </c>
      <c r="F301" s="371">
        <v>0.96</v>
      </c>
      <c r="G301" s="357">
        <v>0.04</v>
      </c>
      <c r="H301" s="358">
        <v>0</v>
      </c>
    </row>
    <row r="302" spans="2:8" ht="12.5" x14ac:dyDescent="0.25">
      <c r="B302" s="352"/>
      <c r="C302" s="352"/>
      <c r="D302" s="352"/>
      <c r="E302" s="372" t="s">
        <v>43</v>
      </c>
      <c r="F302" s="373">
        <v>0.88461538461538458</v>
      </c>
      <c r="G302" s="361">
        <v>7.6923076923076927E-2</v>
      </c>
      <c r="H302" s="362">
        <v>3.8461538461538464E-2</v>
      </c>
    </row>
    <row r="303" spans="2:8" ht="12.5" x14ac:dyDescent="0.25">
      <c r="B303" s="352"/>
      <c r="C303" s="353" t="s">
        <v>151</v>
      </c>
      <c r="D303" s="347" t="s">
        <v>41</v>
      </c>
      <c r="E303" s="347" t="s">
        <v>42</v>
      </c>
      <c r="F303" s="371">
        <v>0.79487179487179482</v>
      </c>
      <c r="G303" s="357">
        <v>0.20512820512820512</v>
      </c>
      <c r="H303" s="358">
        <v>0</v>
      </c>
    </row>
    <row r="304" spans="2:8" ht="12.5" x14ac:dyDescent="0.25">
      <c r="B304" s="352"/>
      <c r="C304" s="352"/>
      <c r="D304" s="352"/>
      <c r="E304" s="372" t="s">
        <v>43</v>
      </c>
      <c r="F304" s="373">
        <v>0.82608695652173914</v>
      </c>
      <c r="G304" s="361">
        <v>0.17391304347826086</v>
      </c>
      <c r="H304" s="362">
        <v>0</v>
      </c>
    </row>
    <row r="305" spans="2:8" ht="12.5" x14ac:dyDescent="0.25">
      <c r="B305" s="347" t="s">
        <v>282</v>
      </c>
      <c r="C305" s="350"/>
      <c r="D305" s="350"/>
      <c r="E305" s="350"/>
      <c r="F305" s="371">
        <v>0.72043010752688175</v>
      </c>
      <c r="G305" s="357">
        <v>0.25268817204301075</v>
      </c>
      <c r="H305" s="358">
        <v>2.6881720430107527E-2</v>
      </c>
    </row>
    <row r="306" spans="2:8" ht="12.5" x14ac:dyDescent="0.25">
      <c r="B306" s="374" t="s">
        <v>2034</v>
      </c>
      <c r="C306" s="389"/>
      <c r="D306" s="389"/>
      <c r="E306" s="389"/>
      <c r="F306" s="375">
        <v>0.80607247796278159</v>
      </c>
      <c r="G306" s="365">
        <v>0.16552399608227228</v>
      </c>
      <c r="H306" s="366">
        <v>2.8403525954946131E-2</v>
      </c>
    </row>
    <row r="307" spans="2:8" ht="12.5" x14ac:dyDescent="0.25">
      <c r="E307" s="76"/>
      <c r="F307" s="76"/>
      <c r="G307" s="76"/>
      <c r="H307" s="76"/>
    </row>
    <row r="308" spans="2:8" ht="12.5" x14ac:dyDescent="0.25">
      <c r="E308" s="76"/>
      <c r="F308" s="76"/>
      <c r="G308" s="76"/>
      <c r="H308" s="76"/>
    </row>
    <row r="309" spans="2:8" ht="12.5" x14ac:dyDescent="0.25">
      <c r="E309" s="76"/>
      <c r="F309" s="76"/>
      <c r="G309" s="76"/>
      <c r="H309" s="76"/>
    </row>
    <row r="310" spans="2:8" ht="12.5" x14ac:dyDescent="0.25">
      <c r="E310" s="76"/>
      <c r="F310" s="76"/>
      <c r="G310" s="76"/>
      <c r="H310" s="76"/>
    </row>
    <row r="311" spans="2:8" ht="12.5" x14ac:dyDescent="0.25">
      <c r="E311" s="76"/>
      <c r="F311" s="76"/>
      <c r="G311" s="76"/>
      <c r="H311" s="76"/>
    </row>
    <row r="312" spans="2:8" ht="12.5" x14ac:dyDescent="0.25">
      <c r="E312" s="76"/>
      <c r="F312" s="76"/>
      <c r="G312" s="76"/>
      <c r="H312" s="76"/>
    </row>
    <row r="313" spans="2:8" ht="12.5" x14ac:dyDescent="0.25">
      <c r="E313" s="76"/>
      <c r="F313" s="76"/>
      <c r="G313" s="76"/>
      <c r="H313" s="76"/>
    </row>
    <row r="314" spans="2:8" ht="12.5" x14ac:dyDescent="0.25">
      <c r="E314" s="76"/>
      <c r="F314" s="76"/>
      <c r="G314" s="76"/>
      <c r="H314" s="76"/>
    </row>
    <row r="315" spans="2:8" ht="12.5" x14ac:dyDescent="0.25">
      <c r="E315" s="76"/>
      <c r="F315" s="76"/>
      <c r="G315" s="76"/>
      <c r="H315" s="76"/>
    </row>
    <row r="316" spans="2:8" ht="12.5" x14ac:dyDescent="0.25">
      <c r="E316" s="76"/>
      <c r="F316" s="76"/>
      <c r="G316" s="76"/>
      <c r="H316" s="76"/>
    </row>
    <row r="317" spans="2:8" ht="12.5" x14ac:dyDescent="0.25">
      <c r="E317" s="76"/>
      <c r="F317" s="76"/>
      <c r="G317" s="76"/>
      <c r="H317" s="76"/>
    </row>
    <row r="318" spans="2:8" ht="12.5" x14ac:dyDescent="0.25">
      <c r="E318" s="76"/>
      <c r="F318" s="76"/>
      <c r="G318" s="76"/>
      <c r="H318" s="76"/>
    </row>
    <row r="319" spans="2:8" ht="12.5" x14ac:dyDescent="0.25">
      <c r="E319" s="76"/>
      <c r="F319" s="76"/>
      <c r="G319" s="76"/>
      <c r="H319" s="76"/>
    </row>
    <row r="320" spans="2:8" ht="12.5" x14ac:dyDescent="0.25">
      <c r="E320" s="76"/>
      <c r="F320" s="76"/>
      <c r="G320" s="76"/>
      <c r="H320" s="76"/>
    </row>
    <row r="321" spans="5:8" ht="12.5" x14ac:dyDescent="0.25">
      <c r="E321" s="76"/>
      <c r="F321" s="76"/>
      <c r="G321" s="76"/>
      <c r="H321" s="76"/>
    </row>
    <row r="322" spans="5:8" ht="12.5" x14ac:dyDescent="0.25">
      <c r="E322" s="76"/>
      <c r="F322" s="76"/>
      <c r="G322" s="76"/>
      <c r="H322" s="76"/>
    </row>
    <row r="323" spans="5:8" ht="12.5" x14ac:dyDescent="0.25">
      <c r="E323" s="76"/>
      <c r="F323" s="76"/>
      <c r="G323" s="76"/>
      <c r="H323" s="76"/>
    </row>
    <row r="324" spans="5:8" ht="12.5" x14ac:dyDescent="0.25">
      <c r="E324" s="76"/>
      <c r="F324" s="76"/>
      <c r="G324" s="76"/>
      <c r="H324" s="76"/>
    </row>
    <row r="325" spans="5:8" ht="12.5" x14ac:dyDescent="0.25">
      <c r="E325" s="76"/>
      <c r="F325" s="76"/>
      <c r="G325" s="76"/>
      <c r="H325" s="76"/>
    </row>
    <row r="326" spans="5:8" ht="12.5" x14ac:dyDescent="0.25">
      <c r="E326" s="76"/>
      <c r="F326" s="76"/>
      <c r="G326" s="76"/>
      <c r="H326" s="76"/>
    </row>
    <row r="327" spans="5:8" ht="12.5" x14ac:dyDescent="0.25">
      <c r="E327" s="76"/>
      <c r="F327" s="76"/>
      <c r="G327" s="76"/>
      <c r="H327" s="76"/>
    </row>
    <row r="328" spans="5:8" ht="12.5" x14ac:dyDescent="0.25">
      <c r="E328" s="76"/>
      <c r="F328" s="76"/>
      <c r="G328" s="76"/>
      <c r="H328" s="76"/>
    </row>
    <row r="329" spans="5:8" ht="12.5" x14ac:dyDescent="0.25">
      <c r="E329" s="76"/>
      <c r="F329" s="76"/>
      <c r="G329" s="76"/>
      <c r="H329" s="76"/>
    </row>
    <row r="330" spans="5:8" ht="12.5" x14ac:dyDescent="0.25">
      <c r="E330" s="76"/>
      <c r="F330" s="76"/>
      <c r="G330" s="76"/>
      <c r="H330" s="76"/>
    </row>
    <row r="331" spans="5:8" ht="12.5" x14ac:dyDescent="0.25">
      <c r="E331" s="76"/>
      <c r="F331" s="76"/>
      <c r="G331" s="76"/>
      <c r="H331" s="76"/>
    </row>
    <row r="332" spans="5:8" ht="12.5" x14ac:dyDescent="0.25">
      <c r="E332" s="76"/>
      <c r="F332" s="76"/>
      <c r="G332" s="76"/>
      <c r="H332" s="76"/>
    </row>
    <row r="333" spans="5:8" ht="12.5" x14ac:dyDescent="0.25">
      <c r="E333" s="76"/>
      <c r="F333" s="76"/>
      <c r="G333" s="76"/>
      <c r="H333" s="76"/>
    </row>
    <row r="334" spans="5:8" ht="12.5" x14ac:dyDescent="0.25">
      <c r="E334" s="76"/>
      <c r="F334" s="76"/>
      <c r="G334" s="76"/>
      <c r="H334" s="76"/>
    </row>
    <row r="335" spans="5:8" ht="12.5" x14ac:dyDescent="0.25">
      <c r="E335" s="76"/>
      <c r="F335" s="76"/>
      <c r="G335" s="76"/>
      <c r="H335" s="76"/>
    </row>
    <row r="336" spans="5:8" ht="12.5" x14ac:dyDescent="0.25">
      <c r="E336" s="76"/>
      <c r="F336" s="76"/>
      <c r="G336" s="76"/>
      <c r="H336" s="76"/>
    </row>
    <row r="337" spans="5:8" ht="12.5" x14ac:dyDescent="0.25">
      <c r="E337" s="76"/>
      <c r="F337" s="76"/>
      <c r="G337" s="76"/>
      <c r="H337" s="76"/>
    </row>
    <row r="338" spans="5:8" ht="12.5" x14ac:dyDescent="0.25">
      <c r="E338" s="76"/>
      <c r="F338" s="76"/>
      <c r="G338" s="76"/>
      <c r="H338" s="76"/>
    </row>
    <row r="339" spans="5:8" ht="12.5" x14ac:dyDescent="0.25">
      <c r="E339" s="76"/>
      <c r="F339" s="76"/>
      <c r="G339" s="76"/>
      <c r="H339" s="76"/>
    </row>
    <row r="340" spans="5:8" ht="12.5" x14ac:dyDescent="0.25">
      <c r="E340" s="76"/>
      <c r="F340" s="76"/>
      <c r="G340" s="76"/>
      <c r="H340" s="76"/>
    </row>
    <row r="341" spans="5:8" ht="12.5" x14ac:dyDescent="0.25">
      <c r="E341" s="76"/>
      <c r="F341" s="76"/>
      <c r="G341" s="76"/>
      <c r="H341" s="76"/>
    </row>
    <row r="342" spans="5:8" ht="12.5" x14ac:dyDescent="0.25">
      <c r="E342" s="76"/>
      <c r="F342" s="76"/>
      <c r="G342" s="76"/>
      <c r="H342" s="76"/>
    </row>
    <row r="343" spans="5:8" ht="12.5" x14ac:dyDescent="0.25">
      <c r="E343" s="76"/>
      <c r="F343" s="76"/>
      <c r="G343" s="76"/>
      <c r="H343" s="76"/>
    </row>
    <row r="344" spans="5:8" ht="12.5" x14ac:dyDescent="0.25">
      <c r="E344" s="76"/>
      <c r="F344" s="76"/>
      <c r="G344" s="76"/>
      <c r="H344" s="76"/>
    </row>
    <row r="345" spans="5:8" ht="12.5" x14ac:dyDescent="0.25">
      <c r="E345" s="76"/>
      <c r="F345" s="76"/>
      <c r="G345" s="76"/>
      <c r="H345" s="76"/>
    </row>
    <row r="346" spans="5:8" ht="12.5" x14ac:dyDescent="0.25">
      <c r="E346" s="76"/>
      <c r="F346" s="76"/>
      <c r="G346" s="76"/>
      <c r="H346" s="76"/>
    </row>
    <row r="347" spans="5:8" ht="12.5" x14ac:dyDescent="0.25">
      <c r="E347" s="76"/>
      <c r="F347" s="76"/>
      <c r="G347" s="76"/>
      <c r="H347" s="76"/>
    </row>
    <row r="348" spans="5:8" ht="12.5" x14ac:dyDescent="0.25">
      <c r="E348" s="76"/>
      <c r="F348" s="76"/>
      <c r="G348" s="76"/>
      <c r="H348" s="76"/>
    </row>
    <row r="349" spans="5:8" ht="12.5" x14ac:dyDescent="0.25">
      <c r="E349" s="76"/>
      <c r="F349" s="76"/>
      <c r="G349" s="76"/>
      <c r="H349" s="76"/>
    </row>
    <row r="350" spans="5:8" ht="12.5" x14ac:dyDescent="0.25">
      <c r="E350" s="76"/>
      <c r="F350" s="76"/>
      <c r="G350" s="76"/>
      <c r="H350" s="76"/>
    </row>
    <row r="351" spans="5:8" ht="12.5" x14ac:dyDescent="0.25">
      <c r="E351" s="76"/>
      <c r="F351" s="76"/>
      <c r="G351" s="76"/>
      <c r="H351" s="76"/>
    </row>
    <row r="352" spans="5:8" ht="12.5" x14ac:dyDescent="0.25">
      <c r="E352" s="76"/>
      <c r="F352" s="76"/>
      <c r="G352" s="76"/>
      <c r="H352" s="76"/>
    </row>
    <row r="353" spans="5:8" ht="12.5" x14ac:dyDescent="0.25">
      <c r="E353" s="76"/>
      <c r="F353" s="76"/>
      <c r="G353" s="76"/>
      <c r="H353" s="76"/>
    </row>
    <row r="354" spans="5:8" ht="12.5" x14ac:dyDescent="0.25">
      <c r="E354" s="76"/>
      <c r="F354" s="76"/>
      <c r="G354" s="76"/>
      <c r="H354" s="76"/>
    </row>
    <row r="355" spans="5:8" ht="12.5" x14ac:dyDescent="0.25">
      <c r="E355" s="76"/>
      <c r="F355" s="76"/>
      <c r="G355" s="76"/>
      <c r="H355" s="76"/>
    </row>
    <row r="356" spans="5:8" ht="12.5" x14ac:dyDescent="0.25">
      <c r="E356" s="76"/>
      <c r="F356" s="76"/>
      <c r="G356" s="76"/>
      <c r="H356" s="76"/>
    </row>
    <row r="357" spans="5:8" ht="12.5" x14ac:dyDescent="0.25">
      <c r="E357" s="76"/>
      <c r="F357" s="76"/>
      <c r="G357" s="76"/>
      <c r="H357" s="76"/>
    </row>
    <row r="358" spans="5:8" ht="12.5" x14ac:dyDescent="0.25">
      <c r="E358" s="76"/>
      <c r="F358" s="76"/>
      <c r="G358" s="76"/>
      <c r="H358" s="76"/>
    </row>
    <row r="359" spans="5:8" ht="12.5" x14ac:dyDescent="0.25">
      <c r="E359" s="76"/>
      <c r="F359" s="76"/>
      <c r="G359" s="76"/>
      <c r="H359" s="76"/>
    </row>
    <row r="360" spans="5:8" ht="12.5" x14ac:dyDescent="0.25">
      <c r="E360" s="76"/>
      <c r="F360" s="76"/>
      <c r="G360" s="76"/>
      <c r="H360" s="76"/>
    </row>
    <row r="361" spans="5:8" ht="12.5" x14ac:dyDescent="0.25">
      <c r="E361" s="76"/>
      <c r="F361" s="76"/>
      <c r="G361" s="76"/>
      <c r="H361" s="76"/>
    </row>
    <row r="362" spans="5:8" ht="12.5" x14ac:dyDescent="0.25">
      <c r="E362" s="76"/>
      <c r="F362" s="76"/>
      <c r="G362" s="76"/>
      <c r="H362" s="76"/>
    </row>
    <row r="363" spans="5:8" ht="12.5" x14ac:dyDescent="0.25">
      <c r="E363" s="76"/>
      <c r="F363" s="76"/>
      <c r="G363" s="76"/>
      <c r="H363" s="76"/>
    </row>
    <row r="364" spans="5:8" ht="12.5" x14ac:dyDescent="0.25">
      <c r="E364" s="76"/>
      <c r="F364" s="76"/>
      <c r="G364" s="76"/>
      <c r="H364" s="76"/>
    </row>
    <row r="365" spans="5:8" ht="12.5" x14ac:dyDescent="0.25">
      <c r="E365" s="76"/>
      <c r="F365" s="76"/>
      <c r="G365" s="76"/>
      <c r="H365" s="76"/>
    </row>
    <row r="366" spans="5:8" ht="12.5" x14ac:dyDescent="0.25">
      <c r="E366" s="76"/>
      <c r="F366" s="76"/>
      <c r="G366" s="76"/>
      <c r="H366" s="76"/>
    </row>
    <row r="367" spans="5:8" ht="12.5" x14ac:dyDescent="0.25">
      <c r="E367" s="76"/>
      <c r="F367" s="76"/>
      <c r="G367" s="76"/>
      <c r="H367" s="76"/>
    </row>
    <row r="368" spans="5:8" ht="12.5" x14ac:dyDescent="0.25">
      <c r="E368" s="76"/>
      <c r="F368" s="76"/>
      <c r="G368" s="76"/>
      <c r="H368" s="76"/>
    </row>
    <row r="369" spans="2:8" ht="12.5" x14ac:dyDescent="0.25">
      <c r="E369" s="76"/>
      <c r="F369" s="76"/>
      <c r="G369" s="76"/>
      <c r="H369" s="76"/>
    </row>
    <row r="370" spans="2:8" ht="12.5" x14ac:dyDescent="0.25">
      <c r="E370" s="76"/>
      <c r="F370" s="76"/>
      <c r="G370" s="76"/>
      <c r="H370" s="76"/>
    </row>
    <row r="371" spans="2:8" ht="12.5" x14ac:dyDescent="0.25">
      <c r="E371" s="76"/>
      <c r="F371" s="76"/>
      <c r="G371" s="76"/>
      <c r="H371" s="76"/>
    </row>
    <row r="372" spans="2:8" ht="12.5" x14ac:dyDescent="0.25">
      <c r="E372" s="76"/>
      <c r="F372" s="76"/>
      <c r="G372" s="76"/>
      <c r="H372" s="76"/>
    </row>
    <row r="373" spans="2:8" ht="12.5" x14ac:dyDescent="0.25">
      <c r="E373" s="76"/>
      <c r="F373" s="76"/>
      <c r="G373" s="76"/>
      <c r="H373" s="76"/>
    </row>
    <row r="374" spans="2:8" ht="12.5" x14ac:dyDescent="0.25">
      <c r="E374" s="76"/>
      <c r="F374" s="76"/>
      <c r="G374" s="76"/>
      <c r="H374" s="76"/>
    </row>
    <row r="375" spans="2:8" ht="12.5" x14ac:dyDescent="0.25">
      <c r="E375" s="76"/>
      <c r="F375" s="76"/>
      <c r="G375" s="76"/>
      <c r="H375" s="76"/>
    </row>
    <row r="376" spans="2:8" ht="12.5" x14ac:dyDescent="0.25">
      <c r="E376" s="76"/>
      <c r="F376" s="76"/>
      <c r="G376" s="76"/>
      <c r="H376" s="76"/>
    </row>
    <row r="377" spans="2:8" ht="12.5" x14ac:dyDescent="0.25">
      <c r="E377" s="76"/>
      <c r="F377" s="76"/>
      <c r="G377" s="76"/>
      <c r="H377" s="76"/>
    </row>
    <row r="378" spans="2:8" ht="12.5" x14ac:dyDescent="0.25">
      <c r="B378" s="367" t="s">
        <v>8</v>
      </c>
      <c r="C378" s="368" t="s">
        <v>20</v>
      </c>
      <c r="E378" s="76"/>
      <c r="F378" s="76"/>
      <c r="G378" s="76"/>
      <c r="H378" s="76"/>
    </row>
    <row r="379" spans="2:8" ht="12.5" x14ac:dyDescent="0.25">
      <c r="E379" s="76"/>
      <c r="F379" s="76"/>
      <c r="G379" s="76"/>
      <c r="H379" s="76"/>
    </row>
    <row r="380" spans="2:8" ht="12.5" x14ac:dyDescent="0.25">
      <c r="B380" s="348" t="s">
        <v>1</v>
      </c>
      <c r="C380" s="385" t="s">
        <v>4</v>
      </c>
      <c r="E380" s="76"/>
      <c r="F380" s="76"/>
      <c r="G380" s="76"/>
      <c r="H380" s="76"/>
    </row>
    <row r="381" spans="2:8" ht="12.5" x14ac:dyDescent="0.25">
      <c r="B381" s="347" t="s">
        <v>89</v>
      </c>
      <c r="C381" s="386" t="s">
        <v>173</v>
      </c>
      <c r="E381" s="76"/>
      <c r="F381" s="76"/>
      <c r="G381" s="76"/>
      <c r="H381" s="76"/>
    </row>
    <row r="382" spans="2:8" ht="12.5" x14ac:dyDescent="0.25">
      <c r="B382" s="347" t="s">
        <v>276</v>
      </c>
      <c r="C382" s="351"/>
      <c r="E382" s="76"/>
      <c r="F382" s="76"/>
      <c r="G382" s="76"/>
      <c r="H382" s="76"/>
    </row>
    <row r="383" spans="2:8" ht="12.5" x14ac:dyDescent="0.25">
      <c r="B383" s="347" t="s">
        <v>60</v>
      </c>
      <c r="C383" s="386" t="s">
        <v>155</v>
      </c>
      <c r="E383" s="76"/>
      <c r="F383" s="76"/>
      <c r="G383" s="76"/>
      <c r="H383" s="76"/>
    </row>
    <row r="384" spans="2:8" ht="12.5" x14ac:dyDescent="0.25">
      <c r="B384" s="352"/>
      <c r="C384" s="387" t="s">
        <v>156</v>
      </c>
      <c r="E384" s="76"/>
      <c r="F384" s="76"/>
      <c r="G384" s="76"/>
      <c r="H384" s="76"/>
    </row>
    <row r="385" spans="2:8" ht="12.5" x14ac:dyDescent="0.25">
      <c r="B385" s="352"/>
      <c r="C385" s="387" t="s">
        <v>160</v>
      </c>
      <c r="E385" s="76"/>
      <c r="F385" s="76"/>
      <c r="G385" s="76"/>
      <c r="H385" s="76"/>
    </row>
    <row r="386" spans="2:8" ht="12.5" x14ac:dyDescent="0.25">
      <c r="B386" s="352"/>
      <c r="C386" s="387" t="s">
        <v>162</v>
      </c>
      <c r="E386" s="76"/>
      <c r="F386" s="76"/>
      <c r="G386" s="76"/>
      <c r="H386" s="76"/>
    </row>
    <row r="387" spans="2:8" ht="12.5" x14ac:dyDescent="0.25">
      <c r="B387" s="352"/>
      <c r="C387" s="387" t="s">
        <v>92</v>
      </c>
      <c r="E387" s="76"/>
      <c r="F387" s="76"/>
      <c r="G387" s="76"/>
      <c r="H387" s="76"/>
    </row>
    <row r="388" spans="2:8" ht="12.5" x14ac:dyDescent="0.25">
      <c r="B388" s="352"/>
      <c r="C388" s="387" t="s">
        <v>91</v>
      </c>
      <c r="E388" s="76"/>
      <c r="F388" s="76"/>
      <c r="G388" s="76"/>
      <c r="H388" s="76"/>
    </row>
    <row r="389" spans="2:8" ht="12.5" x14ac:dyDescent="0.25">
      <c r="B389" s="352"/>
      <c r="C389" s="387" t="s">
        <v>154</v>
      </c>
      <c r="E389" s="76"/>
      <c r="F389" s="76"/>
      <c r="G389" s="76"/>
      <c r="H389" s="76"/>
    </row>
    <row r="390" spans="2:8" ht="12.5" x14ac:dyDescent="0.25">
      <c r="B390" s="352"/>
      <c r="C390" s="387" t="s">
        <v>157</v>
      </c>
      <c r="E390" s="76"/>
      <c r="F390" s="76"/>
      <c r="G390" s="76"/>
      <c r="H390" s="76"/>
    </row>
    <row r="391" spans="2:8" ht="12.5" x14ac:dyDescent="0.25">
      <c r="B391" s="352"/>
      <c r="C391" s="387" t="s">
        <v>165</v>
      </c>
      <c r="E391" s="76"/>
      <c r="F391" s="76"/>
      <c r="G391" s="76"/>
      <c r="H391" s="76"/>
    </row>
    <row r="392" spans="2:8" ht="12.5" x14ac:dyDescent="0.25">
      <c r="B392" s="352"/>
      <c r="C392" s="387" t="s">
        <v>94</v>
      </c>
      <c r="E392" s="76"/>
      <c r="F392" s="76"/>
      <c r="G392" s="76"/>
      <c r="H392" s="76"/>
    </row>
    <row r="393" spans="2:8" ht="12.5" x14ac:dyDescent="0.25">
      <c r="B393" s="352"/>
      <c r="C393" s="387" t="s">
        <v>163</v>
      </c>
      <c r="E393" s="76"/>
      <c r="F393" s="76"/>
      <c r="G393" s="76"/>
      <c r="H393" s="76"/>
    </row>
    <row r="394" spans="2:8" ht="12.5" x14ac:dyDescent="0.25">
      <c r="B394" s="352"/>
      <c r="C394" s="387" t="s">
        <v>140</v>
      </c>
      <c r="E394" s="76"/>
      <c r="F394" s="76"/>
      <c r="G394" s="76"/>
      <c r="H394" s="76"/>
    </row>
    <row r="395" spans="2:8" ht="12.5" x14ac:dyDescent="0.25">
      <c r="B395" s="352"/>
      <c r="C395" s="387" t="s">
        <v>167</v>
      </c>
      <c r="E395" s="76"/>
      <c r="F395" s="76"/>
      <c r="G395" s="76"/>
      <c r="H395" s="76"/>
    </row>
    <row r="396" spans="2:8" ht="12.5" x14ac:dyDescent="0.25">
      <c r="B396" s="352"/>
      <c r="C396" s="387" t="s">
        <v>158</v>
      </c>
      <c r="E396" s="76"/>
      <c r="F396" s="76"/>
      <c r="G396" s="76"/>
      <c r="H396" s="76"/>
    </row>
    <row r="397" spans="2:8" ht="12.5" x14ac:dyDescent="0.25">
      <c r="B397" s="352"/>
      <c r="C397" s="387" t="s">
        <v>166</v>
      </c>
      <c r="E397" s="76"/>
      <c r="F397" s="76"/>
      <c r="G397" s="76"/>
      <c r="H397" s="76"/>
    </row>
    <row r="398" spans="2:8" ht="12.5" x14ac:dyDescent="0.25">
      <c r="B398" s="352"/>
      <c r="C398" s="387" t="s">
        <v>164</v>
      </c>
      <c r="E398" s="76"/>
      <c r="F398" s="76"/>
      <c r="G398" s="76"/>
      <c r="H398" s="76"/>
    </row>
    <row r="399" spans="2:8" ht="12.5" x14ac:dyDescent="0.25">
      <c r="B399" s="352"/>
      <c r="C399" s="387" t="s">
        <v>138</v>
      </c>
      <c r="E399" s="76"/>
      <c r="F399" s="76"/>
      <c r="G399" s="76"/>
      <c r="H399" s="76"/>
    </row>
    <row r="400" spans="2:8" ht="12.5" x14ac:dyDescent="0.25">
      <c r="B400" s="352"/>
      <c r="C400" s="387" t="s">
        <v>159</v>
      </c>
      <c r="E400" s="76"/>
      <c r="F400" s="76"/>
      <c r="G400" s="76"/>
      <c r="H400" s="76"/>
    </row>
    <row r="401" spans="2:8" ht="12.5" x14ac:dyDescent="0.25">
      <c r="B401" s="352"/>
      <c r="C401" s="387" t="s">
        <v>161</v>
      </c>
      <c r="E401" s="76"/>
      <c r="F401" s="76"/>
      <c r="G401" s="76"/>
      <c r="H401" s="76"/>
    </row>
    <row r="402" spans="2:8" ht="12.5" x14ac:dyDescent="0.25">
      <c r="B402" s="352"/>
      <c r="C402" s="387" t="s">
        <v>65</v>
      </c>
      <c r="E402" s="76"/>
      <c r="F402" s="76"/>
      <c r="G402" s="76"/>
      <c r="H402" s="76"/>
    </row>
    <row r="403" spans="2:8" ht="12.5" x14ac:dyDescent="0.25">
      <c r="B403" s="347" t="s">
        <v>277</v>
      </c>
      <c r="C403" s="351"/>
      <c r="E403" s="76"/>
      <c r="F403" s="76"/>
      <c r="G403" s="76"/>
      <c r="H403" s="76"/>
    </row>
    <row r="404" spans="2:8" ht="12.5" x14ac:dyDescent="0.25">
      <c r="B404" s="347" t="s">
        <v>14</v>
      </c>
      <c r="C404" s="386" t="s">
        <v>35</v>
      </c>
      <c r="E404" s="76"/>
      <c r="F404" s="76"/>
      <c r="G404" s="76"/>
      <c r="H404" s="76"/>
    </row>
    <row r="405" spans="2:8" ht="12.5" x14ac:dyDescent="0.25">
      <c r="B405" s="352"/>
      <c r="C405" s="387" t="s">
        <v>33</v>
      </c>
      <c r="E405" s="76"/>
      <c r="F405" s="76"/>
      <c r="G405" s="76"/>
      <c r="H405" s="76"/>
    </row>
    <row r="406" spans="2:8" ht="12.5" x14ac:dyDescent="0.25">
      <c r="B406" s="352"/>
      <c r="C406" s="387" t="s">
        <v>30</v>
      </c>
      <c r="E406" s="76"/>
      <c r="F406" s="76"/>
      <c r="G406" s="76"/>
      <c r="H406" s="76"/>
    </row>
    <row r="407" spans="2:8" ht="12.5" x14ac:dyDescent="0.25">
      <c r="B407" s="352"/>
      <c r="C407" s="387" t="s">
        <v>36</v>
      </c>
      <c r="E407" s="76"/>
      <c r="F407" s="76"/>
      <c r="G407" s="76"/>
      <c r="H407" s="76"/>
    </row>
    <row r="408" spans="2:8" ht="12.5" x14ac:dyDescent="0.25">
      <c r="B408" s="352"/>
      <c r="C408" s="387" t="s">
        <v>31</v>
      </c>
      <c r="E408" s="76"/>
      <c r="F408" s="76"/>
      <c r="G408" s="76"/>
      <c r="H408" s="76"/>
    </row>
    <row r="409" spans="2:8" ht="12.5" x14ac:dyDescent="0.25">
      <c r="B409" s="352"/>
      <c r="C409" s="387" t="s">
        <v>21</v>
      </c>
      <c r="E409" s="76"/>
      <c r="F409" s="76"/>
      <c r="G409" s="76"/>
      <c r="H409" s="76"/>
    </row>
    <row r="410" spans="2:8" ht="12.5" x14ac:dyDescent="0.25">
      <c r="B410" s="352"/>
      <c r="C410" s="387" t="s">
        <v>27</v>
      </c>
      <c r="E410" s="76"/>
      <c r="F410" s="76"/>
      <c r="G410" s="76"/>
      <c r="H410" s="76"/>
    </row>
    <row r="411" spans="2:8" ht="12.5" x14ac:dyDescent="0.25">
      <c r="B411" s="352"/>
      <c r="C411" s="387" t="s">
        <v>39</v>
      </c>
      <c r="E411" s="76"/>
      <c r="F411" s="76"/>
      <c r="G411" s="76"/>
      <c r="H411" s="76"/>
    </row>
    <row r="412" spans="2:8" ht="12.5" x14ac:dyDescent="0.25">
      <c r="B412" s="352"/>
      <c r="C412" s="387" t="s">
        <v>40</v>
      </c>
      <c r="E412" s="76"/>
      <c r="F412" s="76"/>
      <c r="G412" s="76"/>
      <c r="H412" s="76"/>
    </row>
    <row r="413" spans="2:8" ht="12.5" x14ac:dyDescent="0.25">
      <c r="B413" s="352"/>
      <c r="C413" s="387" t="s">
        <v>28</v>
      </c>
      <c r="E413" s="76"/>
      <c r="F413" s="76"/>
      <c r="G413" s="76"/>
      <c r="H413" s="76"/>
    </row>
    <row r="414" spans="2:8" ht="12.5" x14ac:dyDescent="0.25">
      <c r="B414" s="352"/>
      <c r="C414" s="387" t="s">
        <v>32</v>
      </c>
      <c r="E414" s="76"/>
      <c r="F414" s="76"/>
      <c r="G414" s="76"/>
      <c r="H414" s="76"/>
    </row>
    <row r="415" spans="2:8" ht="12.5" x14ac:dyDescent="0.25">
      <c r="B415" s="352"/>
      <c r="C415" s="387" t="s">
        <v>34</v>
      </c>
      <c r="E415" s="76"/>
      <c r="F415" s="76"/>
      <c r="G415" s="76"/>
      <c r="H415" s="76"/>
    </row>
    <row r="416" spans="2:8" ht="12.5" x14ac:dyDescent="0.25">
      <c r="B416" s="352"/>
      <c r="C416" s="387" t="s">
        <v>26</v>
      </c>
      <c r="E416" s="76"/>
      <c r="F416" s="76"/>
      <c r="G416" s="76"/>
      <c r="H416" s="76"/>
    </row>
    <row r="417" spans="2:8" ht="12.5" x14ac:dyDescent="0.25">
      <c r="B417" s="352"/>
      <c r="C417" s="387" t="s">
        <v>38</v>
      </c>
      <c r="E417" s="76"/>
      <c r="F417" s="76"/>
      <c r="G417" s="76"/>
      <c r="H417" s="76"/>
    </row>
    <row r="418" spans="2:8" ht="12.5" x14ac:dyDescent="0.25">
      <c r="B418" s="352"/>
      <c r="C418" s="387" t="s">
        <v>29</v>
      </c>
      <c r="E418" s="76"/>
      <c r="F418" s="76"/>
      <c r="G418" s="76"/>
      <c r="H418" s="76"/>
    </row>
    <row r="419" spans="2:8" ht="12.5" x14ac:dyDescent="0.25">
      <c r="B419" s="347" t="s">
        <v>279</v>
      </c>
      <c r="C419" s="351"/>
      <c r="E419" s="76"/>
      <c r="F419" s="76"/>
      <c r="G419" s="76"/>
      <c r="H419" s="76"/>
    </row>
    <row r="420" spans="2:8" ht="12.5" x14ac:dyDescent="0.25">
      <c r="B420" s="347" t="s">
        <v>83</v>
      </c>
      <c r="C420" s="386" t="s">
        <v>169</v>
      </c>
      <c r="E420" s="76"/>
      <c r="F420" s="76"/>
      <c r="G420" s="76"/>
      <c r="H420" s="76"/>
    </row>
    <row r="421" spans="2:8" ht="12.5" x14ac:dyDescent="0.25">
      <c r="B421" s="352"/>
      <c r="C421" s="387" t="s">
        <v>172</v>
      </c>
      <c r="E421" s="76"/>
      <c r="F421" s="76"/>
      <c r="G421" s="76"/>
      <c r="H421" s="76"/>
    </row>
    <row r="422" spans="2:8" ht="12.5" x14ac:dyDescent="0.25">
      <c r="B422" s="352"/>
      <c r="C422" s="387" t="s">
        <v>168</v>
      </c>
      <c r="E422" s="76"/>
      <c r="F422" s="76"/>
      <c r="G422" s="76"/>
      <c r="H422" s="76"/>
    </row>
    <row r="423" spans="2:8" ht="12.5" x14ac:dyDescent="0.25">
      <c r="B423" s="352"/>
      <c r="C423" s="387" t="s">
        <v>171</v>
      </c>
      <c r="E423" s="76"/>
      <c r="F423" s="76"/>
      <c r="G423" s="76"/>
      <c r="H423" s="76"/>
    </row>
    <row r="424" spans="2:8" ht="12.5" x14ac:dyDescent="0.25">
      <c r="B424" s="352"/>
      <c r="C424" s="387" t="s">
        <v>170</v>
      </c>
      <c r="E424" s="76"/>
      <c r="F424" s="76"/>
      <c r="G424" s="76"/>
      <c r="H424" s="76"/>
    </row>
    <row r="425" spans="2:8" ht="12.5" x14ac:dyDescent="0.25">
      <c r="B425" s="347" t="s">
        <v>280</v>
      </c>
      <c r="C425" s="351"/>
      <c r="E425" s="76"/>
      <c r="F425" s="76"/>
      <c r="G425" s="76"/>
      <c r="H425" s="76"/>
    </row>
    <row r="426" spans="2:8" ht="12.5" x14ac:dyDescent="0.25">
      <c r="B426" s="347" t="s">
        <v>44</v>
      </c>
      <c r="C426" s="386" t="s">
        <v>150</v>
      </c>
      <c r="E426" s="76"/>
      <c r="F426" s="76"/>
      <c r="G426" s="76"/>
      <c r="H426" s="76"/>
    </row>
    <row r="427" spans="2:8" ht="12.5" x14ac:dyDescent="0.25">
      <c r="B427" s="352"/>
      <c r="C427" s="387" t="s">
        <v>143</v>
      </c>
      <c r="E427" s="76"/>
      <c r="F427" s="76"/>
      <c r="G427" s="76"/>
      <c r="H427" s="76"/>
    </row>
    <row r="428" spans="2:8" ht="12.5" x14ac:dyDescent="0.25">
      <c r="B428" s="352"/>
      <c r="C428" s="387" t="s">
        <v>144</v>
      </c>
      <c r="E428" s="76"/>
      <c r="F428" s="76"/>
      <c r="G428" s="76"/>
      <c r="H428" s="76"/>
    </row>
    <row r="429" spans="2:8" ht="12.5" x14ac:dyDescent="0.25">
      <c r="B429" s="352"/>
      <c r="C429" s="387" t="s">
        <v>145</v>
      </c>
      <c r="E429" s="76"/>
      <c r="F429" s="76"/>
      <c r="G429" s="76"/>
      <c r="H429" s="76"/>
    </row>
    <row r="430" spans="2:8" ht="12.5" x14ac:dyDescent="0.25">
      <c r="B430" s="352"/>
      <c r="C430" s="387" t="s">
        <v>147</v>
      </c>
      <c r="E430" s="76"/>
      <c r="F430" s="76"/>
      <c r="G430" s="76"/>
      <c r="H430" s="76"/>
    </row>
    <row r="431" spans="2:8" ht="12.5" x14ac:dyDescent="0.25">
      <c r="B431" s="352"/>
      <c r="C431" s="387" t="s">
        <v>149</v>
      </c>
      <c r="E431" s="76"/>
      <c r="F431" s="76"/>
      <c r="G431" s="76"/>
      <c r="H431" s="76"/>
    </row>
    <row r="432" spans="2:8" ht="12.5" x14ac:dyDescent="0.25">
      <c r="B432" s="352"/>
      <c r="C432" s="387" t="s">
        <v>146</v>
      </c>
      <c r="E432" s="76"/>
      <c r="F432" s="76"/>
      <c r="G432" s="76"/>
      <c r="H432" s="76"/>
    </row>
    <row r="433" spans="2:8" ht="12.5" x14ac:dyDescent="0.25">
      <c r="B433" s="352"/>
      <c r="C433" s="387" t="s">
        <v>148</v>
      </c>
      <c r="E433" s="76"/>
      <c r="F433" s="76"/>
      <c r="G433" s="76"/>
      <c r="H433" s="76"/>
    </row>
    <row r="434" spans="2:8" ht="12.5" x14ac:dyDescent="0.25">
      <c r="B434" s="347" t="s">
        <v>281</v>
      </c>
      <c r="C434" s="351"/>
      <c r="E434" s="76"/>
      <c r="F434" s="76"/>
      <c r="G434" s="76"/>
      <c r="H434" s="76"/>
    </row>
    <row r="435" spans="2:8" ht="12.5" x14ac:dyDescent="0.25">
      <c r="B435" s="347" t="s">
        <v>54</v>
      </c>
      <c r="C435" s="386" t="s">
        <v>59</v>
      </c>
      <c r="E435" s="76"/>
      <c r="F435" s="76"/>
      <c r="G435" s="76"/>
      <c r="H435" s="76"/>
    </row>
    <row r="436" spans="2:8" ht="12.5" x14ac:dyDescent="0.25">
      <c r="B436" s="352"/>
      <c r="C436" s="387" t="s">
        <v>57</v>
      </c>
      <c r="E436" s="76"/>
      <c r="F436" s="76"/>
      <c r="G436" s="76"/>
      <c r="H436" s="76"/>
    </row>
    <row r="437" spans="2:8" ht="12.5" x14ac:dyDescent="0.25">
      <c r="B437" s="352"/>
      <c r="C437" s="387" t="s">
        <v>152</v>
      </c>
      <c r="E437" s="76"/>
      <c r="F437" s="76"/>
      <c r="G437" s="76"/>
      <c r="H437" s="76"/>
    </row>
    <row r="438" spans="2:8" ht="12.5" x14ac:dyDescent="0.25">
      <c r="B438" s="352"/>
      <c r="C438" s="387" t="s">
        <v>58</v>
      </c>
      <c r="E438" s="76"/>
      <c r="F438" s="76"/>
      <c r="G438" s="76"/>
      <c r="H438" s="76"/>
    </row>
    <row r="439" spans="2:8" ht="12.5" x14ac:dyDescent="0.25">
      <c r="B439" s="352"/>
      <c r="C439" s="387" t="s">
        <v>151</v>
      </c>
      <c r="E439" s="76"/>
      <c r="F439" s="76"/>
      <c r="G439" s="76"/>
      <c r="H439" s="76"/>
    </row>
    <row r="440" spans="2:8" ht="12.5" x14ac:dyDescent="0.25">
      <c r="B440" s="347" t="s">
        <v>282</v>
      </c>
      <c r="C440" s="351"/>
      <c r="E440" s="76"/>
      <c r="F440" s="76"/>
      <c r="G440" s="76"/>
      <c r="H440" s="76"/>
    </row>
    <row r="441" spans="2:8" ht="12.5" x14ac:dyDescent="0.25">
      <c r="B441" s="374" t="s">
        <v>2034</v>
      </c>
      <c r="C441" s="388"/>
      <c r="E441" s="76"/>
      <c r="F441" s="76"/>
      <c r="G441" s="76"/>
      <c r="H441" s="76"/>
    </row>
    <row r="442" spans="2:8" ht="12.5" x14ac:dyDescent="0.25">
      <c r="E442" s="76"/>
      <c r="F442" s="76"/>
      <c r="G442" s="76"/>
      <c r="H442" s="76"/>
    </row>
    <row r="443" spans="2:8" ht="12.5" x14ac:dyDescent="0.25">
      <c r="E443" s="76"/>
      <c r="F443" s="76"/>
      <c r="G443" s="76"/>
      <c r="H443" s="76"/>
    </row>
    <row r="444" spans="2:8" ht="12.5" x14ac:dyDescent="0.25">
      <c r="E444" s="76"/>
      <c r="F444" s="76"/>
      <c r="G444" s="76"/>
      <c r="H444" s="76"/>
    </row>
    <row r="445" spans="2:8" ht="12.5" x14ac:dyDescent="0.25">
      <c r="E445" s="76"/>
      <c r="F445" s="76"/>
      <c r="G445" s="76"/>
      <c r="H445" s="76"/>
    </row>
    <row r="446" spans="2:8" ht="12.5" x14ac:dyDescent="0.25">
      <c r="E446" s="76"/>
      <c r="F446" s="76"/>
      <c r="G446" s="76"/>
      <c r="H446" s="76"/>
    </row>
    <row r="447" spans="2:8" ht="12.5" x14ac:dyDescent="0.25">
      <c r="E447" s="76"/>
      <c r="F447" s="76"/>
      <c r="G447" s="76"/>
      <c r="H447" s="76"/>
    </row>
    <row r="448" spans="2:8" ht="12.5" x14ac:dyDescent="0.25">
      <c r="E448" s="76"/>
      <c r="F448" s="76"/>
      <c r="G448" s="76"/>
      <c r="H448" s="76"/>
    </row>
    <row r="449" spans="5:8" ht="12.5" x14ac:dyDescent="0.25">
      <c r="E449" s="76"/>
      <c r="F449" s="76"/>
      <c r="G449" s="76"/>
      <c r="H449" s="76"/>
    </row>
    <row r="450" spans="5:8" ht="12.5" x14ac:dyDescent="0.25">
      <c r="E450" s="76"/>
      <c r="F450" s="76"/>
      <c r="G450" s="76"/>
      <c r="H450" s="76"/>
    </row>
    <row r="451" spans="5:8" ht="12.5" x14ac:dyDescent="0.25">
      <c r="E451" s="76"/>
      <c r="F451" s="76"/>
      <c r="G451" s="76"/>
      <c r="H451" s="76"/>
    </row>
    <row r="452" spans="5:8" ht="12.5" x14ac:dyDescent="0.25">
      <c r="E452" s="76"/>
      <c r="F452" s="76"/>
      <c r="G452" s="76"/>
      <c r="H452" s="76"/>
    </row>
    <row r="453" spans="5:8" ht="12.5" x14ac:dyDescent="0.25">
      <c r="E453" s="76"/>
      <c r="F453" s="76"/>
      <c r="G453" s="76"/>
      <c r="H453" s="76"/>
    </row>
    <row r="454" spans="5:8" ht="12.5" x14ac:dyDescent="0.25">
      <c r="E454" s="76"/>
      <c r="F454" s="76"/>
      <c r="G454" s="76"/>
      <c r="H454" s="76"/>
    </row>
    <row r="455" spans="5:8" ht="12.5" x14ac:dyDescent="0.25">
      <c r="E455" s="76"/>
      <c r="F455" s="76"/>
      <c r="G455" s="76"/>
      <c r="H455" s="76"/>
    </row>
    <row r="456" spans="5:8" ht="12.5" x14ac:dyDescent="0.25">
      <c r="E456" s="76"/>
      <c r="F456" s="76"/>
      <c r="G456" s="76"/>
      <c r="H456" s="76"/>
    </row>
    <row r="457" spans="5:8" ht="12.5" x14ac:dyDescent="0.25">
      <c r="E457" s="76"/>
      <c r="F457" s="76"/>
      <c r="G457" s="76"/>
      <c r="H457" s="76"/>
    </row>
    <row r="458" spans="5:8" ht="12.5" x14ac:dyDescent="0.25">
      <c r="E458" s="76"/>
      <c r="F458" s="76"/>
      <c r="G458" s="76"/>
      <c r="H458" s="76"/>
    </row>
    <row r="459" spans="5:8" ht="12.5" x14ac:dyDescent="0.25">
      <c r="E459" s="76"/>
      <c r="F459" s="76"/>
      <c r="G459" s="76"/>
      <c r="H459" s="76"/>
    </row>
    <row r="460" spans="5:8" ht="12.5" x14ac:dyDescent="0.25">
      <c r="E460" s="76"/>
      <c r="F460" s="76"/>
      <c r="G460" s="76"/>
      <c r="H460" s="76"/>
    </row>
    <row r="461" spans="5:8" ht="12.5" x14ac:dyDescent="0.25">
      <c r="E461" s="76"/>
      <c r="F461" s="76"/>
      <c r="G461" s="76"/>
      <c r="H461" s="76"/>
    </row>
    <row r="462" spans="5:8" ht="12.5" x14ac:dyDescent="0.25">
      <c r="E462" s="76"/>
      <c r="F462" s="76"/>
      <c r="G462" s="76"/>
      <c r="H462" s="76"/>
    </row>
    <row r="463" spans="5:8" ht="12.5" x14ac:dyDescent="0.25">
      <c r="E463" s="76"/>
      <c r="F463" s="76"/>
      <c r="G463" s="76"/>
      <c r="H463" s="76"/>
    </row>
    <row r="464" spans="5:8" ht="12.5" x14ac:dyDescent="0.25">
      <c r="E464" s="76"/>
      <c r="F464" s="76"/>
      <c r="G464" s="76"/>
      <c r="H464" s="76"/>
    </row>
    <row r="465" spans="5:8" ht="12.5" x14ac:dyDescent="0.25">
      <c r="E465" s="76"/>
      <c r="F465" s="76"/>
      <c r="G465" s="76"/>
      <c r="H465" s="76"/>
    </row>
    <row r="466" spans="5:8" ht="12.5" x14ac:dyDescent="0.25">
      <c r="E466" s="76"/>
      <c r="F466" s="76"/>
      <c r="G466" s="76"/>
      <c r="H466" s="76"/>
    </row>
    <row r="467" spans="5:8" ht="12.5" x14ac:dyDescent="0.25">
      <c r="E467" s="76"/>
      <c r="F467" s="76"/>
      <c r="G467" s="76"/>
      <c r="H467" s="76"/>
    </row>
    <row r="468" spans="5:8" ht="12.5" x14ac:dyDescent="0.25">
      <c r="E468" s="76"/>
      <c r="F468" s="76"/>
      <c r="G468" s="76"/>
      <c r="H468" s="76"/>
    </row>
    <row r="469" spans="5:8" ht="12.5" x14ac:dyDescent="0.25">
      <c r="E469" s="76"/>
      <c r="F469" s="76"/>
      <c r="G469" s="76"/>
      <c r="H469" s="76"/>
    </row>
    <row r="470" spans="5:8" ht="12.5" x14ac:dyDescent="0.25">
      <c r="E470" s="76"/>
      <c r="F470" s="76"/>
      <c r="G470" s="76"/>
      <c r="H470" s="76"/>
    </row>
    <row r="471" spans="5:8" ht="12.5" x14ac:dyDescent="0.25">
      <c r="E471" s="76"/>
      <c r="F471" s="76"/>
      <c r="G471" s="76"/>
      <c r="H471" s="76"/>
    </row>
    <row r="472" spans="5:8" ht="12.5" x14ac:dyDescent="0.25">
      <c r="E472" s="76"/>
      <c r="F472" s="76"/>
      <c r="G472" s="76"/>
      <c r="H472" s="76"/>
    </row>
    <row r="473" spans="5:8" ht="12.5" x14ac:dyDescent="0.25">
      <c r="E473" s="76"/>
      <c r="F473" s="76"/>
      <c r="G473" s="76"/>
      <c r="H473" s="76"/>
    </row>
    <row r="474" spans="5:8" ht="12.5" x14ac:dyDescent="0.25">
      <c r="E474" s="76"/>
      <c r="F474" s="76"/>
      <c r="G474" s="76"/>
      <c r="H474" s="76"/>
    </row>
    <row r="475" spans="5:8" ht="12.5" x14ac:dyDescent="0.25">
      <c r="E475" s="76"/>
      <c r="F475" s="76"/>
      <c r="G475" s="76"/>
      <c r="H475" s="76"/>
    </row>
    <row r="476" spans="5:8" ht="12.5" x14ac:dyDescent="0.25">
      <c r="E476" s="76"/>
      <c r="F476" s="76"/>
      <c r="G476" s="76"/>
      <c r="H476" s="76"/>
    </row>
    <row r="477" spans="5:8" ht="12.5" x14ac:dyDescent="0.25">
      <c r="E477" s="76"/>
      <c r="F477" s="76"/>
      <c r="G477" s="76"/>
      <c r="H477" s="76"/>
    </row>
    <row r="478" spans="5:8" ht="12.5" x14ac:dyDescent="0.25">
      <c r="E478" s="76"/>
      <c r="F478" s="76"/>
      <c r="G478" s="76"/>
      <c r="H478" s="76"/>
    </row>
    <row r="479" spans="5:8" ht="12.5" x14ac:dyDescent="0.25">
      <c r="E479" s="76"/>
      <c r="F479" s="76"/>
      <c r="G479" s="76"/>
      <c r="H479" s="76"/>
    </row>
    <row r="480" spans="5:8" ht="12.5" x14ac:dyDescent="0.25">
      <c r="E480" s="76"/>
      <c r="F480" s="76"/>
      <c r="G480" s="76"/>
      <c r="H480" s="76"/>
    </row>
    <row r="481" spans="5:8" ht="12.5" x14ac:dyDescent="0.25">
      <c r="E481" s="76"/>
      <c r="F481" s="76"/>
      <c r="G481" s="76"/>
      <c r="H481" s="76"/>
    </row>
    <row r="482" spans="5:8" ht="12.5" x14ac:dyDescent="0.25">
      <c r="E482" s="76"/>
      <c r="F482" s="76"/>
      <c r="G482" s="76"/>
      <c r="H482" s="76"/>
    </row>
    <row r="483" spans="5:8" ht="12.5" x14ac:dyDescent="0.25">
      <c r="E483" s="76"/>
      <c r="F483" s="76"/>
      <c r="G483" s="76"/>
      <c r="H483" s="76"/>
    </row>
    <row r="484" spans="5:8" ht="12.5" x14ac:dyDescent="0.25">
      <c r="E484" s="76"/>
      <c r="F484" s="76"/>
      <c r="G484" s="76"/>
      <c r="H484" s="76"/>
    </row>
    <row r="485" spans="5:8" ht="12.5" x14ac:dyDescent="0.25">
      <c r="E485" s="76"/>
      <c r="F485" s="76"/>
      <c r="G485" s="76"/>
      <c r="H485" s="76"/>
    </row>
    <row r="486" spans="5:8" ht="12.5" x14ac:dyDescent="0.25">
      <c r="E486" s="76"/>
      <c r="F486" s="76"/>
      <c r="G486" s="76"/>
      <c r="H486" s="76"/>
    </row>
    <row r="487" spans="5:8" ht="12.5" x14ac:dyDescent="0.25">
      <c r="E487" s="76"/>
      <c r="F487" s="76"/>
      <c r="G487" s="76"/>
      <c r="H487" s="76"/>
    </row>
    <row r="488" spans="5:8" ht="12.5" x14ac:dyDescent="0.25">
      <c r="E488" s="76"/>
      <c r="F488" s="76"/>
      <c r="G488" s="76"/>
      <c r="H488" s="76"/>
    </row>
    <row r="489" spans="5:8" ht="12.5" x14ac:dyDescent="0.25">
      <c r="E489" s="76"/>
      <c r="F489" s="76"/>
      <c r="G489" s="76"/>
      <c r="H489" s="76"/>
    </row>
    <row r="490" spans="5:8" ht="12.5" x14ac:dyDescent="0.25">
      <c r="E490" s="76"/>
      <c r="F490" s="76"/>
      <c r="G490" s="76"/>
      <c r="H490" s="76"/>
    </row>
    <row r="491" spans="5:8" ht="12.5" x14ac:dyDescent="0.25">
      <c r="E491" s="76"/>
      <c r="F491" s="76"/>
      <c r="G491" s="76"/>
      <c r="H491" s="76"/>
    </row>
    <row r="492" spans="5:8" ht="12.5" x14ac:dyDescent="0.25">
      <c r="E492" s="76"/>
      <c r="F492" s="76"/>
      <c r="G492" s="76"/>
      <c r="H492" s="76"/>
    </row>
    <row r="493" spans="5:8" ht="12.5" x14ac:dyDescent="0.25">
      <c r="E493" s="76"/>
      <c r="F493" s="76"/>
      <c r="G493" s="76"/>
      <c r="H493" s="76"/>
    </row>
    <row r="494" spans="5:8" ht="12.5" x14ac:dyDescent="0.25">
      <c r="E494" s="76"/>
      <c r="F494" s="76"/>
      <c r="G494" s="76"/>
      <c r="H494" s="76"/>
    </row>
    <row r="495" spans="5:8" ht="12.5" x14ac:dyDescent="0.25">
      <c r="E495" s="76"/>
      <c r="F495" s="76"/>
      <c r="G495" s="76"/>
      <c r="H495" s="76"/>
    </row>
    <row r="496" spans="5:8" ht="12.5" x14ac:dyDescent="0.25">
      <c r="E496" s="76"/>
      <c r="F496" s="76"/>
      <c r="G496" s="76"/>
      <c r="H496" s="76"/>
    </row>
    <row r="497" spans="5:8" ht="12.5" x14ac:dyDescent="0.25">
      <c r="E497" s="76"/>
      <c r="F497" s="76"/>
      <c r="G497" s="76"/>
      <c r="H497" s="76"/>
    </row>
    <row r="498" spans="5:8" ht="12.5" x14ac:dyDescent="0.25">
      <c r="E498" s="76"/>
      <c r="F498" s="76"/>
      <c r="G498" s="76"/>
      <c r="H498" s="76"/>
    </row>
    <row r="499" spans="5:8" ht="12.5" x14ac:dyDescent="0.25">
      <c r="E499" s="76"/>
      <c r="F499" s="76"/>
      <c r="G499" s="76"/>
      <c r="H499" s="76"/>
    </row>
    <row r="500" spans="5:8" ht="12.5" x14ac:dyDescent="0.25">
      <c r="E500" s="76"/>
      <c r="F500" s="76"/>
      <c r="G500" s="76"/>
      <c r="H500" s="76"/>
    </row>
    <row r="501" spans="5:8" ht="12.5" x14ac:dyDescent="0.25">
      <c r="E501" s="76"/>
      <c r="F501" s="76"/>
      <c r="G501" s="76"/>
      <c r="H501" s="76"/>
    </row>
    <row r="502" spans="5:8" ht="12.5" x14ac:dyDescent="0.25">
      <c r="E502" s="76"/>
      <c r="F502" s="76"/>
      <c r="G502" s="76"/>
      <c r="H502" s="76"/>
    </row>
    <row r="503" spans="5:8" ht="12.5" x14ac:dyDescent="0.25">
      <c r="E503" s="76"/>
      <c r="F503" s="76"/>
      <c r="G503" s="76"/>
      <c r="H503" s="76"/>
    </row>
    <row r="504" spans="5:8" ht="12.5" x14ac:dyDescent="0.25">
      <c r="E504" s="76"/>
      <c r="F504" s="76"/>
      <c r="G504" s="76"/>
      <c r="H504" s="76"/>
    </row>
    <row r="505" spans="5:8" ht="12.5" x14ac:dyDescent="0.25">
      <c r="E505" s="76"/>
      <c r="F505" s="76"/>
      <c r="G505" s="76"/>
      <c r="H505" s="76"/>
    </row>
    <row r="506" spans="5:8" ht="12.5" x14ac:dyDescent="0.25">
      <c r="E506" s="76"/>
      <c r="F506" s="76"/>
      <c r="G506" s="76"/>
      <c r="H506" s="76"/>
    </row>
    <row r="507" spans="5:8" ht="12.5" x14ac:dyDescent="0.25">
      <c r="E507" s="76"/>
      <c r="F507" s="76"/>
      <c r="G507" s="76"/>
      <c r="H507" s="76"/>
    </row>
    <row r="508" spans="5:8" ht="12.5" x14ac:dyDescent="0.25">
      <c r="E508" s="76"/>
      <c r="F508" s="76"/>
      <c r="G508" s="76"/>
      <c r="H508" s="76"/>
    </row>
    <row r="509" spans="5:8" ht="12.5" x14ac:dyDescent="0.25">
      <c r="E509" s="76"/>
      <c r="F509" s="76"/>
      <c r="G509" s="76"/>
      <c r="H509" s="76"/>
    </row>
    <row r="510" spans="5:8" ht="12.5" x14ac:dyDescent="0.25">
      <c r="E510" s="76"/>
      <c r="F510" s="76"/>
      <c r="G510" s="76"/>
      <c r="H510" s="76"/>
    </row>
    <row r="511" spans="5:8" ht="12.5" x14ac:dyDescent="0.25">
      <c r="E511" s="76"/>
      <c r="F511" s="76"/>
      <c r="G511" s="76"/>
      <c r="H511" s="76"/>
    </row>
    <row r="512" spans="5:8" ht="12.5" x14ac:dyDescent="0.25">
      <c r="E512" s="76"/>
      <c r="F512" s="76"/>
      <c r="G512" s="76"/>
      <c r="H512" s="76"/>
    </row>
    <row r="513" spans="5:8" ht="12.5" x14ac:dyDescent="0.25">
      <c r="E513" s="76"/>
      <c r="F513" s="76"/>
      <c r="G513" s="76"/>
      <c r="H513" s="76"/>
    </row>
    <row r="514" spans="5:8" ht="12.5" x14ac:dyDescent="0.25">
      <c r="E514" s="76"/>
      <c r="F514" s="76"/>
      <c r="G514" s="76"/>
      <c r="H514" s="76"/>
    </row>
    <row r="515" spans="5:8" ht="12.5" x14ac:dyDescent="0.25">
      <c r="E515" s="76"/>
      <c r="F515" s="76"/>
      <c r="G515" s="76"/>
      <c r="H515" s="76"/>
    </row>
    <row r="516" spans="5:8" ht="12.5" x14ac:dyDescent="0.25">
      <c r="E516" s="76"/>
      <c r="F516" s="76"/>
      <c r="G516" s="76"/>
      <c r="H516" s="76"/>
    </row>
    <row r="517" spans="5:8" ht="12.5" x14ac:dyDescent="0.25">
      <c r="E517" s="76"/>
      <c r="F517" s="76"/>
      <c r="G517" s="76"/>
      <c r="H517" s="76"/>
    </row>
    <row r="518" spans="5:8" ht="12.5" x14ac:dyDescent="0.25">
      <c r="E518" s="76"/>
      <c r="F518" s="76"/>
      <c r="G518" s="76"/>
      <c r="H518" s="76"/>
    </row>
    <row r="519" spans="5:8" ht="12.5" x14ac:dyDescent="0.25">
      <c r="E519" s="76"/>
      <c r="F519" s="76"/>
      <c r="G519" s="76"/>
      <c r="H519" s="76"/>
    </row>
    <row r="520" spans="5:8" ht="12.5" x14ac:dyDescent="0.25">
      <c r="E520" s="76"/>
      <c r="F520" s="76"/>
      <c r="G520" s="76"/>
      <c r="H520" s="76"/>
    </row>
    <row r="521" spans="5:8" ht="12.5" x14ac:dyDescent="0.25">
      <c r="E521" s="76"/>
      <c r="F521" s="76"/>
      <c r="G521" s="76"/>
      <c r="H521" s="76"/>
    </row>
    <row r="522" spans="5:8" ht="12.5" x14ac:dyDescent="0.25">
      <c r="E522" s="76"/>
      <c r="F522" s="76"/>
      <c r="G522" s="76"/>
      <c r="H522" s="76"/>
    </row>
    <row r="523" spans="5:8" ht="12.5" x14ac:dyDescent="0.25">
      <c r="E523" s="76"/>
      <c r="F523" s="76"/>
      <c r="G523" s="76"/>
      <c r="H523" s="76"/>
    </row>
    <row r="524" spans="5:8" ht="12.5" x14ac:dyDescent="0.25">
      <c r="E524" s="76"/>
      <c r="F524" s="76"/>
      <c r="G524" s="76"/>
      <c r="H524" s="76"/>
    </row>
    <row r="525" spans="5:8" ht="12.5" x14ac:dyDescent="0.25">
      <c r="E525" s="76"/>
      <c r="F525" s="76"/>
      <c r="G525" s="76"/>
      <c r="H525" s="76"/>
    </row>
    <row r="526" spans="5:8" ht="12.5" x14ac:dyDescent="0.25">
      <c r="E526" s="76"/>
      <c r="F526" s="76"/>
      <c r="G526" s="76"/>
      <c r="H526" s="76"/>
    </row>
    <row r="527" spans="5:8" ht="12.5" x14ac:dyDescent="0.25">
      <c r="E527" s="76"/>
      <c r="F527" s="76"/>
      <c r="G527" s="76"/>
      <c r="H527" s="76"/>
    </row>
    <row r="528" spans="5:8" ht="12.5" x14ac:dyDescent="0.25">
      <c r="E528" s="76"/>
      <c r="F528" s="76"/>
      <c r="G528" s="76"/>
      <c r="H528" s="76"/>
    </row>
    <row r="529" spans="5:8" ht="12.5" x14ac:dyDescent="0.25">
      <c r="E529" s="76"/>
      <c r="F529" s="76"/>
      <c r="G529" s="76"/>
      <c r="H529" s="76"/>
    </row>
    <row r="530" spans="5:8" ht="12.5" x14ac:dyDescent="0.25">
      <c r="E530" s="76"/>
      <c r="F530" s="76"/>
      <c r="G530" s="76"/>
      <c r="H530" s="76"/>
    </row>
    <row r="531" spans="5:8" ht="12.5" x14ac:dyDescent="0.25">
      <c r="E531" s="76"/>
      <c r="F531" s="76"/>
      <c r="G531" s="76"/>
      <c r="H531" s="76"/>
    </row>
    <row r="532" spans="5:8" ht="12.5" x14ac:dyDescent="0.25">
      <c r="E532" s="76"/>
      <c r="F532" s="76"/>
      <c r="G532" s="76"/>
      <c r="H532" s="76"/>
    </row>
    <row r="533" spans="5:8" ht="12.5" x14ac:dyDescent="0.25">
      <c r="E533" s="76"/>
      <c r="F533" s="76"/>
      <c r="G533" s="76"/>
      <c r="H533" s="76"/>
    </row>
    <row r="534" spans="5:8" ht="12.5" x14ac:dyDescent="0.25">
      <c r="E534" s="76"/>
      <c r="F534" s="76"/>
      <c r="G534" s="76"/>
      <c r="H534" s="76"/>
    </row>
    <row r="535" spans="5:8" ht="12.5" x14ac:dyDescent="0.25">
      <c r="E535" s="76"/>
      <c r="F535" s="76"/>
      <c r="G535" s="76"/>
      <c r="H535" s="76"/>
    </row>
    <row r="536" spans="5:8" ht="12.5" x14ac:dyDescent="0.25">
      <c r="E536" s="76"/>
      <c r="F536" s="76"/>
      <c r="G536" s="76"/>
      <c r="H536" s="76"/>
    </row>
    <row r="537" spans="5:8" ht="12.5" x14ac:dyDescent="0.25">
      <c r="E537" s="76"/>
      <c r="F537" s="76"/>
      <c r="G537" s="76"/>
      <c r="H537" s="76"/>
    </row>
    <row r="538" spans="5:8" ht="12.5" x14ac:dyDescent="0.25">
      <c r="E538" s="76"/>
      <c r="F538" s="76"/>
      <c r="G538" s="76"/>
      <c r="H538" s="76"/>
    </row>
    <row r="539" spans="5:8" ht="12.5" x14ac:dyDescent="0.25">
      <c r="E539" s="76"/>
      <c r="F539" s="76"/>
      <c r="G539" s="76"/>
      <c r="H539" s="76"/>
    </row>
    <row r="540" spans="5:8" ht="12.5" x14ac:dyDescent="0.25">
      <c r="E540" s="76"/>
      <c r="F540" s="76"/>
      <c r="G540" s="76"/>
      <c r="H540" s="76"/>
    </row>
    <row r="541" spans="5:8" ht="12.5" x14ac:dyDescent="0.25">
      <c r="E541" s="76"/>
      <c r="F541" s="76"/>
      <c r="G541" s="76"/>
      <c r="H541" s="76"/>
    </row>
    <row r="542" spans="5:8" ht="12.5" x14ac:dyDescent="0.25">
      <c r="E542" s="76"/>
      <c r="F542" s="76"/>
      <c r="G542" s="76"/>
      <c r="H542" s="76"/>
    </row>
    <row r="543" spans="5:8" ht="12.5" x14ac:dyDescent="0.25">
      <c r="E543" s="76"/>
      <c r="F543" s="76"/>
      <c r="G543" s="76"/>
      <c r="H543" s="76"/>
    </row>
    <row r="544" spans="5:8" ht="12.5" x14ac:dyDescent="0.25">
      <c r="E544" s="76"/>
      <c r="F544" s="76"/>
      <c r="G544" s="76"/>
      <c r="H544" s="76"/>
    </row>
    <row r="545" spans="5:8" ht="12.5" x14ac:dyDescent="0.25">
      <c r="E545" s="76"/>
      <c r="F545" s="76"/>
      <c r="G545" s="76"/>
      <c r="H545" s="76"/>
    </row>
    <row r="546" spans="5:8" ht="12.5" x14ac:dyDescent="0.25">
      <c r="E546" s="76"/>
      <c r="F546" s="76"/>
      <c r="G546" s="76"/>
      <c r="H546" s="76"/>
    </row>
    <row r="547" spans="5:8" ht="12.5" x14ac:dyDescent="0.25">
      <c r="E547" s="76"/>
      <c r="F547" s="76"/>
      <c r="G547" s="76"/>
      <c r="H547" s="76"/>
    </row>
    <row r="548" spans="5:8" ht="12.5" x14ac:dyDescent="0.25">
      <c r="E548" s="76"/>
      <c r="F548" s="76"/>
      <c r="G548" s="76"/>
      <c r="H548" s="76"/>
    </row>
    <row r="549" spans="5:8" ht="12.5" x14ac:dyDescent="0.25">
      <c r="E549" s="76"/>
      <c r="F549" s="76"/>
      <c r="G549" s="76"/>
      <c r="H549" s="76"/>
    </row>
    <row r="550" spans="5:8" ht="12.5" x14ac:dyDescent="0.25">
      <c r="E550" s="76"/>
      <c r="F550" s="76"/>
      <c r="G550" s="76"/>
      <c r="H550" s="76"/>
    </row>
    <row r="551" spans="5:8" ht="12.5" x14ac:dyDescent="0.25">
      <c r="E551" s="76"/>
      <c r="F551" s="76"/>
      <c r="G551" s="76"/>
      <c r="H551" s="76"/>
    </row>
    <row r="552" spans="5:8" ht="12.5" x14ac:dyDescent="0.25">
      <c r="E552" s="76"/>
      <c r="F552" s="76"/>
      <c r="G552" s="76"/>
      <c r="H552" s="76"/>
    </row>
    <row r="553" spans="5:8" ht="12.5" x14ac:dyDescent="0.25">
      <c r="E553" s="76"/>
      <c r="F553" s="76"/>
      <c r="G553" s="76"/>
      <c r="H553" s="76"/>
    </row>
    <row r="554" spans="5:8" ht="12.5" x14ac:dyDescent="0.25">
      <c r="E554" s="76"/>
      <c r="F554" s="76"/>
      <c r="G554" s="76"/>
      <c r="H554" s="76"/>
    </row>
    <row r="555" spans="5:8" ht="12.5" x14ac:dyDescent="0.25">
      <c r="E555" s="76"/>
      <c r="F555" s="76"/>
      <c r="G555" s="76"/>
      <c r="H555" s="76"/>
    </row>
    <row r="556" spans="5:8" ht="12.5" x14ac:dyDescent="0.25">
      <c r="E556" s="76"/>
      <c r="F556" s="76"/>
      <c r="G556" s="76"/>
      <c r="H556" s="76"/>
    </row>
    <row r="557" spans="5:8" ht="12.5" x14ac:dyDescent="0.25">
      <c r="E557" s="76"/>
      <c r="F557" s="76"/>
      <c r="G557" s="76"/>
      <c r="H557" s="76"/>
    </row>
    <row r="558" spans="5:8" ht="12.5" x14ac:dyDescent="0.25">
      <c r="E558" s="76"/>
      <c r="F558" s="76"/>
      <c r="G558" s="76"/>
      <c r="H558" s="76"/>
    </row>
    <row r="559" spans="5:8" ht="12.5" x14ac:dyDescent="0.25">
      <c r="E559" s="76"/>
      <c r="F559" s="76"/>
      <c r="G559" s="76"/>
      <c r="H559" s="76"/>
    </row>
    <row r="560" spans="5:8" ht="12.5" x14ac:dyDescent="0.25">
      <c r="E560" s="76"/>
      <c r="F560" s="76"/>
      <c r="G560" s="76"/>
      <c r="H560" s="76"/>
    </row>
    <row r="561" spans="5:8" ht="12.5" x14ac:dyDescent="0.25">
      <c r="E561" s="76"/>
      <c r="F561" s="76"/>
      <c r="G561" s="76"/>
      <c r="H561" s="76"/>
    </row>
    <row r="562" spans="5:8" ht="12.5" x14ac:dyDescent="0.25">
      <c r="E562" s="76"/>
      <c r="F562" s="76"/>
      <c r="G562" s="76"/>
      <c r="H562" s="76"/>
    </row>
    <row r="563" spans="5:8" ht="12.5" x14ac:dyDescent="0.25">
      <c r="E563" s="76"/>
      <c r="F563" s="76"/>
      <c r="G563" s="76"/>
      <c r="H563" s="76"/>
    </row>
    <row r="564" spans="5:8" ht="12.5" x14ac:dyDescent="0.25">
      <c r="E564" s="76"/>
      <c r="F564" s="76"/>
      <c r="G564" s="76"/>
      <c r="H564" s="76"/>
    </row>
    <row r="565" spans="5:8" ht="12.5" x14ac:dyDescent="0.25">
      <c r="E565" s="76"/>
      <c r="F565" s="76"/>
      <c r="G565" s="76"/>
      <c r="H565" s="76"/>
    </row>
    <row r="566" spans="5:8" ht="12.5" x14ac:dyDescent="0.25">
      <c r="E566" s="76"/>
      <c r="F566" s="76"/>
      <c r="G566" s="76"/>
      <c r="H566" s="76"/>
    </row>
    <row r="567" spans="5:8" ht="12.5" x14ac:dyDescent="0.25">
      <c r="E567" s="76"/>
      <c r="F567" s="76"/>
      <c r="G567" s="76"/>
      <c r="H567" s="76"/>
    </row>
    <row r="568" spans="5:8" ht="12.5" x14ac:dyDescent="0.25">
      <c r="E568" s="76"/>
      <c r="F568" s="76"/>
      <c r="G568" s="76"/>
      <c r="H568" s="76"/>
    </row>
    <row r="569" spans="5:8" ht="12.5" x14ac:dyDescent="0.25">
      <c r="E569" s="76"/>
      <c r="F569" s="76"/>
      <c r="G569" s="76"/>
      <c r="H569" s="76"/>
    </row>
    <row r="570" spans="5:8" ht="12.5" x14ac:dyDescent="0.25">
      <c r="E570" s="76"/>
      <c r="F570" s="76"/>
      <c r="G570" s="76"/>
      <c r="H570" s="76"/>
    </row>
    <row r="571" spans="5:8" ht="12.5" x14ac:dyDescent="0.25">
      <c r="E571" s="76"/>
      <c r="F571" s="76"/>
      <c r="G571" s="76"/>
      <c r="H571" s="76"/>
    </row>
    <row r="572" spans="5:8" ht="12.5" x14ac:dyDescent="0.25">
      <c r="E572" s="76"/>
      <c r="F572" s="76"/>
      <c r="G572" s="76"/>
      <c r="H572" s="76"/>
    </row>
    <row r="573" spans="5:8" ht="12.5" x14ac:dyDescent="0.25">
      <c r="E573" s="76"/>
      <c r="F573" s="76"/>
      <c r="G573" s="76"/>
      <c r="H573" s="76"/>
    </row>
    <row r="574" spans="5:8" ht="12.5" x14ac:dyDescent="0.25">
      <c r="E574" s="76"/>
      <c r="F574" s="76"/>
      <c r="G574" s="76"/>
      <c r="H574" s="76"/>
    </row>
    <row r="575" spans="5:8" ht="12.5" x14ac:dyDescent="0.25">
      <c r="E575" s="76"/>
      <c r="F575" s="76"/>
      <c r="G575" s="76"/>
      <c r="H575" s="76"/>
    </row>
    <row r="576" spans="5:8" ht="12.5" x14ac:dyDescent="0.25">
      <c r="E576" s="76"/>
      <c r="F576" s="76"/>
      <c r="G576" s="76"/>
      <c r="H576" s="76"/>
    </row>
    <row r="577" spans="5:8" ht="12.5" x14ac:dyDescent="0.25">
      <c r="E577" s="76"/>
      <c r="F577" s="76"/>
      <c r="G577" s="76"/>
      <c r="H577" s="76"/>
    </row>
    <row r="578" spans="5:8" ht="12.5" x14ac:dyDescent="0.25">
      <c r="E578" s="76"/>
      <c r="F578" s="76"/>
      <c r="G578" s="76"/>
      <c r="H578" s="76"/>
    </row>
    <row r="579" spans="5:8" ht="12.5" x14ac:dyDescent="0.25">
      <c r="E579" s="76"/>
      <c r="F579" s="76"/>
      <c r="G579" s="76"/>
      <c r="H579" s="76"/>
    </row>
    <row r="580" spans="5:8" ht="12.5" x14ac:dyDescent="0.25">
      <c r="E580" s="76"/>
      <c r="F580" s="76"/>
      <c r="G580" s="76"/>
      <c r="H580" s="76"/>
    </row>
    <row r="581" spans="5:8" ht="12.5" x14ac:dyDescent="0.25">
      <c r="E581" s="76"/>
      <c r="F581" s="76"/>
      <c r="G581" s="76"/>
      <c r="H581" s="76"/>
    </row>
    <row r="582" spans="5:8" ht="12.5" x14ac:dyDescent="0.25">
      <c r="E582" s="76"/>
      <c r="F582" s="76"/>
      <c r="G582" s="76"/>
      <c r="H582" s="76"/>
    </row>
    <row r="583" spans="5:8" ht="12.5" x14ac:dyDescent="0.25">
      <c r="E583" s="76"/>
      <c r="F583" s="76"/>
      <c r="G583" s="76"/>
      <c r="H583" s="76"/>
    </row>
    <row r="584" spans="5:8" ht="12.5" x14ac:dyDescent="0.25">
      <c r="E584" s="76"/>
      <c r="F584" s="76"/>
      <c r="G584" s="76"/>
      <c r="H584" s="76"/>
    </row>
    <row r="585" spans="5:8" ht="12.5" x14ac:dyDescent="0.25">
      <c r="E585" s="76"/>
      <c r="F585" s="76"/>
      <c r="G585" s="76"/>
      <c r="H585" s="76"/>
    </row>
    <row r="586" spans="5:8" ht="12.5" x14ac:dyDescent="0.25">
      <c r="E586" s="76"/>
      <c r="F586" s="76"/>
      <c r="G586" s="76"/>
      <c r="H586" s="76"/>
    </row>
    <row r="587" spans="5:8" ht="12.5" x14ac:dyDescent="0.25">
      <c r="E587" s="76"/>
      <c r="F587" s="76"/>
      <c r="G587" s="76"/>
      <c r="H587" s="76"/>
    </row>
    <row r="588" spans="5:8" ht="12.5" x14ac:dyDescent="0.25">
      <c r="E588" s="76"/>
      <c r="F588" s="76"/>
      <c r="G588" s="76"/>
      <c r="H588" s="76"/>
    </row>
    <row r="589" spans="5:8" ht="12.5" x14ac:dyDescent="0.25">
      <c r="E589" s="76"/>
      <c r="F589" s="76"/>
      <c r="G589" s="76"/>
      <c r="H589" s="76"/>
    </row>
    <row r="590" spans="5:8" ht="12.5" x14ac:dyDescent="0.25">
      <c r="E590" s="76"/>
      <c r="F590" s="76"/>
      <c r="G590" s="76"/>
      <c r="H590" s="76"/>
    </row>
    <row r="591" spans="5:8" ht="12.5" x14ac:dyDescent="0.25">
      <c r="E591" s="76"/>
      <c r="F591" s="76"/>
      <c r="G591" s="76"/>
      <c r="H591" s="76"/>
    </row>
    <row r="592" spans="5:8" ht="12.5" x14ac:dyDescent="0.25">
      <c r="E592" s="76"/>
      <c r="F592" s="76"/>
      <c r="G592" s="76"/>
      <c r="H592" s="76"/>
    </row>
    <row r="593" spans="5:8" ht="12.5" x14ac:dyDescent="0.25">
      <c r="E593" s="76"/>
      <c r="F593" s="76"/>
      <c r="G593" s="76"/>
      <c r="H593" s="76"/>
    </row>
    <row r="594" spans="5:8" ht="12.5" x14ac:dyDescent="0.25">
      <c r="E594" s="76"/>
      <c r="F594" s="76"/>
      <c r="G594" s="76"/>
      <c r="H594" s="76"/>
    </row>
    <row r="595" spans="5:8" ht="12.5" x14ac:dyDescent="0.25">
      <c r="E595" s="76"/>
      <c r="F595" s="76"/>
      <c r="G595" s="76"/>
      <c r="H595" s="76"/>
    </row>
    <row r="596" spans="5:8" ht="12.5" x14ac:dyDescent="0.25">
      <c r="E596" s="76"/>
      <c r="F596" s="76"/>
      <c r="G596" s="76"/>
      <c r="H596" s="76"/>
    </row>
    <row r="597" spans="5:8" ht="12.5" x14ac:dyDescent="0.25">
      <c r="E597" s="76"/>
      <c r="F597" s="76"/>
      <c r="G597" s="76"/>
      <c r="H597" s="76"/>
    </row>
    <row r="598" spans="5:8" ht="12.5" x14ac:dyDescent="0.25">
      <c r="E598" s="76"/>
      <c r="F598" s="76"/>
      <c r="G598" s="76"/>
      <c r="H598" s="76"/>
    </row>
    <row r="599" spans="5:8" ht="12.5" x14ac:dyDescent="0.25">
      <c r="E599" s="76"/>
      <c r="F599" s="76"/>
      <c r="G599" s="76"/>
      <c r="H599" s="76"/>
    </row>
    <row r="600" spans="5:8" ht="12.5" x14ac:dyDescent="0.25">
      <c r="E600" s="76"/>
      <c r="F600" s="76"/>
      <c r="G600" s="76"/>
      <c r="H600" s="76"/>
    </row>
    <row r="601" spans="5:8" ht="12.5" x14ac:dyDescent="0.25">
      <c r="E601" s="76"/>
      <c r="F601" s="76"/>
      <c r="G601" s="76"/>
      <c r="H601" s="76"/>
    </row>
    <row r="602" spans="5:8" ht="12.5" x14ac:dyDescent="0.25">
      <c r="E602" s="76"/>
      <c r="F602" s="76"/>
      <c r="G602" s="76"/>
      <c r="H602" s="76"/>
    </row>
    <row r="603" spans="5:8" ht="12.5" x14ac:dyDescent="0.25">
      <c r="E603" s="76"/>
      <c r="F603" s="76"/>
      <c r="G603" s="76"/>
      <c r="H603" s="76"/>
    </row>
    <row r="604" spans="5:8" ht="12.5" x14ac:dyDescent="0.25">
      <c r="E604" s="76"/>
      <c r="F604" s="76"/>
      <c r="G604" s="76"/>
      <c r="H604" s="76"/>
    </row>
    <row r="605" spans="5:8" ht="12.5" x14ac:dyDescent="0.25">
      <c r="E605" s="76"/>
      <c r="F605" s="76"/>
      <c r="G605" s="76"/>
      <c r="H605" s="76"/>
    </row>
    <row r="606" spans="5:8" ht="12.5" x14ac:dyDescent="0.25">
      <c r="E606" s="76"/>
      <c r="F606" s="76"/>
      <c r="G606" s="76"/>
      <c r="H606" s="76"/>
    </row>
    <row r="607" spans="5:8" ht="12.5" x14ac:dyDescent="0.25">
      <c r="E607" s="76"/>
      <c r="F607" s="76"/>
      <c r="G607" s="76"/>
      <c r="H607" s="76"/>
    </row>
    <row r="608" spans="5:8" ht="12.5" x14ac:dyDescent="0.25">
      <c r="E608" s="76"/>
      <c r="F608" s="76"/>
      <c r="G608" s="76"/>
      <c r="H608" s="76"/>
    </row>
    <row r="609" spans="5:8" ht="12.5" x14ac:dyDescent="0.25">
      <c r="E609" s="76"/>
      <c r="F609" s="76"/>
      <c r="G609" s="76"/>
      <c r="H609" s="76"/>
    </row>
    <row r="610" spans="5:8" ht="12.5" x14ac:dyDescent="0.25">
      <c r="E610" s="76"/>
      <c r="F610" s="76"/>
      <c r="G610" s="76"/>
      <c r="H610" s="76"/>
    </row>
    <row r="611" spans="5:8" ht="12.5" x14ac:dyDescent="0.25">
      <c r="E611" s="76"/>
      <c r="F611" s="76"/>
      <c r="G611" s="76"/>
      <c r="H611" s="76"/>
    </row>
    <row r="612" spans="5:8" ht="12.5" x14ac:dyDescent="0.25">
      <c r="E612" s="76"/>
      <c r="F612" s="76"/>
      <c r="G612" s="76"/>
      <c r="H612" s="76"/>
    </row>
    <row r="613" spans="5:8" ht="12.5" x14ac:dyDescent="0.25">
      <c r="E613" s="76"/>
      <c r="F613" s="76"/>
      <c r="G613" s="76"/>
      <c r="H613" s="76"/>
    </row>
    <row r="614" spans="5:8" ht="12.5" x14ac:dyDescent="0.25">
      <c r="E614" s="76"/>
      <c r="F614" s="76"/>
      <c r="G614" s="76"/>
      <c r="H614" s="76"/>
    </row>
    <row r="615" spans="5:8" ht="12.5" x14ac:dyDescent="0.25">
      <c r="E615" s="76"/>
      <c r="F615" s="76"/>
      <c r="G615" s="76"/>
      <c r="H615" s="76"/>
    </row>
    <row r="616" spans="5:8" ht="12.5" x14ac:dyDescent="0.25">
      <c r="E616" s="76"/>
      <c r="F616" s="76"/>
      <c r="G616" s="76"/>
      <c r="H616" s="76"/>
    </row>
    <row r="617" spans="5:8" ht="12.5" x14ac:dyDescent="0.25">
      <c r="E617" s="76"/>
      <c r="F617" s="76"/>
      <c r="G617" s="76"/>
      <c r="H617" s="76"/>
    </row>
    <row r="618" spans="5:8" ht="12.5" x14ac:dyDescent="0.25">
      <c r="E618" s="76"/>
      <c r="F618" s="76"/>
      <c r="G618" s="76"/>
      <c r="H618" s="76"/>
    </row>
    <row r="619" spans="5:8" ht="12.5" x14ac:dyDescent="0.25">
      <c r="E619" s="76"/>
      <c r="F619" s="76"/>
      <c r="G619" s="76"/>
      <c r="H619" s="76"/>
    </row>
    <row r="620" spans="5:8" ht="12.5" x14ac:dyDescent="0.25">
      <c r="E620" s="76"/>
      <c r="F620" s="76"/>
      <c r="G620" s="76"/>
      <c r="H620" s="76"/>
    </row>
    <row r="621" spans="5:8" ht="12.5" x14ac:dyDescent="0.25">
      <c r="E621" s="76"/>
      <c r="F621" s="76"/>
      <c r="G621" s="76"/>
      <c r="H621" s="76"/>
    </row>
    <row r="622" spans="5:8" ht="12.5" x14ac:dyDescent="0.25">
      <c r="E622" s="76"/>
      <c r="F622" s="76"/>
      <c r="G622" s="76"/>
      <c r="H622" s="76"/>
    </row>
    <row r="623" spans="5:8" ht="12.5" x14ac:dyDescent="0.25">
      <c r="E623" s="76"/>
      <c r="F623" s="76"/>
      <c r="G623" s="76"/>
      <c r="H623" s="76"/>
    </row>
    <row r="624" spans="5:8" ht="12.5" x14ac:dyDescent="0.25">
      <c r="E624" s="76"/>
      <c r="F624" s="76"/>
      <c r="G624" s="76"/>
      <c r="H624" s="76"/>
    </row>
    <row r="625" spans="5:8" ht="12.5" x14ac:dyDescent="0.25">
      <c r="E625" s="76"/>
      <c r="F625" s="76"/>
      <c r="G625" s="76"/>
      <c r="H625" s="76"/>
    </row>
    <row r="626" spans="5:8" ht="12.5" x14ac:dyDescent="0.25">
      <c r="E626" s="76"/>
      <c r="F626" s="76"/>
      <c r="G626" s="76"/>
      <c r="H626" s="76"/>
    </row>
    <row r="627" spans="5:8" ht="12.5" x14ac:dyDescent="0.25">
      <c r="E627" s="76"/>
      <c r="F627" s="76"/>
      <c r="G627" s="76"/>
      <c r="H627" s="76"/>
    </row>
    <row r="628" spans="5:8" ht="12.5" x14ac:dyDescent="0.25">
      <c r="E628" s="76"/>
      <c r="F628" s="76"/>
      <c r="G628" s="76"/>
      <c r="H628" s="76"/>
    </row>
    <row r="629" spans="5:8" ht="12.5" x14ac:dyDescent="0.25">
      <c r="E629" s="76"/>
      <c r="F629" s="76"/>
      <c r="G629" s="76"/>
      <c r="H629" s="76"/>
    </row>
    <row r="630" spans="5:8" ht="12.5" x14ac:dyDescent="0.25">
      <c r="E630" s="76"/>
      <c r="F630" s="76"/>
      <c r="G630" s="76"/>
      <c r="H630" s="76"/>
    </row>
    <row r="631" spans="5:8" ht="12.5" x14ac:dyDescent="0.25">
      <c r="E631" s="76"/>
      <c r="F631" s="76"/>
      <c r="G631" s="76"/>
      <c r="H631" s="76"/>
    </row>
    <row r="632" spans="5:8" ht="12.5" x14ac:dyDescent="0.25">
      <c r="E632" s="76"/>
      <c r="F632" s="76"/>
      <c r="G632" s="76"/>
      <c r="H632" s="76"/>
    </row>
    <row r="633" spans="5:8" ht="12.5" x14ac:dyDescent="0.25">
      <c r="E633" s="76"/>
      <c r="F633" s="76"/>
      <c r="G633" s="76"/>
      <c r="H633" s="76"/>
    </row>
    <row r="634" spans="5:8" ht="12.5" x14ac:dyDescent="0.25">
      <c r="E634" s="76"/>
      <c r="F634" s="76"/>
      <c r="G634" s="76"/>
      <c r="H634" s="76"/>
    </row>
    <row r="635" spans="5:8" ht="12.5" x14ac:dyDescent="0.25">
      <c r="E635" s="76"/>
      <c r="F635" s="76"/>
      <c r="G635" s="76"/>
      <c r="H635" s="76"/>
    </row>
    <row r="636" spans="5:8" ht="12.5" x14ac:dyDescent="0.25">
      <c r="E636" s="76"/>
      <c r="F636" s="76"/>
      <c r="G636" s="76"/>
      <c r="H636" s="76"/>
    </row>
    <row r="637" spans="5:8" ht="12.5" x14ac:dyDescent="0.25">
      <c r="E637" s="76"/>
      <c r="F637" s="76"/>
      <c r="G637" s="76"/>
      <c r="H637" s="76"/>
    </row>
    <row r="638" spans="5:8" ht="12.5" x14ac:dyDescent="0.25">
      <c r="E638" s="76"/>
      <c r="F638" s="76"/>
      <c r="G638" s="76"/>
      <c r="H638" s="76"/>
    </row>
    <row r="639" spans="5:8" ht="12.5" x14ac:dyDescent="0.25">
      <c r="E639" s="76"/>
      <c r="F639" s="76"/>
      <c r="G639" s="76"/>
      <c r="H639" s="76"/>
    </row>
    <row r="640" spans="5:8" ht="12.5" x14ac:dyDescent="0.25">
      <c r="E640" s="76"/>
      <c r="F640" s="76"/>
      <c r="G640" s="76"/>
      <c r="H640" s="76"/>
    </row>
    <row r="641" spans="5:8" ht="12.5" x14ac:dyDescent="0.25">
      <c r="E641" s="76"/>
      <c r="F641" s="76"/>
      <c r="G641" s="76"/>
      <c r="H641" s="76"/>
    </row>
    <row r="642" spans="5:8" ht="12.5" x14ac:dyDescent="0.25">
      <c r="E642" s="76"/>
      <c r="F642" s="76"/>
      <c r="G642" s="76"/>
      <c r="H642" s="76"/>
    </row>
    <row r="643" spans="5:8" ht="12.5" x14ac:dyDescent="0.25">
      <c r="E643" s="76"/>
      <c r="F643" s="76"/>
      <c r="G643" s="76"/>
      <c r="H643" s="76"/>
    </row>
    <row r="644" spans="5:8" ht="12.5" x14ac:dyDescent="0.25">
      <c r="E644" s="76"/>
      <c r="F644" s="76"/>
      <c r="G644" s="76"/>
      <c r="H644" s="76"/>
    </row>
    <row r="645" spans="5:8" ht="12.5" x14ac:dyDescent="0.25">
      <c r="E645" s="76"/>
      <c r="F645" s="76"/>
      <c r="G645" s="76"/>
      <c r="H645" s="76"/>
    </row>
    <row r="646" spans="5:8" ht="12.5" x14ac:dyDescent="0.25">
      <c r="E646" s="76"/>
      <c r="F646" s="76"/>
      <c r="G646" s="76"/>
      <c r="H646" s="76"/>
    </row>
    <row r="647" spans="5:8" ht="12.5" x14ac:dyDescent="0.25">
      <c r="E647" s="76"/>
      <c r="F647" s="76"/>
      <c r="G647" s="76"/>
      <c r="H647" s="76"/>
    </row>
    <row r="648" spans="5:8" ht="12.5" x14ac:dyDescent="0.25">
      <c r="E648" s="76"/>
      <c r="F648" s="76"/>
      <c r="G648" s="76"/>
      <c r="H648" s="76"/>
    </row>
    <row r="649" spans="5:8" ht="12.5" x14ac:dyDescent="0.25">
      <c r="E649" s="76"/>
      <c r="F649" s="76"/>
      <c r="G649" s="76"/>
      <c r="H649" s="76"/>
    </row>
    <row r="650" spans="5:8" ht="12.5" x14ac:dyDescent="0.25">
      <c r="E650" s="76"/>
      <c r="F650" s="76"/>
      <c r="G650" s="76"/>
      <c r="H650" s="76"/>
    </row>
    <row r="651" spans="5:8" ht="12.5" x14ac:dyDescent="0.25">
      <c r="E651" s="76"/>
      <c r="F651" s="76"/>
      <c r="G651" s="76"/>
      <c r="H651" s="76"/>
    </row>
    <row r="652" spans="5:8" ht="12.5" x14ac:dyDescent="0.25">
      <c r="E652" s="76"/>
      <c r="F652" s="76"/>
      <c r="G652" s="76"/>
      <c r="H652" s="76"/>
    </row>
    <row r="653" spans="5:8" ht="12.5" x14ac:dyDescent="0.25">
      <c r="E653" s="76"/>
      <c r="F653" s="76"/>
      <c r="G653" s="76"/>
      <c r="H653" s="76"/>
    </row>
    <row r="654" spans="5:8" ht="12.5" x14ac:dyDescent="0.25">
      <c r="E654" s="76"/>
      <c r="F654" s="76"/>
      <c r="G654" s="76"/>
      <c r="H654" s="76"/>
    </row>
    <row r="655" spans="5:8" ht="12.5" x14ac:dyDescent="0.25">
      <c r="E655" s="76"/>
      <c r="F655" s="76"/>
      <c r="G655" s="76"/>
      <c r="H655" s="76"/>
    </row>
    <row r="656" spans="5:8" ht="12.5" x14ac:dyDescent="0.25">
      <c r="E656" s="76"/>
      <c r="F656" s="76"/>
      <c r="G656" s="76"/>
      <c r="H656" s="76"/>
    </row>
    <row r="657" spans="5:8" ht="12.5" x14ac:dyDescent="0.25">
      <c r="E657" s="76"/>
      <c r="F657" s="76"/>
      <c r="G657" s="76"/>
      <c r="H657" s="76"/>
    </row>
    <row r="658" spans="5:8" ht="12.5" x14ac:dyDescent="0.25">
      <c r="E658" s="76"/>
      <c r="F658" s="76"/>
      <c r="G658" s="76"/>
      <c r="H658" s="76"/>
    </row>
    <row r="659" spans="5:8" ht="12.5" x14ac:dyDescent="0.25">
      <c r="E659" s="76"/>
      <c r="F659" s="76"/>
      <c r="G659" s="76"/>
      <c r="H659" s="76"/>
    </row>
    <row r="660" spans="5:8" ht="12.5" x14ac:dyDescent="0.25">
      <c r="E660" s="76"/>
      <c r="F660" s="76"/>
      <c r="G660" s="76"/>
      <c r="H660" s="76"/>
    </row>
    <row r="661" spans="5:8" ht="12.5" x14ac:dyDescent="0.25">
      <c r="E661" s="76"/>
      <c r="F661" s="76"/>
      <c r="G661" s="76"/>
      <c r="H661" s="76"/>
    </row>
    <row r="662" spans="5:8" ht="12.5" x14ac:dyDescent="0.25">
      <c r="E662" s="76"/>
      <c r="F662" s="76"/>
      <c r="G662" s="76"/>
      <c r="H662" s="76"/>
    </row>
    <row r="663" spans="5:8" ht="12.5" x14ac:dyDescent="0.25">
      <c r="E663" s="76"/>
      <c r="F663" s="76"/>
      <c r="G663" s="76"/>
      <c r="H663" s="76"/>
    </row>
    <row r="664" spans="5:8" ht="12.5" x14ac:dyDescent="0.25">
      <c r="E664" s="76"/>
      <c r="F664" s="76"/>
      <c r="G664" s="76"/>
      <c r="H664" s="76"/>
    </row>
    <row r="665" spans="5:8" ht="12.5" x14ac:dyDescent="0.25">
      <c r="E665" s="76"/>
      <c r="F665" s="76"/>
      <c r="G665" s="76"/>
      <c r="H665" s="76"/>
    </row>
    <row r="666" spans="5:8" ht="12.5" x14ac:dyDescent="0.25">
      <c r="E666" s="76"/>
      <c r="F666" s="76"/>
      <c r="G666" s="76"/>
      <c r="H666" s="76"/>
    </row>
    <row r="667" spans="5:8" ht="12.5" x14ac:dyDescent="0.25">
      <c r="E667" s="76"/>
      <c r="F667" s="76"/>
      <c r="G667" s="76"/>
      <c r="H667" s="76"/>
    </row>
    <row r="668" spans="5:8" ht="12.5" x14ac:dyDescent="0.25">
      <c r="E668" s="76"/>
      <c r="F668" s="76"/>
      <c r="G668" s="76"/>
      <c r="H668" s="76"/>
    </row>
    <row r="669" spans="5:8" ht="12.5" x14ac:dyDescent="0.25">
      <c r="E669" s="76"/>
      <c r="F669" s="76"/>
      <c r="G669" s="76"/>
      <c r="H669" s="76"/>
    </row>
    <row r="670" spans="5:8" ht="12.5" x14ac:dyDescent="0.25">
      <c r="E670" s="76"/>
      <c r="F670" s="76"/>
      <c r="G670" s="76"/>
      <c r="H670" s="76"/>
    </row>
    <row r="671" spans="5:8" ht="12.5" x14ac:dyDescent="0.25">
      <c r="E671" s="76"/>
      <c r="F671" s="76"/>
      <c r="G671" s="76"/>
      <c r="H671" s="76"/>
    </row>
    <row r="672" spans="5:8" ht="12.5" x14ac:dyDescent="0.25">
      <c r="E672" s="76"/>
      <c r="F672" s="76"/>
      <c r="G672" s="76"/>
      <c r="H672" s="76"/>
    </row>
    <row r="673" spans="5:8" ht="12.5" x14ac:dyDescent="0.25">
      <c r="E673" s="76"/>
      <c r="F673" s="76"/>
      <c r="G673" s="76"/>
      <c r="H673" s="76"/>
    </row>
    <row r="674" spans="5:8" ht="12.5" x14ac:dyDescent="0.25">
      <c r="E674" s="76"/>
      <c r="F674" s="76"/>
      <c r="G674" s="76"/>
      <c r="H674" s="76"/>
    </row>
    <row r="675" spans="5:8" ht="12.5" x14ac:dyDescent="0.25">
      <c r="E675" s="76"/>
      <c r="F675" s="76"/>
      <c r="G675" s="76"/>
      <c r="H675" s="76"/>
    </row>
    <row r="676" spans="5:8" ht="12.5" x14ac:dyDescent="0.25">
      <c r="E676" s="76"/>
      <c r="F676" s="76"/>
      <c r="G676" s="76"/>
      <c r="H676" s="76"/>
    </row>
    <row r="677" spans="5:8" ht="12.5" x14ac:dyDescent="0.25">
      <c r="E677" s="76"/>
      <c r="F677" s="76"/>
      <c r="G677" s="76"/>
      <c r="H677" s="76"/>
    </row>
    <row r="678" spans="5:8" ht="12.5" x14ac:dyDescent="0.25">
      <c r="E678" s="76"/>
      <c r="F678" s="76"/>
      <c r="G678" s="76"/>
      <c r="H678" s="76"/>
    </row>
    <row r="679" spans="5:8" ht="12.5" x14ac:dyDescent="0.25">
      <c r="E679" s="76"/>
      <c r="F679" s="76"/>
      <c r="G679" s="76"/>
      <c r="H679" s="76"/>
    </row>
    <row r="680" spans="5:8" ht="12.5" x14ac:dyDescent="0.25">
      <c r="E680" s="76"/>
      <c r="F680" s="76"/>
      <c r="G680" s="76"/>
      <c r="H680" s="76"/>
    </row>
    <row r="681" spans="5:8" ht="12.5" x14ac:dyDescent="0.25">
      <c r="E681" s="76"/>
      <c r="F681" s="76"/>
      <c r="G681" s="76"/>
      <c r="H681" s="76"/>
    </row>
    <row r="682" spans="5:8" ht="12.5" x14ac:dyDescent="0.25">
      <c r="E682" s="76"/>
      <c r="F682" s="76"/>
      <c r="G682" s="76"/>
      <c r="H682" s="76"/>
    </row>
    <row r="683" spans="5:8" ht="12.5" x14ac:dyDescent="0.25">
      <c r="E683" s="76"/>
      <c r="F683" s="76"/>
      <c r="G683" s="76"/>
      <c r="H683" s="76"/>
    </row>
    <row r="684" spans="5:8" ht="12.5" x14ac:dyDescent="0.25">
      <c r="E684" s="76"/>
      <c r="F684" s="76"/>
      <c r="G684" s="76"/>
      <c r="H684" s="76"/>
    </row>
    <row r="685" spans="5:8" ht="12.5" x14ac:dyDescent="0.25">
      <c r="E685" s="76"/>
      <c r="F685" s="76"/>
      <c r="G685" s="76"/>
      <c r="H685" s="76"/>
    </row>
    <row r="686" spans="5:8" ht="12.5" x14ac:dyDescent="0.25">
      <c r="E686" s="76"/>
      <c r="F686" s="76"/>
      <c r="G686" s="76"/>
      <c r="H686" s="76"/>
    </row>
    <row r="687" spans="5:8" ht="12.5" x14ac:dyDescent="0.25">
      <c r="E687" s="76"/>
      <c r="F687" s="76"/>
      <c r="G687" s="76"/>
      <c r="H687" s="76"/>
    </row>
    <row r="688" spans="5:8" ht="12.5" x14ac:dyDescent="0.25">
      <c r="E688" s="76"/>
      <c r="F688" s="76"/>
      <c r="G688" s="76"/>
      <c r="H688" s="76"/>
    </row>
    <row r="689" spans="5:8" ht="12.5" x14ac:dyDescent="0.25">
      <c r="E689" s="76"/>
      <c r="F689" s="76"/>
      <c r="G689" s="76"/>
      <c r="H689" s="76"/>
    </row>
    <row r="690" spans="5:8" ht="12.5" x14ac:dyDescent="0.25">
      <c r="E690" s="76"/>
      <c r="F690" s="76"/>
      <c r="G690" s="76"/>
      <c r="H690" s="76"/>
    </row>
    <row r="691" spans="5:8" ht="12.5" x14ac:dyDescent="0.25">
      <c r="E691" s="76"/>
      <c r="F691" s="76"/>
      <c r="G691" s="76"/>
      <c r="H691" s="76"/>
    </row>
    <row r="692" spans="5:8" ht="12.5" x14ac:dyDescent="0.25">
      <c r="E692" s="76"/>
      <c r="F692" s="76"/>
      <c r="G692" s="76"/>
      <c r="H692" s="76"/>
    </row>
    <row r="693" spans="5:8" ht="12.5" x14ac:dyDescent="0.25">
      <c r="E693" s="76"/>
      <c r="F693" s="76"/>
      <c r="G693" s="76"/>
      <c r="H693" s="76"/>
    </row>
    <row r="694" spans="5:8" ht="12.5" x14ac:dyDescent="0.25">
      <c r="E694" s="76"/>
      <c r="F694" s="76"/>
      <c r="G694" s="76"/>
      <c r="H694" s="76"/>
    </row>
    <row r="695" spans="5:8" ht="12.5" x14ac:dyDescent="0.25">
      <c r="E695" s="76"/>
      <c r="F695" s="76"/>
      <c r="G695" s="76"/>
      <c r="H695" s="76"/>
    </row>
    <row r="696" spans="5:8" ht="12.5" x14ac:dyDescent="0.25">
      <c r="E696" s="76"/>
      <c r="F696" s="76"/>
      <c r="G696" s="76"/>
      <c r="H696" s="76"/>
    </row>
    <row r="697" spans="5:8" ht="12.5" x14ac:dyDescent="0.25">
      <c r="E697" s="76"/>
      <c r="F697" s="76"/>
      <c r="G697" s="76"/>
      <c r="H697" s="76"/>
    </row>
    <row r="698" spans="5:8" ht="12.5" x14ac:dyDescent="0.25">
      <c r="E698" s="76"/>
      <c r="F698" s="76"/>
      <c r="G698" s="76"/>
      <c r="H698" s="76"/>
    </row>
    <row r="699" spans="5:8" ht="12.5" x14ac:dyDescent="0.25">
      <c r="E699" s="76"/>
      <c r="F699" s="76"/>
      <c r="G699" s="76"/>
      <c r="H699" s="76"/>
    </row>
    <row r="700" spans="5:8" ht="12.5" x14ac:dyDescent="0.25">
      <c r="E700" s="76"/>
      <c r="F700" s="76"/>
      <c r="G700" s="76"/>
      <c r="H700" s="76"/>
    </row>
    <row r="701" spans="5:8" ht="12.5" x14ac:dyDescent="0.25">
      <c r="E701" s="76"/>
      <c r="F701" s="76"/>
      <c r="G701" s="76"/>
      <c r="H701" s="76"/>
    </row>
    <row r="702" spans="5:8" ht="12.5" x14ac:dyDescent="0.25">
      <c r="E702" s="76"/>
      <c r="F702" s="76"/>
      <c r="G702" s="76"/>
      <c r="H702" s="76"/>
    </row>
    <row r="703" spans="5:8" ht="12.5" x14ac:dyDescent="0.25">
      <c r="E703" s="76"/>
      <c r="F703" s="76"/>
      <c r="G703" s="76"/>
      <c r="H703" s="76"/>
    </row>
    <row r="704" spans="5:8" ht="12.5" x14ac:dyDescent="0.25">
      <c r="E704" s="76"/>
      <c r="F704" s="76"/>
      <c r="G704" s="76"/>
      <c r="H704" s="76"/>
    </row>
    <row r="705" spans="5:8" ht="12.5" x14ac:dyDescent="0.25">
      <c r="E705" s="76"/>
      <c r="F705" s="76"/>
      <c r="G705" s="76"/>
      <c r="H705" s="76"/>
    </row>
    <row r="706" spans="5:8" ht="12.5" x14ac:dyDescent="0.25">
      <c r="E706" s="76"/>
      <c r="F706" s="76"/>
      <c r="G706" s="76"/>
      <c r="H706" s="76"/>
    </row>
    <row r="707" spans="5:8" ht="12.5" x14ac:dyDescent="0.25">
      <c r="E707" s="76"/>
      <c r="F707" s="76"/>
      <c r="G707" s="76"/>
      <c r="H707" s="76"/>
    </row>
    <row r="708" spans="5:8" ht="12.5" x14ac:dyDescent="0.25">
      <c r="E708" s="76"/>
      <c r="F708" s="76"/>
      <c r="G708" s="76"/>
      <c r="H708" s="76"/>
    </row>
    <row r="709" spans="5:8" ht="12.5" x14ac:dyDescent="0.25">
      <c r="E709" s="76"/>
      <c r="F709" s="76"/>
      <c r="G709" s="76"/>
      <c r="H709" s="76"/>
    </row>
    <row r="710" spans="5:8" ht="12.5" x14ac:dyDescent="0.25">
      <c r="E710" s="76"/>
      <c r="F710" s="76"/>
      <c r="G710" s="76"/>
      <c r="H710" s="76"/>
    </row>
    <row r="711" spans="5:8" ht="12.5" x14ac:dyDescent="0.25">
      <c r="E711" s="76"/>
      <c r="F711" s="76"/>
      <c r="G711" s="76"/>
      <c r="H711" s="76"/>
    </row>
    <row r="712" spans="5:8" ht="12.5" x14ac:dyDescent="0.25">
      <c r="E712" s="76"/>
      <c r="F712" s="76"/>
      <c r="G712" s="76"/>
      <c r="H712" s="76"/>
    </row>
    <row r="713" spans="5:8" ht="12.5" x14ac:dyDescent="0.25">
      <c r="E713" s="76"/>
      <c r="F713" s="76"/>
      <c r="G713" s="76"/>
      <c r="H713" s="76"/>
    </row>
    <row r="714" spans="5:8" ht="12.5" x14ac:dyDescent="0.25">
      <c r="E714" s="76"/>
      <c r="F714" s="76"/>
      <c r="G714" s="76"/>
      <c r="H714" s="76"/>
    </row>
    <row r="715" spans="5:8" ht="12.5" x14ac:dyDescent="0.25">
      <c r="E715" s="76"/>
      <c r="F715" s="76"/>
      <c r="G715" s="76"/>
      <c r="H715" s="76"/>
    </row>
    <row r="716" spans="5:8" ht="12.5" x14ac:dyDescent="0.25">
      <c r="E716" s="76"/>
      <c r="F716" s="76"/>
      <c r="G716" s="76"/>
      <c r="H716" s="76"/>
    </row>
    <row r="717" spans="5:8" ht="12.5" x14ac:dyDescent="0.25">
      <c r="E717" s="76"/>
      <c r="F717" s="76"/>
      <c r="G717" s="76"/>
      <c r="H717" s="76"/>
    </row>
    <row r="718" spans="5:8" ht="12.5" x14ac:dyDescent="0.25">
      <c r="E718" s="76"/>
      <c r="F718" s="76"/>
      <c r="G718" s="76"/>
      <c r="H718" s="76"/>
    </row>
    <row r="719" spans="5:8" ht="12.5" x14ac:dyDescent="0.25">
      <c r="E719" s="76"/>
      <c r="F719" s="76"/>
      <c r="G719" s="76"/>
      <c r="H719" s="76"/>
    </row>
    <row r="720" spans="5:8" ht="12.5" x14ac:dyDescent="0.25">
      <c r="E720" s="76"/>
      <c r="F720" s="76"/>
      <c r="G720" s="76"/>
      <c r="H720" s="76"/>
    </row>
    <row r="721" spans="5:8" ht="12.5" x14ac:dyDescent="0.25">
      <c r="E721" s="76"/>
      <c r="F721" s="76"/>
      <c r="G721" s="76"/>
      <c r="H721" s="76"/>
    </row>
    <row r="722" spans="5:8" ht="12.5" x14ac:dyDescent="0.25">
      <c r="E722" s="76"/>
      <c r="F722" s="76"/>
      <c r="G722" s="76"/>
      <c r="H722" s="76"/>
    </row>
    <row r="723" spans="5:8" ht="12.5" x14ac:dyDescent="0.25">
      <c r="E723" s="76"/>
      <c r="F723" s="76"/>
      <c r="G723" s="76"/>
      <c r="H723" s="76"/>
    </row>
    <row r="724" spans="5:8" ht="12.5" x14ac:dyDescent="0.25">
      <c r="E724" s="76"/>
      <c r="F724" s="76"/>
      <c r="G724" s="76"/>
      <c r="H724" s="76"/>
    </row>
    <row r="725" spans="5:8" ht="12.5" x14ac:dyDescent="0.25">
      <c r="E725" s="76"/>
      <c r="F725" s="76"/>
      <c r="G725" s="76"/>
      <c r="H725" s="76"/>
    </row>
    <row r="726" spans="5:8" ht="12.5" x14ac:dyDescent="0.25">
      <c r="E726" s="76"/>
      <c r="F726" s="76"/>
      <c r="G726" s="76"/>
      <c r="H726" s="76"/>
    </row>
    <row r="727" spans="5:8" ht="12.5" x14ac:dyDescent="0.25">
      <c r="E727" s="76"/>
      <c r="F727" s="76"/>
      <c r="G727" s="76"/>
      <c r="H727" s="76"/>
    </row>
    <row r="728" spans="5:8" ht="12.5" x14ac:dyDescent="0.25">
      <c r="E728" s="76"/>
      <c r="F728" s="76"/>
      <c r="G728" s="76"/>
      <c r="H728" s="76"/>
    </row>
    <row r="729" spans="5:8" ht="12.5" x14ac:dyDescent="0.25">
      <c r="E729" s="76"/>
      <c r="F729" s="76"/>
      <c r="G729" s="76"/>
      <c r="H729" s="76"/>
    </row>
    <row r="730" spans="5:8" ht="12.5" x14ac:dyDescent="0.25">
      <c r="E730" s="76"/>
      <c r="F730" s="76"/>
      <c r="G730" s="76"/>
      <c r="H730" s="76"/>
    </row>
    <row r="731" spans="5:8" ht="12.5" x14ac:dyDescent="0.25">
      <c r="E731" s="76"/>
      <c r="F731" s="76"/>
      <c r="G731" s="76"/>
      <c r="H731" s="76"/>
    </row>
    <row r="732" spans="5:8" ht="12.5" x14ac:dyDescent="0.25">
      <c r="E732" s="76"/>
      <c r="F732" s="76"/>
      <c r="G732" s="76"/>
      <c r="H732" s="76"/>
    </row>
    <row r="733" spans="5:8" ht="12.5" x14ac:dyDescent="0.25">
      <c r="E733" s="76"/>
      <c r="F733" s="76"/>
      <c r="G733" s="76"/>
      <c r="H733" s="76"/>
    </row>
    <row r="734" spans="5:8" ht="12.5" x14ac:dyDescent="0.25">
      <c r="E734" s="76"/>
      <c r="F734" s="76"/>
      <c r="G734" s="76"/>
      <c r="H734" s="76"/>
    </row>
    <row r="735" spans="5:8" ht="12.5" x14ac:dyDescent="0.25">
      <c r="E735" s="76"/>
      <c r="F735" s="76"/>
      <c r="G735" s="76"/>
      <c r="H735" s="76"/>
    </row>
    <row r="736" spans="5:8" ht="12.5" x14ac:dyDescent="0.25">
      <c r="E736" s="76"/>
      <c r="F736" s="76"/>
      <c r="G736" s="76"/>
      <c r="H736" s="76"/>
    </row>
    <row r="737" spans="5:8" ht="12.5" x14ac:dyDescent="0.25">
      <c r="E737" s="76"/>
      <c r="F737" s="76"/>
      <c r="G737" s="76"/>
      <c r="H737" s="76"/>
    </row>
    <row r="738" spans="5:8" ht="12.5" x14ac:dyDescent="0.25">
      <c r="E738" s="76"/>
      <c r="F738" s="76"/>
      <c r="G738" s="76"/>
      <c r="H738" s="76"/>
    </row>
    <row r="739" spans="5:8" ht="12.5" x14ac:dyDescent="0.25">
      <c r="E739" s="76"/>
      <c r="F739" s="76"/>
      <c r="G739" s="76"/>
      <c r="H739" s="76"/>
    </row>
    <row r="740" spans="5:8" ht="12.5" x14ac:dyDescent="0.25">
      <c r="E740" s="76"/>
      <c r="F740" s="76"/>
      <c r="G740" s="76"/>
      <c r="H740" s="76"/>
    </row>
    <row r="741" spans="5:8" ht="12.5" x14ac:dyDescent="0.25">
      <c r="E741" s="76"/>
      <c r="F741" s="76"/>
      <c r="G741" s="76"/>
      <c r="H741" s="76"/>
    </row>
    <row r="742" spans="5:8" ht="12.5" x14ac:dyDescent="0.25">
      <c r="E742" s="76"/>
      <c r="F742" s="76"/>
      <c r="G742" s="76"/>
      <c r="H742" s="76"/>
    </row>
    <row r="743" spans="5:8" ht="12.5" x14ac:dyDescent="0.25">
      <c r="E743" s="76"/>
      <c r="F743" s="76"/>
      <c r="G743" s="76"/>
      <c r="H743" s="76"/>
    </row>
    <row r="744" spans="5:8" ht="12.5" x14ac:dyDescent="0.25">
      <c r="E744" s="76"/>
      <c r="F744" s="76"/>
      <c r="G744" s="76"/>
      <c r="H744" s="76"/>
    </row>
    <row r="745" spans="5:8" ht="12.5" x14ac:dyDescent="0.25">
      <c r="E745" s="76"/>
      <c r="F745" s="76"/>
      <c r="G745" s="76"/>
      <c r="H745" s="76"/>
    </row>
    <row r="746" spans="5:8" ht="12.5" x14ac:dyDescent="0.25">
      <c r="E746" s="76"/>
      <c r="F746" s="76"/>
      <c r="G746" s="76"/>
      <c r="H746" s="76"/>
    </row>
    <row r="747" spans="5:8" ht="12.5" x14ac:dyDescent="0.25">
      <c r="E747" s="76"/>
      <c r="F747" s="76"/>
      <c r="G747" s="76"/>
      <c r="H747" s="76"/>
    </row>
    <row r="748" spans="5:8" ht="12.5" x14ac:dyDescent="0.25">
      <c r="E748" s="76"/>
      <c r="F748" s="76"/>
      <c r="G748" s="76"/>
      <c r="H748" s="76"/>
    </row>
    <row r="749" spans="5:8" ht="12.5" x14ac:dyDescent="0.25">
      <c r="E749" s="76"/>
      <c r="F749" s="76"/>
      <c r="G749" s="76"/>
      <c r="H749" s="76"/>
    </row>
    <row r="750" spans="5:8" ht="12.5" x14ac:dyDescent="0.25">
      <c r="E750" s="76"/>
      <c r="F750" s="76"/>
      <c r="G750" s="76"/>
      <c r="H750" s="76"/>
    </row>
    <row r="751" spans="5:8" ht="12.5" x14ac:dyDescent="0.25">
      <c r="E751" s="76"/>
      <c r="F751" s="76"/>
      <c r="G751" s="76"/>
      <c r="H751" s="76"/>
    </row>
    <row r="752" spans="5:8" ht="12.5" x14ac:dyDescent="0.25">
      <c r="E752" s="76"/>
      <c r="F752" s="76"/>
      <c r="G752" s="76"/>
      <c r="H752" s="76"/>
    </row>
    <row r="753" spans="5:8" ht="12.5" x14ac:dyDescent="0.25">
      <c r="E753" s="76"/>
      <c r="F753" s="76"/>
      <c r="G753" s="76"/>
      <c r="H753" s="76"/>
    </row>
    <row r="754" spans="5:8" ht="12.5" x14ac:dyDescent="0.25">
      <c r="E754" s="76"/>
      <c r="F754" s="76"/>
      <c r="G754" s="76"/>
      <c r="H754" s="76"/>
    </row>
    <row r="755" spans="5:8" ht="12.5" x14ac:dyDescent="0.25">
      <c r="E755" s="76"/>
      <c r="F755" s="76"/>
      <c r="G755" s="76"/>
      <c r="H755" s="76"/>
    </row>
    <row r="756" spans="5:8" ht="12.5" x14ac:dyDescent="0.25">
      <c r="E756" s="76"/>
      <c r="F756" s="76"/>
      <c r="G756" s="76"/>
      <c r="H756" s="76"/>
    </row>
    <row r="757" spans="5:8" ht="12.5" x14ac:dyDescent="0.25">
      <c r="E757" s="76"/>
      <c r="F757" s="76"/>
      <c r="G757" s="76"/>
      <c r="H757" s="76"/>
    </row>
    <row r="758" spans="5:8" ht="12.5" x14ac:dyDescent="0.25">
      <c r="E758" s="76"/>
      <c r="F758" s="76"/>
      <c r="G758" s="76"/>
      <c r="H758" s="76"/>
    </row>
    <row r="759" spans="5:8" ht="12.5" x14ac:dyDescent="0.25">
      <c r="E759" s="76"/>
      <c r="F759" s="76"/>
      <c r="G759" s="76"/>
      <c r="H759" s="76"/>
    </row>
    <row r="760" spans="5:8" ht="12.5" x14ac:dyDescent="0.25">
      <c r="E760" s="76"/>
      <c r="F760" s="76"/>
      <c r="G760" s="76"/>
      <c r="H760" s="76"/>
    </row>
    <row r="761" spans="5:8" ht="12.5" x14ac:dyDescent="0.25">
      <c r="E761" s="76"/>
      <c r="F761" s="76"/>
      <c r="G761" s="76"/>
      <c r="H761" s="76"/>
    </row>
    <row r="762" spans="5:8" ht="12.5" x14ac:dyDescent="0.25">
      <c r="E762" s="76"/>
      <c r="F762" s="76"/>
      <c r="G762" s="76"/>
      <c r="H762" s="76"/>
    </row>
    <row r="763" spans="5:8" ht="12.5" x14ac:dyDescent="0.25">
      <c r="E763" s="76"/>
      <c r="F763" s="76"/>
      <c r="G763" s="76"/>
      <c r="H763" s="76"/>
    </row>
    <row r="764" spans="5:8" ht="12.5" x14ac:dyDescent="0.25">
      <c r="E764" s="76"/>
      <c r="F764" s="76"/>
      <c r="G764" s="76"/>
      <c r="H764" s="76"/>
    </row>
    <row r="765" spans="5:8" ht="12.5" x14ac:dyDescent="0.25">
      <c r="E765" s="76"/>
      <c r="F765" s="76"/>
      <c r="G765" s="76"/>
      <c r="H765" s="76"/>
    </row>
    <row r="766" spans="5:8" ht="12.5" x14ac:dyDescent="0.25">
      <c r="E766" s="76"/>
      <c r="F766" s="76"/>
      <c r="G766" s="76"/>
      <c r="H766" s="76"/>
    </row>
    <row r="767" spans="5:8" ht="12.5" x14ac:dyDescent="0.25">
      <c r="E767" s="76"/>
      <c r="F767" s="76"/>
      <c r="G767" s="76"/>
      <c r="H767" s="76"/>
    </row>
    <row r="768" spans="5:8" ht="12.5" x14ac:dyDescent="0.25">
      <c r="E768" s="76"/>
      <c r="F768" s="76"/>
      <c r="G768" s="76"/>
      <c r="H768" s="76"/>
    </row>
    <row r="769" spans="5:8" ht="12.5" x14ac:dyDescent="0.25">
      <c r="E769" s="76"/>
      <c r="F769" s="76"/>
      <c r="G769" s="76"/>
      <c r="H769" s="76"/>
    </row>
    <row r="770" spans="5:8" ht="12.5" x14ac:dyDescent="0.25">
      <c r="E770" s="76"/>
      <c r="F770" s="76"/>
      <c r="G770" s="76"/>
      <c r="H770" s="76"/>
    </row>
    <row r="771" spans="5:8" ht="12.5" x14ac:dyDescent="0.25">
      <c r="E771" s="76"/>
      <c r="F771" s="76"/>
      <c r="G771" s="76"/>
      <c r="H771" s="76"/>
    </row>
    <row r="772" spans="5:8" ht="12.5" x14ac:dyDescent="0.25">
      <c r="E772" s="76"/>
      <c r="F772" s="76"/>
      <c r="G772" s="76"/>
      <c r="H772" s="76"/>
    </row>
    <row r="773" spans="5:8" ht="12.5" x14ac:dyDescent="0.25">
      <c r="E773" s="76"/>
      <c r="F773" s="76"/>
      <c r="G773" s="76"/>
      <c r="H773" s="76"/>
    </row>
    <row r="774" spans="5:8" ht="12.5" x14ac:dyDescent="0.25">
      <c r="E774" s="76"/>
      <c r="F774" s="76"/>
      <c r="G774" s="76"/>
      <c r="H774" s="76"/>
    </row>
    <row r="775" spans="5:8" ht="12.5" x14ac:dyDescent="0.25">
      <c r="E775" s="76"/>
      <c r="F775" s="76"/>
      <c r="G775" s="76"/>
      <c r="H775" s="76"/>
    </row>
    <row r="776" spans="5:8" ht="12.5" x14ac:dyDescent="0.25">
      <c r="E776" s="76"/>
      <c r="F776" s="76"/>
      <c r="G776" s="76"/>
      <c r="H776" s="76"/>
    </row>
    <row r="777" spans="5:8" ht="12.5" x14ac:dyDescent="0.25">
      <c r="E777" s="76"/>
      <c r="F777" s="76"/>
      <c r="G777" s="76"/>
      <c r="H777" s="76"/>
    </row>
    <row r="778" spans="5:8" ht="12.5" x14ac:dyDescent="0.25">
      <c r="E778" s="76"/>
      <c r="F778" s="76"/>
      <c r="G778" s="76"/>
      <c r="H778" s="76"/>
    </row>
    <row r="779" spans="5:8" ht="12.5" x14ac:dyDescent="0.25">
      <c r="E779" s="76"/>
      <c r="F779" s="76"/>
      <c r="G779" s="76"/>
      <c r="H779" s="76"/>
    </row>
    <row r="780" spans="5:8" ht="12.5" x14ac:dyDescent="0.25">
      <c r="E780" s="76"/>
      <c r="F780" s="76"/>
      <c r="G780" s="76"/>
      <c r="H780" s="76"/>
    </row>
    <row r="781" spans="5:8" ht="12.5" x14ac:dyDescent="0.25">
      <c r="E781" s="76"/>
      <c r="F781" s="76"/>
      <c r="G781" s="76"/>
      <c r="H781" s="76"/>
    </row>
    <row r="782" spans="5:8" ht="12.5" x14ac:dyDescent="0.25">
      <c r="E782" s="76"/>
      <c r="F782" s="76"/>
      <c r="G782" s="76"/>
      <c r="H782" s="76"/>
    </row>
    <row r="783" spans="5:8" ht="12.5" x14ac:dyDescent="0.25">
      <c r="E783" s="76"/>
      <c r="F783" s="76"/>
      <c r="G783" s="76"/>
      <c r="H783" s="76"/>
    </row>
    <row r="784" spans="5:8" ht="12.5" x14ac:dyDescent="0.25">
      <c r="E784" s="76"/>
      <c r="F784" s="76"/>
      <c r="G784" s="76"/>
      <c r="H784" s="76"/>
    </row>
    <row r="785" spans="5:8" ht="12.5" x14ac:dyDescent="0.25">
      <c r="E785" s="76"/>
      <c r="F785" s="76"/>
      <c r="G785" s="76"/>
      <c r="H785" s="76"/>
    </row>
    <row r="786" spans="5:8" ht="12.5" x14ac:dyDescent="0.25">
      <c r="E786" s="76"/>
      <c r="F786" s="76"/>
      <c r="G786" s="76"/>
      <c r="H786" s="76"/>
    </row>
    <row r="787" spans="5:8" ht="12.5" x14ac:dyDescent="0.25">
      <c r="E787" s="76"/>
      <c r="F787" s="76"/>
      <c r="G787" s="76"/>
      <c r="H787" s="76"/>
    </row>
    <row r="788" spans="5:8" ht="12.5" x14ac:dyDescent="0.25">
      <c r="E788" s="76"/>
      <c r="F788" s="76"/>
      <c r="G788" s="76"/>
      <c r="H788" s="76"/>
    </row>
    <row r="789" spans="5:8" ht="12.5" x14ac:dyDescent="0.25">
      <c r="E789" s="76"/>
      <c r="F789" s="76"/>
      <c r="G789" s="76"/>
      <c r="H789" s="76"/>
    </row>
    <row r="790" spans="5:8" ht="12.5" x14ac:dyDescent="0.25">
      <c r="E790" s="76"/>
      <c r="F790" s="76"/>
      <c r="G790" s="76"/>
      <c r="H790" s="76"/>
    </row>
    <row r="791" spans="5:8" ht="12.5" x14ac:dyDescent="0.25">
      <c r="E791" s="76"/>
      <c r="F791" s="76"/>
      <c r="G791" s="76"/>
      <c r="H791" s="76"/>
    </row>
    <row r="792" spans="5:8" ht="12.5" x14ac:dyDescent="0.25">
      <c r="E792" s="76"/>
      <c r="F792" s="76"/>
      <c r="G792" s="76"/>
      <c r="H792" s="76"/>
    </row>
    <row r="793" spans="5:8" ht="12.5" x14ac:dyDescent="0.25">
      <c r="E793" s="76"/>
      <c r="F793" s="76"/>
      <c r="G793" s="76"/>
      <c r="H793" s="76"/>
    </row>
    <row r="794" spans="5:8" ht="12.5" x14ac:dyDescent="0.25">
      <c r="E794" s="76"/>
      <c r="F794" s="76"/>
      <c r="G794" s="76"/>
      <c r="H794" s="76"/>
    </row>
    <row r="795" spans="5:8" ht="12.5" x14ac:dyDescent="0.25">
      <c r="E795" s="76"/>
      <c r="F795" s="76"/>
      <c r="G795" s="76"/>
      <c r="H795" s="76"/>
    </row>
    <row r="796" spans="5:8" ht="12.5" x14ac:dyDescent="0.25">
      <c r="E796" s="76"/>
      <c r="F796" s="76"/>
      <c r="G796" s="76"/>
      <c r="H796" s="76"/>
    </row>
    <row r="797" spans="5:8" ht="12.5" x14ac:dyDescent="0.25">
      <c r="E797" s="76"/>
      <c r="F797" s="76"/>
      <c r="G797" s="76"/>
      <c r="H797" s="76"/>
    </row>
    <row r="798" spans="5:8" ht="12.5" x14ac:dyDescent="0.25">
      <c r="E798" s="76"/>
      <c r="F798" s="76"/>
      <c r="G798" s="76"/>
      <c r="H798" s="76"/>
    </row>
    <row r="799" spans="5:8" ht="12.5" x14ac:dyDescent="0.25">
      <c r="E799" s="76"/>
      <c r="F799" s="76"/>
      <c r="G799" s="76"/>
      <c r="H799" s="76"/>
    </row>
    <row r="800" spans="5:8" ht="12.5" x14ac:dyDescent="0.25">
      <c r="E800" s="76"/>
      <c r="F800" s="76"/>
      <c r="G800" s="76"/>
      <c r="H800" s="76"/>
    </row>
    <row r="801" spans="5:8" ht="12.5" x14ac:dyDescent="0.25">
      <c r="E801" s="76"/>
      <c r="F801" s="76"/>
      <c r="G801" s="76"/>
      <c r="H801" s="76"/>
    </row>
    <row r="802" spans="5:8" ht="12.5" x14ac:dyDescent="0.25">
      <c r="E802" s="76"/>
      <c r="F802" s="76"/>
      <c r="G802" s="76"/>
      <c r="H802" s="76"/>
    </row>
    <row r="803" spans="5:8" ht="12.5" x14ac:dyDescent="0.25">
      <c r="E803" s="76"/>
      <c r="F803" s="76"/>
      <c r="G803" s="76"/>
      <c r="H803" s="76"/>
    </row>
    <row r="804" spans="5:8" ht="12.5" x14ac:dyDescent="0.25">
      <c r="E804" s="76"/>
      <c r="F804" s="76"/>
      <c r="G804" s="76"/>
      <c r="H804" s="76"/>
    </row>
    <row r="805" spans="5:8" ht="12.5" x14ac:dyDescent="0.25">
      <c r="E805" s="76"/>
      <c r="F805" s="76"/>
      <c r="G805" s="76"/>
      <c r="H805" s="76"/>
    </row>
    <row r="806" spans="5:8" ht="12.5" x14ac:dyDescent="0.25">
      <c r="E806" s="76"/>
      <c r="F806" s="76"/>
      <c r="G806" s="76"/>
      <c r="H806" s="76"/>
    </row>
    <row r="807" spans="5:8" ht="12.5" x14ac:dyDescent="0.25">
      <c r="E807" s="76"/>
      <c r="F807" s="76"/>
      <c r="G807" s="76"/>
      <c r="H807" s="76"/>
    </row>
    <row r="808" spans="5:8" ht="12.5" x14ac:dyDescent="0.25">
      <c r="E808" s="76"/>
      <c r="F808" s="76"/>
      <c r="G808" s="76"/>
      <c r="H808" s="76"/>
    </row>
    <row r="809" spans="5:8" ht="12.5" x14ac:dyDescent="0.25">
      <c r="E809" s="76"/>
      <c r="F809" s="76"/>
      <c r="G809" s="76"/>
      <c r="H809" s="76"/>
    </row>
    <row r="810" spans="5:8" ht="12.5" x14ac:dyDescent="0.25">
      <c r="E810" s="76"/>
      <c r="F810" s="76"/>
      <c r="G810" s="76"/>
      <c r="H810" s="76"/>
    </row>
    <row r="811" spans="5:8" ht="12.5" x14ac:dyDescent="0.25">
      <c r="E811" s="76"/>
      <c r="F811" s="76"/>
      <c r="G811" s="76"/>
      <c r="H811" s="76"/>
    </row>
    <row r="812" spans="5:8" ht="12.5" x14ac:dyDescent="0.25">
      <c r="E812" s="76"/>
      <c r="F812" s="76"/>
      <c r="G812" s="76"/>
      <c r="H812" s="76"/>
    </row>
    <row r="813" spans="5:8" ht="12.5" x14ac:dyDescent="0.25">
      <c r="E813" s="76"/>
      <c r="F813" s="76"/>
      <c r="G813" s="76"/>
      <c r="H813" s="76"/>
    </row>
    <row r="814" spans="5:8" ht="12.5" x14ac:dyDescent="0.25">
      <c r="E814" s="76"/>
      <c r="F814" s="76"/>
      <c r="G814" s="76"/>
      <c r="H814" s="76"/>
    </row>
    <row r="815" spans="5:8" ht="12.5" x14ac:dyDescent="0.25">
      <c r="E815" s="76"/>
      <c r="F815" s="76"/>
      <c r="G815" s="76"/>
      <c r="H815" s="76"/>
    </row>
    <row r="816" spans="5:8" ht="12.5" x14ac:dyDescent="0.25">
      <c r="E816" s="76"/>
      <c r="F816" s="76"/>
      <c r="G816" s="76"/>
      <c r="H816" s="76"/>
    </row>
    <row r="817" spans="5:8" ht="12.5" x14ac:dyDescent="0.25">
      <c r="E817" s="76"/>
      <c r="F817" s="76"/>
      <c r="G817" s="76"/>
      <c r="H817" s="76"/>
    </row>
    <row r="818" spans="5:8" ht="12.5" x14ac:dyDescent="0.25">
      <c r="E818" s="76"/>
      <c r="F818" s="76"/>
      <c r="G818" s="76"/>
      <c r="H818" s="76"/>
    </row>
    <row r="819" spans="5:8" ht="12.5" x14ac:dyDescent="0.25">
      <c r="E819" s="76"/>
      <c r="F819" s="76"/>
      <c r="G819" s="76"/>
      <c r="H819" s="76"/>
    </row>
    <row r="820" spans="5:8" ht="12.5" x14ac:dyDescent="0.25">
      <c r="E820" s="76"/>
      <c r="F820" s="76"/>
      <c r="G820" s="76"/>
      <c r="H820" s="76"/>
    </row>
    <row r="821" spans="5:8" ht="12.5" x14ac:dyDescent="0.25">
      <c r="E821" s="76"/>
      <c r="F821" s="76"/>
      <c r="G821" s="76"/>
      <c r="H821" s="76"/>
    </row>
    <row r="822" spans="5:8" ht="12.5" x14ac:dyDescent="0.25">
      <c r="E822" s="76"/>
      <c r="F822" s="76"/>
      <c r="G822" s="76"/>
      <c r="H822" s="76"/>
    </row>
    <row r="823" spans="5:8" ht="12.5" x14ac:dyDescent="0.25">
      <c r="E823" s="76"/>
      <c r="F823" s="76"/>
      <c r="G823" s="76"/>
      <c r="H823" s="76"/>
    </row>
    <row r="824" spans="5:8" ht="12.5" x14ac:dyDescent="0.25">
      <c r="E824" s="76"/>
      <c r="F824" s="76"/>
      <c r="G824" s="76"/>
      <c r="H824" s="76"/>
    </row>
    <row r="825" spans="5:8" ht="12.5" x14ac:dyDescent="0.25">
      <c r="E825" s="76"/>
      <c r="F825" s="76"/>
      <c r="G825" s="76"/>
      <c r="H825" s="76"/>
    </row>
    <row r="826" spans="5:8" ht="12.5" x14ac:dyDescent="0.25">
      <c r="E826" s="76"/>
      <c r="F826" s="76"/>
      <c r="G826" s="76"/>
      <c r="H826" s="76"/>
    </row>
    <row r="827" spans="5:8" ht="12.5" x14ac:dyDescent="0.25">
      <c r="E827" s="76"/>
      <c r="F827" s="76"/>
      <c r="G827" s="76"/>
      <c r="H827" s="76"/>
    </row>
    <row r="828" spans="5:8" ht="12.5" x14ac:dyDescent="0.25">
      <c r="E828" s="76"/>
      <c r="F828" s="76"/>
      <c r="G828" s="76"/>
      <c r="H828" s="76"/>
    </row>
    <row r="829" spans="5:8" ht="12.5" x14ac:dyDescent="0.25">
      <c r="E829" s="76"/>
      <c r="F829" s="76"/>
      <c r="G829" s="76"/>
      <c r="H829" s="76"/>
    </row>
    <row r="830" spans="5:8" ht="12.5" x14ac:dyDescent="0.25">
      <c r="E830" s="76"/>
      <c r="F830" s="76"/>
      <c r="G830" s="76"/>
      <c r="H830" s="76"/>
    </row>
    <row r="831" spans="5:8" ht="12.5" x14ac:dyDescent="0.25">
      <c r="E831" s="76"/>
      <c r="F831" s="76"/>
      <c r="G831" s="76"/>
      <c r="H831" s="76"/>
    </row>
    <row r="832" spans="5:8" ht="12.5" x14ac:dyDescent="0.25">
      <c r="E832" s="76"/>
      <c r="F832" s="76"/>
      <c r="G832" s="76"/>
      <c r="H832" s="76"/>
    </row>
    <row r="833" spans="5:8" ht="12.5" x14ac:dyDescent="0.25">
      <c r="E833" s="76"/>
      <c r="F833" s="76"/>
      <c r="G833" s="76"/>
      <c r="H833" s="76"/>
    </row>
    <row r="834" spans="5:8" ht="12.5" x14ac:dyDescent="0.25">
      <c r="E834" s="76"/>
      <c r="F834" s="76"/>
      <c r="G834" s="76"/>
      <c r="H834" s="76"/>
    </row>
    <row r="835" spans="5:8" ht="12.5" x14ac:dyDescent="0.25">
      <c r="E835" s="76"/>
      <c r="F835" s="76"/>
      <c r="G835" s="76"/>
      <c r="H835" s="76"/>
    </row>
    <row r="836" spans="5:8" ht="12.5" x14ac:dyDescent="0.25">
      <c r="E836" s="76"/>
      <c r="F836" s="76"/>
      <c r="G836" s="76"/>
      <c r="H836" s="76"/>
    </row>
    <row r="837" spans="5:8" ht="12.5" x14ac:dyDescent="0.25">
      <c r="E837" s="76"/>
      <c r="F837" s="76"/>
      <c r="G837" s="76"/>
      <c r="H837" s="76"/>
    </row>
    <row r="838" spans="5:8" ht="12.5" x14ac:dyDescent="0.25">
      <c r="E838" s="76"/>
      <c r="F838" s="76"/>
      <c r="G838" s="76"/>
      <c r="H838" s="76"/>
    </row>
    <row r="839" spans="5:8" ht="12.5" x14ac:dyDescent="0.25">
      <c r="E839" s="76"/>
      <c r="F839" s="76"/>
      <c r="G839" s="76"/>
      <c r="H839" s="76"/>
    </row>
    <row r="840" spans="5:8" ht="12.5" x14ac:dyDescent="0.25">
      <c r="E840" s="76"/>
      <c r="F840" s="76"/>
      <c r="G840" s="76"/>
      <c r="H840" s="76"/>
    </row>
    <row r="841" spans="5:8" ht="12.5" x14ac:dyDescent="0.25">
      <c r="E841" s="76"/>
      <c r="F841" s="76"/>
      <c r="G841" s="76"/>
      <c r="H841" s="76"/>
    </row>
    <row r="842" spans="5:8" ht="12.5" x14ac:dyDescent="0.25">
      <c r="E842" s="76"/>
      <c r="F842" s="76"/>
      <c r="G842" s="76"/>
      <c r="H842" s="76"/>
    </row>
    <row r="843" spans="5:8" ht="12.5" x14ac:dyDescent="0.25">
      <c r="E843" s="76"/>
      <c r="F843" s="76"/>
      <c r="G843" s="76"/>
      <c r="H843" s="76"/>
    </row>
    <row r="844" spans="5:8" ht="12.5" x14ac:dyDescent="0.25">
      <c r="E844" s="76"/>
      <c r="F844" s="76"/>
      <c r="G844" s="76"/>
      <c r="H844" s="76"/>
    </row>
    <row r="845" spans="5:8" ht="12.5" x14ac:dyDescent="0.25">
      <c r="E845" s="76"/>
      <c r="F845" s="76"/>
      <c r="G845" s="76"/>
      <c r="H845" s="76"/>
    </row>
    <row r="846" spans="5:8" ht="12.5" x14ac:dyDescent="0.25">
      <c r="E846" s="76"/>
      <c r="F846" s="76"/>
      <c r="G846" s="76"/>
      <c r="H846" s="76"/>
    </row>
    <row r="847" spans="5:8" ht="12.5" x14ac:dyDescent="0.25">
      <c r="E847" s="76"/>
      <c r="F847" s="76"/>
      <c r="G847" s="76"/>
      <c r="H847" s="76"/>
    </row>
    <row r="848" spans="5:8" ht="12.5" x14ac:dyDescent="0.25">
      <c r="E848" s="76"/>
      <c r="F848" s="76"/>
      <c r="G848" s="76"/>
      <c r="H848" s="76"/>
    </row>
    <row r="849" spans="5:8" ht="12.5" x14ac:dyDescent="0.25">
      <c r="E849" s="76"/>
      <c r="F849" s="76"/>
      <c r="G849" s="76"/>
      <c r="H849" s="76"/>
    </row>
    <row r="850" spans="5:8" ht="12.5" x14ac:dyDescent="0.25">
      <c r="E850" s="76"/>
      <c r="F850" s="76"/>
      <c r="G850" s="76"/>
      <c r="H850" s="76"/>
    </row>
    <row r="851" spans="5:8" ht="12.5" x14ac:dyDescent="0.25">
      <c r="E851" s="76"/>
      <c r="F851" s="76"/>
      <c r="G851" s="76"/>
      <c r="H851" s="76"/>
    </row>
    <row r="852" spans="5:8" ht="12.5" x14ac:dyDescent="0.25">
      <c r="E852" s="76"/>
      <c r="F852" s="76"/>
      <c r="G852" s="76"/>
      <c r="H852" s="76"/>
    </row>
    <row r="853" spans="5:8" ht="12.5" x14ac:dyDescent="0.25">
      <c r="E853" s="76"/>
      <c r="F853" s="76"/>
      <c r="G853" s="76"/>
      <c r="H853" s="76"/>
    </row>
    <row r="854" spans="5:8" ht="12.5" x14ac:dyDescent="0.25">
      <c r="E854" s="76"/>
      <c r="F854" s="76"/>
      <c r="G854" s="76"/>
      <c r="H854" s="76"/>
    </row>
    <row r="855" spans="5:8" ht="12.5" x14ac:dyDescent="0.25">
      <c r="E855" s="76"/>
      <c r="F855" s="76"/>
      <c r="G855" s="76"/>
      <c r="H855" s="76"/>
    </row>
    <row r="856" spans="5:8" ht="12.5" x14ac:dyDescent="0.25">
      <c r="E856" s="76"/>
      <c r="F856" s="76"/>
      <c r="G856" s="76"/>
      <c r="H856" s="76"/>
    </row>
    <row r="857" spans="5:8" ht="12.5" x14ac:dyDescent="0.25">
      <c r="E857" s="76"/>
      <c r="F857" s="76"/>
      <c r="G857" s="76"/>
      <c r="H857" s="76"/>
    </row>
    <row r="858" spans="5:8" ht="12.5" x14ac:dyDescent="0.25">
      <c r="E858" s="76"/>
      <c r="F858" s="76"/>
      <c r="G858" s="76"/>
      <c r="H858" s="76"/>
    </row>
    <row r="859" spans="5:8" ht="12.5" x14ac:dyDescent="0.25">
      <c r="E859" s="76"/>
      <c r="F859" s="76"/>
      <c r="G859" s="76"/>
      <c r="H859" s="76"/>
    </row>
    <row r="860" spans="5:8" ht="12.5" x14ac:dyDescent="0.25">
      <c r="E860" s="76"/>
      <c r="F860" s="76"/>
      <c r="G860" s="76"/>
      <c r="H860" s="76"/>
    </row>
    <row r="861" spans="5:8" ht="12.5" x14ac:dyDescent="0.25">
      <c r="E861" s="76"/>
      <c r="F861" s="76"/>
      <c r="G861" s="76"/>
      <c r="H861" s="76"/>
    </row>
    <row r="862" spans="5:8" ht="12.5" x14ac:dyDescent="0.25">
      <c r="E862" s="76"/>
      <c r="F862" s="76"/>
      <c r="G862" s="76"/>
      <c r="H862" s="76"/>
    </row>
    <row r="863" spans="5:8" ht="12.5" x14ac:dyDescent="0.25">
      <c r="E863" s="76"/>
      <c r="F863" s="76"/>
      <c r="G863" s="76"/>
      <c r="H863" s="76"/>
    </row>
    <row r="864" spans="5:8" ht="12.5" x14ac:dyDescent="0.25">
      <c r="E864" s="76"/>
      <c r="F864" s="76"/>
      <c r="G864" s="76"/>
      <c r="H864" s="76"/>
    </row>
    <row r="865" spans="5:8" ht="12.5" x14ac:dyDescent="0.25">
      <c r="E865" s="76"/>
      <c r="F865" s="76"/>
      <c r="G865" s="76"/>
      <c r="H865" s="76"/>
    </row>
    <row r="866" spans="5:8" ht="12.5" x14ac:dyDescent="0.25">
      <c r="E866" s="76"/>
      <c r="F866" s="76"/>
      <c r="G866" s="76"/>
      <c r="H866" s="76"/>
    </row>
    <row r="867" spans="5:8" ht="12.5" x14ac:dyDescent="0.25">
      <c r="E867" s="76"/>
      <c r="F867" s="76"/>
      <c r="G867" s="76"/>
      <c r="H867" s="76"/>
    </row>
    <row r="868" spans="5:8" ht="12.5" x14ac:dyDescent="0.25">
      <c r="E868" s="76"/>
      <c r="F868" s="76"/>
      <c r="G868" s="76"/>
      <c r="H868" s="76"/>
    </row>
    <row r="869" spans="5:8" ht="12.5" x14ac:dyDescent="0.25">
      <c r="E869" s="76"/>
      <c r="F869" s="76"/>
      <c r="G869" s="76"/>
      <c r="H869" s="76"/>
    </row>
    <row r="870" spans="5:8" ht="12.5" x14ac:dyDescent="0.25">
      <c r="E870" s="76"/>
      <c r="F870" s="76"/>
      <c r="G870" s="76"/>
      <c r="H870" s="76"/>
    </row>
    <row r="871" spans="5:8" ht="12.5" x14ac:dyDescent="0.25">
      <c r="E871" s="76"/>
      <c r="F871" s="76"/>
      <c r="G871" s="76"/>
      <c r="H871" s="76"/>
    </row>
    <row r="872" spans="5:8" ht="12.5" x14ac:dyDescent="0.25">
      <c r="E872" s="76"/>
      <c r="F872" s="76"/>
      <c r="G872" s="76"/>
      <c r="H872" s="76"/>
    </row>
    <row r="873" spans="5:8" ht="12.5" x14ac:dyDescent="0.25">
      <c r="E873" s="76"/>
      <c r="F873" s="76"/>
      <c r="G873" s="76"/>
      <c r="H873" s="76"/>
    </row>
    <row r="874" spans="5:8" ht="12.5" x14ac:dyDescent="0.25">
      <c r="E874" s="76"/>
      <c r="F874" s="76"/>
      <c r="G874" s="76"/>
      <c r="H874" s="76"/>
    </row>
    <row r="875" spans="5:8" ht="12.5" x14ac:dyDescent="0.25">
      <c r="E875" s="76"/>
      <c r="F875" s="76"/>
      <c r="G875" s="76"/>
      <c r="H875" s="76"/>
    </row>
    <row r="876" spans="5:8" ht="12.5" x14ac:dyDescent="0.25">
      <c r="E876" s="76"/>
      <c r="F876" s="76"/>
      <c r="G876" s="76"/>
      <c r="H876" s="76"/>
    </row>
    <row r="877" spans="5:8" ht="12.5" x14ac:dyDescent="0.25">
      <c r="E877" s="76"/>
      <c r="F877" s="76"/>
      <c r="G877" s="76"/>
      <c r="H877" s="76"/>
    </row>
    <row r="878" spans="5:8" ht="12.5" x14ac:dyDescent="0.25">
      <c r="E878" s="76"/>
      <c r="F878" s="76"/>
      <c r="G878" s="76"/>
      <c r="H878" s="76"/>
    </row>
    <row r="879" spans="5:8" ht="12.5" x14ac:dyDescent="0.25">
      <c r="E879" s="76"/>
      <c r="F879" s="76"/>
      <c r="G879" s="76"/>
      <c r="H879" s="76"/>
    </row>
    <row r="880" spans="5:8" ht="12.5" x14ac:dyDescent="0.25">
      <c r="E880" s="76"/>
      <c r="F880" s="76"/>
      <c r="G880" s="76"/>
      <c r="H880" s="76"/>
    </row>
    <row r="881" spans="5:8" ht="12.5" x14ac:dyDescent="0.25">
      <c r="E881" s="76"/>
      <c r="F881" s="76"/>
      <c r="G881" s="76"/>
      <c r="H881" s="76"/>
    </row>
    <row r="882" spans="5:8" ht="12.5" x14ac:dyDescent="0.25">
      <c r="E882" s="76"/>
      <c r="F882" s="76"/>
      <c r="G882" s="76"/>
      <c r="H882" s="76"/>
    </row>
    <row r="883" spans="5:8" ht="12.5" x14ac:dyDescent="0.25">
      <c r="E883" s="76"/>
      <c r="F883" s="76"/>
      <c r="G883" s="76"/>
      <c r="H883" s="76"/>
    </row>
    <row r="884" spans="5:8" ht="12.5" x14ac:dyDescent="0.25">
      <c r="E884" s="76"/>
      <c r="F884" s="76"/>
      <c r="G884" s="76"/>
      <c r="H884" s="76"/>
    </row>
    <row r="885" spans="5:8" ht="12.5" x14ac:dyDescent="0.25">
      <c r="E885" s="76"/>
      <c r="F885" s="76"/>
      <c r="G885" s="76"/>
      <c r="H885" s="76"/>
    </row>
    <row r="886" spans="5:8" ht="12.5" x14ac:dyDescent="0.25">
      <c r="E886" s="76"/>
      <c r="F886" s="76"/>
      <c r="G886" s="76"/>
      <c r="H886" s="76"/>
    </row>
    <row r="887" spans="5:8" ht="12.5" x14ac:dyDescent="0.25">
      <c r="E887" s="76"/>
      <c r="F887" s="76"/>
      <c r="G887" s="76"/>
      <c r="H887" s="76"/>
    </row>
    <row r="888" spans="5:8" ht="12.5" x14ac:dyDescent="0.25">
      <c r="E888" s="76"/>
      <c r="F888" s="76"/>
      <c r="G888" s="76"/>
      <c r="H888" s="76"/>
    </row>
    <row r="889" spans="5:8" ht="12.5" x14ac:dyDescent="0.25">
      <c r="E889" s="76"/>
      <c r="F889" s="76"/>
      <c r="G889" s="76"/>
      <c r="H889" s="76"/>
    </row>
    <row r="890" spans="5:8" ht="12.5" x14ac:dyDescent="0.25">
      <c r="E890" s="76"/>
      <c r="F890" s="76"/>
      <c r="G890" s="76"/>
      <c r="H890" s="76"/>
    </row>
    <row r="891" spans="5:8" ht="12.5" x14ac:dyDescent="0.25">
      <c r="E891" s="76"/>
      <c r="F891" s="76"/>
      <c r="G891" s="76"/>
      <c r="H891" s="76"/>
    </row>
    <row r="892" spans="5:8" ht="12.5" x14ac:dyDescent="0.25">
      <c r="E892" s="76"/>
      <c r="F892" s="76"/>
      <c r="G892" s="76"/>
      <c r="H892" s="76"/>
    </row>
    <row r="893" spans="5:8" ht="12.5" x14ac:dyDescent="0.25">
      <c r="E893" s="76"/>
      <c r="F893" s="76"/>
      <c r="G893" s="76"/>
      <c r="H893" s="76"/>
    </row>
    <row r="894" spans="5:8" ht="12.5" x14ac:dyDescent="0.25">
      <c r="E894" s="76"/>
      <c r="F894" s="76"/>
      <c r="G894" s="76"/>
      <c r="H894" s="76"/>
    </row>
    <row r="895" spans="5:8" ht="12.5" x14ac:dyDescent="0.25">
      <c r="E895" s="76"/>
      <c r="F895" s="76"/>
      <c r="G895" s="76"/>
      <c r="H895" s="76"/>
    </row>
    <row r="896" spans="5:8" ht="12.5" x14ac:dyDescent="0.25">
      <c r="E896" s="76"/>
      <c r="F896" s="76"/>
      <c r="G896" s="76"/>
      <c r="H896" s="76"/>
    </row>
    <row r="897" spans="5:8" ht="12.5" x14ac:dyDescent="0.25">
      <c r="E897" s="76"/>
      <c r="F897" s="76"/>
      <c r="G897" s="76"/>
      <c r="H897" s="76"/>
    </row>
    <row r="898" spans="5:8" ht="12.5" x14ac:dyDescent="0.25">
      <c r="E898" s="76"/>
      <c r="F898" s="76"/>
      <c r="G898" s="76"/>
      <c r="H898" s="76"/>
    </row>
    <row r="899" spans="5:8" ht="12.5" x14ac:dyDescent="0.25">
      <c r="E899" s="76"/>
      <c r="F899" s="76"/>
      <c r="G899" s="76"/>
      <c r="H899" s="76"/>
    </row>
    <row r="900" spans="5:8" ht="12.5" x14ac:dyDescent="0.25">
      <c r="E900" s="76"/>
      <c r="F900" s="76"/>
      <c r="G900" s="76"/>
      <c r="H900" s="76"/>
    </row>
    <row r="901" spans="5:8" ht="12.5" x14ac:dyDescent="0.25">
      <c r="E901" s="76"/>
      <c r="F901" s="76"/>
      <c r="G901" s="76"/>
      <c r="H901" s="76"/>
    </row>
    <row r="902" spans="5:8" ht="12.5" x14ac:dyDescent="0.25">
      <c r="E902" s="76"/>
      <c r="F902" s="76"/>
      <c r="G902" s="76"/>
      <c r="H902" s="76"/>
    </row>
    <row r="903" spans="5:8" ht="12.5" x14ac:dyDescent="0.25">
      <c r="E903" s="76"/>
      <c r="F903" s="76"/>
      <c r="G903" s="76"/>
      <c r="H903" s="76"/>
    </row>
    <row r="904" spans="5:8" ht="12.5" x14ac:dyDescent="0.25">
      <c r="E904" s="76"/>
      <c r="F904" s="76"/>
      <c r="G904" s="76"/>
      <c r="H904" s="76"/>
    </row>
    <row r="905" spans="5:8" ht="12.5" x14ac:dyDescent="0.25">
      <c r="E905" s="76"/>
      <c r="F905" s="76"/>
      <c r="G905" s="76"/>
      <c r="H905" s="76"/>
    </row>
    <row r="906" spans="5:8" ht="12.5" x14ac:dyDescent="0.25">
      <c r="E906" s="76"/>
      <c r="F906" s="76"/>
      <c r="G906" s="76"/>
      <c r="H906" s="76"/>
    </row>
    <row r="907" spans="5:8" ht="12.5" x14ac:dyDescent="0.25">
      <c r="E907" s="76"/>
      <c r="F907" s="76"/>
      <c r="G907" s="76"/>
      <c r="H907" s="76"/>
    </row>
    <row r="908" spans="5:8" ht="12.5" x14ac:dyDescent="0.25">
      <c r="E908" s="76"/>
      <c r="F908" s="76"/>
      <c r="G908" s="76"/>
      <c r="H908" s="76"/>
    </row>
    <row r="909" spans="5:8" ht="12.5" x14ac:dyDescent="0.25">
      <c r="E909" s="76"/>
      <c r="F909" s="76"/>
      <c r="G909" s="76"/>
      <c r="H909" s="76"/>
    </row>
    <row r="910" spans="5:8" ht="12.5" x14ac:dyDescent="0.25">
      <c r="E910" s="76"/>
      <c r="F910" s="76"/>
      <c r="G910" s="76"/>
      <c r="H910" s="76"/>
    </row>
    <row r="911" spans="5:8" ht="12.5" x14ac:dyDescent="0.25">
      <c r="E911" s="76"/>
      <c r="F911" s="76"/>
      <c r="G911" s="76"/>
      <c r="H911" s="76"/>
    </row>
    <row r="912" spans="5:8" ht="12.5" x14ac:dyDescent="0.25">
      <c r="E912" s="76"/>
      <c r="F912" s="76"/>
      <c r="G912" s="76"/>
      <c r="H912" s="76"/>
    </row>
    <row r="913" spans="5:8" ht="12.5" x14ac:dyDescent="0.25">
      <c r="E913" s="76"/>
      <c r="F913" s="76"/>
      <c r="G913" s="76"/>
      <c r="H913" s="76"/>
    </row>
    <row r="914" spans="5:8" ht="12.5" x14ac:dyDescent="0.25">
      <c r="E914" s="76"/>
      <c r="F914" s="76"/>
      <c r="G914" s="76"/>
      <c r="H914" s="76"/>
    </row>
    <row r="915" spans="5:8" ht="12.5" x14ac:dyDescent="0.25">
      <c r="E915" s="76"/>
      <c r="F915" s="76"/>
      <c r="G915" s="76"/>
      <c r="H915" s="76"/>
    </row>
    <row r="916" spans="5:8" ht="12.5" x14ac:dyDescent="0.25">
      <c r="E916" s="76"/>
      <c r="F916" s="76"/>
      <c r="G916" s="76"/>
      <c r="H916" s="76"/>
    </row>
    <row r="917" spans="5:8" ht="12.5" x14ac:dyDescent="0.25">
      <c r="E917" s="76"/>
      <c r="F917" s="76"/>
      <c r="G917" s="76"/>
      <c r="H917" s="76"/>
    </row>
    <row r="918" spans="5:8" ht="12.5" x14ac:dyDescent="0.25">
      <c r="E918" s="76"/>
      <c r="F918" s="76"/>
      <c r="G918" s="76"/>
      <c r="H918" s="76"/>
    </row>
    <row r="919" spans="5:8" ht="12.5" x14ac:dyDescent="0.25">
      <c r="E919" s="76"/>
      <c r="F919" s="76"/>
      <c r="G919" s="76"/>
      <c r="H919" s="76"/>
    </row>
    <row r="920" spans="5:8" ht="12.5" x14ac:dyDescent="0.25">
      <c r="E920" s="76"/>
      <c r="F920" s="76"/>
      <c r="G920" s="76"/>
      <c r="H920" s="76"/>
    </row>
    <row r="921" spans="5:8" ht="12.5" x14ac:dyDescent="0.25">
      <c r="E921" s="76"/>
      <c r="F921" s="76"/>
      <c r="G921" s="76"/>
      <c r="H921" s="76"/>
    </row>
    <row r="922" spans="5:8" ht="12.5" x14ac:dyDescent="0.25">
      <c r="E922" s="76"/>
      <c r="F922" s="76"/>
      <c r="G922" s="76"/>
      <c r="H922" s="76"/>
    </row>
    <row r="923" spans="5:8" ht="12.5" x14ac:dyDescent="0.25">
      <c r="E923" s="76"/>
      <c r="F923" s="76"/>
      <c r="G923" s="76"/>
      <c r="H923" s="76"/>
    </row>
    <row r="924" spans="5:8" ht="12.5" x14ac:dyDescent="0.25">
      <c r="E924" s="76"/>
      <c r="F924" s="76"/>
      <c r="G924" s="76"/>
      <c r="H924" s="76"/>
    </row>
    <row r="925" spans="5:8" ht="12.5" x14ac:dyDescent="0.25">
      <c r="E925" s="76"/>
      <c r="F925" s="76"/>
      <c r="G925" s="76"/>
      <c r="H925" s="76"/>
    </row>
    <row r="926" spans="5:8" ht="12.5" x14ac:dyDescent="0.25">
      <c r="E926" s="76"/>
      <c r="F926" s="76"/>
      <c r="G926" s="76"/>
      <c r="H926" s="76"/>
    </row>
    <row r="927" spans="5:8" ht="12.5" x14ac:dyDescent="0.25">
      <c r="E927" s="76"/>
      <c r="F927" s="76"/>
      <c r="G927" s="76"/>
      <c r="H927" s="76"/>
    </row>
    <row r="928" spans="5:8" ht="12.5" x14ac:dyDescent="0.25">
      <c r="E928" s="76"/>
      <c r="F928" s="76"/>
      <c r="G928" s="76"/>
      <c r="H928" s="76"/>
    </row>
    <row r="929" spans="5:8" ht="12.5" x14ac:dyDescent="0.25">
      <c r="E929" s="76"/>
      <c r="F929" s="76"/>
      <c r="G929" s="76"/>
      <c r="H929" s="76"/>
    </row>
    <row r="930" spans="5:8" ht="12.5" x14ac:dyDescent="0.25">
      <c r="E930" s="76"/>
      <c r="F930" s="76"/>
      <c r="G930" s="76"/>
      <c r="H930" s="76"/>
    </row>
    <row r="931" spans="5:8" ht="12.5" x14ac:dyDescent="0.25">
      <c r="E931" s="76"/>
      <c r="F931" s="76"/>
      <c r="G931" s="76"/>
      <c r="H931" s="76"/>
    </row>
    <row r="932" spans="5:8" ht="12.5" x14ac:dyDescent="0.25">
      <c r="E932" s="76"/>
      <c r="F932" s="76"/>
      <c r="G932" s="76"/>
      <c r="H932" s="76"/>
    </row>
    <row r="933" spans="5:8" ht="12.5" x14ac:dyDescent="0.25">
      <c r="E933" s="76"/>
      <c r="F933" s="76"/>
      <c r="G933" s="76"/>
      <c r="H933" s="76"/>
    </row>
    <row r="934" spans="5:8" ht="12.5" x14ac:dyDescent="0.25">
      <c r="E934" s="76"/>
      <c r="F934" s="76"/>
      <c r="G934" s="76"/>
      <c r="H934" s="76"/>
    </row>
    <row r="935" spans="5:8" ht="12.5" x14ac:dyDescent="0.25">
      <c r="E935" s="76"/>
      <c r="F935" s="76"/>
      <c r="G935" s="76"/>
      <c r="H935" s="76"/>
    </row>
    <row r="936" spans="5:8" ht="12.5" x14ac:dyDescent="0.25">
      <c r="E936" s="76"/>
      <c r="F936" s="76"/>
      <c r="G936" s="76"/>
      <c r="H936" s="76"/>
    </row>
    <row r="937" spans="5:8" ht="12.5" x14ac:dyDescent="0.25">
      <c r="E937" s="76"/>
      <c r="F937" s="76"/>
      <c r="G937" s="76"/>
      <c r="H937" s="76"/>
    </row>
    <row r="938" spans="5:8" ht="12.5" x14ac:dyDescent="0.25">
      <c r="E938" s="76"/>
      <c r="F938" s="76"/>
      <c r="G938" s="76"/>
      <c r="H938" s="76"/>
    </row>
    <row r="939" spans="5:8" ht="12.5" x14ac:dyDescent="0.25">
      <c r="E939" s="76"/>
      <c r="F939" s="76"/>
      <c r="G939" s="76"/>
      <c r="H939" s="76"/>
    </row>
    <row r="940" spans="5:8" ht="12.5" x14ac:dyDescent="0.25">
      <c r="E940" s="76"/>
      <c r="F940" s="76"/>
      <c r="G940" s="76"/>
      <c r="H940" s="76"/>
    </row>
    <row r="941" spans="5:8" ht="12.5" x14ac:dyDescent="0.25">
      <c r="E941" s="76"/>
      <c r="F941" s="76"/>
      <c r="G941" s="76"/>
      <c r="H941" s="76"/>
    </row>
    <row r="942" spans="5:8" ht="12.5" x14ac:dyDescent="0.25">
      <c r="E942" s="76"/>
      <c r="F942" s="76"/>
      <c r="G942" s="76"/>
      <c r="H942" s="76"/>
    </row>
    <row r="943" spans="5:8" ht="12.5" x14ac:dyDescent="0.25">
      <c r="E943" s="76"/>
      <c r="F943" s="76"/>
      <c r="G943" s="76"/>
      <c r="H943" s="76"/>
    </row>
    <row r="944" spans="5:8" ht="12.5" x14ac:dyDescent="0.25">
      <c r="E944" s="76"/>
      <c r="F944" s="76"/>
      <c r="G944" s="76"/>
      <c r="H944" s="76"/>
    </row>
    <row r="945" spans="5:8" ht="12.5" x14ac:dyDescent="0.25">
      <c r="E945" s="76"/>
      <c r="F945" s="76"/>
      <c r="G945" s="76"/>
      <c r="H945" s="76"/>
    </row>
    <row r="946" spans="5:8" ht="12.5" x14ac:dyDescent="0.25">
      <c r="E946" s="76"/>
      <c r="F946" s="76"/>
      <c r="G946" s="76"/>
      <c r="H946" s="76"/>
    </row>
    <row r="947" spans="5:8" ht="12.5" x14ac:dyDescent="0.25">
      <c r="E947" s="76"/>
      <c r="F947" s="76"/>
      <c r="G947" s="76"/>
      <c r="H947" s="76"/>
    </row>
    <row r="948" spans="5:8" ht="12.5" x14ac:dyDescent="0.25">
      <c r="E948" s="76"/>
      <c r="F948" s="76"/>
      <c r="G948" s="76"/>
      <c r="H948" s="76"/>
    </row>
    <row r="949" spans="5:8" ht="12.5" x14ac:dyDescent="0.25">
      <c r="E949" s="76"/>
      <c r="F949" s="76"/>
      <c r="G949" s="76"/>
      <c r="H949" s="76"/>
    </row>
    <row r="950" spans="5:8" ht="12.5" x14ac:dyDescent="0.25">
      <c r="E950" s="76"/>
      <c r="F950" s="76"/>
      <c r="G950" s="76"/>
      <c r="H950" s="76"/>
    </row>
    <row r="951" spans="5:8" ht="12.5" x14ac:dyDescent="0.25">
      <c r="E951" s="76"/>
      <c r="F951" s="76"/>
      <c r="G951" s="76"/>
      <c r="H951" s="76"/>
    </row>
    <row r="952" spans="5:8" ht="12.5" x14ac:dyDescent="0.25">
      <c r="E952" s="76"/>
      <c r="F952" s="76"/>
      <c r="G952" s="76"/>
      <c r="H952" s="76"/>
    </row>
    <row r="953" spans="5:8" ht="12.5" x14ac:dyDescent="0.25">
      <c r="E953" s="76"/>
      <c r="F953" s="76"/>
      <c r="G953" s="76"/>
      <c r="H953" s="76"/>
    </row>
    <row r="954" spans="5:8" ht="12.5" x14ac:dyDescent="0.25">
      <c r="E954" s="76"/>
      <c r="F954" s="76"/>
      <c r="G954" s="76"/>
      <c r="H954" s="76"/>
    </row>
    <row r="955" spans="5:8" ht="12.5" x14ac:dyDescent="0.25">
      <c r="E955" s="76"/>
      <c r="F955" s="76"/>
      <c r="G955" s="76"/>
      <c r="H955" s="76"/>
    </row>
    <row r="956" spans="5:8" ht="12.5" x14ac:dyDescent="0.25">
      <c r="E956" s="76"/>
      <c r="F956" s="76"/>
      <c r="G956" s="76"/>
      <c r="H956" s="76"/>
    </row>
    <row r="957" spans="5:8" ht="12.5" x14ac:dyDescent="0.25">
      <c r="E957" s="76"/>
      <c r="F957" s="76"/>
      <c r="G957" s="76"/>
      <c r="H957" s="76"/>
    </row>
    <row r="958" spans="5:8" ht="12.5" x14ac:dyDescent="0.25">
      <c r="E958" s="76"/>
      <c r="F958" s="76"/>
      <c r="G958" s="76"/>
      <c r="H958" s="76"/>
    </row>
    <row r="959" spans="5:8" ht="12.5" x14ac:dyDescent="0.25">
      <c r="E959" s="76"/>
      <c r="F959" s="76"/>
      <c r="G959" s="76"/>
      <c r="H959" s="76"/>
    </row>
    <row r="960" spans="5:8" ht="12.5" x14ac:dyDescent="0.25">
      <c r="E960" s="76"/>
      <c r="F960" s="76"/>
      <c r="G960" s="76"/>
      <c r="H960" s="76"/>
    </row>
    <row r="961" spans="5:8" ht="12.5" x14ac:dyDescent="0.25">
      <c r="E961" s="76"/>
      <c r="F961" s="76"/>
      <c r="G961" s="76"/>
      <c r="H961" s="76"/>
    </row>
    <row r="962" spans="5:8" ht="12.5" x14ac:dyDescent="0.25">
      <c r="E962" s="76"/>
      <c r="F962" s="76"/>
      <c r="G962" s="76"/>
      <c r="H962" s="76"/>
    </row>
    <row r="963" spans="5:8" ht="12.5" x14ac:dyDescent="0.25">
      <c r="E963" s="76"/>
      <c r="F963" s="76"/>
      <c r="G963" s="76"/>
      <c r="H963" s="76"/>
    </row>
    <row r="964" spans="5:8" ht="12.5" x14ac:dyDescent="0.25">
      <c r="E964" s="76"/>
      <c r="F964" s="76"/>
      <c r="G964" s="76"/>
      <c r="H964" s="76"/>
    </row>
    <row r="965" spans="5:8" ht="12.5" x14ac:dyDescent="0.25">
      <c r="E965" s="76"/>
      <c r="F965" s="76"/>
      <c r="G965" s="76"/>
      <c r="H965" s="76"/>
    </row>
    <row r="966" spans="5:8" ht="12.5" x14ac:dyDescent="0.25">
      <c r="E966" s="76"/>
      <c r="F966" s="76"/>
      <c r="G966" s="76"/>
      <c r="H966" s="76"/>
    </row>
    <row r="967" spans="5:8" ht="12.5" x14ac:dyDescent="0.25">
      <c r="E967" s="76"/>
      <c r="F967" s="76"/>
      <c r="G967" s="76"/>
      <c r="H967" s="76"/>
    </row>
    <row r="968" spans="5:8" ht="12.5" x14ac:dyDescent="0.25">
      <c r="E968" s="76"/>
      <c r="F968" s="76"/>
      <c r="G968" s="76"/>
      <c r="H968" s="76"/>
    </row>
    <row r="969" spans="5:8" ht="12.5" x14ac:dyDescent="0.25">
      <c r="E969" s="76"/>
      <c r="F969" s="76"/>
      <c r="G969" s="76"/>
      <c r="H969" s="76"/>
    </row>
    <row r="970" spans="5:8" ht="12.5" x14ac:dyDescent="0.25">
      <c r="E970" s="76"/>
      <c r="F970" s="76"/>
      <c r="G970" s="76"/>
      <c r="H970" s="76"/>
    </row>
    <row r="971" spans="5:8" ht="12.5" x14ac:dyDescent="0.25">
      <c r="E971" s="76"/>
      <c r="F971" s="76"/>
      <c r="G971" s="76"/>
      <c r="H971" s="76"/>
    </row>
    <row r="972" spans="5:8" ht="12.5" x14ac:dyDescent="0.25">
      <c r="E972" s="76"/>
      <c r="F972" s="76"/>
      <c r="G972" s="76"/>
      <c r="H972" s="76"/>
    </row>
    <row r="973" spans="5:8" ht="12.5" x14ac:dyDescent="0.25">
      <c r="E973" s="76"/>
      <c r="F973" s="76"/>
      <c r="G973" s="76"/>
      <c r="H973" s="76"/>
    </row>
    <row r="974" spans="5:8" ht="12.5" x14ac:dyDescent="0.25">
      <c r="E974" s="76"/>
      <c r="F974" s="76"/>
      <c r="G974" s="76"/>
      <c r="H974" s="76"/>
    </row>
    <row r="975" spans="5:8" ht="12.5" x14ac:dyDescent="0.25">
      <c r="E975" s="76"/>
      <c r="F975" s="76"/>
      <c r="G975" s="76"/>
      <c r="H975" s="76"/>
    </row>
    <row r="976" spans="5:8" ht="12.5" x14ac:dyDescent="0.25">
      <c r="E976" s="76"/>
      <c r="F976" s="76"/>
      <c r="G976" s="76"/>
      <c r="H976" s="76"/>
    </row>
    <row r="977" spans="5:8" ht="12.5" x14ac:dyDescent="0.25">
      <c r="E977" s="76"/>
      <c r="F977" s="76"/>
      <c r="G977" s="76"/>
      <c r="H977" s="76"/>
    </row>
    <row r="978" spans="5:8" ht="12.5" x14ac:dyDescent="0.25">
      <c r="E978" s="76"/>
      <c r="F978" s="76"/>
      <c r="G978" s="76"/>
      <c r="H978" s="76"/>
    </row>
    <row r="979" spans="5:8" ht="12.5" x14ac:dyDescent="0.25">
      <c r="E979" s="76"/>
      <c r="F979" s="76"/>
      <c r="G979" s="76"/>
      <c r="H979" s="76"/>
    </row>
    <row r="980" spans="5:8" ht="12.5" x14ac:dyDescent="0.25">
      <c r="E980" s="76"/>
      <c r="F980" s="76"/>
      <c r="G980" s="76"/>
      <c r="H980" s="76"/>
    </row>
    <row r="981" spans="5:8" ht="12.5" x14ac:dyDescent="0.25">
      <c r="E981" s="76"/>
      <c r="F981" s="76"/>
      <c r="G981" s="76"/>
      <c r="H981" s="76"/>
    </row>
    <row r="982" spans="5:8" ht="12.5" x14ac:dyDescent="0.25">
      <c r="E982" s="76"/>
      <c r="F982" s="76"/>
      <c r="G982" s="76"/>
      <c r="H982" s="76"/>
    </row>
    <row r="983" spans="5:8" ht="12.5" x14ac:dyDescent="0.25">
      <c r="E983" s="76"/>
      <c r="F983" s="76"/>
      <c r="G983" s="76"/>
      <c r="H983" s="76"/>
    </row>
    <row r="984" spans="5:8" ht="12.5" x14ac:dyDescent="0.25">
      <c r="E984" s="76"/>
      <c r="F984" s="76"/>
      <c r="G984" s="76"/>
      <c r="H984" s="76"/>
    </row>
    <row r="985" spans="5:8" ht="12.5" x14ac:dyDescent="0.25">
      <c r="E985" s="76"/>
      <c r="F985" s="76"/>
      <c r="G985" s="76"/>
      <c r="H985" s="76"/>
    </row>
    <row r="986" spans="5:8" ht="12.5" x14ac:dyDescent="0.25">
      <c r="E986" s="76"/>
      <c r="F986" s="76"/>
      <c r="G986" s="76"/>
      <c r="H986" s="76"/>
    </row>
    <row r="987" spans="5:8" ht="12.5" x14ac:dyDescent="0.25">
      <c r="E987" s="76"/>
      <c r="F987" s="76"/>
      <c r="G987" s="76"/>
      <c r="H987" s="76"/>
    </row>
    <row r="988" spans="5:8" ht="12.5" x14ac:dyDescent="0.25">
      <c r="E988" s="76"/>
      <c r="F988" s="76"/>
      <c r="G988" s="76"/>
      <c r="H988" s="76"/>
    </row>
    <row r="989" spans="5:8" ht="12.5" x14ac:dyDescent="0.25">
      <c r="E989" s="76"/>
      <c r="F989" s="76"/>
      <c r="G989" s="76"/>
      <c r="H989" s="76"/>
    </row>
    <row r="990" spans="5:8" ht="12.5" x14ac:dyDescent="0.25">
      <c r="E990" s="76"/>
      <c r="F990" s="76"/>
      <c r="G990" s="76"/>
      <c r="H990" s="76"/>
    </row>
    <row r="991" spans="5:8" ht="12.5" x14ac:dyDescent="0.25">
      <c r="E991" s="76"/>
      <c r="F991" s="76"/>
      <c r="G991" s="76"/>
      <c r="H991" s="76"/>
    </row>
    <row r="992" spans="5:8" ht="12.5" x14ac:dyDescent="0.25">
      <c r="E992" s="76"/>
      <c r="F992" s="76"/>
      <c r="G992" s="76"/>
      <c r="H992" s="76"/>
    </row>
    <row r="993" spans="5:8" ht="12.5" x14ac:dyDescent="0.25">
      <c r="E993" s="76"/>
      <c r="F993" s="76"/>
      <c r="G993" s="76"/>
      <c r="H993" s="76"/>
    </row>
    <row r="994" spans="5:8" ht="12.5" x14ac:dyDescent="0.25">
      <c r="E994" s="76"/>
      <c r="F994" s="76"/>
      <c r="G994" s="76"/>
      <c r="H994" s="76"/>
    </row>
    <row r="995" spans="5:8" ht="12.5" x14ac:dyDescent="0.25">
      <c r="E995" s="76"/>
      <c r="F995" s="76"/>
      <c r="G995" s="76"/>
      <c r="H995" s="76"/>
    </row>
    <row r="996" spans="5:8" ht="12.5" x14ac:dyDescent="0.25">
      <c r="E996" s="76"/>
      <c r="F996" s="76"/>
      <c r="G996" s="76"/>
      <c r="H996" s="76"/>
    </row>
    <row r="997" spans="5:8" ht="12.5" x14ac:dyDescent="0.25">
      <c r="E997" s="76"/>
      <c r="F997" s="76"/>
      <c r="G997" s="76"/>
      <c r="H997" s="76"/>
    </row>
    <row r="998" spans="5:8" ht="12.5" x14ac:dyDescent="0.25">
      <c r="E998" s="76"/>
      <c r="F998" s="76"/>
      <c r="G998" s="76"/>
      <c r="H998" s="76"/>
    </row>
    <row r="999" spans="5:8" ht="12.5" x14ac:dyDescent="0.25">
      <c r="E999" s="76"/>
      <c r="F999" s="76"/>
      <c r="G999" s="76"/>
      <c r="H999" s="76"/>
    </row>
    <row r="1000" spans="5:8" ht="12.5" x14ac:dyDescent="0.25">
      <c r="E1000" s="76"/>
      <c r="F1000" s="76"/>
      <c r="G1000" s="76"/>
      <c r="H1000" s="76"/>
    </row>
    <row r="1001" spans="5:8" ht="12.5" x14ac:dyDescent="0.25">
      <c r="E1001" s="76"/>
      <c r="F1001" s="76"/>
      <c r="G1001" s="76"/>
      <c r="H1001" s="76"/>
    </row>
    <row r="1002" spans="5:8" ht="12.5" x14ac:dyDescent="0.25">
      <c r="E1002" s="76"/>
      <c r="F1002" s="76"/>
      <c r="G1002" s="76"/>
      <c r="H1002" s="76"/>
    </row>
    <row r="1003" spans="5:8" ht="12.5" x14ac:dyDescent="0.25">
      <c r="E1003" s="76"/>
      <c r="F1003" s="76"/>
      <c r="G1003" s="76"/>
      <c r="H1003" s="76"/>
    </row>
    <row r="1004" spans="5:8" ht="12.5" x14ac:dyDescent="0.25">
      <c r="E1004" s="76"/>
      <c r="F1004" s="76"/>
      <c r="G1004" s="76"/>
      <c r="H1004" s="76"/>
    </row>
    <row r="1005" spans="5:8" ht="12.5" x14ac:dyDescent="0.25">
      <c r="E1005" s="76"/>
      <c r="F1005" s="76"/>
      <c r="G1005" s="76"/>
      <c r="H1005" s="76"/>
    </row>
    <row r="1006" spans="5:8" ht="12.5" x14ac:dyDescent="0.25">
      <c r="E1006" s="76"/>
      <c r="F1006" s="76"/>
      <c r="G1006" s="76"/>
      <c r="H1006" s="76"/>
    </row>
    <row r="1007" spans="5:8" ht="12.5" x14ac:dyDescent="0.25">
      <c r="E1007" s="76"/>
      <c r="F1007" s="76"/>
      <c r="G1007" s="76"/>
      <c r="H1007" s="76"/>
    </row>
    <row r="1008" spans="5:8" ht="12.5" x14ac:dyDescent="0.25">
      <c r="E1008" s="76"/>
      <c r="F1008" s="76"/>
      <c r="G1008" s="76"/>
      <c r="H1008" s="76"/>
    </row>
    <row r="1009" spans="5:8" ht="12.5" x14ac:dyDescent="0.25">
      <c r="E1009" s="76"/>
      <c r="F1009" s="76"/>
      <c r="G1009" s="76"/>
      <c r="H1009" s="76"/>
    </row>
    <row r="1010" spans="5:8" ht="12.5" x14ac:dyDescent="0.25">
      <c r="E1010" s="76"/>
      <c r="F1010" s="76"/>
      <c r="G1010" s="76"/>
      <c r="H1010" s="76"/>
    </row>
    <row r="1011" spans="5:8" ht="12.5" x14ac:dyDescent="0.25">
      <c r="E1011" s="76"/>
      <c r="F1011" s="76"/>
      <c r="G1011" s="76"/>
      <c r="H1011" s="76"/>
    </row>
    <row r="1012" spans="5:8" ht="12.5" x14ac:dyDescent="0.25">
      <c r="E1012" s="76"/>
      <c r="F1012" s="76"/>
      <c r="G1012" s="76"/>
      <c r="H1012" s="76"/>
    </row>
    <row r="1013" spans="5:8" ht="12.5" x14ac:dyDescent="0.25">
      <c r="E1013" s="76"/>
      <c r="F1013" s="76"/>
      <c r="G1013" s="76"/>
      <c r="H1013" s="76"/>
    </row>
    <row r="1014" spans="5:8" ht="12.5" x14ac:dyDescent="0.25">
      <c r="E1014" s="76"/>
      <c r="F1014" s="76"/>
      <c r="G1014" s="76"/>
      <c r="H1014" s="76"/>
    </row>
    <row r="1015" spans="5:8" ht="12.5" x14ac:dyDescent="0.25">
      <c r="E1015" s="76"/>
      <c r="F1015" s="76"/>
      <c r="G1015" s="76"/>
      <c r="H1015" s="76"/>
    </row>
    <row r="1016" spans="5:8" ht="12.5" x14ac:dyDescent="0.25">
      <c r="E1016" s="76"/>
      <c r="F1016" s="76"/>
      <c r="G1016" s="76"/>
      <c r="H1016" s="76"/>
    </row>
    <row r="1017" spans="5:8" ht="12.5" x14ac:dyDescent="0.25">
      <c r="E1017" s="76"/>
      <c r="F1017" s="76"/>
      <c r="G1017" s="76"/>
      <c r="H1017" s="76"/>
    </row>
    <row r="1018" spans="5:8" ht="12.5" x14ac:dyDescent="0.25">
      <c r="E1018" s="76"/>
      <c r="F1018" s="76"/>
      <c r="G1018" s="76"/>
      <c r="H1018" s="76"/>
    </row>
    <row r="1019" spans="5:8" ht="12.5" x14ac:dyDescent="0.25">
      <c r="E1019" s="76"/>
      <c r="F1019" s="76"/>
      <c r="G1019" s="76"/>
      <c r="H1019" s="76"/>
    </row>
    <row r="1020" spans="5:8" ht="12.5" x14ac:dyDescent="0.25">
      <c r="E1020" s="76"/>
      <c r="F1020" s="76"/>
      <c r="G1020" s="76"/>
      <c r="H1020" s="76"/>
    </row>
    <row r="1021" spans="5:8" ht="12.5" x14ac:dyDescent="0.25">
      <c r="E1021" s="76"/>
      <c r="F1021" s="76"/>
      <c r="G1021" s="76"/>
      <c r="H1021" s="76"/>
    </row>
    <row r="1022" spans="5:8" ht="12.5" x14ac:dyDescent="0.25">
      <c r="E1022" s="76"/>
      <c r="F1022" s="76"/>
      <c r="G1022" s="76"/>
      <c r="H1022" s="76"/>
    </row>
    <row r="1023" spans="5:8" ht="12.5" x14ac:dyDescent="0.25">
      <c r="E1023" s="76"/>
      <c r="F1023" s="76"/>
      <c r="G1023" s="76"/>
      <c r="H1023" s="76"/>
    </row>
    <row r="1024" spans="5:8" ht="12.5" x14ac:dyDescent="0.25">
      <c r="E1024" s="76"/>
      <c r="F1024" s="76"/>
      <c r="G1024" s="76"/>
      <c r="H1024" s="76"/>
    </row>
    <row r="1025" spans="5:8" ht="12.5" x14ac:dyDescent="0.25">
      <c r="E1025" s="76"/>
      <c r="F1025" s="76"/>
      <c r="G1025" s="76"/>
      <c r="H1025" s="76"/>
    </row>
    <row r="1026" spans="5:8" ht="12.5" x14ac:dyDescent="0.25">
      <c r="E1026" s="76"/>
      <c r="F1026" s="76"/>
      <c r="G1026" s="76"/>
      <c r="H1026" s="76"/>
    </row>
    <row r="1027" spans="5:8" ht="12.5" x14ac:dyDescent="0.25">
      <c r="E1027" s="76"/>
      <c r="F1027" s="76"/>
      <c r="G1027" s="76"/>
      <c r="H1027" s="76"/>
    </row>
    <row r="1028" spans="5:8" ht="12.5" x14ac:dyDescent="0.25">
      <c r="E1028" s="76"/>
      <c r="F1028" s="76"/>
      <c r="G1028" s="76"/>
      <c r="H1028" s="76"/>
    </row>
    <row r="1029" spans="5:8" ht="12.5" x14ac:dyDescent="0.25">
      <c r="E1029" s="76"/>
      <c r="F1029" s="76"/>
      <c r="G1029" s="76"/>
      <c r="H1029" s="76"/>
    </row>
    <row r="1030" spans="5:8" ht="12.5" x14ac:dyDescent="0.25">
      <c r="E1030" s="76"/>
      <c r="F1030" s="76"/>
      <c r="G1030" s="76"/>
      <c r="H1030" s="76"/>
    </row>
    <row r="1031" spans="5:8" ht="12.5" x14ac:dyDescent="0.25">
      <c r="E1031" s="76"/>
      <c r="F1031" s="76"/>
      <c r="G1031" s="76"/>
      <c r="H1031" s="76"/>
    </row>
    <row r="1032" spans="5:8" ht="12.5" x14ac:dyDescent="0.25">
      <c r="E1032" s="76"/>
      <c r="F1032" s="76"/>
      <c r="G1032" s="76"/>
      <c r="H1032" s="76"/>
    </row>
    <row r="1033" spans="5:8" ht="12.5" x14ac:dyDescent="0.25">
      <c r="E1033" s="76"/>
      <c r="F1033" s="76"/>
      <c r="G1033" s="76"/>
      <c r="H1033" s="76"/>
    </row>
    <row r="1034" spans="5:8" ht="12.5" x14ac:dyDescent="0.25">
      <c r="E1034" s="76"/>
      <c r="F1034" s="76"/>
      <c r="G1034" s="76"/>
      <c r="H1034" s="76"/>
    </row>
    <row r="1035" spans="5:8" ht="12.5" x14ac:dyDescent="0.25">
      <c r="E1035" s="76"/>
      <c r="F1035" s="76"/>
      <c r="G1035" s="76"/>
      <c r="H1035" s="76"/>
    </row>
    <row r="1036" spans="5:8" ht="12.5" x14ac:dyDescent="0.25">
      <c r="E1036" s="76"/>
      <c r="F1036" s="76"/>
      <c r="G1036" s="76"/>
      <c r="H1036" s="76"/>
    </row>
    <row r="1037" spans="5:8" ht="12.5" x14ac:dyDescent="0.25">
      <c r="E1037" s="76"/>
      <c r="F1037" s="76"/>
      <c r="G1037" s="76"/>
      <c r="H1037" s="76"/>
    </row>
    <row r="1038" spans="5:8" ht="12.5" x14ac:dyDescent="0.25">
      <c r="E1038" s="76"/>
      <c r="F1038" s="76"/>
      <c r="G1038" s="76"/>
      <c r="H1038" s="76"/>
    </row>
    <row r="1039" spans="5:8" ht="12.5" x14ac:dyDescent="0.25">
      <c r="E1039" s="76"/>
      <c r="F1039" s="76"/>
      <c r="G1039" s="76"/>
      <c r="H1039" s="76"/>
    </row>
    <row r="1040" spans="5:8" ht="12.5" x14ac:dyDescent="0.25">
      <c r="E1040" s="76"/>
      <c r="F1040" s="76"/>
      <c r="G1040" s="76"/>
      <c r="H1040" s="76"/>
    </row>
    <row r="1041" spans="5:8" ht="12.5" x14ac:dyDescent="0.25">
      <c r="E1041" s="76"/>
      <c r="F1041" s="76"/>
      <c r="G1041" s="76"/>
      <c r="H1041" s="76"/>
    </row>
    <row r="1042" spans="5:8" ht="12.5" x14ac:dyDescent="0.25">
      <c r="E1042" s="76"/>
      <c r="F1042" s="76"/>
      <c r="G1042" s="76"/>
      <c r="H1042" s="76"/>
    </row>
    <row r="1043" spans="5:8" ht="12.5" x14ac:dyDescent="0.25">
      <c r="E1043" s="76"/>
      <c r="F1043" s="76"/>
      <c r="G1043" s="76"/>
      <c r="H1043" s="76"/>
    </row>
    <row r="1044" spans="5:8" ht="12.5" x14ac:dyDescent="0.25">
      <c r="E1044" s="76"/>
      <c r="F1044" s="76"/>
      <c r="G1044" s="76"/>
      <c r="H1044" s="76"/>
    </row>
    <row r="1045" spans="5:8" ht="12.5" x14ac:dyDescent="0.25">
      <c r="E1045" s="76"/>
      <c r="F1045" s="76"/>
      <c r="G1045" s="76"/>
      <c r="H1045" s="76"/>
    </row>
    <row r="1046" spans="5:8" ht="12.5" x14ac:dyDescent="0.25">
      <c r="E1046" s="76"/>
      <c r="F1046" s="76"/>
      <c r="G1046" s="76"/>
      <c r="H1046" s="76"/>
    </row>
    <row r="1047" spans="5:8" ht="12.5" x14ac:dyDescent="0.25">
      <c r="E1047" s="76"/>
      <c r="F1047" s="76"/>
      <c r="G1047" s="76"/>
      <c r="H1047" s="76"/>
    </row>
    <row r="1048" spans="5:8" ht="12.5" x14ac:dyDescent="0.25">
      <c r="E1048" s="76"/>
      <c r="F1048" s="76"/>
      <c r="G1048" s="76"/>
      <c r="H1048" s="76"/>
    </row>
    <row r="1049" spans="5:8" ht="12.5" x14ac:dyDescent="0.25">
      <c r="E1049" s="76"/>
      <c r="F1049" s="76"/>
      <c r="G1049" s="76"/>
      <c r="H1049" s="76"/>
    </row>
    <row r="1050" spans="5:8" ht="12.5" x14ac:dyDescent="0.25">
      <c r="E1050" s="76"/>
      <c r="F1050" s="76"/>
      <c r="G1050" s="76"/>
      <c r="H1050" s="76"/>
    </row>
    <row r="1051" spans="5:8" ht="12.5" x14ac:dyDescent="0.25">
      <c r="E1051" s="76"/>
      <c r="F1051" s="76"/>
      <c r="G1051" s="76"/>
      <c r="H1051" s="76"/>
    </row>
    <row r="1052" spans="5:8" ht="12.5" x14ac:dyDescent="0.25">
      <c r="E1052" s="76"/>
      <c r="F1052" s="76"/>
      <c r="G1052" s="76"/>
      <c r="H1052" s="76"/>
    </row>
    <row r="1053" spans="5:8" ht="12.5" x14ac:dyDescent="0.25">
      <c r="E1053" s="76"/>
      <c r="F1053" s="76"/>
      <c r="G1053" s="76"/>
      <c r="H1053" s="76"/>
    </row>
    <row r="1054" spans="5:8" ht="12.5" x14ac:dyDescent="0.25">
      <c r="E1054" s="76"/>
      <c r="F1054" s="76"/>
      <c r="G1054" s="76"/>
      <c r="H1054" s="76"/>
    </row>
    <row r="1055" spans="5:8" ht="12.5" x14ac:dyDescent="0.25">
      <c r="E1055" s="76"/>
      <c r="F1055" s="76"/>
      <c r="G1055" s="76"/>
      <c r="H1055" s="76"/>
    </row>
    <row r="1056" spans="5:8" ht="12.5" x14ac:dyDescent="0.25">
      <c r="E1056" s="76"/>
      <c r="F1056" s="76"/>
      <c r="G1056" s="76"/>
      <c r="H1056" s="76"/>
    </row>
    <row r="1057" spans="5:8" ht="12.5" x14ac:dyDescent="0.25">
      <c r="E1057" s="76"/>
      <c r="F1057" s="76"/>
      <c r="G1057" s="76"/>
      <c r="H1057" s="76"/>
    </row>
    <row r="1058" spans="5:8" ht="12.5" x14ac:dyDescent="0.25">
      <c r="E1058" s="76"/>
      <c r="F1058" s="76"/>
      <c r="G1058" s="76"/>
      <c r="H1058" s="76"/>
    </row>
    <row r="1059" spans="5:8" ht="12.5" x14ac:dyDescent="0.25">
      <c r="E1059" s="76"/>
      <c r="F1059" s="76"/>
      <c r="G1059" s="76"/>
      <c r="H1059" s="76"/>
    </row>
    <row r="1060" spans="5:8" ht="12.5" x14ac:dyDescent="0.25">
      <c r="E1060" s="76"/>
      <c r="F1060" s="76"/>
      <c r="G1060" s="76"/>
      <c r="H1060" s="76"/>
    </row>
    <row r="1061" spans="5:8" ht="12.5" x14ac:dyDescent="0.25">
      <c r="E1061" s="76"/>
      <c r="F1061" s="76"/>
      <c r="G1061" s="76"/>
      <c r="H1061" s="76"/>
    </row>
    <row r="1062" spans="5:8" ht="12.5" x14ac:dyDescent="0.25">
      <c r="E1062" s="76"/>
      <c r="F1062" s="76"/>
      <c r="G1062" s="76"/>
      <c r="H1062" s="76"/>
    </row>
    <row r="1063" spans="5:8" ht="12.5" x14ac:dyDescent="0.25">
      <c r="E1063" s="76"/>
      <c r="F1063" s="76"/>
      <c r="G1063" s="76"/>
      <c r="H1063" s="76"/>
    </row>
    <row r="1064" spans="5:8" ht="12.5" x14ac:dyDescent="0.25">
      <c r="E1064" s="76"/>
      <c r="F1064" s="76"/>
      <c r="G1064" s="76"/>
      <c r="H1064" s="76"/>
    </row>
    <row r="1065" spans="5:8" ht="12.5" x14ac:dyDescent="0.25">
      <c r="E1065" s="76"/>
      <c r="F1065" s="76"/>
      <c r="G1065" s="76"/>
      <c r="H1065" s="76"/>
    </row>
    <row r="1066" spans="5:8" ht="12.5" x14ac:dyDescent="0.25">
      <c r="E1066" s="76"/>
      <c r="F1066" s="76"/>
      <c r="G1066" s="76"/>
      <c r="H1066" s="76"/>
    </row>
    <row r="1067" spans="5:8" ht="12.5" x14ac:dyDescent="0.25">
      <c r="E1067" s="76"/>
      <c r="F1067" s="76"/>
      <c r="G1067" s="76"/>
      <c r="H1067" s="76"/>
    </row>
    <row r="1068" spans="5:8" ht="12.5" x14ac:dyDescent="0.25">
      <c r="E1068" s="76"/>
      <c r="F1068" s="76"/>
      <c r="G1068" s="76"/>
      <c r="H1068" s="76"/>
    </row>
    <row r="1069" spans="5:8" ht="12.5" x14ac:dyDescent="0.25">
      <c r="E1069" s="76"/>
      <c r="F1069" s="76"/>
      <c r="G1069" s="76"/>
      <c r="H1069" s="76"/>
    </row>
    <row r="1070" spans="5:8" ht="12.5" x14ac:dyDescent="0.25">
      <c r="E1070" s="76"/>
      <c r="F1070" s="76"/>
      <c r="G1070" s="76"/>
      <c r="H1070" s="76"/>
    </row>
    <row r="1071" spans="5:8" ht="12.5" x14ac:dyDescent="0.25">
      <c r="E1071" s="76"/>
      <c r="F1071" s="76"/>
      <c r="G1071" s="76"/>
      <c r="H1071" s="76"/>
    </row>
    <row r="1072" spans="5:8" ht="12.5" x14ac:dyDescent="0.25">
      <c r="E1072" s="76"/>
      <c r="F1072" s="76"/>
      <c r="G1072" s="76"/>
      <c r="H1072" s="76"/>
    </row>
    <row r="1073" spans="5:8" ht="12.5" x14ac:dyDescent="0.25">
      <c r="E1073" s="76"/>
      <c r="F1073" s="76"/>
      <c r="G1073" s="76"/>
      <c r="H1073" s="76"/>
    </row>
    <row r="1074" spans="5:8" ht="12.5" x14ac:dyDescent="0.25">
      <c r="E1074" s="76"/>
      <c r="F1074" s="76"/>
      <c r="G1074" s="76"/>
      <c r="H1074" s="76"/>
    </row>
    <row r="1075" spans="5:8" ht="12.5" x14ac:dyDescent="0.25">
      <c r="E1075" s="76"/>
      <c r="F1075" s="76"/>
      <c r="G1075" s="76"/>
      <c r="H1075" s="76"/>
    </row>
    <row r="1076" spans="5:8" ht="12.5" x14ac:dyDescent="0.25">
      <c r="E1076" s="76"/>
      <c r="F1076" s="76"/>
      <c r="G1076" s="76"/>
      <c r="H1076" s="76"/>
    </row>
    <row r="1077" spans="5:8" ht="12.5" x14ac:dyDescent="0.25">
      <c r="E1077" s="76"/>
      <c r="F1077" s="76"/>
      <c r="G1077" s="76"/>
      <c r="H1077" s="76"/>
    </row>
    <row r="1078" spans="5:8" ht="12.5" x14ac:dyDescent="0.25">
      <c r="E1078" s="76"/>
      <c r="F1078" s="76"/>
      <c r="G1078" s="76"/>
      <c r="H1078" s="76"/>
    </row>
    <row r="1079" spans="5:8" ht="12.5" x14ac:dyDescent="0.25">
      <c r="E1079" s="76"/>
      <c r="F1079" s="76"/>
      <c r="G1079" s="76"/>
      <c r="H1079" s="76"/>
    </row>
    <row r="1080" spans="5:8" ht="12.5" x14ac:dyDescent="0.25">
      <c r="E1080" s="76"/>
      <c r="F1080" s="76"/>
      <c r="G1080" s="76"/>
      <c r="H1080" s="76"/>
    </row>
    <row r="1081" spans="5:8" ht="12.5" x14ac:dyDescent="0.25">
      <c r="E1081" s="76"/>
      <c r="F1081" s="76"/>
      <c r="G1081" s="76"/>
      <c r="H1081" s="76"/>
    </row>
    <row r="1082" spans="5:8" ht="12.5" x14ac:dyDescent="0.25">
      <c r="E1082" s="76"/>
      <c r="F1082" s="76"/>
      <c r="G1082" s="76"/>
      <c r="H1082" s="76"/>
    </row>
    <row r="1083" spans="5:8" ht="12.5" x14ac:dyDescent="0.25">
      <c r="E1083" s="76"/>
      <c r="F1083" s="76"/>
      <c r="G1083" s="76"/>
      <c r="H1083" s="76"/>
    </row>
    <row r="1084" spans="5:8" ht="12.5" x14ac:dyDescent="0.25">
      <c r="E1084" s="76"/>
      <c r="F1084" s="76"/>
      <c r="G1084" s="76"/>
      <c r="H1084" s="76"/>
    </row>
    <row r="1085" spans="5:8" ht="12.5" x14ac:dyDescent="0.25">
      <c r="E1085" s="76"/>
      <c r="F1085" s="76"/>
      <c r="G1085" s="76"/>
      <c r="H1085" s="76"/>
    </row>
    <row r="1086" spans="5:8" ht="12.5" x14ac:dyDescent="0.25">
      <c r="E1086" s="76"/>
      <c r="F1086" s="76"/>
      <c r="G1086" s="76"/>
      <c r="H1086" s="76"/>
    </row>
    <row r="1087" spans="5:8" ht="12.5" x14ac:dyDescent="0.25">
      <c r="E1087" s="76"/>
      <c r="F1087" s="76"/>
      <c r="G1087" s="76"/>
      <c r="H1087" s="76"/>
    </row>
    <row r="1088" spans="5:8" ht="12.5" x14ac:dyDescent="0.25">
      <c r="E1088" s="76"/>
      <c r="F1088" s="76"/>
      <c r="G1088" s="76"/>
      <c r="H1088" s="76"/>
    </row>
    <row r="1089" spans="5:8" ht="12.5" x14ac:dyDescent="0.25">
      <c r="E1089" s="76"/>
      <c r="F1089" s="76"/>
      <c r="G1089" s="76"/>
      <c r="H1089" s="76"/>
    </row>
    <row r="1090" spans="5:8" ht="12.5" x14ac:dyDescent="0.25">
      <c r="E1090" s="76"/>
      <c r="F1090" s="76"/>
      <c r="G1090" s="76"/>
      <c r="H1090" s="76"/>
    </row>
    <row r="1091" spans="5:8" ht="12.5" x14ac:dyDescent="0.25">
      <c r="E1091" s="76"/>
      <c r="F1091" s="76"/>
      <c r="G1091" s="76"/>
      <c r="H1091" s="76"/>
    </row>
    <row r="1092" spans="5:8" ht="12.5" x14ac:dyDescent="0.25">
      <c r="E1092" s="76"/>
      <c r="F1092" s="76"/>
      <c r="G1092" s="76"/>
      <c r="H1092" s="76"/>
    </row>
    <row r="1093" spans="5:8" ht="12.5" x14ac:dyDescent="0.25">
      <c r="E1093" s="76"/>
      <c r="F1093" s="76"/>
      <c r="G1093" s="76"/>
      <c r="H1093" s="76"/>
    </row>
    <row r="1094" spans="5:8" ht="12.5" x14ac:dyDescent="0.25">
      <c r="E1094" s="76"/>
      <c r="F1094" s="76"/>
      <c r="G1094" s="76"/>
      <c r="H1094" s="76"/>
    </row>
    <row r="1095" spans="5:8" ht="12.5" x14ac:dyDescent="0.25">
      <c r="E1095" s="76"/>
      <c r="F1095" s="76"/>
      <c r="G1095" s="76"/>
      <c r="H1095" s="76"/>
    </row>
    <row r="1096" spans="5:8" ht="12.5" x14ac:dyDescent="0.25">
      <c r="E1096" s="76"/>
      <c r="F1096" s="76"/>
      <c r="G1096" s="76"/>
      <c r="H1096" s="76"/>
    </row>
    <row r="1097" spans="5:8" ht="12.5" x14ac:dyDescent="0.25">
      <c r="E1097" s="76"/>
      <c r="F1097" s="76"/>
      <c r="G1097" s="76"/>
      <c r="H1097" s="76"/>
    </row>
    <row r="1098" spans="5:8" ht="12.5" x14ac:dyDescent="0.25">
      <c r="E1098" s="76"/>
      <c r="F1098" s="76"/>
      <c r="G1098" s="76"/>
      <c r="H1098" s="76"/>
    </row>
    <row r="1099" spans="5:8" ht="12.5" x14ac:dyDescent="0.25">
      <c r="E1099" s="76"/>
      <c r="F1099" s="76"/>
      <c r="G1099" s="76"/>
      <c r="H1099" s="76"/>
    </row>
    <row r="1100" spans="5:8" ht="12.5" x14ac:dyDescent="0.25">
      <c r="E1100" s="76"/>
      <c r="F1100" s="76"/>
      <c r="G1100" s="76"/>
      <c r="H1100" s="76"/>
    </row>
    <row r="1101" spans="5:8" ht="12.5" x14ac:dyDescent="0.25">
      <c r="E1101" s="76"/>
      <c r="F1101" s="76"/>
      <c r="G1101" s="76"/>
      <c r="H1101" s="76"/>
    </row>
    <row r="1102" spans="5:8" ht="12.5" x14ac:dyDescent="0.25">
      <c r="E1102" s="76"/>
      <c r="F1102" s="76"/>
      <c r="G1102" s="76"/>
      <c r="H1102" s="76"/>
    </row>
    <row r="1103" spans="5:8" ht="12.5" x14ac:dyDescent="0.25">
      <c r="E1103" s="76"/>
      <c r="F1103" s="76"/>
      <c r="G1103" s="76"/>
      <c r="H1103" s="76"/>
    </row>
    <row r="1104" spans="5:8" ht="12.5" x14ac:dyDescent="0.25">
      <c r="E1104" s="76"/>
      <c r="F1104" s="76"/>
      <c r="G1104" s="76"/>
      <c r="H1104" s="76"/>
    </row>
    <row r="1105" spans="5:8" ht="12.5" x14ac:dyDescent="0.25">
      <c r="E1105" s="76"/>
      <c r="F1105" s="76"/>
      <c r="G1105" s="76"/>
      <c r="H1105" s="76"/>
    </row>
    <row r="1106" spans="5:8" ht="12.5" x14ac:dyDescent="0.25">
      <c r="E1106" s="76"/>
      <c r="F1106" s="76"/>
      <c r="G1106" s="76"/>
      <c r="H1106" s="76"/>
    </row>
    <row r="1107" spans="5:8" ht="12.5" x14ac:dyDescent="0.25">
      <c r="E1107" s="76"/>
      <c r="F1107" s="76"/>
      <c r="G1107" s="76"/>
      <c r="H1107" s="76"/>
    </row>
    <row r="1108" spans="5:8" ht="12.5" x14ac:dyDescent="0.25">
      <c r="E1108" s="76"/>
      <c r="F1108" s="76"/>
      <c r="G1108" s="76"/>
      <c r="H1108" s="76"/>
    </row>
    <row r="1109" spans="5:8" ht="12.5" x14ac:dyDescent="0.25">
      <c r="E1109" s="76"/>
      <c r="F1109" s="76"/>
      <c r="G1109" s="76"/>
      <c r="H1109" s="76"/>
    </row>
    <row r="1110" spans="5:8" ht="12.5" x14ac:dyDescent="0.25">
      <c r="E1110" s="76"/>
      <c r="F1110" s="76"/>
      <c r="G1110" s="76"/>
      <c r="H1110" s="76"/>
    </row>
    <row r="1111" spans="5:8" ht="12.5" x14ac:dyDescent="0.25">
      <c r="E1111" s="76"/>
      <c r="F1111" s="76"/>
      <c r="G1111" s="76"/>
      <c r="H1111" s="76"/>
    </row>
    <row r="1112" spans="5:8" ht="12.5" x14ac:dyDescent="0.25">
      <c r="E1112" s="76"/>
      <c r="F1112" s="76"/>
      <c r="G1112" s="76"/>
      <c r="H1112" s="76"/>
    </row>
    <row r="1113" spans="5:8" ht="12.5" x14ac:dyDescent="0.25">
      <c r="E1113" s="76"/>
      <c r="F1113" s="76"/>
      <c r="G1113" s="76"/>
      <c r="H1113" s="76"/>
    </row>
    <row r="1114" spans="5:8" ht="12.5" x14ac:dyDescent="0.25">
      <c r="E1114" s="76"/>
      <c r="F1114" s="76"/>
      <c r="G1114" s="76"/>
      <c r="H1114" s="76"/>
    </row>
    <row r="1115" spans="5:8" ht="12.5" x14ac:dyDescent="0.25">
      <c r="E1115" s="76"/>
      <c r="F1115" s="76"/>
      <c r="G1115" s="76"/>
      <c r="H1115" s="76"/>
    </row>
    <row r="1116" spans="5:8" ht="12.5" x14ac:dyDescent="0.25">
      <c r="E1116" s="76"/>
      <c r="F1116" s="76"/>
      <c r="G1116" s="76"/>
      <c r="H1116" s="76"/>
    </row>
    <row r="1117" spans="5:8" ht="12.5" x14ac:dyDescent="0.25">
      <c r="E1117" s="76"/>
      <c r="F1117" s="76"/>
      <c r="G1117" s="76"/>
      <c r="H1117" s="76"/>
    </row>
    <row r="1118" spans="5:8" ht="12.5" x14ac:dyDescent="0.25">
      <c r="E1118" s="76"/>
      <c r="F1118" s="76"/>
      <c r="G1118" s="76"/>
      <c r="H1118" s="76"/>
    </row>
    <row r="1119" spans="5:8" ht="12.5" x14ac:dyDescent="0.25">
      <c r="E1119" s="76"/>
      <c r="F1119" s="76"/>
      <c r="G1119" s="76"/>
      <c r="H1119" s="76"/>
    </row>
    <row r="1120" spans="5:8" ht="12.5" x14ac:dyDescent="0.25">
      <c r="E1120" s="76"/>
      <c r="F1120" s="76"/>
      <c r="G1120" s="76"/>
      <c r="H1120" s="76"/>
    </row>
    <row r="1121" spans="5:8" ht="12.5" x14ac:dyDescent="0.25">
      <c r="E1121" s="76"/>
      <c r="F1121" s="76"/>
      <c r="G1121" s="76"/>
      <c r="H1121" s="76"/>
    </row>
    <row r="1122" spans="5:8" ht="12.5" x14ac:dyDescent="0.25">
      <c r="E1122" s="76"/>
      <c r="F1122" s="76"/>
      <c r="G1122" s="76"/>
      <c r="H1122" s="76"/>
    </row>
    <row r="1123" spans="5:8" ht="12.5" x14ac:dyDescent="0.25">
      <c r="E1123" s="76"/>
      <c r="F1123" s="76"/>
      <c r="G1123" s="76"/>
      <c r="H1123" s="76"/>
    </row>
    <row r="1124" spans="5:8" ht="12.5" x14ac:dyDescent="0.25">
      <c r="E1124" s="76"/>
      <c r="F1124" s="76"/>
      <c r="G1124" s="76"/>
      <c r="H1124" s="76"/>
    </row>
    <row r="1125" spans="5:8" ht="12.5" x14ac:dyDescent="0.25">
      <c r="E1125" s="76"/>
      <c r="F1125" s="76"/>
      <c r="G1125" s="76"/>
      <c r="H1125" s="76"/>
    </row>
    <row r="1126" spans="5:8" ht="12.5" x14ac:dyDescent="0.25">
      <c r="E1126" s="76"/>
      <c r="F1126" s="76"/>
      <c r="G1126" s="76"/>
      <c r="H1126" s="76"/>
    </row>
    <row r="1127" spans="5:8" ht="12.5" x14ac:dyDescent="0.25">
      <c r="E1127" s="76"/>
      <c r="F1127" s="76"/>
      <c r="G1127" s="76"/>
      <c r="H1127" s="76"/>
    </row>
    <row r="1128" spans="5:8" ht="12.5" x14ac:dyDescent="0.25">
      <c r="E1128" s="76"/>
      <c r="F1128" s="76"/>
      <c r="G1128" s="76"/>
      <c r="H1128" s="76"/>
    </row>
    <row r="1129" spans="5:8" ht="12.5" x14ac:dyDescent="0.25">
      <c r="E1129" s="76"/>
      <c r="F1129" s="76"/>
      <c r="G1129" s="76"/>
      <c r="H1129" s="76"/>
    </row>
    <row r="1130" spans="5:8" ht="12.5" x14ac:dyDescent="0.25">
      <c r="E1130" s="76"/>
      <c r="F1130" s="76"/>
      <c r="G1130" s="76"/>
      <c r="H1130" s="76"/>
    </row>
    <row r="1131" spans="5:8" ht="12.5" x14ac:dyDescent="0.25">
      <c r="E1131" s="76"/>
      <c r="F1131" s="76"/>
      <c r="G1131" s="76"/>
      <c r="H1131" s="76"/>
    </row>
    <row r="1132" spans="5:8" ht="12.5" x14ac:dyDescent="0.25">
      <c r="E1132" s="76"/>
      <c r="F1132" s="76"/>
      <c r="G1132" s="76"/>
      <c r="H1132" s="76"/>
    </row>
    <row r="1133" spans="5:8" ht="12.5" x14ac:dyDescent="0.25">
      <c r="E1133" s="76"/>
      <c r="F1133" s="76"/>
      <c r="G1133" s="76"/>
      <c r="H1133" s="76"/>
    </row>
    <row r="1134" spans="5:8" ht="12.5" x14ac:dyDescent="0.25">
      <c r="E1134" s="76"/>
      <c r="F1134" s="76"/>
      <c r="G1134" s="76"/>
      <c r="H1134" s="76"/>
    </row>
    <row r="1135" spans="5:8" ht="12.5" x14ac:dyDescent="0.25">
      <c r="E1135" s="76"/>
      <c r="F1135" s="76"/>
      <c r="G1135" s="76"/>
      <c r="H1135" s="76"/>
    </row>
    <row r="1136" spans="5:8" ht="12.5" x14ac:dyDescent="0.25">
      <c r="E1136" s="76"/>
      <c r="F1136" s="76"/>
      <c r="G1136" s="76"/>
      <c r="H1136" s="76"/>
    </row>
    <row r="1137" spans="5:8" ht="12.5" x14ac:dyDescent="0.25">
      <c r="E1137" s="76"/>
      <c r="F1137" s="76"/>
      <c r="G1137" s="76"/>
      <c r="H1137" s="76"/>
    </row>
    <row r="1138" spans="5:8" ht="12.5" x14ac:dyDescent="0.25">
      <c r="E1138" s="76"/>
      <c r="F1138" s="76"/>
      <c r="G1138" s="76"/>
      <c r="H1138" s="76"/>
    </row>
    <row r="1139" spans="5:8" ht="12.5" x14ac:dyDescent="0.25">
      <c r="E1139" s="76"/>
      <c r="F1139" s="76"/>
      <c r="G1139" s="76"/>
      <c r="H1139" s="76"/>
    </row>
    <row r="1140" spans="5:8" ht="12.5" x14ac:dyDescent="0.25">
      <c r="E1140" s="76"/>
      <c r="F1140" s="76"/>
      <c r="G1140" s="76"/>
      <c r="H1140" s="76"/>
    </row>
    <row r="1141" spans="5:8" ht="12.5" x14ac:dyDescent="0.25">
      <c r="E1141" s="76"/>
      <c r="F1141" s="76"/>
      <c r="G1141" s="76"/>
      <c r="H1141" s="76"/>
    </row>
    <row r="1142" spans="5:8" ht="12.5" x14ac:dyDescent="0.25">
      <c r="E1142" s="76"/>
      <c r="F1142" s="76"/>
      <c r="G1142" s="76"/>
      <c r="H1142" s="76"/>
    </row>
    <row r="1143" spans="5:8" ht="12.5" x14ac:dyDescent="0.25">
      <c r="E1143" s="76"/>
      <c r="F1143" s="76"/>
      <c r="G1143" s="76"/>
      <c r="H1143" s="76"/>
    </row>
    <row r="1144" spans="5:8" ht="12.5" x14ac:dyDescent="0.25">
      <c r="E1144" s="76"/>
      <c r="F1144" s="76"/>
      <c r="G1144" s="76"/>
      <c r="H1144" s="76"/>
    </row>
    <row r="1145" spans="5:8" ht="12.5" x14ac:dyDescent="0.25">
      <c r="E1145" s="76"/>
      <c r="F1145" s="76"/>
      <c r="G1145" s="76"/>
      <c r="H1145" s="76"/>
    </row>
    <row r="1146" spans="5:8" ht="12.5" x14ac:dyDescent="0.25">
      <c r="E1146" s="76"/>
      <c r="F1146" s="76"/>
      <c r="G1146" s="76"/>
      <c r="H1146" s="76"/>
    </row>
    <row r="1147" spans="5:8" ht="12.5" x14ac:dyDescent="0.25">
      <c r="E1147" s="76"/>
      <c r="F1147" s="76"/>
      <c r="G1147" s="76"/>
      <c r="H1147" s="76"/>
    </row>
    <row r="1148" spans="5:8" ht="12.5" x14ac:dyDescent="0.25">
      <c r="E1148" s="76"/>
      <c r="F1148" s="76"/>
      <c r="G1148" s="76"/>
      <c r="H1148" s="76"/>
    </row>
    <row r="1149" spans="5:8" ht="12.5" x14ac:dyDescent="0.25">
      <c r="E1149" s="76"/>
      <c r="F1149" s="76"/>
      <c r="G1149" s="76"/>
      <c r="H1149" s="76"/>
    </row>
    <row r="1150" spans="5:8" ht="12.5" x14ac:dyDescent="0.25">
      <c r="E1150" s="76"/>
      <c r="F1150" s="76"/>
      <c r="G1150" s="76"/>
      <c r="H1150" s="76"/>
    </row>
    <row r="1151" spans="5:8" ht="12.5" x14ac:dyDescent="0.25">
      <c r="E1151" s="76"/>
      <c r="F1151" s="76"/>
      <c r="G1151" s="76"/>
      <c r="H1151" s="76"/>
    </row>
    <row r="1152" spans="5:8" ht="12.5" x14ac:dyDescent="0.25">
      <c r="E1152" s="76"/>
      <c r="F1152" s="76"/>
      <c r="G1152" s="76"/>
      <c r="H1152" s="76"/>
    </row>
    <row r="1153" spans="5:8" ht="12.5" x14ac:dyDescent="0.25">
      <c r="E1153" s="76"/>
      <c r="F1153" s="76"/>
      <c r="G1153" s="76"/>
      <c r="H1153" s="76"/>
    </row>
    <row r="1154" spans="5:8" ht="12.5" x14ac:dyDescent="0.25">
      <c r="E1154" s="76"/>
      <c r="F1154" s="76"/>
      <c r="G1154" s="76"/>
      <c r="H1154" s="76"/>
    </row>
    <row r="1155" spans="5:8" ht="12.5" x14ac:dyDescent="0.25">
      <c r="E1155" s="76"/>
      <c r="F1155" s="76"/>
      <c r="G1155" s="76"/>
      <c r="H1155" s="76"/>
    </row>
    <row r="1156" spans="5:8" ht="12.5" x14ac:dyDescent="0.25">
      <c r="E1156" s="76"/>
      <c r="F1156" s="76"/>
      <c r="G1156" s="76"/>
      <c r="H1156" s="76"/>
    </row>
    <row r="1157" spans="5:8" ht="12.5" x14ac:dyDescent="0.25">
      <c r="E1157" s="76"/>
      <c r="F1157" s="76"/>
      <c r="G1157" s="76"/>
      <c r="H1157" s="76"/>
    </row>
    <row r="1158" spans="5:8" ht="12.5" x14ac:dyDescent="0.25">
      <c r="E1158" s="76"/>
      <c r="F1158" s="76"/>
      <c r="G1158" s="76"/>
      <c r="H1158" s="76"/>
    </row>
    <row r="1159" spans="5:8" ht="12.5" x14ac:dyDescent="0.25">
      <c r="E1159" s="76"/>
      <c r="F1159" s="76"/>
      <c r="G1159" s="76"/>
      <c r="H1159" s="76"/>
    </row>
    <row r="1160" spans="5:8" ht="12.5" x14ac:dyDescent="0.25">
      <c r="E1160" s="76"/>
      <c r="F1160" s="76"/>
      <c r="G1160" s="76"/>
      <c r="H1160" s="76"/>
    </row>
    <row r="1161" spans="5:8" ht="12.5" x14ac:dyDescent="0.25">
      <c r="E1161" s="76"/>
      <c r="F1161" s="76"/>
      <c r="G1161" s="76"/>
      <c r="H1161" s="76"/>
    </row>
    <row r="1162" spans="5:8" ht="12.5" x14ac:dyDescent="0.25">
      <c r="E1162" s="76"/>
      <c r="F1162" s="76"/>
      <c r="G1162" s="76"/>
      <c r="H1162" s="76"/>
    </row>
    <row r="1163" spans="5:8" ht="12.5" x14ac:dyDescent="0.25">
      <c r="E1163" s="76"/>
      <c r="F1163" s="76"/>
      <c r="G1163" s="76"/>
      <c r="H1163" s="76"/>
    </row>
    <row r="1164" spans="5:8" ht="12.5" x14ac:dyDescent="0.25">
      <c r="E1164" s="76"/>
      <c r="F1164" s="76"/>
      <c r="G1164" s="76"/>
      <c r="H1164" s="76"/>
    </row>
    <row r="1165" spans="5:8" ht="12.5" x14ac:dyDescent="0.25">
      <c r="E1165" s="76"/>
      <c r="F1165" s="76"/>
      <c r="G1165" s="76"/>
      <c r="H1165" s="76"/>
    </row>
    <row r="1166" spans="5:8" ht="12.5" x14ac:dyDescent="0.25">
      <c r="E1166" s="76"/>
      <c r="F1166" s="76"/>
      <c r="G1166" s="76"/>
      <c r="H1166" s="76"/>
    </row>
    <row r="1167" spans="5:8" ht="12.5" x14ac:dyDescent="0.25">
      <c r="E1167" s="76"/>
      <c r="F1167" s="76"/>
      <c r="G1167" s="76"/>
      <c r="H1167" s="76"/>
    </row>
    <row r="1168" spans="5:8" ht="12.5" x14ac:dyDescent="0.25">
      <c r="E1168" s="76"/>
      <c r="F1168" s="76"/>
      <c r="G1168" s="76"/>
      <c r="H1168" s="76"/>
    </row>
    <row r="1169" spans="5:8" ht="12.5" x14ac:dyDescent="0.25">
      <c r="E1169" s="76"/>
      <c r="F1169" s="76"/>
      <c r="G1169" s="76"/>
      <c r="H1169" s="76"/>
    </row>
    <row r="1170" spans="5:8" ht="12.5" x14ac:dyDescent="0.25">
      <c r="E1170" s="76"/>
      <c r="F1170" s="76"/>
      <c r="G1170" s="76"/>
      <c r="H1170" s="76"/>
    </row>
    <row r="1171" spans="5:8" ht="12.5" x14ac:dyDescent="0.25">
      <c r="E1171" s="76"/>
      <c r="F1171" s="76"/>
      <c r="G1171" s="76"/>
      <c r="H1171" s="76"/>
    </row>
    <row r="1172" spans="5:8" ht="12.5" x14ac:dyDescent="0.25">
      <c r="E1172" s="76"/>
      <c r="F1172" s="76"/>
      <c r="G1172" s="76"/>
      <c r="H1172" s="76"/>
    </row>
    <row r="1173" spans="5:8" ht="12.5" x14ac:dyDescent="0.25">
      <c r="E1173" s="76"/>
      <c r="F1173" s="76"/>
      <c r="G1173" s="76"/>
      <c r="H1173" s="76"/>
    </row>
    <row r="1174" spans="5:8" ht="12.5" x14ac:dyDescent="0.25">
      <c r="E1174" s="76"/>
      <c r="F1174" s="76"/>
      <c r="G1174" s="76"/>
      <c r="H1174" s="76"/>
    </row>
    <row r="1175" spans="5:8" ht="12.5" x14ac:dyDescent="0.25">
      <c r="E1175" s="76"/>
      <c r="F1175" s="76"/>
      <c r="G1175" s="76"/>
      <c r="H1175" s="76"/>
    </row>
    <row r="1176" spans="5:8" ht="12.5" x14ac:dyDescent="0.25">
      <c r="E1176" s="76"/>
      <c r="F1176" s="76"/>
      <c r="G1176" s="76"/>
      <c r="H1176" s="76"/>
    </row>
    <row r="1177" spans="5:8" ht="12.5" x14ac:dyDescent="0.25">
      <c r="E1177" s="76"/>
      <c r="F1177" s="76"/>
      <c r="G1177" s="76"/>
      <c r="H1177" s="76"/>
    </row>
    <row r="1178" spans="5:8" ht="12.5" x14ac:dyDescent="0.25">
      <c r="E1178" s="76"/>
      <c r="F1178" s="76"/>
      <c r="G1178" s="76"/>
      <c r="H1178" s="76"/>
    </row>
    <row r="1179" spans="5:8" ht="12.5" x14ac:dyDescent="0.25">
      <c r="E1179" s="76"/>
      <c r="F1179" s="76"/>
      <c r="G1179" s="76"/>
      <c r="H1179" s="76"/>
    </row>
    <row r="1180" spans="5:8" ht="12.5" x14ac:dyDescent="0.25">
      <c r="E1180" s="76"/>
      <c r="F1180" s="76"/>
      <c r="G1180" s="76"/>
      <c r="H1180" s="76"/>
    </row>
    <row r="1181" spans="5:8" ht="12.5" x14ac:dyDescent="0.25">
      <c r="E1181" s="76"/>
      <c r="F1181" s="76"/>
      <c r="G1181" s="76"/>
      <c r="H1181" s="76"/>
    </row>
    <row r="1182" spans="5:8" ht="12.5" x14ac:dyDescent="0.25">
      <c r="E1182" s="76"/>
      <c r="F1182" s="76"/>
      <c r="G1182" s="76"/>
      <c r="H1182" s="76"/>
    </row>
    <row r="1183" spans="5:8" ht="12.5" x14ac:dyDescent="0.25">
      <c r="E1183" s="76"/>
      <c r="F1183" s="76"/>
      <c r="G1183" s="76"/>
      <c r="H1183" s="76"/>
    </row>
    <row r="1184" spans="5:8" ht="12.5" x14ac:dyDescent="0.25">
      <c r="E1184" s="76"/>
      <c r="F1184" s="76"/>
      <c r="G1184" s="76"/>
      <c r="H1184" s="76"/>
    </row>
    <row r="1185" spans="5:8" ht="12.5" x14ac:dyDescent="0.25">
      <c r="E1185" s="76"/>
      <c r="F1185" s="76"/>
      <c r="G1185" s="76"/>
      <c r="H1185" s="76"/>
    </row>
    <row r="1186" spans="5:8" ht="12.5" x14ac:dyDescent="0.25">
      <c r="E1186" s="76"/>
      <c r="F1186" s="76"/>
      <c r="G1186" s="76"/>
      <c r="H1186" s="76"/>
    </row>
    <row r="1187" spans="5:8" ht="12.5" x14ac:dyDescent="0.25">
      <c r="E1187" s="76"/>
      <c r="F1187" s="76"/>
      <c r="G1187" s="76"/>
      <c r="H1187" s="76"/>
    </row>
    <row r="1188" spans="5:8" ht="12.5" x14ac:dyDescent="0.25">
      <c r="E1188" s="76"/>
      <c r="F1188" s="76"/>
      <c r="G1188" s="76"/>
      <c r="H1188" s="76"/>
    </row>
    <row r="1189" spans="5:8" ht="12.5" x14ac:dyDescent="0.25">
      <c r="E1189" s="76"/>
      <c r="F1189" s="76"/>
      <c r="G1189" s="76"/>
      <c r="H1189" s="76"/>
    </row>
    <row r="1190" spans="5:8" ht="12.5" x14ac:dyDescent="0.25">
      <c r="E1190" s="76"/>
      <c r="F1190" s="76"/>
      <c r="G1190" s="76"/>
      <c r="H1190" s="76"/>
    </row>
    <row r="1191" spans="5:8" ht="12.5" x14ac:dyDescent="0.25">
      <c r="E1191" s="76"/>
      <c r="F1191" s="76"/>
      <c r="G1191" s="76"/>
      <c r="H1191" s="76"/>
    </row>
    <row r="1192" spans="5:8" ht="12.5" x14ac:dyDescent="0.25">
      <c r="E1192" s="76"/>
      <c r="F1192" s="76"/>
      <c r="G1192" s="76"/>
      <c r="H1192" s="76"/>
    </row>
    <row r="1193" spans="5:8" ht="12.5" x14ac:dyDescent="0.25">
      <c r="E1193" s="76"/>
      <c r="F1193" s="76"/>
      <c r="G1193" s="76"/>
      <c r="H1193" s="76"/>
    </row>
    <row r="1194" spans="5:8" ht="12.5" x14ac:dyDescent="0.25">
      <c r="E1194" s="76"/>
      <c r="F1194" s="76"/>
      <c r="G1194" s="76"/>
      <c r="H1194" s="76"/>
    </row>
    <row r="1195" spans="5:8" ht="12.5" x14ac:dyDescent="0.25">
      <c r="E1195" s="76"/>
      <c r="F1195" s="76"/>
      <c r="G1195" s="76"/>
      <c r="H1195" s="76"/>
    </row>
    <row r="1196" spans="5:8" ht="12.5" x14ac:dyDescent="0.25">
      <c r="E1196" s="76"/>
      <c r="F1196" s="76"/>
      <c r="G1196" s="76"/>
      <c r="H1196" s="76"/>
    </row>
    <row r="1197" spans="5:8" ht="12.5" x14ac:dyDescent="0.25">
      <c r="E1197" s="76"/>
      <c r="F1197" s="76"/>
      <c r="G1197" s="76"/>
      <c r="H1197" s="76"/>
    </row>
    <row r="1198" spans="5:8" ht="12.5" x14ac:dyDescent="0.25">
      <c r="E1198" s="76"/>
      <c r="F1198" s="76"/>
      <c r="G1198" s="76"/>
      <c r="H1198" s="76"/>
    </row>
    <row r="1199" spans="5:8" ht="12.5" x14ac:dyDescent="0.25">
      <c r="E1199" s="76"/>
      <c r="F1199" s="76"/>
      <c r="G1199" s="76"/>
      <c r="H1199" s="76"/>
    </row>
    <row r="1200" spans="5:8" ht="12.5" x14ac:dyDescent="0.25">
      <c r="E1200" s="76"/>
      <c r="F1200" s="76"/>
      <c r="G1200" s="76"/>
      <c r="H1200" s="76"/>
    </row>
    <row r="1201" spans="5:8" ht="12.5" x14ac:dyDescent="0.25">
      <c r="E1201" s="76"/>
      <c r="F1201" s="76"/>
      <c r="G1201" s="76"/>
      <c r="H1201" s="76"/>
    </row>
    <row r="1202" spans="5:8" ht="12.5" x14ac:dyDescent="0.25">
      <c r="E1202" s="76"/>
      <c r="F1202" s="76"/>
      <c r="G1202" s="76"/>
      <c r="H1202" s="76"/>
    </row>
    <row r="1203" spans="5:8" ht="12.5" x14ac:dyDescent="0.25">
      <c r="E1203" s="76"/>
      <c r="F1203" s="76"/>
      <c r="G1203" s="76"/>
      <c r="H1203" s="76"/>
    </row>
    <row r="1204" spans="5:8" ht="12.5" x14ac:dyDescent="0.25">
      <c r="E1204" s="76"/>
      <c r="F1204" s="76"/>
      <c r="G1204" s="76"/>
      <c r="H1204" s="76"/>
    </row>
    <row r="1205" spans="5:8" ht="12.5" x14ac:dyDescent="0.25">
      <c r="E1205" s="76"/>
      <c r="F1205" s="76"/>
      <c r="G1205" s="76"/>
      <c r="H1205" s="76"/>
    </row>
    <row r="1206" spans="5:8" ht="12.5" x14ac:dyDescent="0.25">
      <c r="E1206" s="76"/>
      <c r="F1206" s="76"/>
      <c r="G1206" s="76"/>
      <c r="H1206" s="76"/>
    </row>
    <row r="1207" spans="5:8" ht="12.5" x14ac:dyDescent="0.25">
      <c r="E1207" s="76"/>
      <c r="F1207" s="76"/>
      <c r="G1207" s="76"/>
      <c r="H1207" s="76"/>
    </row>
    <row r="1208" spans="5:8" ht="12.5" x14ac:dyDescent="0.25">
      <c r="E1208" s="76"/>
      <c r="F1208" s="76"/>
      <c r="G1208" s="76"/>
      <c r="H1208" s="76"/>
    </row>
    <row r="1209" spans="5:8" ht="12.5" x14ac:dyDescent="0.25">
      <c r="E1209" s="76"/>
      <c r="F1209" s="76"/>
      <c r="G1209" s="76"/>
      <c r="H1209" s="76"/>
    </row>
    <row r="1210" spans="5:8" ht="12.5" x14ac:dyDescent="0.25">
      <c r="E1210" s="76"/>
      <c r="F1210" s="76"/>
      <c r="G1210" s="76"/>
      <c r="H1210" s="76"/>
    </row>
    <row r="1211" spans="5:8" ht="12.5" x14ac:dyDescent="0.25">
      <c r="E1211" s="76"/>
      <c r="F1211" s="76"/>
      <c r="G1211" s="76"/>
      <c r="H1211" s="76"/>
    </row>
    <row r="1212" spans="5:8" ht="12.5" x14ac:dyDescent="0.25">
      <c r="E1212" s="76"/>
      <c r="F1212" s="76"/>
      <c r="G1212" s="76"/>
      <c r="H1212" s="76"/>
    </row>
    <row r="1213" spans="5:8" ht="12.5" x14ac:dyDescent="0.25">
      <c r="E1213" s="76"/>
      <c r="F1213" s="76"/>
      <c r="G1213" s="76"/>
      <c r="H1213" s="76"/>
    </row>
    <row r="1214" spans="5:8" ht="12.5" x14ac:dyDescent="0.25">
      <c r="E1214" s="76"/>
      <c r="F1214" s="76"/>
      <c r="G1214" s="76"/>
      <c r="H1214" s="76"/>
    </row>
    <row r="1215" spans="5:8" ht="12.5" x14ac:dyDescent="0.25">
      <c r="E1215" s="76"/>
      <c r="F1215" s="76"/>
      <c r="G1215" s="76"/>
      <c r="H1215" s="76"/>
    </row>
    <row r="1216" spans="5:8" ht="12.5" x14ac:dyDescent="0.25">
      <c r="E1216" s="76"/>
      <c r="F1216" s="76"/>
      <c r="G1216" s="76"/>
      <c r="H1216" s="76"/>
    </row>
    <row r="1217" spans="5:8" ht="12.5" x14ac:dyDescent="0.25">
      <c r="E1217" s="76"/>
      <c r="F1217" s="76"/>
      <c r="G1217" s="76"/>
      <c r="H1217" s="76"/>
    </row>
    <row r="1218" spans="5:8" ht="12.5" x14ac:dyDescent="0.25">
      <c r="E1218" s="76"/>
      <c r="F1218" s="76"/>
      <c r="G1218" s="76"/>
      <c r="H1218" s="76"/>
    </row>
    <row r="1219" spans="5:8" ht="12.5" x14ac:dyDescent="0.25">
      <c r="E1219" s="76"/>
      <c r="F1219" s="76"/>
      <c r="G1219" s="76"/>
      <c r="H1219" s="76"/>
    </row>
    <row r="1220" spans="5:8" ht="12.5" x14ac:dyDescent="0.25">
      <c r="E1220" s="76"/>
      <c r="F1220" s="76"/>
      <c r="G1220" s="76"/>
      <c r="H1220" s="76"/>
    </row>
    <row r="1221" spans="5:8" ht="12.5" x14ac:dyDescent="0.25">
      <c r="E1221" s="76"/>
      <c r="F1221" s="76"/>
      <c r="G1221" s="76"/>
      <c r="H1221" s="76"/>
    </row>
    <row r="1222" spans="5:8" ht="12.5" x14ac:dyDescent="0.25">
      <c r="E1222" s="76"/>
      <c r="F1222" s="76"/>
      <c r="G1222" s="76"/>
      <c r="H1222" s="76"/>
    </row>
    <row r="1223" spans="5:8" ht="12.5" x14ac:dyDescent="0.25">
      <c r="E1223" s="76"/>
      <c r="F1223" s="76"/>
      <c r="G1223" s="76"/>
      <c r="H1223" s="76"/>
    </row>
    <row r="1224" spans="5:8" ht="12.5" x14ac:dyDescent="0.25">
      <c r="E1224" s="76"/>
      <c r="F1224" s="76"/>
      <c r="G1224" s="76"/>
      <c r="H1224" s="76"/>
    </row>
    <row r="1225" spans="5:8" ht="12.5" x14ac:dyDescent="0.25">
      <c r="E1225" s="76"/>
      <c r="F1225" s="76"/>
      <c r="G1225" s="76"/>
      <c r="H1225" s="76"/>
    </row>
    <row r="1226" spans="5:8" ht="12.5" x14ac:dyDescent="0.25">
      <c r="E1226" s="76"/>
      <c r="F1226" s="76"/>
      <c r="G1226" s="76"/>
      <c r="H1226" s="76"/>
    </row>
    <row r="1227" spans="5:8" ht="12.5" x14ac:dyDescent="0.25">
      <c r="E1227" s="76"/>
      <c r="F1227" s="76"/>
      <c r="G1227" s="76"/>
      <c r="H1227" s="76"/>
    </row>
    <row r="1228" spans="5:8" ht="12.5" x14ac:dyDescent="0.25">
      <c r="E1228" s="76"/>
      <c r="F1228" s="76"/>
      <c r="G1228" s="76"/>
      <c r="H1228" s="76"/>
    </row>
    <row r="1229" spans="5:8" ht="12.5" x14ac:dyDescent="0.25">
      <c r="E1229" s="76"/>
      <c r="F1229" s="76"/>
      <c r="G1229" s="76"/>
      <c r="H1229" s="76"/>
    </row>
    <row r="1230" spans="5:8" ht="12.5" x14ac:dyDescent="0.25">
      <c r="E1230" s="76"/>
      <c r="F1230" s="76"/>
      <c r="G1230" s="76"/>
      <c r="H1230" s="76"/>
    </row>
    <row r="1231" spans="5:8" ht="12.5" x14ac:dyDescent="0.25">
      <c r="E1231" s="76"/>
      <c r="F1231" s="76"/>
      <c r="G1231" s="76"/>
      <c r="H1231" s="76"/>
    </row>
    <row r="1232" spans="5:8" ht="12.5" x14ac:dyDescent="0.25">
      <c r="E1232" s="76"/>
      <c r="F1232" s="76"/>
      <c r="G1232" s="76"/>
      <c r="H1232" s="76"/>
    </row>
    <row r="1233" spans="5:8" ht="12.5" x14ac:dyDescent="0.25">
      <c r="E1233" s="76"/>
      <c r="F1233" s="76"/>
      <c r="G1233" s="76"/>
      <c r="H1233" s="76"/>
    </row>
    <row r="1234" spans="5:8" ht="12.5" x14ac:dyDescent="0.25">
      <c r="E1234" s="76"/>
      <c r="F1234" s="76"/>
      <c r="G1234" s="76"/>
      <c r="H1234" s="76"/>
    </row>
    <row r="1235" spans="5:8" ht="12.5" x14ac:dyDescent="0.25">
      <c r="E1235" s="76"/>
      <c r="F1235" s="76"/>
      <c r="G1235" s="76"/>
      <c r="H1235" s="76"/>
    </row>
    <row r="1236" spans="5:8" ht="12.5" x14ac:dyDescent="0.25">
      <c r="E1236" s="76"/>
      <c r="F1236" s="76"/>
      <c r="G1236" s="76"/>
      <c r="H1236" s="76"/>
    </row>
    <row r="1237" spans="5:8" ht="12.5" x14ac:dyDescent="0.25">
      <c r="E1237" s="76"/>
      <c r="F1237" s="76"/>
      <c r="G1237" s="76"/>
      <c r="H1237" s="76"/>
    </row>
    <row r="1238" spans="5:8" ht="12.5" x14ac:dyDescent="0.25">
      <c r="E1238" s="76"/>
      <c r="F1238" s="76"/>
      <c r="G1238" s="76"/>
      <c r="H1238" s="76"/>
    </row>
    <row r="1239" spans="5:8" ht="12.5" x14ac:dyDescent="0.25">
      <c r="E1239" s="76"/>
      <c r="F1239" s="76"/>
      <c r="G1239" s="76"/>
      <c r="H1239" s="76"/>
    </row>
    <row r="1240" spans="5:8" ht="12.5" x14ac:dyDescent="0.25">
      <c r="E1240" s="76"/>
      <c r="F1240" s="76"/>
      <c r="G1240" s="76"/>
      <c r="H1240" s="76"/>
    </row>
    <row r="1241" spans="5:8" ht="12.5" x14ac:dyDescent="0.25">
      <c r="E1241" s="76"/>
      <c r="F1241" s="76"/>
      <c r="G1241" s="76"/>
      <c r="H1241" s="76"/>
    </row>
    <row r="1242" spans="5:8" ht="12.5" x14ac:dyDescent="0.25">
      <c r="E1242" s="76"/>
      <c r="F1242" s="76"/>
      <c r="G1242" s="76"/>
      <c r="H1242" s="76"/>
    </row>
    <row r="1243" spans="5:8" ht="12.5" x14ac:dyDescent="0.25">
      <c r="E1243" s="76"/>
      <c r="F1243" s="76"/>
      <c r="G1243" s="76"/>
      <c r="H1243" s="76"/>
    </row>
    <row r="1244" spans="5:8" ht="12.5" x14ac:dyDescent="0.25">
      <c r="E1244" s="76"/>
      <c r="F1244" s="76"/>
      <c r="G1244" s="76"/>
      <c r="H1244" s="76"/>
    </row>
    <row r="1245" spans="5:8" ht="12.5" x14ac:dyDescent="0.25">
      <c r="E1245" s="76"/>
      <c r="F1245" s="76"/>
      <c r="G1245" s="76"/>
      <c r="H1245" s="76"/>
    </row>
    <row r="1246" spans="5:8" ht="12.5" x14ac:dyDescent="0.25">
      <c r="E1246" s="76"/>
      <c r="F1246" s="76"/>
      <c r="G1246" s="76"/>
      <c r="H1246" s="76"/>
    </row>
    <row r="1247" spans="5:8" ht="12.5" x14ac:dyDescent="0.25">
      <c r="E1247" s="76"/>
      <c r="F1247" s="76"/>
      <c r="G1247" s="76"/>
      <c r="H1247" s="76"/>
    </row>
    <row r="1248" spans="5:8" ht="12.5" x14ac:dyDescent="0.25">
      <c r="E1248" s="76"/>
      <c r="F1248" s="76"/>
      <c r="G1248" s="76"/>
      <c r="H1248" s="76"/>
    </row>
    <row r="1249" spans="5:8" ht="12.5" x14ac:dyDescent="0.25">
      <c r="E1249" s="76"/>
      <c r="F1249" s="76"/>
      <c r="G1249" s="76"/>
      <c r="H1249" s="76"/>
    </row>
    <row r="1250" spans="5:8" ht="12.5" x14ac:dyDescent="0.25">
      <c r="E1250" s="76"/>
      <c r="F1250" s="76"/>
      <c r="G1250" s="76"/>
      <c r="H1250" s="76"/>
    </row>
    <row r="1251" spans="5:8" ht="12.5" x14ac:dyDescent="0.25">
      <c r="E1251" s="76"/>
      <c r="F1251" s="76"/>
      <c r="G1251" s="76"/>
      <c r="H1251" s="76"/>
    </row>
    <row r="1252" spans="5:8" ht="12.5" x14ac:dyDescent="0.25">
      <c r="E1252" s="76"/>
      <c r="F1252" s="76"/>
      <c r="G1252" s="76"/>
      <c r="H1252" s="76"/>
    </row>
    <row r="1253" spans="5:8" ht="12.5" x14ac:dyDescent="0.25">
      <c r="E1253" s="76"/>
      <c r="F1253" s="76"/>
      <c r="G1253" s="76"/>
      <c r="H1253" s="76"/>
    </row>
    <row r="1254" spans="5:8" ht="12.5" x14ac:dyDescent="0.25">
      <c r="E1254" s="76"/>
      <c r="F1254" s="76"/>
      <c r="G1254" s="76"/>
      <c r="H1254" s="76"/>
    </row>
    <row r="1255" spans="5:8" ht="12.5" x14ac:dyDescent="0.25">
      <c r="E1255" s="76"/>
      <c r="F1255" s="76"/>
      <c r="G1255" s="76"/>
      <c r="H1255" s="76"/>
    </row>
    <row r="1256" spans="5:8" ht="12.5" x14ac:dyDescent="0.25">
      <c r="E1256" s="76"/>
      <c r="F1256" s="76"/>
      <c r="G1256" s="76"/>
      <c r="H1256" s="76"/>
    </row>
    <row r="1257" spans="5:8" ht="12.5" x14ac:dyDescent="0.25">
      <c r="E1257" s="76"/>
      <c r="F1257" s="76"/>
      <c r="G1257" s="76"/>
      <c r="H1257" s="76"/>
    </row>
    <row r="1258" spans="5:8" ht="12.5" x14ac:dyDescent="0.25">
      <c r="E1258" s="76"/>
      <c r="F1258" s="76"/>
      <c r="G1258" s="76"/>
      <c r="H1258" s="76"/>
    </row>
    <row r="1259" spans="5:8" ht="12.5" x14ac:dyDescent="0.25">
      <c r="E1259" s="76"/>
      <c r="F1259" s="76"/>
      <c r="G1259" s="76"/>
      <c r="H1259" s="76"/>
    </row>
    <row r="1260" spans="5:8" ht="12.5" x14ac:dyDescent="0.25">
      <c r="E1260" s="76"/>
      <c r="F1260" s="76"/>
      <c r="G1260" s="76"/>
      <c r="H1260" s="76"/>
    </row>
    <row r="1261" spans="5:8" ht="12.5" x14ac:dyDescent="0.25">
      <c r="E1261" s="76"/>
      <c r="F1261" s="76"/>
      <c r="G1261" s="76"/>
      <c r="H1261" s="76"/>
    </row>
    <row r="1262" spans="5:8" ht="12.5" x14ac:dyDescent="0.25">
      <c r="E1262" s="76"/>
      <c r="F1262" s="76"/>
      <c r="G1262" s="76"/>
      <c r="H1262" s="76"/>
    </row>
    <row r="1263" spans="5:8" ht="12.5" x14ac:dyDescent="0.25">
      <c r="E1263" s="76"/>
      <c r="F1263" s="76"/>
      <c r="G1263" s="76"/>
      <c r="H1263" s="76"/>
    </row>
    <row r="1264" spans="5:8" ht="12.5" x14ac:dyDescent="0.25">
      <c r="E1264" s="76"/>
      <c r="F1264" s="76"/>
      <c r="G1264" s="76"/>
      <c r="H1264" s="76"/>
    </row>
    <row r="1265" spans="5:8" ht="12.5" x14ac:dyDescent="0.25">
      <c r="E1265" s="76"/>
      <c r="F1265" s="76"/>
      <c r="G1265" s="76"/>
      <c r="H1265" s="76"/>
    </row>
    <row r="1266" spans="5:8" ht="12.5" x14ac:dyDescent="0.25">
      <c r="E1266" s="76"/>
      <c r="F1266" s="76"/>
      <c r="G1266" s="76"/>
      <c r="H1266" s="76"/>
    </row>
    <row r="1267" spans="5:8" ht="12.5" x14ac:dyDescent="0.25">
      <c r="E1267" s="76"/>
      <c r="F1267" s="76"/>
      <c r="G1267" s="76"/>
      <c r="H1267" s="76"/>
    </row>
    <row r="1268" spans="5:8" ht="12.5" x14ac:dyDescent="0.25">
      <c r="E1268" s="76"/>
      <c r="F1268" s="76"/>
      <c r="G1268" s="76"/>
      <c r="H1268" s="76"/>
    </row>
    <row r="1269" spans="5:8" ht="12.5" x14ac:dyDescent="0.25">
      <c r="E1269" s="76"/>
      <c r="F1269" s="76"/>
      <c r="G1269" s="76"/>
      <c r="H1269" s="76"/>
    </row>
    <row r="1270" spans="5:8" ht="12.5" x14ac:dyDescent="0.25">
      <c r="E1270" s="76"/>
      <c r="F1270" s="76"/>
      <c r="G1270" s="76"/>
      <c r="H1270" s="76"/>
    </row>
    <row r="1271" spans="5:8" ht="12.5" x14ac:dyDescent="0.25">
      <c r="E1271" s="76"/>
      <c r="F1271" s="76"/>
      <c r="G1271" s="76"/>
      <c r="H1271" s="76"/>
    </row>
    <row r="1272" spans="5:8" ht="12.5" x14ac:dyDescent="0.25">
      <c r="E1272" s="76"/>
      <c r="F1272" s="76"/>
      <c r="G1272" s="76"/>
      <c r="H1272" s="76"/>
    </row>
    <row r="1273" spans="5:8" ht="12.5" x14ac:dyDescent="0.25">
      <c r="E1273" s="76"/>
      <c r="F1273" s="76"/>
      <c r="G1273" s="76"/>
      <c r="H1273" s="76"/>
    </row>
    <row r="1274" spans="5:8" ht="12.5" x14ac:dyDescent="0.25">
      <c r="E1274" s="76"/>
      <c r="F1274" s="76"/>
      <c r="G1274" s="76"/>
      <c r="H1274" s="76"/>
    </row>
    <row r="1275" spans="5:8" ht="12.5" x14ac:dyDescent="0.25">
      <c r="E1275" s="76"/>
      <c r="F1275" s="76"/>
      <c r="G1275" s="76"/>
      <c r="H1275" s="76"/>
    </row>
    <row r="1276" spans="5:8" ht="12.5" x14ac:dyDescent="0.25">
      <c r="E1276" s="76"/>
      <c r="F1276" s="76"/>
      <c r="G1276" s="76"/>
      <c r="H1276" s="76"/>
    </row>
    <row r="1277" spans="5:8" ht="12.5" x14ac:dyDescent="0.25">
      <c r="E1277" s="76"/>
      <c r="F1277" s="76"/>
      <c r="G1277" s="76"/>
      <c r="H1277" s="76"/>
    </row>
    <row r="1278" spans="5:8" ht="12.5" x14ac:dyDescent="0.25">
      <c r="E1278" s="76"/>
      <c r="F1278" s="76"/>
      <c r="G1278" s="76"/>
      <c r="H1278" s="76"/>
    </row>
    <row r="1279" spans="5:8" ht="12.5" x14ac:dyDescent="0.25">
      <c r="E1279" s="76"/>
      <c r="F1279" s="76"/>
      <c r="G1279" s="76"/>
      <c r="H1279" s="76"/>
    </row>
    <row r="1280" spans="5:8" ht="12.5" x14ac:dyDescent="0.25">
      <c r="E1280" s="76"/>
      <c r="F1280" s="76"/>
      <c r="G1280" s="76"/>
      <c r="H1280" s="76"/>
    </row>
    <row r="1281" spans="5:8" ht="12.5" x14ac:dyDescent="0.25">
      <c r="E1281" s="76"/>
      <c r="F1281" s="76"/>
      <c r="G1281" s="76"/>
      <c r="H1281" s="76"/>
    </row>
    <row r="1282" spans="5:8" ht="12.5" x14ac:dyDescent="0.25">
      <c r="E1282" s="76"/>
      <c r="F1282" s="76"/>
      <c r="G1282" s="76"/>
      <c r="H1282" s="76"/>
    </row>
    <row r="1283" spans="5:8" ht="12.5" x14ac:dyDescent="0.25">
      <c r="E1283" s="76"/>
      <c r="F1283" s="76"/>
      <c r="G1283" s="76"/>
      <c r="H1283" s="76"/>
    </row>
    <row r="1284" spans="5:8" ht="12.5" x14ac:dyDescent="0.25">
      <c r="E1284" s="76"/>
      <c r="F1284" s="76"/>
      <c r="G1284" s="76"/>
      <c r="H1284" s="76"/>
    </row>
    <row r="1285" spans="5:8" ht="12.5" x14ac:dyDescent="0.25">
      <c r="E1285" s="76"/>
      <c r="F1285" s="76"/>
      <c r="G1285" s="76"/>
      <c r="H1285" s="76"/>
    </row>
    <row r="1286" spans="5:8" ht="12.5" x14ac:dyDescent="0.25">
      <c r="E1286" s="76"/>
      <c r="F1286" s="76"/>
      <c r="G1286" s="76"/>
      <c r="H1286" s="76"/>
    </row>
    <row r="1287" spans="5:8" ht="12.5" x14ac:dyDescent="0.25">
      <c r="E1287" s="76"/>
      <c r="F1287" s="76"/>
      <c r="G1287" s="76"/>
      <c r="H1287" s="76"/>
    </row>
    <row r="1288" spans="5:8" ht="12.5" x14ac:dyDescent="0.25">
      <c r="E1288" s="76"/>
      <c r="F1288" s="76"/>
      <c r="G1288" s="76"/>
      <c r="H1288" s="76"/>
    </row>
    <row r="1289" spans="5:8" ht="12.5" x14ac:dyDescent="0.25">
      <c r="E1289" s="76"/>
      <c r="F1289" s="76"/>
      <c r="G1289" s="76"/>
      <c r="H1289" s="76"/>
    </row>
    <row r="1290" spans="5:8" ht="12.5" x14ac:dyDescent="0.25">
      <c r="E1290" s="76"/>
      <c r="F1290" s="76"/>
      <c r="G1290" s="76"/>
      <c r="H1290" s="76"/>
    </row>
    <row r="1291" spans="5:8" ht="12.5" x14ac:dyDescent="0.25">
      <c r="E1291" s="76"/>
      <c r="F1291" s="76"/>
      <c r="G1291" s="76"/>
      <c r="H1291" s="76"/>
    </row>
    <row r="1292" spans="5:8" ht="12.5" x14ac:dyDescent="0.25">
      <c r="E1292" s="76"/>
      <c r="F1292" s="76"/>
      <c r="G1292" s="76"/>
      <c r="H1292" s="76"/>
    </row>
    <row r="1293" spans="5:8" ht="12.5" x14ac:dyDescent="0.25">
      <c r="E1293" s="76"/>
      <c r="F1293" s="76"/>
      <c r="G1293" s="76"/>
      <c r="H1293" s="76"/>
    </row>
    <row r="1294" spans="5:8" ht="12.5" x14ac:dyDescent="0.25">
      <c r="E1294" s="76"/>
      <c r="F1294" s="76"/>
      <c r="G1294" s="76"/>
      <c r="H1294" s="76"/>
    </row>
    <row r="1295" spans="5:8" ht="12.5" x14ac:dyDescent="0.25">
      <c r="E1295" s="76"/>
      <c r="F1295" s="76"/>
      <c r="G1295" s="76"/>
      <c r="H1295" s="76"/>
    </row>
    <row r="1296" spans="5:8" ht="12.5" x14ac:dyDescent="0.25">
      <c r="E1296" s="76"/>
      <c r="F1296" s="76"/>
      <c r="G1296" s="76"/>
      <c r="H1296" s="76"/>
    </row>
    <row r="1297" spans="5:8" ht="12.5" x14ac:dyDescent="0.25">
      <c r="E1297" s="76"/>
      <c r="F1297" s="76"/>
      <c r="G1297" s="76"/>
      <c r="H1297" s="76"/>
    </row>
    <row r="1298" spans="5:8" ht="12.5" x14ac:dyDescent="0.25">
      <c r="E1298" s="76"/>
      <c r="F1298" s="76"/>
      <c r="G1298" s="76"/>
      <c r="H1298" s="7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B2:N180"/>
  <sheetViews>
    <sheetView showGridLines="0" workbookViewId="0"/>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2" max="12" width="7.6328125" customWidth="1"/>
    <col min="13" max="13" width="3" customWidth="1"/>
    <col min="14" max="14" width="37" customWidth="1"/>
  </cols>
  <sheetData>
    <row r="2" spans="2:14" ht="15.75" customHeight="1" x14ac:dyDescent="0.25">
      <c r="C2" s="24" t="s">
        <v>294</v>
      </c>
    </row>
    <row r="4" spans="2:14" ht="15.75" customHeight="1" x14ac:dyDescent="0.25">
      <c r="B4" s="84"/>
      <c r="C4" s="85"/>
      <c r="D4" s="85"/>
      <c r="E4" s="85"/>
      <c r="F4" s="85"/>
      <c r="G4" s="85"/>
      <c r="H4" s="85"/>
      <c r="I4" s="85"/>
      <c r="J4" s="85"/>
      <c r="K4" s="85"/>
      <c r="L4" s="85"/>
      <c r="M4" s="85"/>
      <c r="N4" s="86" t="s">
        <v>274</v>
      </c>
    </row>
    <row r="5" spans="2:14" x14ac:dyDescent="0.3">
      <c r="B5" s="87"/>
      <c r="C5" s="88" t="s">
        <v>295</v>
      </c>
      <c r="D5" s="89"/>
      <c r="E5" s="89"/>
      <c r="N5" s="307" t="e">
        <f ca="1">callGemini("Analiza los datos proporcionados, que muestran los niveles de logro en "&amp;$C$2&amp;" de los estudiantes de la red rural "&amp;D7&amp;"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Sin no hay datos validos para 2022 toma los datos de 2023.  
2. **Comparación con años anteriores:**  
   - Calcula el cambio porcentual de 'Logro esperado' comparado con 2023 y 2022.  
   - Destaca la **movilización de estudiantes** "&amp;"desde el nivel 'Inicio' hacia 'Proceso'.  
   - Usa la fórmula: **(Porcentaje de 2024) - (Porcentaje del año anterior)** para obtener los cambios.  
   - Redondea los valores porcentuales a **números enteros (sin decimales)**.  
3. **Estructura de la res"&amp;"puesta:**  
   - Usa una narrativa clara y directa, similar al siguiente **EJEMPLO:**  
   *Ejemplo:*  
   *En el año 2024, los niveles de logro en "&amp;$C$2&amp;" de los estudiantes de la red "&amp;MID(D7,1,2)&amp;" sector rural de la región '"&amp;MID(D7,4,20)&amp;"'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crearJSONdesdeTabla(C12:F15,0))</f>
        <v>#NAME?</v>
      </c>
    </row>
    <row r="6" spans="2:14" x14ac:dyDescent="0.3">
      <c r="B6" s="87"/>
      <c r="C6" s="90" t="s">
        <v>296</v>
      </c>
      <c r="D6" s="310" t="s">
        <v>297</v>
      </c>
      <c r="E6" s="311"/>
      <c r="F6" s="24" t="str">
        <f t="shared" ref="F6:F8" si="0">IF(D6="*","Todos","")</f>
        <v>Todos</v>
      </c>
      <c r="I6" s="91"/>
      <c r="J6" s="91"/>
      <c r="K6" s="91"/>
      <c r="L6" s="91"/>
      <c r="M6" s="91"/>
      <c r="N6" s="308"/>
    </row>
    <row r="7" spans="2:14" x14ac:dyDescent="0.3">
      <c r="B7" s="87"/>
      <c r="C7" s="90" t="s">
        <v>298</v>
      </c>
      <c r="D7" s="310" t="s">
        <v>89</v>
      </c>
      <c r="E7" s="311"/>
      <c r="F7" s="24" t="str">
        <f t="shared" si="0"/>
        <v/>
      </c>
      <c r="I7" s="24"/>
      <c r="J7" s="24"/>
      <c r="K7" s="24"/>
      <c r="L7" s="24"/>
      <c r="N7" s="308"/>
    </row>
    <row r="8" spans="2:14" x14ac:dyDescent="0.3">
      <c r="B8" s="87"/>
      <c r="C8" s="90" t="s">
        <v>6</v>
      </c>
      <c r="D8" s="310" t="s">
        <v>297</v>
      </c>
      <c r="E8" s="311"/>
      <c r="F8" s="24" t="str">
        <f t="shared" si="0"/>
        <v>Todos</v>
      </c>
      <c r="I8" s="91"/>
      <c r="J8" s="91"/>
      <c r="K8" s="91"/>
      <c r="L8" s="91"/>
      <c r="M8" s="91"/>
      <c r="N8" s="308"/>
    </row>
    <row r="9" spans="2:14" ht="15.75" customHeight="1" x14ac:dyDescent="0.25">
      <c r="B9" s="87"/>
      <c r="I9" s="91"/>
      <c r="J9" s="91"/>
      <c r="K9" s="91"/>
      <c r="L9" s="91"/>
      <c r="M9" s="91"/>
      <c r="N9" s="308"/>
    </row>
    <row r="10" spans="2:14" ht="15.75" customHeight="1" x14ac:dyDescent="0.25">
      <c r="B10" s="87"/>
      <c r="I10" s="91"/>
      <c r="J10" s="91"/>
      <c r="K10" s="91"/>
      <c r="N10" s="308"/>
    </row>
    <row r="11" spans="2:14" x14ac:dyDescent="0.3">
      <c r="B11" s="87"/>
      <c r="C11" s="92"/>
      <c r="D11" s="93"/>
      <c r="E11" s="93"/>
      <c r="F11" s="93"/>
      <c r="I11" s="91"/>
      <c r="J11" s="91"/>
      <c r="K11" s="91"/>
      <c r="N11" s="308"/>
    </row>
    <row r="12" spans="2:14" x14ac:dyDescent="0.3">
      <c r="B12" s="87"/>
      <c r="C12" s="94" t="s">
        <v>300</v>
      </c>
      <c r="D12" s="95">
        <v>2022</v>
      </c>
      <c r="E12" s="95">
        <v>2023</v>
      </c>
      <c r="F12" s="95">
        <v>2024</v>
      </c>
      <c r="I12" s="91"/>
      <c r="J12" s="91"/>
      <c r="K12" s="91"/>
      <c r="L12" s="91"/>
      <c r="M12" s="91"/>
      <c r="N12" s="308"/>
    </row>
    <row r="13" spans="2:14" ht="15.75" customHeight="1" x14ac:dyDescent="0.25">
      <c r="B13" s="87"/>
      <c r="C13" s="24" t="s">
        <v>19</v>
      </c>
      <c r="D13" s="83" t="e">
        <f>COUNTIFS(DATA!$G$2:$G192,D8,DATA!$D$2:$D192,D6,DATA!$B$2:$B192,D7,DATA!$I$2:$I192,D$12,DATA!$H$2:$H192,$C13)/
COUNTIFS(DATA!$G$2:$G192,D8,DATA!$D$2:$D192,D6,DATA!$B$2:$B192,D7,DATA!$I$2:$I192,D$12,DATA!$H$2:$H192,"&lt;&gt;-")</f>
        <v>#DIV/0!</v>
      </c>
      <c r="E13" s="83" t="e">
        <f>COUNTIFS(DATA!$G$2:$G192,D8,DATA!$D$2:$D192,D6,DATA!$B$2:$B192,D7,DATA!$I$2:$I192,E$12,DATA!$H$2:$H192,$C13)/
COUNTIFS(DATA!$G$2:$G192,D8,DATA!$D$2:$D192,D6,DATA!$B$2:$B192,D7,DATA!$I$2:$I192,E$12,DATA!$H$2:$H192,"&lt;&gt;-")</f>
        <v>#DIV/0!</v>
      </c>
      <c r="F13" s="83" t="e">
        <f>COUNTIFS(DATA!$G$2:$G192,D8,DATA!$D$2:$D192,D6,DATA!$B$2:$B192,D7,DATA!$I$2:$I192,F$12,DATA!$H$2:$H192,$C13)/
COUNTIFS(DATA!$G$2:$G192,D8,DATA!$D$2:$D192,D6,DATA!$B$2:$B192,D7,DATA!$I$2:$I192,F$12,DATA!$H$2:$H192,"&lt;&gt;-")</f>
        <v>#DIV/0!</v>
      </c>
      <c r="I13" s="91"/>
      <c r="J13" s="91"/>
      <c r="K13" s="91"/>
      <c r="L13" s="91"/>
      <c r="M13" s="91"/>
      <c r="N13" s="308"/>
    </row>
    <row r="14" spans="2:14" ht="15.75" customHeight="1" x14ac:dyDescent="0.25">
      <c r="B14" s="87"/>
      <c r="C14" s="24" t="s">
        <v>23</v>
      </c>
      <c r="D14" s="83" t="e">
        <f>COUNTIFS(DATA!$G$2:$G192,D8,DATA!$D$2:$D192,D6,DATA!$B$2:$B192,D7,DATA!$I$2:$I192,D$12,DATA!$H$2:$H192,$C14)/
COUNTIFS(DATA!$G$2:$G192,D8,DATA!$D$2:$D192,D6,DATA!$B$2:$B192,D7,DATA!$I$2:$I192,D$12,DATA!$H$2:$H192,"&lt;&gt;-")</f>
        <v>#DIV/0!</v>
      </c>
      <c r="E14" s="83" t="e">
        <f>COUNTIFS(DATA!$G$2:$G192,D8,DATA!$D$2:$D192,D6,DATA!$B$2:$B192,D7,DATA!$I$2:$I192,E$12,DATA!$H$2:$H192,$C14)/
COUNTIFS(DATA!$G$2:$G192,D8,DATA!$D$2:$D192,D6,DATA!$B$2:$B192,D7,DATA!$I$2:$I192,E$12,DATA!$H$2:$H192,"&lt;&gt;-")</f>
        <v>#DIV/0!</v>
      </c>
      <c r="F14" s="83" t="e">
        <f>COUNTIFS(DATA!$G$2:$G192,D8,DATA!$D$2:$D192,D6,DATA!$B$2:$B192,D7,DATA!$I$2:$I192,F$12,DATA!$H$2:$H192,$C14)/
COUNTIFS(DATA!$G$2:$G192,D8,DATA!$D$2:$D192,D6,DATA!$B$2:$B192,D7,DATA!$I$2:$I192,F$12,DATA!$H$2:$H192,"&lt;&gt;-")</f>
        <v>#DIV/0!</v>
      </c>
      <c r="I14" s="91"/>
      <c r="J14" s="91"/>
      <c r="K14" s="91"/>
      <c r="L14" s="91"/>
      <c r="M14" s="91"/>
      <c r="N14" s="308"/>
    </row>
    <row r="15" spans="2:14" ht="15.75" customHeight="1" x14ac:dyDescent="0.25">
      <c r="B15" s="87"/>
      <c r="C15" s="24" t="s">
        <v>25</v>
      </c>
      <c r="D15" s="83" t="e">
        <f>COUNTIFS(DATA!$G$2:$G192,D8,DATA!$D$2:$D192,D6,DATA!$B$2:$B192,D7,DATA!$I$2:$I192,D$12,DATA!$H$2:$H192,$C15)/
COUNTIFS(DATA!$G$2:$G192,D8,DATA!$D$2:$D192,D6,DATA!$B$2:$B192,D7,DATA!$I$2:$I192,D$12,DATA!$H$2:$H192,"&lt;&gt;-")</f>
        <v>#DIV/0!</v>
      </c>
      <c r="E15" s="83" t="e">
        <f>COUNTIFS(DATA!$G$2:$G192,D8,DATA!$D$2:$D192,D6,DATA!$B$2:$B192,D7,DATA!$I$2:$I192,E$12,DATA!$H$2:$H192,$C15)/
COUNTIFS(DATA!$G$2:$G192,D8,DATA!$D$2:$D192,D6,DATA!$B$2:$B192,D7,DATA!$I$2:$I192,E$12,DATA!$H$2:$H192,"&lt;&gt;-")</f>
        <v>#DIV/0!</v>
      </c>
      <c r="F15" s="83" t="e">
        <f>COUNTIFS(DATA!$G$2:$G192,D8,DATA!$D$2:$D192,D6,DATA!$B$2:$B192,D7,DATA!$I$2:$I192,F$12,DATA!$H$2:$H192,$C15)/
COUNTIFS(DATA!$G$2:$G192,D8,DATA!$D$2:$D192,D6,DATA!$B$2:$B192,D7,DATA!$I$2:$I192,F$12,DATA!$H$2:$H192,"&lt;&gt;-")</f>
        <v>#DIV/0!</v>
      </c>
      <c r="N15" s="308"/>
    </row>
    <row r="16" spans="2:14" x14ac:dyDescent="0.3">
      <c r="B16" s="87"/>
      <c r="C16" s="96" t="s">
        <v>275</v>
      </c>
      <c r="D16" s="97" t="e">
        <f t="shared" ref="D16:F16" si="1">SUM(D13:D15)</f>
        <v>#DIV/0!</v>
      </c>
      <c r="E16" s="97" t="e">
        <f t="shared" si="1"/>
        <v>#DIV/0!</v>
      </c>
      <c r="F16" s="97" t="e">
        <f t="shared" si="1"/>
        <v>#DIV/0!</v>
      </c>
      <c r="N16" s="308"/>
    </row>
    <row r="17" spans="2:14" ht="15.75" customHeight="1" x14ac:dyDescent="0.25">
      <c r="B17" s="87"/>
      <c r="C17" s="24"/>
      <c r="D17" s="91"/>
      <c r="E17" s="91"/>
      <c r="F17" s="91"/>
      <c r="G17" s="24"/>
      <c r="H17" s="24"/>
      <c r="N17" s="308"/>
    </row>
    <row r="18" spans="2:14" ht="12.5" x14ac:dyDescent="0.25">
      <c r="B18" s="87"/>
      <c r="C18" s="367" t="s">
        <v>1</v>
      </c>
      <c r="D18" s="368" t="s">
        <v>89</v>
      </c>
      <c r="E18" s="91"/>
      <c r="F18" s="91"/>
      <c r="G18" s="24"/>
      <c r="H18" s="24"/>
      <c r="N18" s="308"/>
    </row>
    <row r="19" spans="2:14" x14ac:dyDescent="0.3">
      <c r="B19" s="87"/>
      <c r="D19" s="99"/>
      <c r="G19" s="24"/>
      <c r="H19" s="24"/>
      <c r="N19" s="308"/>
    </row>
    <row r="20" spans="2:14" ht="15.75" customHeight="1" x14ac:dyDescent="0.25">
      <c r="B20" s="87"/>
      <c r="C20" s="347"/>
      <c r="D20" s="348" t="s">
        <v>8</v>
      </c>
      <c r="E20" s="393" t="s">
        <v>1489</v>
      </c>
      <c r="G20" s="24"/>
      <c r="H20" s="24"/>
      <c r="N20" s="308"/>
    </row>
    <row r="21" spans="2:14" x14ac:dyDescent="0.3">
      <c r="B21" s="87"/>
      <c r="C21" s="352"/>
      <c r="D21" s="347" t="s">
        <v>20</v>
      </c>
      <c r="E21" s="351"/>
      <c r="F21" s="99"/>
      <c r="G21" s="99"/>
      <c r="H21" s="99"/>
      <c r="I21" s="99"/>
      <c r="N21" s="308"/>
    </row>
    <row r="22" spans="2:14" x14ac:dyDescent="0.3">
      <c r="B22" s="87"/>
      <c r="C22" s="348" t="s">
        <v>7</v>
      </c>
      <c r="D22" s="347" t="s">
        <v>2033</v>
      </c>
      <c r="E22" s="355" t="s">
        <v>2033</v>
      </c>
      <c r="F22" s="100"/>
      <c r="G22" s="99"/>
      <c r="H22" s="99"/>
      <c r="I22" s="99"/>
      <c r="N22" s="308"/>
    </row>
    <row r="23" spans="2:14" ht="15.75" customHeight="1" x14ac:dyDescent="0.25">
      <c r="B23" s="87"/>
      <c r="C23" s="353" t="s">
        <v>19</v>
      </c>
      <c r="D23" s="356">
        <v>8</v>
      </c>
      <c r="E23" s="358">
        <v>0.1951219512195122</v>
      </c>
      <c r="F23" s="68"/>
      <c r="G23" s="76"/>
      <c r="H23" s="68"/>
      <c r="I23" s="76"/>
      <c r="N23" s="308"/>
    </row>
    <row r="24" spans="2:14" ht="12.5" x14ac:dyDescent="0.25">
      <c r="B24" s="87"/>
      <c r="C24" s="359" t="s">
        <v>23</v>
      </c>
      <c r="D24" s="360">
        <v>20</v>
      </c>
      <c r="E24" s="362">
        <v>0.48780487804878048</v>
      </c>
      <c r="F24" s="68"/>
      <c r="G24" s="76"/>
      <c r="H24" s="68"/>
      <c r="I24" s="76"/>
      <c r="N24" s="308"/>
    </row>
    <row r="25" spans="2:14" ht="13" x14ac:dyDescent="0.3">
      <c r="B25" s="87"/>
      <c r="C25" s="359" t="s">
        <v>25</v>
      </c>
      <c r="D25" s="360">
        <v>13</v>
      </c>
      <c r="E25" s="362">
        <v>0.31707317073170732</v>
      </c>
      <c r="F25" s="101"/>
      <c r="G25" s="102"/>
      <c r="H25" s="101"/>
      <c r="I25" s="102"/>
      <c r="N25" s="308"/>
    </row>
    <row r="26" spans="2:14" ht="12.5" x14ac:dyDescent="0.25">
      <c r="B26" s="87"/>
      <c r="C26" s="363" t="s">
        <v>2034</v>
      </c>
      <c r="D26" s="364">
        <v>41</v>
      </c>
      <c r="E26" s="366">
        <v>1</v>
      </c>
      <c r="F26" s="104"/>
      <c r="G26" s="102"/>
      <c r="H26" s="104"/>
      <c r="I26" s="102"/>
      <c r="N26" s="308"/>
    </row>
    <row r="27" spans="2:14" ht="13" x14ac:dyDescent="0.3">
      <c r="B27" s="87"/>
      <c r="D27" s="99"/>
      <c r="G27" s="24"/>
      <c r="H27" s="24"/>
      <c r="N27" s="308"/>
    </row>
    <row r="28" spans="2:14" ht="13" x14ac:dyDescent="0.3">
      <c r="B28" s="87"/>
      <c r="D28" s="99"/>
      <c r="G28" s="24"/>
      <c r="H28" s="24"/>
      <c r="N28" s="308"/>
    </row>
    <row r="29" spans="2:14" ht="13" x14ac:dyDescent="0.3">
      <c r="B29" s="87"/>
      <c r="D29" s="99"/>
      <c r="G29" s="24"/>
      <c r="H29" s="24"/>
      <c r="N29" s="308"/>
    </row>
    <row r="30" spans="2:14" ht="13" x14ac:dyDescent="0.3">
      <c r="B30" s="87"/>
      <c r="D30" s="99"/>
      <c r="G30" s="24"/>
      <c r="H30" s="24"/>
      <c r="N30" s="308"/>
    </row>
    <row r="31" spans="2:14" ht="12.5" x14ac:dyDescent="0.25">
      <c r="B31" s="107"/>
      <c r="C31" s="108"/>
      <c r="D31" s="108"/>
      <c r="E31" s="108"/>
      <c r="F31" s="108"/>
      <c r="G31" s="109"/>
      <c r="H31" s="109"/>
      <c r="I31" s="109"/>
      <c r="J31" s="109"/>
      <c r="K31" s="109"/>
      <c r="L31" s="109"/>
      <c r="M31" s="109"/>
      <c r="N31" s="309"/>
    </row>
    <row r="32" spans="2:14" ht="12.5" x14ac:dyDescent="0.25">
      <c r="C32" s="24"/>
      <c r="D32" s="91"/>
      <c r="E32" s="91"/>
      <c r="F32" s="91"/>
    </row>
    <row r="33" spans="2:14" ht="12.5" x14ac:dyDescent="0.25">
      <c r="C33" s="24"/>
      <c r="D33" s="91"/>
      <c r="E33" s="91"/>
      <c r="F33" s="91"/>
    </row>
    <row r="34" spans="2:14" ht="12.5" x14ac:dyDescent="0.25">
      <c r="B34" s="84"/>
      <c r="C34" s="85"/>
      <c r="D34" s="85"/>
      <c r="E34" s="85"/>
      <c r="F34" s="85"/>
      <c r="G34" s="85"/>
      <c r="H34" s="85"/>
      <c r="I34" s="85"/>
      <c r="J34" s="85"/>
      <c r="K34" s="85"/>
      <c r="L34" s="85"/>
      <c r="M34" s="85"/>
      <c r="N34" s="86" t="s">
        <v>274</v>
      </c>
    </row>
    <row r="35" spans="2:14" ht="13" x14ac:dyDescent="0.3">
      <c r="B35" s="87"/>
      <c r="C35" s="88" t="s">
        <v>295</v>
      </c>
      <c r="D35" s="89"/>
      <c r="E35" s="89"/>
      <c r="N35" s="307" t="e">
        <f ca="1">callGemini("Analiza los datos proporcionados, que muestran los niveles de logro en "&amp;$C$2&amp;" de los estudiantes de la red rural "&amp;D37&amp;"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"&amp;MID(D37,1,2)&amp;" sector rural de la región '"&amp;MID(D37,4,20)&amp;"'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crearJSONdesdeTabla(C42:F45,0))</f>
        <v>#NAME?</v>
      </c>
    </row>
    <row r="36" spans="2:14" ht="13" x14ac:dyDescent="0.3">
      <c r="B36" s="87"/>
      <c r="C36" s="90" t="s">
        <v>296</v>
      </c>
      <c r="D36" s="310" t="s">
        <v>297</v>
      </c>
      <c r="E36" s="311"/>
      <c r="F36" s="24" t="str">
        <f t="shared" ref="F36:F38" si="2">IF(D36="*","Todos","")</f>
        <v>Todos</v>
      </c>
      <c r="I36" s="91"/>
      <c r="J36" s="91"/>
      <c r="K36" s="91"/>
      <c r="L36" s="91"/>
      <c r="M36" s="91"/>
      <c r="N36" s="308"/>
    </row>
    <row r="37" spans="2:14" ht="13" x14ac:dyDescent="0.3">
      <c r="B37" s="87"/>
      <c r="C37" s="90" t="s">
        <v>298</v>
      </c>
      <c r="D37" s="310" t="s">
        <v>60</v>
      </c>
      <c r="E37" s="311"/>
      <c r="F37" s="24" t="str">
        <f t="shared" si="2"/>
        <v/>
      </c>
      <c r="I37" s="24"/>
      <c r="J37" s="24"/>
      <c r="K37" s="24"/>
      <c r="L37" s="24"/>
      <c r="N37" s="308"/>
    </row>
    <row r="38" spans="2:14" ht="13" x14ac:dyDescent="0.3">
      <c r="B38" s="87"/>
      <c r="C38" s="90" t="s">
        <v>6</v>
      </c>
      <c r="D38" s="310" t="s">
        <v>297</v>
      </c>
      <c r="E38" s="311"/>
      <c r="F38" s="24" t="str">
        <f t="shared" si="2"/>
        <v>Todos</v>
      </c>
      <c r="I38" s="91"/>
      <c r="J38" s="91"/>
      <c r="K38" s="91"/>
      <c r="L38" s="91"/>
      <c r="M38" s="91"/>
      <c r="N38" s="308"/>
    </row>
    <row r="39" spans="2:14" ht="12.5" x14ac:dyDescent="0.25">
      <c r="B39" s="87"/>
      <c r="I39" s="91"/>
      <c r="J39" s="91"/>
      <c r="K39" s="91"/>
      <c r="L39" s="91"/>
      <c r="M39" s="91"/>
      <c r="N39" s="308"/>
    </row>
    <row r="40" spans="2:14" ht="12.5" x14ac:dyDescent="0.25">
      <c r="B40" s="87"/>
      <c r="I40" s="91"/>
      <c r="J40" s="91"/>
      <c r="K40" s="91"/>
      <c r="N40" s="308"/>
    </row>
    <row r="41" spans="2:14" ht="13" x14ac:dyDescent="0.3">
      <c r="B41" s="87"/>
      <c r="C41" s="92"/>
      <c r="D41" s="93"/>
      <c r="E41" s="93"/>
      <c r="F41" s="93"/>
      <c r="I41" s="91"/>
      <c r="J41" s="91"/>
      <c r="K41" s="91"/>
      <c r="N41" s="308"/>
    </row>
    <row r="42" spans="2:14" ht="13" x14ac:dyDescent="0.3">
      <c r="B42" s="87"/>
      <c r="C42" s="94" t="s">
        <v>300</v>
      </c>
      <c r="D42" s="95">
        <v>2022</v>
      </c>
      <c r="E42" s="95">
        <v>2023</v>
      </c>
      <c r="F42" s="95">
        <v>2024</v>
      </c>
      <c r="I42" s="91"/>
      <c r="J42" s="91"/>
      <c r="K42" s="91"/>
      <c r="L42" s="91"/>
      <c r="M42" s="91"/>
      <c r="N42" s="308"/>
    </row>
    <row r="43" spans="2:14" ht="12.5" x14ac:dyDescent="0.25">
      <c r="B43" s="87"/>
      <c r="C43" s="24" t="s">
        <v>19</v>
      </c>
      <c r="D43" s="83" t="e">
        <f>COUNTIFS(DATA!$G$2:$G192,D38,DATA!$D$2:$D192,D36,DATA!$B$2:$B192,D37,DATA!$I$2:$I192,D$12,DATA!$H$2:$H192,$C43)/
COUNTIFS(DATA!$G$2:$G192,D38,DATA!$D$2:$D192,D36,DATA!$B$2:$B192,D37,DATA!$I$2:$I192,D$12,DATA!$H$2:$H192,"&lt;&gt;-")</f>
        <v>#DIV/0!</v>
      </c>
      <c r="E43" s="83" t="e">
        <f>COUNTIFS(DATA!$G$2:$G192,D38,DATA!$D$2:$D192,D36,DATA!$B$2:$B192,D37,DATA!$I$2:$I192,E$12,DATA!$H$2:$H192,$C43)/
COUNTIFS(DATA!$G$2:$G192,D38,DATA!$D$2:$D192,D36,DATA!$B$2:$B192,D37,DATA!$I$2:$I192,E$12,DATA!$H$2:$H192,"&lt;&gt;-")</f>
        <v>#DIV/0!</v>
      </c>
      <c r="F43" s="83" t="e">
        <f>COUNTIFS(DATA!$G$2:$G192,D38,DATA!$D$2:$D192,D36,DATA!$B$2:$B192,D37,DATA!$I$2:$I192,F$12,DATA!$H$2:$H192,$C43)/
COUNTIFS(DATA!$G$2:$G192,D38,DATA!$D$2:$D192,D36,DATA!$B$2:$B192,D37,DATA!$I$2:$I192,F$12,DATA!$H$2:$H192,"&lt;&gt;-")</f>
        <v>#DIV/0!</v>
      </c>
      <c r="I43" s="91"/>
      <c r="J43" s="91"/>
      <c r="K43" s="91"/>
      <c r="L43" s="91"/>
      <c r="M43" s="91"/>
      <c r="N43" s="308"/>
    </row>
    <row r="44" spans="2:14" ht="12.5" x14ac:dyDescent="0.25">
      <c r="B44" s="87"/>
      <c r="C44" s="24" t="s">
        <v>23</v>
      </c>
      <c r="D44" s="83" t="e">
        <f>COUNTIFS(DATA!$G$2:$G192,D38,DATA!$D$2:$D192,D36,DATA!$B$2:$B192,D37,DATA!$I$2:$I192,D$12,DATA!$H$2:$H192,$C44)/
COUNTIFS(DATA!$G$2:$G192,D38,DATA!$D$2:$D192,D36,DATA!$B$2:$B192,D37,DATA!$I$2:$I192,D$12,DATA!$H$2:$H192,"&lt;&gt;-")</f>
        <v>#DIV/0!</v>
      </c>
      <c r="E44" s="83" t="e">
        <f>COUNTIFS(DATA!$G$2:$G192,D38,DATA!$D$2:$D192,D36,DATA!$B$2:$B192,D37,DATA!$I$2:$I192,E$12,DATA!$H$2:$H192,$C44)/
COUNTIFS(DATA!$G$2:$G192,D38,DATA!$D$2:$D192,D36,DATA!$B$2:$B192,D37,DATA!$I$2:$I192,E$12,DATA!$H$2:$H192,"&lt;&gt;-")</f>
        <v>#DIV/0!</v>
      </c>
      <c r="F44" s="83" t="e">
        <f>COUNTIFS(DATA!$G$2:$G192,D38,DATA!$D$2:$D192,D36,DATA!$B$2:$B192,D37,DATA!$I$2:$I192,F$12,DATA!$H$2:$H192,$C44)/
COUNTIFS(DATA!$G$2:$G192,D38,DATA!$D$2:$D192,D36,DATA!$B$2:$B192,D37,DATA!$I$2:$I192,F$12,DATA!$H$2:$H192,"&lt;&gt;-")</f>
        <v>#DIV/0!</v>
      </c>
      <c r="I44" s="91"/>
      <c r="J44" s="91"/>
      <c r="K44" s="91"/>
      <c r="L44" s="91"/>
      <c r="M44" s="91"/>
      <c r="N44" s="308"/>
    </row>
    <row r="45" spans="2:14" ht="12.5" x14ac:dyDescent="0.25">
      <c r="B45" s="87"/>
      <c r="C45" s="24" t="s">
        <v>25</v>
      </c>
      <c r="D45" s="83" t="e">
        <f>COUNTIFS(DATA!$G$2:$G192,D38,DATA!$D$2:$D192,D36,DATA!$B$2:$B192,D37,DATA!$I$2:$I192,D$12,DATA!$H$2:$H192,$C45)/
COUNTIFS(DATA!$G$2:$G192,D38,DATA!$D$2:$D192,D36,DATA!$B$2:$B192,D37,DATA!$I$2:$I192,D$12,DATA!$H$2:$H192,"&lt;&gt;-")</f>
        <v>#DIV/0!</v>
      </c>
      <c r="E45" s="83" t="e">
        <f>COUNTIFS(DATA!$G$2:$G192,D38,DATA!$D$2:$D192,D36,DATA!$B$2:$B192,D37,DATA!$I$2:$I192,E$12,DATA!$H$2:$H192,$C45)/
COUNTIFS(DATA!$G$2:$G192,D38,DATA!$D$2:$D192,D36,DATA!$B$2:$B192,D37,DATA!$I$2:$I192,E$12,DATA!$H$2:$H192,"&lt;&gt;-")</f>
        <v>#DIV/0!</v>
      </c>
      <c r="F45" s="83" t="e">
        <f>COUNTIFS(DATA!$G$2:$G192,D38,DATA!$D$2:$D192,D36,DATA!$B$2:$B192,D37,DATA!$I$2:$I192,F$12,DATA!$H$2:$H192,$C45)/
COUNTIFS(DATA!$G$2:$G192,D38,DATA!$D$2:$D192,D36,DATA!$B$2:$B192,D37,DATA!$I$2:$I192,F$12,DATA!$H$2:$H192,"&lt;&gt;-")</f>
        <v>#DIV/0!</v>
      </c>
      <c r="N45" s="308"/>
    </row>
    <row r="46" spans="2:14" ht="13" x14ac:dyDescent="0.3">
      <c r="B46" s="87"/>
      <c r="C46" s="96" t="s">
        <v>275</v>
      </c>
      <c r="D46" s="97" t="e">
        <f t="shared" ref="D46:F46" si="3">SUM(D43:D45)</f>
        <v>#DIV/0!</v>
      </c>
      <c r="E46" s="97" t="e">
        <f t="shared" si="3"/>
        <v>#DIV/0!</v>
      </c>
      <c r="F46" s="97" t="e">
        <f t="shared" si="3"/>
        <v>#DIV/0!</v>
      </c>
      <c r="N46" s="308"/>
    </row>
    <row r="47" spans="2:14" ht="12.5" x14ac:dyDescent="0.25">
      <c r="B47" s="87"/>
      <c r="C47" s="24"/>
      <c r="D47" s="91"/>
      <c r="E47" s="91"/>
      <c r="F47" s="91"/>
      <c r="G47" s="24"/>
      <c r="H47" s="24"/>
      <c r="N47" s="308"/>
    </row>
    <row r="48" spans="2:14" ht="12.5" x14ac:dyDescent="0.25">
      <c r="B48" s="87"/>
      <c r="C48" s="98"/>
      <c r="D48" s="91"/>
      <c r="E48" s="91"/>
      <c r="F48" s="91"/>
      <c r="G48" s="24"/>
      <c r="H48" s="24"/>
      <c r="N48" s="308"/>
    </row>
    <row r="49" spans="2:14" ht="13" x14ac:dyDescent="0.3">
      <c r="B49" s="87"/>
      <c r="D49" s="99"/>
      <c r="G49" s="24"/>
      <c r="H49" s="24"/>
      <c r="N49" s="308"/>
    </row>
    <row r="50" spans="2:14" ht="12.5" x14ac:dyDescent="0.25">
      <c r="B50" s="87"/>
      <c r="C50" s="367" t="s">
        <v>1</v>
      </c>
      <c r="D50" s="368" t="s">
        <v>60</v>
      </c>
      <c r="G50" s="24"/>
      <c r="H50" s="24"/>
      <c r="N50" s="308"/>
    </row>
    <row r="51" spans="2:14" ht="13" x14ac:dyDescent="0.3">
      <c r="B51" s="87"/>
      <c r="D51" s="99"/>
      <c r="G51" s="24"/>
      <c r="H51" s="24"/>
      <c r="N51" s="308"/>
    </row>
    <row r="52" spans="2:14" ht="12.5" x14ac:dyDescent="0.25">
      <c r="B52" s="87"/>
      <c r="C52" s="347"/>
      <c r="D52" s="348" t="s">
        <v>8</v>
      </c>
      <c r="E52" s="349" t="s">
        <v>1489</v>
      </c>
      <c r="F52" s="350"/>
      <c r="G52" s="350"/>
      <c r="H52" s="350"/>
      <c r="I52" s="351"/>
      <c r="N52" s="308"/>
    </row>
    <row r="53" spans="2:14" ht="12.5" x14ac:dyDescent="0.25">
      <c r="B53" s="87"/>
      <c r="C53" s="352"/>
      <c r="D53" s="347">
        <v>2022</v>
      </c>
      <c r="E53" s="350"/>
      <c r="F53" s="347" t="s">
        <v>113</v>
      </c>
      <c r="G53" s="350"/>
      <c r="H53" s="347" t="s">
        <v>20</v>
      </c>
      <c r="I53" s="351"/>
      <c r="N53" s="308"/>
    </row>
    <row r="54" spans="2:14" ht="12.5" x14ac:dyDescent="0.25">
      <c r="B54" s="87"/>
      <c r="C54" s="348" t="s">
        <v>7</v>
      </c>
      <c r="D54" s="347" t="s">
        <v>2033</v>
      </c>
      <c r="E54" s="354" t="s">
        <v>2033</v>
      </c>
      <c r="F54" s="347" t="s">
        <v>2033</v>
      </c>
      <c r="G54" s="354" t="s">
        <v>2033</v>
      </c>
      <c r="H54" s="347" t="s">
        <v>2033</v>
      </c>
      <c r="I54" s="355" t="s">
        <v>2033</v>
      </c>
      <c r="N54" s="308"/>
    </row>
    <row r="55" spans="2:14" ht="12.5" x14ac:dyDescent="0.25">
      <c r="B55" s="87"/>
      <c r="C55" s="353" t="s">
        <v>19</v>
      </c>
      <c r="D55" s="356">
        <v>154</v>
      </c>
      <c r="E55" s="357">
        <v>0.93333333333333335</v>
      </c>
      <c r="F55" s="356">
        <v>208</v>
      </c>
      <c r="G55" s="357">
        <v>0.6688102893890675</v>
      </c>
      <c r="H55" s="356">
        <v>274</v>
      </c>
      <c r="I55" s="358">
        <v>0.85358255451713394</v>
      </c>
      <c r="N55" s="308"/>
    </row>
    <row r="56" spans="2:14" ht="12.5" x14ac:dyDescent="0.25">
      <c r="B56" s="87"/>
      <c r="C56" s="359" t="s">
        <v>23</v>
      </c>
      <c r="D56" s="360">
        <v>5</v>
      </c>
      <c r="E56" s="361">
        <v>3.0303030303030304E-2</v>
      </c>
      <c r="F56" s="360">
        <v>94</v>
      </c>
      <c r="G56" s="361">
        <v>0.30225080385852088</v>
      </c>
      <c r="H56" s="360">
        <v>45</v>
      </c>
      <c r="I56" s="362">
        <v>0.14018691588785046</v>
      </c>
      <c r="N56" s="308"/>
    </row>
    <row r="57" spans="2:14" ht="12.5" x14ac:dyDescent="0.25">
      <c r="B57" s="87"/>
      <c r="C57" s="359" t="s">
        <v>25</v>
      </c>
      <c r="D57" s="360">
        <v>6</v>
      </c>
      <c r="E57" s="361">
        <v>3.6363636363636362E-2</v>
      </c>
      <c r="F57" s="360">
        <v>9</v>
      </c>
      <c r="G57" s="361">
        <v>2.8938906752411574E-2</v>
      </c>
      <c r="H57" s="360">
        <v>2</v>
      </c>
      <c r="I57" s="362">
        <v>6.2305295950155761E-3</v>
      </c>
      <c r="N57" s="308"/>
    </row>
    <row r="58" spans="2:14" ht="12.5" x14ac:dyDescent="0.25">
      <c r="B58" s="87"/>
      <c r="C58" s="363" t="s">
        <v>2034</v>
      </c>
      <c r="D58" s="364">
        <v>165</v>
      </c>
      <c r="E58" s="365">
        <v>1</v>
      </c>
      <c r="F58" s="364">
        <v>311</v>
      </c>
      <c r="G58" s="365">
        <v>1</v>
      </c>
      <c r="H58" s="364">
        <v>321</v>
      </c>
      <c r="I58" s="366">
        <v>1</v>
      </c>
      <c r="N58" s="308"/>
    </row>
    <row r="59" spans="2:14" ht="13" x14ac:dyDescent="0.3">
      <c r="B59" s="87"/>
      <c r="D59" s="99"/>
      <c r="G59" s="24"/>
      <c r="H59" s="24"/>
      <c r="N59" s="308"/>
    </row>
    <row r="60" spans="2:14" ht="13" x14ac:dyDescent="0.3">
      <c r="B60" s="87"/>
      <c r="D60" s="99"/>
      <c r="G60" s="24"/>
      <c r="H60" s="24"/>
      <c r="N60" s="308"/>
    </row>
    <row r="61" spans="2:14" ht="13" x14ac:dyDescent="0.3">
      <c r="B61" s="87"/>
      <c r="D61" s="99"/>
      <c r="G61" s="24"/>
      <c r="H61" s="24"/>
      <c r="N61" s="308"/>
    </row>
    <row r="62" spans="2:14" ht="13" x14ac:dyDescent="0.3">
      <c r="B62" s="87"/>
      <c r="D62" s="99"/>
      <c r="G62" s="24"/>
      <c r="H62" s="24"/>
      <c r="N62" s="308"/>
    </row>
    <row r="63" spans="2:14" ht="12.5" x14ac:dyDescent="0.25">
      <c r="B63" s="107"/>
      <c r="C63" s="108"/>
      <c r="D63" s="108"/>
      <c r="E63" s="108"/>
      <c r="F63" s="108"/>
      <c r="G63" s="109"/>
      <c r="H63" s="109"/>
      <c r="I63" s="109"/>
      <c r="J63" s="109"/>
      <c r="K63" s="109"/>
      <c r="L63" s="109"/>
      <c r="M63" s="109"/>
      <c r="N63" s="309"/>
    </row>
    <row r="64" spans="2:14" ht="12.5" x14ac:dyDescent="0.25">
      <c r="C64" s="70"/>
      <c r="D64" s="115"/>
      <c r="E64" s="115"/>
    </row>
    <row r="65" spans="2:14" ht="12.5" x14ac:dyDescent="0.25">
      <c r="C65" s="70"/>
      <c r="D65" s="115"/>
      <c r="E65" s="115"/>
    </row>
    <row r="66" spans="2:14" ht="12.5" x14ac:dyDescent="0.25">
      <c r="C66" s="70"/>
      <c r="D66" s="115"/>
      <c r="E66" s="115"/>
    </row>
    <row r="67" spans="2:14" ht="12.5" x14ac:dyDescent="0.25">
      <c r="B67" s="84"/>
      <c r="C67" s="85"/>
      <c r="D67" s="85"/>
      <c r="E67" s="85"/>
      <c r="F67" s="85"/>
      <c r="G67" s="85"/>
      <c r="H67" s="85"/>
      <c r="I67" s="85"/>
      <c r="J67" s="85"/>
      <c r="K67" s="85"/>
      <c r="L67" s="85"/>
      <c r="M67" s="85"/>
      <c r="N67" s="86" t="s">
        <v>274</v>
      </c>
    </row>
    <row r="68" spans="2:14" ht="13" x14ac:dyDescent="0.3">
      <c r="B68" s="87"/>
      <c r="C68" s="88" t="s">
        <v>295</v>
      </c>
      <c r="D68" s="89"/>
      <c r="E68" s="89"/>
      <c r="N68" s="307" t="e">
        <f ca="1">callGemini("Analiza los datos proporcionados, que muestran los niveles de logro en "&amp;$C$2&amp;" de los estudiantes de la red rural "&amp;D70&amp;"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"&amp;MID(D70,1,2)&amp;" sector rural de la región '"&amp;MID(D70,4,20)&amp;"'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crearJSONdesdeTabla(C75:F78,0))</f>
        <v>#NAME?</v>
      </c>
    </row>
    <row r="69" spans="2:14" ht="13" x14ac:dyDescent="0.3">
      <c r="B69" s="87"/>
      <c r="C69" s="90" t="s">
        <v>296</v>
      </c>
      <c r="D69" s="310" t="s">
        <v>297</v>
      </c>
      <c r="E69" s="311"/>
      <c r="F69" s="24" t="str">
        <f t="shared" ref="F69:F71" si="4">IF(D69="*","Todos","")</f>
        <v>Todos</v>
      </c>
      <c r="I69" s="91"/>
      <c r="J69" s="91"/>
      <c r="K69" s="91"/>
      <c r="L69" s="91"/>
      <c r="M69" s="91"/>
      <c r="N69" s="308"/>
    </row>
    <row r="70" spans="2:14" ht="13" x14ac:dyDescent="0.3">
      <c r="B70" s="87"/>
      <c r="C70" s="90" t="s">
        <v>298</v>
      </c>
      <c r="D70" s="310" t="s">
        <v>14</v>
      </c>
      <c r="E70" s="311"/>
      <c r="F70" s="24" t="str">
        <f t="shared" si="4"/>
        <v/>
      </c>
      <c r="I70" s="24"/>
      <c r="J70" s="24"/>
      <c r="K70" s="24"/>
      <c r="L70" s="24"/>
      <c r="N70" s="308"/>
    </row>
    <row r="71" spans="2:14" ht="13" x14ac:dyDescent="0.3">
      <c r="B71" s="87"/>
      <c r="C71" s="90" t="s">
        <v>6</v>
      </c>
      <c r="D71" s="310" t="s">
        <v>297</v>
      </c>
      <c r="E71" s="311"/>
      <c r="F71" s="24" t="str">
        <f t="shared" si="4"/>
        <v>Todos</v>
      </c>
      <c r="I71" s="91"/>
      <c r="J71" s="91"/>
      <c r="K71" s="91"/>
      <c r="L71" s="91"/>
      <c r="M71" s="91"/>
      <c r="N71" s="308"/>
    </row>
    <row r="72" spans="2:14" ht="12.5" x14ac:dyDescent="0.25">
      <c r="B72" s="87"/>
      <c r="I72" s="91"/>
      <c r="J72" s="91"/>
      <c r="K72" s="91"/>
      <c r="L72" s="91"/>
      <c r="M72" s="91"/>
      <c r="N72" s="308"/>
    </row>
    <row r="73" spans="2:14" ht="12.5" x14ac:dyDescent="0.25">
      <c r="B73" s="87"/>
      <c r="I73" s="91"/>
      <c r="J73" s="91"/>
      <c r="K73" s="91"/>
      <c r="N73" s="308"/>
    </row>
    <row r="74" spans="2:14" ht="13" x14ac:dyDescent="0.3">
      <c r="B74" s="87"/>
      <c r="C74" s="92"/>
      <c r="D74" s="93"/>
      <c r="E74" s="93"/>
      <c r="F74" s="93"/>
      <c r="I74" s="91"/>
      <c r="J74" s="91"/>
      <c r="K74" s="91"/>
      <c r="N74" s="308"/>
    </row>
    <row r="75" spans="2:14" ht="13" x14ac:dyDescent="0.3">
      <c r="B75" s="87"/>
      <c r="C75" s="94" t="s">
        <v>300</v>
      </c>
      <c r="D75" s="95">
        <v>2022</v>
      </c>
      <c r="E75" s="95">
        <v>2023</v>
      </c>
      <c r="F75" s="95">
        <v>2024</v>
      </c>
      <c r="I75" s="91"/>
      <c r="J75" s="91"/>
      <c r="K75" s="91"/>
      <c r="L75" s="91"/>
      <c r="M75" s="91"/>
      <c r="N75" s="308"/>
    </row>
    <row r="76" spans="2:14" ht="12.5" x14ac:dyDescent="0.25">
      <c r="B76" s="87"/>
      <c r="C76" s="24" t="s">
        <v>19</v>
      </c>
      <c r="D76" s="83" t="e">
        <f>COUNTIFS(DATA!$G$2:$G192,D71,DATA!$D$2:$D192,D69,DATA!$B$2:$B192,D70,DATA!$I$2:$I192,D$12,DATA!$H$2:$H192,$C76)/
COUNTIFS(DATA!$G$2:$G192,D71,DATA!$D$2:$D192,D69,DATA!$B$2:$B192,D70,DATA!$I$2:$I192,D$12,DATA!$H$2:$H192,"&lt;&gt;-")</f>
        <v>#DIV/0!</v>
      </c>
      <c r="E76" s="83" t="e">
        <f>COUNTIFS(DATA!$G$2:$G192,D71,DATA!$D$2:$D192,D69,DATA!$B$2:$B192,D70,DATA!$I$2:$I192,E$12,DATA!$H$2:$H192,$C76)/
COUNTIFS(DATA!$G$2:$G192,D71,DATA!$D$2:$D192,D69,DATA!$B$2:$B192,D70,DATA!$I$2:$I192,E$12,DATA!$H$2:$H192,"&lt;&gt;-")</f>
        <v>#DIV/0!</v>
      </c>
      <c r="F76" s="83">
        <f>COUNTIFS(DATA!$G$2:$G192,D71,DATA!$D$2:$D192,D69,DATA!$B$2:$B192,D70,DATA!$I$2:$I192,F$12,DATA!$H$2:$H192,$C76)/
COUNTIFS(DATA!$G$2:$G192,D71,DATA!$D$2:$D192,D69,DATA!$B$2:$B192,D70,DATA!$I$2:$I192,F$12,DATA!$H$2:$H192,"&lt;&gt;-")</f>
        <v>0.75392670157068065</v>
      </c>
      <c r="I76" s="91"/>
      <c r="J76" s="91"/>
      <c r="K76" s="91"/>
      <c r="L76" s="91"/>
      <c r="M76" s="91"/>
      <c r="N76" s="308"/>
    </row>
    <row r="77" spans="2:14" ht="12.5" x14ac:dyDescent="0.25">
      <c r="B77" s="87"/>
      <c r="C77" s="24" t="s">
        <v>23</v>
      </c>
      <c r="D77" s="83" t="e">
        <f>COUNTIFS(DATA!$G$2:$G192,D71,DATA!$D$2:$D192,D69,DATA!$B$2:$B192,D70,DATA!$I$2:$I192,D$12,DATA!$H$2:$H192,$C77)/
COUNTIFS(DATA!$G$2:$G192,D71,DATA!$D$2:$D192,D69,DATA!$B$2:$B192,D70,DATA!$I$2:$I192,D$12,DATA!$H$2:$H192,"&lt;&gt;-")</f>
        <v>#DIV/0!</v>
      </c>
      <c r="E77" s="83" t="e">
        <f>COUNTIFS(DATA!$G$2:$G192,D71,DATA!$D$2:$D192,D69,DATA!$B$2:$B192,D70,DATA!$I$2:$I192,E$12,DATA!$H$2:$H192,$C77)/
COUNTIFS(DATA!$G$2:$G192,D71,DATA!$D$2:$D192,D69,DATA!$B$2:$B192,D70,DATA!$I$2:$I192,E$12,DATA!$H$2:$H192,"&lt;&gt;-")</f>
        <v>#DIV/0!</v>
      </c>
      <c r="F77" s="83">
        <f>COUNTIFS(DATA!$G$2:$G192,D71,DATA!$D$2:$D192,D69,DATA!$B$2:$B192,D70,DATA!$I$2:$I192,F$12,DATA!$H$2:$H192,$C77)/
COUNTIFS(DATA!$G$2:$G192,D71,DATA!$D$2:$D192,D69,DATA!$B$2:$B192,D70,DATA!$I$2:$I192,F$12,DATA!$H$2:$H192,"&lt;&gt;-")</f>
        <v>0.19895287958115182</v>
      </c>
      <c r="I77" s="91"/>
      <c r="J77" s="91"/>
      <c r="K77" s="91"/>
      <c r="L77" s="91"/>
      <c r="M77" s="91"/>
      <c r="N77" s="308"/>
    </row>
    <row r="78" spans="2:14" ht="12.5" x14ac:dyDescent="0.25">
      <c r="B78" s="87"/>
      <c r="C78" s="24" t="s">
        <v>25</v>
      </c>
      <c r="D78" s="83" t="e">
        <f>COUNTIFS(DATA!$G$2:$G192,D71,DATA!$D$2:$D192,D69,DATA!$B$2:$B192,D70,DATA!$I$2:$I192,D$12,DATA!$H$2:$H192,$C78)/
COUNTIFS(DATA!$G$2:$G192,D71,DATA!$D$2:$D192,D69,DATA!$B$2:$B192,D70,DATA!$I$2:$I192,D$12,DATA!$H$2:$H192,"&lt;&gt;-")</f>
        <v>#DIV/0!</v>
      </c>
      <c r="E78" s="83" t="e">
        <f>COUNTIFS(DATA!$G$2:$G192,D71,DATA!$D$2:$D192,D69,DATA!$B$2:$B192,D70,DATA!$I$2:$I192,E$12,DATA!$H$2:$H192,$C78)/
COUNTIFS(DATA!$G$2:$G192,D71,DATA!$D$2:$D192,D69,DATA!$B$2:$B192,D70,DATA!$I$2:$I192,E$12,DATA!$H$2:$H192,"&lt;&gt;-")</f>
        <v>#DIV/0!</v>
      </c>
      <c r="F78" s="83">
        <f>COUNTIFS(DATA!$G$2:$G192,D71,DATA!$D$2:$D192,D69,DATA!$B$2:$B192,D70,DATA!$I$2:$I192,F$12,DATA!$H$2:$H192,$C78)/
COUNTIFS(DATA!$G$2:$G192,D71,DATA!$D$2:$D192,D69,DATA!$B$2:$B192,D70,DATA!$I$2:$I192,F$12,DATA!$H$2:$H192,"&lt;&gt;-")</f>
        <v>4.712041884816754E-2</v>
      </c>
      <c r="N78" s="308"/>
    </row>
    <row r="79" spans="2:14" ht="13" x14ac:dyDescent="0.3">
      <c r="B79" s="87"/>
      <c r="C79" s="96" t="s">
        <v>275</v>
      </c>
      <c r="D79" s="97" t="e">
        <f t="shared" ref="D79:F79" si="5">SUM(D76:D78)</f>
        <v>#DIV/0!</v>
      </c>
      <c r="E79" s="97" t="e">
        <f t="shared" si="5"/>
        <v>#DIV/0!</v>
      </c>
      <c r="F79" s="97">
        <f t="shared" si="5"/>
        <v>1</v>
      </c>
      <c r="N79" s="308"/>
    </row>
    <row r="80" spans="2:14" ht="12.5" x14ac:dyDescent="0.25">
      <c r="B80" s="87"/>
      <c r="C80" s="24"/>
      <c r="D80" s="91"/>
      <c r="E80" s="91"/>
      <c r="F80" s="91"/>
      <c r="G80" s="24"/>
      <c r="H80" s="24"/>
      <c r="N80" s="308"/>
    </row>
    <row r="81" spans="2:14" ht="12.5" x14ac:dyDescent="0.25">
      <c r="B81" s="87"/>
      <c r="C81" s="98"/>
      <c r="D81" s="91"/>
      <c r="E81" s="91"/>
      <c r="F81" s="91"/>
      <c r="G81" s="24"/>
      <c r="H81" s="24"/>
      <c r="N81" s="308"/>
    </row>
    <row r="82" spans="2:14" ht="12.5" x14ac:dyDescent="0.25">
      <c r="B82" s="87"/>
      <c r="C82" s="367" t="s">
        <v>1</v>
      </c>
      <c r="D82" s="368" t="s">
        <v>14</v>
      </c>
      <c r="G82" s="24"/>
      <c r="H82" s="24"/>
      <c r="N82" s="308"/>
    </row>
    <row r="83" spans="2:14" ht="13" x14ac:dyDescent="0.3">
      <c r="B83" s="87"/>
      <c r="D83" s="99"/>
      <c r="G83" s="24"/>
      <c r="H83" s="24"/>
      <c r="N83" s="308"/>
    </row>
    <row r="84" spans="2:14" ht="12.5" x14ac:dyDescent="0.25">
      <c r="B84" s="87"/>
      <c r="C84" s="347"/>
      <c r="D84" s="348" t="s">
        <v>8</v>
      </c>
      <c r="E84" s="349" t="s">
        <v>1489</v>
      </c>
      <c r="F84" s="350"/>
      <c r="G84" s="351"/>
      <c r="H84" s="24"/>
      <c r="N84" s="308"/>
    </row>
    <row r="85" spans="2:14" ht="13" x14ac:dyDescent="0.3">
      <c r="B85" s="87"/>
      <c r="C85" s="352"/>
      <c r="D85" s="347" t="s">
        <v>113</v>
      </c>
      <c r="E85" s="350"/>
      <c r="F85" s="347" t="s">
        <v>20</v>
      </c>
      <c r="G85" s="351"/>
      <c r="H85" s="99"/>
      <c r="I85" s="99"/>
      <c r="N85" s="308"/>
    </row>
    <row r="86" spans="2:14" ht="13" x14ac:dyDescent="0.3">
      <c r="B86" s="87"/>
      <c r="C86" s="348" t="s">
        <v>7</v>
      </c>
      <c r="D86" s="347" t="s">
        <v>2033</v>
      </c>
      <c r="E86" s="354" t="s">
        <v>2033</v>
      </c>
      <c r="F86" s="347" t="s">
        <v>2033</v>
      </c>
      <c r="G86" s="355" t="s">
        <v>2033</v>
      </c>
      <c r="H86" s="99"/>
      <c r="I86" s="99"/>
      <c r="N86" s="308"/>
    </row>
    <row r="87" spans="2:14" ht="12.5" x14ac:dyDescent="0.25">
      <c r="B87" s="87"/>
      <c r="C87" s="353" t="s">
        <v>19</v>
      </c>
      <c r="D87" s="356">
        <v>211</v>
      </c>
      <c r="E87" s="357">
        <v>0.47415730337078654</v>
      </c>
      <c r="F87" s="356">
        <v>176</v>
      </c>
      <c r="G87" s="358">
        <v>0.75536480686695284</v>
      </c>
      <c r="H87" s="68"/>
      <c r="I87" s="76"/>
      <c r="N87" s="308"/>
    </row>
    <row r="88" spans="2:14" ht="12.5" x14ac:dyDescent="0.25">
      <c r="B88" s="87"/>
      <c r="C88" s="359" t="s">
        <v>23</v>
      </c>
      <c r="D88" s="360">
        <v>188</v>
      </c>
      <c r="E88" s="361">
        <v>0.42247191011235957</v>
      </c>
      <c r="F88" s="360">
        <v>48</v>
      </c>
      <c r="G88" s="362">
        <v>0.20600858369098712</v>
      </c>
      <c r="H88" s="68"/>
      <c r="I88" s="76"/>
      <c r="N88" s="308"/>
    </row>
    <row r="89" spans="2:14" ht="13" x14ac:dyDescent="0.3">
      <c r="B89" s="87"/>
      <c r="C89" s="359" t="s">
        <v>25</v>
      </c>
      <c r="D89" s="360">
        <v>46</v>
      </c>
      <c r="E89" s="361">
        <v>0.10337078651685393</v>
      </c>
      <c r="F89" s="360">
        <v>9</v>
      </c>
      <c r="G89" s="362">
        <v>3.8626609442060089E-2</v>
      </c>
      <c r="H89" s="101"/>
      <c r="I89" s="102"/>
      <c r="N89" s="308"/>
    </row>
    <row r="90" spans="2:14" ht="12.5" x14ac:dyDescent="0.25">
      <c r="B90" s="87"/>
      <c r="C90" s="363" t="s">
        <v>2034</v>
      </c>
      <c r="D90" s="364">
        <v>445</v>
      </c>
      <c r="E90" s="365">
        <v>1</v>
      </c>
      <c r="F90" s="364">
        <v>233</v>
      </c>
      <c r="G90" s="366">
        <v>1</v>
      </c>
      <c r="H90" s="104"/>
      <c r="I90" s="102"/>
      <c r="N90" s="308"/>
    </row>
    <row r="91" spans="2:14" ht="13" x14ac:dyDescent="0.3">
      <c r="B91" s="87"/>
      <c r="D91" s="99"/>
      <c r="G91" s="24"/>
      <c r="H91" s="24"/>
      <c r="N91" s="308"/>
    </row>
    <row r="92" spans="2:14" ht="12.5" x14ac:dyDescent="0.25">
      <c r="B92" s="107"/>
      <c r="C92" s="108"/>
      <c r="D92" s="108"/>
      <c r="E92" s="108"/>
      <c r="F92" s="108"/>
      <c r="G92" s="109"/>
      <c r="H92" s="109"/>
      <c r="I92" s="109"/>
      <c r="J92" s="109"/>
      <c r="K92" s="109"/>
      <c r="L92" s="109"/>
      <c r="M92" s="109"/>
      <c r="N92" s="309"/>
    </row>
    <row r="93" spans="2:14" ht="12.5" x14ac:dyDescent="0.25">
      <c r="C93" s="70"/>
      <c r="D93" s="115"/>
      <c r="E93" s="115"/>
    </row>
    <row r="94" spans="2:14" ht="12.5" x14ac:dyDescent="0.25">
      <c r="C94" s="70"/>
      <c r="D94" s="115"/>
      <c r="E94" s="115"/>
    </row>
    <row r="95" spans="2:14" ht="12.5" x14ac:dyDescent="0.25">
      <c r="B95" s="84"/>
      <c r="C95" s="85"/>
      <c r="D95" s="85"/>
      <c r="E95" s="85"/>
      <c r="F95" s="85"/>
      <c r="G95" s="85"/>
      <c r="H95" s="85"/>
      <c r="I95" s="85"/>
      <c r="J95" s="85"/>
      <c r="K95" s="85"/>
      <c r="L95" s="85"/>
      <c r="M95" s="85"/>
      <c r="N95" s="86" t="s">
        <v>274</v>
      </c>
    </row>
    <row r="96" spans="2:14" ht="13" x14ac:dyDescent="0.3">
      <c r="B96" s="87"/>
      <c r="C96" s="88" t="s">
        <v>295</v>
      </c>
      <c r="D96" s="89"/>
      <c r="E96" s="89"/>
      <c r="N96" s="307" t="e">
        <f ca="1">callGemini("Analiza los datos proporcionados, que muestran los niveles de logro en "&amp;$C$2&amp;" de los estudiantes de la red rural "&amp;D98&amp;"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"&amp;MID(D98,1,2)&amp;" sector rural de la región '"&amp;MID(D98,4,20)&amp;"'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crearJSONdesdeTabla(C103:F106,0))</f>
        <v>#NAME?</v>
      </c>
    </row>
    <row r="97" spans="2:14" ht="13" x14ac:dyDescent="0.3">
      <c r="B97" s="87"/>
      <c r="C97" s="90" t="s">
        <v>296</v>
      </c>
      <c r="D97" s="310" t="s">
        <v>297</v>
      </c>
      <c r="E97" s="311"/>
      <c r="F97" s="24" t="str">
        <f t="shared" ref="F97:F99" si="6">IF(D97="*","Todos","")</f>
        <v>Todos</v>
      </c>
      <c r="I97" s="91"/>
      <c r="J97" s="91"/>
      <c r="K97" s="91"/>
      <c r="L97" s="91"/>
      <c r="M97" s="91"/>
      <c r="N97" s="308"/>
    </row>
    <row r="98" spans="2:14" ht="13" x14ac:dyDescent="0.3">
      <c r="B98" s="87"/>
      <c r="C98" s="90" t="s">
        <v>298</v>
      </c>
      <c r="D98" s="310" t="s">
        <v>83</v>
      </c>
      <c r="E98" s="311"/>
      <c r="F98" s="24" t="str">
        <f t="shared" si="6"/>
        <v/>
      </c>
      <c r="I98" s="24"/>
      <c r="J98" s="24"/>
      <c r="K98" s="24"/>
      <c r="L98" s="24"/>
      <c r="N98" s="308"/>
    </row>
    <row r="99" spans="2:14" ht="13" x14ac:dyDescent="0.3">
      <c r="B99" s="87"/>
      <c r="C99" s="90" t="s">
        <v>6</v>
      </c>
      <c r="D99" s="310" t="s">
        <v>297</v>
      </c>
      <c r="E99" s="311"/>
      <c r="F99" s="24" t="str">
        <f t="shared" si="6"/>
        <v>Todos</v>
      </c>
      <c r="I99" s="91"/>
      <c r="J99" s="91"/>
      <c r="K99" s="91"/>
      <c r="L99" s="91"/>
      <c r="M99" s="91"/>
      <c r="N99" s="308"/>
    </row>
    <row r="100" spans="2:14" ht="12.5" x14ac:dyDescent="0.25">
      <c r="B100" s="87"/>
      <c r="I100" s="91"/>
      <c r="J100" s="91"/>
      <c r="K100" s="91"/>
      <c r="L100" s="91"/>
      <c r="M100" s="91"/>
      <c r="N100" s="308"/>
    </row>
    <row r="101" spans="2:14" ht="12.5" x14ac:dyDescent="0.25">
      <c r="B101" s="87"/>
      <c r="I101" s="91"/>
      <c r="J101" s="91"/>
      <c r="K101" s="91"/>
      <c r="N101" s="308"/>
    </row>
    <row r="102" spans="2:14" ht="13" x14ac:dyDescent="0.3">
      <c r="B102" s="87"/>
      <c r="C102" s="92"/>
      <c r="D102" s="93"/>
      <c r="E102" s="93"/>
      <c r="F102" s="93"/>
      <c r="I102" s="91"/>
      <c r="J102" s="91"/>
      <c r="K102" s="91"/>
      <c r="N102" s="308"/>
    </row>
    <row r="103" spans="2:14" ht="13" x14ac:dyDescent="0.3">
      <c r="B103" s="87"/>
      <c r="C103" s="94" t="s">
        <v>300</v>
      </c>
      <c r="D103" s="95">
        <v>2022</v>
      </c>
      <c r="E103" s="95">
        <v>2023</v>
      </c>
      <c r="F103" s="95">
        <v>2024</v>
      </c>
      <c r="I103" s="91"/>
      <c r="J103" s="91"/>
      <c r="K103" s="91"/>
      <c r="L103" s="91"/>
      <c r="M103" s="91"/>
      <c r="N103" s="308"/>
    </row>
    <row r="104" spans="2:14" ht="12.5" x14ac:dyDescent="0.25">
      <c r="B104" s="87"/>
      <c r="C104" s="24" t="s">
        <v>19</v>
      </c>
      <c r="D104" s="83" t="e">
        <f>COUNTIFS(DATA!$G$2:$G192,D99,DATA!$D$2:$D192,D97,DATA!$B$2:$B192,D98,DATA!$I$2:$I192,D$12,DATA!$H$2:$H192,$C104)/
COUNTIFS(DATA!$G$2:$G192,D99,DATA!$D$2:$D192,D97,DATA!$B$2:$B192,D98,DATA!$I$2:$I192,D$12,DATA!$H$2:$H192,"&lt;&gt;-")</f>
        <v>#DIV/0!</v>
      </c>
      <c r="E104" s="83" t="e">
        <f>COUNTIFS(DATA!$G$2:$G192,D99,DATA!$D$2:$D192,D97,DATA!$B$2:$B192,D98,DATA!$I$2:$I192,E$12,DATA!$H$2:$H192,$C104)/
COUNTIFS(DATA!$G$2:$G192,D99,DATA!$D$2:$D192,D97,DATA!$B$2:$B192,D98,DATA!$I$2:$I192,E$12,DATA!$H$2:$H192,"&lt;&gt;-")</f>
        <v>#DIV/0!</v>
      </c>
      <c r="F104" s="83" t="e">
        <f>COUNTIFS(DATA!$G$2:$G192,D99,DATA!$D$2:$D192,D97,DATA!$B$2:$B192,D98,DATA!$I$2:$I192,F$12,DATA!$H$2:$H192,$C104)/
COUNTIFS(DATA!$G$2:$G192,D99,DATA!$D$2:$D192,D97,DATA!$B$2:$B192,D98,DATA!$I$2:$I192,F$12,DATA!$H$2:$H192,"&lt;&gt;-")</f>
        <v>#DIV/0!</v>
      </c>
      <c r="I104" s="91"/>
      <c r="J104" s="91"/>
      <c r="K104" s="91"/>
      <c r="L104" s="91"/>
      <c r="M104" s="91"/>
      <c r="N104" s="308"/>
    </row>
    <row r="105" spans="2:14" ht="12.5" x14ac:dyDescent="0.25">
      <c r="B105" s="87"/>
      <c r="C105" s="24" t="s">
        <v>23</v>
      </c>
      <c r="D105" s="83" t="e">
        <f>COUNTIFS(DATA!$G$2:$G192,D99,DATA!$D$2:$D192,D97,DATA!$B$2:$B192,D98,DATA!$I$2:$I192,D$12,DATA!$H$2:$H192,$C105)/
COUNTIFS(DATA!$G$2:$G192,D99,DATA!$D$2:$D192,D97,DATA!$B$2:$B192,D98,DATA!$I$2:$I192,D$12,DATA!$H$2:$H192,"&lt;&gt;-")</f>
        <v>#DIV/0!</v>
      </c>
      <c r="E105" s="83" t="e">
        <f>COUNTIFS(DATA!$G$2:$G192,D99,DATA!$D$2:$D192,D97,DATA!$B$2:$B192,D98,DATA!$I$2:$I192,E$12,DATA!$H$2:$H192,$C105)/
COUNTIFS(DATA!$G$2:$G192,D99,DATA!$D$2:$D192,D97,DATA!$B$2:$B192,D98,DATA!$I$2:$I192,E$12,DATA!$H$2:$H192,"&lt;&gt;-")</f>
        <v>#DIV/0!</v>
      </c>
      <c r="F105" s="83" t="e">
        <f>COUNTIFS(DATA!$G$2:$G192,D99,DATA!$D$2:$D192,D97,DATA!$B$2:$B192,D98,DATA!$I$2:$I192,F$12,DATA!$H$2:$H192,$C105)/
COUNTIFS(DATA!$G$2:$G192,D99,DATA!$D$2:$D192,D97,DATA!$B$2:$B192,D98,DATA!$I$2:$I192,F$12,DATA!$H$2:$H192,"&lt;&gt;-")</f>
        <v>#DIV/0!</v>
      </c>
      <c r="I105" s="91"/>
      <c r="J105" s="91"/>
      <c r="K105" s="91"/>
      <c r="L105" s="91"/>
      <c r="M105" s="91"/>
      <c r="N105" s="308"/>
    </row>
    <row r="106" spans="2:14" ht="12.5" x14ac:dyDescent="0.25">
      <c r="B106" s="87"/>
      <c r="C106" s="24" t="s">
        <v>25</v>
      </c>
      <c r="D106" s="83" t="e">
        <f>COUNTIFS(DATA!$G$2:$G192,D99,DATA!$D$2:$D192,D97,DATA!$B$2:$B192,D98,DATA!$I$2:$I192,D$12,DATA!$H$2:$H192,$C106)/
COUNTIFS(DATA!$G$2:$G192,D99,DATA!$D$2:$D192,D97,DATA!$B$2:$B192,D98,DATA!$I$2:$I192,D$12,DATA!$H$2:$H192,"&lt;&gt;-")</f>
        <v>#DIV/0!</v>
      </c>
      <c r="E106" s="83" t="e">
        <f>COUNTIFS(DATA!$G$2:$G192,D99,DATA!$D$2:$D192,D97,DATA!$B$2:$B192,D98,DATA!$I$2:$I192,E$12,DATA!$H$2:$H192,$C106)/
COUNTIFS(DATA!$G$2:$G192,D99,DATA!$D$2:$D192,D97,DATA!$B$2:$B192,D98,DATA!$I$2:$I192,E$12,DATA!$H$2:$H192,"&lt;&gt;-")</f>
        <v>#DIV/0!</v>
      </c>
      <c r="F106" s="83" t="e">
        <f>COUNTIFS(DATA!$G$2:$G192,D99,DATA!$D$2:$D192,D97,DATA!$B$2:$B192,D98,DATA!$I$2:$I192,F$12,DATA!$H$2:$H192,$C106)/
COUNTIFS(DATA!$G$2:$G192,D99,DATA!$D$2:$D192,D97,DATA!$B$2:$B192,D98,DATA!$I$2:$I192,F$12,DATA!$H$2:$H192,"&lt;&gt;-")</f>
        <v>#DIV/0!</v>
      </c>
      <c r="N106" s="308"/>
    </row>
    <row r="107" spans="2:14" ht="13" x14ac:dyDescent="0.3">
      <c r="B107" s="87"/>
      <c r="C107" s="96" t="s">
        <v>275</v>
      </c>
      <c r="D107" s="97" t="e">
        <f t="shared" ref="D107:F107" si="7">SUM(D104:D106)</f>
        <v>#DIV/0!</v>
      </c>
      <c r="E107" s="97" t="e">
        <f t="shared" si="7"/>
        <v>#DIV/0!</v>
      </c>
      <c r="F107" s="97" t="e">
        <f t="shared" si="7"/>
        <v>#DIV/0!</v>
      </c>
      <c r="N107" s="308"/>
    </row>
    <row r="108" spans="2:14" ht="12.5" x14ac:dyDescent="0.25">
      <c r="B108" s="87"/>
      <c r="C108" s="24"/>
      <c r="D108" s="91"/>
      <c r="E108" s="91"/>
      <c r="F108" s="91"/>
      <c r="G108" s="24"/>
      <c r="H108" s="24"/>
      <c r="N108" s="308"/>
    </row>
    <row r="109" spans="2:14" ht="12.5" x14ac:dyDescent="0.25">
      <c r="B109" s="87"/>
      <c r="C109" s="98"/>
      <c r="D109" s="91"/>
      <c r="E109" s="91"/>
      <c r="F109" s="91"/>
      <c r="G109" s="24"/>
      <c r="H109" s="24"/>
      <c r="N109" s="308"/>
    </row>
    <row r="110" spans="2:14" ht="12.5" x14ac:dyDescent="0.25">
      <c r="B110" s="87"/>
      <c r="C110" s="367" t="s">
        <v>1</v>
      </c>
      <c r="D110" s="368" t="s">
        <v>83</v>
      </c>
      <c r="G110" s="24"/>
      <c r="H110" s="24"/>
      <c r="N110" s="308"/>
    </row>
    <row r="111" spans="2:14" ht="13" x14ac:dyDescent="0.3">
      <c r="B111" s="87"/>
      <c r="D111" s="99"/>
      <c r="G111" s="24"/>
      <c r="H111" s="24"/>
      <c r="N111" s="308"/>
    </row>
    <row r="112" spans="2:14" ht="12.5" x14ac:dyDescent="0.25">
      <c r="B112" s="87"/>
      <c r="C112" s="347"/>
      <c r="D112" s="348" t="s">
        <v>8</v>
      </c>
      <c r="E112" s="349" t="s">
        <v>1489</v>
      </c>
      <c r="F112" s="350"/>
      <c r="G112" s="350"/>
      <c r="H112" s="350"/>
      <c r="I112" s="351"/>
      <c r="N112" s="308"/>
    </row>
    <row r="113" spans="2:14" ht="12.5" x14ac:dyDescent="0.25">
      <c r="B113" s="87"/>
      <c r="C113" s="352"/>
      <c r="D113" s="347">
        <v>2022</v>
      </c>
      <c r="E113" s="350"/>
      <c r="F113" s="347" t="s">
        <v>113</v>
      </c>
      <c r="G113" s="350"/>
      <c r="H113" s="347" t="s">
        <v>20</v>
      </c>
      <c r="I113" s="351"/>
      <c r="N113" s="308"/>
    </row>
    <row r="114" spans="2:14" ht="12.5" x14ac:dyDescent="0.25">
      <c r="B114" s="87"/>
      <c r="C114" s="348" t="s">
        <v>7</v>
      </c>
      <c r="D114" s="347" t="s">
        <v>2033</v>
      </c>
      <c r="E114" s="354" t="s">
        <v>2033</v>
      </c>
      <c r="F114" s="347" t="s">
        <v>2033</v>
      </c>
      <c r="G114" s="354" t="s">
        <v>2033</v>
      </c>
      <c r="H114" s="347" t="s">
        <v>2033</v>
      </c>
      <c r="I114" s="355" t="s">
        <v>2033</v>
      </c>
      <c r="N114" s="308"/>
    </row>
    <row r="115" spans="2:14" ht="12.5" x14ac:dyDescent="0.25">
      <c r="B115" s="87"/>
      <c r="C115" s="353" t="s">
        <v>19</v>
      </c>
      <c r="D115" s="356">
        <v>23</v>
      </c>
      <c r="E115" s="357">
        <v>0.6216216216216216</v>
      </c>
      <c r="F115" s="356">
        <v>39</v>
      </c>
      <c r="G115" s="357">
        <v>0.95121951219512191</v>
      </c>
      <c r="H115" s="356">
        <v>140</v>
      </c>
      <c r="I115" s="358">
        <v>1</v>
      </c>
      <c r="N115" s="308"/>
    </row>
    <row r="116" spans="2:14" ht="12.5" x14ac:dyDescent="0.25">
      <c r="B116" s="87"/>
      <c r="C116" s="359" t="s">
        <v>23</v>
      </c>
      <c r="D116" s="360">
        <v>14</v>
      </c>
      <c r="E116" s="361">
        <v>0.3783783783783784</v>
      </c>
      <c r="F116" s="360">
        <v>2</v>
      </c>
      <c r="G116" s="361">
        <v>4.878048780487805E-2</v>
      </c>
      <c r="H116" s="360"/>
      <c r="I116" s="362">
        <v>0</v>
      </c>
      <c r="N116" s="308"/>
    </row>
    <row r="117" spans="2:14" ht="12.5" x14ac:dyDescent="0.25">
      <c r="B117" s="87"/>
      <c r="C117" s="363" t="s">
        <v>2034</v>
      </c>
      <c r="D117" s="364">
        <v>37</v>
      </c>
      <c r="E117" s="365">
        <v>1</v>
      </c>
      <c r="F117" s="364">
        <v>41</v>
      </c>
      <c r="G117" s="365">
        <v>1</v>
      </c>
      <c r="H117" s="364">
        <v>140</v>
      </c>
      <c r="I117" s="366">
        <v>1</v>
      </c>
      <c r="N117" s="308"/>
    </row>
    <row r="118" spans="2:14" ht="12.5" x14ac:dyDescent="0.25">
      <c r="B118" s="87"/>
      <c r="C118" s="103"/>
      <c r="D118" s="104"/>
      <c r="E118" s="102"/>
      <c r="F118" s="104"/>
      <c r="G118" s="102"/>
      <c r="H118" s="104"/>
      <c r="I118" s="102"/>
      <c r="N118" s="308"/>
    </row>
    <row r="119" spans="2:14" ht="13" x14ac:dyDescent="0.3">
      <c r="B119" s="87"/>
      <c r="D119" s="99"/>
      <c r="G119" s="24"/>
      <c r="H119" s="24"/>
      <c r="N119" s="308"/>
    </row>
    <row r="120" spans="2:14" ht="13" x14ac:dyDescent="0.3">
      <c r="B120" s="87"/>
      <c r="D120" s="99"/>
      <c r="G120" s="24"/>
      <c r="H120" s="24"/>
      <c r="N120" s="308"/>
    </row>
    <row r="121" spans="2:14" ht="13" x14ac:dyDescent="0.3">
      <c r="B121" s="87"/>
      <c r="D121" s="99"/>
      <c r="G121" s="24"/>
      <c r="H121" s="24"/>
      <c r="N121" s="308"/>
    </row>
    <row r="122" spans="2:14" ht="12.5" x14ac:dyDescent="0.25">
      <c r="B122" s="107"/>
      <c r="C122" s="108"/>
      <c r="D122" s="108"/>
      <c r="E122" s="108"/>
      <c r="F122" s="108"/>
      <c r="G122" s="109"/>
      <c r="H122" s="109"/>
      <c r="I122" s="109"/>
      <c r="J122" s="109"/>
      <c r="K122" s="109"/>
      <c r="L122" s="109"/>
      <c r="M122" s="109"/>
      <c r="N122" s="309"/>
    </row>
    <row r="123" spans="2:14" ht="12.5" x14ac:dyDescent="0.25">
      <c r="C123" s="70"/>
      <c r="D123" s="115"/>
      <c r="E123" s="115"/>
    </row>
    <row r="124" spans="2:14" ht="12.5" x14ac:dyDescent="0.25">
      <c r="C124" s="70"/>
      <c r="D124" s="115"/>
      <c r="E124" s="115"/>
    </row>
    <row r="125" spans="2:14" ht="12.5" x14ac:dyDescent="0.25">
      <c r="B125" s="84"/>
      <c r="C125" s="85"/>
      <c r="D125" s="85"/>
      <c r="E125" s="85"/>
      <c r="F125" s="85"/>
      <c r="G125" s="85"/>
      <c r="H125" s="85"/>
      <c r="I125" s="85"/>
      <c r="J125" s="85"/>
      <c r="K125" s="85"/>
      <c r="L125" s="85"/>
      <c r="M125" s="85"/>
      <c r="N125" s="86" t="s">
        <v>274</v>
      </c>
    </row>
    <row r="126" spans="2:14" ht="13" x14ac:dyDescent="0.3">
      <c r="B126" s="87"/>
      <c r="C126" s="88" t="s">
        <v>295</v>
      </c>
      <c r="D126" s="89"/>
      <c r="E126" s="89"/>
      <c r="N126" s="307" t="e">
        <f ca="1">callGemini("Analiza los datos proporcionados, que muestran los niveles de logro en "&amp;$C$2&amp;" de los estudiantes de la red rural "&amp;D128&amp;"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"&amp;MID(D128,1,2)&amp;" sector rural de la región '"&amp;MID(D128,4,20)&amp;"'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crearJSONdesdeTabla(C133:F136,0))</f>
        <v>#NAME?</v>
      </c>
    </row>
    <row r="127" spans="2:14" ht="13" x14ac:dyDescent="0.3">
      <c r="B127" s="87"/>
      <c r="C127" s="90" t="s">
        <v>296</v>
      </c>
      <c r="D127" s="310" t="s">
        <v>297</v>
      </c>
      <c r="E127" s="311"/>
      <c r="F127" s="24" t="str">
        <f t="shared" ref="F127:F129" si="8">IF(D127="*","Todos","")</f>
        <v>Todos</v>
      </c>
      <c r="I127" s="91"/>
      <c r="J127" s="91"/>
      <c r="K127" s="91"/>
      <c r="L127" s="91"/>
      <c r="M127" s="91"/>
      <c r="N127" s="308"/>
    </row>
    <row r="128" spans="2:14" ht="13" x14ac:dyDescent="0.3">
      <c r="B128" s="87"/>
      <c r="C128" s="90" t="s">
        <v>298</v>
      </c>
      <c r="D128" s="310" t="s">
        <v>44</v>
      </c>
      <c r="E128" s="311"/>
      <c r="F128" s="24" t="str">
        <f t="shared" si="8"/>
        <v/>
      </c>
      <c r="I128" s="24"/>
      <c r="J128" s="24"/>
      <c r="K128" s="24"/>
      <c r="L128" s="24"/>
      <c r="N128" s="308"/>
    </row>
    <row r="129" spans="2:14" ht="13" x14ac:dyDescent="0.3">
      <c r="B129" s="87"/>
      <c r="C129" s="90" t="s">
        <v>6</v>
      </c>
      <c r="D129" s="310" t="s">
        <v>297</v>
      </c>
      <c r="E129" s="311"/>
      <c r="F129" s="24" t="str">
        <f t="shared" si="8"/>
        <v>Todos</v>
      </c>
      <c r="I129" s="91"/>
      <c r="J129" s="91"/>
      <c r="K129" s="91"/>
      <c r="L129" s="91"/>
      <c r="M129" s="91"/>
      <c r="N129" s="308"/>
    </row>
    <row r="130" spans="2:14" ht="12.5" x14ac:dyDescent="0.25">
      <c r="B130" s="87"/>
      <c r="I130" s="91"/>
      <c r="J130" s="91"/>
      <c r="K130" s="91"/>
      <c r="L130" s="91"/>
      <c r="M130" s="91"/>
      <c r="N130" s="308"/>
    </row>
    <row r="131" spans="2:14" ht="12.5" x14ac:dyDescent="0.25">
      <c r="B131" s="87"/>
      <c r="I131" s="91"/>
      <c r="J131" s="91"/>
      <c r="K131" s="91"/>
      <c r="N131" s="308"/>
    </row>
    <row r="132" spans="2:14" ht="13" x14ac:dyDescent="0.3">
      <c r="B132" s="87"/>
      <c r="C132" s="92"/>
      <c r="D132" s="93"/>
      <c r="E132" s="93"/>
      <c r="F132" s="93"/>
      <c r="I132" s="91"/>
      <c r="J132" s="91"/>
      <c r="K132" s="91"/>
      <c r="N132" s="308"/>
    </row>
    <row r="133" spans="2:14" ht="13" x14ac:dyDescent="0.3">
      <c r="B133" s="87"/>
      <c r="C133" s="94" t="s">
        <v>300</v>
      </c>
      <c r="D133" s="95">
        <v>2022</v>
      </c>
      <c r="E133" s="95">
        <v>2023</v>
      </c>
      <c r="F133" s="95">
        <v>2024</v>
      </c>
      <c r="I133" s="91"/>
      <c r="J133" s="91"/>
      <c r="K133" s="91"/>
      <c r="L133" s="91"/>
      <c r="M133" s="91"/>
      <c r="N133" s="308"/>
    </row>
    <row r="134" spans="2:14" ht="12.5" x14ac:dyDescent="0.25">
      <c r="B134" s="87"/>
      <c r="C134" s="24" t="s">
        <v>19</v>
      </c>
      <c r="D134" s="83" t="e">
        <f>COUNTIFS(DATA!$G$2:$G192,D129,DATA!$D$2:$D192,D127,DATA!$B$2:$B192,D128,DATA!$I$2:$I192,D$12,DATA!$H$2:$H192,$C134)/
COUNTIFS(DATA!$G$2:$G192,D129,DATA!$D$2:$D192,D127,DATA!$B$2:$B192,D128,DATA!$I$2:$I192,D$12,DATA!$H$2:$H192,"&lt;&gt;-")</f>
        <v>#DIV/0!</v>
      </c>
      <c r="E134" s="83" t="e">
        <f>COUNTIFS(DATA!$G$2:$G192,D129,DATA!$D$2:$D192,D127,DATA!$B$2:$B192,D128,DATA!$I$2:$I192,E$12,DATA!$H$2:$H192,$C134)/
COUNTIFS(DATA!$G$2:$G192,D129,DATA!$D$2:$D192,D127,DATA!$B$2:$B192,D128,DATA!$I$2:$I192,E$12,DATA!$H$2:$H192,"&lt;&gt;-")</f>
        <v>#DIV/0!</v>
      </c>
      <c r="F134" s="83" t="e">
        <f>COUNTIFS(DATA!$G$2:$G192,D129,DATA!$D$2:$D192,D127,DATA!$B$2:$B192,D128,DATA!$I$2:$I192,F$12,DATA!$H$2:$H192,$C134)/
COUNTIFS(DATA!$G$2:$G192,D129,DATA!$D$2:$D192,D127,DATA!$B$2:$B192,D128,DATA!$I$2:$I192,F$12,DATA!$H$2:$H192,"&lt;&gt;-")</f>
        <v>#DIV/0!</v>
      </c>
      <c r="I134" s="91"/>
      <c r="J134" s="91"/>
      <c r="K134" s="91"/>
      <c r="L134" s="91"/>
      <c r="M134" s="91"/>
      <c r="N134" s="308"/>
    </row>
    <row r="135" spans="2:14" ht="12.5" x14ac:dyDescent="0.25">
      <c r="B135" s="87"/>
      <c r="C135" s="24" t="s">
        <v>23</v>
      </c>
      <c r="D135" s="83" t="e">
        <f>COUNTIFS(DATA!$G$2:$G192,D129,DATA!$D$2:$D192,D127,DATA!$B$2:$B192,D128,DATA!$I$2:$I192,D$12,DATA!$H$2:$H192,$C135)/
COUNTIFS(DATA!$G$2:$G192,D129,DATA!$D$2:$D192,D127,DATA!$B$2:$B192,D128,DATA!$I$2:$I192,D$12,DATA!$H$2:$H192,"&lt;&gt;-")</f>
        <v>#DIV/0!</v>
      </c>
      <c r="E135" s="83" t="e">
        <f>COUNTIFS(DATA!$G$2:$G192,D129,DATA!$D$2:$D192,D127,DATA!$B$2:$B192,D128,DATA!$I$2:$I192,E$12,DATA!$H$2:$H192,$C135)/
COUNTIFS(DATA!$G$2:$G192,D129,DATA!$D$2:$D192,D127,DATA!$B$2:$B192,D128,DATA!$I$2:$I192,E$12,DATA!$H$2:$H192,"&lt;&gt;-")</f>
        <v>#DIV/0!</v>
      </c>
      <c r="F135" s="83" t="e">
        <f>COUNTIFS(DATA!$G$2:$G192,D129,DATA!$D$2:$D192,D127,DATA!$B$2:$B192,D128,DATA!$I$2:$I192,F$12,DATA!$H$2:$H192,$C135)/
COUNTIFS(DATA!$G$2:$G192,D129,DATA!$D$2:$D192,D127,DATA!$B$2:$B192,D128,DATA!$I$2:$I192,F$12,DATA!$H$2:$H192,"&lt;&gt;-")</f>
        <v>#DIV/0!</v>
      </c>
      <c r="I135" s="91"/>
      <c r="J135" s="91"/>
      <c r="K135" s="91"/>
      <c r="L135" s="91"/>
      <c r="M135" s="91"/>
      <c r="N135" s="308"/>
    </row>
    <row r="136" spans="2:14" ht="12.5" x14ac:dyDescent="0.25">
      <c r="B136" s="87"/>
      <c r="C136" s="24" t="s">
        <v>25</v>
      </c>
      <c r="D136" s="83" t="e">
        <f>COUNTIFS(DATA!$G$2:$G192,D129,DATA!$D$2:$D192,D127,DATA!$B$2:$B192,D128,DATA!$I$2:$I192,D$12,DATA!$H$2:$H192,$C136)/
COUNTIFS(DATA!$G$2:$G192,D129,DATA!$D$2:$D192,D127,DATA!$B$2:$B192,D128,DATA!$I$2:$I192,D$12,DATA!$H$2:$H192,"&lt;&gt;-")</f>
        <v>#DIV/0!</v>
      </c>
      <c r="E136" s="83" t="e">
        <f>COUNTIFS(DATA!$G$2:$G192,D129,DATA!$D$2:$D192,D127,DATA!$B$2:$B192,D128,DATA!$I$2:$I192,E$12,DATA!$H$2:$H192,$C136)/
COUNTIFS(DATA!$G$2:$G192,D129,DATA!$D$2:$D192,D127,DATA!$B$2:$B192,D128,DATA!$I$2:$I192,E$12,DATA!$H$2:$H192,"&lt;&gt;-")</f>
        <v>#DIV/0!</v>
      </c>
      <c r="F136" s="83" t="e">
        <f>COUNTIFS(DATA!$G$2:$G192,D129,DATA!$D$2:$D192,D127,DATA!$B$2:$B192,D128,DATA!$I$2:$I192,F$12,DATA!$H$2:$H192,$C136)/
COUNTIFS(DATA!$G$2:$G192,D129,DATA!$D$2:$D192,D127,DATA!$B$2:$B192,D128,DATA!$I$2:$I192,F$12,DATA!$H$2:$H192,"&lt;&gt;-")</f>
        <v>#DIV/0!</v>
      </c>
      <c r="N136" s="308"/>
    </row>
    <row r="137" spans="2:14" ht="13" x14ac:dyDescent="0.3">
      <c r="B137" s="87"/>
      <c r="C137" s="96" t="s">
        <v>275</v>
      </c>
      <c r="D137" s="97" t="e">
        <f t="shared" ref="D137:F137" si="9">SUM(D134:D136)</f>
        <v>#DIV/0!</v>
      </c>
      <c r="E137" s="97" t="e">
        <f t="shared" si="9"/>
        <v>#DIV/0!</v>
      </c>
      <c r="F137" s="97" t="e">
        <f t="shared" si="9"/>
        <v>#DIV/0!</v>
      </c>
      <c r="N137" s="308"/>
    </row>
    <row r="138" spans="2:14" ht="12.5" x14ac:dyDescent="0.25">
      <c r="B138" s="87"/>
      <c r="C138" s="24"/>
      <c r="D138" s="91"/>
      <c r="E138" s="91"/>
      <c r="F138" s="91"/>
      <c r="G138" s="24"/>
      <c r="H138" s="24"/>
      <c r="N138" s="308"/>
    </row>
    <row r="139" spans="2:14" ht="12.5" x14ac:dyDescent="0.25">
      <c r="B139" s="87"/>
      <c r="C139" s="98"/>
      <c r="D139" s="91"/>
      <c r="E139" s="91"/>
      <c r="F139" s="91"/>
      <c r="G139" s="24"/>
      <c r="H139" s="24"/>
      <c r="N139" s="308"/>
    </row>
    <row r="140" spans="2:14" ht="12.5" x14ac:dyDescent="0.25">
      <c r="B140" s="87"/>
      <c r="C140" s="367" t="s">
        <v>1</v>
      </c>
      <c r="D140" s="368" t="s">
        <v>44</v>
      </c>
      <c r="G140" s="24"/>
      <c r="H140" s="24"/>
      <c r="N140" s="308"/>
    </row>
    <row r="141" spans="2:14" ht="13" x14ac:dyDescent="0.3">
      <c r="B141" s="87"/>
      <c r="D141" s="99"/>
      <c r="G141" s="24"/>
      <c r="H141" s="24"/>
      <c r="N141" s="308"/>
    </row>
    <row r="142" spans="2:14" ht="12.5" x14ac:dyDescent="0.25">
      <c r="B142" s="87"/>
      <c r="C142" s="347"/>
      <c r="D142" s="348" t="s">
        <v>8</v>
      </c>
      <c r="E142" s="349" t="s">
        <v>1489</v>
      </c>
      <c r="F142" s="350"/>
      <c r="G142" s="350"/>
      <c r="H142" s="350"/>
      <c r="I142" s="351"/>
      <c r="N142" s="308"/>
    </row>
    <row r="143" spans="2:14" ht="12.5" x14ac:dyDescent="0.25">
      <c r="B143" s="87"/>
      <c r="C143" s="352"/>
      <c r="D143" s="347">
        <v>2022</v>
      </c>
      <c r="E143" s="350"/>
      <c r="F143" s="347" t="s">
        <v>113</v>
      </c>
      <c r="G143" s="350"/>
      <c r="H143" s="347" t="s">
        <v>20</v>
      </c>
      <c r="I143" s="351"/>
      <c r="N143" s="308"/>
    </row>
    <row r="144" spans="2:14" ht="12.5" x14ac:dyDescent="0.25">
      <c r="B144" s="87"/>
      <c r="C144" s="348" t="s">
        <v>7</v>
      </c>
      <c r="D144" s="347" t="s">
        <v>2033</v>
      </c>
      <c r="E144" s="354" t="s">
        <v>2033</v>
      </c>
      <c r="F144" s="347" t="s">
        <v>2033</v>
      </c>
      <c r="G144" s="354" t="s">
        <v>2033</v>
      </c>
      <c r="H144" s="347" t="s">
        <v>2033</v>
      </c>
      <c r="I144" s="355" t="s">
        <v>2033</v>
      </c>
      <c r="N144" s="308"/>
    </row>
    <row r="145" spans="2:14" ht="12.5" x14ac:dyDescent="0.25">
      <c r="B145" s="87"/>
      <c r="C145" s="353" t="s">
        <v>19</v>
      </c>
      <c r="D145" s="356"/>
      <c r="E145" s="357">
        <v>0</v>
      </c>
      <c r="F145" s="356">
        <v>25</v>
      </c>
      <c r="G145" s="357">
        <v>0.44642857142857145</v>
      </c>
      <c r="H145" s="356">
        <v>91</v>
      </c>
      <c r="I145" s="358">
        <v>0.91</v>
      </c>
      <c r="N145" s="308"/>
    </row>
    <row r="146" spans="2:14" ht="12.5" x14ac:dyDescent="0.25">
      <c r="B146" s="87"/>
      <c r="C146" s="359" t="s">
        <v>23</v>
      </c>
      <c r="D146" s="360">
        <v>22</v>
      </c>
      <c r="E146" s="361">
        <v>0.45833333333333331</v>
      </c>
      <c r="F146" s="360">
        <v>30</v>
      </c>
      <c r="G146" s="361">
        <v>0.5357142857142857</v>
      </c>
      <c r="H146" s="360">
        <v>9</v>
      </c>
      <c r="I146" s="362">
        <v>0.09</v>
      </c>
      <c r="N146" s="308"/>
    </row>
    <row r="147" spans="2:14" ht="12.5" x14ac:dyDescent="0.25">
      <c r="B147" s="87"/>
      <c r="C147" s="359" t="s">
        <v>25</v>
      </c>
      <c r="D147" s="360">
        <v>26</v>
      </c>
      <c r="E147" s="361">
        <v>0.54166666666666663</v>
      </c>
      <c r="F147" s="360">
        <v>1</v>
      </c>
      <c r="G147" s="361">
        <v>1.7857142857142856E-2</v>
      </c>
      <c r="H147" s="360"/>
      <c r="I147" s="362">
        <v>0</v>
      </c>
      <c r="N147" s="308"/>
    </row>
    <row r="148" spans="2:14" ht="12.5" x14ac:dyDescent="0.25">
      <c r="B148" s="87"/>
      <c r="C148" s="363" t="s">
        <v>2034</v>
      </c>
      <c r="D148" s="364">
        <v>48</v>
      </c>
      <c r="E148" s="365">
        <v>1</v>
      </c>
      <c r="F148" s="364">
        <v>56</v>
      </c>
      <c r="G148" s="365">
        <v>1</v>
      </c>
      <c r="H148" s="364">
        <v>100</v>
      </c>
      <c r="I148" s="366">
        <v>1</v>
      </c>
      <c r="N148" s="308"/>
    </row>
    <row r="149" spans="2:14" ht="12.5" x14ac:dyDescent="0.25">
      <c r="B149" s="107"/>
      <c r="C149" s="108"/>
      <c r="D149" s="108"/>
      <c r="E149" s="108"/>
      <c r="F149" s="108"/>
      <c r="G149" s="109"/>
      <c r="H149" s="109"/>
      <c r="I149" s="109"/>
      <c r="J149" s="109"/>
      <c r="K149" s="109"/>
      <c r="L149" s="109"/>
      <c r="M149" s="109"/>
      <c r="N149" s="309"/>
    </row>
    <row r="150" spans="2:14" ht="12.5" x14ac:dyDescent="0.25">
      <c r="C150" s="70"/>
      <c r="D150" s="115"/>
      <c r="E150" s="115"/>
    </row>
    <row r="151" spans="2:14" ht="12.5" x14ac:dyDescent="0.25">
      <c r="C151" s="70"/>
      <c r="D151" s="115"/>
      <c r="E151" s="115"/>
      <c r="F151" s="116"/>
    </row>
    <row r="152" spans="2:14" ht="12.5" x14ac:dyDescent="0.25">
      <c r="B152" s="84"/>
      <c r="C152" s="85"/>
      <c r="D152" s="85"/>
      <c r="E152" s="85"/>
      <c r="F152" s="85"/>
      <c r="G152" s="85"/>
      <c r="H152" s="85"/>
      <c r="I152" s="85"/>
      <c r="J152" s="85"/>
      <c r="K152" s="85"/>
      <c r="L152" s="85"/>
      <c r="M152" s="85"/>
      <c r="N152" s="86" t="s">
        <v>274</v>
      </c>
    </row>
    <row r="153" spans="2:14" ht="13" x14ac:dyDescent="0.3">
      <c r="B153" s="87"/>
      <c r="C153" s="88" t="s">
        <v>295</v>
      </c>
      <c r="D153" s="89"/>
      <c r="E153" s="89"/>
      <c r="N153" s="307" t="e">
        <f ca="1">callGemini("Analiza los datos proporcionados, que muestran los niveles de logro en "&amp;$C$2&amp;" de los estudiantes de la red rural "&amp;D155&amp;" en los colegios Fe y Alegría en los años 2024, 2023 y 2022.  
### **Instrucciones de análisis:**  
1. **Descripción de la situación actual (2024):**  
   - Explica el estado de los niveles de logro en Matemática en 2024.  
   - Enfócate en la categoría "&amp;"'Logro esperado' o 'Proceso' y destaca su porcentaje.  
   - Cuando se trarta de comparar la movilización de estudaintes enfócate en comparar el año 2024 con el año 2022 ya que el 2022 es la linea base, menciona linea base (2022) en tu redacción para gene"&amp;"rar mayor contexto.  
2. **Comparación con años anteriores:**  
   - Calcula el cambio porcentual de 'Logro esperado' comparado con 2023 y 2022.  
   - Destaca la **movilización de estudiantes** desde el nivel 'Inicio' hacia 'Proceso'.  
   - Usa la fórm"&amp;"ula: **(Porcentaje de 2024) - (Porcentaje del año anterior)** para obtener los cambios.  
   - Redondea los valores porcentuales a **números enteros (sin decimales)**.  
3. **Estructura de la respuesta:**  
   - Usa una narrativa clara y directa, similar"&amp;" al siguiente **EJEMPLO:**  
   *Ejemplo:*  
   *En el año 2024, los niveles de logro en "&amp;$C$2&amp;" de los estudiantes de la red "&amp;MID(D155,1,2)&amp;" sector rural de la región '"&amp;MID(D155,4,20)&amp;"' muestran que un 42% alcanzó el nivel de Satisfactorio. Este valor representa un aumento de 5 puntos porcentuales en comparación con 2023 y un aumento de 7 puntos porcentuales respecto a 2022.*  
   *Además, para el 2024 se observa una movilización posit"&amp;"iva de estudiantes desde el nivel 'Inicio' hacia 'Proceso', con una reducción del 15% en 'Inicio' comparado con la linea base (2022) y un aumento del 12% en 'Proceso' comparado con la linea base, lo que indica que más estudiantes están avanzando en sus ap"&amp;"rendizajes.*  
4. **Formato de salida:**  
   - **Analisis redactado en texto plano, sin información adicional ni comentarios.**  
   - **Los valores porcentuales deben estar redondeados a números enteros (ejemplo: 62%).**  
   - **En tu redacción usa co"&amp;"millas dobles no comillas simples cuando menciones algun nivel de logro.**  
Los datos a analizar están en el siguiente JSON: " &amp; crearJSONdesdeTabla(C160:F163,0))</f>
        <v>#NAME?</v>
      </c>
    </row>
    <row r="154" spans="2:14" ht="13" x14ac:dyDescent="0.3">
      <c r="B154" s="87"/>
      <c r="C154" s="90" t="s">
        <v>296</v>
      </c>
      <c r="D154" s="310" t="s">
        <v>297</v>
      </c>
      <c r="E154" s="311"/>
      <c r="F154" s="24" t="str">
        <f t="shared" ref="F154:F156" si="10">IF(D154="*","Todos","")</f>
        <v>Todos</v>
      </c>
      <c r="I154" s="91"/>
      <c r="J154" s="91"/>
      <c r="K154" s="91"/>
      <c r="L154" s="91"/>
      <c r="M154" s="91"/>
      <c r="N154" s="308"/>
    </row>
    <row r="155" spans="2:14" ht="13" x14ac:dyDescent="0.3">
      <c r="B155" s="87"/>
      <c r="C155" s="90" t="s">
        <v>298</v>
      </c>
      <c r="D155" s="310" t="s">
        <v>54</v>
      </c>
      <c r="E155" s="311"/>
      <c r="F155" s="24" t="str">
        <f t="shared" si="10"/>
        <v/>
      </c>
      <c r="I155" s="24"/>
      <c r="J155" s="24"/>
      <c r="K155" s="24"/>
      <c r="L155" s="24"/>
      <c r="N155" s="308"/>
    </row>
    <row r="156" spans="2:14" ht="13" x14ac:dyDescent="0.3">
      <c r="B156" s="87"/>
      <c r="C156" s="90" t="s">
        <v>6</v>
      </c>
      <c r="D156" s="310" t="s">
        <v>297</v>
      </c>
      <c r="E156" s="311"/>
      <c r="F156" s="24" t="str">
        <f t="shared" si="10"/>
        <v>Todos</v>
      </c>
      <c r="I156" s="91"/>
      <c r="J156" s="91"/>
      <c r="K156" s="91"/>
      <c r="L156" s="91"/>
      <c r="M156" s="91"/>
      <c r="N156" s="308"/>
    </row>
    <row r="157" spans="2:14" ht="12.5" x14ac:dyDescent="0.25">
      <c r="B157" s="87"/>
      <c r="I157" s="91"/>
      <c r="J157" s="91"/>
      <c r="K157" s="91"/>
      <c r="L157" s="91"/>
      <c r="M157" s="91"/>
      <c r="N157" s="308"/>
    </row>
    <row r="158" spans="2:14" ht="12.5" x14ac:dyDescent="0.25">
      <c r="B158" s="87"/>
      <c r="I158" s="91"/>
      <c r="J158" s="91"/>
      <c r="K158" s="91"/>
      <c r="N158" s="308"/>
    </row>
    <row r="159" spans="2:14" ht="13" x14ac:dyDescent="0.3">
      <c r="B159" s="87"/>
      <c r="C159" s="92"/>
      <c r="D159" s="93"/>
      <c r="E159" s="93"/>
      <c r="F159" s="93"/>
      <c r="I159" s="91"/>
      <c r="J159" s="91"/>
      <c r="K159" s="91"/>
      <c r="N159" s="308"/>
    </row>
    <row r="160" spans="2:14" ht="13" x14ac:dyDescent="0.3">
      <c r="B160" s="87"/>
      <c r="C160" s="94" t="s">
        <v>300</v>
      </c>
      <c r="D160" s="95">
        <v>2022</v>
      </c>
      <c r="E160" s="95">
        <v>2023</v>
      </c>
      <c r="F160" s="95">
        <v>2024</v>
      </c>
      <c r="I160" s="91"/>
      <c r="J160" s="91"/>
      <c r="K160" s="91"/>
      <c r="L160" s="91"/>
      <c r="M160" s="91"/>
      <c r="N160" s="308"/>
    </row>
    <row r="161" spans="2:14" ht="12.5" x14ac:dyDescent="0.25">
      <c r="B161" s="87"/>
      <c r="C161" s="24" t="s">
        <v>19</v>
      </c>
      <c r="D161" s="83" t="e">
        <f>COUNTIFS(DATA!$G$2:$G192,D156,DATA!$D$2:$D192,D154,DATA!$B$2:$B192,D155,DATA!$I$2:$I192,D$12,DATA!$H$2:$H192,$C161)/
COUNTIFS(DATA!$G$2:$G192,D156,DATA!$D$2:$D192,D154,DATA!$B$2:$B192,D155,DATA!$I$2:$I192,D$12,DATA!$H$2:$H192,"&lt;&gt;-")</f>
        <v>#DIV/0!</v>
      </c>
      <c r="E161" s="83" t="e">
        <f>COUNTIFS(DATA!$G$2:$G192,D156,DATA!$D$2:$D192,D154,DATA!$B$2:$B192,D155,DATA!$I$2:$I192,E$12,DATA!$H$2:$H192,$C161)/
COUNTIFS(DATA!$G$2:$G192,D156,DATA!$D$2:$D192,D154,DATA!$B$2:$B192,D155,DATA!$I$2:$I192,E$12,DATA!$H$2:$H192,"&lt;&gt;-")</f>
        <v>#DIV/0!</v>
      </c>
      <c r="F161" s="83" t="e">
        <f>COUNTIFS(DATA!$G$2:$G192,D156,DATA!$D$2:$D192,D154,DATA!$B$2:$B192,D155,DATA!$I$2:$I192,F$12,DATA!$H$2:$H192,$C161)/
COUNTIFS(DATA!$G$2:$G192,D156,DATA!$D$2:$D192,D154,DATA!$B$2:$B192,D155,DATA!$I$2:$I192,F$12,DATA!$H$2:$H192,"&lt;&gt;-")</f>
        <v>#DIV/0!</v>
      </c>
      <c r="I161" s="91"/>
      <c r="J161" s="91"/>
      <c r="K161" s="91"/>
      <c r="L161" s="91"/>
      <c r="M161" s="91"/>
      <c r="N161" s="308"/>
    </row>
    <row r="162" spans="2:14" ht="12.5" x14ac:dyDescent="0.25">
      <c r="B162" s="87"/>
      <c r="C162" s="24" t="s">
        <v>23</v>
      </c>
      <c r="D162" s="83" t="e">
        <f>COUNTIFS(DATA!$G$2:$G192,D156,DATA!$D$2:$D192,D154,DATA!$B$2:$B192,D155,DATA!$I$2:$I192,D$12,DATA!$H$2:$H192,$C162)/
COUNTIFS(DATA!$G$2:$G192,D156,DATA!$D$2:$D192,D154,DATA!$B$2:$B192,D155,DATA!$I$2:$I192,D$12,DATA!$H$2:$H192,"&lt;&gt;-")</f>
        <v>#DIV/0!</v>
      </c>
      <c r="E162" s="83" t="e">
        <f>COUNTIFS(DATA!$G$2:$G192,D156,DATA!$D$2:$D192,D154,DATA!$B$2:$B192,D155,DATA!$I$2:$I192,E$12,DATA!$H$2:$H192,$C162)/
COUNTIFS(DATA!$G$2:$G192,D156,DATA!$D$2:$D192,D154,DATA!$B$2:$B192,D155,DATA!$I$2:$I192,E$12,DATA!$H$2:$H192,"&lt;&gt;-")</f>
        <v>#DIV/0!</v>
      </c>
      <c r="F162" s="83" t="e">
        <f>COUNTIFS(DATA!$G$2:$G192,D156,DATA!$D$2:$D192,D154,DATA!$B$2:$B192,D155,DATA!$I$2:$I192,F$12,DATA!$H$2:$H192,$C162)/
COUNTIFS(DATA!$G$2:$G192,D156,DATA!$D$2:$D192,D154,DATA!$B$2:$B192,D155,DATA!$I$2:$I192,F$12,DATA!$H$2:$H192,"&lt;&gt;-")</f>
        <v>#DIV/0!</v>
      </c>
      <c r="I162" s="91"/>
      <c r="J162" s="91"/>
      <c r="K162" s="91"/>
      <c r="L162" s="91"/>
      <c r="M162" s="91"/>
      <c r="N162" s="308"/>
    </row>
    <row r="163" spans="2:14" ht="12.5" x14ac:dyDescent="0.25">
      <c r="B163" s="87"/>
      <c r="C163" s="24" t="s">
        <v>25</v>
      </c>
      <c r="D163" s="83" t="e">
        <f>COUNTIFS(DATA!$G$2:$G192,D156,DATA!$D$2:$D192,D154,DATA!$B$2:$B192,D155,DATA!$I$2:$I192,D$12,DATA!$H$2:$H192,$C163)/
COUNTIFS(DATA!$G$2:$G192,D156,DATA!$D$2:$D192,D154,DATA!$B$2:$B192,D155,DATA!$I$2:$I192,D$12,DATA!$H$2:$H192,"&lt;&gt;-")</f>
        <v>#DIV/0!</v>
      </c>
      <c r="E163" s="83" t="e">
        <f>COUNTIFS(DATA!$G$2:$G192,D156,DATA!$D$2:$D192,D154,DATA!$B$2:$B192,D155,DATA!$I$2:$I192,E$12,DATA!$H$2:$H192,$C163)/
COUNTIFS(DATA!$G$2:$G192,D156,DATA!$D$2:$D192,D154,DATA!$B$2:$B192,D155,DATA!$I$2:$I192,E$12,DATA!$H$2:$H192,"&lt;&gt;-")</f>
        <v>#DIV/0!</v>
      </c>
      <c r="F163" s="83" t="e">
        <f>COUNTIFS(DATA!$G$2:$G192,D156,DATA!$D$2:$D192,D154,DATA!$B$2:$B192,D155,DATA!$I$2:$I192,F$12,DATA!$H$2:$H192,$C163)/
COUNTIFS(DATA!$G$2:$G192,D156,DATA!$D$2:$D192,D154,DATA!$B$2:$B192,D155,DATA!$I$2:$I192,F$12,DATA!$H$2:$H192,"&lt;&gt;-")</f>
        <v>#DIV/0!</v>
      </c>
      <c r="N163" s="308"/>
    </row>
    <row r="164" spans="2:14" ht="13" x14ac:dyDescent="0.3">
      <c r="B164" s="87"/>
      <c r="C164" s="96" t="s">
        <v>275</v>
      </c>
      <c r="D164" s="97" t="e">
        <f t="shared" ref="D164:F164" si="11">SUM(D161:D163)</f>
        <v>#DIV/0!</v>
      </c>
      <c r="E164" s="97" t="e">
        <f t="shared" si="11"/>
        <v>#DIV/0!</v>
      </c>
      <c r="F164" s="97" t="e">
        <f t="shared" si="11"/>
        <v>#DIV/0!</v>
      </c>
      <c r="N164" s="308"/>
    </row>
    <row r="165" spans="2:14" ht="12.5" x14ac:dyDescent="0.25">
      <c r="B165" s="87"/>
      <c r="C165" s="24"/>
      <c r="D165" s="91"/>
      <c r="E165" s="91"/>
      <c r="F165" s="91"/>
      <c r="G165" s="24"/>
      <c r="H165" s="24"/>
      <c r="N165" s="308"/>
    </row>
    <row r="166" spans="2:14" ht="12.5" x14ac:dyDescent="0.25">
      <c r="B166" s="87"/>
      <c r="C166" s="98"/>
      <c r="D166" s="91"/>
      <c r="E166" s="91"/>
      <c r="F166" s="91"/>
      <c r="G166" s="24"/>
      <c r="H166" s="24"/>
      <c r="N166" s="308"/>
    </row>
    <row r="167" spans="2:14" ht="12.5" x14ac:dyDescent="0.25">
      <c r="B167" s="87"/>
      <c r="C167" s="367" t="s">
        <v>1</v>
      </c>
      <c r="D167" s="368" t="s">
        <v>54</v>
      </c>
      <c r="G167" s="24"/>
      <c r="H167" s="24"/>
      <c r="N167" s="308"/>
    </row>
    <row r="168" spans="2:14" ht="13" x14ac:dyDescent="0.3">
      <c r="B168" s="87"/>
      <c r="D168" s="99"/>
      <c r="G168" s="24"/>
      <c r="H168" s="24"/>
      <c r="N168" s="308"/>
    </row>
    <row r="169" spans="2:14" ht="12.5" x14ac:dyDescent="0.25">
      <c r="B169" s="87"/>
      <c r="C169" s="347"/>
      <c r="D169" s="348" t="s">
        <v>8</v>
      </c>
      <c r="E169" s="349" t="s">
        <v>1489</v>
      </c>
      <c r="F169" s="350"/>
      <c r="G169" s="350"/>
      <c r="H169" s="350"/>
      <c r="I169" s="351"/>
      <c r="N169" s="308"/>
    </row>
    <row r="170" spans="2:14" ht="12.5" x14ac:dyDescent="0.25">
      <c r="B170" s="87"/>
      <c r="C170" s="352"/>
      <c r="D170" s="347">
        <v>2022</v>
      </c>
      <c r="E170" s="350"/>
      <c r="F170" s="347" t="s">
        <v>113</v>
      </c>
      <c r="G170" s="350"/>
      <c r="H170" s="347" t="s">
        <v>20</v>
      </c>
      <c r="I170" s="351"/>
      <c r="N170" s="308"/>
    </row>
    <row r="171" spans="2:14" ht="12.5" x14ac:dyDescent="0.25">
      <c r="B171" s="87"/>
      <c r="C171" s="348" t="s">
        <v>7</v>
      </c>
      <c r="D171" s="347" t="s">
        <v>2033</v>
      </c>
      <c r="E171" s="354" t="s">
        <v>2033</v>
      </c>
      <c r="F171" s="347" t="s">
        <v>2033</v>
      </c>
      <c r="G171" s="354" t="s">
        <v>2033</v>
      </c>
      <c r="H171" s="347" t="s">
        <v>2033</v>
      </c>
      <c r="I171" s="355" t="s">
        <v>2033</v>
      </c>
      <c r="N171" s="308"/>
    </row>
    <row r="172" spans="2:14" ht="12.5" x14ac:dyDescent="0.25">
      <c r="B172" s="87"/>
      <c r="C172" s="353" t="s">
        <v>19</v>
      </c>
      <c r="D172" s="356">
        <v>52</v>
      </c>
      <c r="E172" s="357">
        <v>0.49523809523809526</v>
      </c>
      <c r="F172" s="356">
        <v>71</v>
      </c>
      <c r="G172" s="357">
        <v>0.89873417721518989</v>
      </c>
      <c r="H172" s="356">
        <v>134</v>
      </c>
      <c r="I172" s="358">
        <v>0.72043010752688175</v>
      </c>
      <c r="N172" s="308"/>
    </row>
    <row r="173" spans="2:14" ht="12.5" x14ac:dyDescent="0.25">
      <c r="B173" s="87"/>
      <c r="C173" s="359" t="s">
        <v>23</v>
      </c>
      <c r="D173" s="360">
        <v>36</v>
      </c>
      <c r="E173" s="361">
        <v>0.34285714285714286</v>
      </c>
      <c r="F173" s="360">
        <v>7</v>
      </c>
      <c r="G173" s="361">
        <v>8.8607594936708861E-2</v>
      </c>
      <c r="H173" s="360">
        <v>47</v>
      </c>
      <c r="I173" s="362">
        <v>0.25268817204301075</v>
      </c>
      <c r="N173" s="308"/>
    </row>
    <row r="174" spans="2:14" ht="12.5" x14ac:dyDescent="0.25">
      <c r="B174" s="87"/>
      <c r="C174" s="359" t="s">
        <v>25</v>
      </c>
      <c r="D174" s="360">
        <v>17</v>
      </c>
      <c r="E174" s="361">
        <v>0.16190476190476191</v>
      </c>
      <c r="F174" s="360">
        <v>1</v>
      </c>
      <c r="G174" s="361">
        <v>1.2658227848101266E-2</v>
      </c>
      <c r="H174" s="360">
        <v>5</v>
      </c>
      <c r="I174" s="362">
        <v>2.6881720430107527E-2</v>
      </c>
      <c r="N174" s="308"/>
    </row>
    <row r="175" spans="2:14" ht="12.5" x14ac:dyDescent="0.25">
      <c r="B175" s="87"/>
      <c r="C175" s="363" t="s">
        <v>2034</v>
      </c>
      <c r="D175" s="364">
        <v>105</v>
      </c>
      <c r="E175" s="365">
        <v>1</v>
      </c>
      <c r="F175" s="364">
        <v>79</v>
      </c>
      <c r="G175" s="365">
        <v>1</v>
      </c>
      <c r="H175" s="364">
        <v>186</v>
      </c>
      <c r="I175" s="366">
        <v>1</v>
      </c>
      <c r="N175" s="308"/>
    </row>
    <row r="176" spans="2:14" ht="13" x14ac:dyDescent="0.3">
      <c r="B176" s="87"/>
      <c r="D176" s="99"/>
      <c r="G176" s="24"/>
      <c r="H176" s="24"/>
      <c r="N176" s="308"/>
    </row>
    <row r="177" spans="2:14" ht="13" x14ac:dyDescent="0.3">
      <c r="B177" s="87"/>
      <c r="D177" s="99"/>
      <c r="G177" s="24"/>
      <c r="H177" s="24"/>
      <c r="N177" s="308"/>
    </row>
    <row r="178" spans="2:14" ht="13" x14ac:dyDescent="0.3">
      <c r="B178" s="87"/>
      <c r="D178" s="99"/>
      <c r="G178" s="24"/>
      <c r="H178" s="24"/>
      <c r="N178" s="308"/>
    </row>
    <row r="179" spans="2:14" ht="12.5" x14ac:dyDescent="0.25">
      <c r="B179" s="107"/>
      <c r="C179" s="108"/>
      <c r="D179" s="108"/>
      <c r="E179" s="108"/>
      <c r="F179" s="108"/>
      <c r="G179" s="109"/>
      <c r="H179" s="109"/>
      <c r="I179" s="109"/>
      <c r="J179" s="109"/>
      <c r="K179" s="109"/>
      <c r="L179" s="109"/>
      <c r="M179" s="109"/>
      <c r="N179" s="309"/>
    </row>
    <row r="180" spans="2:14" ht="12.5" x14ac:dyDescent="0.25">
      <c r="D180" s="117"/>
      <c r="E180" s="117"/>
    </row>
  </sheetData>
  <mergeCells count="24">
    <mergeCell ref="D155:E155"/>
    <mergeCell ref="D156:E156"/>
    <mergeCell ref="D69:E69"/>
    <mergeCell ref="D70:E70"/>
    <mergeCell ref="D71:E71"/>
    <mergeCell ref="D97:E97"/>
    <mergeCell ref="D98:E98"/>
    <mergeCell ref="D99:E99"/>
    <mergeCell ref="D127:E127"/>
    <mergeCell ref="D37:E37"/>
    <mergeCell ref="D38:E38"/>
    <mergeCell ref="D128:E128"/>
    <mergeCell ref="D129:E129"/>
    <mergeCell ref="D154:E154"/>
    <mergeCell ref="N5:N31"/>
    <mergeCell ref="D6:E6"/>
    <mergeCell ref="D7:E7"/>
    <mergeCell ref="D8:E8"/>
    <mergeCell ref="D36:E36"/>
    <mergeCell ref="N35:N63"/>
    <mergeCell ref="N68:N92"/>
    <mergeCell ref="N96:N122"/>
    <mergeCell ref="N126:N149"/>
    <mergeCell ref="N153:N179"/>
  </mergeCells>
  <dataValidations count="1">
    <dataValidation type="list" allowBlank="1" showErrorMessage="1" sqref="D8 D38 D71 D99 D129 D156" xr:uid="{00000000-0002-0000-0D00-000000000000}">
      <formula1>"*,Masculino,Femenino"</formula1>
    </dataValidation>
  </dataValidations>
  <printOptions horizontalCentered="1" gridLines="1"/>
  <pageMargins left="0.7" right="0.7" top="0.75" bottom="0.75" header="0" footer="0"/>
  <pageSetup paperSize="9" fitToHeight="0" pageOrder="overThenDown" orientation="portrait" cellComments="atEnd"/>
  <drawing r:id="rId7"/>
  <extLst>
    <ext xmlns:x14="http://schemas.microsoft.com/office/spreadsheetml/2009/9/main" uri="{CCE6A557-97BC-4b89-ADB6-D9C93CAAB3DF}">
      <x14:dataValidations xmlns:xm="http://schemas.microsoft.com/office/excel/2006/main" count="2">
        <x14:dataValidation type="list" allowBlank="1" showErrorMessage="1" xr:uid="{00000000-0002-0000-0D00-000001000000}">
          <x14:formula1>
            <xm:f>nombres!$M$4:$M$11</xm:f>
          </x14:formula1>
          <xm:sqref>D7 D37 D70 D98 D128 D155</xm:sqref>
        </x14:dataValidation>
        <x14:dataValidation type="list" allowBlank="1" showErrorMessage="1" xr:uid="{00000000-0002-0000-0D00-000002000000}">
          <x14:formula1>
            <xm:f>claves!$B$3:$B$10</xm:f>
          </x14:formula1>
          <xm:sqref>D6 D36 D69 D97 D127 D154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B2:N198"/>
  <sheetViews>
    <sheetView showGridLines="0" workbookViewId="0"/>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2" max="12" width="7.6328125" customWidth="1"/>
    <col min="13" max="13" width="3" customWidth="1"/>
    <col min="14" max="14" width="37" customWidth="1"/>
  </cols>
  <sheetData>
    <row r="2" spans="2:14" ht="15.75" customHeight="1" x14ac:dyDescent="0.25">
      <c r="C2" s="24" t="s">
        <v>294</v>
      </c>
    </row>
    <row r="4" spans="2:14" ht="15.75" customHeight="1" x14ac:dyDescent="0.25">
      <c r="B4" s="84"/>
      <c r="C4" s="85"/>
      <c r="D4" s="85"/>
      <c r="E4" s="85"/>
      <c r="F4" s="85"/>
      <c r="G4" s="85"/>
      <c r="H4" s="85"/>
      <c r="I4" s="85"/>
      <c r="J4" s="85"/>
      <c r="K4" s="85"/>
      <c r="L4" s="85"/>
      <c r="M4" s="85"/>
      <c r="N4" s="86" t="s">
        <v>274</v>
      </c>
    </row>
    <row r="5" spans="2:14" x14ac:dyDescent="0.3">
      <c r="B5" s="87"/>
      <c r="C5" s="88" t="s">
        <v>295</v>
      </c>
      <c r="D5" s="89"/>
      <c r="E5" s="89"/>
      <c r="N5" s="307" t="s">
        <v>303</v>
      </c>
    </row>
    <row r="6" spans="2:14" x14ac:dyDescent="0.3">
      <c r="B6" s="87"/>
      <c r="C6" s="90" t="s">
        <v>296</v>
      </c>
      <c r="D6" s="310" t="s">
        <v>141</v>
      </c>
      <c r="E6" s="311"/>
      <c r="F6" s="24" t="str">
        <f t="shared" ref="F6:F8" si="0">IF(D6="*","Todos","")</f>
        <v/>
      </c>
      <c r="I6" s="91"/>
      <c r="J6" s="91"/>
      <c r="K6" s="91"/>
      <c r="L6" s="91"/>
      <c r="M6" s="91"/>
      <c r="N6" s="308"/>
    </row>
    <row r="7" spans="2:14" x14ac:dyDescent="0.3">
      <c r="B7" s="87"/>
      <c r="C7" s="90" t="s">
        <v>298</v>
      </c>
      <c r="D7" s="310" t="s">
        <v>297</v>
      </c>
      <c r="E7" s="311"/>
      <c r="F7" s="24" t="str">
        <f t="shared" si="0"/>
        <v>Todos</v>
      </c>
      <c r="I7" s="24"/>
      <c r="J7" s="24"/>
      <c r="K7" s="24"/>
      <c r="L7" s="24"/>
      <c r="N7" s="308"/>
    </row>
    <row r="8" spans="2:14" x14ac:dyDescent="0.3">
      <c r="B8" s="87"/>
      <c r="C8" s="90" t="s">
        <v>6</v>
      </c>
      <c r="D8" s="310" t="s">
        <v>297</v>
      </c>
      <c r="E8" s="311"/>
      <c r="F8" s="24" t="str">
        <f t="shared" si="0"/>
        <v>Todos</v>
      </c>
      <c r="I8" s="91"/>
      <c r="J8" s="91"/>
      <c r="K8" s="91"/>
      <c r="L8" s="91"/>
      <c r="M8" s="91"/>
      <c r="N8" s="308"/>
    </row>
    <row r="9" spans="2:14" ht="15.75" customHeight="1" x14ac:dyDescent="0.25">
      <c r="B9" s="87"/>
      <c r="I9" s="91"/>
      <c r="J9" s="91"/>
      <c r="K9" s="91"/>
      <c r="L9" s="91"/>
      <c r="M9" s="91"/>
      <c r="N9" s="308"/>
    </row>
    <row r="10" spans="2:14" ht="15.75" customHeight="1" x14ac:dyDescent="0.25">
      <c r="B10" s="87"/>
      <c r="I10" s="91"/>
      <c r="J10" s="91"/>
      <c r="K10" s="91"/>
      <c r="N10" s="308"/>
    </row>
    <row r="11" spans="2:14" x14ac:dyDescent="0.3">
      <c r="B11" s="87"/>
      <c r="C11" s="92"/>
      <c r="D11" s="93"/>
      <c r="E11" s="93"/>
      <c r="F11" s="93"/>
      <c r="I11" s="91"/>
      <c r="J11" s="91"/>
      <c r="K11" s="91"/>
      <c r="N11" s="308"/>
    </row>
    <row r="12" spans="2:14" x14ac:dyDescent="0.3">
      <c r="B12" s="87"/>
      <c r="C12" s="94" t="s">
        <v>300</v>
      </c>
      <c r="D12" s="95">
        <v>2022</v>
      </c>
      <c r="E12" s="95">
        <v>2023</v>
      </c>
      <c r="F12" s="95">
        <v>2024</v>
      </c>
      <c r="I12" s="91"/>
      <c r="J12" s="91"/>
      <c r="K12" s="91"/>
      <c r="L12" s="91"/>
      <c r="M12" s="91"/>
      <c r="N12" s="308"/>
    </row>
    <row r="13" spans="2:14" ht="15.75" customHeight="1" x14ac:dyDescent="0.25">
      <c r="B13" s="87"/>
      <c r="C13" s="24" t="s">
        <v>19</v>
      </c>
      <c r="D13" s="83">
        <v>0.83333333333333337</v>
      </c>
      <c r="E13" s="83" t="e">
        <v>#DIV/0!</v>
      </c>
      <c r="F13" s="83">
        <v>0.88888888888888884</v>
      </c>
      <c r="I13" s="91"/>
      <c r="J13" s="91"/>
      <c r="K13" s="91"/>
      <c r="L13" s="91"/>
      <c r="M13" s="91"/>
      <c r="N13" s="308"/>
    </row>
    <row r="14" spans="2:14" ht="15.75" customHeight="1" x14ac:dyDescent="0.25">
      <c r="B14" s="87"/>
      <c r="C14" s="24" t="s">
        <v>23</v>
      </c>
      <c r="D14" s="83">
        <v>0.16666666666666666</v>
      </c>
      <c r="E14" s="83" t="e">
        <v>#DIV/0!</v>
      </c>
      <c r="F14" s="83">
        <v>0.1111111111111111</v>
      </c>
      <c r="I14" s="91"/>
      <c r="J14" s="91"/>
      <c r="K14" s="91"/>
      <c r="L14" s="91"/>
      <c r="M14" s="91"/>
      <c r="N14" s="308"/>
    </row>
    <row r="15" spans="2:14" ht="15.75" customHeight="1" x14ac:dyDescent="0.25">
      <c r="B15" s="87"/>
      <c r="C15" s="24" t="s">
        <v>25</v>
      </c>
      <c r="D15" s="83">
        <v>0</v>
      </c>
      <c r="E15" s="83" t="e">
        <v>#DIV/0!</v>
      </c>
      <c r="F15" s="83">
        <v>0</v>
      </c>
      <c r="N15" s="308"/>
    </row>
    <row r="16" spans="2:14" x14ac:dyDescent="0.3">
      <c r="B16" s="87"/>
      <c r="C16" s="96" t="s">
        <v>275</v>
      </c>
      <c r="D16" s="97">
        <v>1</v>
      </c>
      <c r="E16" s="97" t="e">
        <v>#DIV/0!</v>
      </c>
      <c r="F16" s="97">
        <v>1</v>
      </c>
      <c r="N16" s="308"/>
    </row>
    <row r="17" spans="2:14" ht="15.75" customHeight="1" x14ac:dyDescent="0.25">
      <c r="B17" s="87"/>
      <c r="C17" s="24"/>
      <c r="D17" s="91"/>
      <c r="E17" s="91"/>
      <c r="F17" s="91"/>
      <c r="G17" s="24"/>
      <c r="H17" s="24"/>
      <c r="N17" s="308"/>
    </row>
    <row r="18" spans="2:14" ht="15.75" customHeight="1" x14ac:dyDescent="0.25">
      <c r="B18" s="87"/>
      <c r="C18" s="98"/>
      <c r="D18" s="91"/>
      <c r="E18" s="91"/>
      <c r="F18" s="91"/>
      <c r="G18" s="24"/>
      <c r="H18" s="24"/>
      <c r="N18" s="308"/>
    </row>
    <row r="19" spans="2:14" x14ac:dyDescent="0.3">
      <c r="B19" s="87"/>
      <c r="D19" s="99"/>
      <c r="G19" s="24"/>
      <c r="H19" s="24"/>
      <c r="N19" s="308"/>
    </row>
    <row r="20" spans="2:14" x14ac:dyDescent="0.3">
      <c r="B20" s="87"/>
      <c r="D20" s="99"/>
      <c r="G20" s="24"/>
      <c r="H20" s="24"/>
      <c r="N20" s="308"/>
    </row>
    <row r="21" spans="2:14" x14ac:dyDescent="0.3">
      <c r="B21" s="87"/>
      <c r="D21" s="99"/>
      <c r="G21" s="24"/>
      <c r="H21" s="24"/>
      <c r="N21" s="308"/>
    </row>
    <row r="22" spans="2:14" ht="12.5" x14ac:dyDescent="0.25">
      <c r="B22" s="87"/>
      <c r="C22" s="367" t="s">
        <v>3</v>
      </c>
      <c r="D22" s="368" t="s">
        <v>141</v>
      </c>
      <c r="G22" s="24"/>
      <c r="H22" s="24"/>
      <c r="N22" s="308"/>
    </row>
    <row r="23" spans="2:14" x14ac:dyDescent="0.3">
      <c r="B23" s="87"/>
      <c r="D23" s="99"/>
      <c r="G23" s="24"/>
      <c r="H23" s="24"/>
      <c r="N23" s="308"/>
    </row>
    <row r="24" spans="2:14" ht="12.5" x14ac:dyDescent="0.25">
      <c r="B24" s="87"/>
      <c r="C24" s="347"/>
      <c r="D24" s="348" t="s">
        <v>8</v>
      </c>
      <c r="E24" s="349" t="s">
        <v>1489</v>
      </c>
      <c r="F24" s="350"/>
      <c r="G24" s="351"/>
      <c r="H24" s="24"/>
      <c r="N24" s="308"/>
    </row>
    <row r="25" spans="2:14" ht="13" x14ac:dyDescent="0.3">
      <c r="B25" s="87"/>
      <c r="C25" s="352"/>
      <c r="D25" s="347">
        <v>2022</v>
      </c>
      <c r="E25" s="350"/>
      <c r="F25" s="347" t="s">
        <v>20</v>
      </c>
      <c r="G25" s="351"/>
      <c r="H25" s="99"/>
      <c r="I25" s="99"/>
      <c r="N25" s="308"/>
    </row>
    <row r="26" spans="2:14" ht="13" x14ac:dyDescent="0.3">
      <c r="B26" s="87"/>
      <c r="C26" s="348" t="s">
        <v>7</v>
      </c>
      <c r="D26" s="347" t="s">
        <v>2033</v>
      </c>
      <c r="E26" s="354" t="s">
        <v>2033</v>
      </c>
      <c r="F26" s="347" t="s">
        <v>2033</v>
      </c>
      <c r="G26" s="355" t="s">
        <v>2033</v>
      </c>
      <c r="H26" s="99"/>
      <c r="I26" s="99"/>
      <c r="N26" s="308"/>
    </row>
    <row r="27" spans="2:14" ht="12.5" x14ac:dyDescent="0.25">
      <c r="B27" s="87"/>
      <c r="C27" s="353" t="s">
        <v>19</v>
      </c>
      <c r="D27" s="356">
        <v>5</v>
      </c>
      <c r="E27" s="357">
        <v>0.83333333333333337</v>
      </c>
      <c r="F27" s="356">
        <v>16</v>
      </c>
      <c r="G27" s="358">
        <v>0.88888888888888884</v>
      </c>
      <c r="H27" s="68"/>
      <c r="I27" s="76"/>
      <c r="N27" s="308"/>
    </row>
    <row r="28" spans="2:14" ht="12.5" x14ac:dyDescent="0.25">
      <c r="B28" s="87"/>
      <c r="C28" s="359" t="s">
        <v>23</v>
      </c>
      <c r="D28" s="360">
        <v>1</v>
      </c>
      <c r="E28" s="361">
        <v>0.16666666666666666</v>
      </c>
      <c r="F28" s="360">
        <v>2</v>
      </c>
      <c r="G28" s="362">
        <v>0.1111111111111111</v>
      </c>
      <c r="H28" s="68"/>
      <c r="I28" s="76"/>
      <c r="N28" s="308"/>
    </row>
    <row r="29" spans="2:14" ht="13" x14ac:dyDescent="0.3">
      <c r="B29" s="87"/>
      <c r="C29" s="363" t="s">
        <v>2034</v>
      </c>
      <c r="D29" s="364">
        <v>6</v>
      </c>
      <c r="E29" s="365">
        <v>1</v>
      </c>
      <c r="F29" s="364">
        <v>18</v>
      </c>
      <c r="G29" s="366">
        <v>1</v>
      </c>
      <c r="H29" s="101"/>
      <c r="I29" s="102"/>
      <c r="N29" s="308"/>
    </row>
    <row r="30" spans="2:14" ht="13" x14ac:dyDescent="0.3">
      <c r="B30" s="87"/>
      <c r="D30" s="99"/>
      <c r="G30" s="24"/>
      <c r="H30" s="24"/>
      <c r="N30" s="308"/>
    </row>
    <row r="31" spans="2:14" ht="13" x14ac:dyDescent="0.3">
      <c r="B31" s="87"/>
      <c r="D31" s="99"/>
      <c r="G31" s="24"/>
      <c r="H31" s="24"/>
      <c r="N31" s="308"/>
    </row>
    <row r="32" spans="2:14" ht="13" x14ac:dyDescent="0.3">
      <c r="B32" s="87"/>
      <c r="D32" s="99"/>
      <c r="G32" s="24"/>
      <c r="H32" s="24"/>
      <c r="N32" s="308"/>
    </row>
    <row r="33" spans="2:14" ht="13" x14ac:dyDescent="0.3">
      <c r="B33" s="87"/>
      <c r="D33" s="99"/>
      <c r="G33" s="24"/>
      <c r="H33" s="24"/>
      <c r="N33" s="308"/>
    </row>
    <row r="34" spans="2:14" ht="13" x14ac:dyDescent="0.3">
      <c r="B34" s="87"/>
      <c r="D34" s="99"/>
      <c r="G34" s="24"/>
      <c r="H34" s="24"/>
      <c r="N34" s="308"/>
    </row>
    <row r="35" spans="2:14" ht="13" x14ac:dyDescent="0.3">
      <c r="B35" s="87"/>
      <c r="D35" s="99"/>
      <c r="G35" s="24"/>
      <c r="H35" s="24"/>
      <c r="N35" s="308"/>
    </row>
    <row r="36" spans="2:14" ht="13" x14ac:dyDescent="0.3">
      <c r="B36" s="87"/>
      <c r="D36" s="99"/>
      <c r="G36" s="24"/>
      <c r="H36" s="24"/>
      <c r="N36" s="308"/>
    </row>
    <row r="37" spans="2:14" ht="12.5" x14ac:dyDescent="0.25">
      <c r="B37" s="107"/>
      <c r="C37" s="108"/>
      <c r="D37" s="108"/>
      <c r="E37" s="108"/>
      <c r="F37" s="108"/>
      <c r="G37" s="109"/>
      <c r="H37" s="109"/>
      <c r="I37" s="109"/>
      <c r="J37" s="109"/>
      <c r="K37" s="109"/>
      <c r="L37" s="109"/>
      <c r="M37" s="109"/>
      <c r="N37" s="309"/>
    </row>
    <row r="38" spans="2:14" ht="12.5" x14ac:dyDescent="0.25">
      <c r="C38" s="24"/>
      <c r="D38" s="91"/>
      <c r="E38" s="91"/>
      <c r="F38" s="91"/>
    </row>
    <row r="39" spans="2:14" ht="12.5" x14ac:dyDescent="0.25">
      <c r="C39" s="24"/>
      <c r="D39" s="91"/>
      <c r="E39" s="91"/>
      <c r="F39" s="91"/>
    </row>
    <row r="40" spans="2:14" ht="12.5" x14ac:dyDescent="0.25">
      <c r="B40" s="84"/>
      <c r="C40" s="85"/>
      <c r="D40" s="85"/>
      <c r="E40" s="85"/>
      <c r="F40" s="85"/>
      <c r="G40" s="85"/>
      <c r="H40" s="85"/>
      <c r="I40" s="85"/>
      <c r="J40" s="85"/>
      <c r="K40" s="85"/>
      <c r="L40" s="85"/>
      <c r="M40" s="85"/>
      <c r="N40" s="86" t="s">
        <v>274</v>
      </c>
    </row>
    <row r="41" spans="2:14" ht="13" x14ac:dyDescent="0.3">
      <c r="B41" s="87"/>
      <c r="C41" s="88" t="s">
        <v>295</v>
      </c>
      <c r="D41" s="89"/>
      <c r="E41" s="89"/>
      <c r="N41" s="307" t="e">
        <f ca="1">callGemini("Analiza los datos proporcionados, que muestran los niveles de logro en "&amp;$C$2&amp;" de los estudiantes de "&amp;D42&amp;"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"&amp;MID(D42,1,1)&amp;"° de "&amp;MID(D42,3,20)&amp;"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crearJSONdesdeTabla(C48:F51,0))</f>
        <v>#NAME?</v>
      </c>
    </row>
    <row r="42" spans="2:14" ht="13" x14ac:dyDescent="0.3">
      <c r="B42" s="87"/>
      <c r="C42" s="90" t="s">
        <v>296</v>
      </c>
      <c r="D42" s="310" t="s">
        <v>45</v>
      </c>
      <c r="E42" s="311"/>
      <c r="F42" s="24" t="str">
        <f t="shared" ref="F42:F44" si="1">IF(D42="*","Todos","")</f>
        <v/>
      </c>
      <c r="I42" s="91"/>
      <c r="J42" s="91"/>
      <c r="K42" s="91"/>
      <c r="L42" s="91"/>
      <c r="M42" s="91"/>
      <c r="N42" s="308"/>
    </row>
    <row r="43" spans="2:14" ht="13" x14ac:dyDescent="0.3">
      <c r="B43" s="87"/>
      <c r="C43" s="90" t="s">
        <v>298</v>
      </c>
      <c r="D43" s="310" t="s">
        <v>297</v>
      </c>
      <c r="E43" s="311"/>
      <c r="F43" s="24" t="str">
        <f t="shared" si="1"/>
        <v>Todos</v>
      </c>
      <c r="I43" s="24"/>
      <c r="J43" s="24"/>
      <c r="K43" s="24"/>
      <c r="L43" s="24"/>
      <c r="N43" s="308"/>
    </row>
    <row r="44" spans="2:14" ht="13" x14ac:dyDescent="0.3">
      <c r="B44" s="87"/>
      <c r="C44" s="90" t="s">
        <v>6</v>
      </c>
      <c r="D44" s="310" t="s">
        <v>297</v>
      </c>
      <c r="E44" s="311"/>
      <c r="F44" s="24" t="str">
        <f t="shared" si="1"/>
        <v>Todos</v>
      </c>
      <c r="I44" s="91"/>
      <c r="J44" s="91"/>
      <c r="K44" s="91"/>
      <c r="L44" s="91"/>
      <c r="M44" s="91"/>
      <c r="N44" s="308"/>
    </row>
    <row r="45" spans="2:14" ht="12.5" x14ac:dyDescent="0.25">
      <c r="B45" s="87"/>
      <c r="I45" s="91"/>
      <c r="J45" s="91"/>
      <c r="K45" s="91"/>
      <c r="L45" s="91"/>
      <c r="M45" s="91"/>
      <c r="N45" s="308"/>
    </row>
    <row r="46" spans="2:14" ht="12.5" x14ac:dyDescent="0.25">
      <c r="B46" s="87"/>
      <c r="I46" s="91"/>
      <c r="J46" s="91"/>
      <c r="K46" s="91"/>
      <c r="N46" s="308"/>
    </row>
    <row r="47" spans="2:14" ht="13" x14ac:dyDescent="0.3">
      <c r="B47" s="87"/>
      <c r="C47" s="92"/>
      <c r="D47" s="93"/>
      <c r="E47" s="93"/>
      <c r="F47" s="93"/>
      <c r="I47" s="91"/>
      <c r="J47" s="91"/>
      <c r="K47" s="91"/>
      <c r="N47" s="308"/>
    </row>
    <row r="48" spans="2:14" ht="13" x14ac:dyDescent="0.3">
      <c r="B48" s="87"/>
      <c r="C48" s="94" t="s">
        <v>300</v>
      </c>
      <c r="D48" s="95">
        <v>2022</v>
      </c>
      <c r="E48" s="95">
        <v>2023</v>
      </c>
      <c r="F48" s="95">
        <v>2024</v>
      </c>
      <c r="I48" s="91"/>
      <c r="J48" s="91"/>
      <c r="K48" s="91"/>
      <c r="L48" s="91"/>
      <c r="M48" s="91"/>
      <c r="N48" s="308"/>
    </row>
    <row r="49" spans="2:14" ht="12.5" x14ac:dyDescent="0.25">
      <c r="B49" s="87"/>
      <c r="C49" s="24" t="s">
        <v>19</v>
      </c>
      <c r="D49" s="83" t="e">
        <f>COUNTIFS(DATA!$G$2:$G210,$D$8,DATA!$D$2:$D210,D42,DATA!$B$2:$B210,$D$7,DATA!$I$2:$I210,D$12,DATA!$H$2:$H210,$C49)/
COUNTIFS(DATA!$G$2:$G210,$D$8,DATA!$D$2:$D210,D42,DATA!$B$2:$B210,$D$7,DATA!$I$2:$I210,D$12,DATA!$H$2:$H210,"&lt;&gt;-")</f>
        <v>#DIV/0!</v>
      </c>
      <c r="E49" s="83" t="e">
        <f>COUNTIFS(DATA!$G$2:$G210,$D$8,DATA!$D$2:$D210,D42,DATA!$B$2:$B210,$D$7,DATA!$I$2:$I210,E$12,DATA!$H$2:$H210,$C49)/
COUNTIFS(DATA!$G$2:$G210,$D$8,DATA!$D$2:$D210,D42,DATA!$B$2:$B210,$D$7,DATA!$I$2:$I210,E$12,DATA!$H$2:$H210,"&lt;&gt;-")</f>
        <v>#DIV/0!</v>
      </c>
      <c r="F49" s="83" t="e">
        <f>COUNTIFS(DATA!$G$2:$G210,$D$8,DATA!$D$2:$D210,D42,DATA!$B$2:$B210,$D$7,DATA!$I$2:$I210,F$12,DATA!$H$2:$H210,$C49)/
COUNTIFS(DATA!$G$2:$G210,$D$8,DATA!$D$2:$D210,D42,DATA!$B$2:$B210,$D$7,DATA!$I$2:$I210,F$12,DATA!$H$2:$H210,"&lt;&gt;-")</f>
        <v>#DIV/0!</v>
      </c>
      <c r="I49" s="91"/>
      <c r="J49" s="91"/>
      <c r="K49" s="91"/>
      <c r="L49" s="91"/>
      <c r="M49" s="91"/>
      <c r="N49" s="308"/>
    </row>
    <row r="50" spans="2:14" ht="12.5" x14ac:dyDescent="0.25">
      <c r="B50" s="87"/>
      <c r="C50" s="24" t="s">
        <v>23</v>
      </c>
      <c r="D50" s="83" t="e">
        <f>COUNTIFS(DATA!$G$2:$G210,$D$8,DATA!$D$2:$D210,D42,DATA!$B$2:$B210,$D$7,DATA!$I$2:$I210,D$12,DATA!$H$2:$H210,$C50)/
COUNTIFS(DATA!$G$2:$G210,$D$8,DATA!$D$2:$D210,D42,DATA!$B$2:$B210,$D$7,DATA!$I$2:$I210,D$12,DATA!$H$2:$H210,"&lt;&gt;-")</f>
        <v>#DIV/0!</v>
      </c>
      <c r="E50" s="83" t="e">
        <f>COUNTIFS(DATA!$G$2:$G210,$D$8,DATA!$D$2:$D210,D42,DATA!$B$2:$B210,$D$7,DATA!$I$2:$I210,E$12,DATA!$H$2:$H210,$C50)/
COUNTIFS(DATA!$G$2:$G210,$D$8,DATA!$D$2:$D210,D42,DATA!$B$2:$B210,$D$7,DATA!$I$2:$I210,E$12,DATA!$H$2:$H210,"&lt;&gt;-")</f>
        <v>#DIV/0!</v>
      </c>
      <c r="F50" s="83" t="e">
        <f>COUNTIFS(DATA!$G$2:$G210,$D$8,DATA!$D$2:$D210,D42,DATA!$B$2:$B210,$D$7,DATA!$I$2:$I210,F$12,DATA!$H$2:$H210,$C50)/
COUNTIFS(DATA!$G$2:$G210,$D$8,DATA!$D$2:$D210,D42,DATA!$B$2:$B210,$D$7,DATA!$I$2:$I210,F$12,DATA!$H$2:$H210,"&lt;&gt;-")</f>
        <v>#DIV/0!</v>
      </c>
      <c r="I50" s="91"/>
      <c r="J50" s="91"/>
      <c r="K50" s="91"/>
      <c r="L50" s="91"/>
      <c r="M50" s="91"/>
      <c r="N50" s="308"/>
    </row>
    <row r="51" spans="2:14" ht="12.5" x14ac:dyDescent="0.25">
      <c r="B51" s="87"/>
      <c r="C51" s="24" t="s">
        <v>25</v>
      </c>
      <c r="D51" s="83" t="e">
        <f>COUNTIFS(DATA!$G$2:$G210,$D$8,DATA!$D$2:$D210,D42,DATA!$B$2:$B210,$D$7,DATA!$I$2:$I210,D$12,DATA!$H$2:$H210,$C51)/
COUNTIFS(DATA!$G$2:$G210,$D$8,DATA!$D$2:$D210,D42,DATA!$B$2:$B210,$D$7,DATA!$I$2:$I210,D$12,DATA!$H$2:$H210,"&lt;&gt;-")</f>
        <v>#DIV/0!</v>
      </c>
      <c r="E51" s="83" t="e">
        <f>COUNTIFS(DATA!$G$2:$G210,$D$8,DATA!$D$2:$D210,D42,DATA!$B$2:$B210,$D$7,DATA!$I$2:$I210,E$12,DATA!$H$2:$H210,$C51)/
COUNTIFS(DATA!$G$2:$G210,$D$8,DATA!$D$2:$D210,D42,DATA!$B$2:$B210,$D$7,DATA!$I$2:$I210,E$12,DATA!$H$2:$H210,"&lt;&gt;-")</f>
        <v>#DIV/0!</v>
      </c>
      <c r="F51" s="83" t="e">
        <f>COUNTIFS(DATA!$G$2:$G210,$D$8,DATA!$D$2:$D210,D42,DATA!$B$2:$B210,$D$7,DATA!$I$2:$I210,F$12,DATA!$H$2:$H210,$C51)/
COUNTIFS(DATA!$G$2:$G210,$D$8,DATA!$D$2:$D210,D42,DATA!$B$2:$B210,$D$7,DATA!$I$2:$I210,F$12,DATA!$H$2:$H210,"&lt;&gt;-")</f>
        <v>#DIV/0!</v>
      </c>
      <c r="N51" s="308"/>
    </row>
    <row r="52" spans="2:14" ht="13" x14ac:dyDescent="0.3">
      <c r="B52" s="87"/>
      <c r="C52" s="96" t="s">
        <v>275</v>
      </c>
      <c r="D52" s="97" t="e">
        <f t="shared" ref="D52:F52" si="2">SUM(D49:D51)</f>
        <v>#DIV/0!</v>
      </c>
      <c r="E52" s="97" t="e">
        <f t="shared" si="2"/>
        <v>#DIV/0!</v>
      </c>
      <c r="F52" s="97" t="e">
        <f t="shared" si="2"/>
        <v>#DIV/0!</v>
      </c>
      <c r="N52" s="308"/>
    </row>
    <row r="53" spans="2:14" ht="12.5" x14ac:dyDescent="0.25">
      <c r="B53" s="87"/>
      <c r="C53" s="24"/>
      <c r="D53" s="91"/>
      <c r="E53" s="91"/>
      <c r="F53" s="91"/>
      <c r="G53" s="24"/>
      <c r="H53" s="24"/>
      <c r="N53" s="308"/>
    </row>
    <row r="54" spans="2:14" ht="12.5" x14ac:dyDescent="0.25">
      <c r="B54" s="87"/>
      <c r="C54" s="98"/>
      <c r="D54" s="91"/>
      <c r="E54" s="91"/>
      <c r="F54" s="91"/>
      <c r="G54" s="24"/>
      <c r="H54" s="24"/>
      <c r="N54" s="308"/>
    </row>
    <row r="55" spans="2:14" ht="12.5" x14ac:dyDescent="0.25">
      <c r="B55" s="87"/>
      <c r="C55" s="367" t="s">
        <v>3</v>
      </c>
      <c r="D55" s="368" t="s">
        <v>45</v>
      </c>
      <c r="G55" s="24"/>
      <c r="H55" s="24"/>
      <c r="N55" s="308"/>
    </row>
    <row r="56" spans="2:14" ht="13" x14ac:dyDescent="0.3">
      <c r="B56" s="87"/>
      <c r="D56" s="99"/>
      <c r="G56" s="24"/>
      <c r="H56" s="24"/>
      <c r="N56" s="308"/>
    </row>
    <row r="57" spans="2:14" ht="12.5" x14ac:dyDescent="0.25">
      <c r="B57" s="87"/>
      <c r="C57" s="347"/>
      <c r="D57" s="348" t="s">
        <v>8</v>
      </c>
      <c r="E57" s="349" t="s">
        <v>1489</v>
      </c>
      <c r="F57" s="350"/>
      <c r="G57" s="350"/>
      <c r="H57" s="350"/>
      <c r="I57" s="351"/>
      <c r="N57" s="308"/>
    </row>
    <row r="58" spans="2:14" ht="12.5" x14ac:dyDescent="0.25">
      <c r="B58" s="87"/>
      <c r="C58" s="352"/>
      <c r="D58" s="347">
        <v>2022</v>
      </c>
      <c r="E58" s="350"/>
      <c r="F58" s="347" t="s">
        <v>113</v>
      </c>
      <c r="G58" s="350"/>
      <c r="H58" s="347" t="s">
        <v>20</v>
      </c>
      <c r="I58" s="351"/>
      <c r="N58" s="308"/>
    </row>
    <row r="59" spans="2:14" ht="12.5" x14ac:dyDescent="0.25">
      <c r="B59" s="87"/>
      <c r="C59" s="348" t="s">
        <v>7</v>
      </c>
      <c r="D59" s="347" t="s">
        <v>2033</v>
      </c>
      <c r="E59" s="354" t="s">
        <v>2033</v>
      </c>
      <c r="F59" s="347" t="s">
        <v>2033</v>
      </c>
      <c r="G59" s="354" t="s">
        <v>2033</v>
      </c>
      <c r="H59" s="347" t="s">
        <v>2033</v>
      </c>
      <c r="I59" s="355" t="s">
        <v>2033</v>
      </c>
      <c r="N59" s="308"/>
    </row>
    <row r="60" spans="2:14" ht="12.5" x14ac:dyDescent="0.25">
      <c r="B60" s="87"/>
      <c r="C60" s="353" t="s">
        <v>19</v>
      </c>
      <c r="D60" s="356">
        <v>13</v>
      </c>
      <c r="E60" s="357">
        <v>0.54166666666666663</v>
      </c>
      <c r="F60" s="356">
        <v>128</v>
      </c>
      <c r="G60" s="357">
        <v>0.50592885375494068</v>
      </c>
      <c r="H60" s="356">
        <v>122</v>
      </c>
      <c r="I60" s="358">
        <v>0.86524822695035464</v>
      </c>
      <c r="N60" s="308"/>
    </row>
    <row r="61" spans="2:14" ht="12.5" x14ac:dyDescent="0.25">
      <c r="B61" s="87"/>
      <c r="C61" s="359" t="s">
        <v>23</v>
      </c>
      <c r="D61" s="360">
        <v>10</v>
      </c>
      <c r="E61" s="361">
        <v>0.41666666666666669</v>
      </c>
      <c r="F61" s="360">
        <v>107</v>
      </c>
      <c r="G61" s="361">
        <v>0.42292490118577075</v>
      </c>
      <c r="H61" s="360">
        <v>19</v>
      </c>
      <c r="I61" s="362">
        <v>0.13475177304964539</v>
      </c>
      <c r="N61" s="308"/>
    </row>
    <row r="62" spans="2:14" ht="12.5" x14ac:dyDescent="0.25">
      <c r="B62" s="87"/>
      <c r="C62" s="359" t="s">
        <v>25</v>
      </c>
      <c r="D62" s="360">
        <v>1</v>
      </c>
      <c r="E62" s="361">
        <v>4.1666666666666664E-2</v>
      </c>
      <c r="F62" s="360">
        <v>18</v>
      </c>
      <c r="G62" s="361">
        <v>7.1146245059288543E-2</v>
      </c>
      <c r="H62" s="360"/>
      <c r="I62" s="362">
        <v>0</v>
      </c>
      <c r="N62" s="308"/>
    </row>
    <row r="63" spans="2:14" ht="12.5" x14ac:dyDescent="0.25">
      <c r="B63" s="87"/>
      <c r="C63" s="363" t="s">
        <v>2034</v>
      </c>
      <c r="D63" s="364">
        <v>24</v>
      </c>
      <c r="E63" s="365">
        <v>1</v>
      </c>
      <c r="F63" s="364">
        <v>253</v>
      </c>
      <c r="G63" s="365">
        <v>1</v>
      </c>
      <c r="H63" s="364">
        <v>141</v>
      </c>
      <c r="I63" s="366">
        <v>1</v>
      </c>
      <c r="N63" s="308"/>
    </row>
    <row r="64" spans="2:14" ht="13" x14ac:dyDescent="0.3">
      <c r="B64" s="87"/>
      <c r="D64" s="99"/>
      <c r="G64" s="24"/>
      <c r="H64" s="24"/>
      <c r="N64" s="308"/>
    </row>
    <row r="65" spans="2:14" ht="13" x14ac:dyDescent="0.3">
      <c r="B65" s="87"/>
      <c r="D65" s="99"/>
      <c r="G65" s="24"/>
      <c r="H65" s="24"/>
      <c r="N65" s="308"/>
    </row>
    <row r="66" spans="2:14" ht="13" x14ac:dyDescent="0.3">
      <c r="B66" s="87"/>
      <c r="D66" s="99"/>
      <c r="G66" s="24"/>
      <c r="H66" s="24"/>
      <c r="N66" s="308"/>
    </row>
    <row r="67" spans="2:14" ht="13" x14ac:dyDescent="0.3">
      <c r="B67" s="87"/>
      <c r="D67" s="99"/>
      <c r="G67" s="24"/>
      <c r="H67" s="24"/>
      <c r="N67" s="308"/>
    </row>
    <row r="68" spans="2:14" ht="12.5" x14ac:dyDescent="0.25">
      <c r="B68" s="107"/>
      <c r="C68" s="108"/>
      <c r="D68" s="108"/>
      <c r="E68" s="108"/>
      <c r="F68" s="108"/>
      <c r="G68" s="109"/>
      <c r="H68" s="109"/>
      <c r="I68" s="109"/>
      <c r="J68" s="109"/>
      <c r="K68" s="109"/>
      <c r="L68" s="109"/>
      <c r="M68" s="109"/>
      <c r="N68" s="309"/>
    </row>
    <row r="69" spans="2:14" ht="12.5" x14ac:dyDescent="0.25">
      <c r="C69" s="70"/>
      <c r="D69" s="115"/>
      <c r="E69" s="115"/>
    </row>
    <row r="70" spans="2:14" ht="12.5" x14ac:dyDescent="0.25">
      <c r="C70" s="70"/>
      <c r="D70" s="115"/>
      <c r="E70" s="115"/>
    </row>
    <row r="71" spans="2:14" ht="12.5" x14ac:dyDescent="0.25">
      <c r="B71" s="84"/>
      <c r="C71" s="85"/>
      <c r="D71" s="85"/>
      <c r="E71" s="85"/>
      <c r="F71" s="85"/>
      <c r="G71" s="85"/>
      <c r="H71" s="85"/>
      <c r="I71" s="85"/>
      <c r="J71" s="85"/>
      <c r="K71" s="85"/>
      <c r="L71" s="85"/>
      <c r="M71" s="85"/>
      <c r="N71" s="86" t="s">
        <v>274</v>
      </c>
    </row>
    <row r="72" spans="2:14" ht="13" x14ac:dyDescent="0.3">
      <c r="B72" s="87"/>
      <c r="C72" s="88" t="s">
        <v>295</v>
      </c>
      <c r="D72" s="89"/>
      <c r="E72" s="89"/>
      <c r="N72" s="307" t="e">
        <f ca="1">callGemini("Analiza los datos proporcionados, que muestran los niveles de logro en "&amp;$C$2&amp;" de los estudiantes de "&amp;D73&amp;"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"&amp;MID(D73,1,1)&amp;"° de "&amp;MID(D73,3,20)&amp;"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crearJSONdesdeTabla(C79:F82,0))</f>
        <v>#NAME?</v>
      </c>
    </row>
    <row r="73" spans="2:14" ht="13" x14ac:dyDescent="0.3">
      <c r="B73" s="87"/>
      <c r="C73" s="90" t="s">
        <v>296</v>
      </c>
      <c r="D73" s="310" t="s">
        <v>16</v>
      </c>
      <c r="E73" s="311"/>
      <c r="F73" s="24" t="str">
        <f t="shared" ref="F73:F75" si="3">IF(D73="*","Todos","")</f>
        <v/>
      </c>
      <c r="I73" s="91"/>
      <c r="J73" s="91"/>
      <c r="K73" s="91"/>
      <c r="L73" s="91"/>
      <c r="M73" s="91"/>
      <c r="N73" s="308"/>
    </row>
    <row r="74" spans="2:14" ht="13" x14ac:dyDescent="0.3">
      <c r="B74" s="87"/>
      <c r="C74" s="90" t="s">
        <v>298</v>
      </c>
      <c r="D74" s="310" t="s">
        <v>297</v>
      </c>
      <c r="E74" s="311"/>
      <c r="F74" s="24" t="str">
        <f t="shared" si="3"/>
        <v>Todos</v>
      </c>
      <c r="I74" s="24"/>
      <c r="J74" s="24"/>
      <c r="K74" s="24"/>
      <c r="L74" s="24"/>
      <c r="N74" s="308"/>
    </row>
    <row r="75" spans="2:14" ht="13" x14ac:dyDescent="0.3">
      <c r="B75" s="87"/>
      <c r="C75" s="90" t="s">
        <v>6</v>
      </c>
      <c r="D75" s="310" t="s">
        <v>297</v>
      </c>
      <c r="E75" s="311"/>
      <c r="F75" s="24" t="str">
        <f t="shared" si="3"/>
        <v>Todos</v>
      </c>
      <c r="I75" s="91"/>
      <c r="J75" s="91"/>
      <c r="K75" s="91"/>
      <c r="L75" s="91"/>
      <c r="M75" s="91"/>
      <c r="N75" s="308"/>
    </row>
    <row r="76" spans="2:14" ht="12.5" x14ac:dyDescent="0.25">
      <c r="B76" s="87"/>
      <c r="I76" s="91"/>
      <c r="J76" s="91"/>
      <c r="K76" s="91"/>
      <c r="L76" s="91"/>
      <c r="M76" s="91"/>
      <c r="N76" s="308"/>
    </row>
    <row r="77" spans="2:14" ht="12.5" x14ac:dyDescent="0.25">
      <c r="B77" s="87"/>
      <c r="I77" s="91"/>
      <c r="J77" s="91"/>
      <c r="K77" s="91"/>
      <c r="N77" s="308"/>
    </row>
    <row r="78" spans="2:14" ht="13" x14ac:dyDescent="0.3">
      <c r="B78" s="87"/>
      <c r="C78" s="92"/>
      <c r="D78" s="93"/>
      <c r="E78" s="93"/>
      <c r="F78" s="93"/>
      <c r="I78" s="91"/>
      <c r="J78" s="91"/>
      <c r="K78" s="91"/>
      <c r="N78" s="308"/>
    </row>
    <row r="79" spans="2:14" ht="13" x14ac:dyDescent="0.3">
      <c r="B79" s="87"/>
      <c r="C79" s="94" t="s">
        <v>300</v>
      </c>
      <c r="D79" s="95">
        <v>2022</v>
      </c>
      <c r="E79" s="95">
        <v>2023</v>
      </c>
      <c r="F79" s="95">
        <v>2024</v>
      </c>
      <c r="I79" s="91"/>
      <c r="J79" s="91"/>
      <c r="K79" s="91"/>
      <c r="L79" s="91"/>
      <c r="M79" s="91"/>
      <c r="N79" s="308"/>
    </row>
    <row r="80" spans="2:14" ht="12.5" x14ac:dyDescent="0.25">
      <c r="B80" s="87"/>
      <c r="C80" s="24" t="s">
        <v>19</v>
      </c>
      <c r="D80" s="83" t="e">
        <f>COUNTIFS(DATA!$G$2:$G210,$D$8,DATA!$D$2:$D210,D73,DATA!$B$2:$B210,$D$7,DATA!$I$2:$I210,D$12,DATA!$H$2:$H210,$C80)/
COUNTIFS(DATA!$G$2:$G210,$D$8,DATA!$D$2:$D210,D73,DATA!$B$2:$B210,$D$7,DATA!$I$2:$I210,D$12,DATA!$H$2:$H210,"&lt;&gt;-")</f>
        <v>#DIV/0!</v>
      </c>
      <c r="E80" s="83" t="e">
        <f>COUNTIFS(DATA!$G$2:$G210,$D$8,DATA!$D$2:$D210,D73,DATA!$B$2:$B210,$D$7,DATA!$I$2:$I210,E$12,DATA!$H$2:$H210,$C80)/
COUNTIFS(DATA!$G$2:$G210,$D$8,DATA!$D$2:$D210,D73,DATA!$B$2:$B210,$D$7,DATA!$I$2:$I210,E$12,DATA!$H$2:$H210,"&lt;&gt;-")</f>
        <v>#DIV/0!</v>
      </c>
      <c r="F80" s="83">
        <f>COUNTIFS(DATA!$G$2:$G210,$D$8,DATA!$D$2:$D210,D73,DATA!$B$2:$B210,$D$7,DATA!$I$2:$I210,F$12,DATA!$H$2:$H210,$C80)/
COUNTIFS(DATA!$G$2:$G210,$D$8,DATA!$D$2:$D210,D73,DATA!$B$2:$B210,$D$7,DATA!$I$2:$I210,F$12,DATA!$H$2:$H210,"&lt;&gt;-")</f>
        <v>0.71250000000000002</v>
      </c>
      <c r="I80" s="91"/>
      <c r="J80" s="91"/>
      <c r="K80" s="91"/>
      <c r="L80" s="91"/>
      <c r="M80" s="91"/>
      <c r="N80" s="308"/>
    </row>
    <row r="81" spans="2:14" ht="12.5" x14ac:dyDescent="0.25">
      <c r="B81" s="87"/>
      <c r="C81" s="24" t="s">
        <v>23</v>
      </c>
      <c r="D81" s="83" t="e">
        <f>COUNTIFS(DATA!$G$2:$G210,$D$8,DATA!$D$2:$D210,D73,DATA!$B$2:$B210,$D$7,DATA!$I$2:$I210,D$12,DATA!$H$2:$H210,$C81)/
COUNTIFS(DATA!$G$2:$G210,$D$8,DATA!$D$2:$D210,D73,DATA!$B$2:$B210,$D$7,DATA!$I$2:$I210,D$12,DATA!$H$2:$H210,"&lt;&gt;-")</f>
        <v>#DIV/0!</v>
      </c>
      <c r="E81" s="83" t="e">
        <f>COUNTIFS(DATA!$G$2:$G210,$D$8,DATA!$D$2:$D210,D73,DATA!$B$2:$B210,$D$7,DATA!$I$2:$I210,E$12,DATA!$H$2:$H210,$C81)/
COUNTIFS(DATA!$G$2:$G210,$D$8,DATA!$D$2:$D210,D73,DATA!$B$2:$B210,$D$7,DATA!$I$2:$I210,E$12,DATA!$H$2:$H210,"&lt;&gt;-")</f>
        <v>#DIV/0!</v>
      </c>
      <c r="F81" s="83">
        <f>COUNTIFS(DATA!$G$2:$G210,$D$8,DATA!$D$2:$D210,D73,DATA!$B$2:$B210,$D$7,DATA!$I$2:$I210,F$12,DATA!$H$2:$H210,$C81)/
COUNTIFS(DATA!$G$2:$G210,$D$8,DATA!$D$2:$D210,D73,DATA!$B$2:$B210,$D$7,DATA!$I$2:$I210,F$12,DATA!$H$2:$H210,"&lt;&gt;-")</f>
        <v>0.23749999999999999</v>
      </c>
      <c r="I81" s="91"/>
      <c r="J81" s="91"/>
      <c r="K81" s="91"/>
      <c r="L81" s="91"/>
      <c r="M81" s="91"/>
      <c r="N81" s="308"/>
    </row>
    <row r="82" spans="2:14" ht="12.5" x14ac:dyDescent="0.25">
      <c r="B82" s="87"/>
      <c r="C82" s="24" t="s">
        <v>25</v>
      </c>
      <c r="D82" s="83" t="e">
        <f>COUNTIFS(DATA!$G$2:$G210,$D$8,DATA!$D$2:$D210,D73,DATA!$B$2:$B210,$D$7,DATA!$I$2:$I210,D$12,DATA!$H$2:$H210,$C82)/
COUNTIFS(DATA!$G$2:$G210,$D$8,DATA!$D$2:$D210,D73,DATA!$B$2:$B210,$D$7,DATA!$I$2:$I210,D$12,DATA!$H$2:$H210,"&lt;&gt;-")</f>
        <v>#DIV/0!</v>
      </c>
      <c r="E82" s="83" t="e">
        <f>COUNTIFS(DATA!$G$2:$G210,$D$8,DATA!$D$2:$D210,D73,DATA!$B$2:$B210,$D$7,DATA!$I$2:$I210,E$12,DATA!$H$2:$H210,$C82)/
COUNTIFS(DATA!$G$2:$G210,$D$8,DATA!$D$2:$D210,D73,DATA!$B$2:$B210,$D$7,DATA!$I$2:$I210,E$12,DATA!$H$2:$H210,"&lt;&gt;-")</f>
        <v>#DIV/0!</v>
      </c>
      <c r="F82" s="83">
        <f>COUNTIFS(DATA!$G$2:$G210,$D$8,DATA!$D$2:$D210,D73,DATA!$B$2:$B210,$D$7,DATA!$I$2:$I210,F$12,DATA!$H$2:$H210,$C82)/
COUNTIFS(DATA!$G$2:$G210,$D$8,DATA!$D$2:$D210,D73,DATA!$B$2:$B210,$D$7,DATA!$I$2:$I210,F$12,DATA!$H$2:$H210,"&lt;&gt;-")</f>
        <v>0.05</v>
      </c>
      <c r="N82" s="308"/>
    </row>
    <row r="83" spans="2:14" ht="13" x14ac:dyDescent="0.3">
      <c r="B83" s="87"/>
      <c r="C83" s="96" t="s">
        <v>275</v>
      </c>
      <c r="D83" s="97" t="e">
        <f t="shared" ref="D83:F83" si="4">SUM(D80:D82)</f>
        <v>#DIV/0!</v>
      </c>
      <c r="E83" s="97" t="e">
        <f t="shared" si="4"/>
        <v>#DIV/0!</v>
      </c>
      <c r="F83" s="97">
        <f t="shared" si="4"/>
        <v>1</v>
      </c>
      <c r="N83" s="308"/>
    </row>
    <row r="84" spans="2:14" ht="12.5" x14ac:dyDescent="0.25">
      <c r="B84" s="87"/>
      <c r="C84" s="24"/>
      <c r="D84" s="91"/>
      <c r="E84" s="91"/>
      <c r="F84" s="91"/>
      <c r="G84" s="24"/>
      <c r="H84" s="24"/>
      <c r="N84" s="308"/>
    </row>
    <row r="85" spans="2:14" ht="12.5" x14ac:dyDescent="0.25">
      <c r="B85" s="87"/>
      <c r="C85" s="98"/>
      <c r="D85" s="91"/>
      <c r="E85" s="91"/>
      <c r="F85" s="91"/>
      <c r="G85" s="24"/>
      <c r="H85" s="24"/>
      <c r="N85" s="308"/>
    </row>
    <row r="86" spans="2:14" ht="12.5" x14ac:dyDescent="0.25">
      <c r="B86" s="87"/>
      <c r="C86" s="367" t="s">
        <v>3</v>
      </c>
      <c r="D86" s="368" t="s">
        <v>16</v>
      </c>
      <c r="G86" s="24"/>
      <c r="H86" s="24"/>
      <c r="N86" s="308"/>
    </row>
    <row r="87" spans="2:14" ht="13" x14ac:dyDescent="0.3">
      <c r="B87" s="87"/>
      <c r="D87" s="99"/>
      <c r="G87" s="24"/>
      <c r="H87" s="24"/>
      <c r="N87" s="308"/>
    </row>
    <row r="88" spans="2:14" ht="12.5" x14ac:dyDescent="0.25">
      <c r="B88" s="87"/>
      <c r="C88" s="347"/>
      <c r="D88" s="348" t="s">
        <v>8</v>
      </c>
      <c r="E88" s="349" t="s">
        <v>1489</v>
      </c>
      <c r="F88" s="350"/>
      <c r="G88" s="350"/>
      <c r="H88" s="350"/>
      <c r="I88" s="351"/>
      <c r="N88" s="308"/>
    </row>
    <row r="89" spans="2:14" ht="12.5" x14ac:dyDescent="0.25">
      <c r="B89" s="87"/>
      <c r="C89" s="352"/>
      <c r="D89" s="347">
        <v>2022</v>
      </c>
      <c r="E89" s="350"/>
      <c r="F89" s="347" t="s">
        <v>113</v>
      </c>
      <c r="G89" s="350"/>
      <c r="H89" s="347" t="s">
        <v>20</v>
      </c>
      <c r="I89" s="351"/>
      <c r="N89" s="308"/>
    </row>
    <row r="90" spans="2:14" ht="12.5" x14ac:dyDescent="0.25">
      <c r="B90" s="87"/>
      <c r="C90" s="348" t="s">
        <v>7</v>
      </c>
      <c r="D90" s="347" t="s">
        <v>2033</v>
      </c>
      <c r="E90" s="354" t="s">
        <v>2033</v>
      </c>
      <c r="F90" s="347" t="s">
        <v>2033</v>
      </c>
      <c r="G90" s="354" t="s">
        <v>2033</v>
      </c>
      <c r="H90" s="347" t="s">
        <v>2033</v>
      </c>
      <c r="I90" s="355" t="s">
        <v>2033</v>
      </c>
      <c r="N90" s="308"/>
    </row>
    <row r="91" spans="2:14" ht="12.5" x14ac:dyDescent="0.25">
      <c r="B91" s="87"/>
      <c r="C91" s="353" t="s">
        <v>19</v>
      </c>
      <c r="D91" s="356">
        <v>20</v>
      </c>
      <c r="E91" s="357">
        <v>0.47619047619047616</v>
      </c>
      <c r="F91" s="356">
        <v>174</v>
      </c>
      <c r="G91" s="357">
        <v>0.74042553191489358</v>
      </c>
      <c r="H91" s="356">
        <v>166</v>
      </c>
      <c r="I91" s="358">
        <v>0.80582524271844658</v>
      </c>
      <c r="N91" s="308"/>
    </row>
    <row r="92" spans="2:14" ht="12.5" x14ac:dyDescent="0.25">
      <c r="B92" s="87"/>
      <c r="C92" s="359" t="s">
        <v>23</v>
      </c>
      <c r="D92" s="360">
        <v>9</v>
      </c>
      <c r="E92" s="361">
        <v>0.21428571428571427</v>
      </c>
      <c r="F92" s="360">
        <v>52</v>
      </c>
      <c r="G92" s="361">
        <v>0.22127659574468084</v>
      </c>
      <c r="H92" s="360">
        <v>35</v>
      </c>
      <c r="I92" s="362">
        <v>0.16990291262135923</v>
      </c>
      <c r="N92" s="308"/>
    </row>
    <row r="93" spans="2:14" ht="12.5" x14ac:dyDescent="0.25">
      <c r="B93" s="87"/>
      <c r="C93" s="359" t="s">
        <v>25</v>
      </c>
      <c r="D93" s="360">
        <v>13</v>
      </c>
      <c r="E93" s="361">
        <v>0.30952380952380953</v>
      </c>
      <c r="F93" s="360">
        <v>9</v>
      </c>
      <c r="G93" s="361">
        <v>3.8297872340425532E-2</v>
      </c>
      <c r="H93" s="360">
        <v>5</v>
      </c>
      <c r="I93" s="362">
        <v>2.4271844660194174E-2</v>
      </c>
      <c r="N93" s="308"/>
    </row>
    <row r="94" spans="2:14" ht="12.5" x14ac:dyDescent="0.25">
      <c r="B94" s="87"/>
      <c r="C94" s="363" t="s">
        <v>2034</v>
      </c>
      <c r="D94" s="364">
        <v>42</v>
      </c>
      <c r="E94" s="365">
        <v>1</v>
      </c>
      <c r="F94" s="364">
        <v>235</v>
      </c>
      <c r="G94" s="365">
        <v>1</v>
      </c>
      <c r="H94" s="364">
        <v>206</v>
      </c>
      <c r="I94" s="366">
        <v>1</v>
      </c>
      <c r="N94" s="308"/>
    </row>
    <row r="95" spans="2:14" ht="13" x14ac:dyDescent="0.3">
      <c r="B95" s="87"/>
      <c r="D95" s="99"/>
      <c r="G95" s="24"/>
      <c r="H95" s="24"/>
      <c r="N95" s="308"/>
    </row>
    <row r="96" spans="2:14" ht="13" x14ac:dyDescent="0.3">
      <c r="B96" s="87"/>
      <c r="D96" s="99"/>
      <c r="G96" s="24"/>
      <c r="H96" s="24"/>
      <c r="N96" s="308"/>
    </row>
    <row r="97" spans="2:14" ht="13" x14ac:dyDescent="0.3">
      <c r="B97" s="87"/>
      <c r="D97" s="99"/>
      <c r="G97" s="24"/>
      <c r="H97" s="24"/>
      <c r="N97" s="308"/>
    </row>
    <row r="98" spans="2:14" ht="13" x14ac:dyDescent="0.3">
      <c r="B98" s="87"/>
      <c r="D98" s="99"/>
      <c r="G98" s="24"/>
      <c r="H98" s="24"/>
      <c r="N98" s="308"/>
    </row>
    <row r="99" spans="2:14" ht="13" x14ac:dyDescent="0.3">
      <c r="B99" s="87"/>
      <c r="D99" s="99"/>
      <c r="G99" s="24"/>
      <c r="H99" s="24"/>
      <c r="N99" s="308"/>
    </row>
    <row r="100" spans="2:14" ht="12.5" x14ac:dyDescent="0.25">
      <c r="B100" s="107"/>
      <c r="C100" s="108"/>
      <c r="D100" s="108"/>
      <c r="E100" s="108"/>
      <c r="F100" s="108"/>
      <c r="G100" s="109"/>
      <c r="H100" s="109"/>
      <c r="I100" s="109"/>
      <c r="J100" s="109"/>
      <c r="K100" s="109"/>
      <c r="L100" s="109"/>
      <c r="M100" s="109"/>
      <c r="N100" s="309"/>
    </row>
    <row r="101" spans="2:14" ht="12.5" x14ac:dyDescent="0.25">
      <c r="C101" s="70"/>
      <c r="D101" s="115"/>
      <c r="E101" s="115"/>
    </row>
    <row r="102" spans="2:14" ht="12.5" x14ac:dyDescent="0.25">
      <c r="C102" s="70"/>
      <c r="D102" s="115"/>
      <c r="E102" s="115"/>
    </row>
    <row r="103" spans="2:14" ht="12.5" x14ac:dyDescent="0.25">
      <c r="B103" s="84"/>
      <c r="C103" s="85"/>
      <c r="D103" s="85"/>
      <c r="E103" s="85"/>
      <c r="F103" s="85"/>
      <c r="G103" s="85"/>
      <c r="H103" s="85"/>
      <c r="I103" s="85"/>
      <c r="J103" s="85"/>
      <c r="K103" s="85"/>
      <c r="L103" s="85"/>
      <c r="M103" s="85"/>
      <c r="N103" s="86" t="s">
        <v>274</v>
      </c>
    </row>
    <row r="104" spans="2:14" ht="13" x14ac:dyDescent="0.3">
      <c r="B104" s="87"/>
      <c r="C104" s="88" t="s">
        <v>295</v>
      </c>
      <c r="D104" s="89"/>
      <c r="E104" s="89"/>
      <c r="N104" s="307" t="e">
        <f ca="1">callGemini("Analiza los datos proporcionados, que muestran los niveles de logro en "&amp;$C$2&amp;" de los estudiantes de "&amp;D105&amp;"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"&amp;MID(D105,1,1)&amp;"° de "&amp;MID(D105,3,20)&amp;"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crearJSONdesdeTabla(C111:F114,0))</f>
        <v>#NAME?</v>
      </c>
    </row>
    <row r="105" spans="2:14" ht="13" x14ac:dyDescent="0.3">
      <c r="B105" s="87"/>
      <c r="C105" s="90" t="s">
        <v>296</v>
      </c>
      <c r="D105" s="310" t="s">
        <v>37</v>
      </c>
      <c r="E105" s="311"/>
      <c r="F105" s="24" t="str">
        <f t="shared" ref="F105:F107" si="5">IF(D105="*","Todos","")</f>
        <v/>
      </c>
      <c r="I105" s="91"/>
      <c r="J105" s="91"/>
      <c r="K105" s="91"/>
      <c r="L105" s="91"/>
      <c r="M105" s="91"/>
      <c r="N105" s="308"/>
    </row>
    <row r="106" spans="2:14" ht="13" x14ac:dyDescent="0.3">
      <c r="B106" s="87"/>
      <c r="C106" s="90" t="s">
        <v>298</v>
      </c>
      <c r="D106" s="310" t="s">
        <v>297</v>
      </c>
      <c r="E106" s="311"/>
      <c r="F106" s="24" t="str">
        <f t="shared" si="5"/>
        <v>Todos</v>
      </c>
      <c r="I106" s="24"/>
      <c r="J106" s="24"/>
      <c r="K106" s="24"/>
      <c r="L106" s="24"/>
      <c r="N106" s="308"/>
    </row>
    <row r="107" spans="2:14" ht="13" x14ac:dyDescent="0.3">
      <c r="B107" s="87"/>
      <c r="C107" s="90" t="s">
        <v>6</v>
      </c>
      <c r="D107" s="310" t="s">
        <v>297</v>
      </c>
      <c r="E107" s="311"/>
      <c r="F107" s="24" t="str">
        <f t="shared" si="5"/>
        <v>Todos</v>
      </c>
      <c r="I107" s="91"/>
      <c r="J107" s="91"/>
      <c r="K107" s="91"/>
      <c r="L107" s="91"/>
      <c r="M107" s="91"/>
      <c r="N107" s="308"/>
    </row>
    <row r="108" spans="2:14" ht="12.5" x14ac:dyDescent="0.25">
      <c r="B108" s="87"/>
      <c r="I108" s="91"/>
      <c r="J108" s="91"/>
      <c r="K108" s="91"/>
      <c r="L108" s="91"/>
      <c r="M108" s="91"/>
      <c r="N108" s="308"/>
    </row>
    <row r="109" spans="2:14" ht="12.5" x14ac:dyDescent="0.25">
      <c r="B109" s="87"/>
      <c r="I109" s="91"/>
      <c r="J109" s="91"/>
      <c r="K109" s="91"/>
      <c r="N109" s="308"/>
    </row>
    <row r="110" spans="2:14" ht="13" x14ac:dyDescent="0.3">
      <c r="B110" s="87"/>
      <c r="C110" s="92"/>
      <c r="D110" s="93"/>
      <c r="E110" s="93"/>
      <c r="F110" s="93"/>
      <c r="I110" s="91"/>
      <c r="J110" s="91"/>
      <c r="K110" s="91"/>
      <c r="N110" s="308"/>
    </row>
    <row r="111" spans="2:14" ht="13" x14ac:dyDescent="0.3">
      <c r="B111" s="87"/>
      <c r="C111" s="94" t="s">
        <v>300</v>
      </c>
      <c r="D111" s="95">
        <v>2022</v>
      </c>
      <c r="E111" s="95">
        <v>2023</v>
      </c>
      <c r="F111" s="95">
        <v>2024</v>
      </c>
      <c r="I111" s="91"/>
      <c r="J111" s="91"/>
      <c r="K111" s="91"/>
      <c r="L111" s="91"/>
      <c r="M111" s="91"/>
      <c r="N111" s="308"/>
    </row>
    <row r="112" spans="2:14" ht="12.5" x14ac:dyDescent="0.25">
      <c r="B112" s="87"/>
      <c r="C112" s="24" t="s">
        <v>19</v>
      </c>
      <c r="D112" s="83" t="e">
        <f>COUNTIFS(DATA!$G$2:$G210,$D$8,DATA!$D$2:$D210,D105,DATA!$B$2:$B210,$D$7,DATA!$I$2:$I210,D$12,DATA!$H$2:$H210,$C112)/
COUNTIFS(DATA!$G$2:$G210,$D$8,DATA!$D$2:$D210,D105,DATA!$B$2:$B210,$D$7,DATA!$I$2:$I210,D$12,DATA!$H$2:$H210,"&lt;&gt;-")</f>
        <v>#DIV/0!</v>
      </c>
      <c r="E112" s="83" t="e">
        <f>COUNTIFS(DATA!$G$2:$G210,$D$8,DATA!$D$2:$D210,D105,DATA!$B$2:$B210,$D$7,DATA!$I$2:$I210,E$12,DATA!$H$2:$H210,$C112)/
COUNTIFS(DATA!$G$2:$G210,$D$8,DATA!$D$2:$D210,D105,DATA!$B$2:$B210,$D$7,DATA!$I$2:$I210,E$12,DATA!$H$2:$H210,"&lt;&gt;-")</f>
        <v>#DIV/0!</v>
      </c>
      <c r="F112" s="83">
        <f>COUNTIFS(DATA!$G$2:$G210,$D$8,DATA!$D$2:$D210,D105,DATA!$B$2:$B210,$D$7,DATA!$I$2:$I210,F$12,DATA!$H$2:$H210,$C112)/
COUNTIFS(DATA!$G$2:$G210,$D$8,DATA!$D$2:$D210,D105,DATA!$B$2:$B210,$D$7,DATA!$I$2:$I210,F$12,DATA!$H$2:$H210,"&lt;&gt;-")</f>
        <v>0.75862068965517238</v>
      </c>
      <c r="I112" s="91"/>
      <c r="J112" s="91"/>
      <c r="K112" s="91"/>
      <c r="L112" s="91"/>
      <c r="M112" s="91"/>
      <c r="N112" s="308"/>
    </row>
    <row r="113" spans="2:14" ht="12.5" x14ac:dyDescent="0.25">
      <c r="B113" s="87"/>
      <c r="C113" s="24" t="s">
        <v>23</v>
      </c>
      <c r="D113" s="83" t="e">
        <f>COUNTIFS(DATA!$G$2:$G210,$D$8,DATA!$D$2:$D210,D105,DATA!$B$2:$B210,$D$7,DATA!$I$2:$I210,D$12,DATA!$H$2:$H210,$C113)/
COUNTIFS(DATA!$G$2:$G210,$D$8,DATA!$D$2:$D210,D105,DATA!$B$2:$B210,$D$7,DATA!$I$2:$I210,D$12,DATA!$H$2:$H210,"&lt;&gt;-")</f>
        <v>#DIV/0!</v>
      </c>
      <c r="E113" s="83" t="e">
        <f>COUNTIFS(DATA!$G$2:$G210,$D$8,DATA!$D$2:$D210,D105,DATA!$B$2:$B210,$D$7,DATA!$I$2:$I210,E$12,DATA!$H$2:$H210,$C113)/
COUNTIFS(DATA!$G$2:$G210,$D$8,DATA!$D$2:$D210,D105,DATA!$B$2:$B210,$D$7,DATA!$I$2:$I210,E$12,DATA!$H$2:$H210,"&lt;&gt;-")</f>
        <v>#DIV/0!</v>
      </c>
      <c r="F113" s="83">
        <f>COUNTIFS(DATA!$G$2:$G210,$D$8,DATA!$D$2:$D210,D105,DATA!$B$2:$B210,$D$7,DATA!$I$2:$I210,F$12,DATA!$H$2:$H210,$C113)/
COUNTIFS(DATA!$G$2:$G210,$D$8,DATA!$D$2:$D210,D105,DATA!$B$2:$B210,$D$7,DATA!$I$2:$I210,F$12,DATA!$H$2:$H210,"&lt;&gt;-")</f>
        <v>0.18390804597701149</v>
      </c>
      <c r="I113" s="91"/>
      <c r="J113" s="91"/>
      <c r="K113" s="91"/>
      <c r="L113" s="91"/>
      <c r="M113" s="91"/>
      <c r="N113" s="308"/>
    </row>
    <row r="114" spans="2:14" ht="12.5" x14ac:dyDescent="0.25">
      <c r="B114" s="87"/>
      <c r="C114" s="24" t="s">
        <v>25</v>
      </c>
      <c r="D114" s="83" t="e">
        <f>COUNTIFS(DATA!$G$2:$G210,$D$8,DATA!$D$2:$D210,D105,DATA!$B$2:$B210,$D$7,DATA!$I$2:$I210,D$12,DATA!$H$2:$H210,$C114)/
COUNTIFS(DATA!$G$2:$G210,$D$8,DATA!$D$2:$D210,D105,DATA!$B$2:$B210,$D$7,DATA!$I$2:$I210,D$12,DATA!$H$2:$H210,"&lt;&gt;-")</f>
        <v>#DIV/0!</v>
      </c>
      <c r="E114" s="83" t="e">
        <f>COUNTIFS(DATA!$G$2:$G210,$D$8,DATA!$D$2:$D210,D105,DATA!$B$2:$B210,$D$7,DATA!$I$2:$I210,E$12,DATA!$H$2:$H210,$C114)/
COUNTIFS(DATA!$G$2:$G210,$D$8,DATA!$D$2:$D210,D105,DATA!$B$2:$B210,$D$7,DATA!$I$2:$I210,E$12,DATA!$H$2:$H210,"&lt;&gt;-")</f>
        <v>#DIV/0!</v>
      </c>
      <c r="F114" s="83">
        <f>COUNTIFS(DATA!$G$2:$G210,$D$8,DATA!$D$2:$D210,D105,DATA!$B$2:$B210,$D$7,DATA!$I$2:$I210,F$12,DATA!$H$2:$H210,$C114)/
COUNTIFS(DATA!$G$2:$G210,$D$8,DATA!$D$2:$D210,D105,DATA!$B$2:$B210,$D$7,DATA!$I$2:$I210,F$12,DATA!$H$2:$H210,"&lt;&gt;-")</f>
        <v>5.7471264367816091E-2</v>
      </c>
      <c r="N114" s="308"/>
    </row>
    <row r="115" spans="2:14" ht="13" x14ac:dyDescent="0.3">
      <c r="B115" s="87"/>
      <c r="C115" s="96" t="s">
        <v>275</v>
      </c>
      <c r="D115" s="97" t="e">
        <f t="shared" ref="D115:F115" si="6">SUM(D112:D114)</f>
        <v>#DIV/0!</v>
      </c>
      <c r="E115" s="97" t="e">
        <f t="shared" si="6"/>
        <v>#DIV/0!</v>
      </c>
      <c r="F115" s="97">
        <f t="shared" si="6"/>
        <v>1</v>
      </c>
      <c r="N115" s="308"/>
    </row>
    <row r="116" spans="2:14" ht="12.5" x14ac:dyDescent="0.25">
      <c r="B116" s="87"/>
      <c r="C116" s="24"/>
      <c r="D116" s="91"/>
      <c r="E116" s="91"/>
      <c r="F116" s="91"/>
      <c r="G116" s="24"/>
      <c r="H116" s="24"/>
      <c r="N116" s="308"/>
    </row>
    <row r="117" spans="2:14" ht="12.5" x14ac:dyDescent="0.25">
      <c r="B117" s="87"/>
      <c r="C117" s="98"/>
      <c r="D117" s="91"/>
      <c r="E117" s="91"/>
      <c r="F117" s="91"/>
      <c r="G117" s="24"/>
      <c r="H117" s="24"/>
      <c r="N117" s="308"/>
    </row>
    <row r="118" spans="2:14" ht="13" x14ac:dyDescent="0.3">
      <c r="B118" s="87"/>
      <c r="D118" s="99"/>
      <c r="G118" s="24"/>
      <c r="H118" s="24"/>
      <c r="N118" s="308"/>
    </row>
    <row r="119" spans="2:14" ht="12.5" x14ac:dyDescent="0.25">
      <c r="B119" s="87"/>
      <c r="C119" s="367" t="s">
        <v>3</v>
      </c>
      <c r="D119" s="368" t="s">
        <v>37</v>
      </c>
      <c r="G119" s="24"/>
      <c r="H119" s="24"/>
      <c r="N119" s="308"/>
    </row>
    <row r="120" spans="2:14" ht="13" x14ac:dyDescent="0.3">
      <c r="B120" s="87"/>
      <c r="D120" s="99"/>
      <c r="G120" s="24"/>
      <c r="H120" s="24"/>
      <c r="N120" s="308"/>
    </row>
    <row r="121" spans="2:14" ht="12.5" x14ac:dyDescent="0.25">
      <c r="B121" s="87"/>
      <c r="C121" s="347"/>
      <c r="D121" s="348" t="s">
        <v>8</v>
      </c>
      <c r="E121" s="349" t="s">
        <v>1489</v>
      </c>
      <c r="F121" s="350"/>
      <c r="G121" s="350"/>
      <c r="H121" s="350"/>
      <c r="I121" s="351"/>
      <c r="N121" s="308"/>
    </row>
    <row r="122" spans="2:14" ht="12.5" x14ac:dyDescent="0.25">
      <c r="B122" s="87"/>
      <c r="C122" s="352"/>
      <c r="D122" s="347">
        <v>2022</v>
      </c>
      <c r="E122" s="350"/>
      <c r="F122" s="347" t="s">
        <v>113</v>
      </c>
      <c r="G122" s="350"/>
      <c r="H122" s="347" t="s">
        <v>20</v>
      </c>
      <c r="I122" s="351"/>
      <c r="N122" s="308"/>
    </row>
    <row r="123" spans="2:14" ht="12.5" x14ac:dyDescent="0.25">
      <c r="B123" s="87"/>
      <c r="C123" s="348" t="s">
        <v>7</v>
      </c>
      <c r="D123" s="347" t="s">
        <v>2033</v>
      </c>
      <c r="E123" s="354" t="s">
        <v>2033</v>
      </c>
      <c r="F123" s="347" t="s">
        <v>2033</v>
      </c>
      <c r="G123" s="354" t="s">
        <v>2033</v>
      </c>
      <c r="H123" s="347" t="s">
        <v>2033</v>
      </c>
      <c r="I123" s="355" t="s">
        <v>2033</v>
      </c>
      <c r="N123" s="308"/>
    </row>
    <row r="124" spans="2:14" ht="12.5" x14ac:dyDescent="0.25">
      <c r="B124" s="87"/>
      <c r="C124" s="353" t="s">
        <v>19</v>
      </c>
      <c r="D124" s="356">
        <v>19</v>
      </c>
      <c r="E124" s="357">
        <v>0.27536231884057971</v>
      </c>
      <c r="F124" s="356">
        <v>105</v>
      </c>
      <c r="G124" s="357">
        <v>0.47085201793721976</v>
      </c>
      <c r="H124" s="356">
        <v>170</v>
      </c>
      <c r="I124" s="358">
        <v>0.77625570776255703</v>
      </c>
      <c r="N124" s="308"/>
    </row>
    <row r="125" spans="2:14" ht="12.5" x14ac:dyDescent="0.25">
      <c r="B125" s="87"/>
      <c r="C125" s="359" t="s">
        <v>23</v>
      </c>
      <c r="D125" s="360">
        <v>34</v>
      </c>
      <c r="E125" s="361">
        <v>0.49275362318840582</v>
      </c>
      <c r="F125" s="360">
        <v>93</v>
      </c>
      <c r="G125" s="361">
        <v>0.4170403587443946</v>
      </c>
      <c r="H125" s="360">
        <v>39</v>
      </c>
      <c r="I125" s="362">
        <v>0.17808219178082191</v>
      </c>
      <c r="N125" s="308"/>
    </row>
    <row r="126" spans="2:14" ht="12.5" x14ac:dyDescent="0.25">
      <c r="B126" s="87"/>
      <c r="C126" s="359" t="s">
        <v>25</v>
      </c>
      <c r="D126" s="360">
        <v>16</v>
      </c>
      <c r="E126" s="361">
        <v>0.2318840579710145</v>
      </c>
      <c r="F126" s="360">
        <v>25</v>
      </c>
      <c r="G126" s="361">
        <v>0.11210762331838565</v>
      </c>
      <c r="H126" s="360">
        <v>10</v>
      </c>
      <c r="I126" s="362">
        <v>4.5662100456621002E-2</v>
      </c>
      <c r="N126" s="308"/>
    </row>
    <row r="127" spans="2:14" ht="12.5" x14ac:dyDescent="0.25">
      <c r="B127" s="87"/>
      <c r="C127" s="363" t="s">
        <v>2034</v>
      </c>
      <c r="D127" s="364">
        <v>69</v>
      </c>
      <c r="E127" s="365">
        <v>1</v>
      </c>
      <c r="F127" s="364">
        <v>223</v>
      </c>
      <c r="G127" s="365">
        <v>1</v>
      </c>
      <c r="H127" s="364">
        <v>219</v>
      </c>
      <c r="I127" s="366">
        <v>1</v>
      </c>
      <c r="N127" s="308"/>
    </row>
    <row r="128" spans="2:14" ht="13" x14ac:dyDescent="0.3">
      <c r="B128" s="87"/>
      <c r="D128" s="99"/>
      <c r="G128" s="24"/>
      <c r="H128" s="24"/>
      <c r="N128" s="308"/>
    </row>
    <row r="129" spans="2:14" ht="13" x14ac:dyDescent="0.3">
      <c r="B129" s="87"/>
      <c r="D129" s="99"/>
      <c r="G129" s="24"/>
      <c r="H129" s="24"/>
      <c r="N129" s="308"/>
    </row>
    <row r="130" spans="2:14" ht="13" x14ac:dyDescent="0.3">
      <c r="B130" s="87"/>
      <c r="D130" s="99"/>
      <c r="G130" s="24"/>
      <c r="H130" s="24"/>
      <c r="N130" s="308"/>
    </row>
    <row r="131" spans="2:14" ht="12.5" x14ac:dyDescent="0.25">
      <c r="B131" s="107"/>
      <c r="C131" s="108"/>
      <c r="D131" s="108"/>
      <c r="E131" s="108"/>
      <c r="F131" s="108"/>
      <c r="G131" s="109"/>
      <c r="H131" s="109"/>
      <c r="I131" s="109"/>
      <c r="J131" s="109"/>
      <c r="K131" s="109"/>
      <c r="L131" s="109"/>
      <c r="M131" s="109"/>
      <c r="N131" s="309"/>
    </row>
    <row r="132" spans="2:14" ht="12.5" x14ac:dyDescent="0.25">
      <c r="C132" s="70"/>
      <c r="D132" s="115"/>
      <c r="E132" s="115"/>
    </row>
    <row r="133" spans="2:14" ht="12.5" x14ac:dyDescent="0.25">
      <c r="C133" s="70"/>
      <c r="D133" s="115"/>
      <c r="E133" s="115"/>
    </row>
    <row r="134" spans="2:14" ht="12.5" x14ac:dyDescent="0.25">
      <c r="B134" s="84"/>
      <c r="C134" s="85"/>
      <c r="D134" s="85"/>
      <c r="E134" s="85"/>
      <c r="F134" s="85"/>
      <c r="G134" s="85"/>
      <c r="H134" s="85"/>
      <c r="I134" s="85"/>
      <c r="J134" s="85"/>
      <c r="K134" s="85"/>
      <c r="L134" s="85"/>
      <c r="M134" s="85"/>
      <c r="N134" s="86" t="s">
        <v>274</v>
      </c>
    </row>
    <row r="135" spans="2:14" ht="13" x14ac:dyDescent="0.3">
      <c r="B135" s="87"/>
      <c r="C135" s="88" t="s">
        <v>295</v>
      </c>
      <c r="D135" s="89"/>
      <c r="E135" s="89"/>
      <c r="N135" s="307" t="e">
        <f ca="1">callGemini("Analiza los datos proporcionados, que muestran los niveles de logro en "&amp;$C$2&amp;" de los estudiantes de "&amp;D136&amp;"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"&amp;MID(D136,1,1)&amp;"° de "&amp;MID(D136,3,20)&amp;"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crearJSONdesdeTabla(C142:F145,0))</f>
        <v>#NAME?</v>
      </c>
    </row>
    <row r="136" spans="2:14" ht="13" x14ac:dyDescent="0.3">
      <c r="B136" s="87"/>
      <c r="C136" s="90" t="s">
        <v>296</v>
      </c>
      <c r="D136" s="310" t="s">
        <v>42</v>
      </c>
      <c r="E136" s="311"/>
      <c r="F136" s="24" t="str">
        <f t="shared" ref="F136:F138" si="7">IF(D136="*","Todos","")</f>
        <v/>
      </c>
      <c r="I136" s="91"/>
      <c r="J136" s="91"/>
      <c r="K136" s="91"/>
      <c r="L136" s="91"/>
      <c r="M136" s="91"/>
      <c r="N136" s="308"/>
    </row>
    <row r="137" spans="2:14" ht="13" x14ac:dyDescent="0.3">
      <c r="B137" s="87"/>
      <c r="C137" s="90" t="s">
        <v>298</v>
      </c>
      <c r="D137" s="310" t="s">
        <v>297</v>
      </c>
      <c r="E137" s="311"/>
      <c r="F137" s="24" t="str">
        <f t="shared" si="7"/>
        <v>Todos</v>
      </c>
      <c r="I137" s="24"/>
      <c r="J137" s="24"/>
      <c r="K137" s="24"/>
      <c r="L137" s="24"/>
      <c r="N137" s="308"/>
    </row>
    <row r="138" spans="2:14" ht="13" x14ac:dyDescent="0.3">
      <c r="B138" s="87"/>
      <c r="C138" s="90" t="s">
        <v>6</v>
      </c>
      <c r="D138" s="310" t="s">
        <v>297</v>
      </c>
      <c r="E138" s="311"/>
      <c r="F138" s="24" t="str">
        <f t="shared" si="7"/>
        <v>Todos</v>
      </c>
      <c r="I138" s="91"/>
      <c r="J138" s="91"/>
      <c r="K138" s="91"/>
      <c r="L138" s="91"/>
      <c r="M138" s="91"/>
      <c r="N138" s="308"/>
    </row>
    <row r="139" spans="2:14" ht="12.5" x14ac:dyDescent="0.25">
      <c r="B139" s="87"/>
      <c r="I139" s="91"/>
      <c r="J139" s="91"/>
      <c r="K139" s="91"/>
      <c r="L139" s="91"/>
      <c r="M139" s="91"/>
      <c r="N139" s="308"/>
    </row>
    <row r="140" spans="2:14" ht="12.5" x14ac:dyDescent="0.25">
      <c r="B140" s="87"/>
      <c r="I140" s="91"/>
      <c r="J140" s="91"/>
      <c r="K140" s="91"/>
      <c r="N140" s="308"/>
    </row>
    <row r="141" spans="2:14" ht="13" x14ac:dyDescent="0.3">
      <c r="B141" s="87"/>
      <c r="C141" s="92"/>
      <c r="D141" s="93"/>
      <c r="E141" s="93"/>
      <c r="F141" s="93"/>
      <c r="I141" s="91"/>
      <c r="J141" s="91"/>
      <c r="K141" s="91"/>
      <c r="N141" s="308"/>
    </row>
    <row r="142" spans="2:14" ht="13" x14ac:dyDescent="0.3">
      <c r="B142" s="87"/>
      <c r="C142" s="94" t="s">
        <v>300</v>
      </c>
      <c r="D142" s="95">
        <v>2022</v>
      </c>
      <c r="E142" s="95">
        <v>2023</v>
      </c>
      <c r="F142" s="95">
        <v>2024</v>
      </c>
      <c r="I142" s="91"/>
      <c r="J142" s="91"/>
      <c r="K142" s="91"/>
      <c r="L142" s="91"/>
      <c r="M142" s="91"/>
      <c r="N142" s="308"/>
    </row>
    <row r="143" spans="2:14" ht="12.5" x14ac:dyDescent="0.25">
      <c r="B143" s="87"/>
      <c r="C143" s="24" t="s">
        <v>19</v>
      </c>
      <c r="D143" s="83" t="e">
        <f>COUNTIFS(DATA!$G$2:$G210,$D$8,DATA!$D$2:$D210,D136,DATA!$B$2:$B210,$D$7,DATA!$I$2:$I210,D$12,DATA!$H$2:$H210,$C143)/
COUNTIFS(DATA!$G$2:$G210,$D$8,DATA!$D$2:$D210,D136,DATA!$B$2:$B210,$D$7,DATA!$I$2:$I210,D$12,DATA!$H$2:$H210,"&lt;&gt;-")</f>
        <v>#DIV/0!</v>
      </c>
      <c r="E143" s="83" t="e">
        <f>COUNTIFS(DATA!$G$2:$G210,$D$8,DATA!$D$2:$D210,D136,DATA!$B$2:$B210,$D$7,DATA!$I$2:$I210,E$12,DATA!$H$2:$H210,$C143)/
COUNTIFS(DATA!$G$2:$G210,$D$8,DATA!$D$2:$D210,D136,DATA!$B$2:$B210,$D$7,DATA!$I$2:$I210,E$12,DATA!$H$2:$H210,"&lt;&gt;-")</f>
        <v>#DIV/0!</v>
      </c>
      <c r="F143" s="83">
        <f>COUNTIFS(DATA!$G$2:$G210,$D$8,DATA!$D$2:$D210,D136,DATA!$B$2:$B210,$D$7,DATA!$I$2:$I210,F$12,DATA!$H$2:$H210,$C143)/
COUNTIFS(DATA!$G$2:$G210,$D$8,DATA!$D$2:$D210,D136,DATA!$B$2:$B210,$D$7,DATA!$I$2:$I210,F$12,DATA!$H$2:$H210,"&lt;&gt;-")</f>
        <v>0.81081081081081086</v>
      </c>
      <c r="I143" s="91"/>
      <c r="J143" s="91"/>
      <c r="K143" s="91"/>
      <c r="L143" s="91"/>
      <c r="M143" s="91"/>
      <c r="N143" s="308"/>
    </row>
    <row r="144" spans="2:14" ht="12.5" x14ac:dyDescent="0.25">
      <c r="B144" s="87"/>
      <c r="C144" s="24" t="s">
        <v>23</v>
      </c>
      <c r="D144" s="83" t="e">
        <f>COUNTIFS(DATA!$G$2:$G210,$D$8,DATA!$D$2:$D210,D136,DATA!$B$2:$B210,$D$7,DATA!$I$2:$I210,D$12,DATA!$H$2:$H210,$C144)/
COUNTIFS(DATA!$G$2:$G210,$D$8,DATA!$D$2:$D210,D136,DATA!$B$2:$B210,$D$7,DATA!$I$2:$I210,D$12,DATA!$H$2:$H210,"&lt;&gt;-")</f>
        <v>#DIV/0!</v>
      </c>
      <c r="E144" s="83" t="e">
        <f>COUNTIFS(DATA!$G$2:$G210,$D$8,DATA!$D$2:$D210,D136,DATA!$B$2:$B210,$D$7,DATA!$I$2:$I210,E$12,DATA!$H$2:$H210,$C144)/
COUNTIFS(DATA!$G$2:$G210,$D$8,DATA!$D$2:$D210,D136,DATA!$B$2:$B210,$D$7,DATA!$I$2:$I210,E$12,DATA!$H$2:$H210,"&lt;&gt;-")</f>
        <v>#DIV/0!</v>
      </c>
      <c r="F144" s="83">
        <f>COUNTIFS(DATA!$G$2:$G210,$D$8,DATA!$D$2:$D210,D136,DATA!$B$2:$B210,$D$7,DATA!$I$2:$I210,F$12,DATA!$H$2:$H210,$C144)/
COUNTIFS(DATA!$G$2:$G210,$D$8,DATA!$D$2:$D210,D136,DATA!$B$2:$B210,$D$7,DATA!$I$2:$I210,F$12,DATA!$H$2:$H210,"&lt;&gt;-")</f>
        <v>0.1891891891891892</v>
      </c>
      <c r="I144" s="91"/>
      <c r="J144" s="91"/>
      <c r="K144" s="91"/>
      <c r="L144" s="91"/>
      <c r="M144" s="91"/>
      <c r="N144" s="308"/>
    </row>
    <row r="145" spans="2:14" ht="12.5" x14ac:dyDescent="0.25">
      <c r="B145" s="87"/>
      <c r="C145" s="24" t="s">
        <v>25</v>
      </c>
      <c r="D145" s="83" t="e">
        <f>COUNTIFS(DATA!$G$2:$G210,$D$8,DATA!$D$2:$D210,D136,DATA!$B$2:$B210,$D$7,DATA!$I$2:$I210,D$12,DATA!$H$2:$H210,$C145)/
COUNTIFS(DATA!$G$2:$G210,$D$8,DATA!$D$2:$D210,D136,DATA!$B$2:$B210,$D$7,DATA!$I$2:$I210,D$12,DATA!$H$2:$H210,"&lt;&gt;-")</f>
        <v>#DIV/0!</v>
      </c>
      <c r="E145" s="83" t="e">
        <f>COUNTIFS(DATA!$G$2:$G210,$D$8,DATA!$D$2:$D210,D136,DATA!$B$2:$B210,$D$7,DATA!$I$2:$I210,E$12,DATA!$H$2:$H210,$C145)/
COUNTIFS(DATA!$G$2:$G210,$D$8,DATA!$D$2:$D210,D136,DATA!$B$2:$B210,$D$7,DATA!$I$2:$I210,E$12,DATA!$H$2:$H210,"&lt;&gt;-")</f>
        <v>#DIV/0!</v>
      </c>
      <c r="F145" s="83">
        <f>COUNTIFS(DATA!$G$2:$G210,$D$8,DATA!$D$2:$D210,D136,DATA!$B$2:$B210,$D$7,DATA!$I$2:$I210,F$12,DATA!$H$2:$H210,$C145)/
COUNTIFS(DATA!$G$2:$G210,$D$8,DATA!$D$2:$D210,D136,DATA!$B$2:$B210,$D$7,DATA!$I$2:$I210,F$12,DATA!$H$2:$H210,"&lt;&gt;-")</f>
        <v>0</v>
      </c>
      <c r="N145" s="308"/>
    </row>
    <row r="146" spans="2:14" ht="13" x14ac:dyDescent="0.3">
      <c r="B146" s="87"/>
      <c r="C146" s="96" t="s">
        <v>275</v>
      </c>
      <c r="D146" s="97" t="e">
        <f t="shared" ref="D146:F146" si="8">SUM(D143:D145)</f>
        <v>#DIV/0!</v>
      </c>
      <c r="E146" s="97" t="e">
        <f t="shared" si="8"/>
        <v>#DIV/0!</v>
      </c>
      <c r="F146" s="97">
        <f t="shared" si="8"/>
        <v>1</v>
      </c>
      <c r="N146" s="308"/>
    </row>
    <row r="147" spans="2:14" ht="12.5" x14ac:dyDescent="0.25">
      <c r="B147" s="87"/>
      <c r="C147" s="24"/>
      <c r="D147" s="91"/>
      <c r="E147" s="91"/>
      <c r="F147" s="91"/>
      <c r="G147" s="24"/>
      <c r="H147" s="24"/>
      <c r="N147" s="308"/>
    </row>
    <row r="148" spans="2:14" ht="12.5" x14ac:dyDescent="0.25">
      <c r="B148" s="87"/>
      <c r="C148" s="98"/>
      <c r="D148" s="91"/>
      <c r="E148" s="91"/>
      <c r="F148" s="91"/>
      <c r="G148" s="24"/>
      <c r="H148" s="24"/>
      <c r="N148" s="308"/>
    </row>
    <row r="149" spans="2:14" ht="12.5" x14ac:dyDescent="0.25">
      <c r="B149" s="87"/>
      <c r="C149" s="367" t="s">
        <v>3</v>
      </c>
      <c r="D149" s="368" t="s">
        <v>42</v>
      </c>
      <c r="G149" s="24"/>
      <c r="H149" s="24"/>
      <c r="N149" s="308"/>
    </row>
    <row r="150" spans="2:14" ht="13" x14ac:dyDescent="0.3">
      <c r="B150" s="87"/>
      <c r="D150" s="99"/>
      <c r="G150" s="24"/>
      <c r="H150" s="24"/>
      <c r="N150" s="308"/>
    </row>
    <row r="151" spans="2:14" ht="12.5" x14ac:dyDescent="0.25">
      <c r="B151" s="87"/>
      <c r="C151" s="347"/>
      <c r="D151" s="348" t="s">
        <v>8</v>
      </c>
      <c r="E151" s="349" t="s">
        <v>1489</v>
      </c>
      <c r="F151" s="350"/>
      <c r="G151" s="350"/>
      <c r="H151" s="350"/>
      <c r="I151" s="351"/>
      <c r="N151" s="308"/>
    </row>
    <row r="152" spans="2:14" ht="12.5" x14ac:dyDescent="0.25">
      <c r="B152" s="87"/>
      <c r="C152" s="352"/>
      <c r="D152" s="347">
        <v>2022</v>
      </c>
      <c r="E152" s="350"/>
      <c r="F152" s="347" t="s">
        <v>113</v>
      </c>
      <c r="G152" s="350"/>
      <c r="H152" s="347" t="s">
        <v>20</v>
      </c>
      <c r="I152" s="351"/>
      <c r="N152" s="308"/>
    </row>
    <row r="153" spans="2:14" ht="12.5" x14ac:dyDescent="0.25">
      <c r="B153" s="87"/>
      <c r="C153" s="348" t="s">
        <v>7</v>
      </c>
      <c r="D153" s="347" t="s">
        <v>2033</v>
      </c>
      <c r="E153" s="354" t="s">
        <v>2033</v>
      </c>
      <c r="F153" s="347" t="s">
        <v>2033</v>
      </c>
      <c r="G153" s="354" t="s">
        <v>2033</v>
      </c>
      <c r="H153" s="347" t="s">
        <v>2033</v>
      </c>
      <c r="I153" s="355" t="s">
        <v>2033</v>
      </c>
      <c r="N153" s="308"/>
    </row>
    <row r="154" spans="2:14" ht="12.5" x14ac:dyDescent="0.25">
      <c r="B154" s="87"/>
      <c r="C154" s="353" t="s">
        <v>19</v>
      </c>
      <c r="D154" s="356">
        <v>89</v>
      </c>
      <c r="E154" s="357">
        <v>0.82407407407407407</v>
      </c>
      <c r="F154" s="356">
        <v>81</v>
      </c>
      <c r="G154" s="357">
        <v>0.64800000000000002</v>
      </c>
      <c r="H154" s="356">
        <v>196</v>
      </c>
      <c r="I154" s="358">
        <v>0.83050847457627119</v>
      </c>
      <c r="N154" s="308"/>
    </row>
    <row r="155" spans="2:14" ht="12.5" x14ac:dyDescent="0.25">
      <c r="B155" s="87"/>
      <c r="C155" s="359" t="s">
        <v>23</v>
      </c>
      <c r="D155" s="360">
        <v>6</v>
      </c>
      <c r="E155" s="361">
        <v>5.5555555555555552E-2</v>
      </c>
      <c r="F155" s="360">
        <v>41</v>
      </c>
      <c r="G155" s="361">
        <v>0.32800000000000001</v>
      </c>
      <c r="H155" s="360">
        <v>40</v>
      </c>
      <c r="I155" s="362">
        <v>0.16949152542372881</v>
      </c>
      <c r="N155" s="308"/>
    </row>
    <row r="156" spans="2:14" ht="12.5" x14ac:dyDescent="0.25">
      <c r="B156" s="87"/>
      <c r="C156" s="359" t="s">
        <v>25</v>
      </c>
      <c r="D156" s="360">
        <v>13</v>
      </c>
      <c r="E156" s="361">
        <v>0.12037037037037036</v>
      </c>
      <c r="F156" s="360">
        <v>3</v>
      </c>
      <c r="G156" s="361">
        <v>2.4E-2</v>
      </c>
      <c r="H156" s="360"/>
      <c r="I156" s="362">
        <v>0</v>
      </c>
      <c r="N156" s="308"/>
    </row>
    <row r="157" spans="2:14" ht="12.5" x14ac:dyDescent="0.25">
      <c r="B157" s="87"/>
      <c r="C157" s="363" t="s">
        <v>2034</v>
      </c>
      <c r="D157" s="364">
        <v>108</v>
      </c>
      <c r="E157" s="365">
        <v>1</v>
      </c>
      <c r="F157" s="364">
        <v>125</v>
      </c>
      <c r="G157" s="365">
        <v>1</v>
      </c>
      <c r="H157" s="364">
        <v>236</v>
      </c>
      <c r="I157" s="366">
        <v>1</v>
      </c>
      <c r="N157" s="308"/>
    </row>
    <row r="158" spans="2:14" ht="13" x14ac:dyDescent="0.3">
      <c r="B158" s="87"/>
      <c r="D158" s="99"/>
      <c r="G158" s="24"/>
      <c r="H158" s="24"/>
      <c r="N158" s="308"/>
    </row>
    <row r="159" spans="2:14" ht="13" x14ac:dyDescent="0.3">
      <c r="B159" s="87"/>
      <c r="D159" s="99"/>
      <c r="G159" s="24"/>
      <c r="H159" s="24"/>
      <c r="N159" s="308"/>
    </row>
    <row r="160" spans="2:14" ht="13" x14ac:dyDescent="0.3">
      <c r="B160" s="87"/>
      <c r="D160" s="99"/>
      <c r="G160" s="24"/>
      <c r="H160" s="24"/>
      <c r="N160" s="308"/>
    </row>
    <row r="161" spans="2:14" ht="13" x14ac:dyDescent="0.3">
      <c r="B161" s="87"/>
      <c r="D161" s="99"/>
      <c r="G161" s="24"/>
      <c r="H161" s="24"/>
      <c r="N161" s="308"/>
    </row>
    <row r="162" spans="2:14" ht="13" x14ac:dyDescent="0.3">
      <c r="B162" s="87"/>
      <c r="D162" s="99"/>
      <c r="G162" s="24"/>
      <c r="H162" s="24"/>
      <c r="N162" s="308"/>
    </row>
    <row r="163" spans="2:14" ht="13" x14ac:dyDescent="0.3">
      <c r="B163" s="87"/>
      <c r="D163" s="99"/>
      <c r="G163" s="24"/>
      <c r="H163" s="24"/>
      <c r="N163" s="308"/>
    </row>
    <row r="164" spans="2:14" ht="12.5" x14ac:dyDescent="0.25">
      <c r="B164" s="107"/>
      <c r="C164" s="108"/>
      <c r="D164" s="108"/>
      <c r="E164" s="108"/>
      <c r="F164" s="108"/>
      <c r="G164" s="109"/>
      <c r="H164" s="109"/>
      <c r="I164" s="109"/>
      <c r="J164" s="109"/>
      <c r="K164" s="109"/>
      <c r="L164" s="109"/>
      <c r="M164" s="109"/>
      <c r="N164" s="309"/>
    </row>
    <row r="165" spans="2:14" ht="12.5" x14ac:dyDescent="0.25">
      <c r="C165" s="70"/>
      <c r="D165" s="115"/>
      <c r="E165" s="115"/>
    </row>
    <row r="166" spans="2:14" ht="12.5" x14ac:dyDescent="0.25">
      <c r="C166" s="70"/>
      <c r="D166" s="115"/>
      <c r="E166" s="115"/>
      <c r="F166" s="116"/>
    </row>
    <row r="167" spans="2:14" ht="12.5" x14ac:dyDescent="0.25">
      <c r="B167" s="84"/>
      <c r="C167" s="85"/>
      <c r="D167" s="85"/>
      <c r="E167" s="85"/>
      <c r="F167" s="85"/>
      <c r="G167" s="85"/>
      <c r="H167" s="85"/>
      <c r="I167" s="85"/>
      <c r="J167" s="85"/>
      <c r="K167" s="85"/>
      <c r="L167" s="85"/>
      <c r="M167" s="85"/>
      <c r="N167" s="86" t="s">
        <v>274</v>
      </c>
    </row>
    <row r="168" spans="2:14" ht="13" x14ac:dyDescent="0.3">
      <c r="B168" s="87"/>
      <c r="C168" s="88" t="s">
        <v>295</v>
      </c>
      <c r="D168" s="89"/>
      <c r="E168" s="89"/>
      <c r="N168" s="307" t="e">
        <f ca="1">callGemini("Analiza los datos proporcionados, que muestran los niveles de logro en "&amp;$C$2&amp;" de los estudiantes de "&amp;D169&amp;" en las redes rurales Fe y Alegría en los años 2024, 2023 y 2022.  
### **Instrucciones de análisis:**  
1. **Descripción de la situación actual (2024):**  
   - Explica el estado de los niveles de logro en Matemática en 2024.  
   - Enfócate en la categ"&amp;"oría 'Logro esperado' o 'Proceso' y destaca su porcentaje.  
   - Cuando se trarta de comparar la movilización de estudaintes enfócate en comparar el año 2024 con el año 2022 ya que el 2022 es la linea base, menciona linea base (2022) en tu redacción para"&amp;" generar mayor contexto.  
2. **Comparación con años anteriores:**  
   - Calcula el cambio porcentual de 'Logro esperado' comparado con 2023 y 2022.  
   - Destaca la **movilización de estudiantes** desde el nivel 'Inicio' hacia 'Proceso'.  
   - Usa la"&amp;" fórmula: **(Porcentaje de 2024) - (Porcentaje del año anterior)** para obtener los cambios.  
   - Redondea los valores porcentuales a **números enteros (sin decimales)**.  
3. **Estructura de la respuesta:**  
   - Usa una narrativa clara y directa, si"&amp;"milar al siguiente **EJEMPLO:**  
   *Ejemplo:*  
   *En el año 2024, los niveles de logro en "&amp;$C$2&amp;" de los estudiantes en del grado "&amp;MID(D169,1,1)&amp;"° de "&amp;MID(D169,3,20)&amp;" de las redes Rurales Fe y Alegria muestran que un 42% alcanzó el nivel de Satisfactorio. Este valor representa un aumento de 5 puntos porcentuales en comparación con 2023 y un aumento de 7 puntos porcentuales respecto a 2022.*  
   *Además, para el 2024 "&amp;"se observa una movilización positiva de estudiantes desde el nivel 'Inicio' hacia 'Proceso', con una reducción del 15% en 'Inicio' comparado con la linea base (2022) y un aumento del 12% en 'Proceso' comparado con la linea base, lo que indica que más estu"&amp;"diantes están avanzando en sus aprendizajes.*  
4. **Formato de salida:**  
   - **Analisis redactado en texto plano, sin información adicional ni comentarios.**  
   - **Los valores porcentuales deben estar redondeados a números enteros (ejemplo: 62%).*"&amp;"*  
   - **En tu redacción usa comillas dobles no comillas simples cuando menciones algun nivel de logro.**  
Los datos a analizar están en el siguiente JSON: " &amp; crearJSONdesdeTabla(C175:F178,0))</f>
        <v>#NAME?</v>
      </c>
    </row>
    <row r="169" spans="2:14" ht="13" x14ac:dyDescent="0.3">
      <c r="B169" s="87"/>
      <c r="C169" s="90" t="s">
        <v>296</v>
      </c>
      <c r="D169" s="310" t="s">
        <v>43</v>
      </c>
      <c r="E169" s="311"/>
      <c r="F169" s="24" t="str">
        <f t="shared" ref="F169:F171" si="9">IF(D169="*","Todos","")</f>
        <v/>
      </c>
      <c r="I169" s="91"/>
      <c r="J169" s="91"/>
      <c r="K169" s="91"/>
      <c r="L169" s="91"/>
      <c r="M169" s="91"/>
      <c r="N169" s="308"/>
    </row>
    <row r="170" spans="2:14" ht="13" x14ac:dyDescent="0.3">
      <c r="B170" s="87"/>
      <c r="C170" s="90" t="s">
        <v>298</v>
      </c>
      <c r="D170" s="310" t="s">
        <v>297</v>
      </c>
      <c r="E170" s="311"/>
      <c r="F170" s="24" t="str">
        <f t="shared" si="9"/>
        <v>Todos</v>
      </c>
      <c r="I170" s="24"/>
      <c r="J170" s="24"/>
      <c r="K170" s="24"/>
      <c r="L170" s="24"/>
      <c r="N170" s="308"/>
    </row>
    <row r="171" spans="2:14" ht="13" x14ac:dyDescent="0.3">
      <c r="B171" s="87"/>
      <c r="C171" s="90" t="s">
        <v>6</v>
      </c>
      <c r="D171" s="310" t="s">
        <v>297</v>
      </c>
      <c r="E171" s="311"/>
      <c r="F171" s="24" t="str">
        <f t="shared" si="9"/>
        <v>Todos</v>
      </c>
      <c r="I171" s="91"/>
      <c r="J171" s="91"/>
      <c r="K171" s="91"/>
      <c r="L171" s="91"/>
      <c r="M171" s="91"/>
      <c r="N171" s="308"/>
    </row>
    <row r="172" spans="2:14" ht="12.5" x14ac:dyDescent="0.25">
      <c r="B172" s="87"/>
      <c r="I172" s="91"/>
      <c r="J172" s="91"/>
      <c r="K172" s="91"/>
      <c r="L172" s="91"/>
      <c r="M172" s="91"/>
      <c r="N172" s="308"/>
    </row>
    <row r="173" spans="2:14" ht="12.5" x14ac:dyDescent="0.25">
      <c r="B173" s="87"/>
      <c r="I173" s="91"/>
      <c r="J173" s="91"/>
      <c r="K173" s="91"/>
      <c r="N173" s="308"/>
    </row>
    <row r="174" spans="2:14" ht="13" x14ac:dyDescent="0.3">
      <c r="B174" s="87"/>
      <c r="C174" s="92"/>
      <c r="D174" s="93"/>
      <c r="E174" s="93"/>
      <c r="F174" s="93"/>
      <c r="I174" s="91"/>
      <c r="J174" s="91"/>
      <c r="K174" s="91"/>
      <c r="N174" s="308"/>
    </row>
    <row r="175" spans="2:14" ht="13" x14ac:dyDescent="0.3">
      <c r="B175" s="87"/>
      <c r="C175" s="94" t="s">
        <v>300</v>
      </c>
      <c r="D175" s="95">
        <v>2022</v>
      </c>
      <c r="E175" s="95">
        <v>2023</v>
      </c>
      <c r="F175" s="95">
        <v>2024</v>
      </c>
      <c r="I175" s="91"/>
      <c r="J175" s="91"/>
      <c r="K175" s="91"/>
      <c r="L175" s="91"/>
      <c r="M175" s="91"/>
      <c r="N175" s="308"/>
    </row>
    <row r="176" spans="2:14" ht="12.5" x14ac:dyDescent="0.25">
      <c r="B176" s="87"/>
      <c r="C176" s="24" t="s">
        <v>19</v>
      </c>
      <c r="D176" s="83" t="e">
        <f>COUNTIFS(DATA!$G$2:$G210,$D$8,DATA!$D$2:$D210,D169,DATA!$B$2:$B210,$D$7,DATA!$I$2:$I210,D$12,DATA!$H$2:$H210,$C176)/
COUNTIFS(DATA!$G$2:$G210,$D$8,DATA!$D$2:$D210,D169,DATA!$B$2:$B210,$D$7,DATA!$I$2:$I210,D$12,DATA!$H$2:$H210,"&lt;&gt;-")</f>
        <v>#DIV/0!</v>
      </c>
      <c r="E176" s="83" t="e">
        <f>COUNTIFS(DATA!$G$2:$G210,$D$8,DATA!$D$2:$D210,D169,DATA!$B$2:$B210,$D$7,DATA!$I$2:$I210,E$12,DATA!$H$2:$H210,$C176)/
COUNTIFS(DATA!$G$2:$G210,$D$8,DATA!$D$2:$D210,D169,DATA!$B$2:$B210,$D$7,DATA!$I$2:$I210,E$12,DATA!$H$2:$H210,"&lt;&gt;-")</f>
        <v>#DIV/0!</v>
      </c>
      <c r="F176" s="83">
        <f>COUNTIFS(DATA!$G$2:$G210,$D$8,DATA!$D$2:$D210,D169,DATA!$B$2:$B210,$D$7,DATA!$I$2:$I210,F$12,DATA!$H$2:$H210,$C176)/
COUNTIFS(DATA!$G$2:$G210,$D$8,DATA!$D$2:$D210,D169,DATA!$B$2:$B210,$D$7,DATA!$I$2:$I210,F$12,DATA!$H$2:$H210,"&lt;&gt;-")</f>
        <v>1</v>
      </c>
      <c r="I176" s="91"/>
      <c r="J176" s="91"/>
      <c r="K176" s="91"/>
      <c r="L176" s="91"/>
      <c r="M176" s="91"/>
      <c r="N176" s="308"/>
    </row>
    <row r="177" spans="2:14" ht="12.5" x14ac:dyDescent="0.25">
      <c r="B177" s="87"/>
      <c r="C177" s="24" t="s">
        <v>23</v>
      </c>
      <c r="D177" s="83" t="e">
        <f>COUNTIFS(DATA!$G$2:$G210,$D$8,DATA!$D$2:$D210,D169,DATA!$B$2:$B210,$D$7,DATA!$I$2:$I210,D$12,DATA!$H$2:$H210,$C177)/
COUNTIFS(DATA!$G$2:$G210,$D$8,DATA!$D$2:$D210,D169,DATA!$B$2:$B210,$D$7,DATA!$I$2:$I210,D$12,DATA!$H$2:$H210,"&lt;&gt;-")</f>
        <v>#DIV/0!</v>
      </c>
      <c r="E177" s="83" t="e">
        <f>COUNTIFS(DATA!$G$2:$G210,$D$8,DATA!$D$2:$D210,D169,DATA!$B$2:$B210,$D$7,DATA!$I$2:$I210,E$12,DATA!$H$2:$H210,$C177)/
COUNTIFS(DATA!$G$2:$G210,$D$8,DATA!$D$2:$D210,D169,DATA!$B$2:$B210,$D$7,DATA!$I$2:$I210,E$12,DATA!$H$2:$H210,"&lt;&gt;-")</f>
        <v>#DIV/0!</v>
      </c>
      <c r="F177" s="83">
        <f>COUNTIFS(DATA!$G$2:$G210,$D$8,DATA!$D$2:$D210,D169,DATA!$B$2:$B210,$D$7,DATA!$I$2:$I210,F$12,DATA!$H$2:$H210,$C177)/
COUNTIFS(DATA!$G$2:$G210,$D$8,DATA!$D$2:$D210,D169,DATA!$B$2:$B210,$D$7,DATA!$I$2:$I210,F$12,DATA!$H$2:$H210,"&lt;&gt;-")</f>
        <v>0</v>
      </c>
      <c r="I177" s="91"/>
      <c r="J177" s="91"/>
      <c r="K177" s="91"/>
      <c r="L177" s="91"/>
      <c r="M177" s="91"/>
      <c r="N177" s="308"/>
    </row>
    <row r="178" spans="2:14" ht="12.5" x14ac:dyDescent="0.25">
      <c r="B178" s="87"/>
      <c r="C178" s="24" t="s">
        <v>25</v>
      </c>
      <c r="D178" s="83" t="e">
        <f>COUNTIFS(DATA!$G$2:$G210,$D$8,DATA!$D$2:$D210,D169,DATA!$B$2:$B210,$D$7,DATA!$I$2:$I210,D$12,DATA!$H$2:$H210,$C178)/
COUNTIFS(DATA!$G$2:$G210,$D$8,DATA!$D$2:$D210,D169,DATA!$B$2:$B210,$D$7,DATA!$I$2:$I210,D$12,DATA!$H$2:$H210,"&lt;&gt;-")</f>
        <v>#DIV/0!</v>
      </c>
      <c r="E178" s="83" t="e">
        <f>COUNTIFS(DATA!$G$2:$G210,$D$8,DATA!$D$2:$D210,D169,DATA!$B$2:$B210,$D$7,DATA!$I$2:$I210,E$12,DATA!$H$2:$H210,$C178)/
COUNTIFS(DATA!$G$2:$G210,$D$8,DATA!$D$2:$D210,D169,DATA!$B$2:$B210,$D$7,DATA!$I$2:$I210,E$12,DATA!$H$2:$H210,"&lt;&gt;-")</f>
        <v>#DIV/0!</v>
      </c>
      <c r="F178" s="83">
        <f>COUNTIFS(DATA!$G$2:$G210,$D$8,DATA!$D$2:$D210,D169,DATA!$B$2:$B210,$D$7,DATA!$I$2:$I210,F$12,DATA!$H$2:$H210,$C178)/
COUNTIFS(DATA!$G$2:$G210,$D$8,DATA!$D$2:$D210,D169,DATA!$B$2:$B210,$D$7,DATA!$I$2:$I210,F$12,DATA!$H$2:$H210,"&lt;&gt;-")</f>
        <v>0</v>
      </c>
      <c r="N178" s="308"/>
    </row>
    <row r="179" spans="2:14" ht="13" x14ac:dyDescent="0.3">
      <c r="B179" s="87"/>
      <c r="C179" s="96" t="s">
        <v>275</v>
      </c>
      <c r="D179" s="97" t="e">
        <f t="shared" ref="D179:F179" si="10">SUM(D176:D178)</f>
        <v>#DIV/0!</v>
      </c>
      <c r="E179" s="97" t="e">
        <f t="shared" si="10"/>
        <v>#DIV/0!</v>
      </c>
      <c r="F179" s="97">
        <f t="shared" si="10"/>
        <v>1</v>
      </c>
      <c r="N179" s="308"/>
    </row>
    <row r="180" spans="2:14" ht="12.5" x14ac:dyDescent="0.25">
      <c r="B180" s="87"/>
      <c r="C180" s="24"/>
      <c r="D180" s="91"/>
      <c r="E180" s="91"/>
      <c r="F180" s="91"/>
      <c r="G180" s="24"/>
      <c r="H180" s="24"/>
      <c r="N180" s="308"/>
    </row>
    <row r="181" spans="2:14" ht="12.5" x14ac:dyDescent="0.25">
      <c r="B181" s="87"/>
      <c r="C181" s="98"/>
      <c r="D181" s="91"/>
      <c r="E181" s="91"/>
      <c r="F181" s="91"/>
      <c r="G181" s="24"/>
      <c r="H181" s="24"/>
      <c r="N181" s="308"/>
    </row>
    <row r="182" spans="2:14" ht="13" x14ac:dyDescent="0.3">
      <c r="B182" s="87"/>
      <c r="D182" s="99"/>
      <c r="G182" s="24"/>
      <c r="H182" s="24"/>
      <c r="N182" s="308"/>
    </row>
    <row r="183" spans="2:14" ht="12.5" x14ac:dyDescent="0.25">
      <c r="B183" s="87"/>
      <c r="C183" s="367" t="s">
        <v>3</v>
      </c>
      <c r="D183" s="368" t="s">
        <v>43</v>
      </c>
      <c r="G183" s="24"/>
      <c r="H183" s="24"/>
      <c r="N183" s="308"/>
    </row>
    <row r="184" spans="2:14" ht="13" x14ac:dyDescent="0.3">
      <c r="B184" s="87"/>
      <c r="D184" s="99"/>
      <c r="G184" s="24"/>
      <c r="H184" s="24"/>
      <c r="N184" s="308"/>
    </row>
    <row r="185" spans="2:14" ht="12.5" x14ac:dyDescent="0.25">
      <c r="B185" s="87"/>
      <c r="C185" s="347"/>
      <c r="D185" s="348" t="s">
        <v>8</v>
      </c>
      <c r="E185" s="349" t="s">
        <v>1489</v>
      </c>
      <c r="F185" s="350"/>
      <c r="G185" s="350"/>
      <c r="H185" s="350"/>
      <c r="I185" s="351"/>
      <c r="N185" s="308"/>
    </row>
    <row r="186" spans="2:14" ht="12.5" x14ac:dyDescent="0.25">
      <c r="B186" s="87"/>
      <c r="C186" s="352"/>
      <c r="D186" s="347">
        <v>2022</v>
      </c>
      <c r="E186" s="350"/>
      <c r="F186" s="347" t="s">
        <v>113</v>
      </c>
      <c r="G186" s="350"/>
      <c r="H186" s="347" t="s">
        <v>20</v>
      </c>
      <c r="I186" s="351"/>
      <c r="N186" s="308"/>
    </row>
    <row r="187" spans="2:14" ht="12.5" x14ac:dyDescent="0.25">
      <c r="B187" s="87"/>
      <c r="C187" s="348" t="s">
        <v>7</v>
      </c>
      <c r="D187" s="347" t="s">
        <v>2033</v>
      </c>
      <c r="E187" s="354" t="s">
        <v>2033</v>
      </c>
      <c r="F187" s="347" t="s">
        <v>2033</v>
      </c>
      <c r="G187" s="354" t="s">
        <v>2033</v>
      </c>
      <c r="H187" s="347" t="s">
        <v>2033</v>
      </c>
      <c r="I187" s="355" t="s">
        <v>2033</v>
      </c>
      <c r="N187" s="308"/>
    </row>
    <row r="188" spans="2:14" ht="12.5" x14ac:dyDescent="0.25">
      <c r="B188" s="87"/>
      <c r="C188" s="353" t="s">
        <v>19</v>
      </c>
      <c r="D188" s="356">
        <v>88</v>
      </c>
      <c r="E188" s="357">
        <v>0.7857142857142857</v>
      </c>
      <c r="F188" s="356">
        <v>66</v>
      </c>
      <c r="G188" s="357">
        <v>0.6875</v>
      </c>
      <c r="H188" s="356">
        <v>169</v>
      </c>
      <c r="I188" s="358">
        <v>0.77168949771689499</v>
      </c>
      <c r="N188" s="308"/>
    </row>
    <row r="189" spans="2:14" ht="12.5" x14ac:dyDescent="0.25">
      <c r="B189" s="87"/>
      <c r="C189" s="359" t="s">
        <v>23</v>
      </c>
      <c r="D189" s="360">
        <v>18</v>
      </c>
      <c r="E189" s="361">
        <v>0.16071428571428573</v>
      </c>
      <c r="F189" s="360">
        <v>28</v>
      </c>
      <c r="G189" s="361">
        <v>0.29166666666666669</v>
      </c>
      <c r="H189" s="360">
        <v>36</v>
      </c>
      <c r="I189" s="362">
        <v>0.16438356164383561</v>
      </c>
      <c r="N189" s="308"/>
    </row>
    <row r="190" spans="2:14" ht="12.5" x14ac:dyDescent="0.25">
      <c r="B190" s="87"/>
      <c r="C190" s="359" t="s">
        <v>25</v>
      </c>
      <c r="D190" s="360">
        <v>6</v>
      </c>
      <c r="E190" s="361">
        <v>5.3571428571428568E-2</v>
      </c>
      <c r="F190" s="360">
        <v>2</v>
      </c>
      <c r="G190" s="361">
        <v>2.0833333333333332E-2</v>
      </c>
      <c r="H190" s="360">
        <v>14</v>
      </c>
      <c r="I190" s="362">
        <v>6.3926940639269403E-2</v>
      </c>
      <c r="N190" s="308"/>
    </row>
    <row r="191" spans="2:14" ht="12.5" x14ac:dyDescent="0.25">
      <c r="B191" s="87"/>
      <c r="C191" s="363" t="s">
        <v>2034</v>
      </c>
      <c r="D191" s="364">
        <v>112</v>
      </c>
      <c r="E191" s="365">
        <v>1</v>
      </c>
      <c r="F191" s="364">
        <v>96</v>
      </c>
      <c r="G191" s="365">
        <v>1</v>
      </c>
      <c r="H191" s="364">
        <v>219</v>
      </c>
      <c r="I191" s="366">
        <v>1</v>
      </c>
      <c r="N191" s="308"/>
    </row>
    <row r="192" spans="2:14" ht="13" x14ac:dyDescent="0.3">
      <c r="B192" s="87"/>
      <c r="D192" s="99"/>
      <c r="G192" s="24"/>
      <c r="H192" s="24"/>
      <c r="N192" s="308"/>
    </row>
    <row r="193" spans="2:14" ht="13" x14ac:dyDescent="0.3">
      <c r="B193" s="87"/>
      <c r="D193" s="99"/>
      <c r="G193" s="24"/>
      <c r="H193" s="24"/>
      <c r="N193" s="308"/>
    </row>
    <row r="194" spans="2:14" ht="13" x14ac:dyDescent="0.3">
      <c r="B194" s="87"/>
      <c r="D194" s="99"/>
      <c r="G194" s="24"/>
      <c r="H194" s="24"/>
      <c r="N194" s="308"/>
    </row>
    <row r="195" spans="2:14" ht="13" x14ac:dyDescent="0.3">
      <c r="B195" s="87"/>
      <c r="D195" s="99"/>
      <c r="G195" s="24"/>
      <c r="H195" s="24"/>
      <c r="N195" s="308"/>
    </row>
    <row r="196" spans="2:14" ht="13" x14ac:dyDescent="0.3">
      <c r="B196" s="87"/>
      <c r="D196" s="99"/>
      <c r="G196" s="24"/>
      <c r="H196" s="24"/>
      <c r="N196" s="308"/>
    </row>
    <row r="197" spans="2:14" ht="12.5" x14ac:dyDescent="0.25">
      <c r="B197" s="107"/>
      <c r="C197" s="108"/>
      <c r="D197" s="108"/>
      <c r="E197" s="108"/>
      <c r="F197" s="108"/>
      <c r="G197" s="109"/>
      <c r="H197" s="109"/>
      <c r="I197" s="109"/>
      <c r="J197" s="109"/>
      <c r="K197" s="109"/>
      <c r="L197" s="109"/>
      <c r="M197" s="109"/>
      <c r="N197" s="309"/>
    </row>
    <row r="198" spans="2:14" ht="12.5" x14ac:dyDescent="0.25">
      <c r="D198" s="117"/>
      <c r="E198" s="117"/>
    </row>
  </sheetData>
  <mergeCells count="24">
    <mergeCell ref="D170:E170"/>
    <mergeCell ref="D171:E171"/>
    <mergeCell ref="D73:E73"/>
    <mergeCell ref="D74:E74"/>
    <mergeCell ref="D75:E75"/>
    <mergeCell ref="D105:E105"/>
    <mergeCell ref="D106:E106"/>
    <mergeCell ref="D107:E107"/>
    <mergeCell ref="D136:E136"/>
    <mergeCell ref="D43:E43"/>
    <mergeCell ref="D44:E44"/>
    <mergeCell ref="D137:E137"/>
    <mergeCell ref="D138:E138"/>
    <mergeCell ref="D169:E169"/>
    <mergeCell ref="N5:N37"/>
    <mergeCell ref="D6:E6"/>
    <mergeCell ref="D7:E7"/>
    <mergeCell ref="D8:E8"/>
    <mergeCell ref="D42:E42"/>
    <mergeCell ref="N41:N68"/>
    <mergeCell ref="N72:N100"/>
    <mergeCell ref="N104:N131"/>
    <mergeCell ref="N135:N164"/>
    <mergeCell ref="N168:N197"/>
  </mergeCells>
  <dataValidations count="1">
    <dataValidation type="list" allowBlank="1" showErrorMessage="1" sqref="D8 D44 D75 D107 D138 D171" xr:uid="{00000000-0002-0000-0E00-000000000000}">
      <formula1>"*,Masculino,Femenino"</formula1>
    </dataValidation>
  </dataValidations>
  <printOptions horizontalCentered="1" gridLines="1"/>
  <pageMargins left="0.7" right="0.7" top="0.75" bottom="0.75" header="0" footer="0"/>
  <pageSetup paperSize="9" fitToHeight="0" pageOrder="overThenDown" orientation="portrait" cellComments="atEnd"/>
  <drawing r:id="rId7"/>
  <extLst>
    <ext xmlns:x14="http://schemas.microsoft.com/office/spreadsheetml/2009/9/main" uri="{CCE6A557-97BC-4b89-ADB6-D9C93CAAB3DF}">
      <x14:dataValidations xmlns:xm="http://schemas.microsoft.com/office/excel/2006/main" count="2">
        <x14:dataValidation type="list" allowBlank="1" showErrorMessage="1" xr:uid="{00000000-0002-0000-0E00-000001000000}">
          <x14:formula1>
            <xm:f>claves!$B$3:$B$10</xm:f>
          </x14:formula1>
          <xm:sqref>D6 D42 D73 D105 D136 D169</xm:sqref>
        </x14:dataValidation>
        <x14:dataValidation type="list" allowBlank="1" showErrorMessage="1" xr:uid="{00000000-0002-0000-0E00-000002000000}">
          <x14:formula1>
            <xm:f>nombres!$O$4:$O$22</xm:f>
          </x14:formula1>
          <xm:sqref>D7 D43 D74 D106 D137 D170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B3:HS245"/>
  <sheetViews>
    <sheetView showGridLines="0" workbookViewId="0"/>
  </sheetViews>
  <sheetFormatPr baseColWidth="10" defaultColWidth="12.6328125" defaultRowHeight="15.75" customHeight="1" x14ac:dyDescent="0.25"/>
  <cols>
    <col min="1" max="1" width="6.7265625" customWidth="1"/>
    <col min="2" max="2" width="2" customWidth="1"/>
    <col min="3" max="3" width="18.90625" customWidth="1"/>
    <col min="4" max="6" width="13.6328125" customWidth="1"/>
    <col min="12" max="12" width="7.6328125" customWidth="1"/>
    <col min="13" max="13" width="3" customWidth="1"/>
    <col min="14" max="14" width="37" customWidth="1"/>
  </cols>
  <sheetData>
    <row r="3" spans="2:227" x14ac:dyDescent="0.3">
      <c r="C3" s="88" t="s">
        <v>295</v>
      </c>
      <c r="D3" s="89"/>
      <c r="E3" s="89"/>
    </row>
    <row r="4" spans="2:227" x14ac:dyDescent="0.3">
      <c r="C4" s="90" t="s">
        <v>298</v>
      </c>
      <c r="D4" s="310" t="s">
        <v>304</v>
      </c>
      <c r="E4" s="311"/>
      <c r="F4" s="24" t="str">
        <f t="shared" ref="F4:F6" si="0">IF(D4="*","Todos","")</f>
        <v/>
      </c>
    </row>
    <row r="5" spans="2:227" x14ac:dyDescent="0.3">
      <c r="C5" s="90" t="s">
        <v>296</v>
      </c>
      <c r="D5" s="310" t="s">
        <v>297</v>
      </c>
      <c r="E5" s="311"/>
      <c r="F5" s="24" t="str">
        <f t="shared" si="0"/>
        <v>Todos</v>
      </c>
    </row>
    <row r="6" spans="2:227" x14ac:dyDescent="0.3">
      <c r="C6" s="90" t="s">
        <v>6</v>
      </c>
      <c r="D6" s="310" t="s">
        <v>297</v>
      </c>
      <c r="E6" s="311"/>
      <c r="F6" s="24" t="str">
        <f t="shared" si="0"/>
        <v>Todos</v>
      </c>
    </row>
    <row r="9" spans="2:227" ht="15.75" customHeight="1" x14ac:dyDescent="0.25">
      <c r="B9" s="109"/>
      <c r="C9" s="109"/>
      <c r="D9" s="109"/>
      <c r="E9" s="109"/>
      <c r="F9" s="109"/>
      <c r="G9" s="109"/>
      <c r="H9" s="109"/>
      <c r="I9" s="109"/>
      <c r="J9" s="109"/>
      <c r="K9" s="109"/>
      <c r="L9" s="109"/>
      <c r="M9" s="109"/>
      <c r="N9" s="109"/>
    </row>
    <row r="10" spans="2:227" ht="15.75" customHeight="1" x14ac:dyDescent="0.25">
      <c r="B10" s="87"/>
      <c r="N10" s="86" t="s">
        <v>274</v>
      </c>
    </row>
    <row r="11" spans="2:227" x14ac:dyDescent="0.3">
      <c r="B11" s="87"/>
      <c r="C11" s="92">
        <f>DATA!Q$1</f>
        <v>0</v>
      </c>
      <c r="D11" s="93"/>
      <c r="E11" s="93"/>
      <c r="F11" s="93"/>
      <c r="N11" s="307" t="e">
        <f ca="1">callGemini("Analiza los datos proporcionados, que muestran la evolución de los docentes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 crearJSONdesdeTabla(C12:F16,0)&amp;" y corresponden a la dimensión "&amp;C19&amp;"
Redacta el análisis con una narrativa y estructura similar al siguiente EJEMPLO: 
En el año 2024, los docentes de la "&amp;$D$4&amp;" mostraron una evolución en su desarrollo profesional, registrándose un 42% de docentes que se encuentran en el nivel de Logro esperado. Asimismo, este representa un aumento del 24% de docentes que mejoraron su nivel de logro comparado con el 2023 y un au"&amp;"mento del 21% comparado con el 2022.
Por otro lado, se evidencia una disminución de docentes que se encontraban en un nivel básico y en proceso (docentes que necesitan mejorar su desarrollo profesional) en un 11% y 15% respectivamente.
// El grafico es"&amp;" olo un ejemplo, debes aoptar las palabras correctas para describir el grafico, sin salir del marco del ejemplo.
// Devuelveme el análisis en texto plano, con el mismo formato del ejemplo, sin agregar más información ni texto adicional. Prioricemos el ana"&amp;"lisis del estado y la evolucón de la etiqueta 'Logro esperado' destaca su diferencia comparada con el 2023 y 2022, para ser preciso en este calculo debes tomar el porcentaje redondeado de 2024 y restarlo de los años anteriores respectivamente redondeados "&amp;"en numeros enteros porcentuales. Respecto a los valores % en tu respuesta debe estar redondeada a 0 decimales, como por ejemplo 62%)")</f>
        <v>#NAME?</v>
      </c>
    </row>
    <row r="12" spans="2:227" x14ac:dyDescent="0.3">
      <c r="B12" s="87"/>
      <c r="C12" s="94" t="s">
        <v>300</v>
      </c>
      <c r="D12" s="95">
        <v>2022</v>
      </c>
      <c r="E12" s="95">
        <v>2023</v>
      </c>
      <c r="F12" s="95">
        <v>2024</v>
      </c>
      <c r="I12" s="24"/>
      <c r="J12" s="24"/>
      <c r="K12" s="24"/>
      <c r="L12" s="24"/>
      <c r="N12" s="308"/>
    </row>
    <row r="13" spans="2:227" ht="15.75" customHeight="1" x14ac:dyDescent="0.25">
      <c r="B13" s="87"/>
      <c r="C13" s="24" t="s">
        <v>305</v>
      </c>
      <c r="D13" s="83" t="e">
        <f>COUNTIFS(DATA!$D$2:$D247,$D$4,DATA!$H$2:$H247,$D$5, DATA!$G$2:$G247,$D$6,DATA!$B$2:$B247,D12, DATA!Q$2:Q247,C13)/
 COUNTIFS(DATA!$D$2:$D247,$D$4,DATA!$H$2:$H247,$D$5, DATA!$G$2:$G247,$D$6,DATA!$B$2:$B247,D12, DATA!Q$2:Q247,"&lt;&gt;-")</f>
        <v>#DIV/0!</v>
      </c>
      <c r="E13" s="83" t="e">
        <f>COUNTIFS(DATA!$D$2:$D247,$D$4,DATA!$H$2:$H247,$D$5, DATA!$G$2:$G247,$D$6,DATA!$B$2:$B247,E12, DATA!Q$2:Q247,C13)/
 COUNTIFS(DATA!$D$2:$D247,$D$4,DATA!$H$2:$H247,$D$5, DATA!$G$2:$G247,$D$6,DATA!$B$2:$B247,E12, DATA!Q$2:Q247,"&lt;&gt;-")</f>
        <v>#DIV/0!</v>
      </c>
      <c r="F13" s="83" t="e">
        <f>COUNTIFS(DATA!$D$2:$D247,$D$4,DATA!$H$2:$H247,$D$5, DATA!$G$2:$G247,$D$6,DATA!$B$2:$B247,F12, DATA!Q$2:Q247,C13)/
 COUNTIFS(DATA!$D$2:$D247,$D$4,DATA!$H$2:$H247,$D$5, DATA!$G$2:$G247,$D$6,DATA!$B$2:$B247,F12, DATA!Q$2:Q247,"&lt;&gt;-")</f>
        <v>#DIV/0!</v>
      </c>
      <c r="I13" s="91"/>
      <c r="J13" s="91"/>
      <c r="K13" s="91"/>
      <c r="L13" s="91"/>
      <c r="M13" s="91"/>
      <c r="N13" s="308"/>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c r="HD13" s="91"/>
      <c r="HE13" s="91"/>
      <c r="HF13" s="91"/>
      <c r="HG13" s="91"/>
      <c r="HH13" s="91"/>
      <c r="HI13" s="91"/>
      <c r="HJ13" s="91"/>
      <c r="HK13" s="91"/>
      <c r="HL13" s="91"/>
      <c r="HM13" s="91"/>
      <c r="HN13" s="91"/>
      <c r="HO13" s="91"/>
      <c r="HP13" s="91"/>
      <c r="HQ13" s="91"/>
      <c r="HR13" s="91"/>
      <c r="HS13" s="91"/>
    </row>
    <row r="14" spans="2:227" ht="15.75" customHeight="1" x14ac:dyDescent="0.25">
      <c r="B14" s="87"/>
      <c r="C14" s="24" t="s">
        <v>306</v>
      </c>
      <c r="D14" s="83" t="e">
        <f>COUNTIFS(DATA!$D$2:$D247,$D$4,DATA!$H$2:$H247,$D$5, DATA!$G$2:$G247,$D$6,DATA!$B$2:$B247,D12, DATA!Q$2:Q247,C14)/
 COUNTIFS(DATA!$D$2:$D247,$D$4,DATA!$H$2:$H247,$D$5, DATA!$G$2:$G247,$D$6,DATA!$B$2:$B247,D12, DATA!Q$2:Q247,"&lt;&gt;-")</f>
        <v>#DIV/0!</v>
      </c>
      <c r="E14" s="83" t="e">
        <f>COUNTIFS(DATA!$D$2:$D247,$D$4,DATA!$H$2:$H247,$D$5, DATA!$G$2:$G247,$D$6,DATA!$B$2:$B247,E12, DATA!Q$2:Q247,C14)/
 COUNTIFS(DATA!$D$2:$D247,$D$4,DATA!$H$2:$H247,$D$5, DATA!$G$2:$G247,$D$6,DATA!$B$2:$B247,E12, DATA!Q$2:Q247,"&lt;&gt;-")</f>
        <v>#DIV/0!</v>
      </c>
      <c r="F14" s="83" t="e">
        <f>COUNTIFS(DATA!$D$2:$D247,$D$4,DATA!$H$2:$H247,$D$5, DATA!$G$2:$G247,$D$6,DATA!$B$2:$B247,F12, DATA!Q$2:Q247,C14)/
 COUNTIFS(DATA!$D$2:$D247,$D$4,DATA!$H$2:$H247,$D$5, DATA!$G$2:$G247,$D$6,DATA!$B$2:$B247,F12, DATA!Q$2:Q247,"&lt;&gt;-")</f>
        <v>#DIV/0!</v>
      </c>
      <c r="I14" s="91"/>
      <c r="J14" s="91"/>
      <c r="K14" s="91"/>
      <c r="L14" s="91"/>
      <c r="M14" s="91"/>
      <c r="N14" s="308"/>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c r="HD14" s="91"/>
      <c r="HE14" s="91"/>
      <c r="HF14" s="91"/>
      <c r="HG14" s="91"/>
      <c r="HH14" s="91"/>
      <c r="HI14" s="91"/>
      <c r="HJ14" s="91"/>
      <c r="HK14" s="91"/>
      <c r="HL14" s="91"/>
      <c r="HM14" s="91"/>
      <c r="HN14" s="91"/>
      <c r="HO14" s="91"/>
      <c r="HP14" s="91"/>
      <c r="HQ14" s="91"/>
      <c r="HR14" s="91"/>
      <c r="HS14" s="91"/>
    </row>
    <row r="15" spans="2:227" ht="15.75" customHeight="1" x14ac:dyDescent="0.25">
      <c r="B15" s="87"/>
      <c r="C15" s="24" t="s">
        <v>307</v>
      </c>
      <c r="D15" s="83" t="e">
        <f>COUNTIFS(DATA!$D$2:$D247,$D$4,DATA!$H$2:$H247,$D$5, DATA!$G$2:$G247,$D$6,DATA!$B$2:$B247,D12, DATA!Q$2:Q247,C15)/
 COUNTIFS(DATA!$D$2:$D247,$D$4,DATA!$H$2:$H247,$D$5, DATA!$G$2:$G247,$D$6,DATA!$B$2:$B247,D12, DATA!Q$2:Q247,"&lt;&gt;-")</f>
        <v>#DIV/0!</v>
      </c>
      <c r="E15" s="83" t="e">
        <f>COUNTIFS(DATA!$D$2:$D247,$D$4,DATA!$H$2:$H247,$D$5, DATA!$G$2:$G247,$D$6,DATA!$B$2:$B247,E12, DATA!Q$2:Q247,C15)/
 COUNTIFS(DATA!$D$2:$D247,$D$4,DATA!$H$2:$H247,$D$5, DATA!$G$2:$G247,$D$6,DATA!$B$2:$B247,E12, DATA!Q$2:Q247,"&lt;&gt;-")</f>
        <v>#DIV/0!</v>
      </c>
      <c r="F15" s="83" t="e">
        <f>COUNTIFS(DATA!$D$2:$D247,$D$4,DATA!$H$2:$H247,$D$5, DATA!$G$2:$G247,$D$6,DATA!$B$2:$B247,F12, DATA!Q$2:Q247,C15)/
 COUNTIFS(DATA!$D$2:$D247,$D$4,DATA!$H$2:$H247,$D$5, DATA!$G$2:$G247,$D$6,DATA!$B$2:$B247,F12, DATA!Q$2:Q247,"&lt;&gt;-")</f>
        <v>#DIV/0!</v>
      </c>
      <c r="I15" s="91"/>
      <c r="J15" s="91"/>
      <c r="K15" s="91"/>
      <c r="L15" s="91"/>
      <c r="M15" s="91"/>
      <c r="N15" s="308"/>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1"/>
      <c r="DZ15" s="91"/>
      <c r="EA15" s="91"/>
      <c r="EB15" s="91"/>
      <c r="EC15" s="91"/>
      <c r="ED15" s="91"/>
      <c r="EE15" s="91"/>
      <c r="EF15" s="91"/>
      <c r="EG15" s="91"/>
      <c r="EH15" s="91"/>
      <c r="EI15" s="91"/>
      <c r="EJ15" s="91"/>
      <c r="EK15" s="91"/>
      <c r="EL15" s="91"/>
      <c r="EM15" s="91"/>
      <c r="EN15" s="91"/>
      <c r="EO15" s="91"/>
      <c r="EP15" s="91"/>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1"/>
      <c r="FO15" s="91"/>
      <c r="FP15" s="91"/>
      <c r="FQ15" s="91"/>
      <c r="FR15" s="91"/>
      <c r="FS15" s="91"/>
      <c r="FT15" s="91"/>
      <c r="FU15" s="91"/>
      <c r="FV15" s="91"/>
      <c r="FW15" s="91"/>
      <c r="FX15" s="91"/>
      <c r="FY15" s="91"/>
      <c r="FZ15" s="91"/>
      <c r="GA15" s="91"/>
      <c r="GB15" s="91"/>
      <c r="GC15" s="91"/>
      <c r="GD15" s="91"/>
      <c r="GE15" s="91"/>
      <c r="GF15" s="91"/>
      <c r="GG15" s="91"/>
      <c r="GH15" s="91"/>
      <c r="GI15" s="91"/>
      <c r="GJ15" s="91"/>
      <c r="GK15" s="91"/>
      <c r="GL15" s="91"/>
      <c r="GM15" s="91"/>
      <c r="GN15" s="91"/>
      <c r="GO15" s="91"/>
      <c r="GP15" s="91"/>
      <c r="GQ15" s="91"/>
      <c r="GR15" s="91"/>
      <c r="GS15" s="91"/>
      <c r="GT15" s="91"/>
      <c r="GU15" s="91"/>
      <c r="GV15" s="91"/>
      <c r="GW15" s="91"/>
      <c r="GX15" s="91"/>
      <c r="GY15" s="91"/>
      <c r="GZ15" s="91"/>
      <c r="HA15" s="91"/>
      <c r="HB15" s="91"/>
      <c r="HC15" s="91"/>
      <c r="HD15" s="91"/>
      <c r="HE15" s="91"/>
      <c r="HF15" s="91"/>
      <c r="HG15" s="91"/>
      <c r="HH15" s="91"/>
      <c r="HI15" s="91"/>
      <c r="HJ15" s="91"/>
      <c r="HK15" s="91"/>
      <c r="HL15" s="91"/>
      <c r="HM15" s="91"/>
      <c r="HN15" s="91"/>
      <c r="HO15" s="91"/>
      <c r="HP15" s="91"/>
      <c r="HQ15" s="91"/>
      <c r="HR15" s="91"/>
      <c r="HS15" s="91"/>
    </row>
    <row r="16" spans="2:227" ht="15.75" customHeight="1" x14ac:dyDescent="0.25">
      <c r="B16" s="87"/>
      <c r="C16" s="24" t="s">
        <v>308</v>
      </c>
      <c r="D16" s="83" t="e">
        <f>COUNTIFS(DATA!$D$2:$D247,$D$4,DATA!$H$2:$H247,$D$5, DATA!$G$2:$G247,$D$6,DATA!$B$2:$B247,D12, DATA!Q$2:Q247,C16)/
 COUNTIFS(DATA!$D$2:$D247,$D$4,DATA!$H$2:$H247,$D$5, DATA!$G$2:$G247,$D$6,DATA!$B$2:$B247,D12, DATA!Q$2:Q247,"&lt;&gt;-")</f>
        <v>#DIV/0!</v>
      </c>
      <c r="E16" s="83" t="e">
        <f>COUNTIFS(DATA!$D$2:$D247,$D$4,DATA!$H$2:$H247,$D$5, DATA!$G$2:$G247,$D$6,DATA!$B$2:$B247,E12, DATA!Q$2:Q247,C16)/
 COUNTIFS(DATA!$D$2:$D247,$D$4,DATA!$H$2:$H247,$D$5, DATA!$G$2:$G247,$D$6,DATA!$B$2:$B247,E12, DATA!Q$2:Q247,"&lt;&gt;-")</f>
        <v>#DIV/0!</v>
      </c>
      <c r="F16" s="83" t="e">
        <f>COUNTIFS(DATA!$D$2:$D247,$D$4,DATA!$H$2:$H247,$D$5, DATA!$G$2:$G247,$D$6,DATA!$B$2:$B247,F12, DATA!Q$2:Q247,C16)/
 COUNTIFS(DATA!$D$2:$D247,$D$4,DATA!$H$2:$H247,$D$5, DATA!$G$2:$G247,$D$6,DATA!$B$2:$B247,F12, DATA!Q$2:Q247,"&lt;&gt;-")</f>
        <v>#DIV/0!</v>
      </c>
      <c r="H16" s="24"/>
      <c r="I16" s="91"/>
      <c r="J16" s="91"/>
      <c r="K16" s="91"/>
      <c r="N16" s="308"/>
    </row>
    <row r="17" spans="2:227" x14ac:dyDescent="0.3">
      <c r="B17" s="87"/>
      <c r="C17" s="96" t="s">
        <v>275</v>
      </c>
      <c r="D17" s="97" t="e">
        <f t="shared" ref="D17:F17" si="1">SUM(D13:D16)</f>
        <v>#DIV/0!</v>
      </c>
      <c r="E17" s="97" t="e">
        <f t="shared" si="1"/>
        <v>#DIV/0!</v>
      </c>
      <c r="F17" s="97" t="e">
        <f t="shared" si="1"/>
        <v>#DIV/0!</v>
      </c>
      <c r="I17" s="91"/>
      <c r="J17" s="91"/>
      <c r="K17" s="91"/>
      <c r="N17" s="308"/>
    </row>
    <row r="18" spans="2:227" ht="15.75" customHeight="1" x14ac:dyDescent="0.25">
      <c r="B18" s="87"/>
      <c r="C18" s="24"/>
      <c r="D18" s="91"/>
      <c r="E18" s="91"/>
      <c r="F18" s="91"/>
      <c r="I18" s="91"/>
      <c r="J18" s="91"/>
      <c r="K18" s="91"/>
      <c r="N18" s="308"/>
    </row>
    <row r="19" spans="2:227" ht="15.75" customHeight="1" x14ac:dyDescent="0.25">
      <c r="B19" s="87"/>
      <c r="C19" s="98" t="s">
        <v>309</v>
      </c>
      <c r="D19" s="91"/>
      <c r="E19" s="91"/>
      <c r="F19" s="91" t="e">
        <f>F16-E16</f>
        <v>#DIV/0!</v>
      </c>
      <c r="I19" s="91"/>
      <c r="J19" s="91"/>
      <c r="K19" s="91"/>
      <c r="L19" s="91"/>
      <c r="M19" s="91"/>
      <c r="N19" s="308"/>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91"/>
      <c r="BB19" s="91"/>
      <c r="BC19" s="91"/>
      <c r="BD19" s="91"/>
      <c r="BE19" s="91"/>
      <c r="BF19" s="91"/>
      <c r="BG19" s="91"/>
      <c r="BH19" s="91"/>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1"/>
      <c r="CT19" s="91"/>
      <c r="CU19" s="91"/>
      <c r="CV19" s="91"/>
      <c r="CW19" s="91"/>
      <c r="CX19" s="91"/>
      <c r="CY19" s="91"/>
      <c r="CZ19" s="91"/>
      <c r="DA19" s="91"/>
      <c r="DB19" s="91"/>
      <c r="DC19" s="91"/>
      <c r="DD19" s="91"/>
      <c r="DE19" s="91"/>
      <c r="DF19" s="91"/>
      <c r="DG19" s="91"/>
      <c r="DH19" s="91"/>
      <c r="DI19" s="91"/>
      <c r="DJ19" s="91"/>
      <c r="DK19" s="91"/>
      <c r="DL19" s="91"/>
      <c r="DM19" s="91"/>
      <c r="DN19" s="91"/>
      <c r="DO19" s="91"/>
      <c r="DP19" s="91"/>
      <c r="DQ19" s="91"/>
      <c r="DR19" s="91"/>
      <c r="DS19" s="91"/>
      <c r="DT19" s="91"/>
      <c r="DU19" s="91"/>
      <c r="DV19" s="91"/>
      <c r="DW19" s="91"/>
      <c r="DX19" s="91"/>
      <c r="DY19" s="91"/>
      <c r="DZ19" s="91"/>
      <c r="EA19" s="91"/>
      <c r="EB19" s="91"/>
      <c r="EC19" s="91"/>
      <c r="ED19" s="91"/>
      <c r="EE19" s="91"/>
      <c r="EF19" s="91"/>
      <c r="EG19" s="91"/>
      <c r="EH19" s="91"/>
      <c r="EI19" s="91"/>
      <c r="EJ19" s="91"/>
      <c r="EK19" s="91"/>
      <c r="EL19" s="91"/>
      <c r="EM19" s="91"/>
      <c r="EN19" s="91"/>
      <c r="EO19" s="91"/>
      <c r="EP19" s="91"/>
      <c r="EQ19" s="91"/>
      <c r="ER19" s="91"/>
      <c r="ES19" s="91"/>
      <c r="ET19" s="91"/>
      <c r="EU19" s="91"/>
      <c r="EV19" s="91"/>
      <c r="EW19" s="91"/>
      <c r="EX19" s="91"/>
      <c r="EY19" s="91"/>
      <c r="EZ19" s="91"/>
      <c r="FA19" s="91"/>
      <c r="FB19" s="91"/>
      <c r="FC19" s="91"/>
      <c r="FD19" s="91"/>
      <c r="FE19" s="91"/>
      <c r="FF19" s="91"/>
      <c r="FG19" s="91"/>
      <c r="FH19" s="91"/>
      <c r="FI19" s="91"/>
      <c r="FJ19" s="91"/>
      <c r="FK19" s="91"/>
      <c r="FL19" s="91"/>
      <c r="FM19" s="91"/>
      <c r="FN19" s="91"/>
      <c r="FO19" s="91"/>
      <c r="FP19" s="91"/>
      <c r="FQ19" s="91"/>
      <c r="FR19" s="91"/>
      <c r="FS19" s="91"/>
      <c r="FT19" s="91"/>
      <c r="FU19" s="91"/>
      <c r="FV19" s="91"/>
      <c r="FW19" s="91"/>
      <c r="FX19" s="91"/>
      <c r="FY19" s="91"/>
      <c r="FZ19" s="91"/>
      <c r="GA19" s="91"/>
      <c r="GB19" s="91"/>
      <c r="GC19" s="91"/>
      <c r="GD19" s="91"/>
      <c r="GE19" s="91"/>
      <c r="GF19" s="91"/>
      <c r="GG19" s="91"/>
      <c r="GH19" s="91"/>
      <c r="GI19" s="91"/>
      <c r="GJ19" s="91"/>
      <c r="GK19" s="91"/>
      <c r="GL19" s="91"/>
      <c r="GM19" s="91"/>
      <c r="GN19" s="91"/>
      <c r="GO19" s="91"/>
      <c r="GP19" s="91"/>
      <c r="GQ19" s="91"/>
      <c r="GR19" s="91"/>
      <c r="GS19" s="91"/>
      <c r="GT19" s="91"/>
      <c r="GU19" s="91"/>
      <c r="GV19" s="91"/>
      <c r="GW19" s="91"/>
      <c r="GX19" s="91"/>
      <c r="GY19" s="91"/>
      <c r="GZ19" s="91"/>
      <c r="HA19" s="91"/>
      <c r="HB19" s="91"/>
      <c r="HC19" s="91"/>
      <c r="HD19" s="91"/>
      <c r="HE19" s="91"/>
      <c r="HF19" s="91"/>
      <c r="HG19" s="91"/>
      <c r="HH19" s="91"/>
      <c r="HI19" s="91"/>
      <c r="HJ19" s="91"/>
      <c r="HK19" s="91"/>
      <c r="HL19" s="91"/>
      <c r="HM19" s="91"/>
      <c r="HN19" s="91"/>
      <c r="HO19" s="91"/>
      <c r="HP19" s="91"/>
      <c r="HQ19" s="91"/>
      <c r="HR19" s="91"/>
      <c r="HS19" s="91"/>
    </row>
    <row r="20" spans="2:227" ht="15.75" customHeight="1" x14ac:dyDescent="0.25">
      <c r="B20" s="87"/>
      <c r="I20" s="91"/>
      <c r="J20" s="91"/>
      <c r="K20" s="91"/>
      <c r="L20" s="91"/>
      <c r="M20" s="91"/>
      <c r="N20" s="308"/>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1"/>
      <c r="CT20" s="91"/>
      <c r="CU20" s="91"/>
      <c r="CV20" s="91"/>
      <c r="CW20" s="91"/>
      <c r="CX20" s="91"/>
      <c r="CY20" s="91"/>
      <c r="CZ20" s="91"/>
      <c r="DA20" s="91"/>
      <c r="DB20" s="91"/>
      <c r="DC20" s="91"/>
      <c r="DD20" s="91"/>
      <c r="DE20" s="91"/>
      <c r="DF20" s="91"/>
      <c r="DG20" s="91"/>
      <c r="DH20" s="91"/>
      <c r="DI20" s="91"/>
      <c r="DJ20" s="91"/>
      <c r="DK20" s="91"/>
      <c r="DL20" s="91"/>
      <c r="DM20" s="91"/>
      <c r="DN20" s="91"/>
      <c r="DO20" s="91"/>
      <c r="DP20" s="91"/>
      <c r="DQ20" s="91"/>
      <c r="DR20" s="91"/>
      <c r="DS20" s="91"/>
      <c r="DT20" s="91"/>
      <c r="DU20" s="91"/>
      <c r="DV20" s="91"/>
      <c r="DW20" s="91"/>
      <c r="DX20" s="91"/>
      <c r="DY20" s="91"/>
      <c r="DZ20" s="91"/>
      <c r="EA20" s="91"/>
      <c r="EB20" s="91"/>
      <c r="EC20" s="91"/>
      <c r="ED20" s="91"/>
      <c r="EE20" s="91"/>
      <c r="EF20" s="91"/>
      <c r="EG20" s="91"/>
      <c r="EH20" s="91"/>
      <c r="EI20" s="91"/>
      <c r="EJ20" s="91"/>
      <c r="EK20" s="91"/>
      <c r="EL20" s="91"/>
      <c r="EM20" s="91"/>
      <c r="EN20" s="91"/>
      <c r="EO20" s="91"/>
      <c r="EP20" s="91"/>
      <c r="EQ20" s="91"/>
      <c r="ER20" s="91"/>
      <c r="ES20" s="91"/>
      <c r="ET20" s="91"/>
      <c r="EU20" s="91"/>
      <c r="EV20" s="91"/>
      <c r="EW20" s="91"/>
      <c r="EX20" s="91"/>
      <c r="EY20" s="91"/>
      <c r="EZ20" s="91"/>
      <c r="FA20" s="91"/>
      <c r="FB20" s="91"/>
      <c r="FC20" s="91"/>
      <c r="FD20" s="91"/>
      <c r="FE20" s="91"/>
      <c r="FF20" s="91"/>
      <c r="FG20" s="91"/>
      <c r="FH20" s="91"/>
      <c r="FI20" s="91"/>
      <c r="FJ20" s="91"/>
      <c r="FK20" s="91"/>
      <c r="FL20" s="91"/>
      <c r="FM20" s="91"/>
      <c r="FN20" s="91"/>
      <c r="FO20" s="91"/>
      <c r="FP20" s="91"/>
      <c r="FQ20" s="91"/>
      <c r="FR20" s="91"/>
      <c r="FS20" s="91"/>
      <c r="FT20" s="91"/>
      <c r="FU20" s="91"/>
      <c r="FV20" s="91"/>
      <c r="FW20" s="91"/>
      <c r="FX20" s="91"/>
      <c r="FY20" s="91"/>
      <c r="FZ20" s="91"/>
      <c r="GA20" s="91"/>
      <c r="GB20" s="91"/>
      <c r="GC20" s="91"/>
      <c r="GD20" s="91"/>
      <c r="GE20" s="91"/>
      <c r="GF20" s="91"/>
      <c r="GG20" s="91"/>
      <c r="GH20" s="91"/>
      <c r="GI20" s="91"/>
      <c r="GJ20" s="91"/>
      <c r="GK20" s="91"/>
      <c r="GL20" s="91"/>
      <c r="GM20" s="91"/>
      <c r="GN20" s="91"/>
      <c r="GO20" s="91"/>
      <c r="GP20" s="91"/>
      <c r="GQ20" s="91"/>
      <c r="GR20" s="91"/>
      <c r="GS20" s="91"/>
      <c r="GT20" s="91"/>
      <c r="GU20" s="91"/>
      <c r="GV20" s="91"/>
      <c r="GW20" s="91"/>
      <c r="GX20" s="91"/>
      <c r="GY20" s="91"/>
      <c r="GZ20" s="91"/>
      <c r="HA20" s="91"/>
      <c r="HB20" s="91"/>
      <c r="HC20" s="91"/>
      <c r="HD20" s="91"/>
      <c r="HE20" s="91"/>
      <c r="HF20" s="91"/>
      <c r="HG20" s="91"/>
      <c r="HH20" s="91"/>
      <c r="HI20" s="91"/>
      <c r="HJ20" s="91"/>
      <c r="HK20" s="91"/>
      <c r="HL20" s="91"/>
      <c r="HM20" s="91"/>
      <c r="HN20" s="91"/>
      <c r="HO20" s="91"/>
      <c r="HP20" s="91"/>
      <c r="HQ20" s="91"/>
      <c r="HR20" s="91"/>
      <c r="HS20" s="91"/>
    </row>
    <row r="21" spans="2:227" x14ac:dyDescent="0.3">
      <c r="B21" s="87"/>
      <c r="D21" s="99"/>
      <c r="I21" s="91"/>
      <c r="J21" s="91"/>
      <c r="K21" s="91"/>
      <c r="L21" s="91"/>
      <c r="M21" s="91"/>
      <c r="N21" s="308"/>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c r="BR21" s="91"/>
      <c r="BS21" s="91"/>
      <c r="BT21" s="91"/>
      <c r="BU21" s="91"/>
      <c r="BV21" s="91"/>
      <c r="BW21" s="91"/>
      <c r="BX21" s="91"/>
      <c r="BY21" s="91"/>
      <c r="BZ21" s="91"/>
      <c r="CA21" s="91"/>
      <c r="CB21" s="91"/>
      <c r="CC21" s="91"/>
      <c r="CD21" s="91"/>
      <c r="CE21" s="91"/>
      <c r="CF21" s="91"/>
      <c r="CG21" s="91"/>
      <c r="CH21" s="91"/>
      <c r="CI21" s="91"/>
      <c r="CJ21" s="91"/>
      <c r="CK21" s="91"/>
      <c r="CL21" s="91"/>
      <c r="CM21" s="91"/>
      <c r="CN21" s="91"/>
      <c r="CO21" s="91"/>
      <c r="CP21" s="91"/>
      <c r="CQ21" s="91"/>
      <c r="CR21" s="91"/>
      <c r="CS21" s="91"/>
      <c r="CT21" s="91"/>
      <c r="CU21" s="91"/>
      <c r="CV21" s="91"/>
      <c r="CW21" s="91"/>
      <c r="CX21" s="91"/>
      <c r="CY21" s="91"/>
      <c r="CZ21" s="91"/>
      <c r="DA21" s="91"/>
      <c r="DB21" s="91"/>
      <c r="DC21" s="91"/>
      <c r="DD21" s="91"/>
      <c r="DE21" s="91"/>
      <c r="DF21" s="91"/>
      <c r="DG21" s="91"/>
      <c r="DH21" s="91"/>
      <c r="DI21" s="91"/>
      <c r="DJ21" s="91"/>
      <c r="DK21" s="91"/>
      <c r="DL21" s="91"/>
      <c r="DM21" s="91"/>
      <c r="DN21" s="91"/>
      <c r="DO21" s="91"/>
      <c r="DP21" s="91"/>
      <c r="DQ21" s="91"/>
      <c r="DR21" s="91"/>
      <c r="DS21" s="91"/>
      <c r="DT21" s="91"/>
      <c r="DU21" s="91"/>
      <c r="DV21" s="91"/>
      <c r="DW21" s="91"/>
      <c r="DX21" s="91"/>
      <c r="DY21" s="91"/>
      <c r="DZ21" s="91"/>
      <c r="EA21" s="91"/>
      <c r="EB21" s="91"/>
      <c r="EC21" s="91"/>
      <c r="ED21" s="91"/>
      <c r="EE21" s="91"/>
      <c r="EF21" s="91"/>
      <c r="EG21" s="91"/>
      <c r="EH21" s="91"/>
      <c r="EI21" s="91"/>
      <c r="EJ21" s="91"/>
      <c r="EK21" s="91"/>
      <c r="EL21" s="91"/>
      <c r="EM21" s="91"/>
      <c r="EN21" s="91"/>
      <c r="EO21" s="91"/>
      <c r="EP21" s="91"/>
      <c r="EQ21" s="91"/>
      <c r="ER21" s="91"/>
      <c r="ES21" s="91"/>
      <c r="ET21" s="91"/>
      <c r="EU21" s="91"/>
      <c r="EV21" s="91"/>
      <c r="EW21" s="91"/>
      <c r="EX21" s="91"/>
      <c r="EY21" s="91"/>
      <c r="EZ21" s="91"/>
      <c r="FA21" s="91"/>
      <c r="FB21" s="91"/>
      <c r="FC21" s="91"/>
      <c r="FD21" s="91"/>
      <c r="FE21" s="91"/>
      <c r="FF21" s="91"/>
      <c r="FG21" s="91"/>
      <c r="FH21" s="91"/>
      <c r="FI21" s="91"/>
      <c r="FJ21" s="91"/>
      <c r="FK21" s="91"/>
      <c r="FL21" s="91"/>
      <c r="FM21" s="91"/>
      <c r="FN21" s="91"/>
      <c r="FO21" s="91"/>
      <c r="FP21" s="91"/>
      <c r="FQ21" s="91"/>
      <c r="FR21" s="91"/>
      <c r="FS21" s="91"/>
      <c r="FT21" s="91"/>
      <c r="FU21" s="91"/>
      <c r="FV21" s="91"/>
      <c r="FW21" s="91"/>
      <c r="FX21" s="91"/>
      <c r="FY21" s="91"/>
      <c r="FZ21" s="91"/>
      <c r="GA21" s="91"/>
      <c r="GB21" s="91"/>
      <c r="GC21" s="91"/>
      <c r="GD21" s="91"/>
      <c r="GE21" s="91"/>
      <c r="GF21" s="91"/>
      <c r="GG21" s="91"/>
      <c r="GH21" s="91"/>
      <c r="GI21" s="91"/>
      <c r="GJ21" s="91"/>
      <c r="GK21" s="91"/>
      <c r="GL21" s="91"/>
      <c r="GM21" s="91"/>
      <c r="GN21" s="91"/>
      <c r="GO21" s="91"/>
      <c r="GP21" s="91"/>
      <c r="GQ21" s="91"/>
      <c r="GR21" s="91"/>
      <c r="GS21" s="91"/>
      <c r="GT21" s="91"/>
      <c r="GU21" s="91"/>
      <c r="GV21" s="91"/>
      <c r="GW21" s="91"/>
      <c r="GX21" s="91"/>
      <c r="GY21" s="91"/>
      <c r="GZ21" s="91"/>
      <c r="HA21" s="91"/>
      <c r="HB21" s="91"/>
      <c r="HC21" s="91"/>
      <c r="HD21" s="91"/>
      <c r="HE21" s="91"/>
      <c r="HF21" s="91"/>
      <c r="HG21" s="91"/>
      <c r="HH21" s="91"/>
      <c r="HI21" s="91"/>
      <c r="HJ21" s="91"/>
      <c r="HK21" s="91"/>
      <c r="HL21" s="91"/>
      <c r="HM21" s="91"/>
      <c r="HN21" s="91"/>
      <c r="HO21" s="91"/>
      <c r="HP21" s="91"/>
      <c r="HQ21" s="91"/>
      <c r="HR21" s="91"/>
      <c r="HS21" s="91"/>
    </row>
    <row r="22" spans="2:227" x14ac:dyDescent="0.3">
      <c r="B22" s="87"/>
      <c r="D22" s="99"/>
      <c r="N22" s="308"/>
    </row>
    <row r="23" spans="2:227" x14ac:dyDescent="0.3">
      <c r="B23" s="87"/>
      <c r="D23" s="99"/>
      <c r="N23" s="308"/>
    </row>
    <row r="24" spans="2:227" ht="13" x14ac:dyDescent="0.3">
      <c r="B24" s="87"/>
      <c r="D24" s="99"/>
      <c r="G24" s="24"/>
      <c r="H24" s="24"/>
      <c r="N24" s="308"/>
    </row>
    <row r="25" spans="2:227" ht="13" x14ac:dyDescent="0.3">
      <c r="B25" s="87"/>
      <c r="D25" s="99"/>
      <c r="G25" s="24"/>
      <c r="H25" s="24"/>
      <c r="N25" s="308"/>
    </row>
    <row r="26" spans="2:227" ht="13" x14ac:dyDescent="0.3">
      <c r="B26" s="87"/>
      <c r="D26" s="99"/>
      <c r="G26" s="24"/>
      <c r="H26" s="24"/>
      <c r="N26" s="308"/>
    </row>
    <row r="27" spans="2:227" ht="13" x14ac:dyDescent="0.3">
      <c r="B27" s="87"/>
      <c r="D27" s="99"/>
      <c r="G27" s="24"/>
      <c r="H27" s="24"/>
      <c r="N27" s="308"/>
    </row>
    <row r="28" spans="2:227" ht="12.5" x14ac:dyDescent="0.25">
      <c r="B28" s="107"/>
      <c r="C28" s="108"/>
      <c r="D28" s="108"/>
      <c r="E28" s="108"/>
      <c r="F28" s="108"/>
      <c r="G28" s="109"/>
      <c r="H28" s="109"/>
      <c r="I28" s="109"/>
      <c r="J28" s="109"/>
      <c r="K28" s="109"/>
      <c r="L28" s="109"/>
      <c r="M28" s="109"/>
      <c r="N28" s="308"/>
    </row>
    <row r="29" spans="2:227" ht="13" x14ac:dyDescent="0.3">
      <c r="D29" s="99"/>
      <c r="N29" s="309"/>
    </row>
    <row r="31" spans="2:227" ht="12.5" x14ac:dyDescent="0.25">
      <c r="B31" s="84"/>
      <c r="C31" s="85"/>
      <c r="D31" s="118"/>
      <c r="E31" s="118"/>
      <c r="F31" s="118"/>
      <c r="G31" s="85"/>
      <c r="H31" s="85"/>
      <c r="I31" s="85"/>
      <c r="J31" s="85"/>
      <c r="K31" s="85"/>
      <c r="L31" s="85"/>
      <c r="M31" s="85"/>
      <c r="N31" s="86" t="s">
        <v>274</v>
      </c>
    </row>
    <row r="32" spans="2:227" ht="13" x14ac:dyDescent="0.3">
      <c r="B32" s="87"/>
      <c r="C32" s="92">
        <f>DATA!R$1</f>
        <v>0</v>
      </c>
      <c r="D32" s="93"/>
      <c r="E32" s="93"/>
      <c r="F32" s="93"/>
      <c r="N32"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"&amp;C32&amp;", datos: "&amp; crearJSONdesdeTabla(C33:F37,0)&amp;" y corresponden a la competencia "&amp;C40&amp;"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33" spans="2:14" ht="13" x14ac:dyDescent="0.3">
      <c r="B33" s="87"/>
      <c r="C33" s="94" t="s">
        <v>300</v>
      </c>
      <c r="D33" s="95">
        <v>2022</v>
      </c>
      <c r="E33" s="95">
        <v>2023</v>
      </c>
      <c r="F33" s="95">
        <v>2024</v>
      </c>
      <c r="N33" s="308"/>
    </row>
    <row r="34" spans="2:14" ht="12.5" x14ac:dyDescent="0.25">
      <c r="B34" s="87"/>
      <c r="C34" s="24" t="s">
        <v>305</v>
      </c>
      <c r="D34" s="83" t="e">
        <f>COUNTIFS(DATA!$D$2:$D247,$D$4,DATA!$H$2:$H247,$D$5, DATA!$G$2:$G247,$D$6,DATA!$B$2:$B247,D33, DATA!R$2:R247,C34)/
 COUNTIFS(DATA!$D$2:$D247,$D$4,DATA!$H$2:$H247,$D$5, DATA!$G$2:$G247,$D$6,DATA!$B$2:$B247,D33, DATA!R$2:R247,"&lt;&gt;-")</f>
        <v>#DIV/0!</v>
      </c>
      <c r="E34" s="83" t="e">
        <f>COUNTIFS(DATA!$D$2:$D247,$D$4,DATA!$H$2:$H247,$D$5, DATA!$G$2:$G247,$D$6,DATA!$B$2:$B247,E33, DATA!R$2:R247,C34)/
 COUNTIFS(DATA!$D$2:$D247,$D$4,DATA!$H$2:$H247,$D$5, DATA!$G$2:$G247,$D$6,DATA!$B$2:$B247,E33, DATA!R$2:R247,"&lt;&gt;-")</f>
        <v>#DIV/0!</v>
      </c>
      <c r="F34" s="83" t="e">
        <f>COUNTIFS(DATA!$D$2:$D247,$D$4,DATA!$H$2:$H247,$D$5, DATA!$G$2:$G247,$D$6,DATA!$B$2:$B247,F33, DATA!R$2:R247,C34)/
 COUNTIFS(DATA!$D$2:$D247,$D$4,DATA!$H$2:$H247,$D$5, DATA!$G$2:$G247,$D$6,DATA!$B$2:$B247,F33, DATA!R$2:R247,"&lt;&gt;-")</f>
        <v>#DIV/0!</v>
      </c>
      <c r="N34" s="308"/>
    </row>
    <row r="35" spans="2:14" ht="12.5" x14ac:dyDescent="0.25">
      <c r="B35" s="87"/>
      <c r="C35" s="24" t="s">
        <v>306</v>
      </c>
      <c r="D35" s="83" t="e">
        <f>COUNTIFS(DATA!$D$2:$D247,$D$4,DATA!$H$2:$H247,$D$5, DATA!$G$2:$G247,$D$6,DATA!$B$2:$B247,D33, DATA!R$2:R247,C35)/
 COUNTIFS(DATA!$D$2:$D247,$D$4,DATA!$H$2:$H247,$D$5, DATA!$G$2:$G247,$D$6,DATA!$B$2:$B247,D33, DATA!R$2:R247,"&lt;&gt;-")</f>
        <v>#DIV/0!</v>
      </c>
      <c r="E35" s="83" t="e">
        <f>COUNTIFS(DATA!$D$2:$D247,$D$4,DATA!$H$2:$H247,$D$5, DATA!$G$2:$G247,$D$6,DATA!$B$2:$B247,E33, DATA!R$2:R247,C35)/
 COUNTIFS(DATA!$D$2:$D247,$D$4,DATA!$H$2:$H247,$D$5, DATA!$G$2:$G247,$D$6,DATA!$B$2:$B247,E33, DATA!R$2:R247,"&lt;&gt;-")</f>
        <v>#DIV/0!</v>
      </c>
      <c r="F35" s="83" t="e">
        <f>COUNTIFS(DATA!$D$2:$D247,$D$4,DATA!$H$2:$H247,$D$5, DATA!$G$2:$G247,$D$6,DATA!$B$2:$B247,F33, DATA!R$2:R247,C35)/
 COUNTIFS(DATA!$D$2:$D247,$D$4,DATA!$H$2:$H247,$D$5, DATA!$G$2:$G247,$D$6,DATA!$B$2:$B247,F33, DATA!R$2:R247,"&lt;&gt;-")</f>
        <v>#DIV/0!</v>
      </c>
      <c r="N35" s="308"/>
    </row>
    <row r="36" spans="2:14" ht="12.5" x14ac:dyDescent="0.25">
      <c r="B36" s="87"/>
      <c r="C36" s="24" t="s">
        <v>307</v>
      </c>
      <c r="D36" s="83" t="e">
        <f>COUNTIFS(DATA!$D$2:$D247,$D$4,DATA!$H$2:$H247,$D$5, DATA!$G$2:$G247,$D$6,DATA!$B$2:$B247,D33, DATA!R$2:R247,C36)/
 COUNTIFS(DATA!$D$2:$D247,$D$4,DATA!$H$2:$H247,$D$5, DATA!$G$2:$G247,$D$6,DATA!$B$2:$B247,D33, DATA!R$2:R247,"&lt;&gt;-")</f>
        <v>#DIV/0!</v>
      </c>
      <c r="E36" s="83" t="e">
        <f>COUNTIFS(DATA!$D$2:$D247,$D$4,DATA!$H$2:$H247,$D$5, DATA!$G$2:$G247,$D$6,DATA!$B$2:$B247,E33, DATA!R$2:R247,C36)/
 COUNTIFS(DATA!$D$2:$D247,$D$4,DATA!$H$2:$H247,$D$5, DATA!$G$2:$G247,$D$6,DATA!$B$2:$B247,E33, DATA!R$2:R247,"&lt;&gt;-")</f>
        <v>#DIV/0!</v>
      </c>
      <c r="F36" s="83" t="e">
        <f>COUNTIFS(DATA!$D$2:$D247,$D$4,DATA!$H$2:$H247,$D$5, DATA!$G$2:$G247,$D$6,DATA!$B$2:$B247,F33, DATA!R$2:R247,C36)/
 COUNTIFS(DATA!$D$2:$D247,$D$4,DATA!$H$2:$H247,$D$5, DATA!$G$2:$G247,$D$6,DATA!$B$2:$B247,F33, DATA!R$2:R247,"&lt;&gt;-")</f>
        <v>#DIV/0!</v>
      </c>
      <c r="N36" s="308"/>
    </row>
    <row r="37" spans="2:14" ht="12.5" x14ac:dyDescent="0.25">
      <c r="B37" s="87"/>
      <c r="C37" s="24" t="s">
        <v>308</v>
      </c>
      <c r="D37" s="83" t="e">
        <f>COUNTIFS(DATA!$D$2:$D247,$D$4,DATA!$H$2:$H247,$D$5, DATA!$G$2:$G247,$D$6,DATA!$B$2:$B247,D33, DATA!R$2:R247,C37)/
 COUNTIFS(DATA!$D$2:$D247,$D$4,DATA!$H$2:$H247,$D$5, DATA!$G$2:$G247,$D$6,DATA!$B$2:$B247,D33, DATA!R$2:R247,"&lt;&gt;-")</f>
        <v>#DIV/0!</v>
      </c>
      <c r="E37" s="83" t="e">
        <f>COUNTIFS(DATA!$D$2:$D247,$D$4,DATA!$H$2:$H247,$D$5, DATA!$G$2:$G247,$D$6,DATA!$B$2:$B247,E33, DATA!R$2:R247,C37)/
 COUNTIFS(DATA!$D$2:$D247,$D$4,DATA!$H$2:$H247,$D$5, DATA!$G$2:$G247,$D$6,DATA!$B$2:$B247,E33, DATA!R$2:R247,"&lt;&gt;-")</f>
        <v>#DIV/0!</v>
      </c>
      <c r="F37" s="83" t="e">
        <f>COUNTIFS(DATA!$D$2:$D247,$D$4,DATA!$H$2:$H247,$D$5, DATA!$G$2:$G247,$D$6,DATA!$B$2:$B247,F33, DATA!R$2:R247,C37)/
 COUNTIFS(DATA!$D$2:$D247,$D$4,DATA!$H$2:$H247,$D$5, DATA!$G$2:$G247,$D$6,DATA!$B$2:$B247,F33, DATA!R$2:R247,"&lt;&gt;-")</f>
        <v>#DIV/0!</v>
      </c>
      <c r="N37" s="308"/>
    </row>
    <row r="38" spans="2:14" ht="13" x14ac:dyDescent="0.3">
      <c r="B38" s="87"/>
      <c r="C38" s="96" t="s">
        <v>275</v>
      </c>
      <c r="D38" s="97" t="e">
        <f t="shared" ref="D38:F38" si="2">SUM(D34:D37)</f>
        <v>#DIV/0!</v>
      </c>
      <c r="E38" s="97" t="e">
        <f t="shared" si="2"/>
        <v>#DIV/0!</v>
      </c>
      <c r="F38" s="97" t="e">
        <f t="shared" si="2"/>
        <v>#DIV/0!</v>
      </c>
      <c r="N38" s="308"/>
    </row>
    <row r="39" spans="2:14" ht="12.5" x14ac:dyDescent="0.25">
      <c r="B39" s="87"/>
      <c r="D39" s="91"/>
      <c r="E39" s="91"/>
      <c r="F39" s="91"/>
      <c r="N39" s="308"/>
    </row>
    <row r="40" spans="2:14" ht="12.5" x14ac:dyDescent="0.25">
      <c r="B40" s="87"/>
      <c r="C40" s="24" t="s">
        <v>310</v>
      </c>
      <c r="D40" s="91"/>
      <c r="E40" s="91"/>
      <c r="F40" s="91"/>
      <c r="N40" s="308"/>
    </row>
    <row r="41" spans="2:14" ht="12.5" x14ac:dyDescent="0.25">
      <c r="B41" s="87"/>
      <c r="D41" s="91"/>
      <c r="E41" s="91"/>
      <c r="F41" s="91"/>
      <c r="N41" s="308"/>
    </row>
    <row r="42" spans="2:14" ht="12.5" x14ac:dyDescent="0.25">
      <c r="B42" s="87"/>
      <c r="D42" s="119"/>
      <c r="E42" s="119"/>
      <c r="F42" s="119"/>
      <c r="N42" s="308"/>
    </row>
    <row r="43" spans="2:14" ht="12.5" x14ac:dyDescent="0.25">
      <c r="B43" s="87"/>
      <c r="D43" s="119"/>
      <c r="E43" s="119"/>
      <c r="F43" s="119"/>
      <c r="N43" s="308"/>
    </row>
    <row r="44" spans="2:14" ht="12.5" x14ac:dyDescent="0.25">
      <c r="B44" s="87"/>
      <c r="D44" s="119"/>
      <c r="E44" s="119"/>
      <c r="F44" s="119"/>
      <c r="N44" s="308"/>
    </row>
    <row r="45" spans="2:14" ht="12.5" x14ac:dyDescent="0.25">
      <c r="B45" s="87"/>
      <c r="D45" s="119"/>
      <c r="E45" s="119"/>
      <c r="F45" s="119"/>
      <c r="N45" s="308"/>
    </row>
    <row r="46" spans="2:14" ht="12.5" x14ac:dyDescent="0.25">
      <c r="B46" s="87"/>
      <c r="D46" s="83"/>
      <c r="E46" s="83"/>
      <c r="F46" s="119"/>
      <c r="N46" s="308"/>
    </row>
    <row r="47" spans="2:14" ht="12.5" x14ac:dyDescent="0.25">
      <c r="B47" s="87"/>
      <c r="D47" s="83"/>
      <c r="E47" s="83"/>
      <c r="F47" s="91"/>
      <c r="N47" s="308"/>
    </row>
    <row r="48" spans="2:14" ht="12.5" x14ac:dyDescent="0.25">
      <c r="B48" s="87"/>
      <c r="C48" s="24"/>
      <c r="D48" s="83"/>
      <c r="E48" s="83"/>
      <c r="F48" s="91"/>
      <c r="N48" s="308"/>
    </row>
    <row r="49" spans="2:14" ht="12.5" x14ac:dyDescent="0.25">
      <c r="B49" s="87"/>
      <c r="C49" s="24"/>
      <c r="D49" s="83"/>
      <c r="E49" s="83"/>
      <c r="F49" s="91"/>
      <c r="N49" s="308"/>
    </row>
    <row r="50" spans="2:14" ht="12.5" x14ac:dyDescent="0.25">
      <c r="B50" s="107"/>
      <c r="C50" s="109"/>
      <c r="D50" s="120"/>
      <c r="E50" s="120"/>
      <c r="F50" s="120"/>
      <c r="G50" s="109"/>
      <c r="H50" s="109"/>
      <c r="I50" s="109"/>
      <c r="J50" s="109"/>
      <c r="K50" s="109"/>
      <c r="L50" s="109"/>
      <c r="M50" s="109"/>
      <c r="N50" s="309"/>
    </row>
    <row r="51" spans="2:14" ht="12.5" x14ac:dyDescent="0.25">
      <c r="C51" s="24"/>
      <c r="D51" s="91"/>
      <c r="E51" s="91"/>
      <c r="F51" s="91"/>
    </row>
    <row r="52" spans="2:14" ht="12.5" x14ac:dyDescent="0.25">
      <c r="C52" s="24"/>
      <c r="D52" s="91"/>
      <c r="E52" s="91"/>
      <c r="F52" s="91"/>
    </row>
    <row r="53" spans="2:14" ht="12.5" x14ac:dyDescent="0.25">
      <c r="B53" s="84"/>
      <c r="C53" s="85"/>
      <c r="D53" s="118"/>
      <c r="E53" s="118"/>
      <c r="F53" s="118"/>
      <c r="G53" s="85"/>
      <c r="H53" s="85"/>
      <c r="I53" s="85"/>
      <c r="J53" s="85"/>
      <c r="K53" s="85"/>
      <c r="L53" s="85"/>
      <c r="M53" s="85"/>
      <c r="N53" s="86" t="s">
        <v>274</v>
      </c>
    </row>
    <row r="54" spans="2:14" ht="13" x14ac:dyDescent="0.3">
      <c r="B54" s="87"/>
      <c r="C54" s="92">
        <f>DATA!S$1</f>
        <v>0</v>
      </c>
      <c r="D54" s="93"/>
      <c r="E54" s="93"/>
      <c r="F54" s="93"/>
      <c r="N54"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"&amp;C54&amp;", datos: "&amp; crearJSONdesdeTabla(C55:F59,0)&amp;" y corresponden a la competencia "&amp;C62&amp;"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55" spans="2:14" ht="13" x14ac:dyDescent="0.3">
      <c r="B55" s="87"/>
      <c r="C55" s="94" t="s">
        <v>300</v>
      </c>
      <c r="D55" s="95">
        <v>2022</v>
      </c>
      <c r="E55" s="95">
        <v>2023</v>
      </c>
      <c r="F55" s="95">
        <v>2024</v>
      </c>
      <c r="N55" s="308"/>
    </row>
    <row r="56" spans="2:14" ht="12.5" x14ac:dyDescent="0.25">
      <c r="B56" s="87"/>
      <c r="C56" s="24" t="s">
        <v>305</v>
      </c>
      <c r="D56" s="83" t="e">
        <f>COUNTIFS(DATA!$D$2:$D247,$D$4,DATA!$H$2:$H247,$D$5, DATA!$G$2:$G247,$D$6,DATA!$B$2:$B247,D55, DATA!S$2:S247,C56)/
 COUNTIFS(DATA!$D$2:$D247,$D$4,DATA!$H$2:$H247,$D$5, DATA!$G$2:$G247,$D$6,DATA!$B$2:$B247,D55, DATA!S$2:S247,"&lt;&gt;-")</f>
        <v>#DIV/0!</v>
      </c>
      <c r="E56" s="83" t="e">
        <f>COUNTIFS(DATA!$D$2:$D247,$D$4,DATA!$H$2:$H247,$D$5, DATA!$G$2:$G247,$D$6,DATA!$B$2:$B247,E55, DATA!S$2:S247,C56)/
 COUNTIFS(DATA!$D$2:$D247,$D$4,DATA!$H$2:$H247,$D$5, DATA!$G$2:$G247,$D$6,DATA!$B$2:$B247,E55, DATA!S$2:S247,"&lt;&gt;-")</f>
        <v>#DIV/0!</v>
      </c>
      <c r="F56" s="83" t="e">
        <f>COUNTIFS(DATA!$D$2:$D247,$D$4,DATA!$H$2:$H247,$D$5, DATA!$G$2:$G247,$D$6,DATA!$B$2:$B247,F55, DATA!S$2:S247,C56)/
 COUNTIFS(DATA!$D$2:$D247,$D$4,DATA!$H$2:$H247,$D$5, DATA!$G$2:$G247,$D$6,DATA!$B$2:$B247,F55, DATA!S$2:S247,"&lt;&gt;-")</f>
        <v>#DIV/0!</v>
      </c>
      <c r="N56" s="308"/>
    </row>
    <row r="57" spans="2:14" ht="12.5" x14ac:dyDescent="0.25">
      <c r="B57" s="87"/>
      <c r="C57" s="24" t="s">
        <v>306</v>
      </c>
      <c r="D57" s="83" t="e">
        <f>COUNTIFS(DATA!$D$2:$D247,$D$4,DATA!$H$2:$H247,$D$5, DATA!$G$2:$G247,$D$6,DATA!$B$2:$B247,D55, DATA!S$2:S247,C57)/
 COUNTIFS(DATA!$D$2:$D247,$D$4,DATA!$H$2:$H247,$D$5, DATA!$G$2:$G247,$D$6,DATA!$B$2:$B247,D55, DATA!S$2:S247,"&lt;&gt;-")</f>
        <v>#DIV/0!</v>
      </c>
      <c r="E57" s="83" t="e">
        <f>COUNTIFS(DATA!$D$2:$D247,$D$4,DATA!$H$2:$H247,$D$5, DATA!$G$2:$G247,$D$6,DATA!$B$2:$B247,E55, DATA!S$2:S247,C57)/
 COUNTIFS(DATA!$D$2:$D247,$D$4,DATA!$H$2:$H247,$D$5, DATA!$G$2:$G247,$D$6,DATA!$B$2:$B247,E55, DATA!S$2:S247,"&lt;&gt;-")</f>
        <v>#DIV/0!</v>
      </c>
      <c r="F57" s="83" t="e">
        <f>COUNTIFS(DATA!$D$2:$D247,$D$4,DATA!$H$2:$H247,$D$5, DATA!$G$2:$G247,$D$6,DATA!$B$2:$B247,F55, DATA!S$2:S247,C57)/
 COUNTIFS(DATA!$D$2:$D247,$D$4,DATA!$H$2:$H247,$D$5, DATA!$G$2:$G247,$D$6,DATA!$B$2:$B247,F55, DATA!S$2:S247,"&lt;&gt;-")</f>
        <v>#DIV/0!</v>
      </c>
      <c r="N57" s="308"/>
    </row>
    <row r="58" spans="2:14" ht="12.5" x14ac:dyDescent="0.25">
      <c r="B58" s="87"/>
      <c r="C58" s="24" t="s">
        <v>307</v>
      </c>
      <c r="D58" s="83" t="e">
        <f>COUNTIFS(DATA!$D$2:$D247,$D$4,DATA!$H$2:$H247,$D$5, DATA!$G$2:$G247,$D$6,DATA!$B$2:$B247,D55, DATA!S$2:S247,C58)/
 COUNTIFS(DATA!$D$2:$D247,$D$4,DATA!$H$2:$H247,$D$5, DATA!$G$2:$G247,$D$6,DATA!$B$2:$B247,D55, DATA!S$2:S247,"&lt;&gt;-")</f>
        <v>#DIV/0!</v>
      </c>
      <c r="E58" s="83" t="e">
        <f>COUNTIFS(DATA!$D$2:$D247,$D$4,DATA!$H$2:$H247,$D$5, DATA!$G$2:$G247,$D$6,DATA!$B$2:$B247,E55, DATA!S$2:S247,C58)/
 COUNTIFS(DATA!$D$2:$D247,$D$4,DATA!$H$2:$H247,$D$5, DATA!$G$2:$G247,$D$6,DATA!$B$2:$B247,E55, DATA!S$2:S247,"&lt;&gt;-")</f>
        <v>#DIV/0!</v>
      </c>
      <c r="F58" s="83" t="e">
        <f>COUNTIFS(DATA!$D$2:$D247,$D$4,DATA!$H$2:$H247,$D$5, DATA!$G$2:$G247,$D$6,DATA!$B$2:$B247,F55, DATA!S$2:S247,C58)/
 COUNTIFS(DATA!$D$2:$D247,$D$4,DATA!$H$2:$H247,$D$5, DATA!$G$2:$G247,$D$6,DATA!$B$2:$B247,F55, DATA!S$2:S247,"&lt;&gt;-")</f>
        <v>#DIV/0!</v>
      </c>
      <c r="N58" s="308"/>
    </row>
    <row r="59" spans="2:14" ht="12.5" x14ac:dyDescent="0.25">
      <c r="B59" s="87"/>
      <c r="C59" s="24" t="s">
        <v>308</v>
      </c>
      <c r="D59" s="83" t="e">
        <f>COUNTIFS(DATA!$D$2:$D247,$D$4,DATA!$H$2:$H247,$D$5, DATA!$G$2:$G247,$D$6,DATA!$B$2:$B247,D55, DATA!S$2:S247,C59)/
 COUNTIFS(DATA!$D$2:$D247,$D$4,DATA!$H$2:$H247,$D$5, DATA!$G$2:$G247,$D$6,DATA!$B$2:$B247,D55, DATA!S$2:S247,"&lt;&gt;-")</f>
        <v>#DIV/0!</v>
      </c>
      <c r="E59" s="83" t="e">
        <f>COUNTIFS(DATA!$D$2:$D247,$D$4,DATA!$H$2:$H247,$D$5, DATA!$G$2:$G247,$D$6,DATA!$B$2:$B247,E55, DATA!S$2:S247,C59)/
 COUNTIFS(DATA!$D$2:$D247,$D$4,DATA!$H$2:$H247,$D$5, DATA!$G$2:$G247,$D$6,DATA!$B$2:$B247,E55, DATA!S$2:S247,"&lt;&gt;-")</f>
        <v>#DIV/0!</v>
      </c>
      <c r="F59" s="83" t="e">
        <f>COUNTIFS(DATA!$D$2:$D247,$D$4,DATA!$H$2:$H247,$D$5, DATA!$G$2:$G247,$D$6,DATA!$B$2:$B247,F55, DATA!S$2:S247,C59)/
 COUNTIFS(DATA!$D$2:$D247,$D$4,DATA!$H$2:$H247,$D$5, DATA!$G$2:$G247,$D$6,DATA!$B$2:$B247,F55, DATA!S$2:S247,"&lt;&gt;-")</f>
        <v>#DIV/0!</v>
      </c>
      <c r="N59" s="308"/>
    </row>
    <row r="60" spans="2:14" ht="13" x14ac:dyDescent="0.3">
      <c r="B60" s="87"/>
      <c r="C60" s="96" t="s">
        <v>275</v>
      </c>
      <c r="D60" s="97" t="e">
        <f t="shared" ref="D60:F60" si="3">SUM(D56:D59)</f>
        <v>#DIV/0!</v>
      </c>
      <c r="E60" s="97" t="e">
        <f t="shared" si="3"/>
        <v>#DIV/0!</v>
      </c>
      <c r="F60" s="97" t="e">
        <f t="shared" si="3"/>
        <v>#DIV/0!</v>
      </c>
      <c r="N60" s="308"/>
    </row>
    <row r="61" spans="2:14" ht="12.5" x14ac:dyDescent="0.25">
      <c r="B61" s="87"/>
      <c r="N61" s="308"/>
    </row>
    <row r="62" spans="2:14" ht="12.5" x14ac:dyDescent="0.25">
      <c r="B62" s="87"/>
      <c r="C62" s="24" t="s">
        <v>311</v>
      </c>
      <c r="N62" s="308"/>
    </row>
    <row r="63" spans="2:14" ht="12.5" x14ac:dyDescent="0.25">
      <c r="B63" s="87"/>
      <c r="N63" s="308"/>
    </row>
    <row r="64" spans="2:14" ht="12.5" x14ac:dyDescent="0.25">
      <c r="B64" s="87"/>
      <c r="N64" s="308"/>
    </row>
    <row r="65" spans="2:14" ht="12.5" x14ac:dyDescent="0.25">
      <c r="B65" s="87"/>
      <c r="N65" s="308"/>
    </row>
    <row r="66" spans="2:14" ht="12.5" x14ac:dyDescent="0.25">
      <c r="B66" s="87"/>
      <c r="N66" s="308"/>
    </row>
    <row r="67" spans="2:14" ht="12.5" x14ac:dyDescent="0.25">
      <c r="B67" s="87"/>
      <c r="N67" s="308"/>
    </row>
    <row r="68" spans="2:14" ht="12.5" x14ac:dyDescent="0.25">
      <c r="B68" s="87"/>
      <c r="N68" s="308"/>
    </row>
    <row r="69" spans="2:14" ht="12.5" x14ac:dyDescent="0.25">
      <c r="B69" s="87"/>
      <c r="N69" s="308"/>
    </row>
    <row r="70" spans="2:14" ht="12.5" x14ac:dyDescent="0.25">
      <c r="B70" s="87"/>
      <c r="D70" s="91"/>
      <c r="E70" s="91"/>
      <c r="F70" s="91"/>
      <c r="N70" s="308"/>
    </row>
    <row r="71" spans="2:14" ht="12.5" x14ac:dyDescent="0.25">
      <c r="B71" s="87"/>
      <c r="C71" s="24"/>
      <c r="D71" s="91"/>
      <c r="E71" s="91"/>
      <c r="F71" s="91"/>
      <c r="N71" s="308"/>
    </row>
    <row r="72" spans="2:14" ht="12.5" x14ac:dyDescent="0.25">
      <c r="B72" s="87"/>
      <c r="C72" s="24"/>
      <c r="D72" s="91"/>
      <c r="E72" s="91"/>
      <c r="F72" s="91"/>
      <c r="N72" s="308"/>
    </row>
    <row r="73" spans="2:14" ht="12.5" x14ac:dyDescent="0.25">
      <c r="B73" s="87"/>
      <c r="C73" s="24"/>
      <c r="D73" s="91"/>
      <c r="E73" s="91"/>
      <c r="F73" s="91"/>
      <c r="N73" s="308"/>
    </row>
    <row r="74" spans="2:14" ht="12.5" x14ac:dyDescent="0.25">
      <c r="B74" s="107"/>
      <c r="C74" s="109"/>
      <c r="D74" s="120"/>
      <c r="E74" s="120"/>
      <c r="F74" s="120"/>
      <c r="G74" s="109"/>
      <c r="H74" s="109"/>
      <c r="I74" s="109"/>
      <c r="J74" s="109"/>
      <c r="K74" s="109"/>
      <c r="L74" s="109"/>
      <c r="M74" s="109"/>
      <c r="N74" s="309"/>
    </row>
    <row r="75" spans="2:14" ht="12.5" x14ac:dyDescent="0.25">
      <c r="C75" s="70"/>
      <c r="D75" s="115"/>
      <c r="E75" s="115"/>
    </row>
    <row r="76" spans="2:14" ht="12.5" x14ac:dyDescent="0.25">
      <c r="C76" s="70"/>
      <c r="D76" s="115"/>
      <c r="E76" s="115"/>
    </row>
    <row r="77" spans="2:14" ht="12.5" x14ac:dyDescent="0.25">
      <c r="C77" s="70"/>
      <c r="D77" s="115"/>
      <c r="E77" s="115"/>
    </row>
    <row r="78" spans="2:14" ht="12.5" x14ac:dyDescent="0.25">
      <c r="C78" s="70"/>
      <c r="D78" s="115"/>
      <c r="E78" s="115"/>
    </row>
    <row r="79" spans="2:14" ht="12.5" x14ac:dyDescent="0.25">
      <c r="C79" s="70"/>
      <c r="D79" s="115"/>
      <c r="E79" s="115"/>
    </row>
    <row r="80" spans="2:14" ht="12.5" x14ac:dyDescent="0.25">
      <c r="C80" s="70"/>
      <c r="D80" s="115"/>
      <c r="E80" s="115"/>
    </row>
    <row r="81" spans="2:14" ht="12.5" x14ac:dyDescent="0.25">
      <c r="C81" s="70"/>
      <c r="D81" s="115"/>
      <c r="E81" s="115"/>
    </row>
    <row r="82" spans="2:14" ht="12.5" x14ac:dyDescent="0.25">
      <c r="C82" s="70"/>
      <c r="D82" s="115"/>
      <c r="E82" s="115"/>
    </row>
    <row r="83" spans="2:14" ht="12.5" x14ac:dyDescent="0.25">
      <c r="C83" s="70"/>
      <c r="D83" s="115"/>
      <c r="E83" s="115"/>
    </row>
    <row r="84" spans="2:14" ht="12.5" x14ac:dyDescent="0.25">
      <c r="C84" s="70"/>
      <c r="D84" s="115"/>
      <c r="E84" s="115"/>
    </row>
    <row r="85" spans="2:14" ht="12.5" x14ac:dyDescent="0.25">
      <c r="C85" s="70"/>
      <c r="D85" s="115"/>
      <c r="E85" s="115"/>
    </row>
    <row r="86" spans="2:14" ht="12.5" x14ac:dyDescent="0.25">
      <c r="C86" s="70"/>
      <c r="D86" s="115"/>
      <c r="E86" s="115"/>
    </row>
    <row r="87" spans="2:14" ht="12.5" x14ac:dyDescent="0.25">
      <c r="B87" s="84"/>
      <c r="C87" s="85"/>
      <c r="D87" s="118"/>
      <c r="E87" s="118"/>
      <c r="F87" s="118"/>
      <c r="G87" s="85"/>
      <c r="H87" s="85"/>
      <c r="I87" s="85"/>
      <c r="J87" s="85"/>
      <c r="K87" s="85"/>
      <c r="L87" s="85"/>
      <c r="M87" s="85"/>
      <c r="N87" s="86" t="s">
        <v>274</v>
      </c>
    </row>
    <row r="88" spans="2:14" ht="13" x14ac:dyDescent="0.3">
      <c r="B88" s="87"/>
      <c r="C88" s="92">
        <f>DATA!T$1</f>
        <v>0</v>
      </c>
      <c r="D88" s="93"/>
      <c r="E88" s="93"/>
      <c r="F88" s="93"/>
      <c r="N88"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"&amp;C88&amp;", datos: "&amp; crearJSONdesdeTabla(C89:F93,0)&amp;" y corresponden a la competencia "&amp;C96&amp;"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89" spans="2:14" ht="13" x14ac:dyDescent="0.3">
      <c r="B89" s="87"/>
      <c r="C89" s="94" t="s">
        <v>300</v>
      </c>
      <c r="D89" s="95">
        <v>2022</v>
      </c>
      <c r="E89" s="95">
        <v>2023</v>
      </c>
      <c r="F89" s="95">
        <v>2024</v>
      </c>
      <c r="N89" s="308"/>
    </row>
    <row r="90" spans="2:14" ht="12.5" x14ac:dyDescent="0.25">
      <c r="B90" s="87"/>
      <c r="C90" s="24" t="s">
        <v>305</v>
      </c>
      <c r="D90" s="83" t="e">
        <f>COUNTIFS(DATA!$D$2:$D247,$D$4,DATA!$H$2:$H247,$D$5, DATA!$G$2:$G247,$D$6,DATA!$B$2:$B247,D89, DATA!T$2:T247,C90)/
 COUNTIFS(DATA!$D$2:$D247,$D$4,DATA!$H$2:$H247,$D$5, DATA!$G$2:$G247,$D$6,DATA!$B$2:$B247,D89, DATA!T$2:T247,"&lt;&gt;-")</f>
        <v>#DIV/0!</v>
      </c>
      <c r="E90" s="83" t="e">
        <f>COUNTIFS(DATA!$D$2:$D247,$D$4,DATA!$H$2:$H247,$D$5, DATA!$G$2:$G247,$D$6,DATA!$B$2:$B247,E89, DATA!T$2:T247,C90)/
 COUNTIFS(DATA!$D$2:$D247,$D$4,DATA!$H$2:$H247,$D$5, DATA!$G$2:$G247,$D$6,DATA!$B$2:$B247,E89, DATA!T$2:T247,"&lt;&gt;-")</f>
        <v>#DIV/0!</v>
      </c>
      <c r="F90" s="83" t="e">
        <f>COUNTIFS(DATA!$D$2:$D247,$D$4,DATA!$H$2:$H247,$D$5, DATA!$G$2:$G247,$D$6,DATA!$B$2:$B247,F89, DATA!T$2:T247,C90)/
 COUNTIFS(DATA!$D$2:$D247,$D$4,DATA!$H$2:$H247,$D$5, DATA!$G$2:$G247,$D$6,DATA!$B$2:$B247,F89, DATA!T$2:T247,"&lt;&gt;-")</f>
        <v>#DIV/0!</v>
      </c>
      <c r="N90" s="308"/>
    </row>
    <row r="91" spans="2:14" ht="12.5" x14ac:dyDescent="0.25">
      <c r="B91" s="87"/>
      <c r="C91" s="24" t="s">
        <v>306</v>
      </c>
      <c r="D91" s="83" t="e">
        <f>COUNTIFS(DATA!$D$2:$D247,$D$4,DATA!$H$2:$H247,$D$5, DATA!$G$2:$G247,$D$6,DATA!$B$2:$B247,D89, DATA!T$2:T247,C91)/
 COUNTIFS(DATA!$D$2:$D247,$D$4,DATA!$H$2:$H247,$D$5, DATA!$G$2:$G247,$D$6,DATA!$B$2:$B247,D89, DATA!T$2:T247,"&lt;&gt;-")</f>
        <v>#DIV/0!</v>
      </c>
      <c r="E91" s="83" t="e">
        <f>COUNTIFS(DATA!$D$2:$D247,$D$4,DATA!$H$2:$H247,$D$5, DATA!$G$2:$G247,$D$6,DATA!$B$2:$B247,E89, DATA!T$2:T247,C91)/
 COUNTIFS(DATA!$D$2:$D247,$D$4,DATA!$H$2:$H247,$D$5, DATA!$G$2:$G247,$D$6,DATA!$B$2:$B247,E89, DATA!T$2:T247,"&lt;&gt;-")</f>
        <v>#DIV/0!</v>
      </c>
      <c r="F91" s="83" t="e">
        <f>COUNTIFS(DATA!$D$2:$D247,$D$4,DATA!$H$2:$H247,$D$5, DATA!$G$2:$G247,$D$6,DATA!$B$2:$B247,F89, DATA!T$2:T247,C91)/
 COUNTIFS(DATA!$D$2:$D247,$D$4,DATA!$H$2:$H247,$D$5, DATA!$G$2:$G247,$D$6,DATA!$B$2:$B247,F89, DATA!T$2:T247,"&lt;&gt;-")</f>
        <v>#DIV/0!</v>
      </c>
      <c r="N91" s="308"/>
    </row>
    <row r="92" spans="2:14" ht="12.5" x14ac:dyDescent="0.25">
      <c r="B92" s="87"/>
      <c r="C92" s="24" t="s">
        <v>307</v>
      </c>
      <c r="D92" s="83" t="e">
        <f>COUNTIFS(DATA!$D$2:$D247,$D$4,DATA!$H$2:$H247,$D$5, DATA!$G$2:$G247,$D$6,DATA!$B$2:$B247,D89, DATA!T$2:T247,C92)/
 COUNTIFS(DATA!$D$2:$D247,$D$4,DATA!$H$2:$H247,$D$5, DATA!$G$2:$G247,$D$6,DATA!$B$2:$B247,D89, DATA!T$2:T247,"&lt;&gt;-")</f>
        <v>#DIV/0!</v>
      </c>
      <c r="E92" s="83" t="e">
        <f>COUNTIFS(DATA!$D$2:$D247,$D$4,DATA!$H$2:$H247,$D$5, DATA!$G$2:$G247,$D$6,DATA!$B$2:$B247,E89, DATA!T$2:T247,C92)/
 COUNTIFS(DATA!$D$2:$D247,$D$4,DATA!$H$2:$H247,$D$5, DATA!$G$2:$G247,$D$6,DATA!$B$2:$B247,E89, DATA!T$2:T247,"&lt;&gt;-")</f>
        <v>#DIV/0!</v>
      </c>
      <c r="F92" s="83" t="e">
        <f>COUNTIFS(DATA!$D$2:$D247,$D$4,DATA!$H$2:$H247,$D$5, DATA!$G$2:$G247,$D$6,DATA!$B$2:$B247,F89, DATA!T$2:T247,C92)/
 COUNTIFS(DATA!$D$2:$D247,$D$4,DATA!$H$2:$H247,$D$5, DATA!$G$2:$G247,$D$6,DATA!$B$2:$B247,F89, DATA!T$2:T247,"&lt;&gt;-")</f>
        <v>#DIV/0!</v>
      </c>
      <c r="N92" s="308"/>
    </row>
    <row r="93" spans="2:14" ht="12.5" x14ac:dyDescent="0.25">
      <c r="B93" s="87"/>
      <c r="C93" s="24" t="s">
        <v>308</v>
      </c>
      <c r="D93" s="83" t="e">
        <f>COUNTIFS(DATA!$D$2:$D247,$D$4,DATA!$H$2:$H247,$D$5, DATA!$G$2:$G247,$D$6,DATA!$B$2:$B247,D89, DATA!T$2:T247,C93)/
 COUNTIFS(DATA!$D$2:$D247,$D$4,DATA!$H$2:$H247,$D$5, DATA!$G$2:$G247,$D$6,DATA!$B$2:$B247,D89, DATA!T$2:T247,"&lt;&gt;-")</f>
        <v>#DIV/0!</v>
      </c>
      <c r="E93" s="83" t="e">
        <f>COUNTIFS(DATA!$D$2:$D247,$D$4,DATA!$H$2:$H247,$D$5, DATA!$G$2:$G247,$D$6,DATA!$B$2:$B247,E89, DATA!T$2:T247,C93)/
 COUNTIFS(DATA!$D$2:$D247,$D$4,DATA!$H$2:$H247,$D$5, DATA!$G$2:$G247,$D$6,DATA!$B$2:$B247,E89, DATA!T$2:T247,"&lt;&gt;-")</f>
        <v>#DIV/0!</v>
      </c>
      <c r="F93" s="83" t="e">
        <f>COUNTIFS(DATA!$D$2:$D247,$D$4,DATA!$H$2:$H247,$D$5, DATA!$G$2:$G247,$D$6,DATA!$B$2:$B247,F89, DATA!T$2:T247,C93)/
 COUNTIFS(DATA!$D$2:$D247,$D$4,DATA!$H$2:$H247,$D$5, DATA!$G$2:$G247,$D$6,DATA!$B$2:$B247,F89, DATA!T$2:T247,"&lt;&gt;-")</f>
        <v>#DIV/0!</v>
      </c>
      <c r="N93" s="308"/>
    </row>
    <row r="94" spans="2:14" ht="13" x14ac:dyDescent="0.3">
      <c r="B94" s="87"/>
      <c r="C94" s="96" t="s">
        <v>275</v>
      </c>
      <c r="D94" s="97" t="e">
        <f t="shared" ref="D94:F94" si="4">SUM(D90:D93)</f>
        <v>#DIV/0!</v>
      </c>
      <c r="E94" s="97" t="e">
        <f t="shared" si="4"/>
        <v>#DIV/0!</v>
      </c>
      <c r="F94" s="97" t="e">
        <f t="shared" si="4"/>
        <v>#DIV/0!</v>
      </c>
      <c r="N94" s="308"/>
    </row>
    <row r="95" spans="2:14" ht="12.5" x14ac:dyDescent="0.25">
      <c r="B95" s="87"/>
      <c r="N95" s="308"/>
    </row>
    <row r="96" spans="2:14" ht="12.5" x14ac:dyDescent="0.25">
      <c r="B96" s="87"/>
      <c r="C96" s="24" t="s">
        <v>312</v>
      </c>
      <c r="N96" s="308"/>
    </row>
    <row r="97" spans="2:14" ht="12.5" x14ac:dyDescent="0.25">
      <c r="B97" s="87"/>
      <c r="N97" s="308"/>
    </row>
    <row r="98" spans="2:14" ht="12.5" x14ac:dyDescent="0.25">
      <c r="B98" s="87"/>
      <c r="N98" s="308"/>
    </row>
    <row r="99" spans="2:14" ht="12.5" x14ac:dyDescent="0.25">
      <c r="B99" s="87"/>
      <c r="N99" s="308"/>
    </row>
    <row r="100" spans="2:14" ht="12.5" x14ac:dyDescent="0.25">
      <c r="B100" s="87"/>
      <c r="N100" s="308"/>
    </row>
    <row r="101" spans="2:14" ht="12.5" x14ac:dyDescent="0.25">
      <c r="B101" s="87"/>
      <c r="N101" s="308"/>
    </row>
    <row r="102" spans="2:14" ht="12.5" x14ac:dyDescent="0.25">
      <c r="B102" s="87"/>
      <c r="N102" s="308"/>
    </row>
    <row r="103" spans="2:14" ht="12.5" x14ac:dyDescent="0.25">
      <c r="B103" s="87"/>
      <c r="N103" s="308"/>
    </row>
    <row r="104" spans="2:14" ht="12.5" x14ac:dyDescent="0.25">
      <c r="B104" s="87"/>
      <c r="N104" s="308"/>
    </row>
    <row r="105" spans="2:14" ht="12.5" x14ac:dyDescent="0.25">
      <c r="B105" s="87"/>
      <c r="C105" s="24"/>
      <c r="D105" s="91"/>
      <c r="E105" s="91"/>
      <c r="F105" s="91"/>
      <c r="N105" s="308"/>
    </row>
    <row r="106" spans="2:14" ht="12.5" x14ac:dyDescent="0.25">
      <c r="B106" s="87"/>
      <c r="C106" s="24"/>
      <c r="D106" s="91"/>
      <c r="E106" s="91"/>
      <c r="F106" s="91"/>
      <c r="N106" s="308"/>
    </row>
    <row r="107" spans="2:14" ht="12.5" x14ac:dyDescent="0.25">
      <c r="B107" s="87"/>
      <c r="C107" s="24"/>
      <c r="D107" s="91"/>
      <c r="E107" s="91"/>
      <c r="F107" s="91"/>
      <c r="N107" s="308"/>
    </row>
    <row r="108" spans="2:14" ht="12.5" x14ac:dyDescent="0.25">
      <c r="B108" s="107"/>
      <c r="C108" s="109"/>
      <c r="D108" s="120"/>
      <c r="E108" s="120"/>
      <c r="F108" s="120"/>
      <c r="G108" s="109"/>
      <c r="H108" s="109"/>
      <c r="I108" s="109"/>
      <c r="J108" s="109"/>
      <c r="K108" s="109"/>
      <c r="L108" s="109"/>
      <c r="M108" s="109"/>
      <c r="N108" s="309"/>
    </row>
    <row r="109" spans="2:14" ht="12.5" x14ac:dyDescent="0.25">
      <c r="C109" s="70"/>
      <c r="D109" s="115"/>
      <c r="E109" s="115"/>
    </row>
    <row r="110" spans="2:14" ht="12.5" x14ac:dyDescent="0.25">
      <c r="C110" s="70"/>
      <c r="D110" s="115"/>
      <c r="E110" s="115"/>
    </row>
    <row r="111" spans="2:14" ht="12.5" x14ac:dyDescent="0.25">
      <c r="B111" s="84"/>
      <c r="C111" s="85"/>
      <c r="D111" s="118"/>
      <c r="E111" s="118"/>
      <c r="F111" s="118"/>
      <c r="G111" s="85"/>
      <c r="H111" s="85"/>
      <c r="I111" s="85"/>
      <c r="J111" s="85"/>
      <c r="K111" s="85"/>
      <c r="L111" s="85"/>
      <c r="M111" s="85"/>
      <c r="N111" s="86" t="s">
        <v>274</v>
      </c>
    </row>
    <row r="112" spans="2:14" ht="13" x14ac:dyDescent="0.3">
      <c r="B112" s="87"/>
      <c r="C112" s="92">
        <f>DATA!U$1</f>
        <v>0</v>
      </c>
      <c r="D112" s="93"/>
      <c r="E112" s="93"/>
      <c r="F112" s="93"/>
      <c r="N112" s="307" t="e">
        <f ca="1">callGemini("Analiza los datos proporcionados, que muestran la evolución de los docentes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 crearJSONdesdeTabla(C113:F117,0)&amp;" y corresponden a la dimensión "&amp;C120&amp;"
Redacta el análisis con una narrativa y estructura similar al siguiente EJEMPLO: 
En el año 2024, los docentes de la "&amp;$D$4&amp;" mostraron una evolución en su desarrollo profesional, registrándose un 42% de docentes que se encuentran en el nivel de Logro esperado. Asimismo, este representa un aumento del 24% de docentes que mejoraron su nivel de logro comparado con el 2023 y un au"&amp;"mento del 21% comparado con el 2022.
Por otro lado, se evidencia una disminución de docentes que se encontraban en un nivel básico y en proceso (docentes que necesitan mejorar su desarrollo profesional) en un 11% y 15% respectivamente.
// El grafico es"&amp;" olo un ejemplo, debes aoptar las palabras correctas para describir el grafico, sin salir del marco del ejemplo.
// Devuelveme el análisis en texto plano, con el mismo formato del ejemplo, sin agregar más información ni texto adicional. Prioricemos el ana"&amp;"lisis del estado y la evolucón de la etiqueta 'Logro esperado' destaca su diferencia comparada con el 2023 y 2022, para ser preciso en este calculo debes tomar el porcentaje redondeado de 2024 y restarlo de los años anteriores respectivamente redondeados "&amp;"en numeros enteros porcentuales. Respecto a los valores % en tu respuesta debe estar redondeada a 0 decimales, como por ejemplo 62%)")</f>
        <v>#NAME?</v>
      </c>
    </row>
    <row r="113" spans="2:14" ht="13" x14ac:dyDescent="0.3">
      <c r="B113" s="87"/>
      <c r="C113" s="94" t="s">
        <v>300</v>
      </c>
      <c r="D113" s="95">
        <v>2022</v>
      </c>
      <c r="E113" s="95">
        <v>2023</v>
      </c>
      <c r="F113" s="95">
        <v>2024</v>
      </c>
      <c r="N113" s="308"/>
    </row>
    <row r="114" spans="2:14" ht="12.5" x14ac:dyDescent="0.25">
      <c r="B114" s="87"/>
      <c r="C114" s="24" t="s">
        <v>305</v>
      </c>
      <c r="D114" s="83" t="e">
        <f>COUNTIFS(DATA!$D$2:$D247,$D$4,DATA!$H$2:$H247,$D$5, DATA!$G$2:$G247,$D$6,DATA!$B$2:$B247,D113, DATA!U$2:U247,C114)/
 COUNTIFS(DATA!$D$2:$D247,$D$4,DATA!$H$2:$H247,$D$5, DATA!$G$2:$G247,$D$6,DATA!$B$2:$B247,D113, DATA!U$2:U247,"&lt;&gt;-")</f>
        <v>#DIV/0!</v>
      </c>
      <c r="E114" s="83" t="e">
        <f>COUNTIFS(DATA!$D$2:$D247,$D$4,DATA!$H$2:$H247,$D$5, DATA!$G$2:$G247,$D$6,DATA!$B$2:$B247,E113, DATA!U$2:U247,C114)/
 COUNTIFS(DATA!$D$2:$D247,$D$4,DATA!$H$2:$H247,$D$5, DATA!$G$2:$G247,$D$6,DATA!$B$2:$B247,E113, DATA!U$2:U247,"&lt;&gt;-")</f>
        <v>#DIV/0!</v>
      </c>
      <c r="F114" s="83" t="e">
        <f>COUNTIFS(DATA!$D$2:$D247,$D$4,DATA!$H$2:$H247,$D$5, DATA!$G$2:$G247,$D$6,DATA!$B$2:$B247,F113, DATA!U$2:U247,C114)/
 COUNTIFS(DATA!$D$2:$D247,$D$4,DATA!$H$2:$H247,$D$5, DATA!$G$2:$G247,$D$6,DATA!$B$2:$B247,F113, DATA!U$2:U247,"&lt;&gt;-")</f>
        <v>#DIV/0!</v>
      </c>
      <c r="N114" s="308"/>
    </row>
    <row r="115" spans="2:14" ht="12.5" x14ac:dyDescent="0.25">
      <c r="B115" s="87"/>
      <c r="C115" s="24" t="s">
        <v>306</v>
      </c>
      <c r="D115" s="83" t="e">
        <f>COUNTIFS(DATA!$D$2:$D247,$D$4,DATA!$H$2:$H247,$D$5, DATA!$G$2:$G247,$D$6,DATA!$B$2:$B247,D113, DATA!U$2:U247,C115)/
 COUNTIFS(DATA!$D$2:$D247,$D$4,DATA!$H$2:$H247,$D$5, DATA!$G$2:$G247,$D$6,DATA!$B$2:$B247,D113, DATA!U$2:U247,"&lt;&gt;-")</f>
        <v>#DIV/0!</v>
      </c>
      <c r="E115" s="83" t="e">
        <f>COUNTIFS(DATA!$D$2:$D247,$D$4,DATA!$H$2:$H247,$D$5, DATA!$G$2:$G247,$D$6,DATA!$B$2:$B247,E113, DATA!U$2:U247,C115)/
 COUNTIFS(DATA!$D$2:$D247,$D$4,DATA!$H$2:$H247,$D$5, DATA!$G$2:$G247,$D$6,DATA!$B$2:$B247,E113, DATA!U$2:U247,"&lt;&gt;-")</f>
        <v>#DIV/0!</v>
      </c>
      <c r="F115" s="83" t="e">
        <f>COUNTIFS(DATA!$D$2:$D247,$D$4,DATA!$H$2:$H247,$D$5, DATA!$G$2:$G247,$D$6,DATA!$B$2:$B247,F113, DATA!U$2:U247,C115)/
 COUNTIFS(DATA!$D$2:$D247,$D$4,DATA!$H$2:$H247,$D$5, DATA!$G$2:$G247,$D$6,DATA!$B$2:$B247,F113, DATA!U$2:U247,"&lt;&gt;-")</f>
        <v>#DIV/0!</v>
      </c>
      <c r="N115" s="308"/>
    </row>
    <row r="116" spans="2:14" ht="12.5" x14ac:dyDescent="0.25">
      <c r="B116" s="87"/>
      <c r="C116" s="24" t="s">
        <v>307</v>
      </c>
      <c r="D116" s="83" t="e">
        <f>COUNTIFS(DATA!$D$2:$D247,$D$4,DATA!$H$2:$H247,$D$5, DATA!$G$2:$G247,$D$6,DATA!$B$2:$B247,D113, DATA!U$2:U247,C116)/
 COUNTIFS(DATA!$D$2:$D247,$D$4,DATA!$H$2:$H247,$D$5, DATA!$G$2:$G247,$D$6,DATA!$B$2:$B247,D113, DATA!U$2:U247,"&lt;&gt;-")</f>
        <v>#DIV/0!</v>
      </c>
      <c r="E116" s="83" t="e">
        <f>COUNTIFS(DATA!$D$2:$D247,$D$4,DATA!$H$2:$H247,$D$5, DATA!$G$2:$G247,$D$6,DATA!$B$2:$B247,E113, DATA!U$2:U247,C116)/
 COUNTIFS(DATA!$D$2:$D247,$D$4,DATA!$H$2:$H247,$D$5, DATA!$G$2:$G247,$D$6,DATA!$B$2:$B247,E113, DATA!U$2:U247,"&lt;&gt;-")</f>
        <v>#DIV/0!</v>
      </c>
      <c r="F116" s="83" t="e">
        <f>COUNTIFS(DATA!$D$2:$D247,$D$4,DATA!$H$2:$H247,$D$5, DATA!$G$2:$G247,$D$6,DATA!$B$2:$B247,F113, DATA!U$2:U247,C116)/
 COUNTIFS(DATA!$D$2:$D247,$D$4,DATA!$H$2:$H247,$D$5, DATA!$G$2:$G247,$D$6,DATA!$B$2:$B247,F113, DATA!U$2:U247,"&lt;&gt;-")</f>
        <v>#DIV/0!</v>
      </c>
      <c r="N116" s="308"/>
    </row>
    <row r="117" spans="2:14" ht="12.5" x14ac:dyDescent="0.25">
      <c r="B117" s="87"/>
      <c r="C117" s="24" t="s">
        <v>308</v>
      </c>
      <c r="D117" s="83" t="e">
        <f>COUNTIFS(DATA!$D$2:$D247,$D$4,DATA!$H$2:$H247,$D$5, DATA!$G$2:$G247,$D$6,DATA!$B$2:$B247,D113, DATA!U$2:U247,C117)/
 COUNTIFS(DATA!$D$2:$D247,$D$4,DATA!$H$2:$H247,$D$5, DATA!$G$2:$G247,$D$6,DATA!$B$2:$B247,D113, DATA!U$2:U247,"&lt;&gt;-")</f>
        <v>#DIV/0!</v>
      </c>
      <c r="E117" s="83" t="e">
        <f>COUNTIFS(DATA!$D$2:$D247,$D$4,DATA!$H$2:$H247,$D$5, DATA!$G$2:$G247,$D$6,DATA!$B$2:$B247,E113, DATA!U$2:U247,C117)/
 COUNTIFS(DATA!$D$2:$D247,$D$4,DATA!$H$2:$H247,$D$5, DATA!$G$2:$G247,$D$6,DATA!$B$2:$B247,E113, DATA!U$2:U247,"&lt;&gt;-")</f>
        <v>#DIV/0!</v>
      </c>
      <c r="F117" s="83" t="e">
        <f>COUNTIFS(DATA!$D$2:$D247,$D$4,DATA!$H$2:$H247,$D$5, DATA!$G$2:$G247,$D$6,DATA!$B$2:$B247,F113, DATA!U$2:U247,C117)/
 COUNTIFS(DATA!$D$2:$D247,$D$4,DATA!$H$2:$H247,$D$5, DATA!$G$2:$G247,$D$6,DATA!$B$2:$B247,F113, DATA!U$2:U247,"&lt;&gt;-")</f>
        <v>#DIV/0!</v>
      </c>
      <c r="N117" s="308"/>
    </row>
    <row r="118" spans="2:14" ht="13" x14ac:dyDescent="0.3">
      <c r="B118" s="87"/>
      <c r="C118" s="96" t="s">
        <v>275</v>
      </c>
      <c r="D118" s="97" t="e">
        <f t="shared" ref="D118:F118" si="5">SUM(D114:D117)</f>
        <v>#DIV/0!</v>
      </c>
      <c r="E118" s="97" t="e">
        <f t="shared" si="5"/>
        <v>#DIV/0!</v>
      </c>
      <c r="F118" s="97" t="e">
        <f t="shared" si="5"/>
        <v>#DIV/0!</v>
      </c>
      <c r="N118" s="308"/>
    </row>
    <row r="119" spans="2:14" ht="12.5" x14ac:dyDescent="0.25">
      <c r="B119" s="87"/>
      <c r="N119" s="308"/>
    </row>
    <row r="120" spans="2:14" ht="12.5" x14ac:dyDescent="0.25">
      <c r="B120" s="87"/>
      <c r="C120" s="98" t="s">
        <v>313</v>
      </c>
      <c r="N120" s="308"/>
    </row>
    <row r="121" spans="2:14" ht="12.5" x14ac:dyDescent="0.25">
      <c r="B121" s="87"/>
      <c r="N121" s="308"/>
    </row>
    <row r="122" spans="2:14" ht="12.5" x14ac:dyDescent="0.25">
      <c r="B122" s="87"/>
      <c r="N122" s="308"/>
    </row>
    <row r="123" spans="2:14" ht="12.5" x14ac:dyDescent="0.25">
      <c r="B123" s="87"/>
      <c r="N123" s="308"/>
    </row>
    <row r="124" spans="2:14" ht="12.5" x14ac:dyDescent="0.25">
      <c r="B124" s="87"/>
      <c r="N124" s="308"/>
    </row>
    <row r="125" spans="2:14" ht="12.5" x14ac:dyDescent="0.25">
      <c r="B125" s="87"/>
      <c r="N125" s="308"/>
    </row>
    <row r="126" spans="2:14" ht="12.5" x14ac:dyDescent="0.25">
      <c r="B126" s="87"/>
      <c r="N126" s="308"/>
    </row>
    <row r="127" spans="2:14" ht="12.5" x14ac:dyDescent="0.25">
      <c r="B127" s="87"/>
      <c r="N127" s="308"/>
    </row>
    <row r="128" spans="2:14" ht="12.5" x14ac:dyDescent="0.25">
      <c r="B128" s="87"/>
      <c r="N128" s="308"/>
    </row>
    <row r="129" spans="2:14" ht="12.5" x14ac:dyDescent="0.25">
      <c r="B129" s="87"/>
      <c r="N129" s="308"/>
    </row>
    <row r="130" spans="2:14" ht="12.5" x14ac:dyDescent="0.25">
      <c r="B130" s="87"/>
      <c r="C130" s="24"/>
      <c r="D130" s="91"/>
      <c r="E130" s="91"/>
      <c r="F130" s="91"/>
      <c r="N130" s="309"/>
    </row>
    <row r="131" spans="2:14" ht="12.5" x14ac:dyDescent="0.25">
      <c r="B131" s="87"/>
      <c r="C131" s="24"/>
      <c r="D131" s="91"/>
      <c r="E131" s="91"/>
      <c r="F131" s="91"/>
      <c r="N131" s="121"/>
    </row>
    <row r="132" spans="2:14" ht="12.5" x14ac:dyDescent="0.25">
      <c r="B132" s="107"/>
      <c r="C132" s="109"/>
      <c r="D132" s="120"/>
      <c r="E132" s="120"/>
      <c r="F132" s="120"/>
      <c r="G132" s="109"/>
      <c r="H132" s="109"/>
      <c r="I132" s="109"/>
      <c r="J132" s="109"/>
      <c r="K132" s="109"/>
      <c r="L132" s="109"/>
      <c r="M132" s="109"/>
      <c r="N132" s="122"/>
    </row>
    <row r="133" spans="2:14" ht="12.5" x14ac:dyDescent="0.25">
      <c r="C133" s="70"/>
      <c r="D133" s="115"/>
      <c r="E133" s="115"/>
    </row>
    <row r="134" spans="2:14" ht="12.5" x14ac:dyDescent="0.25">
      <c r="C134" s="70"/>
      <c r="D134" s="115"/>
      <c r="E134" s="115"/>
    </row>
    <row r="135" spans="2:14" ht="12.5" x14ac:dyDescent="0.25">
      <c r="B135" s="84"/>
      <c r="C135" s="85"/>
      <c r="D135" s="118"/>
      <c r="E135" s="118"/>
      <c r="F135" s="118"/>
      <c r="G135" s="85"/>
      <c r="H135" s="85"/>
      <c r="I135" s="85"/>
      <c r="J135" s="85"/>
      <c r="K135" s="85"/>
      <c r="L135" s="85"/>
      <c r="M135" s="85"/>
      <c r="N135" s="86" t="s">
        <v>274</v>
      </c>
    </row>
    <row r="136" spans="2:14" ht="13" x14ac:dyDescent="0.3">
      <c r="B136" s="87"/>
      <c r="C136" s="92">
        <f>DATA!V$1</f>
        <v>0</v>
      </c>
      <c r="D136" s="93"/>
      <c r="E136" s="93"/>
      <c r="F136" s="93"/>
      <c r="N136"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"&amp;C136&amp;", datos: "&amp; crearJSONdesdeTabla(C137:F141,0)&amp;" y corresponden a la competencia "&amp;C144&amp;"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137" spans="2:14" ht="13" x14ac:dyDescent="0.3">
      <c r="B137" s="87"/>
      <c r="C137" s="94" t="s">
        <v>300</v>
      </c>
      <c r="D137" s="95">
        <v>2022</v>
      </c>
      <c r="E137" s="95">
        <v>2023</v>
      </c>
      <c r="F137" s="95">
        <v>2024</v>
      </c>
      <c r="N137" s="308"/>
    </row>
    <row r="138" spans="2:14" ht="12.5" x14ac:dyDescent="0.25">
      <c r="B138" s="87"/>
      <c r="C138" s="24" t="s">
        <v>305</v>
      </c>
      <c r="D138" s="83" t="e">
        <f>COUNTIFS(DATA!$D$2:$D247,$D$4,DATA!$H$2:$H247,$D$5, DATA!$G$2:$G247,$D$6,DATA!$B$2:$B247,D137, DATA!V$2:V247,C138)/
 COUNTIFS(DATA!$D$2:$D247,$D$4,DATA!$H$2:$H247,$D$5, DATA!$G$2:$G247,$D$6,DATA!$B$2:$B247,D137, DATA!V$2:V247,"&lt;&gt;-")</f>
        <v>#DIV/0!</v>
      </c>
      <c r="E138" s="83" t="e">
        <f>COUNTIFS(DATA!$D$2:$D247,$D$4,DATA!$H$2:$H247,$D$5, DATA!$G$2:$G247,$D$6,DATA!$B$2:$B247,E137, DATA!V$2:V247,C138)/
 COUNTIFS(DATA!$D$2:$D247,$D$4,DATA!$H$2:$H247,$D$5, DATA!$G$2:$G247,$D$6,DATA!$B$2:$B247,E137, DATA!V$2:V247,"&lt;&gt;-")</f>
        <v>#DIV/0!</v>
      </c>
      <c r="F138" s="83" t="e">
        <f>COUNTIFS(DATA!$D$2:$D247,$D$4,DATA!$H$2:$H247,$D$5, DATA!$G$2:$G247,$D$6,DATA!$B$2:$B247,F137, DATA!V$2:V247,C138)/
 COUNTIFS(DATA!$D$2:$D247,$D$4,DATA!$H$2:$H247,$D$5, DATA!$G$2:$G247,$D$6,DATA!$B$2:$B247,F137, DATA!V$2:V247,"&lt;&gt;-")</f>
        <v>#DIV/0!</v>
      </c>
      <c r="N138" s="308"/>
    </row>
    <row r="139" spans="2:14" ht="12.5" x14ac:dyDescent="0.25">
      <c r="B139" s="87"/>
      <c r="C139" s="24" t="s">
        <v>306</v>
      </c>
      <c r="D139" s="83" t="e">
        <f>COUNTIFS(DATA!$D$2:$D247,$D$4,DATA!$H$2:$H247,$D$5, DATA!$G$2:$G247,$D$6,DATA!$B$2:$B247,D137, DATA!V$2:V247,C139)/
 COUNTIFS(DATA!$D$2:$D247,$D$4,DATA!$H$2:$H247,$D$5, DATA!$G$2:$G247,$D$6,DATA!$B$2:$B247,D137, DATA!V$2:V247,"&lt;&gt;-")</f>
        <v>#DIV/0!</v>
      </c>
      <c r="E139" s="83" t="e">
        <f>COUNTIFS(DATA!$D$2:$D247,$D$4,DATA!$H$2:$H247,$D$5, DATA!$G$2:$G247,$D$6,DATA!$B$2:$B247,E137, DATA!V$2:V247,C139)/
 COUNTIFS(DATA!$D$2:$D247,$D$4,DATA!$H$2:$H247,$D$5, DATA!$G$2:$G247,$D$6,DATA!$B$2:$B247,E137, DATA!V$2:V247,"&lt;&gt;-")</f>
        <v>#DIV/0!</v>
      </c>
      <c r="F139" s="83" t="e">
        <f>COUNTIFS(DATA!$D$2:$D247,$D$4,DATA!$H$2:$H247,$D$5, DATA!$G$2:$G247,$D$6,DATA!$B$2:$B247,F137, DATA!V$2:V247,C139)/
 COUNTIFS(DATA!$D$2:$D247,$D$4,DATA!$H$2:$H247,$D$5, DATA!$G$2:$G247,$D$6,DATA!$B$2:$B247,F137, DATA!V$2:V247,"&lt;&gt;-")</f>
        <v>#DIV/0!</v>
      </c>
      <c r="N139" s="308"/>
    </row>
    <row r="140" spans="2:14" ht="12.5" x14ac:dyDescent="0.25">
      <c r="B140" s="87"/>
      <c r="C140" s="24" t="s">
        <v>307</v>
      </c>
      <c r="D140" s="83" t="e">
        <f>COUNTIFS(DATA!$D$2:$D247,$D$4,DATA!$H$2:$H247,$D$5, DATA!$G$2:$G247,$D$6,DATA!$B$2:$B247,D137, DATA!V$2:V247,C140)/
 COUNTIFS(DATA!$D$2:$D247,$D$4,DATA!$H$2:$H247,$D$5, DATA!$G$2:$G247,$D$6,DATA!$B$2:$B247,D137, DATA!V$2:V247,"&lt;&gt;-")</f>
        <v>#DIV/0!</v>
      </c>
      <c r="E140" s="83" t="e">
        <f>COUNTIFS(DATA!$D$2:$D247,$D$4,DATA!$H$2:$H247,$D$5, DATA!$G$2:$G247,$D$6,DATA!$B$2:$B247,E137, DATA!V$2:V247,C140)/
 COUNTIFS(DATA!$D$2:$D247,$D$4,DATA!$H$2:$H247,$D$5, DATA!$G$2:$G247,$D$6,DATA!$B$2:$B247,E137, DATA!V$2:V247,"&lt;&gt;-")</f>
        <v>#DIV/0!</v>
      </c>
      <c r="F140" s="83" t="e">
        <f>COUNTIFS(DATA!$D$2:$D247,$D$4,DATA!$H$2:$H247,$D$5, DATA!$G$2:$G247,$D$6,DATA!$B$2:$B247,F137, DATA!V$2:V247,C140)/
 COUNTIFS(DATA!$D$2:$D247,$D$4,DATA!$H$2:$H247,$D$5, DATA!$G$2:$G247,$D$6,DATA!$B$2:$B247,F137, DATA!V$2:V247,"&lt;&gt;-")</f>
        <v>#DIV/0!</v>
      </c>
      <c r="N140" s="308"/>
    </row>
    <row r="141" spans="2:14" ht="12.5" x14ac:dyDescent="0.25">
      <c r="B141" s="87"/>
      <c r="C141" s="24" t="s">
        <v>308</v>
      </c>
      <c r="D141" s="83" t="e">
        <f>COUNTIFS(DATA!$D$2:$D247,$D$4,DATA!$H$2:$H247,$D$5, DATA!$G$2:$G247,$D$6,DATA!$B$2:$B247,D137, DATA!V$2:V247,C141)/
 COUNTIFS(DATA!$D$2:$D247,$D$4,DATA!$H$2:$H247,$D$5, DATA!$G$2:$G247,$D$6,DATA!$B$2:$B247,D137, DATA!V$2:V247,"&lt;&gt;-")</f>
        <v>#DIV/0!</v>
      </c>
      <c r="E141" s="83" t="e">
        <f>COUNTIFS(DATA!$D$2:$D247,$D$4,DATA!$H$2:$H247,$D$5, DATA!$G$2:$G247,$D$6,DATA!$B$2:$B247,E137, DATA!V$2:V247,C141)/
 COUNTIFS(DATA!$D$2:$D247,$D$4,DATA!$H$2:$H247,$D$5, DATA!$G$2:$G247,$D$6,DATA!$B$2:$B247,E137, DATA!V$2:V247,"&lt;&gt;-")</f>
        <v>#DIV/0!</v>
      </c>
      <c r="F141" s="83" t="e">
        <f>COUNTIFS(DATA!$D$2:$D247,$D$4,DATA!$H$2:$H247,$D$5, DATA!$G$2:$G247,$D$6,DATA!$B$2:$B247,F137, DATA!V$2:V247,C141)/
 COUNTIFS(DATA!$D$2:$D247,$D$4,DATA!$H$2:$H247,$D$5, DATA!$G$2:$G247,$D$6,DATA!$B$2:$B247,F137, DATA!V$2:V247,"&lt;&gt;-")</f>
        <v>#DIV/0!</v>
      </c>
      <c r="N141" s="308"/>
    </row>
    <row r="142" spans="2:14" ht="13" x14ac:dyDescent="0.3">
      <c r="B142" s="87"/>
      <c r="C142" s="96" t="s">
        <v>275</v>
      </c>
      <c r="D142" s="97" t="e">
        <f t="shared" ref="D142:F142" si="6">SUM(D138:D141)</f>
        <v>#DIV/0!</v>
      </c>
      <c r="E142" s="97" t="e">
        <f t="shared" si="6"/>
        <v>#DIV/0!</v>
      </c>
      <c r="F142" s="97" t="e">
        <f t="shared" si="6"/>
        <v>#DIV/0!</v>
      </c>
      <c r="N142" s="308"/>
    </row>
    <row r="143" spans="2:14" ht="12.5" x14ac:dyDescent="0.25">
      <c r="B143" s="87"/>
      <c r="N143" s="308"/>
    </row>
    <row r="144" spans="2:14" ht="12.5" x14ac:dyDescent="0.25">
      <c r="B144" s="87"/>
      <c r="C144" s="24" t="s">
        <v>314</v>
      </c>
      <c r="N144" s="308"/>
    </row>
    <row r="145" spans="2:14" ht="12.5" x14ac:dyDescent="0.25">
      <c r="B145" s="87"/>
      <c r="N145" s="308"/>
    </row>
    <row r="146" spans="2:14" ht="12.5" x14ac:dyDescent="0.25">
      <c r="B146" s="87"/>
      <c r="N146" s="308"/>
    </row>
    <row r="147" spans="2:14" ht="12.5" x14ac:dyDescent="0.25">
      <c r="B147" s="87"/>
      <c r="N147" s="308"/>
    </row>
    <row r="148" spans="2:14" ht="12.5" x14ac:dyDescent="0.25">
      <c r="B148" s="87"/>
      <c r="N148" s="308"/>
    </row>
    <row r="149" spans="2:14" ht="12.5" x14ac:dyDescent="0.25">
      <c r="B149" s="87"/>
      <c r="N149" s="308"/>
    </row>
    <row r="150" spans="2:14" ht="12.5" x14ac:dyDescent="0.25">
      <c r="B150" s="87"/>
      <c r="N150" s="308"/>
    </row>
    <row r="151" spans="2:14" ht="12.5" x14ac:dyDescent="0.25">
      <c r="B151" s="87"/>
      <c r="N151" s="308"/>
    </row>
    <row r="152" spans="2:14" ht="12.5" x14ac:dyDescent="0.25">
      <c r="B152" s="87"/>
      <c r="N152" s="308"/>
    </row>
    <row r="153" spans="2:14" ht="12.5" x14ac:dyDescent="0.25">
      <c r="B153" s="87"/>
      <c r="C153" s="24"/>
      <c r="D153" s="91"/>
      <c r="E153" s="91"/>
      <c r="F153" s="91"/>
      <c r="N153" s="308"/>
    </row>
    <row r="154" spans="2:14" ht="12.5" x14ac:dyDescent="0.25">
      <c r="B154" s="87"/>
      <c r="C154" s="24"/>
      <c r="D154" s="91"/>
      <c r="E154" s="91"/>
      <c r="F154" s="91"/>
      <c r="N154" s="308"/>
    </row>
    <row r="155" spans="2:14" ht="12.5" x14ac:dyDescent="0.25">
      <c r="B155" s="87"/>
      <c r="C155" s="24"/>
      <c r="D155" s="91"/>
      <c r="E155" s="91"/>
      <c r="F155" s="91"/>
      <c r="N155" s="308"/>
    </row>
    <row r="156" spans="2:14" ht="12.5" x14ac:dyDescent="0.25">
      <c r="B156" s="107"/>
      <c r="C156" s="109"/>
      <c r="D156" s="120"/>
      <c r="E156" s="120"/>
      <c r="F156" s="120"/>
      <c r="G156" s="109"/>
      <c r="H156" s="109"/>
      <c r="I156" s="109"/>
      <c r="J156" s="109"/>
      <c r="K156" s="109"/>
      <c r="L156" s="109"/>
      <c r="M156" s="109"/>
      <c r="N156" s="309"/>
    </row>
    <row r="157" spans="2:14" ht="12.5" x14ac:dyDescent="0.25">
      <c r="C157" s="70"/>
      <c r="D157" s="115"/>
      <c r="E157" s="115"/>
    </row>
    <row r="158" spans="2:14" ht="12.5" x14ac:dyDescent="0.25">
      <c r="C158" s="70"/>
      <c r="D158" s="115"/>
      <c r="E158" s="115"/>
    </row>
    <row r="159" spans="2:14" ht="12.5" x14ac:dyDescent="0.25">
      <c r="C159" s="70"/>
      <c r="D159" s="115"/>
      <c r="E159" s="115"/>
    </row>
    <row r="160" spans="2:14" ht="12.5" x14ac:dyDescent="0.25">
      <c r="C160" s="70"/>
      <c r="D160" s="115"/>
      <c r="E160" s="115"/>
    </row>
    <row r="161" spans="2:14" ht="12.5" x14ac:dyDescent="0.25">
      <c r="C161" s="70"/>
      <c r="D161" s="115"/>
      <c r="E161" s="115"/>
    </row>
    <row r="162" spans="2:14" ht="12.5" x14ac:dyDescent="0.25">
      <c r="C162" s="70"/>
      <c r="D162" s="115"/>
      <c r="E162" s="115"/>
    </row>
    <row r="163" spans="2:14" ht="12.5" x14ac:dyDescent="0.25">
      <c r="C163" s="70"/>
      <c r="D163" s="115"/>
      <c r="E163" s="115"/>
    </row>
    <row r="164" spans="2:14" ht="12.5" x14ac:dyDescent="0.25">
      <c r="C164" s="70"/>
      <c r="D164" s="115"/>
      <c r="E164" s="115"/>
    </row>
    <row r="165" spans="2:14" ht="12.5" x14ac:dyDescent="0.25">
      <c r="C165" s="70"/>
      <c r="D165" s="115"/>
      <c r="E165" s="115"/>
    </row>
    <row r="166" spans="2:14" ht="12.5" x14ac:dyDescent="0.25">
      <c r="C166" s="70"/>
      <c r="D166" s="115"/>
      <c r="E166" s="115"/>
    </row>
    <row r="167" spans="2:14" ht="12.5" x14ac:dyDescent="0.25">
      <c r="C167" s="70"/>
      <c r="D167" s="115"/>
      <c r="E167" s="115"/>
    </row>
    <row r="168" spans="2:14" ht="12.5" x14ac:dyDescent="0.25">
      <c r="C168" s="70"/>
      <c r="D168" s="115"/>
      <c r="E168" s="115"/>
    </row>
    <row r="169" spans="2:14" ht="12.5" x14ac:dyDescent="0.25">
      <c r="C169" s="70"/>
      <c r="D169" s="115"/>
      <c r="E169" s="115"/>
    </row>
    <row r="170" spans="2:14" ht="12.5" x14ac:dyDescent="0.25">
      <c r="C170" s="70"/>
      <c r="D170" s="115"/>
      <c r="E170" s="115"/>
    </row>
    <row r="171" spans="2:14" ht="12.5" x14ac:dyDescent="0.25">
      <c r="C171" s="70"/>
      <c r="D171" s="115"/>
      <c r="E171" s="115"/>
    </row>
    <row r="172" spans="2:14" ht="12.5" x14ac:dyDescent="0.25">
      <c r="C172" s="70"/>
      <c r="D172" s="115"/>
      <c r="E172" s="115"/>
    </row>
    <row r="173" spans="2:14" ht="12.5" x14ac:dyDescent="0.25">
      <c r="C173" s="70"/>
      <c r="D173" s="115"/>
      <c r="E173" s="115"/>
    </row>
    <row r="174" spans="2:14" ht="12.5" x14ac:dyDescent="0.25">
      <c r="C174" s="70"/>
      <c r="D174" s="115"/>
      <c r="E174" s="115"/>
    </row>
    <row r="175" spans="2:14" ht="12.5" x14ac:dyDescent="0.25">
      <c r="C175" s="70"/>
      <c r="D175" s="115"/>
      <c r="E175" s="115"/>
      <c r="F175" s="116"/>
    </row>
    <row r="176" spans="2:14" ht="12.5" x14ac:dyDescent="0.25">
      <c r="B176" s="123"/>
      <c r="C176" s="124"/>
      <c r="D176" s="125"/>
      <c r="E176" s="125"/>
      <c r="F176" s="125"/>
      <c r="G176" s="124"/>
      <c r="H176" s="124"/>
      <c r="I176" s="124"/>
      <c r="J176" s="124"/>
      <c r="K176" s="124"/>
      <c r="L176" s="124"/>
      <c r="M176" s="124"/>
      <c r="N176" s="126" t="s">
        <v>274</v>
      </c>
    </row>
    <row r="177" spans="2:14" ht="13" x14ac:dyDescent="0.3">
      <c r="B177" s="127"/>
      <c r="C177" s="92">
        <f>DATA!W$1</f>
        <v>0</v>
      </c>
      <c r="D177" s="93"/>
      <c r="E177" s="93"/>
      <c r="F177" s="93"/>
      <c r="J177" s="61"/>
      <c r="K177" s="61"/>
      <c r="L177" s="61"/>
      <c r="M177" s="61"/>
      <c r="N177"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"&amp;C177&amp;", datos: "&amp; crearJSONdesdeTabla(C178:F182,0)&amp;" y corresponden a la competencia "&amp;C185&amp;"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178" spans="2:14" ht="13" x14ac:dyDescent="0.3">
      <c r="B178" s="127"/>
      <c r="C178" s="94" t="s">
        <v>300</v>
      </c>
      <c r="D178" s="95">
        <v>2022</v>
      </c>
      <c r="E178" s="95">
        <v>2023</v>
      </c>
      <c r="F178" s="95">
        <v>2024</v>
      </c>
      <c r="J178" s="61"/>
      <c r="K178" s="61"/>
      <c r="L178" s="61"/>
      <c r="M178" s="61"/>
      <c r="N178" s="308"/>
    </row>
    <row r="179" spans="2:14" ht="12.5" x14ac:dyDescent="0.25">
      <c r="B179" s="127"/>
      <c r="C179" s="24" t="s">
        <v>305</v>
      </c>
      <c r="D179" s="83" t="e">
        <f>COUNTIFS(DATA!$D$2:$D247,$D$4,DATA!$H$2:$H247,$D$5, DATA!$G$2:$G247,$D$6,DATA!$B$2:$B247,D178, DATA!W$2:W247,C179)/
 COUNTIFS(DATA!$D$2:$D247,$D$4,DATA!$H$2:$H247,$D$5, DATA!$G$2:$G247,$D$6,DATA!$B$2:$B247,D178, DATA!W$2:W247,"&lt;&gt;-")</f>
        <v>#DIV/0!</v>
      </c>
      <c r="E179" s="83" t="e">
        <f>COUNTIFS(DATA!$D$2:$D247,$D$4,DATA!$H$2:$H247,$D$5, DATA!$G$2:$G247,$D$6,DATA!$B$2:$B247,E178, DATA!W$2:W247,C179)/
 COUNTIFS(DATA!$D$2:$D247,$D$4,DATA!$H$2:$H247,$D$5, DATA!$G$2:$G247,$D$6,DATA!$B$2:$B247,E178, DATA!W$2:W247,"&lt;&gt;-")</f>
        <v>#DIV/0!</v>
      </c>
      <c r="F179" s="83" t="e">
        <f>COUNTIFS(DATA!$D$2:$D247,$D$4,DATA!$H$2:$H247,$D$5, DATA!$G$2:$G247,$D$6,DATA!$B$2:$B247,F178, DATA!W$2:W247,C179)/
 COUNTIFS(DATA!$D$2:$D247,$D$4,DATA!$H$2:$H247,$D$5, DATA!$G$2:$G247,$D$6,DATA!$B$2:$B247,F178, DATA!W$2:W247,"&lt;&gt;-")</f>
        <v>#DIV/0!</v>
      </c>
      <c r="J179" s="61"/>
      <c r="K179" s="61"/>
      <c r="L179" s="61"/>
      <c r="M179" s="61"/>
      <c r="N179" s="308"/>
    </row>
    <row r="180" spans="2:14" ht="12.5" x14ac:dyDescent="0.25">
      <c r="B180" s="127"/>
      <c r="C180" s="24" t="s">
        <v>306</v>
      </c>
      <c r="D180" s="83" t="e">
        <f>COUNTIFS(DATA!$D$2:$D247,$D$4,DATA!$H$2:$H247,$D$5, DATA!$G$2:$G247,$D$6,DATA!$B$2:$B247,D178, DATA!W$2:W247,C180)/
 COUNTIFS(DATA!$D$2:$D247,$D$4,DATA!$H$2:$H247,$D$5, DATA!$G$2:$G247,$D$6,DATA!$B$2:$B247,D178, DATA!W$2:W247,"&lt;&gt;-")</f>
        <v>#DIV/0!</v>
      </c>
      <c r="E180" s="83" t="e">
        <f>COUNTIFS(DATA!$D$2:$D247,$D$4,DATA!$H$2:$H247,$D$5, DATA!$G$2:$G247,$D$6,DATA!$B$2:$B247,E178, DATA!W$2:W247,C180)/
 COUNTIFS(DATA!$D$2:$D247,$D$4,DATA!$H$2:$H247,$D$5, DATA!$G$2:$G247,$D$6,DATA!$B$2:$B247,E178, DATA!W$2:W247,"&lt;&gt;-")</f>
        <v>#DIV/0!</v>
      </c>
      <c r="F180" s="83" t="e">
        <f>COUNTIFS(DATA!$D$2:$D247,$D$4,DATA!$H$2:$H247,$D$5, DATA!$G$2:$G247,$D$6,DATA!$B$2:$B247,F178, DATA!W$2:W247,C180)/
 COUNTIFS(DATA!$D$2:$D247,$D$4,DATA!$H$2:$H247,$D$5, DATA!$G$2:$G247,$D$6,DATA!$B$2:$B247,F178, DATA!W$2:W247,"&lt;&gt;-")</f>
        <v>#DIV/0!</v>
      </c>
      <c r="J180" s="61"/>
      <c r="K180" s="61"/>
      <c r="L180" s="61"/>
      <c r="M180" s="61"/>
      <c r="N180" s="308"/>
    </row>
    <row r="181" spans="2:14" ht="12.5" x14ac:dyDescent="0.25">
      <c r="B181" s="127"/>
      <c r="C181" s="24" t="s">
        <v>307</v>
      </c>
      <c r="D181" s="83" t="e">
        <f>COUNTIFS(DATA!$D$2:$D247,$D$4,DATA!$H$2:$H247,$D$5, DATA!$G$2:$G247,$D$6,DATA!$B$2:$B247,D178, DATA!W$2:W247,C181)/
 COUNTIFS(DATA!$D$2:$D247,$D$4,DATA!$H$2:$H247,$D$5, DATA!$G$2:$G247,$D$6,DATA!$B$2:$B247,D178, DATA!W$2:W247,"&lt;&gt;-")</f>
        <v>#DIV/0!</v>
      </c>
      <c r="E181" s="83" t="e">
        <f>COUNTIFS(DATA!$D$2:$D247,$D$4,DATA!$H$2:$H247,$D$5, DATA!$G$2:$G247,$D$6,DATA!$B$2:$B247,E178, DATA!W$2:W247,C181)/
 COUNTIFS(DATA!$D$2:$D247,$D$4,DATA!$H$2:$H247,$D$5, DATA!$G$2:$G247,$D$6,DATA!$B$2:$B247,E178, DATA!W$2:W247,"&lt;&gt;-")</f>
        <v>#DIV/0!</v>
      </c>
      <c r="F181" s="83" t="e">
        <f>COUNTIFS(DATA!$D$2:$D247,$D$4,DATA!$H$2:$H247,$D$5, DATA!$G$2:$G247,$D$6,DATA!$B$2:$B247,F178, DATA!W$2:W247,C181)/
 COUNTIFS(DATA!$D$2:$D247,$D$4,DATA!$H$2:$H247,$D$5, DATA!$G$2:$G247,$D$6,DATA!$B$2:$B247,F178, DATA!W$2:W247,"&lt;&gt;-")</f>
        <v>#DIV/0!</v>
      </c>
      <c r="J181" s="61"/>
      <c r="K181" s="61"/>
      <c r="L181" s="61"/>
      <c r="M181" s="61"/>
      <c r="N181" s="308"/>
    </row>
    <row r="182" spans="2:14" ht="12.5" x14ac:dyDescent="0.25">
      <c r="B182" s="127"/>
      <c r="C182" s="24" t="s">
        <v>308</v>
      </c>
      <c r="D182" s="83" t="e">
        <f>COUNTIFS(DATA!$D$2:$D247,$D$4,DATA!$H$2:$H247,$D$5, DATA!$G$2:$G247,$D$6,DATA!$B$2:$B247,D178, DATA!W$2:W247,C182)/
 COUNTIFS(DATA!$D$2:$D247,$D$4,DATA!$H$2:$H247,$D$5, DATA!$G$2:$G247,$D$6,DATA!$B$2:$B247,D178, DATA!W$2:W247,"&lt;&gt;-")</f>
        <v>#DIV/0!</v>
      </c>
      <c r="E182" s="83" t="e">
        <f>COUNTIFS(DATA!$D$2:$D247,$D$4,DATA!$H$2:$H247,$D$5, DATA!$G$2:$G247,$D$6,DATA!$B$2:$B247,E178, DATA!W$2:W247,C182)/
 COUNTIFS(DATA!$D$2:$D247,$D$4,DATA!$H$2:$H247,$D$5, DATA!$G$2:$G247,$D$6,DATA!$B$2:$B247,E178, DATA!W$2:W247,"&lt;&gt;-")</f>
        <v>#DIV/0!</v>
      </c>
      <c r="F182" s="83" t="e">
        <f>COUNTIFS(DATA!$D$2:$D247,$D$4,DATA!$H$2:$H247,$D$5, DATA!$G$2:$G247,$D$6,DATA!$B$2:$B247,F178, DATA!W$2:W247,C182)/
 COUNTIFS(DATA!$D$2:$D247,$D$4,DATA!$H$2:$H247,$D$5, DATA!$G$2:$G247,$D$6,DATA!$B$2:$B247,F178, DATA!W$2:W247,"&lt;&gt;-")</f>
        <v>#DIV/0!</v>
      </c>
      <c r="J182" s="61"/>
      <c r="K182" s="61"/>
      <c r="L182" s="61"/>
      <c r="M182" s="61"/>
      <c r="N182" s="308"/>
    </row>
    <row r="183" spans="2:14" ht="13" x14ac:dyDescent="0.3">
      <c r="B183" s="127"/>
      <c r="C183" s="96" t="s">
        <v>275</v>
      </c>
      <c r="D183" s="97" t="e">
        <f t="shared" ref="D183:F183" si="7">SUM(D179:D182)</f>
        <v>#DIV/0!</v>
      </c>
      <c r="E183" s="97" t="e">
        <f t="shared" si="7"/>
        <v>#DIV/0!</v>
      </c>
      <c r="F183" s="97" t="e">
        <f t="shared" si="7"/>
        <v>#DIV/0!</v>
      </c>
      <c r="J183" s="61"/>
      <c r="K183" s="61"/>
      <c r="L183" s="61"/>
      <c r="M183" s="61"/>
      <c r="N183" s="308"/>
    </row>
    <row r="184" spans="2:14" ht="12.5" x14ac:dyDescent="0.25">
      <c r="B184" s="127"/>
      <c r="C184" s="61"/>
      <c r="D184" s="61"/>
      <c r="E184" s="61"/>
      <c r="F184" s="61"/>
      <c r="J184" s="61"/>
      <c r="K184" s="61"/>
      <c r="L184" s="61"/>
      <c r="M184" s="61"/>
      <c r="N184" s="308"/>
    </row>
    <row r="185" spans="2:14" ht="12.5" x14ac:dyDescent="0.25">
      <c r="B185" s="127"/>
      <c r="C185" s="61" t="s">
        <v>315</v>
      </c>
      <c r="D185" s="61"/>
      <c r="E185" s="61"/>
      <c r="F185" s="61"/>
      <c r="J185" s="61"/>
      <c r="K185" s="61"/>
      <c r="L185" s="61"/>
      <c r="M185" s="61"/>
      <c r="N185" s="308"/>
    </row>
    <row r="186" spans="2:14" ht="12.5" x14ac:dyDescent="0.25">
      <c r="B186" s="127"/>
      <c r="C186" s="61"/>
      <c r="D186" s="61"/>
      <c r="E186" s="61"/>
      <c r="F186" s="61"/>
      <c r="J186" s="61"/>
      <c r="K186" s="61"/>
      <c r="L186" s="61"/>
      <c r="M186" s="61"/>
      <c r="N186" s="308"/>
    </row>
    <row r="187" spans="2:14" ht="12.5" x14ac:dyDescent="0.25">
      <c r="B187" s="127"/>
      <c r="C187" s="61"/>
      <c r="D187" s="61"/>
      <c r="E187" s="61"/>
      <c r="F187" s="61"/>
      <c r="H187" s="61"/>
      <c r="I187" s="61"/>
      <c r="J187" s="61"/>
      <c r="K187" s="61"/>
      <c r="L187" s="61"/>
      <c r="M187" s="61"/>
      <c r="N187" s="308"/>
    </row>
    <row r="188" spans="2:14" ht="12.5" x14ac:dyDescent="0.25">
      <c r="B188" s="127"/>
      <c r="C188" s="61"/>
      <c r="D188" s="61"/>
      <c r="E188" s="61"/>
      <c r="F188" s="61"/>
      <c r="H188" s="61"/>
      <c r="I188" s="61"/>
      <c r="J188" s="61"/>
      <c r="K188" s="61"/>
      <c r="L188" s="61"/>
      <c r="M188" s="61"/>
      <c r="N188" s="308"/>
    </row>
    <row r="189" spans="2:14" ht="12.5" x14ac:dyDescent="0.25">
      <c r="B189" s="127"/>
      <c r="C189" s="61"/>
      <c r="D189" s="61"/>
      <c r="E189" s="61"/>
      <c r="F189" s="61"/>
      <c r="H189" s="61"/>
      <c r="I189" s="61"/>
      <c r="J189" s="61"/>
      <c r="K189" s="61"/>
      <c r="L189" s="61"/>
      <c r="M189" s="61"/>
      <c r="N189" s="308"/>
    </row>
    <row r="190" spans="2:14" ht="12.5" x14ac:dyDescent="0.25">
      <c r="B190" s="127"/>
      <c r="C190" s="61"/>
      <c r="D190" s="61"/>
      <c r="E190" s="61"/>
      <c r="F190" s="61"/>
      <c r="H190" s="61"/>
      <c r="I190" s="61"/>
      <c r="J190" s="61"/>
      <c r="K190" s="61"/>
      <c r="L190" s="61"/>
      <c r="M190" s="61"/>
      <c r="N190" s="308"/>
    </row>
    <row r="191" spans="2:14" ht="12.5" x14ac:dyDescent="0.25">
      <c r="B191" s="127"/>
      <c r="C191" s="61"/>
      <c r="D191" s="61"/>
      <c r="E191" s="61"/>
      <c r="F191" s="61"/>
      <c r="H191" s="61"/>
      <c r="I191" s="61"/>
      <c r="J191" s="61"/>
      <c r="K191" s="61"/>
      <c r="L191" s="61"/>
      <c r="M191" s="61"/>
      <c r="N191" s="308"/>
    </row>
    <row r="192" spans="2:14" ht="12.5" x14ac:dyDescent="0.25">
      <c r="B192" s="127"/>
      <c r="C192" s="61"/>
      <c r="D192" s="61"/>
      <c r="E192" s="61"/>
      <c r="F192" s="61"/>
      <c r="H192" s="61"/>
      <c r="I192" s="61"/>
      <c r="J192" s="61"/>
      <c r="K192" s="61"/>
      <c r="L192" s="61"/>
      <c r="M192" s="61"/>
      <c r="N192" s="308"/>
    </row>
    <row r="193" spans="2:14" ht="12.5" x14ac:dyDescent="0.25">
      <c r="B193" s="127"/>
      <c r="C193" s="61"/>
      <c r="D193" s="61"/>
      <c r="E193" s="61"/>
      <c r="F193" s="61"/>
      <c r="H193" s="61"/>
      <c r="I193" s="61"/>
      <c r="J193" s="61"/>
      <c r="K193" s="61"/>
      <c r="L193" s="61"/>
      <c r="M193" s="61"/>
      <c r="N193" s="308"/>
    </row>
    <row r="194" spans="2:14" ht="12.5" x14ac:dyDescent="0.25">
      <c r="B194" s="127"/>
      <c r="C194" s="61"/>
      <c r="D194" s="61"/>
      <c r="E194" s="61"/>
      <c r="F194" s="61"/>
      <c r="G194" s="61"/>
      <c r="H194" s="61"/>
      <c r="I194" s="61"/>
      <c r="J194" s="61"/>
      <c r="K194" s="61"/>
      <c r="L194" s="61"/>
      <c r="M194" s="61"/>
      <c r="N194" s="308"/>
    </row>
    <row r="195" spans="2:14" ht="12.5" x14ac:dyDescent="0.25">
      <c r="B195" s="127"/>
      <c r="C195" s="61"/>
      <c r="D195" s="61"/>
      <c r="E195" s="61"/>
      <c r="F195" s="61"/>
      <c r="G195" s="61"/>
      <c r="H195" s="61"/>
      <c r="I195" s="61"/>
      <c r="J195" s="61"/>
      <c r="K195" s="61"/>
      <c r="L195" s="61"/>
      <c r="M195" s="61"/>
      <c r="N195" s="308"/>
    </row>
    <row r="196" spans="2:14" ht="12.5" x14ac:dyDescent="0.25">
      <c r="B196" s="127"/>
      <c r="C196" s="61"/>
      <c r="D196" s="128"/>
      <c r="E196" s="128"/>
      <c r="F196" s="128"/>
      <c r="G196" s="61"/>
      <c r="H196" s="61"/>
      <c r="I196" s="61"/>
      <c r="J196" s="61"/>
      <c r="K196" s="61"/>
      <c r="L196" s="61"/>
      <c r="M196" s="61"/>
      <c r="N196" s="308"/>
    </row>
    <row r="197" spans="2:14" ht="12.5" x14ac:dyDescent="0.25">
      <c r="B197" s="129"/>
      <c r="C197" s="130"/>
      <c r="D197" s="131"/>
      <c r="E197" s="131"/>
      <c r="F197" s="131"/>
      <c r="G197" s="130"/>
      <c r="H197" s="130"/>
      <c r="I197" s="130"/>
      <c r="J197" s="130"/>
      <c r="K197" s="130"/>
      <c r="L197" s="130"/>
      <c r="M197" s="130"/>
      <c r="N197" s="309"/>
    </row>
    <row r="198" spans="2:14" ht="12.5" x14ac:dyDescent="0.25">
      <c r="D198" s="117"/>
      <c r="E198" s="117"/>
    </row>
    <row r="199" spans="2:14" ht="12.5" x14ac:dyDescent="0.25">
      <c r="C199" s="70"/>
      <c r="D199" s="115"/>
      <c r="E199" s="115"/>
    </row>
    <row r="200" spans="2:14" ht="12.5" x14ac:dyDescent="0.25">
      <c r="B200" s="123"/>
      <c r="C200" s="124"/>
      <c r="D200" s="125"/>
      <c r="E200" s="125"/>
      <c r="F200" s="125"/>
      <c r="G200" s="124"/>
      <c r="H200" s="124"/>
      <c r="I200" s="124"/>
      <c r="J200" s="124"/>
      <c r="K200" s="124"/>
      <c r="L200" s="124"/>
      <c r="M200" s="124"/>
      <c r="N200" s="126" t="s">
        <v>274</v>
      </c>
    </row>
    <row r="201" spans="2:14" ht="13" x14ac:dyDescent="0.3">
      <c r="B201" s="127"/>
      <c r="C201" s="92">
        <f>DATA!X$1</f>
        <v>0</v>
      </c>
      <c r="D201" s="93"/>
      <c r="E201" s="93"/>
      <c r="F201" s="93"/>
      <c r="H201" s="61"/>
      <c r="I201" s="61"/>
      <c r="J201" s="61"/>
      <c r="K201" s="61"/>
      <c r="L201" s="61"/>
      <c r="M201" s="61"/>
      <c r="N201"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"&amp;C201&amp;", datos: "&amp; crearJSONdesdeTabla(C202:F206,0)&amp;" y corresponden a la competencia "&amp;C209&amp;"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202" spans="2:14" ht="13" x14ac:dyDescent="0.3">
      <c r="B202" s="127"/>
      <c r="C202" s="94" t="s">
        <v>300</v>
      </c>
      <c r="D202" s="95">
        <v>2022</v>
      </c>
      <c r="E202" s="95">
        <v>2023</v>
      </c>
      <c r="F202" s="95">
        <v>2024</v>
      </c>
      <c r="H202" s="61"/>
      <c r="I202" s="61"/>
      <c r="J202" s="61"/>
      <c r="K202" s="61"/>
      <c r="L202" s="61"/>
      <c r="M202" s="61"/>
      <c r="N202" s="308"/>
    </row>
    <row r="203" spans="2:14" ht="12.5" x14ac:dyDescent="0.25">
      <c r="B203" s="127"/>
      <c r="C203" s="24" t="s">
        <v>305</v>
      </c>
      <c r="D203" s="83" t="e">
        <f>COUNTIFS(DATA!$D$2:$D247,$D$4,DATA!$H$2:$H247,$D$5, DATA!$G$2:$G247,$D$6,DATA!$B$2:$B247,D202, DATA!X$2:X247,C203)/
 COUNTIFS(DATA!$D$2:$D247,$D$4,DATA!$H$2:$H247,$D$5, DATA!$G$2:$G247,$D$6,DATA!$B$2:$B247,D202, DATA!X$2:X247,"&lt;&gt;-")</f>
        <v>#DIV/0!</v>
      </c>
      <c r="E203" s="83" t="e">
        <f>COUNTIFS(DATA!$D$2:$D247,$D$4,DATA!$H$2:$H247,$D$5, DATA!$G$2:$G247,$D$6,DATA!$B$2:$B247,E202, DATA!X$2:X247,C203)/
 COUNTIFS(DATA!$D$2:$D247,$D$4,DATA!$H$2:$H247,$D$5, DATA!$G$2:$G247,$D$6,DATA!$B$2:$B247,E202, DATA!X$2:X247,"&lt;&gt;-")</f>
        <v>#DIV/0!</v>
      </c>
      <c r="F203" s="83" t="e">
        <f>COUNTIFS(DATA!$D$2:$D247,$D$4,DATA!$H$2:$H247,$D$5, DATA!$G$2:$G247,$D$6,DATA!$B$2:$B247,F202, DATA!X$2:X247,C203)/
 COUNTIFS(DATA!$D$2:$D247,$D$4,DATA!$H$2:$H247,$D$5, DATA!$G$2:$G247,$D$6,DATA!$B$2:$B247,F202, DATA!X$2:X247,"&lt;&gt;-")</f>
        <v>#DIV/0!</v>
      </c>
      <c r="H203" s="61"/>
      <c r="I203" s="61"/>
      <c r="J203" s="61"/>
      <c r="K203" s="61"/>
      <c r="L203" s="61"/>
      <c r="M203" s="61"/>
      <c r="N203" s="308"/>
    </row>
    <row r="204" spans="2:14" ht="12.5" x14ac:dyDescent="0.25">
      <c r="B204" s="127"/>
      <c r="C204" s="24" t="s">
        <v>306</v>
      </c>
      <c r="D204" s="83" t="e">
        <f>COUNTIFS(DATA!$D$2:$D247,$D$4,DATA!$H$2:$H247,$D$5, DATA!$G$2:$G247,$D$6,DATA!$B$2:$B247,D202, DATA!X$2:X247,C204)/
 COUNTIFS(DATA!$D$2:$D247,$D$4,DATA!$H$2:$H247,$D$5, DATA!$G$2:$G247,$D$6,DATA!$B$2:$B247,D202, DATA!X$2:X247,"&lt;&gt;-")</f>
        <v>#DIV/0!</v>
      </c>
      <c r="E204" s="83" t="e">
        <f>COUNTIFS(DATA!$D$2:$D247,$D$4,DATA!$H$2:$H247,$D$5, DATA!$G$2:$G247,$D$6,DATA!$B$2:$B247,E202, DATA!X$2:X247,C204)/
 COUNTIFS(DATA!$D$2:$D247,$D$4,DATA!$H$2:$H247,$D$5, DATA!$G$2:$G247,$D$6,DATA!$B$2:$B247,E202, DATA!X$2:X247,"&lt;&gt;-")</f>
        <v>#DIV/0!</v>
      </c>
      <c r="F204" s="83" t="e">
        <f>COUNTIFS(DATA!$D$2:$D247,$D$4,DATA!$H$2:$H247,$D$5, DATA!$G$2:$G247,$D$6,DATA!$B$2:$B247,F202, DATA!X$2:X247,C204)/
 COUNTIFS(DATA!$D$2:$D247,$D$4,DATA!$H$2:$H247,$D$5, DATA!$G$2:$G247,$D$6,DATA!$B$2:$B247,F202, DATA!X$2:X247,"&lt;&gt;-")</f>
        <v>#DIV/0!</v>
      </c>
      <c r="H204" s="61"/>
      <c r="I204" s="61"/>
      <c r="J204" s="61"/>
      <c r="K204" s="61"/>
      <c r="L204" s="61"/>
      <c r="M204" s="61"/>
      <c r="N204" s="308"/>
    </row>
    <row r="205" spans="2:14" ht="12.5" x14ac:dyDescent="0.25">
      <c r="B205" s="127"/>
      <c r="C205" s="24" t="s">
        <v>307</v>
      </c>
      <c r="D205" s="83" t="e">
        <f>COUNTIFS(DATA!$D$2:$D247,$D$4,DATA!$H$2:$H247,$D$5, DATA!$G$2:$G247,$D$6,DATA!$B$2:$B247,D202, DATA!X$2:X247,C205)/
 COUNTIFS(DATA!$D$2:$D247,$D$4,DATA!$H$2:$H247,$D$5, DATA!$G$2:$G247,$D$6,DATA!$B$2:$B247,D202, DATA!X$2:X247,"&lt;&gt;-")</f>
        <v>#DIV/0!</v>
      </c>
      <c r="E205" s="83" t="e">
        <f>COUNTIFS(DATA!$D$2:$D247,$D$4,DATA!$H$2:$H247,$D$5, DATA!$G$2:$G247,$D$6,DATA!$B$2:$B247,E202, DATA!X$2:X247,C205)/
 COUNTIFS(DATA!$D$2:$D247,$D$4,DATA!$H$2:$H247,$D$5, DATA!$G$2:$G247,$D$6,DATA!$B$2:$B247,E202, DATA!X$2:X247,"&lt;&gt;-")</f>
        <v>#DIV/0!</v>
      </c>
      <c r="F205" s="83" t="e">
        <f>COUNTIFS(DATA!$D$2:$D247,$D$4,DATA!$H$2:$H247,$D$5, DATA!$G$2:$G247,$D$6,DATA!$B$2:$B247,F202, DATA!X$2:X247,C205)/
 COUNTIFS(DATA!$D$2:$D247,$D$4,DATA!$H$2:$H247,$D$5, DATA!$G$2:$G247,$D$6,DATA!$B$2:$B247,F202, DATA!X$2:X247,"&lt;&gt;-")</f>
        <v>#DIV/0!</v>
      </c>
      <c r="H205" s="61"/>
      <c r="I205" s="61"/>
      <c r="J205" s="61"/>
      <c r="K205" s="61"/>
      <c r="L205" s="61"/>
      <c r="M205" s="61"/>
      <c r="N205" s="308"/>
    </row>
    <row r="206" spans="2:14" ht="12.5" x14ac:dyDescent="0.25">
      <c r="B206" s="127"/>
      <c r="C206" s="24" t="s">
        <v>308</v>
      </c>
      <c r="D206" s="83" t="e">
        <f>COUNTIFS(DATA!$D$2:$D247,$D$4,DATA!$H$2:$H247,$D$5, DATA!$G$2:$G247,$D$6,DATA!$B$2:$B247,D202, DATA!X$2:X247,C206)/
 COUNTIFS(DATA!$D$2:$D247,$D$4,DATA!$H$2:$H247,$D$5, DATA!$G$2:$G247,$D$6,DATA!$B$2:$B247,D202, DATA!X$2:X247,"&lt;&gt;-")</f>
        <v>#DIV/0!</v>
      </c>
      <c r="E206" s="83" t="e">
        <f>COUNTIFS(DATA!$D$2:$D247,$D$4,DATA!$H$2:$H247,$D$5, DATA!$G$2:$G247,$D$6,DATA!$B$2:$B247,E202, DATA!X$2:X247,C206)/
 COUNTIFS(DATA!$D$2:$D247,$D$4,DATA!$H$2:$H247,$D$5, DATA!$G$2:$G247,$D$6,DATA!$B$2:$B247,E202, DATA!X$2:X247,"&lt;&gt;-")</f>
        <v>#DIV/0!</v>
      </c>
      <c r="F206" s="83" t="e">
        <f>COUNTIFS(DATA!$D$2:$D247,$D$4,DATA!$H$2:$H247,$D$5, DATA!$G$2:$G247,$D$6,DATA!$B$2:$B247,F202, DATA!X$2:X247,C206)/
 COUNTIFS(DATA!$D$2:$D247,$D$4,DATA!$H$2:$H247,$D$5, DATA!$G$2:$G247,$D$6,DATA!$B$2:$B247,F202, DATA!X$2:X247,"&lt;&gt;-")</f>
        <v>#DIV/0!</v>
      </c>
      <c r="H206" s="61"/>
      <c r="I206" s="61"/>
      <c r="J206" s="61"/>
      <c r="K206" s="61"/>
      <c r="L206" s="61"/>
      <c r="M206" s="61"/>
      <c r="N206" s="308"/>
    </row>
    <row r="207" spans="2:14" ht="13" x14ac:dyDescent="0.3">
      <c r="B207" s="127"/>
      <c r="C207" s="96" t="s">
        <v>275</v>
      </c>
      <c r="D207" s="97" t="e">
        <f t="shared" ref="D207:F207" si="8">SUM(D203:D206)</f>
        <v>#DIV/0!</v>
      </c>
      <c r="E207" s="97" t="e">
        <f t="shared" si="8"/>
        <v>#DIV/0!</v>
      </c>
      <c r="F207" s="97" t="e">
        <f t="shared" si="8"/>
        <v>#DIV/0!</v>
      </c>
      <c r="H207" s="61"/>
      <c r="I207" s="61"/>
      <c r="J207" s="61"/>
      <c r="K207" s="61"/>
      <c r="L207" s="61"/>
      <c r="M207" s="61"/>
      <c r="N207" s="308"/>
    </row>
    <row r="208" spans="2:14" ht="12.5" x14ac:dyDescent="0.25">
      <c r="B208" s="127"/>
      <c r="C208" s="61"/>
      <c r="D208" s="61"/>
      <c r="E208" s="61"/>
      <c r="F208" s="61"/>
      <c r="H208" s="61"/>
      <c r="I208" s="61"/>
      <c r="J208" s="61"/>
      <c r="K208" s="61"/>
      <c r="L208" s="61"/>
      <c r="M208" s="61"/>
      <c r="N208" s="308"/>
    </row>
    <row r="209" spans="2:14" ht="12.5" x14ac:dyDescent="0.25">
      <c r="B209" s="127"/>
      <c r="C209" s="61" t="s">
        <v>316</v>
      </c>
      <c r="D209" s="61"/>
      <c r="E209" s="61"/>
      <c r="F209" s="61"/>
      <c r="H209" s="61"/>
      <c r="I209" s="61"/>
      <c r="J209" s="61"/>
      <c r="K209" s="61"/>
      <c r="L209" s="61"/>
      <c r="M209" s="61"/>
      <c r="N209" s="308"/>
    </row>
    <row r="210" spans="2:14" ht="12.5" x14ac:dyDescent="0.25">
      <c r="B210" s="127"/>
      <c r="C210" s="61"/>
      <c r="D210" s="61"/>
      <c r="E210" s="61"/>
      <c r="F210" s="61"/>
      <c r="H210" s="61"/>
      <c r="I210" s="61"/>
      <c r="J210" s="61"/>
      <c r="K210" s="61"/>
      <c r="L210" s="61"/>
      <c r="M210" s="61"/>
      <c r="N210" s="308"/>
    </row>
    <row r="211" spans="2:14" ht="12.5" x14ac:dyDescent="0.25">
      <c r="B211" s="127"/>
      <c r="C211" s="61"/>
      <c r="D211" s="61"/>
      <c r="E211" s="61"/>
      <c r="F211" s="61"/>
      <c r="H211" s="61"/>
      <c r="I211" s="61"/>
      <c r="J211" s="61"/>
      <c r="K211" s="61"/>
      <c r="L211" s="61"/>
      <c r="M211" s="61"/>
      <c r="N211" s="308"/>
    </row>
    <row r="212" spans="2:14" ht="12.5" x14ac:dyDescent="0.25">
      <c r="B212" s="127"/>
      <c r="C212" s="61"/>
      <c r="D212" s="61"/>
      <c r="E212" s="61"/>
      <c r="F212" s="61"/>
      <c r="H212" s="61"/>
      <c r="I212" s="61"/>
      <c r="J212" s="61"/>
      <c r="K212" s="61"/>
      <c r="L212" s="61"/>
      <c r="M212" s="61"/>
      <c r="N212" s="308"/>
    </row>
    <row r="213" spans="2:14" ht="12.5" x14ac:dyDescent="0.25">
      <c r="B213" s="127"/>
      <c r="C213" s="61"/>
      <c r="D213" s="61"/>
      <c r="E213" s="61"/>
      <c r="F213" s="61"/>
      <c r="H213" s="61"/>
      <c r="I213" s="61"/>
      <c r="J213" s="61"/>
      <c r="K213" s="61"/>
      <c r="L213" s="61"/>
      <c r="M213" s="61"/>
      <c r="N213" s="308"/>
    </row>
    <row r="214" spans="2:14" ht="12.5" x14ac:dyDescent="0.25">
      <c r="B214" s="127"/>
      <c r="C214" s="61"/>
      <c r="D214" s="61"/>
      <c r="E214" s="61"/>
      <c r="F214" s="61"/>
      <c r="H214" s="61"/>
      <c r="I214" s="61"/>
      <c r="J214" s="61"/>
      <c r="K214" s="61"/>
      <c r="L214" s="61"/>
      <c r="M214" s="61"/>
      <c r="N214" s="308"/>
    </row>
    <row r="215" spans="2:14" ht="12.5" x14ac:dyDescent="0.25">
      <c r="B215" s="127"/>
      <c r="C215" s="61"/>
      <c r="D215" s="61"/>
      <c r="E215" s="61"/>
      <c r="F215" s="61"/>
      <c r="H215" s="61"/>
      <c r="I215" s="61"/>
      <c r="J215" s="61"/>
      <c r="K215" s="61"/>
      <c r="L215" s="61"/>
      <c r="M215" s="61"/>
      <c r="N215" s="308"/>
    </row>
    <row r="216" spans="2:14" ht="12.5" x14ac:dyDescent="0.25">
      <c r="B216" s="127"/>
      <c r="C216" s="61"/>
      <c r="D216" s="61"/>
      <c r="E216" s="61"/>
      <c r="F216" s="61"/>
      <c r="H216" s="61"/>
      <c r="I216" s="61"/>
      <c r="J216" s="61"/>
      <c r="K216" s="61"/>
      <c r="L216" s="61"/>
      <c r="M216" s="61"/>
      <c r="N216" s="308"/>
    </row>
    <row r="217" spans="2:14" ht="12.5" x14ac:dyDescent="0.25">
      <c r="B217" s="127"/>
      <c r="C217" s="61"/>
      <c r="D217" s="61"/>
      <c r="E217" s="61"/>
      <c r="F217" s="61"/>
      <c r="G217" s="61"/>
      <c r="H217" s="61"/>
      <c r="I217" s="61"/>
      <c r="J217" s="61"/>
      <c r="K217" s="61"/>
      <c r="L217" s="61"/>
      <c r="M217" s="61"/>
      <c r="N217" s="308"/>
    </row>
    <row r="218" spans="2:14" ht="12.5" x14ac:dyDescent="0.25">
      <c r="B218" s="127"/>
      <c r="C218" s="61"/>
      <c r="D218" s="128"/>
      <c r="E218" s="128"/>
      <c r="F218" s="128"/>
      <c r="G218" s="61"/>
      <c r="H218" s="61"/>
      <c r="I218" s="61"/>
      <c r="J218" s="61"/>
      <c r="K218" s="61"/>
      <c r="L218" s="61"/>
      <c r="M218" s="61"/>
      <c r="N218" s="308"/>
    </row>
    <row r="219" spans="2:14" ht="12.5" x14ac:dyDescent="0.25">
      <c r="B219" s="127"/>
      <c r="C219" s="61"/>
      <c r="D219" s="128"/>
      <c r="E219" s="128"/>
      <c r="F219" s="128"/>
      <c r="G219" s="61"/>
      <c r="H219" s="61"/>
      <c r="I219" s="61"/>
      <c r="J219" s="61"/>
      <c r="K219" s="61"/>
      <c r="L219" s="61"/>
      <c r="M219" s="61"/>
      <c r="N219" s="308"/>
    </row>
    <row r="220" spans="2:14" ht="12.5" x14ac:dyDescent="0.25">
      <c r="B220" s="127"/>
      <c r="C220" s="61"/>
      <c r="D220" s="128"/>
      <c r="E220" s="128"/>
      <c r="F220" s="128"/>
      <c r="G220" s="61"/>
      <c r="H220" s="61"/>
      <c r="I220" s="61"/>
      <c r="J220" s="61"/>
      <c r="K220" s="61"/>
      <c r="L220" s="61"/>
      <c r="M220" s="61"/>
      <c r="N220" s="308"/>
    </row>
    <row r="221" spans="2:14" ht="12.5" x14ac:dyDescent="0.25">
      <c r="B221" s="129"/>
      <c r="C221" s="130"/>
      <c r="D221" s="131"/>
      <c r="E221" s="131"/>
      <c r="F221" s="131"/>
      <c r="G221" s="130"/>
      <c r="H221" s="130"/>
      <c r="I221" s="130"/>
      <c r="J221" s="130"/>
      <c r="K221" s="130"/>
      <c r="L221" s="130"/>
      <c r="M221" s="130"/>
      <c r="N221" s="309"/>
    </row>
    <row r="224" spans="2:14" ht="12.5" x14ac:dyDescent="0.25">
      <c r="B224" s="123"/>
      <c r="C224" s="124"/>
      <c r="D224" s="124"/>
      <c r="E224" s="124"/>
      <c r="F224" s="124"/>
      <c r="G224" s="124"/>
      <c r="H224" s="124"/>
      <c r="I224" s="124"/>
      <c r="J224" s="124"/>
      <c r="K224" s="124"/>
      <c r="L224" s="124"/>
      <c r="M224" s="124"/>
      <c r="N224" s="126" t="s">
        <v>274</v>
      </c>
    </row>
    <row r="225" spans="2:14" ht="13" x14ac:dyDescent="0.3">
      <c r="B225" s="127"/>
      <c r="C225" s="132">
        <f>DATA!Y$1</f>
        <v>0</v>
      </c>
      <c r="D225" s="133"/>
      <c r="E225" s="133"/>
      <c r="F225" s="133"/>
      <c r="J225" s="61"/>
      <c r="K225" s="61"/>
      <c r="L225" s="61"/>
      <c r="M225" s="61"/>
      <c r="N225" s="307" t="e">
        <f ca="1">callGemini("Analiza los datos proporcionados, que muestran la evolución de la "&amp;$D$4&amp;" en los años 2024, 2023 y 2022. Describe las tendencias observadas en cada categoría: Nivel básico, En proceso, Logro esperado y Logro destacado; destacando los cambios más significativos entre los años. Compara los resultados del 2024 con los del 2023 y "&amp;"2022,  identificando aumentos o disminuciones porcentuales.
Estos son los datos a analizar "&amp;C225&amp;", datos: "&amp; crearJSONdesdeTabla(C226:F230,0)&amp;" y corresponden a la competencia "&amp;C233&amp;"
Redacta el análisis con una narrativa y estructura similar al siguiente EJEMPLO: 
En el año 2024 los docentes de la "&amp;$D$4&amp;" mostraron mejoras en la competencia, ya que, se registra un 40% que alcanzó el nivel de “Logro esperado” que comparado con el 2023 se registra un aumento de 40% y comparado con el 2022 se registra un aumento de 38%. Asimismo se registra una disminución d"&amp;"e docentes en el “Nivel básico” en 75%, en términos generales se observa que la mayoría de los docentes se ubican en “Nivel básico” con un 7%.
// Devuelveme el análisis en texto plano, con el mismo formato del ejemplo, sin agregar más información ni tex"&amp;"to adicional. Prioricemos el analisis del estado y la evolucón de la etiqueta 'Logro esperado' destaca su diferencia comparada con el 2023 y 2022, para ser preciso en este calculo debes tomar el porcentaje redondeado de 2024 y restarlo de los años anterio"&amp;"res respectivamente redondeados en numeros enteros porcentuales. Respecto a los valores % en tu respuesta debe estar redondeada a 0 decimales, como por ejemplo 62%.)")</f>
        <v>#NAME?</v>
      </c>
    </row>
    <row r="226" spans="2:14" ht="13" x14ac:dyDescent="0.3">
      <c r="B226" s="127"/>
      <c r="C226" s="94" t="s">
        <v>300</v>
      </c>
      <c r="D226" s="95">
        <v>2022</v>
      </c>
      <c r="E226" s="95">
        <v>2023</v>
      </c>
      <c r="F226" s="95">
        <v>2024</v>
      </c>
      <c r="J226" s="61"/>
      <c r="K226" s="61"/>
      <c r="L226" s="61"/>
      <c r="M226" s="61"/>
      <c r="N226" s="308"/>
    </row>
    <row r="227" spans="2:14" ht="12.5" x14ac:dyDescent="0.25">
      <c r="B227" s="127"/>
      <c r="C227" s="61" t="s">
        <v>305</v>
      </c>
      <c r="D227" s="134" t="e">
        <f>COUNTIFS(DATA!$D$2:$D247,$D$4,DATA!$H$2:$H247,$D$5, DATA!$G$2:$G247,$D$6,DATA!$B$2:$B247,D226, DATA!Y$2:Y247,C227)/
 COUNTIFS(DATA!$D$2:$D247,$D$4,DATA!$H$2:$H247,$D$5, DATA!$G$2:$G247,$D$6,DATA!$B$2:$B247,D226, DATA!Y$2:Y247,"&lt;&gt;-")</f>
        <v>#DIV/0!</v>
      </c>
      <c r="E227" s="134" t="e">
        <f>COUNTIFS(DATA!$D$2:$D247,$D$4,DATA!$H$2:$H247,$D$5, DATA!$G$2:$G247,$D$6,DATA!$B$2:$B247,E226, DATA!Y$2:Y247,C227)/
 COUNTIFS(DATA!$D$2:$D247,$D$4,DATA!$H$2:$H247,$D$5, DATA!$G$2:$G247,$D$6,DATA!$B$2:$B247,E226, DATA!Y$2:Y247,"&lt;&gt;-")</f>
        <v>#DIV/0!</v>
      </c>
      <c r="F227" s="134" t="e">
        <f>COUNTIFS(DATA!$D$2:$D247,$D$4,DATA!$H$2:$H247,$D$5, DATA!$G$2:$G247,$D$6,DATA!$B$2:$B247,F226, DATA!Y$2:Y247,C227)/
 COUNTIFS(DATA!$D$2:$D247,$D$4,DATA!$H$2:$H247,$D$5, DATA!$G$2:$G247,$D$6,DATA!$B$2:$B247,F226, DATA!Y$2:Y247,"&lt;&gt;-")</f>
        <v>#DIV/0!</v>
      </c>
      <c r="J227" s="61"/>
      <c r="K227" s="61"/>
      <c r="L227" s="61"/>
      <c r="M227" s="61"/>
      <c r="N227" s="308"/>
    </row>
    <row r="228" spans="2:14" ht="12.5" x14ac:dyDescent="0.25">
      <c r="B228" s="127"/>
      <c r="C228" s="61" t="s">
        <v>306</v>
      </c>
      <c r="D228" s="134" t="e">
        <f>COUNTIFS(DATA!$D$2:$D247,$D$4,DATA!$H$2:$H247,$D$5, DATA!$G$2:$G247,$D$6,DATA!$B$2:$B247,D226, DATA!Y$2:Y247,C228)/
 COUNTIFS(DATA!$D$2:$D247,$D$4,DATA!$H$2:$H247,$D$5, DATA!$G$2:$G247,$D$6,DATA!$B$2:$B247,D226, DATA!Y$2:Y247,"&lt;&gt;-")</f>
        <v>#DIV/0!</v>
      </c>
      <c r="E228" s="134" t="e">
        <f>COUNTIFS(DATA!$D$2:$D247,$D$4,DATA!$H$2:$H247,$D$5, DATA!$G$2:$G247,$D$6,DATA!$B$2:$B247,E226, DATA!Y$2:Y247,C228)/
 COUNTIFS(DATA!$D$2:$D247,$D$4,DATA!$H$2:$H247,$D$5, DATA!$G$2:$G247,$D$6,DATA!$B$2:$B247,E226, DATA!Y$2:Y247,"&lt;&gt;-")</f>
        <v>#DIV/0!</v>
      </c>
      <c r="F228" s="134" t="e">
        <f>COUNTIFS(DATA!$D$2:$D247,$D$4,DATA!$H$2:$H247,$D$5, DATA!$G$2:$G247,$D$6,DATA!$B$2:$B247,F226, DATA!Y$2:Y247,C228)/
 COUNTIFS(DATA!$D$2:$D247,$D$4,DATA!$H$2:$H247,$D$5, DATA!$G$2:$G247,$D$6,DATA!$B$2:$B247,F226, DATA!Y$2:Y247,"&lt;&gt;-")</f>
        <v>#DIV/0!</v>
      </c>
      <c r="J228" s="61"/>
      <c r="K228" s="61"/>
      <c r="L228" s="61"/>
      <c r="M228" s="61"/>
      <c r="N228" s="308"/>
    </row>
    <row r="229" spans="2:14" ht="12.5" x14ac:dyDescent="0.25">
      <c r="B229" s="127"/>
      <c r="C229" s="61" t="s">
        <v>307</v>
      </c>
      <c r="D229" s="134" t="e">
        <f>COUNTIFS(DATA!$D$2:$D247,$D$4,DATA!$H$2:$H247,$D$5, DATA!$G$2:$G247,$D$6,DATA!$B$2:$B247,D226, DATA!Y$2:Y247,C229)/
 COUNTIFS(DATA!$D$2:$D247,$D$4,DATA!$H$2:$H247,$D$5, DATA!$G$2:$G247,$D$6,DATA!$B$2:$B247,D226, DATA!Y$2:Y247,"&lt;&gt;-")</f>
        <v>#DIV/0!</v>
      </c>
      <c r="E229" s="134" t="e">
        <f>COUNTIFS(DATA!$D$2:$D247,$D$4,DATA!$H$2:$H247,$D$5, DATA!$G$2:$G247,$D$6,DATA!$B$2:$B247,E226, DATA!Y$2:Y247,C229)/
 COUNTIFS(DATA!$D$2:$D247,$D$4,DATA!$H$2:$H247,$D$5, DATA!$G$2:$G247,$D$6,DATA!$B$2:$B247,E226, DATA!Y$2:Y247,"&lt;&gt;-")</f>
        <v>#DIV/0!</v>
      </c>
      <c r="F229" s="134" t="e">
        <f>COUNTIFS(DATA!$D$2:$D247,$D$4,DATA!$H$2:$H247,$D$5, DATA!$G$2:$G247,$D$6,DATA!$B$2:$B247,F226, DATA!Y$2:Y247,C229)/
 COUNTIFS(DATA!$D$2:$D247,$D$4,DATA!$H$2:$H247,$D$5, DATA!$G$2:$G247,$D$6,DATA!$B$2:$B247,F226, DATA!Y$2:Y247,"&lt;&gt;-")</f>
        <v>#DIV/0!</v>
      </c>
      <c r="J229" s="61"/>
      <c r="K229" s="61"/>
      <c r="L229" s="61"/>
      <c r="M229" s="61"/>
      <c r="N229" s="308"/>
    </row>
    <row r="230" spans="2:14" ht="12.5" x14ac:dyDescent="0.25">
      <c r="B230" s="127"/>
      <c r="C230" s="61" t="s">
        <v>308</v>
      </c>
      <c r="D230" s="134" t="e">
        <f>COUNTIFS(DATA!$D$2:$D247,$D$4,DATA!$H$2:$H247,$D$5, DATA!$G$2:$G247,$D$6,DATA!$B$2:$B247,D226, DATA!Y$2:Y247,C230)/
 COUNTIFS(DATA!$D$2:$D247,$D$4,DATA!$H$2:$H247,$D$5, DATA!$G$2:$G247,$D$6,DATA!$B$2:$B247,D226, DATA!Y$2:Y247,"&lt;&gt;-")</f>
        <v>#DIV/0!</v>
      </c>
      <c r="E230" s="134" t="e">
        <f>COUNTIFS(DATA!$D$2:$D247,$D$4,DATA!$H$2:$H247,$D$5, DATA!$G$2:$G247,$D$6,DATA!$B$2:$B247,E226, DATA!Y$2:Y247,C230)/
 COUNTIFS(DATA!$D$2:$D247,$D$4,DATA!$H$2:$H247,$D$5, DATA!$G$2:$G247,$D$6,DATA!$B$2:$B247,E226, DATA!Y$2:Y247,"&lt;&gt;-")</f>
        <v>#DIV/0!</v>
      </c>
      <c r="F230" s="134" t="e">
        <f>COUNTIFS(DATA!$D$2:$D247,$D$4,DATA!$H$2:$H247,$D$5, DATA!$G$2:$G247,$D$6,DATA!$B$2:$B247,F226, DATA!Y$2:Y247,C230)/
 COUNTIFS(DATA!$D$2:$D247,$D$4,DATA!$H$2:$H247,$D$5, DATA!$G$2:$G247,$D$6,DATA!$B$2:$B247,F226, DATA!Y$2:Y247,"&lt;&gt;-")</f>
        <v>#DIV/0!</v>
      </c>
      <c r="J230" s="61"/>
      <c r="K230" s="61"/>
      <c r="L230" s="61"/>
      <c r="M230" s="61"/>
      <c r="N230" s="308"/>
    </row>
    <row r="231" spans="2:14" ht="13" x14ac:dyDescent="0.3">
      <c r="B231" s="127"/>
      <c r="C231" s="135" t="s">
        <v>275</v>
      </c>
      <c r="D231" s="136" t="e">
        <f t="shared" ref="D231:F231" si="9">SUM(D227:D230)</f>
        <v>#DIV/0!</v>
      </c>
      <c r="E231" s="136" t="e">
        <f t="shared" si="9"/>
        <v>#DIV/0!</v>
      </c>
      <c r="F231" s="136" t="e">
        <f t="shared" si="9"/>
        <v>#DIV/0!</v>
      </c>
      <c r="J231" s="61"/>
      <c r="K231" s="61"/>
      <c r="L231" s="61"/>
      <c r="M231" s="61"/>
      <c r="N231" s="308"/>
    </row>
    <row r="232" spans="2:14" ht="12.5" x14ac:dyDescent="0.25">
      <c r="B232" s="127"/>
      <c r="J232" s="61"/>
      <c r="K232" s="61"/>
      <c r="L232" s="61"/>
      <c r="M232" s="61"/>
      <c r="N232" s="308"/>
    </row>
    <row r="233" spans="2:14" ht="12.5" x14ac:dyDescent="0.25">
      <c r="B233" s="127"/>
      <c r="C233" s="24" t="s">
        <v>317</v>
      </c>
      <c r="J233" s="61"/>
      <c r="K233" s="61"/>
      <c r="L233" s="61"/>
      <c r="M233" s="61"/>
      <c r="N233" s="308"/>
    </row>
    <row r="234" spans="2:14" ht="12.5" x14ac:dyDescent="0.25">
      <c r="B234" s="127"/>
      <c r="J234" s="61"/>
      <c r="K234" s="61"/>
      <c r="L234" s="61"/>
      <c r="M234" s="61"/>
      <c r="N234" s="308"/>
    </row>
    <row r="235" spans="2:14" ht="12.5" x14ac:dyDescent="0.25">
      <c r="B235" s="127"/>
      <c r="H235" s="61"/>
      <c r="I235" s="61"/>
      <c r="J235" s="61"/>
      <c r="K235" s="61"/>
      <c r="L235" s="61"/>
      <c r="M235" s="61"/>
      <c r="N235" s="308"/>
    </row>
    <row r="236" spans="2:14" ht="12.5" x14ac:dyDescent="0.25">
      <c r="B236" s="127"/>
      <c r="H236" s="61"/>
      <c r="I236" s="61"/>
      <c r="J236" s="61"/>
      <c r="K236" s="61"/>
      <c r="L236" s="61"/>
      <c r="M236" s="61"/>
      <c r="N236" s="308"/>
    </row>
    <row r="237" spans="2:14" ht="12.5" x14ac:dyDescent="0.25">
      <c r="B237" s="127"/>
      <c r="H237" s="61"/>
      <c r="I237" s="61"/>
      <c r="J237" s="61"/>
      <c r="K237" s="61"/>
      <c r="L237" s="61"/>
      <c r="M237" s="61"/>
      <c r="N237" s="308"/>
    </row>
    <row r="238" spans="2:14" ht="12.5" x14ac:dyDescent="0.25">
      <c r="B238" s="127"/>
      <c r="H238" s="61"/>
      <c r="I238" s="61"/>
      <c r="J238" s="61"/>
      <c r="K238" s="61"/>
      <c r="L238" s="61"/>
      <c r="M238" s="61"/>
      <c r="N238" s="308"/>
    </row>
    <row r="239" spans="2:14" ht="12.5" x14ac:dyDescent="0.25">
      <c r="B239" s="127"/>
      <c r="H239" s="61"/>
      <c r="I239" s="61"/>
      <c r="J239" s="61"/>
      <c r="K239" s="61"/>
      <c r="L239" s="61"/>
      <c r="M239" s="61"/>
      <c r="N239" s="308"/>
    </row>
    <row r="240" spans="2:14" ht="12.5" x14ac:dyDescent="0.25">
      <c r="B240" s="127"/>
      <c r="H240" s="61"/>
      <c r="I240" s="61"/>
      <c r="J240" s="61"/>
      <c r="K240" s="61"/>
      <c r="L240" s="61"/>
      <c r="M240" s="61"/>
      <c r="N240" s="308"/>
    </row>
    <row r="241" spans="2:14" ht="12.5" x14ac:dyDescent="0.25">
      <c r="B241" s="127"/>
      <c r="G241" s="61"/>
      <c r="H241" s="61"/>
      <c r="I241" s="61"/>
      <c r="J241" s="61"/>
      <c r="K241" s="61"/>
      <c r="L241" s="61"/>
      <c r="M241" s="61"/>
      <c r="N241" s="308"/>
    </row>
    <row r="242" spans="2:14" ht="12.5" x14ac:dyDescent="0.25">
      <c r="B242" s="127"/>
      <c r="C242" s="61"/>
      <c r="D242" s="128"/>
      <c r="E242" s="128"/>
      <c r="F242" s="128"/>
      <c r="G242" s="61"/>
      <c r="H242" s="61"/>
      <c r="I242" s="61"/>
      <c r="J242" s="61"/>
      <c r="K242" s="61"/>
      <c r="L242" s="61"/>
      <c r="M242" s="61"/>
      <c r="N242" s="308"/>
    </row>
    <row r="243" spans="2:14" ht="12.5" x14ac:dyDescent="0.25">
      <c r="B243" s="127"/>
      <c r="C243" s="61"/>
      <c r="D243" s="128"/>
      <c r="E243" s="128"/>
      <c r="F243" s="128"/>
      <c r="G243" s="61"/>
      <c r="H243" s="61"/>
      <c r="I243" s="61"/>
      <c r="J243" s="61"/>
      <c r="K243" s="61"/>
      <c r="L243" s="61"/>
      <c r="M243" s="61"/>
      <c r="N243" s="308"/>
    </row>
    <row r="244" spans="2:14" ht="12.5" x14ac:dyDescent="0.25">
      <c r="B244" s="127"/>
      <c r="C244" s="61"/>
      <c r="D244" s="128"/>
      <c r="E244" s="128"/>
      <c r="F244" s="128"/>
      <c r="G244" s="61"/>
      <c r="H244" s="61"/>
      <c r="I244" s="61"/>
      <c r="J244" s="61"/>
      <c r="K244" s="61"/>
      <c r="L244" s="61"/>
      <c r="M244" s="61"/>
      <c r="N244" s="308"/>
    </row>
    <row r="245" spans="2:14" ht="12.5" x14ac:dyDescent="0.25">
      <c r="B245" s="129"/>
      <c r="C245" s="130"/>
      <c r="D245" s="131"/>
      <c r="E245" s="131"/>
      <c r="F245" s="131"/>
      <c r="G245" s="130"/>
      <c r="H245" s="130"/>
      <c r="I245" s="130"/>
      <c r="J245" s="130"/>
      <c r="K245" s="130"/>
      <c r="L245" s="130"/>
      <c r="M245" s="130"/>
      <c r="N245" s="309"/>
    </row>
  </sheetData>
  <mergeCells count="12">
    <mergeCell ref="N54:N74"/>
    <mergeCell ref="N88:N108"/>
    <mergeCell ref="D4:E4"/>
    <mergeCell ref="D5:E5"/>
    <mergeCell ref="D6:E6"/>
    <mergeCell ref="N11:N29"/>
    <mergeCell ref="N32:N50"/>
    <mergeCell ref="N112:N130"/>
    <mergeCell ref="N136:N156"/>
    <mergeCell ref="N177:N197"/>
    <mergeCell ref="N201:N221"/>
    <mergeCell ref="N225:N245"/>
  </mergeCells>
  <dataValidations count="2">
    <dataValidation type="list" allowBlank="1" showErrorMessage="1" sqref="D6" xr:uid="{00000000-0002-0000-0F00-000001000000}">
      <formula1>"*,Masculino,Femenino"</formula1>
    </dataValidation>
    <dataValidation type="list" allowBlank="1" showErrorMessage="1" sqref="D5" xr:uid="{00000000-0002-0000-0F00-000002000000}">
      <formula1>"*Primaria*,*Secundaria*,*"</formula1>
    </dataValidation>
  </dataValidations>
  <printOptions horizontalCentered="1" gridLines="1"/>
  <pageMargins left="0.7" right="0.7" top="0.75" bottom="0.75" header="0" footer="0"/>
  <pageSetup paperSize="9" fitToHeight="0" pageOrder="overThenDown" orientation="portrait" cellComments="atEnd"/>
  <drawing r:id="rId1"/>
  <extLst>
    <ext xmlns:x14="http://schemas.microsoft.com/office/spreadsheetml/2009/9/main" uri="{CCE6A557-97BC-4b89-ADB6-D9C93CAAB3DF}">
      <x14:dataValidations xmlns:xm="http://schemas.microsoft.com/office/excel/2006/main" count="1">
        <x14:dataValidation type="list" allowBlank="1" showErrorMessage="1" xr:uid="{00000000-0002-0000-0F00-000000000000}">
          <x14:formula1>
            <xm:f>nombres!$J$4:$J$22</xm:f>
          </x14:formula1>
          <xm:sqref>D4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AH57"/>
  <sheetViews>
    <sheetView showGridLines="0" workbookViewId="0"/>
  </sheetViews>
  <sheetFormatPr baseColWidth="10" defaultColWidth="12.6328125" defaultRowHeight="15.75" customHeight="1" x14ac:dyDescent="0.25"/>
  <cols>
    <col min="2" max="2" width="18.90625" customWidth="1"/>
    <col min="3" max="4" width="8.26953125" customWidth="1"/>
    <col min="5" max="5" width="5.6328125" customWidth="1"/>
    <col min="6" max="6" width="18.90625" customWidth="1"/>
    <col min="7" max="8" width="8.26953125" customWidth="1"/>
    <col min="9" max="9" width="9.90625" customWidth="1"/>
    <col min="10" max="10" width="18.90625" customWidth="1"/>
    <col min="11" max="12" width="8.26953125" customWidth="1"/>
    <col min="13" max="13" width="5.6328125" customWidth="1"/>
    <col min="14" max="14" width="18.90625" customWidth="1"/>
    <col min="15" max="16" width="8.26953125" customWidth="1"/>
  </cols>
  <sheetData>
    <row r="1" spans="1:34" ht="12.5" x14ac:dyDescent="0.25">
      <c r="B1" s="24" t="s">
        <v>318</v>
      </c>
      <c r="C1" s="137">
        <v>2024</v>
      </c>
    </row>
    <row r="2" spans="1:34" ht="12.5" x14ac:dyDescent="0.25">
      <c r="E2" s="61"/>
      <c r="F2" s="61"/>
      <c r="G2" s="61"/>
      <c r="H2" s="61"/>
      <c r="I2" s="61"/>
    </row>
    <row r="3" spans="1:34" ht="15.5" hidden="1" x14ac:dyDescent="0.25">
      <c r="B3" s="312" t="s">
        <v>319</v>
      </c>
      <c r="C3" s="313"/>
      <c r="D3" s="313"/>
      <c r="E3" s="313"/>
      <c r="F3" s="313"/>
      <c r="G3" s="316" t="s">
        <v>320</v>
      </c>
      <c r="H3" s="317"/>
      <c r="I3" s="318"/>
      <c r="J3" s="316" t="s">
        <v>321</v>
      </c>
      <c r="K3" s="317"/>
      <c r="L3" s="317"/>
      <c r="M3" s="316" t="s">
        <v>322</v>
      </c>
      <c r="N3" s="317"/>
      <c r="O3" s="317"/>
      <c r="P3" s="319"/>
    </row>
    <row r="4" spans="1:34" ht="31" hidden="1" x14ac:dyDescent="0.25">
      <c r="B4" s="314"/>
      <c r="C4" s="315"/>
      <c r="D4" s="315"/>
      <c r="E4" s="315"/>
      <c r="F4" s="315"/>
      <c r="G4" s="320">
        <f>SUM(muestra!J2:J1015)</f>
        <v>2132</v>
      </c>
      <c r="H4" s="321"/>
      <c r="I4" s="322"/>
      <c r="J4" s="320">
        <f>COUNTA([1]Encuestas!C2:C1015)</f>
        <v>1014</v>
      </c>
      <c r="K4" s="321"/>
      <c r="L4" s="321"/>
      <c r="M4" s="323">
        <f>J4/G4</f>
        <v>0.47560975609756095</v>
      </c>
      <c r="N4" s="321"/>
      <c r="O4" s="321"/>
      <c r="P4" s="324"/>
    </row>
    <row r="5" spans="1:34" ht="21.75" customHeight="1" x14ac:dyDescent="0.25">
      <c r="B5" s="75"/>
      <c r="C5" s="75"/>
      <c r="D5" s="75"/>
      <c r="E5" s="75"/>
      <c r="F5" s="75"/>
      <c r="G5" s="75"/>
      <c r="H5" s="75"/>
    </row>
    <row r="6" spans="1:34" ht="21.75" customHeight="1" x14ac:dyDescent="0.25">
      <c r="B6" s="75" t="s">
        <v>323</v>
      </c>
      <c r="C6" s="75"/>
      <c r="D6" s="75"/>
      <c r="E6" s="75"/>
      <c r="F6" s="75"/>
      <c r="G6" s="75"/>
      <c r="H6" s="75"/>
    </row>
    <row r="7" spans="1:34" ht="15.5" x14ac:dyDescent="0.25">
      <c r="B7" s="325" t="s">
        <v>324</v>
      </c>
      <c r="C7" s="313"/>
      <c r="D7" s="313"/>
      <c r="E7" s="313"/>
      <c r="F7" s="326"/>
      <c r="G7" s="316" t="s">
        <v>320</v>
      </c>
      <c r="H7" s="317"/>
      <c r="I7" s="318"/>
      <c r="J7" s="316" t="s">
        <v>321</v>
      </c>
      <c r="K7" s="317"/>
      <c r="L7" s="318"/>
      <c r="M7" s="316" t="s">
        <v>322</v>
      </c>
      <c r="N7" s="317"/>
      <c r="O7" s="317"/>
      <c r="P7" s="319"/>
    </row>
    <row r="8" spans="1:34" ht="25" x14ac:dyDescent="0.25">
      <c r="B8" s="314"/>
      <c r="C8" s="315"/>
      <c r="D8" s="315"/>
      <c r="E8" s="315"/>
      <c r="F8" s="327"/>
      <c r="G8" s="328">
        <f>SUMIFS(muestra!J1:J1015,muestra!B1:B1015,B7)</f>
        <v>1142</v>
      </c>
      <c r="H8" s="321"/>
      <c r="I8" s="322"/>
      <c r="J8" s="328">
        <f>COUNTIFS(DATA!T3:T1015,2024)</f>
        <v>0</v>
      </c>
      <c r="K8" s="321"/>
      <c r="L8" s="322"/>
      <c r="M8" s="329">
        <f>J8/G8</f>
        <v>0</v>
      </c>
      <c r="N8" s="321"/>
      <c r="O8" s="321"/>
      <c r="P8" s="324"/>
    </row>
    <row r="9" spans="1:34" ht="21.75" customHeight="1" x14ac:dyDescent="0.25">
      <c r="B9" s="138"/>
      <c r="C9" s="139"/>
      <c r="D9" s="139"/>
      <c r="E9" s="75"/>
      <c r="F9" s="75"/>
      <c r="G9" s="75"/>
      <c r="H9" s="75"/>
    </row>
    <row r="10" spans="1:34" ht="15.5" x14ac:dyDescent="0.35">
      <c r="B10" s="140" t="s">
        <v>325</v>
      </c>
      <c r="C10" s="139"/>
      <c r="D10" s="139"/>
      <c r="E10" s="75"/>
      <c r="F10" s="61"/>
      <c r="G10" s="75"/>
      <c r="H10" s="75"/>
      <c r="J10" s="140" t="s">
        <v>325</v>
      </c>
      <c r="M10" s="141"/>
      <c r="N10" s="61"/>
    </row>
    <row r="11" spans="1:34" ht="20" x14ac:dyDescent="0.4">
      <c r="B11" s="332" t="s">
        <v>326</v>
      </c>
      <c r="C11" s="316" t="s">
        <v>320</v>
      </c>
      <c r="D11" s="318"/>
      <c r="E11" s="316" t="s">
        <v>327</v>
      </c>
      <c r="F11" s="318"/>
      <c r="G11" s="316" t="s">
        <v>328</v>
      </c>
      <c r="H11" s="319"/>
      <c r="I11" s="142"/>
      <c r="J11" s="332" t="s">
        <v>329</v>
      </c>
      <c r="K11" s="316" t="s">
        <v>320</v>
      </c>
      <c r="L11" s="318"/>
      <c r="M11" s="316" t="s">
        <v>327</v>
      </c>
      <c r="N11" s="318"/>
      <c r="O11" s="316" t="s">
        <v>328</v>
      </c>
      <c r="P11" s="319"/>
    </row>
    <row r="12" spans="1:34" ht="20" x14ac:dyDescent="0.25">
      <c r="B12" s="333"/>
      <c r="C12" s="330">
        <f>SUMIFS(muestra!$J$2:$J1015,muestra!$B$2:$B1015,B7,muestra!$C$2:$C1015,B11)</f>
        <v>1142</v>
      </c>
      <c r="D12" s="322"/>
      <c r="E12" s="330">
        <f>COUNTIF(DATA!T3:T1015,"2024")</f>
        <v>0</v>
      </c>
      <c r="F12" s="322"/>
      <c r="G12" s="331">
        <f>E12/C12</f>
        <v>0</v>
      </c>
      <c r="H12" s="324"/>
      <c r="J12" s="333"/>
      <c r="K12" s="330">
        <f>SUMIFS(muestra!$J$2:$J1015,muestra!$B$2:$B1015,B7,muestra!$C$2:$C1015,J11)</f>
        <v>0</v>
      </c>
      <c r="L12" s="322"/>
      <c r="M12" s="330" t="e">
        <f>COUNTIFS([1]Encuestas!$D$2:$D1015,$B$7,[1]Encuestas!$E$2:$E1015,J11)</f>
        <v>#VALUE!</v>
      </c>
      <c r="N12" s="322"/>
      <c r="O12" s="331">
        <f>IFERROR(M12/K12,0)</f>
        <v>0</v>
      </c>
      <c r="P12" s="324"/>
    </row>
    <row r="13" spans="1:34" ht="21.75" customHeight="1" x14ac:dyDescent="0.25">
      <c r="B13" s="140"/>
      <c r="C13" s="139"/>
      <c r="D13" s="139"/>
      <c r="E13" s="75"/>
      <c r="F13" s="75"/>
      <c r="G13" s="75"/>
      <c r="H13" s="75"/>
    </row>
    <row r="14" spans="1:34" ht="15.5" x14ac:dyDescent="0.35">
      <c r="B14" s="140" t="s">
        <v>330</v>
      </c>
      <c r="C14" s="139"/>
      <c r="D14" s="139"/>
      <c r="E14" s="75"/>
      <c r="F14" s="61" t="s">
        <v>331</v>
      </c>
      <c r="G14" s="75"/>
      <c r="H14" s="75"/>
      <c r="J14" s="140" t="s">
        <v>330</v>
      </c>
      <c r="M14" s="141"/>
      <c r="N14" s="61" t="s">
        <v>331</v>
      </c>
    </row>
    <row r="15" spans="1:34" ht="13" x14ac:dyDescent="0.25">
      <c r="A15" s="143"/>
      <c r="B15" s="144" t="s">
        <v>332</v>
      </c>
      <c r="C15" s="145" t="s">
        <v>333</v>
      </c>
      <c r="D15" s="146" t="s">
        <v>327</v>
      </c>
      <c r="E15" s="147"/>
      <c r="F15" s="148" t="s">
        <v>334</v>
      </c>
      <c r="G15" s="145" t="s">
        <v>333</v>
      </c>
      <c r="H15" s="146" t="s">
        <v>328</v>
      </c>
      <c r="I15" s="143"/>
      <c r="J15" s="144" t="s">
        <v>332</v>
      </c>
      <c r="K15" s="145" t="s">
        <v>333</v>
      </c>
      <c r="L15" s="146" t="s">
        <v>328</v>
      </c>
      <c r="M15" s="147"/>
      <c r="N15" s="148" t="s">
        <v>334</v>
      </c>
      <c r="O15" s="145" t="s">
        <v>333</v>
      </c>
      <c r="P15" s="146" t="s">
        <v>328</v>
      </c>
      <c r="Q15" s="143"/>
      <c r="R15" s="143"/>
      <c r="S15" s="143"/>
      <c r="T15" s="143"/>
      <c r="U15" s="143"/>
      <c r="V15" s="143"/>
      <c r="W15" s="143"/>
      <c r="X15" s="143"/>
      <c r="Y15" s="143"/>
      <c r="Z15" s="143"/>
      <c r="AA15" s="143"/>
      <c r="AB15" s="143"/>
      <c r="AC15" s="143"/>
      <c r="AD15" s="143"/>
      <c r="AE15" s="143"/>
      <c r="AF15" s="143"/>
      <c r="AG15" s="143"/>
      <c r="AH15" s="143"/>
    </row>
    <row r="16" spans="1:34" ht="17.5" x14ac:dyDescent="0.35">
      <c r="B16" s="149" t="s">
        <v>335</v>
      </c>
      <c r="C16" s="150">
        <f>SUMIFS(muestra!$J$2:$J1015,muestra!$B$2:$B1015,$B$7,muestra!$C$2:$C1015,$B$11,muestra!$D$2:$D1015,B16)</f>
        <v>0</v>
      </c>
      <c r="D16" s="151">
        <v>0</v>
      </c>
      <c r="E16" s="152"/>
      <c r="F16" s="153" t="s">
        <v>336</v>
      </c>
      <c r="G16" s="154">
        <f>SUMIFS(muestra!$J$2:$J1015,muestra!$B$2:$B1015,$B$7,muestra!$C$2:$C1015,$B$11,muestra!$E$2:$E1015,F16)</f>
        <v>219</v>
      </c>
      <c r="H16" s="151">
        <v>0</v>
      </c>
      <c r="J16" s="149" t="s">
        <v>335</v>
      </c>
      <c r="K16" s="150">
        <f>SUMIFS(muestra!$J$2:$J1015,muestra!$B$2:$B1015,$B$7,muestra!$C$2:$C1015,$J$11,muestra!$D$2:$D1015,J16)</f>
        <v>0</v>
      </c>
      <c r="L16" s="155">
        <v>0</v>
      </c>
      <c r="M16" s="152"/>
      <c r="N16" s="153" t="s">
        <v>336</v>
      </c>
      <c r="O16" s="154">
        <f>SUMIFS(muestra!$J$2:$J1015,muestra!$B$2:$B1015,$B$7,muestra!$C$2:$C1015,$J$11,muestra!$E$2:$E1015,N16)</f>
        <v>0</v>
      </c>
      <c r="P16" s="156" t="s">
        <v>2031</v>
      </c>
    </row>
    <row r="17" spans="2:16" ht="17.5" x14ac:dyDescent="0.35">
      <c r="B17" s="157" t="s">
        <v>337</v>
      </c>
      <c r="C17" s="158">
        <f>SUMIFS(muestra!$J$2:$J1015,muestra!$B$2:$B1015,$B$7,muestra!$C$2:$C1015,$B$11,muestra!$D$2:$D1015,B17)</f>
        <v>829</v>
      </c>
      <c r="D17" s="151">
        <v>0</v>
      </c>
      <c r="E17" s="152"/>
      <c r="F17" s="159" t="s">
        <v>338</v>
      </c>
      <c r="G17" s="160">
        <f>SUMIFS(muestra!$J$2:$J1015,muestra!$B$2:$B1015,$B$7,muestra!$C$2:$C1015,$B$11,muestra!$E$2:$E1015,F17)</f>
        <v>346</v>
      </c>
      <c r="H17" s="151">
        <v>0</v>
      </c>
      <c r="J17" s="157" t="s">
        <v>337</v>
      </c>
      <c r="K17" s="158">
        <f>SUMIFS(muestra!$J$2:$J1015,muestra!$B$2:$B1015,$B$7,muestra!$C$2:$C1015,$J$11,muestra!$D$2:$D1015,J17)</f>
        <v>0</v>
      </c>
      <c r="L17" s="161">
        <v>0</v>
      </c>
      <c r="M17" s="152"/>
      <c r="N17" s="159" t="s">
        <v>338</v>
      </c>
      <c r="O17" s="160">
        <f>SUMIFS(muestra!$J$2:$J1015,muestra!$B$2:$B1015,$B$7,muestra!$C$2:$C1015,$J$11,muestra!$E$2:$E1015,N17)</f>
        <v>0</v>
      </c>
      <c r="P17" s="162" t="s">
        <v>2031</v>
      </c>
    </row>
    <row r="18" spans="2:16" ht="17.5" x14ac:dyDescent="0.35">
      <c r="B18" s="157" t="s">
        <v>339</v>
      </c>
      <c r="C18" s="158">
        <f>SUMIFS(muestra!$J$2:$J1015,muestra!$B$2:$B1015,$B$7,muestra!$C$2:$C1015,$B$11,muestra!$D$2:$D1015,B18)</f>
        <v>313</v>
      </c>
      <c r="D18" s="151">
        <v>0</v>
      </c>
      <c r="E18" s="152"/>
      <c r="F18" s="159" t="s">
        <v>340</v>
      </c>
      <c r="G18" s="160">
        <f>SUMIFS(muestra!$J$2:$J1015,muestra!$B$2:$B1015,$B$7,muestra!$C$2:$C1015,$B$11,muestra!$E$2:$E1015,F18)</f>
        <v>320</v>
      </c>
      <c r="H18" s="151">
        <v>0</v>
      </c>
      <c r="J18" s="157" t="s">
        <v>339</v>
      </c>
      <c r="K18" s="158">
        <f>SUMIFS(muestra!$J$2:$J1015,muestra!$B$2:$B1015,$B$7,muestra!$C$2:$C1015,$J$11,muestra!$D$2:$D1015,J18)</f>
        <v>0</v>
      </c>
      <c r="L18" s="161">
        <v>0</v>
      </c>
      <c r="M18" s="152"/>
      <c r="N18" s="159" t="s">
        <v>340</v>
      </c>
      <c r="O18" s="160">
        <f>SUMIFS(muestra!$J$2:$J1015,muestra!$B$2:$B1015,$B$7,muestra!$C$2:$C1015,$J$11,muestra!$E$2:$E1015,N18)</f>
        <v>0</v>
      </c>
      <c r="P18" s="162" t="s">
        <v>2031</v>
      </c>
    </row>
    <row r="19" spans="2:16" ht="15.5" x14ac:dyDescent="0.35">
      <c r="B19" s="163"/>
      <c r="C19" s="160"/>
      <c r="D19" s="164"/>
      <c r="F19" s="159" t="s">
        <v>341</v>
      </c>
      <c r="G19" s="160">
        <f>SUMIFS(muestra!$J$2:$J1015,muestra!$B$2:$B1015,$B$7,muestra!$C$2:$C1015,$B$11,muestra!$E$2:$E1015,F19)</f>
        <v>77</v>
      </c>
      <c r="H19" s="151">
        <v>0</v>
      </c>
      <c r="J19" s="163"/>
      <c r="K19" s="160"/>
      <c r="L19" s="162"/>
      <c r="N19" s="159" t="s">
        <v>341</v>
      </c>
      <c r="O19" s="160">
        <f>SUMIFS(muestra!$J$2:$J1015,muestra!$B$2:$B1015,$B$7,muestra!$C$2:$C1015,$J$11,muestra!$E$2:$E1015,N19)</f>
        <v>0</v>
      </c>
      <c r="P19" s="162" t="s">
        <v>2031</v>
      </c>
    </row>
    <row r="20" spans="2:16" ht="15.5" x14ac:dyDescent="0.35">
      <c r="B20" s="163"/>
      <c r="C20" s="160"/>
      <c r="D20" s="164"/>
      <c r="F20" s="159" t="s">
        <v>342</v>
      </c>
      <c r="G20" s="160">
        <f>SUMIFS(muestra!$J$2:$J1015,muestra!$B$2:$B1015,$B$7,muestra!$C$2:$C1015,$B$11,muestra!$E$2:$E1015,F20)</f>
        <v>121</v>
      </c>
      <c r="H20" s="151">
        <v>0</v>
      </c>
      <c r="J20" s="163"/>
      <c r="K20" s="160"/>
      <c r="L20" s="162"/>
      <c r="N20" s="159" t="s">
        <v>342</v>
      </c>
      <c r="O20" s="160">
        <f>SUMIFS(muestra!$J$2:$J1015,muestra!$B$2:$B1015,$B$7,muestra!$C$2:$C1015,$J$11,muestra!$E$2:$E1015,N20)</f>
        <v>0</v>
      </c>
      <c r="P20" s="162" t="s">
        <v>2031</v>
      </c>
    </row>
    <row r="21" spans="2:16" ht="15.5" x14ac:dyDescent="0.35">
      <c r="B21" s="165"/>
      <c r="C21" s="166"/>
      <c r="D21" s="167"/>
      <c r="F21" s="168" t="s">
        <v>343</v>
      </c>
      <c r="G21" s="169">
        <f>SUMIFS(muestra!$J$2:$J1015,muestra!$B$2:$B1015,$B$7,muestra!$C$2:$C1015,$B$11,muestra!$E$2:$E1015,F21)</f>
        <v>59</v>
      </c>
      <c r="H21" s="151">
        <v>0</v>
      </c>
      <c r="J21" s="170"/>
      <c r="K21" s="169"/>
      <c r="L21" s="171"/>
      <c r="N21" s="168" t="s">
        <v>343</v>
      </c>
      <c r="O21" s="169">
        <f>SUMIFS(muestra!$J$2:$J1015,muestra!$B$2:$B1015,$B$7,muestra!$C$2:$C1015,$J$11,muestra!$E$2:$E1015,N21)</f>
        <v>0</v>
      </c>
      <c r="P21" s="171" t="s">
        <v>2031</v>
      </c>
    </row>
    <row r="22" spans="2:16" ht="15.5" x14ac:dyDescent="0.35">
      <c r="B22" s="172" t="s">
        <v>344</v>
      </c>
      <c r="C22" s="173">
        <f t="shared" ref="C22:D22" si="0">SUM(C16:C21)</f>
        <v>1142</v>
      </c>
      <c r="D22" s="173">
        <f t="shared" si="0"/>
        <v>0</v>
      </c>
      <c r="E22" s="141"/>
      <c r="F22" s="172" t="s">
        <v>344</v>
      </c>
      <c r="G22" s="173">
        <f t="shared" ref="G22:H22" si="1">SUM(G16:G21)</f>
        <v>1142</v>
      </c>
      <c r="H22" s="173">
        <f t="shared" si="1"/>
        <v>0</v>
      </c>
      <c r="M22" s="141"/>
      <c r="N22" s="141"/>
    </row>
    <row r="23" spans="2:16" ht="15.5" x14ac:dyDescent="0.35">
      <c r="E23" s="141"/>
      <c r="F23" s="141"/>
      <c r="M23" s="141"/>
      <c r="N23" s="141"/>
    </row>
    <row r="24" spans="2:16" ht="15.5" x14ac:dyDescent="0.35">
      <c r="E24" s="141"/>
      <c r="F24" s="61"/>
      <c r="J24" s="140"/>
      <c r="M24" s="141"/>
      <c r="N24" s="61"/>
    </row>
    <row r="25" spans="2:16" ht="15.5" x14ac:dyDescent="0.35">
      <c r="B25" s="334" t="str">
        <f>B17</f>
        <v>PRIMARIA</v>
      </c>
      <c r="C25" s="313"/>
      <c r="D25" s="313"/>
      <c r="E25" s="313"/>
      <c r="F25" s="335"/>
      <c r="M25" s="141"/>
      <c r="N25" s="141"/>
    </row>
    <row r="26" spans="2:16" ht="15.5" x14ac:dyDescent="0.35">
      <c r="B26" s="336" t="s">
        <v>345</v>
      </c>
      <c r="C26" s="338" t="s">
        <v>346</v>
      </c>
      <c r="D26" s="339"/>
      <c r="E26" s="340"/>
      <c r="F26" s="174" t="s">
        <v>347</v>
      </c>
      <c r="M26" s="141"/>
      <c r="N26" s="141"/>
    </row>
    <row r="27" spans="2:16" ht="15.5" x14ac:dyDescent="0.35">
      <c r="B27" s="337"/>
      <c r="C27" s="341">
        <f>SUMIFS(muestra!$J$2:$J1015,muestra!$B$2:$B1015,$B$7,muestra!$C$2:$C1015,$B$11,muestra!$D$2:$D1015,B17,muestra!$H$2:$H1015,C26)</f>
        <v>424</v>
      </c>
      <c r="D27" s="315"/>
      <c r="E27" s="342"/>
      <c r="F27" s="175">
        <f>SUMIFS(muestra!$J$2:$J1015,muestra!$B$2:$B1015,$B$7,muestra!$C$2:$C1015,$B$11,muestra!$D$2:$D1015,B17,muestra!$H$2:$H1015,F26)</f>
        <v>405</v>
      </c>
      <c r="M27" s="141"/>
      <c r="N27" s="141"/>
    </row>
    <row r="28" spans="2:16" ht="15.5" x14ac:dyDescent="0.35">
      <c r="B28" s="176" t="s">
        <v>348</v>
      </c>
      <c r="C28" s="343">
        <f>SUMIFS(muestra!$J$2:$J1015,muestra!$B$2:$B1015,$B$7,muestra!$C$2:$C1015,$B$11,muestra!$D$2:$D1015,$B$25,muestra!$H$2:$H1015,$C$26,muestra!$G$2:$G1015,B28)</f>
        <v>0</v>
      </c>
      <c r="D28" s="296"/>
      <c r="E28" s="344"/>
      <c r="F28" s="177">
        <f>SUMIFS(muestra!$J$2:$J1015,muestra!$B$2:$B1015,$B$7,muestra!$C$2:$C1015,$B$11,muestra!$D$2:$D1015,$B$25,muestra!$H$2:$H1015,$F$26,muestra!$G$2:$G1015,B28)</f>
        <v>0</v>
      </c>
      <c r="M28" s="141"/>
      <c r="N28" s="141"/>
    </row>
    <row r="29" spans="2:16" ht="15.5" x14ac:dyDescent="0.35">
      <c r="B29" s="176" t="s">
        <v>349</v>
      </c>
      <c r="C29" s="343">
        <f>SUMIFS(muestra!$J$2:$J1015,muestra!$B$2:$B1015,$B$7,muestra!$C$2:$C1015,$B$11,muestra!$D$2:$D1015,$B$25,muestra!$H$2:$H1015,$C$26,muestra!$G$2:$G1015,B29)</f>
        <v>141</v>
      </c>
      <c r="D29" s="296"/>
      <c r="E29" s="344"/>
      <c r="F29" s="177">
        <f>SUMIFS(muestra!$J$2:$J1015,muestra!$B$2:$B1015,$B$7,muestra!$C$2:$C1015,$B$11,muestra!$D$2:$D1015,$B$25,muestra!$H$2:$H1015,$F$26,muestra!$G$2:$G1015,B29)</f>
        <v>130</v>
      </c>
      <c r="M29" s="141"/>
      <c r="N29" s="141"/>
    </row>
    <row r="30" spans="2:16" ht="15.5" x14ac:dyDescent="0.35">
      <c r="B30" s="176" t="s">
        <v>350</v>
      </c>
      <c r="C30" s="343">
        <f>SUMIFS(muestra!$J$2:$J1015,muestra!$B$2:$B1015,$B$7,muestra!$C$2:$C1015,$B$11,muestra!$D$2:$D1015,$B$25,muestra!$H$2:$H1015,$C$26,muestra!$G$2:$G1015,B30)</f>
        <v>0</v>
      </c>
      <c r="D30" s="296"/>
      <c r="E30" s="344"/>
      <c r="F30" s="177">
        <f>SUMIFS(muestra!$J$2:$J1015,muestra!$B$2:$B1015,$B$7,muestra!$C$2:$C1015,$B$11,muestra!$D$2:$D1015,$B$25,muestra!$H$2:$H1015,$F$26,muestra!$G$2:$G1015,B30)</f>
        <v>0</v>
      </c>
      <c r="M30" s="141"/>
      <c r="N30" s="141"/>
    </row>
    <row r="31" spans="2:16" ht="15.5" x14ac:dyDescent="0.35">
      <c r="B31" s="176" t="s">
        <v>351</v>
      </c>
      <c r="C31" s="343">
        <f>SUMIFS(muestra!$J$2:$J1015,muestra!$B$2:$B1015,$B$7,muestra!$C$2:$C1015,$B$11,muestra!$D$2:$D1015,$B$25,muestra!$H$2:$H1015,$C$26,muestra!$G$2:$G1015,B31)</f>
        <v>146</v>
      </c>
      <c r="D31" s="296"/>
      <c r="E31" s="344"/>
      <c r="F31" s="177">
        <f>SUMIFS(muestra!$J$2:$J1015,muestra!$B$2:$B1015,$B$7,muestra!$C$2:$C1015,$B$11,muestra!$D$2:$D1015,$B$25,muestra!$H$2:$H1015,$F$26,muestra!$G$2:$G1015,B31)</f>
        <v>133</v>
      </c>
      <c r="M31" s="141"/>
      <c r="N31" s="141"/>
    </row>
    <row r="32" spans="2:16" ht="15.5" x14ac:dyDescent="0.35">
      <c r="B32" s="176" t="s">
        <v>352</v>
      </c>
      <c r="C32" s="343">
        <f>SUMIFS(muestra!$J$2:$J1015,muestra!$B$2:$B1015,$B$7,muestra!$C$2:$C1015,$B$11,muestra!$D$2:$D1015,$B$25,muestra!$H$2:$H1015,$C$26,muestra!$G$2:$G1015,B32)</f>
        <v>0</v>
      </c>
      <c r="D32" s="296"/>
      <c r="E32" s="344"/>
      <c r="F32" s="177">
        <f>SUMIFS(muestra!$J$2:$J1015,muestra!$B$2:$B1015,$B$7,muestra!$C$2:$C1015,$B$11,muestra!$D$2:$D1015,$B$25,muestra!$H$2:$H1015,$F$26,muestra!$G$2:$G1015,B32)</f>
        <v>0</v>
      </c>
      <c r="M32" s="141"/>
      <c r="N32" s="141"/>
    </row>
    <row r="33" spans="2:14" ht="15.5" x14ac:dyDescent="0.35">
      <c r="B33" s="178" t="s">
        <v>353</v>
      </c>
      <c r="C33" s="345">
        <f>SUMIFS(muestra!$J$2:$J1015,muestra!$B$2:$B1015,$B$7,muestra!$C$2:$C1015,$B$11,muestra!$D$2:$D1015,$B$25,muestra!$H$2:$H1015,$C$26,muestra!$G$2:$G1015,B33)</f>
        <v>137</v>
      </c>
      <c r="D33" s="315"/>
      <c r="E33" s="342"/>
      <c r="F33" s="179">
        <f>SUMIFS(muestra!$J$2:$J1015,muestra!$B$2:$B1015,$B$7,muestra!$C$2:$C1015,$B$11,muestra!$D$2:$D1015,$B$25,muestra!$H$2:$H1015,$F$26,muestra!$G$2:$G1015,B33)</f>
        <v>142</v>
      </c>
      <c r="M33" s="141"/>
      <c r="N33" s="141"/>
    </row>
    <row r="34" spans="2:14" ht="15.5" x14ac:dyDescent="0.35">
      <c r="E34" s="141"/>
      <c r="F34" s="141"/>
      <c r="M34" s="141"/>
      <c r="N34" s="141"/>
    </row>
    <row r="35" spans="2:14" ht="15.5" x14ac:dyDescent="0.35">
      <c r="E35" s="141"/>
      <c r="F35" s="141"/>
      <c r="M35" s="141"/>
      <c r="N35" s="141"/>
    </row>
    <row r="36" spans="2:14" ht="15.5" x14ac:dyDescent="0.35">
      <c r="B36" s="334" t="str">
        <f>B18</f>
        <v>SECUNDARIA</v>
      </c>
      <c r="C36" s="313"/>
      <c r="D36" s="313"/>
      <c r="E36" s="313"/>
      <c r="F36" s="335"/>
      <c r="M36" s="141"/>
      <c r="N36" s="141"/>
    </row>
    <row r="37" spans="2:14" ht="15.5" x14ac:dyDescent="0.35">
      <c r="B37" s="336" t="s">
        <v>345</v>
      </c>
      <c r="C37" s="338" t="s">
        <v>346</v>
      </c>
      <c r="D37" s="339"/>
      <c r="E37" s="340"/>
      <c r="F37" s="174" t="s">
        <v>347</v>
      </c>
      <c r="M37" s="141"/>
      <c r="N37" s="141"/>
    </row>
    <row r="38" spans="2:14" ht="15.5" x14ac:dyDescent="0.35">
      <c r="B38" s="337"/>
      <c r="C38" s="341">
        <f>SUMIFS(muestra!$J$2:$J1015,muestra!$B$2:$B1015,$B$7,muestra!$C$2:$C1015,$B$11,muestra!$D$2:$D1015,B36,muestra!$H$2:$H1015,C37)</f>
        <v>157</v>
      </c>
      <c r="D38" s="315"/>
      <c r="E38" s="342"/>
      <c r="F38" s="175">
        <f>SUMIFS(muestra!$J$2:$J1015,muestra!$B$2:$B1015,$B$7,muestra!$C$2:$C1015,$B$11,muestra!$D$2:$D1015,B36,muestra!$H$2:$H1015,F37)</f>
        <v>156</v>
      </c>
      <c r="M38" s="141"/>
      <c r="N38" s="141"/>
    </row>
    <row r="39" spans="2:14" ht="15.5" x14ac:dyDescent="0.35">
      <c r="B39" s="176" t="s">
        <v>348</v>
      </c>
      <c r="C39" s="343">
        <f>SUMIFS(muestra!$J$2:$J1015,muestra!$B$2:$B1015,$B$7,muestra!$C$2:$C1015,$B$11,muestra!$D$2:$D1015,$B$36,muestra!$H$2:$H1015,$C$26,muestra!$G$2:$G1015,B39)</f>
        <v>0</v>
      </c>
      <c r="D39" s="296"/>
      <c r="E39" s="344"/>
      <c r="F39" s="177">
        <f>SUMIFS(muestra!$J$2:$J1015,muestra!$B$2:$B1015,$B$7,muestra!$C$2:$C1015,$B$11,muestra!$D$2:$D1015,$B$36,muestra!$H$2:$H1015,$F$26,muestra!$G$2:$G1015,B39)</f>
        <v>0</v>
      </c>
      <c r="M39" s="141"/>
      <c r="N39" s="141"/>
    </row>
    <row r="40" spans="2:14" ht="15.5" x14ac:dyDescent="0.35">
      <c r="B40" s="176" t="s">
        <v>349</v>
      </c>
      <c r="C40" s="343">
        <f>SUMIFS(muestra!$J$2:$J1015,muestra!$B$2:$B1015,$B$7,muestra!$C$2:$C1015,$B$11,muestra!$D$2:$D1015,$B$36,muestra!$H$2:$H1015,$C$26,muestra!$G$2:$G1015,B40)</f>
        <v>80</v>
      </c>
      <c r="D40" s="296"/>
      <c r="E40" s="344"/>
      <c r="F40" s="177">
        <f>SUMIFS(muestra!$J$2:$J1015,muestra!$B$2:$B1015,$B$7,muestra!$C$2:$C1015,$B$11,muestra!$D$2:$D1015,$B$36,muestra!$H$2:$H1015,$F$26,muestra!$G$2:$G1015,B40)</f>
        <v>85</v>
      </c>
      <c r="M40" s="141"/>
      <c r="N40" s="141"/>
    </row>
    <row r="41" spans="2:14" ht="15.5" x14ac:dyDescent="0.35">
      <c r="B41" s="176" t="s">
        <v>350</v>
      </c>
      <c r="C41" s="343">
        <f>SUMIFS(muestra!$J$2:$J1015,muestra!$B$2:$B1015,$B$7,muestra!$C$2:$C1015,$B$11,muestra!$D$2:$D1015,$B$36,muestra!$H$2:$H1015,$C$26,muestra!$G$2:$G1015,B41)</f>
        <v>0</v>
      </c>
      <c r="D41" s="296"/>
      <c r="E41" s="344"/>
      <c r="F41" s="177">
        <f>SUMIFS(muestra!$J$2:$J1015,muestra!$B$2:$B1015,$B$7,muestra!$C$2:$C1015,$B$11,muestra!$D$2:$D1015,$B$36,muestra!$H$2:$H1015,$F$26,muestra!$G$2:$G1015,B41)</f>
        <v>0</v>
      </c>
      <c r="M41" s="141"/>
      <c r="N41" s="141"/>
    </row>
    <row r="42" spans="2:14" ht="15.5" x14ac:dyDescent="0.35">
      <c r="B42" s="176" t="s">
        <v>351</v>
      </c>
      <c r="C42" s="343">
        <f>SUMIFS(muestra!$J$2:$J1015,muestra!$B$2:$B1015,$B$7,muestra!$C$2:$C1015,$B$11,muestra!$D$2:$D1015,$B$36,muestra!$H$2:$H1015,$C$26,muestra!$G$2:$G1015,B42)</f>
        <v>77</v>
      </c>
      <c r="D42" s="296"/>
      <c r="E42" s="344"/>
      <c r="F42" s="177">
        <f>SUMIFS(muestra!$J$2:$J1015,muestra!$B$2:$B1015,$B$7,muestra!$C$2:$C1015,$B$11,muestra!$D$2:$D1015,$B$36,muestra!$H$2:$H1015,$F$26,muestra!$G$2:$G1015,B42)</f>
        <v>71</v>
      </c>
      <c r="M42" s="141"/>
      <c r="N42" s="141"/>
    </row>
    <row r="43" spans="2:14" ht="15.5" x14ac:dyDescent="0.35">
      <c r="B43" s="178" t="s">
        <v>352</v>
      </c>
      <c r="C43" s="345">
        <f>SUMIFS(muestra!$J$2:$J1015,muestra!$B$2:$B1015,$B$7,muestra!$C$2:$C1015,$B$11,muestra!$D$2:$D1015,$B$36,muestra!$H$2:$H1015,$C$26,muestra!$G$2:$G1015,B43)</f>
        <v>0</v>
      </c>
      <c r="D43" s="315"/>
      <c r="E43" s="342"/>
      <c r="F43" s="179">
        <f>SUMIFS(muestra!$J$2:$J1015,muestra!$B$2:$B1015,$B$7,muestra!$C$2:$C1015,$B$11,muestra!$D$2:$D1015,$B$36,muestra!$H$2:$H1015,$F$26,muestra!$G$2:$G1015,B43)</f>
        <v>0</v>
      </c>
      <c r="M43" s="141"/>
      <c r="N43" s="141"/>
    </row>
    <row r="44" spans="2:14" ht="15.5" x14ac:dyDescent="0.35">
      <c r="M44" s="141"/>
      <c r="N44" s="141"/>
    </row>
    <row r="45" spans="2:14" ht="15.5" x14ac:dyDescent="0.35">
      <c r="M45" s="141"/>
      <c r="N45" s="141"/>
    </row>
    <row r="46" spans="2:14" ht="15.5" x14ac:dyDescent="0.35">
      <c r="M46" s="141"/>
      <c r="N46" s="141"/>
    </row>
    <row r="47" spans="2:14" ht="15.5" x14ac:dyDescent="0.35">
      <c r="M47" s="141"/>
      <c r="N47" s="141"/>
    </row>
    <row r="48" spans="2:14" ht="15.5" x14ac:dyDescent="0.35">
      <c r="M48" s="141"/>
      <c r="N48" s="141"/>
    </row>
    <row r="49" spans="1:14" ht="15.5" x14ac:dyDescent="0.35">
      <c r="M49" s="141"/>
      <c r="N49" s="141"/>
    </row>
    <row r="57" spans="1:14" ht="13" x14ac:dyDescent="0.3">
      <c r="A57" s="66"/>
    </row>
  </sheetData>
  <mergeCells count="47">
    <mergeCell ref="C43:E43"/>
    <mergeCell ref="C29:E29"/>
    <mergeCell ref="C30:E30"/>
    <mergeCell ref="C31:E31"/>
    <mergeCell ref="C32:E32"/>
    <mergeCell ref="C33:E33"/>
    <mergeCell ref="B36:F36"/>
    <mergeCell ref="B37:B38"/>
    <mergeCell ref="C38:E38"/>
    <mergeCell ref="C39:E39"/>
    <mergeCell ref="C40:E40"/>
    <mergeCell ref="C41:E41"/>
    <mergeCell ref="C42:E42"/>
    <mergeCell ref="B26:B27"/>
    <mergeCell ref="C26:E26"/>
    <mergeCell ref="C27:E27"/>
    <mergeCell ref="C28:E28"/>
    <mergeCell ref="C37:E37"/>
    <mergeCell ref="O11:P11"/>
    <mergeCell ref="O12:P12"/>
    <mergeCell ref="C11:D11"/>
    <mergeCell ref="C12:D12"/>
    <mergeCell ref="B25:F25"/>
    <mergeCell ref="E12:F12"/>
    <mergeCell ref="G12:H12"/>
    <mergeCell ref="K12:L12"/>
    <mergeCell ref="M12:N12"/>
    <mergeCell ref="B11:B12"/>
    <mergeCell ref="E11:F11"/>
    <mergeCell ref="G11:H11"/>
    <mergeCell ref="J11:J12"/>
    <mergeCell ref="K11:L11"/>
    <mergeCell ref="M11:N11"/>
    <mergeCell ref="B7:F8"/>
    <mergeCell ref="G7:I7"/>
    <mergeCell ref="J7:L7"/>
    <mergeCell ref="M7:P7"/>
    <mergeCell ref="G8:I8"/>
    <mergeCell ref="J8:L8"/>
    <mergeCell ref="M8:P8"/>
    <mergeCell ref="B3:F4"/>
    <mergeCell ref="G3:I3"/>
    <mergeCell ref="J3:L3"/>
    <mergeCell ref="M3:P3"/>
    <mergeCell ref="G4:I4"/>
    <mergeCell ref="J4:L4"/>
    <mergeCell ref="M4:P4"/>
  </mergeCells>
  <printOptions horizontalCentered="1" gridLines="1"/>
  <pageMargins left="0.7" right="0.7" top="0.75" bottom="0.75" header="0" footer="0"/>
  <pageSetup paperSize="9" pageOrder="overThenDown" orientation="landscape" cellComments="atEnd"/>
  <drawing r:id="rId1"/>
  <extLst>
    <ext xmlns:x14="http://schemas.microsoft.com/office/spreadsheetml/2009/9/main" uri="{CCE6A557-97BC-4b89-ADB6-D9C93CAAB3DF}">
      <x14:dataValidations xmlns:xm="http://schemas.microsoft.com/office/excel/2006/main" count="4">
        <x14:dataValidation type="list" allowBlank="1" showErrorMessage="1" xr:uid="{00000000-0002-0000-1000-000000000000}">
          <x14:formula1>
            <xm:f>nombres!$H$4:$H$21</xm:f>
          </x14:formula1>
          <xm:sqref>F16:F21 N16:N21</xm:sqref>
        </x14:dataValidation>
        <x14:dataValidation type="list" allowBlank="1" showErrorMessage="1" xr:uid="{00000000-0002-0000-1000-000001000000}">
          <x14:formula1>
            <xm:f>nombres!$B$4:$B$6</xm:f>
          </x14:formula1>
          <xm:sqref>B7</xm:sqref>
        </x14:dataValidation>
        <x14:dataValidation type="list" allowBlank="1" showErrorMessage="1" xr:uid="{00000000-0002-0000-1000-000002000000}">
          <x14:formula1>
            <xm:f>nombres!$U$4:$U1015</xm:f>
          </x14:formula1>
          <xm:sqref>C26 F26 C37 F37</xm:sqref>
        </x14:dataValidation>
        <x14:dataValidation type="list" allowBlank="1" showErrorMessage="1" xr:uid="{00000000-0002-0000-1000-000003000000}">
          <x14:formula1>
            <xm:f>nombres!$S$4:$S1015</xm:f>
          </x14:formula1>
          <xm:sqref>B28:B33 B39:B43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V1497"/>
  <sheetViews>
    <sheetView showGridLines="0" workbookViewId="0"/>
  </sheetViews>
  <sheetFormatPr baseColWidth="10" defaultColWidth="12.6328125" defaultRowHeight="15.75" customHeight="1" x14ac:dyDescent="0.25"/>
  <cols>
    <col min="1" max="1" width="4.7265625" customWidth="1"/>
    <col min="2" max="2" width="29.6328125" customWidth="1"/>
    <col min="3" max="3" width="3.6328125" customWidth="1"/>
    <col min="4" max="4" width="14.36328125" customWidth="1"/>
    <col min="5" max="5" width="3.08984375" customWidth="1"/>
    <col min="7" max="7" width="2.90625" customWidth="1"/>
    <col min="14" max="15" width="19.26953125" customWidth="1"/>
    <col min="16" max="16" width="2.6328125" customWidth="1"/>
    <col min="17" max="17" width="18.36328125" customWidth="1"/>
    <col min="18" max="18" width="3.08984375" customWidth="1"/>
    <col min="19" max="19" width="7.90625" customWidth="1"/>
    <col min="20" max="20" width="4.7265625" customWidth="1"/>
    <col min="21" max="21" width="9.36328125" customWidth="1"/>
  </cols>
  <sheetData>
    <row r="1" spans="1:48" x14ac:dyDescent="0.3">
      <c r="W1" s="99"/>
    </row>
    <row r="2" spans="1:48" x14ac:dyDescent="0.3">
      <c r="W2" s="180" t="s">
        <v>354</v>
      </c>
      <c r="X2" s="181"/>
      <c r="Y2" s="181"/>
      <c r="Z2" s="181"/>
      <c r="AA2" s="181"/>
      <c r="AB2" s="182"/>
      <c r="AD2" s="173" t="s">
        <v>355</v>
      </c>
      <c r="AE2" s="173" t="s">
        <v>334</v>
      </c>
      <c r="AF2" s="173" t="s">
        <v>337</v>
      </c>
      <c r="AG2" s="173" t="s">
        <v>339</v>
      </c>
      <c r="AH2" s="173" t="s">
        <v>335</v>
      </c>
      <c r="AJ2" s="99" t="s">
        <v>356</v>
      </c>
      <c r="AM2" s="99" t="s">
        <v>300</v>
      </c>
      <c r="AN2" s="99" t="s">
        <v>357</v>
      </c>
      <c r="AO2" s="24"/>
      <c r="AP2" s="24"/>
      <c r="AQ2" s="24"/>
      <c r="AR2" s="24"/>
      <c r="AS2" s="24"/>
      <c r="AT2" s="24"/>
      <c r="AU2" s="24"/>
      <c r="AV2" s="24"/>
    </row>
    <row r="3" spans="1:48" x14ac:dyDescent="0.3">
      <c r="B3" s="183" t="s">
        <v>358</v>
      </c>
      <c r="D3" s="183" t="s">
        <v>332</v>
      </c>
      <c r="F3" s="183" t="s">
        <v>359</v>
      </c>
      <c r="H3" s="183" t="s">
        <v>334</v>
      </c>
      <c r="I3" s="183" t="s">
        <v>13</v>
      </c>
      <c r="J3" s="183" t="s">
        <v>360</v>
      </c>
      <c r="K3" s="183" t="s">
        <v>361</v>
      </c>
      <c r="L3" s="183" t="s">
        <v>5</v>
      </c>
      <c r="M3" s="183" t="s">
        <v>362</v>
      </c>
      <c r="N3" s="183" t="s">
        <v>363</v>
      </c>
      <c r="O3" s="183" t="s">
        <v>364</v>
      </c>
      <c r="Q3" s="183" t="s">
        <v>365</v>
      </c>
      <c r="S3" s="183" t="s">
        <v>293</v>
      </c>
      <c r="T3" s="66"/>
      <c r="U3" s="183" t="s">
        <v>366</v>
      </c>
      <c r="W3" s="184" t="s">
        <v>336</v>
      </c>
      <c r="X3" s="185" t="s">
        <v>338</v>
      </c>
      <c r="Y3" s="185" t="s">
        <v>340</v>
      </c>
      <c r="Z3" s="185" t="s">
        <v>341</v>
      </c>
      <c r="AA3" s="185" t="s">
        <v>342</v>
      </c>
      <c r="AB3" s="186" t="s">
        <v>343</v>
      </c>
      <c r="AD3" s="187">
        <v>50495</v>
      </c>
      <c r="AE3" s="187" t="s">
        <v>336</v>
      </c>
      <c r="AF3" s="24" t="s">
        <v>367</v>
      </c>
      <c r="AG3" s="24" t="s">
        <v>367</v>
      </c>
      <c r="AH3" s="24" t="s">
        <v>367</v>
      </c>
      <c r="AI3" s="24"/>
      <c r="AJ3" s="24" t="s">
        <v>368</v>
      </c>
      <c r="AM3" s="188" t="s">
        <v>305</v>
      </c>
      <c r="AN3" s="14" t="s">
        <v>369</v>
      </c>
      <c r="AO3" s="24" t="s">
        <v>2</v>
      </c>
      <c r="AP3" s="24" t="s">
        <v>370</v>
      </c>
      <c r="AQ3" s="24"/>
      <c r="AR3" s="78" t="s">
        <v>3</v>
      </c>
      <c r="AS3" s="78" t="s">
        <v>19</v>
      </c>
      <c r="AT3" s="78" t="s">
        <v>23</v>
      </c>
      <c r="AU3" s="78" t="s">
        <v>25</v>
      </c>
      <c r="AV3" s="24"/>
    </row>
    <row r="4" spans="1:48" ht="15.75" customHeight="1" x14ac:dyDescent="0.25">
      <c r="A4" s="143"/>
      <c r="B4" s="189" t="s">
        <v>324</v>
      </c>
      <c r="C4" s="143"/>
      <c r="D4" s="190" t="s">
        <v>335</v>
      </c>
      <c r="E4" s="143"/>
      <c r="F4" s="190" t="s">
        <v>329</v>
      </c>
      <c r="G4" s="143"/>
      <c r="H4" s="191" t="s">
        <v>336</v>
      </c>
      <c r="I4" s="191" t="s">
        <v>371</v>
      </c>
      <c r="J4" s="191" t="s">
        <v>304</v>
      </c>
      <c r="K4" s="191" t="s">
        <v>372</v>
      </c>
      <c r="L4" s="191" t="s">
        <v>17</v>
      </c>
      <c r="M4" s="191" t="s">
        <v>89</v>
      </c>
      <c r="N4" s="191" t="str">
        <f t="shared" ref="N4:N9" si="0">UPPER(H4&amp;" "&amp;K4)</f>
        <v>RER FA 44 CUSCO</v>
      </c>
      <c r="O4" s="191" t="s">
        <v>89</v>
      </c>
      <c r="P4" s="143"/>
      <c r="Q4" s="192" t="s">
        <v>373</v>
      </c>
      <c r="R4" s="143"/>
      <c r="S4" s="193" t="s">
        <v>348</v>
      </c>
      <c r="T4" s="143"/>
      <c r="U4" s="189" t="s">
        <v>346</v>
      </c>
      <c r="V4" s="143"/>
      <c r="W4" s="194" t="s">
        <v>374</v>
      </c>
      <c r="X4" s="195" t="s">
        <v>92</v>
      </c>
      <c r="Y4" s="195" t="s">
        <v>35</v>
      </c>
      <c r="Z4" s="195" t="s">
        <v>168</v>
      </c>
      <c r="AA4" s="195" t="s">
        <v>150</v>
      </c>
      <c r="AB4" s="196" t="s">
        <v>265</v>
      </c>
      <c r="AC4" s="143"/>
      <c r="AD4" s="187">
        <v>50547</v>
      </c>
      <c r="AE4" s="187" t="s">
        <v>336</v>
      </c>
      <c r="AF4" s="24" t="s">
        <v>367</v>
      </c>
      <c r="AG4" s="24" t="s">
        <v>367</v>
      </c>
      <c r="AH4" s="24" t="s">
        <v>367</v>
      </c>
      <c r="AI4" s="24"/>
      <c r="AJ4" s="24" t="s">
        <v>375</v>
      </c>
      <c r="AK4" s="143"/>
      <c r="AL4" s="143"/>
      <c r="AM4" s="188" t="s">
        <v>305</v>
      </c>
      <c r="AN4" s="197" t="s">
        <v>376</v>
      </c>
      <c r="AO4" s="188" t="s">
        <v>305</v>
      </c>
      <c r="AP4" s="197" t="s">
        <v>377</v>
      </c>
      <c r="AQ4" s="197"/>
      <c r="AR4" s="14" t="s">
        <v>378</v>
      </c>
      <c r="AS4" s="14" t="s">
        <v>379</v>
      </c>
      <c r="AT4" s="14" t="s">
        <v>380</v>
      </c>
      <c r="AU4" s="14" t="s">
        <v>381</v>
      </c>
      <c r="AV4" s="197"/>
    </row>
    <row r="5" spans="1:48" ht="15.75" customHeight="1" x14ac:dyDescent="0.25">
      <c r="A5" s="143"/>
      <c r="B5" s="190" t="s">
        <v>382</v>
      </c>
      <c r="C5" s="143"/>
      <c r="D5" s="190" t="s">
        <v>337</v>
      </c>
      <c r="E5" s="143"/>
      <c r="F5" s="190" t="s">
        <v>326</v>
      </c>
      <c r="G5" s="143"/>
      <c r="H5" s="198" t="s">
        <v>338</v>
      </c>
      <c r="I5" s="191" t="s">
        <v>383</v>
      </c>
      <c r="J5" s="199" t="s">
        <v>384</v>
      </c>
      <c r="K5" s="198" t="s">
        <v>385</v>
      </c>
      <c r="L5" s="198" t="s">
        <v>17</v>
      </c>
      <c r="M5" s="198" t="s">
        <v>60</v>
      </c>
      <c r="N5" s="191" t="str">
        <f t="shared" si="0"/>
        <v>RER FA 47 IQUITOS</v>
      </c>
      <c r="O5" s="191" t="s">
        <v>386</v>
      </c>
      <c r="P5" s="143"/>
      <c r="Q5" s="192" t="s">
        <v>387</v>
      </c>
      <c r="R5" s="143"/>
      <c r="S5" s="190" t="s">
        <v>349</v>
      </c>
      <c r="T5" s="143"/>
      <c r="U5" s="189" t="s">
        <v>347</v>
      </c>
      <c r="V5" s="143"/>
      <c r="W5" s="194" t="s">
        <v>388</v>
      </c>
      <c r="X5" s="195" t="s">
        <v>154</v>
      </c>
      <c r="Y5" s="195" t="s">
        <v>33</v>
      </c>
      <c r="Z5" s="195" t="s">
        <v>170</v>
      </c>
      <c r="AA5" s="195" t="s">
        <v>143</v>
      </c>
      <c r="AB5" s="200" t="s">
        <v>57</v>
      </c>
      <c r="AC5" s="143"/>
      <c r="AD5" s="187">
        <v>50550</v>
      </c>
      <c r="AE5" s="187" t="s">
        <v>336</v>
      </c>
      <c r="AF5" s="24" t="s">
        <v>367</v>
      </c>
      <c r="AG5" s="24" t="s">
        <v>367</v>
      </c>
      <c r="AH5" s="24" t="s">
        <v>367</v>
      </c>
      <c r="AI5" s="24"/>
      <c r="AJ5" s="24" t="s">
        <v>389</v>
      </c>
      <c r="AK5" s="143"/>
      <c r="AL5" s="143"/>
      <c r="AM5" s="188" t="s">
        <v>306</v>
      </c>
      <c r="AN5" s="197" t="s">
        <v>390</v>
      </c>
      <c r="AO5" s="188" t="s">
        <v>306</v>
      </c>
      <c r="AP5" s="197" t="s">
        <v>391</v>
      </c>
      <c r="AQ5" s="197"/>
      <c r="AR5" s="14" t="s">
        <v>392</v>
      </c>
      <c r="AS5" s="14" t="s">
        <v>379</v>
      </c>
      <c r="AT5" s="14" t="s">
        <v>380</v>
      </c>
      <c r="AU5" s="14" t="s">
        <v>381</v>
      </c>
      <c r="AV5" s="197"/>
    </row>
    <row r="6" spans="1:48" ht="15.75" customHeight="1" x14ac:dyDescent="0.25">
      <c r="A6" s="143"/>
      <c r="B6" s="190" t="s">
        <v>393</v>
      </c>
      <c r="C6" s="143"/>
      <c r="D6" s="190" t="s">
        <v>339</v>
      </c>
      <c r="E6" s="143"/>
      <c r="F6" s="190"/>
      <c r="G6" s="143"/>
      <c r="H6" s="198" t="s">
        <v>340</v>
      </c>
      <c r="I6" s="191" t="s">
        <v>394</v>
      </c>
      <c r="J6" s="201" t="s">
        <v>395</v>
      </c>
      <c r="K6" s="191" t="s">
        <v>396</v>
      </c>
      <c r="L6" s="191" t="s">
        <v>17</v>
      </c>
      <c r="M6" s="191" t="s">
        <v>14</v>
      </c>
      <c r="N6" s="191" t="str">
        <f t="shared" si="0"/>
        <v>RER FA 48 MALINGAS</v>
      </c>
      <c r="O6" s="191" t="s">
        <v>397</v>
      </c>
      <c r="P6" s="143"/>
      <c r="Q6" s="192" t="s">
        <v>398</v>
      </c>
      <c r="R6" s="143"/>
      <c r="S6" s="193" t="s">
        <v>350</v>
      </c>
      <c r="T6" s="143"/>
      <c r="U6" s="189"/>
      <c r="V6" s="143"/>
      <c r="W6" s="194" t="s">
        <v>399</v>
      </c>
      <c r="X6" s="195" t="s">
        <v>161</v>
      </c>
      <c r="Y6" s="195" t="s">
        <v>31</v>
      </c>
      <c r="Z6" s="195" t="s">
        <v>169</v>
      </c>
      <c r="AA6" s="195" t="s">
        <v>144</v>
      </c>
      <c r="AB6" s="200" t="s">
        <v>266</v>
      </c>
      <c r="AC6" s="143"/>
      <c r="AD6" s="187">
        <v>50553</v>
      </c>
      <c r="AE6" s="187" t="s">
        <v>336</v>
      </c>
      <c r="AF6" s="24" t="s">
        <v>367</v>
      </c>
      <c r="AG6" s="24" t="s">
        <v>400</v>
      </c>
      <c r="AH6" s="24" t="s">
        <v>400</v>
      </c>
      <c r="AI6" s="24"/>
      <c r="AJ6" s="24" t="s">
        <v>401</v>
      </c>
      <c r="AK6" s="143"/>
      <c r="AL6" s="143"/>
      <c r="AM6" s="188" t="s">
        <v>307</v>
      </c>
      <c r="AN6" s="197" t="s">
        <v>402</v>
      </c>
      <c r="AO6" s="188" t="s">
        <v>307</v>
      </c>
      <c r="AP6" s="197" t="s">
        <v>403</v>
      </c>
      <c r="AQ6" s="197"/>
      <c r="AR6" s="14" t="s">
        <v>404</v>
      </c>
      <c r="AS6" s="14" t="s">
        <v>379</v>
      </c>
      <c r="AT6" s="14" t="s">
        <v>380</v>
      </c>
      <c r="AU6" s="14" t="s">
        <v>381</v>
      </c>
      <c r="AV6" s="197"/>
    </row>
    <row r="7" spans="1:48" ht="15.75" customHeight="1" x14ac:dyDescent="0.25">
      <c r="A7" s="143"/>
      <c r="B7" s="189"/>
      <c r="C7" s="143"/>
      <c r="D7" s="190"/>
      <c r="E7" s="143"/>
      <c r="F7" s="189"/>
      <c r="G7" s="143"/>
      <c r="H7" s="198" t="s">
        <v>341</v>
      </c>
      <c r="I7" s="191" t="s">
        <v>405</v>
      </c>
      <c r="J7" s="201" t="s">
        <v>406</v>
      </c>
      <c r="K7" s="198" t="s">
        <v>407</v>
      </c>
      <c r="L7" s="198" t="s">
        <v>17</v>
      </c>
      <c r="M7" s="198" t="s">
        <v>83</v>
      </c>
      <c r="N7" s="191" t="str">
        <f t="shared" si="0"/>
        <v>RER FA 54 MORO</v>
      </c>
      <c r="O7" s="191" t="s">
        <v>408</v>
      </c>
      <c r="P7" s="143"/>
      <c r="Q7" s="202" t="s">
        <v>409</v>
      </c>
      <c r="R7" s="143"/>
      <c r="S7" s="190" t="s">
        <v>351</v>
      </c>
      <c r="T7" s="143"/>
      <c r="U7" s="189"/>
      <c r="V7" s="143"/>
      <c r="W7" s="194" t="s">
        <v>410</v>
      </c>
      <c r="X7" s="195" t="s">
        <v>210</v>
      </c>
      <c r="Y7" s="195" t="s">
        <v>27</v>
      </c>
      <c r="Z7" s="195" t="s">
        <v>172</v>
      </c>
      <c r="AA7" s="195" t="s">
        <v>175</v>
      </c>
      <c r="AB7" s="200" t="s">
        <v>411</v>
      </c>
      <c r="AC7" s="143"/>
      <c r="AD7" s="203">
        <v>50558</v>
      </c>
      <c r="AE7" s="187" t="s">
        <v>336</v>
      </c>
      <c r="AF7" s="24" t="s">
        <v>367</v>
      </c>
      <c r="AG7" s="24" t="s">
        <v>367</v>
      </c>
      <c r="AH7" s="24" t="s">
        <v>367</v>
      </c>
      <c r="AI7" s="24"/>
      <c r="AJ7" s="24" t="s">
        <v>412</v>
      </c>
      <c r="AK7" s="143"/>
      <c r="AL7" s="143"/>
      <c r="AM7" s="143" t="s">
        <v>308</v>
      </c>
      <c r="AN7" s="197" t="s">
        <v>413</v>
      </c>
      <c r="AO7" s="143" t="s">
        <v>308</v>
      </c>
      <c r="AP7" s="197" t="s">
        <v>414</v>
      </c>
      <c r="AQ7" s="197"/>
      <c r="AR7" s="14" t="s">
        <v>415</v>
      </c>
      <c r="AS7" s="14" t="s">
        <v>379</v>
      </c>
      <c r="AT7" s="14" t="s">
        <v>380</v>
      </c>
      <c r="AU7" s="14" t="s">
        <v>381</v>
      </c>
      <c r="AV7" s="197"/>
    </row>
    <row r="8" spans="1:48" ht="15.75" customHeight="1" x14ac:dyDescent="0.25">
      <c r="A8" s="143"/>
      <c r="B8" s="189"/>
      <c r="C8" s="143"/>
      <c r="D8" s="189"/>
      <c r="E8" s="143"/>
      <c r="F8" s="189"/>
      <c r="G8" s="143"/>
      <c r="H8" s="191" t="s">
        <v>342</v>
      </c>
      <c r="I8" s="191" t="s">
        <v>416</v>
      </c>
      <c r="J8" s="201" t="s">
        <v>417</v>
      </c>
      <c r="K8" s="191" t="s">
        <v>418</v>
      </c>
      <c r="L8" s="191" t="s">
        <v>17</v>
      </c>
      <c r="M8" s="191" t="s">
        <v>44</v>
      </c>
      <c r="N8" s="191" t="str">
        <f t="shared" si="0"/>
        <v>RER FA 72 PUCALLPA</v>
      </c>
      <c r="O8" s="191" t="s">
        <v>419</v>
      </c>
      <c r="P8" s="143"/>
      <c r="Q8" s="204" t="s">
        <v>420</v>
      </c>
      <c r="R8" s="143"/>
      <c r="S8" s="190" t="s">
        <v>352</v>
      </c>
      <c r="T8" s="143"/>
      <c r="U8" s="189"/>
      <c r="V8" s="143"/>
      <c r="W8" s="205" t="s">
        <v>421</v>
      </c>
      <c r="X8" s="206" t="s">
        <v>91</v>
      </c>
      <c r="Y8" s="206" t="s">
        <v>39</v>
      </c>
      <c r="Z8" s="206" t="s">
        <v>422</v>
      </c>
      <c r="AA8" s="206" t="s">
        <v>179</v>
      </c>
      <c r="AB8" s="200" t="s">
        <v>423</v>
      </c>
      <c r="AC8" s="143"/>
      <c r="AD8" s="203">
        <v>50765</v>
      </c>
      <c r="AE8" s="187" t="s">
        <v>336</v>
      </c>
      <c r="AF8" s="24" t="s">
        <v>367</v>
      </c>
      <c r="AG8" s="24" t="s">
        <v>367</v>
      </c>
      <c r="AH8" s="24" t="s">
        <v>367</v>
      </c>
      <c r="AI8" s="188"/>
      <c r="AJ8" s="188" t="s">
        <v>424</v>
      </c>
      <c r="AK8" s="143"/>
      <c r="AL8" s="143"/>
      <c r="AM8" s="143"/>
      <c r="AN8" s="143"/>
      <c r="AO8" s="143"/>
      <c r="AP8" s="143"/>
      <c r="AQ8" s="143"/>
      <c r="AR8" s="24" t="s">
        <v>425</v>
      </c>
      <c r="AS8" s="24" t="s">
        <v>379</v>
      </c>
      <c r="AT8" s="24" t="s">
        <v>380</v>
      </c>
      <c r="AU8" s="24" t="s">
        <v>381</v>
      </c>
      <c r="AV8" s="143"/>
    </row>
    <row r="9" spans="1:48" ht="15.75" customHeight="1" x14ac:dyDescent="0.25">
      <c r="A9" s="143"/>
      <c r="B9" s="189"/>
      <c r="C9" s="143"/>
      <c r="D9" s="189"/>
      <c r="E9" s="143"/>
      <c r="F9" s="189"/>
      <c r="G9" s="143"/>
      <c r="H9" s="207" t="s">
        <v>343</v>
      </c>
      <c r="I9" s="191" t="s">
        <v>426</v>
      </c>
      <c r="J9" s="208" t="s">
        <v>427</v>
      </c>
      <c r="K9" s="207" t="s">
        <v>428</v>
      </c>
      <c r="L9" s="207" t="s">
        <v>17</v>
      </c>
      <c r="M9" s="207" t="s">
        <v>54</v>
      </c>
      <c r="N9" s="191" t="str">
        <f t="shared" si="0"/>
        <v>RER FA 79 ACOBAMBA</v>
      </c>
      <c r="O9" s="191" t="s">
        <v>429</v>
      </c>
      <c r="P9" s="143"/>
      <c r="Q9" s="204" t="s">
        <v>430</v>
      </c>
      <c r="R9" s="143"/>
      <c r="S9" s="190" t="s">
        <v>353</v>
      </c>
      <c r="T9" s="143"/>
      <c r="U9" s="189"/>
      <c r="V9" s="143"/>
      <c r="W9" s="205" t="s">
        <v>431</v>
      </c>
      <c r="X9" s="206" t="s">
        <v>157</v>
      </c>
      <c r="Y9" s="206" t="s">
        <v>40</v>
      </c>
      <c r="Z9" s="206" t="s">
        <v>171</v>
      </c>
      <c r="AA9" s="206" t="s">
        <v>177</v>
      </c>
      <c r="AB9" s="200" t="s">
        <v>153</v>
      </c>
      <c r="AC9" s="143"/>
      <c r="AD9" s="203">
        <v>50796</v>
      </c>
      <c r="AE9" s="187" t="s">
        <v>336</v>
      </c>
      <c r="AF9" s="24" t="s">
        <v>367</v>
      </c>
      <c r="AG9" s="24" t="s">
        <v>367</v>
      </c>
      <c r="AH9" s="24" t="s">
        <v>367</v>
      </c>
      <c r="AI9" s="209"/>
      <c r="AJ9" s="209"/>
      <c r="AK9" s="143"/>
      <c r="AL9" s="143"/>
      <c r="AM9" s="143"/>
      <c r="AN9" s="143"/>
      <c r="AO9" s="143"/>
      <c r="AP9" s="143"/>
      <c r="AQ9" s="143"/>
      <c r="AR9" s="143"/>
      <c r="AS9" s="143"/>
      <c r="AT9" s="143"/>
      <c r="AU9" s="143"/>
      <c r="AV9" s="143"/>
    </row>
    <row r="10" spans="1:48" ht="15.75" customHeight="1" x14ac:dyDescent="0.25">
      <c r="A10" s="143"/>
      <c r="B10" s="189"/>
      <c r="C10" s="143"/>
      <c r="D10" s="189"/>
      <c r="E10" s="143"/>
      <c r="F10" s="189"/>
      <c r="G10" s="143"/>
      <c r="H10" s="189"/>
      <c r="I10" s="208" t="s">
        <v>297</v>
      </c>
      <c r="J10" s="208" t="s">
        <v>297</v>
      </c>
      <c r="K10" s="189"/>
      <c r="L10" s="189"/>
      <c r="M10" s="189" t="s">
        <v>432</v>
      </c>
      <c r="N10" s="189" t="s">
        <v>297</v>
      </c>
      <c r="O10" s="189" t="s">
        <v>297</v>
      </c>
      <c r="P10" s="143"/>
      <c r="Q10" s="210" t="s">
        <v>433</v>
      </c>
      <c r="R10" s="143"/>
      <c r="S10" s="208"/>
      <c r="T10" s="143"/>
      <c r="U10" s="189"/>
      <c r="V10" s="143"/>
      <c r="W10" s="205" t="s">
        <v>434</v>
      </c>
      <c r="X10" s="206" t="s">
        <v>165</v>
      </c>
      <c r="Y10" s="206" t="s">
        <v>28</v>
      </c>
      <c r="Z10" s="206"/>
      <c r="AA10" s="206" t="s">
        <v>148</v>
      </c>
      <c r="AB10" s="200" t="s">
        <v>152</v>
      </c>
      <c r="AC10" s="143"/>
      <c r="AD10" s="203">
        <v>50854</v>
      </c>
      <c r="AE10" s="187" t="s">
        <v>336</v>
      </c>
      <c r="AF10" s="24" t="s">
        <v>367</v>
      </c>
      <c r="AG10" s="24" t="s">
        <v>367</v>
      </c>
      <c r="AH10" s="24" t="s">
        <v>367</v>
      </c>
      <c r="AI10" s="211"/>
      <c r="AJ10" s="211"/>
      <c r="AK10" s="143"/>
      <c r="AL10" s="143"/>
      <c r="AM10" s="143"/>
      <c r="AN10" s="143"/>
      <c r="AO10" s="143"/>
      <c r="AP10" s="143"/>
      <c r="AQ10" s="143"/>
      <c r="AR10" s="143"/>
      <c r="AS10" s="143"/>
      <c r="AT10" s="143"/>
      <c r="AU10" s="143"/>
      <c r="AV10" s="143"/>
    </row>
    <row r="11" spans="1:48" ht="15.75" customHeight="1" x14ac:dyDescent="0.25">
      <c r="A11" s="143"/>
      <c r="B11" s="189"/>
      <c r="C11" s="143"/>
      <c r="D11" s="189"/>
      <c r="E11" s="143"/>
      <c r="F11" s="189"/>
      <c r="G11" s="143"/>
      <c r="H11" s="189"/>
      <c r="I11" s="208"/>
      <c r="J11" s="208"/>
      <c r="K11" s="189"/>
      <c r="L11" s="189"/>
      <c r="M11" s="189"/>
      <c r="N11" s="189"/>
      <c r="O11" s="189"/>
      <c r="P11" s="143"/>
      <c r="Q11" s="210" t="s">
        <v>435</v>
      </c>
      <c r="R11" s="143"/>
      <c r="S11" s="189"/>
      <c r="T11" s="143"/>
      <c r="U11" s="189"/>
      <c r="V11" s="143"/>
      <c r="W11" s="205" t="s">
        <v>436</v>
      </c>
      <c r="X11" s="206" t="s">
        <v>94</v>
      </c>
      <c r="Y11" s="206" t="s">
        <v>32</v>
      </c>
      <c r="Z11" s="206"/>
      <c r="AA11" s="206" t="s">
        <v>180</v>
      </c>
      <c r="AB11" s="200" t="s">
        <v>58</v>
      </c>
      <c r="AC11" s="143"/>
      <c r="AD11" s="203">
        <v>50977</v>
      </c>
      <c r="AE11" s="187" t="s">
        <v>336</v>
      </c>
      <c r="AF11" s="24" t="s">
        <v>367</v>
      </c>
      <c r="AG11" s="24" t="s">
        <v>367</v>
      </c>
      <c r="AH11" s="24" t="s">
        <v>367</v>
      </c>
      <c r="AI11" s="211"/>
      <c r="AJ11" s="211"/>
      <c r="AK11" s="143"/>
      <c r="AL11" s="143"/>
      <c r="AM11" s="143"/>
      <c r="AN11" s="143"/>
      <c r="AO11" s="143"/>
      <c r="AP11" s="143"/>
      <c r="AQ11" s="143"/>
      <c r="AR11" s="143" t="s">
        <v>2</v>
      </c>
      <c r="AS11" s="143"/>
      <c r="AT11" s="143"/>
      <c r="AU11" s="143"/>
      <c r="AV11" s="143"/>
    </row>
    <row r="12" spans="1:48" ht="15.75" customHeight="1" x14ac:dyDescent="0.25">
      <c r="A12" s="143"/>
      <c r="B12" s="189"/>
      <c r="C12" s="143"/>
      <c r="D12" s="189"/>
      <c r="E12" s="143"/>
      <c r="F12" s="189"/>
      <c r="G12" s="143"/>
      <c r="H12" s="189"/>
      <c r="I12" s="208"/>
      <c r="J12" s="208"/>
      <c r="K12" s="189"/>
      <c r="L12" s="189"/>
      <c r="M12" s="189"/>
      <c r="N12" s="189"/>
      <c r="O12" s="189"/>
      <c r="P12" s="143"/>
      <c r="Q12" s="212" t="s">
        <v>437</v>
      </c>
      <c r="R12" s="143"/>
      <c r="S12" s="189"/>
      <c r="T12" s="143"/>
      <c r="U12" s="189"/>
      <c r="V12" s="143"/>
      <c r="W12" s="205" t="s">
        <v>438</v>
      </c>
      <c r="X12" s="206" t="s">
        <v>163</v>
      </c>
      <c r="Y12" s="206" t="s">
        <v>34</v>
      </c>
      <c r="Z12" s="206"/>
      <c r="AA12" s="206" t="s">
        <v>176</v>
      </c>
      <c r="AB12" s="200" t="s">
        <v>107</v>
      </c>
      <c r="AC12" s="143"/>
      <c r="AD12" s="203">
        <v>501344</v>
      </c>
      <c r="AE12" s="187" t="s">
        <v>336</v>
      </c>
      <c r="AF12" s="24" t="s">
        <v>367</v>
      </c>
      <c r="AG12" s="24" t="s">
        <v>400</v>
      </c>
      <c r="AH12" s="24" t="s">
        <v>400</v>
      </c>
      <c r="AK12" s="143"/>
      <c r="AL12" s="143"/>
      <c r="AM12" s="143"/>
      <c r="AN12" s="143"/>
      <c r="AO12" s="143"/>
      <c r="AP12" s="143"/>
      <c r="AQ12" s="143"/>
      <c r="AR12" s="143"/>
      <c r="AS12" s="143" t="s">
        <v>439</v>
      </c>
      <c r="AT12" s="143" t="s">
        <v>391</v>
      </c>
      <c r="AU12" s="143" t="s">
        <v>403</v>
      </c>
      <c r="AV12" s="143" t="s">
        <v>414</v>
      </c>
    </row>
    <row r="13" spans="1:48" ht="15.75" customHeight="1" x14ac:dyDescent="0.25">
      <c r="A13" s="143"/>
      <c r="B13" s="189"/>
      <c r="C13" s="143"/>
      <c r="D13" s="189"/>
      <c r="E13" s="143"/>
      <c r="F13" s="189"/>
      <c r="G13" s="143"/>
      <c r="H13" s="189"/>
      <c r="I13" s="208"/>
      <c r="J13" s="208"/>
      <c r="K13" s="189"/>
      <c r="L13" s="189"/>
      <c r="M13" s="189"/>
      <c r="N13" s="189"/>
      <c r="O13" s="189"/>
      <c r="P13" s="143"/>
      <c r="Q13" s="212" t="s">
        <v>440</v>
      </c>
      <c r="R13" s="143"/>
      <c r="S13" s="189"/>
      <c r="T13" s="143"/>
      <c r="U13" s="189"/>
      <c r="V13" s="143"/>
      <c r="W13" s="205" t="s">
        <v>441</v>
      </c>
      <c r="X13" s="206" t="s">
        <v>140</v>
      </c>
      <c r="Y13" s="206" t="s">
        <v>26</v>
      </c>
      <c r="Z13" s="206"/>
      <c r="AA13" s="206" t="s">
        <v>145</v>
      </c>
      <c r="AB13" s="200" t="s">
        <v>108</v>
      </c>
      <c r="AC13" s="143"/>
      <c r="AD13" s="203">
        <v>501432</v>
      </c>
      <c r="AE13" s="187" t="s">
        <v>336</v>
      </c>
      <c r="AF13" s="24" t="s">
        <v>367</v>
      </c>
      <c r="AG13" s="24" t="s">
        <v>367</v>
      </c>
      <c r="AH13" s="24" t="s">
        <v>367</v>
      </c>
      <c r="AK13" s="143"/>
      <c r="AL13" s="143"/>
      <c r="AM13" s="143"/>
      <c r="AN13" s="143"/>
      <c r="AO13" s="143"/>
      <c r="AP13" s="143"/>
      <c r="AQ13" s="143"/>
      <c r="AR13" s="143"/>
      <c r="AS13" s="143">
        <f>10/20</f>
        <v>0.5</v>
      </c>
      <c r="AT13" s="143">
        <f>13/20</f>
        <v>0.65</v>
      </c>
      <c r="AU13" s="143">
        <f>17/20</f>
        <v>0.85</v>
      </c>
      <c r="AV13" s="143"/>
    </row>
    <row r="14" spans="1:48" ht="15.75" customHeight="1" x14ac:dyDescent="0.25">
      <c r="A14" s="143"/>
      <c r="B14" s="189"/>
      <c r="C14" s="143"/>
      <c r="D14" s="189"/>
      <c r="E14" s="143"/>
      <c r="F14" s="189"/>
      <c r="G14" s="143"/>
      <c r="H14" s="189"/>
      <c r="I14" s="208"/>
      <c r="J14" s="208"/>
      <c r="K14" s="189"/>
      <c r="L14" s="189"/>
      <c r="M14" s="189"/>
      <c r="N14" s="189"/>
      <c r="O14" s="189"/>
      <c r="P14" s="143"/>
      <c r="Q14" s="213" t="s">
        <v>433</v>
      </c>
      <c r="R14" s="143"/>
      <c r="S14" s="189"/>
      <c r="T14" s="143"/>
      <c r="U14" s="189"/>
      <c r="V14" s="143"/>
      <c r="W14" s="205" t="s">
        <v>442</v>
      </c>
      <c r="X14" s="206" t="s">
        <v>167</v>
      </c>
      <c r="Y14" s="206" t="s">
        <v>38</v>
      </c>
      <c r="Z14" s="206"/>
      <c r="AA14" s="206" t="s">
        <v>147</v>
      </c>
      <c r="AB14" s="200" t="s">
        <v>151</v>
      </c>
      <c r="AC14" s="143"/>
      <c r="AD14" s="203" t="s">
        <v>443</v>
      </c>
      <c r="AE14" s="187" t="s">
        <v>336</v>
      </c>
      <c r="AF14" s="24" t="s">
        <v>367</v>
      </c>
      <c r="AG14" s="24" t="s">
        <v>367</v>
      </c>
      <c r="AH14" s="24" t="s">
        <v>367</v>
      </c>
      <c r="AR14" s="24">
        <v>50</v>
      </c>
      <c r="AS14" s="24">
        <f t="shared" ref="AS14:AU14" si="1">AS13*$AR14</f>
        <v>25</v>
      </c>
      <c r="AT14" s="24">
        <f t="shared" si="1"/>
        <v>32.5</v>
      </c>
      <c r="AU14" s="24">
        <f t="shared" si="1"/>
        <v>42.5</v>
      </c>
    </row>
    <row r="15" spans="1:48" ht="15.75" customHeight="1" x14ac:dyDescent="0.25">
      <c r="A15" s="143"/>
      <c r="B15" s="189"/>
      <c r="C15" s="143"/>
      <c r="D15" s="189"/>
      <c r="E15" s="143"/>
      <c r="F15" s="189"/>
      <c r="G15" s="143"/>
      <c r="H15" s="189"/>
      <c r="I15" s="208"/>
      <c r="J15" s="208"/>
      <c r="K15" s="189"/>
      <c r="L15" s="189"/>
      <c r="M15" s="189"/>
      <c r="N15" s="189"/>
      <c r="O15" s="189"/>
      <c r="P15" s="143"/>
      <c r="Q15" s="213" t="s">
        <v>435</v>
      </c>
      <c r="R15" s="143"/>
      <c r="S15" s="189"/>
      <c r="T15" s="143"/>
      <c r="U15" s="189"/>
      <c r="V15" s="143"/>
      <c r="W15" s="205" t="s">
        <v>443</v>
      </c>
      <c r="X15" s="206" t="s">
        <v>158</v>
      </c>
      <c r="Y15" s="206" t="s">
        <v>30</v>
      </c>
      <c r="Z15" s="206"/>
      <c r="AA15" s="206" t="s">
        <v>149</v>
      </c>
      <c r="AB15" s="200" t="s">
        <v>109</v>
      </c>
      <c r="AC15" s="143"/>
      <c r="AD15" s="203" t="s">
        <v>444</v>
      </c>
      <c r="AE15" s="187" t="s">
        <v>336</v>
      </c>
      <c r="AF15" s="24" t="s">
        <v>367</v>
      </c>
      <c r="AG15" s="24" t="s">
        <v>367</v>
      </c>
      <c r="AH15" s="24" t="s">
        <v>367</v>
      </c>
    </row>
    <row r="16" spans="1:48" ht="15.75" customHeight="1" x14ac:dyDescent="0.25">
      <c r="A16" s="143"/>
      <c r="B16" s="189"/>
      <c r="C16" s="143"/>
      <c r="D16" s="189"/>
      <c r="E16" s="143"/>
      <c r="F16" s="189"/>
      <c r="G16" s="143"/>
      <c r="H16" s="189"/>
      <c r="I16" s="208"/>
      <c r="J16" s="208"/>
      <c r="K16" s="189"/>
      <c r="L16" s="189"/>
      <c r="M16" s="189"/>
      <c r="N16" s="189"/>
      <c r="O16" s="189"/>
      <c r="P16" s="143"/>
      <c r="Q16" s="208"/>
      <c r="R16" s="143"/>
      <c r="S16" s="189"/>
      <c r="T16" s="143"/>
      <c r="U16" s="189"/>
      <c r="V16" s="143"/>
      <c r="W16" s="205" t="s">
        <v>444</v>
      </c>
      <c r="X16" s="206" t="s">
        <v>166</v>
      </c>
      <c r="Y16" s="206" t="s">
        <v>36</v>
      </c>
      <c r="Z16" s="206"/>
      <c r="AA16" s="206" t="s">
        <v>146</v>
      </c>
      <c r="AB16" s="200" t="s">
        <v>178</v>
      </c>
      <c r="AC16" s="143"/>
      <c r="AD16" s="203" t="s">
        <v>445</v>
      </c>
      <c r="AE16" s="187" t="s">
        <v>336</v>
      </c>
      <c r="AF16" s="24" t="s">
        <v>367</v>
      </c>
      <c r="AG16" s="24" t="s">
        <v>400</v>
      </c>
      <c r="AH16" s="24" t="s">
        <v>400</v>
      </c>
    </row>
    <row r="17" spans="1:40" ht="15.75" customHeight="1" x14ac:dyDescent="0.25">
      <c r="A17" s="143"/>
      <c r="B17" s="189"/>
      <c r="C17" s="143"/>
      <c r="D17" s="189"/>
      <c r="E17" s="143"/>
      <c r="F17" s="189"/>
      <c r="G17" s="143"/>
      <c r="H17" s="189"/>
      <c r="I17" s="208"/>
      <c r="J17" s="208"/>
      <c r="K17" s="189"/>
      <c r="L17" s="189"/>
      <c r="M17" s="189"/>
      <c r="N17" s="189"/>
      <c r="O17" s="189"/>
      <c r="P17" s="143"/>
      <c r="Q17" s="208"/>
      <c r="R17" s="143"/>
      <c r="S17" s="189"/>
      <c r="T17" s="143"/>
      <c r="U17" s="189"/>
      <c r="V17" s="143"/>
      <c r="W17" s="205" t="s">
        <v>445</v>
      </c>
      <c r="X17" s="206" t="s">
        <v>164</v>
      </c>
      <c r="Y17" s="206" t="s">
        <v>21</v>
      </c>
      <c r="Z17" s="206"/>
      <c r="AA17" s="206" t="s">
        <v>446</v>
      </c>
      <c r="AB17" s="200" t="s">
        <v>288</v>
      </c>
      <c r="AC17" s="143"/>
      <c r="AD17" s="203" t="s">
        <v>447</v>
      </c>
      <c r="AE17" s="187" t="s">
        <v>336</v>
      </c>
      <c r="AF17" s="24" t="s">
        <v>367</v>
      </c>
      <c r="AG17" s="24" t="s">
        <v>367</v>
      </c>
      <c r="AH17" s="24" t="s">
        <v>367</v>
      </c>
    </row>
    <row r="18" spans="1:40" ht="15.75" customHeight="1" x14ac:dyDescent="0.25">
      <c r="A18" s="143"/>
      <c r="B18" s="189"/>
      <c r="C18" s="143"/>
      <c r="D18" s="189"/>
      <c r="E18" s="143"/>
      <c r="F18" s="189"/>
      <c r="G18" s="143"/>
      <c r="H18" s="207"/>
      <c r="I18" s="208"/>
      <c r="J18" s="208"/>
      <c r="K18" s="207"/>
      <c r="L18" s="207"/>
      <c r="M18" s="207"/>
      <c r="N18" s="207"/>
      <c r="O18" s="207"/>
      <c r="P18" s="143"/>
      <c r="Q18" s="208"/>
      <c r="R18" s="143"/>
      <c r="S18" s="189"/>
      <c r="T18" s="143"/>
      <c r="U18" s="189"/>
      <c r="V18" s="143"/>
      <c r="W18" s="205" t="s">
        <v>447</v>
      </c>
      <c r="X18" s="206" t="s">
        <v>138</v>
      </c>
      <c r="Y18" s="206" t="s">
        <v>29</v>
      </c>
      <c r="Z18" s="206"/>
      <c r="AA18" s="206" t="s">
        <v>448</v>
      </c>
      <c r="AB18" s="200"/>
      <c r="AC18" s="143"/>
      <c r="AD18" s="203" t="s">
        <v>173</v>
      </c>
      <c r="AE18" s="187" t="s">
        <v>336</v>
      </c>
      <c r="AF18" s="24" t="s">
        <v>367</v>
      </c>
      <c r="AG18" s="24" t="s">
        <v>367</v>
      </c>
      <c r="AH18" s="24" t="s">
        <v>367</v>
      </c>
    </row>
    <row r="19" spans="1:40" x14ac:dyDescent="0.3">
      <c r="A19" s="143"/>
      <c r="B19" s="189"/>
      <c r="C19" s="143"/>
      <c r="D19" s="189"/>
      <c r="E19" s="143"/>
      <c r="F19" s="189"/>
      <c r="G19" s="143"/>
      <c r="H19" s="207"/>
      <c r="I19" s="208"/>
      <c r="J19" s="208"/>
      <c r="K19" s="207"/>
      <c r="L19" s="207"/>
      <c r="M19" s="207"/>
      <c r="N19" s="207"/>
      <c r="O19" s="207"/>
      <c r="P19" s="143"/>
      <c r="Q19" s="208"/>
      <c r="R19" s="143"/>
      <c r="S19" s="189"/>
      <c r="T19" s="143"/>
      <c r="U19" s="189"/>
      <c r="V19" s="143"/>
      <c r="W19" s="205" t="s">
        <v>173</v>
      </c>
      <c r="X19" s="206" t="s">
        <v>159</v>
      </c>
      <c r="Y19" s="206"/>
      <c r="Z19" s="206"/>
      <c r="AA19" s="206" t="s">
        <v>449</v>
      </c>
      <c r="AB19" s="200"/>
      <c r="AC19" s="143"/>
      <c r="AD19" s="203">
        <v>50536</v>
      </c>
      <c r="AE19" s="187" t="s">
        <v>336</v>
      </c>
      <c r="AF19" s="24" t="s">
        <v>367</v>
      </c>
      <c r="AG19" s="24" t="s">
        <v>367</v>
      </c>
      <c r="AH19" s="24" t="s">
        <v>367</v>
      </c>
      <c r="AL19" s="78" t="s">
        <v>300</v>
      </c>
      <c r="AM19" s="78" t="s">
        <v>450</v>
      </c>
      <c r="AN19" s="78" t="s">
        <v>451</v>
      </c>
    </row>
    <row r="20" spans="1:40" ht="15.75" customHeight="1" x14ac:dyDescent="0.25">
      <c r="A20" s="143"/>
      <c r="B20" s="189"/>
      <c r="C20" s="143"/>
      <c r="D20" s="189"/>
      <c r="E20" s="143"/>
      <c r="F20" s="189"/>
      <c r="G20" s="143"/>
      <c r="H20" s="207"/>
      <c r="I20" s="208"/>
      <c r="J20" s="208"/>
      <c r="K20" s="207"/>
      <c r="L20" s="207"/>
      <c r="M20" s="207"/>
      <c r="N20" s="207"/>
      <c r="O20" s="207"/>
      <c r="P20" s="143"/>
      <c r="Q20" s="208"/>
      <c r="R20" s="143"/>
      <c r="S20" s="189"/>
      <c r="T20" s="143"/>
      <c r="U20" s="189"/>
      <c r="V20" s="143"/>
      <c r="W20" s="205" t="s">
        <v>452</v>
      </c>
      <c r="X20" s="206" t="s">
        <v>155</v>
      </c>
      <c r="Y20" s="206"/>
      <c r="Z20" s="206"/>
      <c r="AA20" s="206"/>
      <c r="AB20" s="200"/>
      <c r="AC20" s="143"/>
      <c r="AD20" s="203">
        <v>50715</v>
      </c>
      <c r="AE20" s="187" t="s">
        <v>336</v>
      </c>
      <c r="AF20" s="24" t="s">
        <v>367</v>
      </c>
      <c r="AG20" s="24" t="s">
        <v>367</v>
      </c>
      <c r="AH20" s="24" t="s">
        <v>367</v>
      </c>
      <c r="AL20" s="24" t="s">
        <v>308</v>
      </c>
      <c r="AM20" s="24" t="s">
        <v>453</v>
      </c>
      <c r="AN20" s="24" t="s">
        <v>454</v>
      </c>
    </row>
    <row r="21" spans="1:40" ht="15.75" customHeight="1" x14ac:dyDescent="0.25">
      <c r="A21" s="143"/>
      <c r="B21" s="189"/>
      <c r="C21" s="143"/>
      <c r="D21" s="189"/>
      <c r="E21" s="143"/>
      <c r="F21" s="189"/>
      <c r="G21" s="143"/>
      <c r="H21" s="189"/>
      <c r="I21" s="208"/>
      <c r="J21" s="208"/>
      <c r="K21" s="189"/>
      <c r="L21" s="189"/>
      <c r="M21" s="189"/>
      <c r="N21" s="189"/>
      <c r="O21" s="189"/>
      <c r="P21" s="143"/>
      <c r="Q21" s="208"/>
      <c r="R21" s="143"/>
      <c r="S21" s="189"/>
      <c r="T21" s="143"/>
      <c r="U21" s="189"/>
      <c r="V21" s="143"/>
      <c r="W21" s="205" t="s">
        <v>455</v>
      </c>
      <c r="X21" s="206" t="s">
        <v>156</v>
      </c>
      <c r="Y21" s="206"/>
      <c r="Z21" s="206"/>
      <c r="AA21" s="206"/>
      <c r="AB21" s="200"/>
      <c r="AC21" s="143"/>
      <c r="AD21" s="203">
        <v>50912</v>
      </c>
      <c r="AE21" s="187" t="s">
        <v>336</v>
      </c>
      <c r="AF21" s="24" t="s">
        <v>367</v>
      </c>
      <c r="AG21" s="24" t="s">
        <v>367</v>
      </c>
      <c r="AH21" s="24" t="s">
        <v>367</v>
      </c>
      <c r="AL21" s="24" t="s">
        <v>307</v>
      </c>
      <c r="AM21" s="24" t="s">
        <v>456</v>
      </c>
      <c r="AN21" s="24" t="s">
        <v>457</v>
      </c>
    </row>
    <row r="22" spans="1:40" ht="15.75" customHeight="1" x14ac:dyDescent="0.25">
      <c r="A22" s="143"/>
      <c r="B22" s="214"/>
      <c r="C22" s="143"/>
      <c r="D22" s="214"/>
      <c r="E22" s="143"/>
      <c r="F22" s="214"/>
      <c r="G22" s="143"/>
      <c r="H22" s="214"/>
      <c r="I22" s="215"/>
      <c r="J22" s="215"/>
      <c r="K22" s="214"/>
      <c r="L22" s="214"/>
      <c r="M22" s="214"/>
      <c r="N22" s="214"/>
      <c r="O22" s="214"/>
      <c r="P22" s="143"/>
      <c r="Q22" s="215"/>
      <c r="R22" s="143"/>
      <c r="S22" s="214"/>
      <c r="T22" s="143"/>
      <c r="U22" s="214"/>
      <c r="V22" s="143"/>
      <c r="W22" s="205" t="s">
        <v>458</v>
      </c>
      <c r="X22" s="206" t="s">
        <v>162</v>
      </c>
      <c r="Y22" s="206"/>
      <c r="Z22" s="206"/>
      <c r="AA22" s="206"/>
      <c r="AB22" s="200"/>
      <c r="AC22" s="143"/>
      <c r="AD22" s="203" t="s">
        <v>208</v>
      </c>
      <c r="AE22" s="187" t="s">
        <v>338</v>
      </c>
      <c r="AF22" s="24" t="s">
        <v>367</v>
      </c>
      <c r="AG22" s="24" t="s">
        <v>367</v>
      </c>
      <c r="AH22" s="24" t="s">
        <v>367</v>
      </c>
      <c r="AL22" s="24" t="s">
        <v>459</v>
      </c>
      <c r="AM22" s="24" t="s">
        <v>460</v>
      </c>
      <c r="AN22" s="24" t="s">
        <v>461</v>
      </c>
    </row>
    <row r="23" spans="1:40" ht="15.75" customHeight="1" x14ac:dyDescent="0.25">
      <c r="W23" s="205" t="s">
        <v>208</v>
      </c>
      <c r="X23" s="206" t="s">
        <v>160</v>
      </c>
      <c r="Y23" s="206"/>
      <c r="Z23" s="206"/>
      <c r="AA23" s="206"/>
      <c r="AB23" s="200"/>
      <c r="AD23" s="187">
        <v>60133</v>
      </c>
      <c r="AE23" s="187" t="s">
        <v>338</v>
      </c>
      <c r="AF23" s="24" t="s">
        <v>367</v>
      </c>
      <c r="AG23" s="24" t="s">
        <v>367</v>
      </c>
      <c r="AH23" s="24" t="s">
        <v>367</v>
      </c>
      <c r="AL23" s="24" t="s">
        <v>462</v>
      </c>
      <c r="AM23" s="24" t="s">
        <v>463</v>
      </c>
      <c r="AN23" s="24" t="s">
        <v>464</v>
      </c>
    </row>
    <row r="24" spans="1:40" ht="12.5" x14ac:dyDescent="0.25">
      <c r="W24" s="205"/>
      <c r="X24" s="206" t="s">
        <v>65</v>
      </c>
      <c r="Y24" s="206"/>
      <c r="Z24" s="206"/>
      <c r="AA24" s="206"/>
      <c r="AB24" s="200"/>
      <c r="AD24" s="187">
        <v>60136</v>
      </c>
      <c r="AE24" s="187" t="s">
        <v>338</v>
      </c>
      <c r="AF24" s="24" t="s">
        <v>367</v>
      </c>
      <c r="AG24" s="24" t="s">
        <v>400</v>
      </c>
      <c r="AH24" s="24" t="s">
        <v>400</v>
      </c>
    </row>
    <row r="25" spans="1:40" ht="12.5" x14ac:dyDescent="0.25">
      <c r="W25" s="205"/>
      <c r="X25" s="206"/>
      <c r="Y25" s="206"/>
      <c r="Z25" s="206"/>
      <c r="AA25" s="206"/>
      <c r="AB25" s="200"/>
      <c r="AD25" s="187">
        <v>60181</v>
      </c>
      <c r="AE25" s="187" t="s">
        <v>338</v>
      </c>
      <c r="AF25" s="24" t="s">
        <v>367</v>
      </c>
      <c r="AG25" s="24" t="s">
        <v>400</v>
      </c>
      <c r="AH25" s="24" t="s">
        <v>400</v>
      </c>
    </row>
    <row r="26" spans="1:40" ht="12.5" x14ac:dyDescent="0.25">
      <c r="W26" s="205"/>
      <c r="X26" s="206"/>
      <c r="Y26" s="206"/>
      <c r="Z26" s="206"/>
      <c r="AA26" s="206"/>
      <c r="AB26" s="200"/>
      <c r="AD26" s="187">
        <v>601330</v>
      </c>
      <c r="AE26" s="187" t="s">
        <v>338</v>
      </c>
      <c r="AF26" s="24" t="s">
        <v>367</v>
      </c>
      <c r="AG26" s="24" t="s">
        <v>400</v>
      </c>
      <c r="AH26" s="24" t="s">
        <v>400</v>
      </c>
    </row>
    <row r="27" spans="1:40" ht="12.5" x14ac:dyDescent="0.25">
      <c r="H27" s="24" t="s">
        <v>304</v>
      </c>
      <c r="W27" s="205"/>
      <c r="X27" s="206"/>
      <c r="Y27" s="206"/>
      <c r="Z27" s="206"/>
      <c r="AA27" s="206"/>
      <c r="AB27" s="200"/>
      <c r="AD27" s="203">
        <v>601331</v>
      </c>
      <c r="AE27" s="187" t="s">
        <v>338</v>
      </c>
      <c r="AF27" s="24" t="s">
        <v>367</v>
      </c>
      <c r="AG27" s="24" t="s">
        <v>367</v>
      </c>
      <c r="AH27" s="24" t="s">
        <v>367</v>
      </c>
    </row>
    <row r="28" spans="1:40" ht="12.5" x14ac:dyDescent="0.25">
      <c r="H28" s="24" t="s">
        <v>384</v>
      </c>
      <c r="W28" s="205"/>
      <c r="X28" s="206"/>
      <c r="Y28" s="206"/>
      <c r="Z28" s="206"/>
      <c r="AA28" s="206"/>
      <c r="AB28" s="200"/>
      <c r="AD28" s="203">
        <v>601391</v>
      </c>
      <c r="AE28" s="187" t="s">
        <v>338</v>
      </c>
      <c r="AF28" s="24" t="s">
        <v>367</v>
      </c>
      <c r="AG28" s="24" t="s">
        <v>400</v>
      </c>
      <c r="AH28" s="24" t="s">
        <v>400</v>
      </c>
    </row>
    <row r="29" spans="1:40" ht="12.5" x14ac:dyDescent="0.25">
      <c r="H29" s="24" t="s">
        <v>395</v>
      </c>
      <c r="W29" s="205"/>
      <c r="X29" s="206"/>
      <c r="Y29" s="206"/>
      <c r="Z29" s="206"/>
      <c r="AA29" s="206"/>
      <c r="AB29" s="200"/>
      <c r="AD29" s="203">
        <v>601444</v>
      </c>
      <c r="AE29" s="187" t="s">
        <v>338</v>
      </c>
      <c r="AF29" s="24" t="s">
        <v>367</v>
      </c>
      <c r="AG29" s="24" t="s">
        <v>400</v>
      </c>
      <c r="AH29" s="24" t="s">
        <v>400</v>
      </c>
    </row>
    <row r="30" spans="1:40" ht="12.5" x14ac:dyDescent="0.25">
      <c r="H30" s="24" t="s">
        <v>406</v>
      </c>
      <c r="W30" s="205"/>
      <c r="X30" s="206"/>
      <c r="Y30" s="206"/>
      <c r="Z30" s="206"/>
      <c r="AA30" s="206"/>
      <c r="AB30" s="200"/>
      <c r="AD30" s="203">
        <v>601448</v>
      </c>
      <c r="AE30" s="187" t="s">
        <v>338</v>
      </c>
      <c r="AF30" s="24" t="s">
        <v>367</v>
      </c>
      <c r="AG30" s="24" t="s">
        <v>367</v>
      </c>
      <c r="AH30" s="24" t="s">
        <v>367</v>
      </c>
    </row>
    <row r="31" spans="1:40" ht="12.5" x14ac:dyDescent="0.25">
      <c r="H31" s="24" t="s">
        <v>427</v>
      </c>
      <c r="W31" s="205"/>
      <c r="X31" s="206"/>
      <c r="Y31" s="206"/>
      <c r="Z31" s="206"/>
      <c r="AA31" s="206"/>
      <c r="AB31" s="200"/>
      <c r="AD31" s="203">
        <v>601511</v>
      </c>
      <c r="AE31" s="187" t="s">
        <v>338</v>
      </c>
      <c r="AF31" s="24" t="s">
        <v>367</v>
      </c>
      <c r="AG31" s="24" t="s">
        <v>400</v>
      </c>
      <c r="AH31" s="24" t="s">
        <v>400</v>
      </c>
    </row>
    <row r="32" spans="1:40" ht="12.5" x14ac:dyDescent="0.25">
      <c r="H32" s="24" t="s">
        <v>417</v>
      </c>
      <c r="W32" s="205"/>
      <c r="X32" s="206"/>
      <c r="Y32" s="206"/>
      <c r="Z32" s="206"/>
      <c r="AA32" s="206"/>
      <c r="AB32" s="200"/>
      <c r="AD32" s="203">
        <v>601514</v>
      </c>
      <c r="AE32" s="187" t="s">
        <v>338</v>
      </c>
      <c r="AF32" s="24" t="s">
        <v>367</v>
      </c>
      <c r="AG32" s="24" t="s">
        <v>367</v>
      </c>
      <c r="AH32" s="24" t="s">
        <v>367</v>
      </c>
    </row>
    <row r="33" spans="23:34" ht="12.5" x14ac:dyDescent="0.25">
      <c r="W33" s="205"/>
      <c r="X33" s="206"/>
      <c r="Y33" s="206"/>
      <c r="Z33" s="206"/>
      <c r="AA33" s="206"/>
      <c r="AB33" s="200"/>
      <c r="AD33" s="203">
        <v>601563</v>
      </c>
      <c r="AE33" s="187" t="s">
        <v>338</v>
      </c>
      <c r="AF33" s="24" t="s">
        <v>367</v>
      </c>
      <c r="AG33" s="24" t="s">
        <v>400</v>
      </c>
      <c r="AH33" s="24" t="s">
        <v>400</v>
      </c>
    </row>
    <row r="34" spans="23:34" ht="12.5" x14ac:dyDescent="0.25">
      <c r="W34" s="205"/>
      <c r="X34" s="206"/>
      <c r="Y34" s="206"/>
      <c r="Z34" s="206"/>
      <c r="AA34" s="206"/>
      <c r="AB34" s="200"/>
      <c r="AD34" s="203">
        <v>601570</v>
      </c>
      <c r="AE34" s="187" t="s">
        <v>338</v>
      </c>
      <c r="AF34" s="24" t="s">
        <v>367</v>
      </c>
      <c r="AG34" s="24" t="s">
        <v>400</v>
      </c>
      <c r="AH34" s="24" t="s">
        <v>400</v>
      </c>
    </row>
    <row r="35" spans="23:34" ht="12.5" x14ac:dyDescent="0.25">
      <c r="W35" s="205"/>
      <c r="X35" s="206"/>
      <c r="Y35" s="206"/>
      <c r="Z35" s="206"/>
      <c r="AA35" s="206"/>
      <c r="AB35" s="200"/>
      <c r="AD35" s="203">
        <v>601571</v>
      </c>
      <c r="AE35" s="187" t="s">
        <v>338</v>
      </c>
      <c r="AF35" s="24" t="s">
        <v>367</v>
      </c>
      <c r="AG35" s="24" t="s">
        <v>400</v>
      </c>
      <c r="AH35" s="24" t="s">
        <v>400</v>
      </c>
    </row>
    <row r="36" spans="23:34" ht="12.5" x14ac:dyDescent="0.25">
      <c r="W36" s="205"/>
      <c r="X36" s="206"/>
      <c r="Y36" s="206"/>
      <c r="Z36" s="206"/>
      <c r="AA36" s="206"/>
      <c r="AB36" s="200"/>
      <c r="AD36" s="203">
        <v>601580</v>
      </c>
      <c r="AE36" s="187" t="s">
        <v>338</v>
      </c>
      <c r="AF36" s="24" t="s">
        <v>367</v>
      </c>
      <c r="AG36" s="24" t="s">
        <v>400</v>
      </c>
      <c r="AH36" s="24" t="s">
        <v>400</v>
      </c>
    </row>
    <row r="37" spans="23:34" ht="12.5" x14ac:dyDescent="0.25">
      <c r="W37" s="205"/>
      <c r="X37" s="206"/>
      <c r="Y37" s="206"/>
      <c r="Z37" s="206"/>
      <c r="AA37" s="206"/>
      <c r="AB37" s="200"/>
      <c r="AD37" s="203">
        <v>601614</v>
      </c>
      <c r="AE37" s="187" t="s">
        <v>338</v>
      </c>
      <c r="AF37" s="24" t="s">
        <v>367</v>
      </c>
      <c r="AG37" s="24" t="s">
        <v>367</v>
      </c>
      <c r="AH37" s="24" t="s">
        <v>367</v>
      </c>
    </row>
    <row r="38" spans="23:34" ht="12.5" x14ac:dyDescent="0.25">
      <c r="W38" s="205"/>
      <c r="X38" s="206"/>
      <c r="Y38" s="206"/>
      <c r="Z38" s="206"/>
      <c r="AA38" s="206"/>
      <c r="AB38" s="200"/>
      <c r="AD38" s="203">
        <v>601678</v>
      </c>
      <c r="AE38" s="187" t="s">
        <v>338</v>
      </c>
      <c r="AF38" s="24" t="s">
        <v>367</v>
      </c>
      <c r="AG38" s="24" t="s">
        <v>400</v>
      </c>
      <c r="AH38" s="24" t="s">
        <v>400</v>
      </c>
    </row>
    <row r="39" spans="23:34" ht="12.5" x14ac:dyDescent="0.25">
      <c r="W39" s="205"/>
      <c r="X39" s="206"/>
      <c r="Y39" s="206"/>
      <c r="Z39" s="206"/>
      <c r="AA39" s="206"/>
      <c r="AB39" s="200"/>
      <c r="AD39" s="203">
        <v>6010102</v>
      </c>
      <c r="AE39" s="187" t="s">
        <v>338</v>
      </c>
      <c r="AF39" s="24" t="s">
        <v>367</v>
      </c>
      <c r="AG39" s="24" t="s">
        <v>400</v>
      </c>
      <c r="AH39" s="24" t="s">
        <v>400</v>
      </c>
    </row>
    <row r="40" spans="23:34" ht="12.5" x14ac:dyDescent="0.25">
      <c r="W40" s="205"/>
      <c r="X40" s="206"/>
      <c r="Y40" s="206"/>
      <c r="Z40" s="206"/>
      <c r="AA40" s="206"/>
      <c r="AB40" s="200"/>
      <c r="AD40" s="203">
        <v>6010178</v>
      </c>
      <c r="AE40" s="187" t="s">
        <v>338</v>
      </c>
      <c r="AF40" s="24" t="s">
        <v>367</v>
      </c>
      <c r="AG40" s="24" t="s">
        <v>400</v>
      </c>
      <c r="AH40" s="24" t="s">
        <v>400</v>
      </c>
    </row>
    <row r="41" spans="23:34" ht="12.5" x14ac:dyDescent="0.25">
      <c r="W41" s="205"/>
      <c r="X41" s="206"/>
      <c r="Y41" s="206"/>
      <c r="Z41" s="206"/>
      <c r="AA41" s="206"/>
      <c r="AB41" s="200"/>
      <c r="AD41" s="203">
        <v>6010231</v>
      </c>
      <c r="AE41" s="187" t="s">
        <v>338</v>
      </c>
      <c r="AF41" s="24" t="s">
        <v>367</v>
      </c>
      <c r="AG41" s="24" t="s">
        <v>367</v>
      </c>
      <c r="AH41" s="24" t="s">
        <v>367</v>
      </c>
    </row>
    <row r="42" spans="23:34" ht="12.5" x14ac:dyDescent="0.25">
      <c r="W42" s="205"/>
      <c r="X42" s="206"/>
      <c r="Y42" s="206"/>
      <c r="Z42" s="206"/>
      <c r="AA42" s="206"/>
      <c r="AB42" s="200"/>
      <c r="AD42" s="203" t="s">
        <v>160</v>
      </c>
      <c r="AE42" s="187" t="s">
        <v>338</v>
      </c>
      <c r="AF42" s="24" t="s">
        <v>367</v>
      </c>
      <c r="AG42" s="24" t="s">
        <v>367</v>
      </c>
      <c r="AH42" s="24" t="s">
        <v>367</v>
      </c>
    </row>
    <row r="43" spans="23:34" ht="12.5" x14ac:dyDescent="0.25">
      <c r="W43" s="216"/>
      <c r="X43" s="217"/>
      <c r="Y43" s="217"/>
      <c r="Z43" s="217"/>
      <c r="AA43" s="217"/>
      <c r="AB43" s="218"/>
      <c r="AD43" s="203" t="s">
        <v>65</v>
      </c>
      <c r="AE43" s="187" t="s">
        <v>338</v>
      </c>
      <c r="AF43" s="24" t="s">
        <v>367</v>
      </c>
      <c r="AG43" s="24" t="s">
        <v>367</v>
      </c>
      <c r="AH43" s="24" t="s">
        <v>367</v>
      </c>
    </row>
    <row r="44" spans="23:34" ht="12.5" x14ac:dyDescent="0.25">
      <c r="W44" s="216"/>
      <c r="X44" s="217"/>
      <c r="Y44" s="217"/>
      <c r="Z44" s="217"/>
      <c r="AA44" s="217"/>
      <c r="AB44" s="218"/>
      <c r="AD44" s="203">
        <v>14045</v>
      </c>
      <c r="AE44" s="187" t="s">
        <v>340</v>
      </c>
      <c r="AF44" s="24" t="s">
        <v>367</v>
      </c>
      <c r="AG44" s="24" t="s">
        <v>367</v>
      </c>
      <c r="AH44" s="24" t="s">
        <v>367</v>
      </c>
    </row>
    <row r="45" spans="23:34" ht="12.5" x14ac:dyDescent="0.25">
      <c r="W45" s="216"/>
      <c r="X45" s="217"/>
      <c r="Y45" s="217"/>
      <c r="Z45" s="217"/>
      <c r="AA45" s="217"/>
      <c r="AB45" s="218"/>
      <c r="AD45" s="203">
        <v>14141</v>
      </c>
      <c r="AE45" s="187" t="s">
        <v>340</v>
      </c>
      <c r="AF45" s="24" t="s">
        <v>367</v>
      </c>
      <c r="AG45" s="24" t="s">
        <v>367</v>
      </c>
      <c r="AH45" s="24" t="s">
        <v>367</v>
      </c>
    </row>
    <row r="46" spans="23:34" ht="12.5" x14ac:dyDescent="0.25">
      <c r="W46" s="219"/>
      <c r="X46" s="220"/>
      <c r="Y46" s="220"/>
      <c r="Z46" s="220"/>
      <c r="AA46" s="220"/>
      <c r="AB46" s="221"/>
      <c r="AD46" s="203">
        <v>14894</v>
      </c>
      <c r="AE46" s="187" t="s">
        <v>340</v>
      </c>
      <c r="AF46" s="24" t="s">
        <v>367</v>
      </c>
      <c r="AG46" s="24" t="s">
        <v>367</v>
      </c>
      <c r="AH46" s="24" t="s">
        <v>367</v>
      </c>
    </row>
    <row r="47" spans="23:34" ht="12.5" x14ac:dyDescent="0.25">
      <c r="AD47" s="203">
        <v>14975</v>
      </c>
      <c r="AE47" s="187" t="s">
        <v>340</v>
      </c>
      <c r="AF47" s="24" t="s">
        <v>367</v>
      </c>
      <c r="AG47" s="24" t="s">
        <v>367</v>
      </c>
      <c r="AH47" s="24" t="s">
        <v>367</v>
      </c>
    </row>
    <row r="48" spans="23:34" ht="12.5" x14ac:dyDescent="0.25">
      <c r="AD48" s="203">
        <v>15219</v>
      </c>
      <c r="AE48" s="187" t="s">
        <v>340</v>
      </c>
      <c r="AF48" s="24" t="s">
        <v>367</v>
      </c>
      <c r="AG48" s="24" t="s">
        <v>367</v>
      </c>
      <c r="AH48" s="24" t="s">
        <v>367</v>
      </c>
    </row>
    <row r="49" spans="30:34" ht="12.5" x14ac:dyDescent="0.25">
      <c r="AD49" s="203">
        <v>15220</v>
      </c>
      <c r="AE49" s="187" t="s">
        <v>340</v>
      </c>
      <c r="AF49" s="24" t="s">
        <v>367</v>
      </c>
      <c r="AG49" s="24" t="s">
        <v>367</v>
      </c>
      <c r="AH49" s="24" t="s">
        <v>367</v>
      </c>
    </row>
    <row r="50" spans="30:34" ht="12.5" x14ac:dyDescent="0.25">
      <c r="AD50" s="203">
        <v>15304</v>
      </c>
      <c r="AE50" s="187" t="s">
        <v>340</v>
      </c>
      <c r="AF50" s="24" t="s">
        <v>367</v>
      </c>
      <c r="AG50" s="24" t="s">
        <v>367</v>
      </c>
      <c r="AH50" s="24" t="s">
        <v>367</v>
      </c>
    </row>
    <row r="51" spans="30:34" ht="12.5" x14ac:dyDescent="0.25">
      <c r="AD51" s="203">
        <v>15383</v>
      </c>
      <c r="AE51" s="187" t="s">
        <v>340</v>
      </c>
      <c r="AF51" s="24" t="s">
        <v>367</v>
      </c>
      <c r="AG51" s="24" t="s">
        <v>367</v>
      </c>
      <c r="AH51" s="24" t="s">
        <v>367</v>
      </c>
    </row>
    <row r="52" spans="30:34" ht="12.5" x14ac:dyDescent="0.25">
      <c r="AD52" s="203">
        <v>15478</v>
      </c>
      <c r="AE52" s="187" t="s">
        <v>340</v>
      </c>
      <c r="AF52" s="24" t="s">
        <v>367</v>
      </c>
      <c r="AG52" s="24" t="s">
        <v>367</v>
      </c>
      <c r="AH52" s="24" t="s">
        <v>367</v>
      </c>
    </row>
    <row r="53" spans="30:34" ht="12.5" x14ac:dyDescent="0.25">
      <c r="AD53" s="203">
        <v>20104</v>
      </c>
      <c r="AE53" s="187" t="s">
        <v>340</v>
      </c>
      <c r="AF53" s="24" t="s">
        <v>367</v>
      </c>
      <c r="AG53" s="24" t="s">
        <v>367</v>
      </c>
      <c r="AH53" s="24" t="s">
        <v>367</v>
      </c>
    </row>
    <row r="54" spans="30:34" ht="12.5" x14ac:dyDescent="0.25">
      <c r="AD54" s="203">
        <v>20123</v>
      </c>
      <c r="AE54" s="187" t="s">
        <v>340</v>
      </c>
      <c r="AF54" s="24" t="s">
        <v>367</v>
      </c>
      <c r="AG54" s="24" t="s">
        <v>367</v>
      </c>
      <c r="AH54" s="24" t="s">
        <v>367</v>
      </c>
    </row>
    <row r="55" spans="30:34" ht="12.5" x14ac:dyDescent="0.25">
      <c r="AD55" s="203" t="s">
        <v>30</v>
      </c>
      <c r="AE55" s="187" t="s">
        <v>340</v>
      </c>
      <c r="AF55" s="24" t="s">
        <v>367</v>
      </c>
      <c r="AG55" s="24" t="s">
        <v>367</v>
      </c>
      <c r="AH55" s="24" t="s">
        <v>367</v>
      </c>
    </row>
    <row r="56" spans="30:34" ht="12.5" x14ac:dyDescent="0.25">
      <c r="AD56" s="203" t="s">
        <v>36</v>
      </c>
      <c r="AE56" s="187" t="s">
        <v>340</v>
      </c>
      <c r="AF56" s="24" t="s">
        <v>367</v>
      </c>
      <c r="AG56" s="24" t="s">
        <v>367</v>
      </c>
      <c r="AH56" s="24" t="s">
        <v>367</v>
      </c>
    </row>
    <row r="57" spans="30:34" ht="12.5" x14ac:dyDescent="0.25">
      <c r="AD57" s="203" t="s">
        <v>21</v>
      </c>
      <c r="AE57" s="187" t="s">
        <v>340</v>
      </c>
      <c r="AF57" s="24" t="s">
        <v>367</v>
      </c>
      <c r="AG57" s="24" t="s">
        <v>367</v>
      </c>
      <c r="AH57" s="24" t="s">
        <v>367</v>
      </c>
    </row>
    <row r="58" spans="30:34" ht="12.5" x14ac:dyDescent="0.25">
      <c r="AD58" s="203" t="s">
        <v>29</v>
      </c>
      <c r="AE58" s="187" t="s">
        <v>340</v>
      </c>
      <c r="AF58" s="24" t="s">
        <v>367</v>
      </c>
      <c r="AG58" s="24" t="s">
        <v>367</v>
      </c>
      <c r="AH58" s="24" t="s">
        <v>367</v>
      </c>
    </row>
    <row r="59" spans="30:34" ht="12.5" x14ac:dyDescent="0.25">
      <c r="AD59" s="222">
        <v>86809</v>
      </c>
      <c r="AE59" s="223" t="s">
        <v>341</v>
      </c>
      <c r="AF59" s="24" t="s">
        <v>367</v>
      </c>
      <c r="AG59" s="24" t="s">
        <v>367</v>
      </c>
      <c r="AH59" s="24" t="s">
        <v>367</v>
      </c>
    </row>
    <row r="60" spans="30:34" ht="12.5" x14ac:dyDescent="0.25">
      <c r="AD60" s="222">
        <v>88327</v>
      </c>
      <c r="AE60" s="223" t="s">
        <v>341</v>
      </c>
      <c r="AF60" s="24" t="s">
        <v>367</v>
      </c>
      <c r="AG60" s="24" t="s">
        <v>367</v>
      </c>
      <c r="AH60" s="24" t="s">
        <v>367</v>
      </c>
    </row>
    <row r="61" spans="30:34" ht="12.5" x14ac:dyDescent="0.25">
      <c r="AD61" s="222" t="s">
        <v>169</v>
      </c>
      <c r="AE61" s="223" t="s">
        <v>341</v>
      </c>
      <c r="AF61" s="24" t="s">
        <v>367</v>
      </c>
      <c r="AG61" s="24" t="s">
        <v>367</v>
      </c>
      <c r="AH61" s="24" t="s">
        <v>367</v>
      </c>
    </row>
    <row r="62" spans="30:34" ht="12.5" x14ac:dyDescent="0.25">
      <c r="AD62" s="222" t="s">
        <v>172</v>
      </c>
      <c r="AE62" s="223" t="s">
        <v>341</v>
      </c>
      <c r="AF62" s="24" t="s">
        <v>367</v>
      </c>
      <c r="AG62" s="24" t="s">
        <v>367</v>
      </c>
      <c r="AH62" s="24" t="s">
        <v>367</v>
      </c>
    </row>
    <row r="63" spans="30:34" ht="12.5" x14ac:dyDescent="0.25">
      <c r="AD63" s="224" t="s">
        <v>422</v>
      </c>
      <c r="AE63" s="223" t="s">
        <v>341</v>
      </c>
      <c r="AF63" s="24" t="s">
        <v>367</v>
      </c>
      <c r="AG63" s="24" t="s">
        <v>400</v>
      </c>
      <c r="AH63" s="24" t="s">
        <v>400</v>
      </c>
    </row>
    <row r="64" spans="30:34" ht="12.5" x14ac:dyDescent="0.25">
      <c r="AD64" s="224" t="s">
        <v>171</v>
      </c>
      <c r="AE64" s="223" t="s">
        <v>341</v>
      </c>
      <c r="AF64" s="24" t="s">
        <v>367</v>
      </c>
      <c r="AG64" s="24" t="s">
        <v>367</v>
      </c>
      <c r="AH64" s="24" t="s">
        <v>367</v>
      </c>
    </row>
    <row r="65" spans="30:34" ht="12.5" x14ac:dyDescent="0.25">
      <c r="AD65" s="187">
        <v>64028</v>
      </c>
      <c r="AE65" s="223" t="s">
        <v>342</v>
      </c>
      <c r="AF65" s="24" t="s">
        <v>367</v>
      </c>
      <c r="AG65" s="24" t="s">
        <v>367</v>
      </c>
      <c r="AH65" s="24" t="s">
        <v>367</v>
      </c>
    </row>
    <row r="66" spans="30:34" ht="12.5" x14ac:dyDescent="0.25">
      <c r="AD66" s="187">
        <v>64048</v>
      </c>
      <c r="AE66" s="223" t="s">
        <v>342</v>
      </c>
      <c r="AF66" s="24" t="s">
        <v>367</v>
      </c>
      <c r="AG66" s="24" t="s">
        <v>367</v>
      </c>
      <c r="AH66" s="24" t="s">
        <v>367</v>
      </c>
    </row>
    <row r="67" spans="30:34" ht="12.5" x14ac:dyDescent="0.25">
      <c r="AD67" s="187">
        <v>64115</v>
      </c>
      <c r="AE67" s="223" t="s">
        <v>342</v>
      </c>
      <c r="AF67" s="24" t="s">
        <v>367</v>
      </c>
      <c r="AG67" s="24" t="s">
        <v>367</v>
      </c>
      <c r="AH67" s="24" t="s">
        <v>367</v>
      </c>
    </row>
    <row r="68" spans="30:34" ht="12.5" x14ac:dyDescent="0.25">
      <c r="AD68" s="187">
        <v>64346</v>
      </c>
      <c r="AE68" s="223" t="s">
        <v>342</v>
      </c>
      <c r="AF68" s="24" t="s">
        <v>367</v>
      </c>
      <c r="AG68" s="24" t="s">
        <v>367</v>
      </c>
      <c r="AH68" s="24" t="s">
        <v>367</v>
      </c>
    </row>
    <row r="69" spans="30:34" ht="12.5" x14ac:dyDescent="0.25">
      <c r="AD69" s="203">
        <v>64641</v>
      </c>
      <c r="AE69" s="223" t="s">
        <v>342</v>
      </c>
      <c r="AF69" s="24" t="s">
        <v>367</v>
      </c>
      <c r="AG69" s="24" t="s">
        <v>367</v>
      </c>
      <c r="AH69" s="24" t="s">
        <v>367</v>
      </c>
    </row>
    <row r="70" spans="30:34" ht="12.5" x14ac:dyDescent="0.25">
      <c r="AD70" s="203">
        <v>64829</v>
      </c>
      <c r="AE70" s="223" t="s">
        <v>342</v>
      </c>
      <c r="AF70" s="24" t="s">
        <v>367</v>
      </c>
      <c r="AG70" s="24" t="s">
        <v>367</v>
      </c>
      <c r="AH70" s="24" t="s">
        <v>367</v>
      </c>
    </row>
    <row r="71" spans="30:34" ht="12.5" x14ac:dyDescent="0.25">
      <c r="AD71" s="203">
        <v>64949</v>
      </c>
      <c r="AE71" s="223" t="s">
        <v>342</v>
      </c>
      <c r="AF71" s="24" t="s">
        <v>367</v>
      </c>
      <c r="AG71" s="24" t="s">
        <v>400</v>
      </c>
      <c r="AH71" s="24" t="s">
        <v>400</v>
      </c>
    </row>
    <row r="72" spans="30:34" ht="12.5" x14ac:dyDescent="0.25">
      <c r="AD72" s="203">
        <v>64996</v>
      </c>
      <c r="AE72" s="223" t="s">
        <v>342</v>
      </c>
      <c r="AF72" s="24" t="s">
        <v>367</v>
      </c>
      <c r="AG72" s="24" t="s">
        <v>367</v>
      </c>
      <c r="AH72" s="24" t="s">
        <v>367</v>
      </c>
    </row>
    <row r="73" spans="30:34" ht="12.5" x14ac:dyDescent="0.25">
      <c r="AD73" s="203">
        <v>65199</v>
      </c>
      <c r="AE73" s="223" t="s">
        <v>342</v>
      </c>
      <c r="AF73" s="24" t="s">
        <v>367</v>
      </c>
      <c r="AG73" s="24" t="s">
        <v>367</v>
      </c>
      <c r="AH73" s="24" t="s">
        <v>367</v>
      </c>
    </row>
    <row r="74" spans="30:34" ht="12.5" x14ac:dyDescent="0.25">
      <c r="AD74" s="203" t="s">
        <v>145</v>
      </c>
      <c r="AE74" s="223" t="s">
        <v>342</v>
      </c>
      <c r="AF74" s="24" t="s">
        <v>367</v>
      </c>
      <c r="AG74" s="24" t="s">
        <v>367</v>
      </c>
      <c r="AH74" s="24" t="s">
        <v>367</v>
      </c>
    </row>
    <row r="75" spans="30:34" ht="12.5" x14ac:dyDescent="0.25">
      <c r="AD75" s="203" t="s">
        <v>147</v>
      </c>
      <c r="AE75" s="223" t="s">
        <v>342</v>
      </c>
      <c r="AF75" s="24" t="s">
        <v>367</v>
      </c>
      <c r="AG75" s="24" t="s">
        <v>400</v>
      </c>
      <c r="AH75" s="24" t="s">
        <v>400</v>
      </c>
    </row>
    <row r="76" spans="30:34" ht="12.5" x14ac:dyDescent="0.25">
      <c r="AD76" s="203" t="s">
        <v>149</v>
      </c>
      <c r="AE76" s="223" t="s">
        <v>342</v>
      </c>
      <c r="AF76" s="24" t="s">
        <v>367</v>
      </c>
      <c r="AG76" s="24" t="s">
        <v>367</v>
      </c>
      <c r="AH76" s="24" t="s">
        <v>367</v>
      </c>
    </row>
    <row r="77" spans="30:34" ht="12.5" x14ac:dyDescent="0.25">
      <c r="AD77" s="203" t="s">
        <v>146</v>
      </c>
      <c r="AE77" s="223" t="s">
        <v>342</v>
      </c>
      <c r="AF77" s="24" t="s">
        <v>367</v>
      </c>
      <c r="AG77" s="24" t="s">
        <v>400</v>
      </c>
      <c r="AH77" s="24" t="s">
        <v>400</v>
      </c>
    </row>
    <row r="78" spans="30:34" ht="12.5" x14ac:dyDescent="0.25">
      <c r="AD78" s="203">
        <v>566</v>
      </c>
      <c r="AE78" s="223" t="s">
        <v>342</v>
      </c>
      <c r="AF78" s="24" t="s">
        <v>367</v>
      </c>
      <c r="AG78" s="24" t="s">
        <v>367</v>
      </c>
      <c r="AH78" s="24" t="s">
        <v>367</v>
      </c>
    </row>
    <row r="79" spans="30:34" ht="12.5" x14ac:dyDescent="0.25">
      <c r="AD79" s="203" t="s">
        <v>448</v>
      </c>
      <c r="AE79" s="223" t="s">
        <v>342</v>
      </c>
      <c r="AF79" s="24" t="s">
        <v>367</v>
      </c>
      <c r="AG79" s="24" t="s">
        <v>367</v>
      </c>
      <c r="AH79" s="24" t="s">
        <v>367</v>
      </c>
    </row>
    <row r="80" spans="30:34" ht="12.5" x14ac:dyDescent="0.25">
      <c r="AD80" s="203" t="s">
        <v>449</v>
      </c>
      <c r="AE80" s="223" t="s">
        <v>342</v>
      </c>
      <c r="AF80" s="24" t="s">
        <v>367</v>
      </c>
      <c r="AG80" s="24" t="s">
        <v>367</v>
      </c>
      <c r="AH80" s="24" t="s">
        <v>367</v>
      </c>
    </row>
    <row r="81" spans="30:34" ht="12.5" x14ac:dyDescent="0.25">
      <c r="AD81" s="187">
        <v>36167</v>
      </c>
      <c r="AE81" s="187" t="s">
        <v>343</v>
      </c>
      <c r="AF81" s="24" t="s">
        <v>367</v>
      </c>
      <c r="AG81" s="24" t="s">
        <v>400</v>
      </c>
      <c r="AH81" s="24" t="s">
        <v>400</v>
      </c>
    </row>
    <row r="82" spans="30:34" ht="12.5" x14ac:dyDescent="0.25">
      <c r="AD82" s="203">
        <v>36207</v>
      </c>
      <c r="AE82" s="187" t="s">
        <v>343</v>
      </c>
      <c r="AF82" s="24" t="s">
        <v>367</v>
      </c>
      <c r="AG82" s="24" t="s">
        <v>367</v>
      </c>
      <c r="AH82" s="24" t="s">
        <v>367</v>
      </c>
    </row>
    <row r="83" spans="30:34" ht="12.5" x14ac:dyDescent="0.25">
      <c r="AD83" s="203">
        <v>36831</v>
      </c>
      <c r="AE83" s="187" t="s">
        <v>343</v>
      </c>
      <c r="AF83" s="24" t="s">
        <v>367</v>
      </c>
      <c r="AG83" s="24" t="s">
        <v>400</v>
      </c>
      <c r="AH83" s="24" t="s">
        <v>400</v>
      </c>
    </row>
    <row r="84" spans="30:34" ht="12.5" x14ac:dyDescent="0.25">
      <c r="AD84" s="203" t="s">
        <v>411</v>
      </c>
      <c r="AE84" s="187" t="s">
        <v>343</v>
      </c>
      <c r="AF84" s="24" t="s">
        <v>367</v>
      </c>
      <c r="AG84" s="24" t="s">
        <v>367</v>
      </c>
      <c r="AH84" s="24" t="s">
        <v>367</v>
      </c>
    </row>
    <row r="85" spans="30:34" ht="12.5" x14ac:dyDescent="0.25">
      <c r="AD85" s="203" t="s">
        <v>423</v>
      </c>
      <c r="AE85" s="187" t="s">
        <v>343</v>
      </c>
      <c r="AF85" s="24" t="s">
        <v>367</v>
      </c>
      <c r="AG85" s="24" t="s">
        <v>367</v>
      </c>
      <c r="AH85" s="24" t="s">
        <v>367</v>
      </c>
    </row>
    <row r="86" spans="30:34" ht="12.5" x14ac:dyDescent="0.25">
      <c r="AD86" s="203" t="s">
        <v>153</v>
      </c>
      <c r="AE86" s="187" t="s">
        <v>343</v>
      </c>
      <c r="AF86" s="24" t="s">
        <v>367</v>
      </c>
      <c r="AG86" s="24" t="s">
        <v>367</v>
      </c>
      <c r="AH86" s="24" t="s">
        <v>367</v>
      </c>
    </row>
    <row r="87" spans="30:34" ht="12.5" x14ac:dyDescent="0.25">
      <c r="AD87" s="203" t="s">
        <v>152</v>
      </c>
      <c r="AE87" s="187" t="s">
        <v>343</v>
      </c>
      <c r="AF87" s="24" t="s">
        <v>367</v>
      </c>
      <c r="AG87" s="24" t="s">
        <v>400</v>
      </c>
      <c r="AH87" s="24" t="s">
        <v>400</v>
      </c>
    </row>
    <row r="88" spans="30:34" ht="12.5" x14ac:dyDescent="0.25">
      <c r="AD88" s="203" t="s">
        <v>58</v>
      </c>
      <c r="AE88" s="187" t="s">
        <v>343</v>
      </c>
      <c r="AF88" s="24" t="s">
        <v>400</v>
      </c>
      <c r="AG88" s="24" t="s">
        <v>367</v>
      </c>
      <c r="AH88" s="24" t="s">
        <v>400</v>
      </c>
    </row>
    <row r="89" spans="30:34" ht="12.5" x14ac:dyDescent="0.25">
      <c r="AD89" s="203" t="s">
        <v>107</v>
      </c>
      <c r="AE89" s="187" t="s">
        <v>343</v>
      </c>
      <c r="AF89" s="24" t="s">
        <v>367</v>
      </c>
      <c r="AG89" s="24" t="s">
        <v>367</v>
      </c>
      <c r="AH89" s="24" t="s">
        <v>367</v>
      </c>
    </row>
    <row r="90" spans="30:34" ht="12.5" x14ac:dyDescent="0.25">
      <c r="AD90" s="203" t="s">
        <v>108</v>
      </c>
      <c r="AE90" s="187" t="s">
        <v>343</v>
      </c>
      <c r="AF90" s="24" t="s">
        <v>367</v>
      </c>
      <c r="AG90" s="24" t="s">
        <v>367</v>
      </c>
      <c r="AH90" s="24" t="s">
        <v>367</v>
      </c>
    </row>
    <row r="91" spans="30:34" ht="12.5" x14ac:dyDescent="0.25">
      <c r="AD91" s="203" t="s">
        <v>151</v>
      </c>
      <c r="AE91" s="187" t="s">
        <v>343</v>
      </c>
      <c r="AF91" s="24" t="s">
        <v>367</v>
      </c>
      <c r="AG91" s="24" t="s">
        <v>367</v>
      </c>
      <c r="AH91" s="24" t="s">
        <v>367</v>
      </c>
    </row>
    <row r="92" spans="30:34" ht="12.5" x14ac:dyDescent="0.25">
      <c r="AD92" s="203" t="s">
        <v>109</v>
      </c>
      <c r="AE92" s="187" t="s">
        <v>343</v>
      </c>
      <c r="AF92" s="24" t="s">
        <v>367</v>
      </c>
      <c r="AG92" s="24" t="s">
        <v>367</v>
      </c>
      <c r="AH92" s="24" t="s">
        <v>367</v>
      </c>
    </row>
    <row r="93" spans="30:34" ht="12.5" x14ac:dyDescent="0.25">
      <c r="AD93" s="203" t="s">
        <v>178</v>
      </c>
      <c r="AE93" s="187" t="s">
        <v>343</v>
      </c>
      <c r="AF93" s="24" t="s">
        <v>367</v>
      </c>
      <c r="AG93" s="24" t="s">
        <v>367</v>
      </c>
      <c r="AH93" s="24" t="s">
        <v>367</v>
      </c>
    </row>
    <row r="94" spans="30:34" ht="12.5" x14ac:dyDescent="0.25">
      <c r="AD94" s="203" t="s">
        <v>288</v>
      </c>
      <c r="AE94" s="187" t="s">
        <v>343</v>
      </c>
      <c r="AF94" s="24" t="s">
        <v>367</v>
      </c>
      <c r="AG94" s="24" t="s">
        <v>367</v>
      </c>
      <c r="AH94" s="24" t="s">
        <v>367</v>
      </c>
    </row>
    <row r="1487" spans="36:38" ht="12.5" x14ac:dyDescent="0.25">
      <c r="AJ1487" s="24"/>
      <c r="AK1487" s="24"/>
      <c r="AL1487" s="225"/>
    </row>
    <row r="1488" spans="36:38" ht="12.5" x14ac:dyDescent="0.25">
      <c r="AJ1488" s="24"/>
      <c r="AK1488" s="24"/>
      <c r="AL1488" s="225"/>
    </row>
    <row r="1490" spans="36:38" ht="12.5" x14ac:dyDescent="0.25">
      <c r="AJ1490" s="24"/>
      <c r="AK1490" s="24"/>
      <c r="AL1490" s="225"/>
    </row>
    <row r="1491" spans="36:38" ht="12.5" x14ac:dyDescent="0.25">
      <c r="AJ1491" s="24"/>
      <c r="AK1491" s="24"/>
      <c r="AL1491" s="225"/>
    </row>
    <row r="1493" spans="36:38" ht="12.5" x14ac:dyDescent="0.25">
      <c r="AJ1493" s="24"/>
      <c r="AK1493" s="24"/>
      <c r="AL1493" s="225"/>
    </row>
    <row r="1494" spans="36:38" ht="12.5" x14ac:dyDescent="0.25">
      <c r="AJ1494" s="24"/>
      <c r="AK1494" s="24"/>
      <c r="AL1494" s="225"/>
    </row>
    <row r="1496" spans="36:38" ht="12.5" x14ac:dyDescent="0.25">
      <c r="AJ1496" s="24"/>
      <c r="AK1496" s="24"/>
      <c r="AL1496" s="225"/>
    </row>
    <row r="1497" spans="36:38" ht="12.5" x14ac:dyDescent="0.25">
      <c r="AJ1497" s="24"/>
      <c r="AK1497" s="24"/>
      <c r="AL1497" s="225"/>
    </row>
  </sheetData>
  <conditionalFormatting sqref="AD3:AD2016">
    <cfRule type="expression" dxfId="4" priority="1">
      <formula>COUNTIF(AD2:AD2016,AD2)&gt;1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D50"/>
  <sheetViews>
    <sheetView workbookViewId="0">
      <pane ySplit="1" topLeftCell="A2" activePane="bottomLeft" state="frozen"/>
      <selection pane="bottomLeft" activeCell="B3" sqref="B3"/>
    </sheetView>
  </sheetViews>
  <sheetFormatPr baseColWidth="10" defaultColWidth="12.6328125" defaultRowHeight="15.75" customHeight="1" x14ac:dyDescent="0.25"/>
  <sheetData>
    <row r="1" spans="1:56" x14ac:dyDescent="0.3">
      <c r="A1" s="226" t="s">
        <v>465</v>
      </c>
      <c r="B1" s="227" t="s">
        <v>466</v>
      </c>
      <c r="C1" s="227" t="s">
        <v>8</v>
      </c>
      <c r="D1" s="227" t="s">
        <v>5</v>
      </c>
      <c r="E1" s="227" t="s">
        <v>3</v>
      </c>
      <c r="F1" s="227" t="s">
        <v>2</v>
      </c>
      <c r="G1" s="227" t="s">
        <v>3</v>
      </c>
      <c r="H1" s="227" t="s">
        <v>467</v>
      </c>
      <c r="I1" s="227" t="s">
        <v>6</v>
      </c>
      <c r="J1" s="227" t="s">
        <v>468</v>
      </c>
      <c r="K1" s="227" t="s">
        <v>469</v>
      </c>
      <c r="L1" s="227" t="s">
        <v>470</v>
      </c>
      <c r="M1" s="227" t="s">
        <v>471</v>
      </c>
      <c r="N1" s="227" t="s">
        <v>472</v>
      </c>
      <c r="O1" s="227" t="s">
        <v>473</v>
      </c>
      <c r="P1" s="227" t="s">
        <v>474</v>
      </c>
      <c r="Q1" s="227" t="s">
        <v>475</v>
      </c>
      <c r="R1" s="227" t="s">
        <v>476</v>
      </c>
      <c r="S1" s="227" t="s">
        <v>477</v>
      </c>
      <c r="T1" s="227" t="s">
        <v>478</v>
      </c>
      <c r="U1" s="227" t="s">
        <v>479</v>
      </c>
      <c r="V1" s="227" t="s">
        <v>480</v>
      </c>
      <c r="W1" s="227" t="s">
        <v>481</v>
      </c>
      <c r="X1" s="227" t="s">
        <v>482</v>
      </c>
      <c r="Y1" s="227" t="s">
        <v>483</v>
      </c>
      <c r="Z1" s="227" t="s">
        <v>484</v>
      </c>
      <c r="AA1" s="227" t="s">
        <v>485</v>
      </c>
      <c r="AB1" s="227" t="s">
        <v>486</v>
      </c>
      <c r="AC1" s="227" t="s">
        <v>487</v>
      </c>
      <c r="AD1" s="227" t="s">
        <v>488</v>
      </c>
      <c r="AE1" s="227" t="s">
        <v>489</v>
      </c>
      <c r="AF1" s="227" t="s">
        <v>490</v>
      </c>
      <c r="AG1" s="227" t="s">
        <v>491</v>
      </c>
      <c r="AH1" s="227" t="s">
        <v>492</v>
      </c>
      <c r="AI1" s="227" t="s">
        <v>493</v>
      </c>
      <c r="AJ1" s="227" t="s">
        <v>494</v>
      </c>
      <c r="AK1" s="227" t="s">
        <v>495</v>
      </c>
      <c r="AL1" s="227" t="s">
        <v>496</v>
      </c>
      <c r="AM1" s="227" t="s">
        <v>497</v>
      </c>
      <c r="AN1" s="227" t="s">
        <v>498</v>
      </c>
      <c r="AO1" s="227" t="s">
        <v>499</v>
      </c>
      <c r="AP1" s="227" t="s">
        <v>500</v>
      </c>
      <c r="AQ1" s="227" t="s">
        <v>501</v>
      </c>
      <c r="AR1" s="227" t="s">
        <v>502</v>
      </c>
      <c r="AS1" s="227" t="s">
        <v>503</v>
      </c>
      <c r="AT1" s="227" t="s">
        <v>504</v>
      </c>
      <c r="AU1" s="227" t="s">
        <v>505</v>
      </c>
      <c r="AV1" s="227" t="s">
        <v>506</v>
      </c>
      <c r="AW1" s="227" t="s">
        <v>507</v>
      </c>
      <c r="AX1" s="227" t="s">
        <v>508</v>
      </c>
      <c r="AY1" s="227" t="s">
        <v>509</v>
      </c>
      <c r="AZ1" s="227" t="s">
        <v>510</v>
      </c>
      <c r="BA1" s="227" t="s">
        <v>511</v>
      </c>
      <c r="BB1" s="227" t="s">
        <v>512</v>
      </c>
      <c r="BC1" s="227" t="s">
        <v>513</v>
      </c>
      <c r="BD1" s="228" t="s">
        <v>514</v>
      </c>
    </row>
    <row r="2" spans="1:56" ht="15.75" customHeight="1" x14ac:dyDescent="0.25">
      <c r="A2" s="229">
        <v>44797.766126192131</v>
      </c>
      <c r="B2" s="230" t="s">
        <v>304</v>
      </c>
      <c r="C2" s="230">
        <v>2022</v>
      </c>
      <c r="D2" s="230" t="s">
        <v>17</v>
      </c>
      <c r="E2" s="230" t="s">
        <v>515</v>
      </c>
      <c r="F2" s="230" t="s">
        <v>15</v>
      </c>
      <c r="G2" s="230" t="s">
        <v>516</v>
      </c>
      <c r="H2" s="230" t="s">
        <v>517</v>
      </c>
      <c r="I2" s="230" t="s">
        <v>24</v>
      </c>
      <c r="J2" s="230">
        <v>11</v>
      </c>
      <c r="K2" s="230" t="s">
        <v>518</v>
      </c>
      <c r="L2" s="230" t="s">
        <v>519</v>
      </c>
      <c r="M2" s="230" t="s">
        <v>518</v>
      </c>
      <c r="N2" s="230" t="s">
        <v>412</v>
      </c>
      <c r="O2" s="230"/>
      <c r="P2" s="230"/>
      <c r="Q2" s="230"/>
      <c r="R2" s="230" t="s">
        <v>306</v>
      </c>
      <c r="S2" s="230" t="s">
        <v>306</v>
      </c>
      <c r="T2" s="230" t="s">
        <v>25</v>
      </c>
      <c r="U2" s="230" t="s">
        <v>19</v>
      </c>
      <c r="V2" s="230" t="s">
        <v>25</v>
      </c>
      <c r="W2" s="230" t="s">
        <v>306</v>
      </c>
      <c r="X2" s="230" t="s">
        <v>25</v>
      </c>
      <c r="Y2" s="230" t="s">
        <v>306</v>
      </c>
      <c r="Z2" s="230" t="s">
        <v>306</v>
      </c>
      <c r="AA2" s="230" t="s">
        <v>306</v>
      </c>
      <c r="AB2" s="230" t="s">
        <v>25</v>
      </c>
      <c r="AC2" s="230" t="s">
        <v>25</v>
      </c>
      <c r="AD2" s="230" t="s">
        <v>25</v>
      </c>
      <c r="AE2" s="230" t="s">
        <v>306</v>
      </c>
      <c r="AF2" s="230" t="s">
        <v>25</v>
      </c>
      <c r="AG2" s="230" t="s">
        <v>25</v>
      </c>
      <c r="AH2" s="230" t="s">
        <v>25</v>
      </c>
      <c r="AI2" s="230" t="s">
        <v>306</v>
      </c>
      <c r="AJ2" s="230" t="s">
        <v>306</v>
      </c>
      <c r="AK2" s="230" t="s">
        <v>306</v>
      </c>
      <c r="AL2" s="230" t="s">
        <v>25</v>
      </c>
      <c r="AM2" s="230" t="s">
        <v>25</v>
      </c>
      <c r="AN2" s="230" t="s">
        <v>306</v>
      </c>
      <c r="AO2" s="230" t="s">
        <v>19</v>
      </c>
      <c r="AP2" s="230" t="s">
        <v>19</v>
      </c>
      <c r="AQ2" s="230" t="s">
        <v>19</v>
      </c>
      <c r="AR2" s="230" t="s">
        <v>306</v>
      </c>
      <c r="AS2" s="230" t="s">
        <v>25</v>
      </c>
      <c r="AT2" s="230" t="s">
        <v>25</v>
      </c>
      <c r="AU2" s="230" t="s">
        <v>25</v>
      </c>
      <c r="AV2" s="230" t="s">
        <v>25</v>
      </c>
      <c r="AW2" s="230" t="s">
        <v>25</v>
      </c>
      <c r="AX2" s="230" t="s">
        <v>25</v>
      </c>
      <c r="AY2" s="230" t="s">
        <v>25</v>
      </c>
      <c r="AZ2" s="230" t="s">
        <v>25</v>
      </c>
      <c r="BA2" s="230" t="s">
        <v>25</v>
      </c>
      <c r="BB2" s="230" t="s">
        <v>25</v>
      </c>
      <c r="BC2" s="230" t="s">
        <v>19</v>
      </c>
      <c r="BD2" s="231" t="s">
        <v>25</v>
      </c>
    </row>
    <row r="3" spans="1:56" ht="15.75" customHeight="1" x14ac:dyDescent="0.25">
      <c r="A3" s="229">
        <v>44797.880059062503</v>
      </c>
      <c r="B3" s="230" t="s">
        <v>304</v>
      </c>
      <c r="C3" s="230">
        <v>2022</v>
      </c>
      <c r="D3" s="230" t="s">
        <v>17</v>
      </c>
      <c r="E3" s="230" t="s">
        <v>515</v>
      </c>
      <c r="F3" s="230" t="s">
        <v>15</v>
      </c>
      <c r="G3" s="230" t="s">
        <v>516</v>
      </c>
      <c r="H3" s="230" t="s">
        <v>520</v>
      </c>
      <c r="I3" s="230" t="s">
        <v>18</v>
      </c>
      <c r="J3" s="230">
        <v>11</v>
      </c>
      <c r="K3" s="230" t="s">
        <v>518</v>
      </c>
      <c r="L3" s="230" t="s">
        <v>519</v>
      </c>
      <c r="M3" s="230" t="s">
        <v>518</v>
      </c>
      <c r="N3" s="230" t="s">
        <v>375</v>
      </c>
      <c r="O3" s="230"/>
      <c r="P3" s="230"/>
      <c r="Q3" s="230"/>
      <c r="R3" s="230" t="s">
        <v>306</v>
      </c>
      <c r="S3" s="230" t="s">
        <v>306</v>
      </c>
      <c r="T3" s="230" t="s">
        <v>306</v>
      </c>
      <c r="U3" s="230" t="s">
        <v>306</v>
      </c>
      <c r="V3" s="230" t="s">
        <v>306</v>
      </c>
      <c r="W3" s="230" t="s">
        <v>19</v>
      </c>
      <c r="X3" s="230" t="s">
        <v>306</v>
      </c>
      <c r="Y3" s="230" t="s">
        <v>306</v>
      </c>
      <c r="Z3" s="230" t="s">
        <v>306</v>
      </c>
      <c r="AA3" s="230" t="s">
        <v>306</v>
      </c>
      <c r="AB3" s="230" t="s">
        <v>306</v>
      </c>
      <c r="AC3" s="230" t="s">
        <v>306</v>
      </c>
      <c r="AD3" s="230" t="s">
        <v>306</v>
      </c>
      <c r="AE3" s="230" t="s">
        <v>306</v>
      </c>
      <c r="AF3" s="230" t="s">
        <v>25</v>
      </c>
      <c r="AG3" s="230" t="s">
        <v>25</v>
      </c>
      <c r="AH3" s="230" t="s">
        <v>306</v>
      </c>
      <c r="AI3" s="230" t="s">
        <v>25</v>
      </c>
      <c r="AJ3" s="230" t="s">
        <v>25</v>
      </c>
      <c r="AK3" s="230" t="s">
        <v>306</v>
      </c>
      <c r="AL3" s="230" t="s">
        <v>25</v>
      </c>
      <c r="AM3" s="230" t="s">
        <v>25</v>
      </c>
      <c r="AN3" s="230" t="s">
        <v>306</v>
      </c>
      <c r="AO3" s="230" t="s">
        <v>306</v>
      </c>
      <c r="AP3" s="230" t="s">
        <v>306</v>
      </c>
      <c r="AQ3" s="230" t="s">
        <v>306</v>
      </c>
      <c r="AR3" s="230" t="s">
        <v>306</v>
      </c>
      <c r="AS3" s="230" t="s">
        <v>25</v>
      </c>
      <c r="AT3" s="230" t="s">
        <v>25</v>
      </c>
      <c r="AU3" s="230" t="s">
        <v>25</v>
      </c>
      <c r="AV3" s="230" t="s">
        <v>25</v>
      </c>
      <c r="AW3" s="230" t="s">
        <v>25</v>
      </c>
      <c r="AX3" s="230" t="s">
        <v>25</v>
      </c>
      <c r="AY3" s="230" t="s">
        <v>25</v>
      </c>
      <c r="AZ3" s="230" t="s">
        <v>25</v>
      </c>
      <c r="BA3" s="230" t="s">
        <v>25</v>
      </c>
      <c r="BB3" s="230" t="s">
        <v>25</v>
      </c>
      <c r="BC3" s="230" t="s">
        <v>25</v>
      </c>
      <c r="BD3" s="231" t="s">
        <v>25</v>
      </c>
    </row>
    <row r="4" spans="1:56" ht="15.75" customHeight="1" x14ac:dyDescent="0.25">
      <c r="A4" s="229">
        <v>44798.402630335651</v>
      </c>
      <c r="B4" s="230" t="s">
        <v>304</v>
      </c>
      <c r="C4" s="230">
        <v>2022</v>
      </c>
      <c r="D4" s="230" t="s">
        <v>17</v>
      </c>
      <c r="E4" s="230" t="s">
        <v>515</v>
      </c>
      <c r="F4" s="230" t="s">
        <v>15</v>
      </c>
      <c r="G4" s="230" t="s">
        <v>516</v>
      </c>
      <c r="H4" s="230" t="s">
        <v>521</v>
      </c>
      <c r="I4" s="230" t="s">
        <v>24</v>
      </c>
      <c r="J4" s="230">
        <v>11</v>
      </c>
      <c r="K4" s="230" t="s">
        <v>518</v>
      </c>
      <c r="L4" s="230" t="s">
        <v>519</v>
      </c>
      <c r="M4" s="230" t="s">
        <v>518</v>
      </c>
      <c r="N4" s="230" t="s">
        <v>412</v>
      </c>
      <c r="O4" s="230"/>
      <c r="P4" s="230"/>
      <c r="Q4" s="230"/>
      <c r="R4" s="230" t="s">
        <v>306</v>
      </c>
      <c r="S4" s="230" t="s">
        <v>306</v>
      </c>
      <c r="T4" s="230" t="s">
        <v>19</v>
      </c>
      <c r="U4" s="230" t="s">
        <v>25</v>
      </c>
      <c r="V4" s="230" t="s">
        <v>25</v>
      </c>
      <c r="W4" s="230" t="s">
        <v>306</v>
      </c>
      <c r="X4" s="230" t="s">
        <v>25</v>
      </c>
      <c r="Y4" s="230" t="s">
        <v>25</v>
      </c>
      <c r="Z4" s="230" t="s">
        <v>25</v>
      </c>
      <c r="AA4" s="230" t="s">
        <v>25</v>
      </c>
      <c r="AB4" s="230" t="s">
        <v>306</v>
      </c>
      <c r="AC4" s="230" t="s">
        <v>306</v>
      </c>
      <c r="AD4" s="230" t="s">
        <v>306</v>
      </c>
      <c r="AE4" s="230" t="s">
        <v>306</v>
      </c>
      <c r="AF4" s="230" t="s">
        <v>25</v>
      </c>
      <c r="AG4" s="230" t="s">
        <v>306</v>
      </c>
      <c r="AH4" s="230" t="s">
        <v>25</v>
      </c>
      <c r="AI4" s="230" t="s">
        <v>25</v>
      </c>
      <c r="AJ4" s="230" t="s">
        <v>25</v>
      </c>
      <c r="AK4" s="230" t="s">
        <v>306</v>
      </c>
      <c r="AL4" s="230" t="s">
        <v>306</v>
      </c>
      <c r="AM4" s="230" t="s">
        <v>25</v>
      </c>
      <c r="AN4" s="230" t="s">
        <v>19</v>
      </c>
      <c r="AO4" s="230" t="s">
        <v>19</v>
      </c>
      <c r="AP4" s="230" t="s">
        <v>19</v>
      </c>
      <c r="AQ4" s="230" t="s">
        <v>19</v>
      </c>
      <c r="AR4" s="230" t="s">
        <v>306</v>
      </c>
      <c r="AS4" s="230" t="s">
        <v>306</v>
      </c>
      <c r="AT4" s="230" t="s">
        <v>19</v>
      </c>
      <c r="AU4" s="230" t="s">
        <v>306</v>
      </c>
      <c r="AV4" s="230" t="s">
        <v>306</v>
      </c>
      <c r="AW4" s="230" t="s">
        <v>306</v>
      </c>
      <c r="AX4" s="230" t="s">
        <v>19</v>
      </c>
      <c r="AY4" s="230" t="s">
        <v>306</v>
      </c>
      <c r="AZ4" s="230" t="s">
        <v>306</v>
      </c>
      <c r="BA4" s="230" t="s">
        <v>306</v>
      </c>
      <c r="BB4" s="230" t="s">
        <v>25</v>
      </c>
      <c r="BC4" s="230" t="s">
        <v>25</v>
      </c>
      <c r="BD4" s="231" t="s">
        <v>306</v>
      </c>
    </row>
    <row r="5" spans="1:56" ht="15.75" customHeight="1" x14ac:dyDescent="0.25">
      <c r="A5" s="229">
        <v>44798.43847543982</v>
      </c>
      <c r="B5" s="230" t="s">
        <v>304</v>
      </c>
      <c r="C5" s="230">
        <v>2022</v>
      </c>
      <c r="D5" s="230" t="s">
        <v>17</v>
      </c>
      <c r="E5" s="230" t="s">
        <v>515</v>
      </c>
      <c r="F5" s="230" t="s">
        <v>15</v>
      </c>
      <c r="G5" s="230" t="s">
        <v>516</v>
      </c>
      <c r="H5" s="230" t="s">
        <v>522</v>
      </c>
      <c r="I5" s="230" t="s">
        <v>24</v>
      </c>
      <c r="J5" s="230">
        <v>11</v>
      </c>
      <c r="K5" s="230" t="s">
        <v>518</v>
      </c>
      <c r="L5" s="230" t="s">
        <v>519</v>
      </c>
      <c r="M5" s="230" t="s">
        <v>518</v>
      </c>
      <c r="N5" s="230" t="s">
        <v>375</v>
      </c>
      <c r="O5" s="230"/>
      <c r="P5" s="230"/>
      <c r="Q5" s="230"/>
      <c r="R5" s="230" t="s">
        <v>306</v>
      </c>
      <c r="S5" s="230" t="s">
        <v>306</v>
      </c>
      <c r="T5" s="230" t="s">
        <v>306</v>
      </c>
      <c r="U5" s="230" t="s">
        <v>306</v>
      </c>
      <c r="V5" s="230" t="s">
        <v>306</v>
      </c>
      <c r="W5" s="230" t="s">
        <v>306</v>
      </c>
      <c r="X5" s="230" t="s">
        <v>306</v>
      </c>
      <c r="Y5" s="230" t="s">
        <v>25</v>
      </c>
      <c r="Z5" s="230" t="s">
        <v>25</v>
      </c>
      <c r="AA5" s="230" t="s">
        <v>306</v>
      </c>
      <c r="AB5" s="230" t="s">
        <v>19</v>
      </c>
      <c r="AC5" s="230" t="s">
        <v>19</v>
      </c>
      <c r="AD5" s="230" t="s">
        <v>19</v>
      </c>
      <c r="AE5" s="230" t="s">
        <v>306</v>
      </c>
      <c r="AF5" s="230" t="s">
        <v>25</v>
      </c>
      <c r="AG5" s="230" t="s">
        <v>306</v>
      </c>
      <c r="AH5" s="230" t="s">
        <v>25</v>
      </c>
      <c r="AI5" s="230" t="s">
        <v>306</v>
      </c>
      <c r="AJ5" s="230" t="s">
        <v>306</v>
      </c>
      <c r="AK5" s="230" t="s">
        <v>19</v>
      </c>
      <c r="AL5" s="230" t="s">
        <v>306</v>
      </c>
      <c r="AM5" s="230" t="s">
        <v>306</v>
      </c>
      <c r="AN5" s="230" t="s">
        <v>306</v>
      </c>
      <c r="AO5" s="230" t="s">
        <v>306</v>
      </c>
      <c r="AP5" s="230" t="s">
        <v>306</v>
      </c>
      <c r="AQ5" s="230" t="s">
        <v>306</v>
      </c>
      <c r="AR5" s="230" t="s">
        <v>306</v>
      </c>
      <c r="AS5" s="230" t="s">
        <v>25</v>
      </c>
      <c r="AT5" s="230" t="s">
        <v>306</v>
      </c>
      <c r="AU5" s="230" t="s">
        <v>25</v>
      </c>
      <c r="AV5" s="230" t="s">
        <v>25</v>
      </c>
      <c r="AW5" s="230" t="s">
        <v>25</v>
      </c>
      <c r="AX5" s="230" t="s">
        <v>25</v>
      </c>
      <c r="AY5" s="230" t="s">
        <v>306</v>
      </c>
      <c r="AZ5" s="230" t="s">
        <v>306</v>
      </c>
      <c r="BA5" s="230" t="s">
        <v>306</v>
      </c>
      <c r="BB5" s="230" t="s">
        <v>25</v>
      </c>
      <c r="BC5" s="230" t="s">
        <v>25</v>
      </c>
      <c r="BD5" s="231" t="s">
        <v>25</v>
      </c>
    </row>
    <row r="6" spans="1:56" ht="15.75" customHeight="1" x14ac:dyDescent="0.25">
      <c r="A6" s="229">
        <v>44789.802502453706</v>
      </c>
      <c r="B6" s="230" t="s">
        <v>384</v>
      </c>
      <c r="C6" s="230">
        <v>2022</v>
      </c>
      <c r="D6" s="230" t="s">
        <v>17</v>
      </c>
      <c r="E6" s="230" t="s">
        <v>515</v>
      </c>
      <c r="F6" s="230" t="s">
        <v>15</v>
      </c>
      <c r="G6" s="230" t="s">
        <v>516</v>
      </c>
      <c r="H6" s="230" t="s">
        <v>523</v>
      </c>
      <c r="I6" s="230" t="s">
        <v>24</v>
      </c>
      <c r="J6" s="230">
        <v>12</v>
      </c>
      <c r="K6" s="230" t="s">
        <v>518</v>
      </c>
      <c r="L6" s="230" t="s">
        <v>519</v>
      </c>
      <c r="M6" s="230" t="s">
        <v>518</v>
      </c>
      <c r="N6" s="230" t="s">
        <v>412</v>
      </c>
      <c r="O6" s="230"/>
      <c r="P6" s="230"/>
      <c r="Q6" s="230"/>
      <c r="R6" s="230" t="s">
        <v>306</v>
      </c>
      <c r="S6" s="230" t="s">
        <v>306</v>
      </c>
      <c r="T6" s="230" t="s">
        <v>306</v>
      </c>
      <c r="U6" s="230" t="s">
        <v>306</v>
      </c>
      <c r="V6" s="230" t="s">
        <v>25</v>
      </c>
      <c r="W6" s="230" t="s">
        <v>306</v>
      </c>
      <c r="X6" s="230" t="s">
        <v>25</v>
      </c>
      <c r="Y6" s="230" t="s">
        <v>25</v>
      </c>
      <c r="Z6" s="230" t="s">
        <v>25</v>
      </c>
      <c r="AA6" s="230" t="s">
        <v>306</v>
      </c>
      <c r="AB6" s="230" t="s">
        <v>306</v>
      </c>
      <c r="AC6" s="230" t="s">
        <v>306</v>
      </c>
      <c r="AD6" s="230" t="s">
        <v>306</v>
      </c>
      <c r="AE6" s="230" t="s">
        <v>306</v>
      </c>
      <c r="AF6" s="230" t="s">
        <v>25</v>
      </c>
      <c r="AG6" s="230" t="s">
        <v>306</v>
      </c>
      <c r="AH6" s="230" t="s">
        <v>25</v>
      </c>
      <c r="AI6" s="230" t="s">
        <v>306</v>
      </c>
      <c r="AJ6" s="230" t="s">
        <v>19</v>
      </c>
      <c r="AK6" s="230" t="s">
        <v>306</v>
      </c>
      <c r="AL6" s="230" t="s">
        <v>25</v>
      </c>
      <c r="AM6" s="230" t="s">
        <v>25</v>
      </c>
      <c r="AN6" s="230" t="s">
        <v>25</v>
      </c>
      <c r="AO6" s="230" t="s">
        <v>306</v>
      </c>
      <c r="AP6" s="230" t="s">
        <v>306</v>
      </c>
      <c r="AQ6" s="230" t="s">
        <v>306</v>
      </c>
      <c r="AR6" s="230" t="s">
        <v>306</v>
      </c>
      <c r="AS6" s="230" t="s">
        <v>25</v>
      </c>
      <c r="AT6" s="230" t="s">
        <v>25</v>
      </c>
      <c r="AU6" s="230" t="s">
        <v>306</v>
      </c>
      <c r="AV6" s="230" t="s">
        <v>25</v>
      </c>
      <c r="AW6" s="230" t="s">
        <v>25</v>
      </c>
      <c r="AX6" s="230" t="s">
        <v>25</v>
      </c>
      <c r="AY6" s="230" t="s">
        <v>25</v>
      </c>
      <c r="AZ6" s="230" t="s">
        <v>25</v>
      </c>
      <c r="BA6" s="230" t="s">
        <v>306</v>
      </c>
      <c r="BB6" s="230" t="s">
        <v>19</v>
      </c>
      <c r="BC6" s="230" t="s">
        <v>25</v>
      </c>
      <c r="BD6" s="231" t="s">
        <v>25</v>
      </c>
    </row>
    <row r="7" spans="1:56" ht="15.75" customHeight="1" x14ac:dyDescent="0.25">
      <c r="A7" s="229">
        <v>44797.478604027783</v>
      </c>
      <c r="B7" s="230" t="s">
        <v>304</v>
      </c>
      <c r="C7" s="230">
        <v>2022</v>
      </c>
      <c r="D7" s="230" t="s">
        <v>17</v>
      </c>
      <c r="E7" s="230" t="s">
        <v>515</v>
      </c>
      <c r="F7" s="230" t="s">
        <v>15</v>
      </c>
      <c r="G7" s="230" t="s">
        <v>516</v>
      </c>
      <c r="H7" s="230" t="s">
        <v>524</v>
      </c>
      <c r="I7" s="230" t="s">
        <v>24</v>
      </c>
      <c r="J7" s="230">
        <v>12</v>
      </c>
      <c r="K7" s="230" t="s">
        <v>518</v>
      </c>
      <c r="L7" s="230" t="s">
        <v>525</v>
      </c>
      <c r="M7" s="230" t="s">
        <v>518</v>
      </c>
      <c r="N7" s="230" t="s">
        <v>368</v>
      </c>
      <c r="O7" s="230"/>
      <c r="P7" s="230"/>
      <c r="Q7" s="230"/>
      <c r="R7" s="230" t="s">
        <v>306</v>
      </c>
      <c r="S7" s="230" t="s">
        <v>306</v>
      </c>
      <c r="T7" s="230" t="s">
        <v>306</v>
      </c>
      <c r="U7" s="230" t="s">
        <v>306</v>
      </c>
      <c r="V7" s="230" t="s">
        <v>25</v>
      </c>
      <c r="W7" s="230" t="s">
        <v>306</v>
      </c>
      <c r="X7" s="230" t="s">
        <v>25</v>
      </c>
      <c r="Y7" s="230" t="s">
        <v>25</v>
      </c>
      <c r="Z7" s="230" t="s">
        <v>25</v>
      </c>
      <c r="AA7" s="230" t="s">
        <v>25</v>
      </c>
      <c r="AB7" s="230" t="s">
        <v>306</v>
      </c>
      <c r="AC7" s="230" t="s">
        <v>306</v>
      </c>
      <c r="AD7" s="230" t="s">
        <v>19</v>
      </c>
      <c r="AE7" s="230" t="s">
        <v>306</v>
      </c>
      <c r="AF7" s="230" t="s">
        <v>25</v>
      </c>
      <c r="AG7" s="230" t="s">
        <v>306</v>
      </c>
      <c r="AH7" s="230" t="s">
        <v>25</v>
      </c>
      <c r="AI7" s="230" t="s">
        <v>306</v>
      </c>
      <c r="AJ7" s="230" t="s">
        <v>306</v>
      </c>
      <c r="AK7" s="230" t="s">
        <v>306</v>
      </c>
      <c r="AL7" s="230" t="s">
        <v>25</v>
      </c>
      <c r="AM7" s="230" t="s">
        <v>306</v>
      </c>
      <c r="AN7" s="230" t="s">
        <v>25</v>
      </c>
      <c r="AO7" s="230" t="s">
        <v>306</v>
      </c>
      <c r="AP7" s="230" t="s">
        <v>306</v>
      </c>
      <c r="AQ7" s="230" t="s">
        <v>19</v>
      </c>
      <c r="AR7" s="230" t="s">
        <v>306</v>
      </c>
      <c r="AS7" s="230" t="s">
        <v>25</v>
      </c>
      <c r="AT7" s="230" t="s">
        <v>25</v>
      </c>
      <c r="AU7" s="230" t="s">
        <v>25</v>
      </c>
      <c r="AV7" s="230" t="s">
        <v>25</v>
      </c>
      <c r="AW7" s="230" t="s">
        <v>25</v>
      </c>
      <c r="AX7" s="230" t="s">
        <v>306</v>
      </c>
      <c r="AY7" s="230" t="s">
        <v>25</v>
      </c>
      <c r="AZ7" s="230" t="s">
        <v>25</v>
      </c>
      <c r="BA7" s="230" t="s">
        <v>306</v>
      </c>
      <c r="BB7" s="230" t="s">
        <v>306</v>
      </c>
      <c r="BC7" s="230" t="s">
        <v>25</v>
      </c>
      <c r="BD7" s="231" t="s">
        <v>25</v>
      </c>
    </row>
    <row r="8" spans="1:56" ht="15.75" customHeight="1" x14ac:dyDescent="0.25">
      <c r="A8" s="229">
        <v>44797.756635891201</v>
      </c>
      <c r="B8" s="230" t="s">
        <v>304</v>
      </c>
      <c r="C8" s="230">
        <v>2022</v>
      </c>
      <c r="D8" s="230" t="s">
        <v>17</v>
      </c>
      <c r="E8" s="230" t="s">
        <v>515</v>
      </c>
      <c r="F8" s="230" t="s">
        <v>15</v>
      </c>
      <c r="G8" s="230" t="s">
        <v>516</v>
      </c>
      <c r="H8" s="230" t="s">
        <v>526</v>
      </c>
      <c r="I8" s="230" t="s">
        <v>24</v>
      </c>
      <c r="J8" s="230">
        <v>12</v>
      </c>
      <c r="K8" s="230" t="s">
        <v>518</v>
      </c>
      <c r="L8" s="230" t="s">
        <v>527</v>
      </c>
      <c r="M8" s="230" t="s">
        <v>518</v>
      </c>
      <c r="N8" s="230" t="s">
        <v>412</v>
      </c>
      <c r="O8" s="230"/>
      <c r="P8" s="230"/>
      <c r="Q8" s="230"/>
      <c r="R8" s="230" t="s">
        <v>306</v>
      </c>
      <c r="S8" s="230" t="s">
        <v>306</v>
      </c>
      <c r="T8" s="230" t="s">
        <v>25</v>
      </c>
      <c r="U8" s="230" t="s">
        <v>19</v>
      </c>
      <c r="V8" s="230" t="s">
        <v>306</v>
      </c>
      <c r="W8" s="230" t="s">
        <v>19</v>
      </c>
      <c r="X8" s="230" t="s">
        <v>25</v>
      </c>
      <c r="Y8" s="230" t="s">
        <v>306</v>
      </c>
      <c r="Z8" s="230" t="s">
        <v>306</v>
      </c>
      <c r="AA8" s="230" t="s">
        <v>19</v>
      </c>
      <c r="AB8" s="230" t="s">
        <v>306</v>
      </c>
      <c r="AC8" s="230" t="s">
        <v>25</v>
      </c>
      <c r="AD8" s="230" t="s">
        <v>19</v>
      </c>
      <c r="AE8" s="230" t="s">
        <v>306</v>
      </c>
      <c r="AF8" s="230" t="s">
        <v>25</v>
      </c>
      <c r="AG8" s="230" t="s">
        <v>306</v>
      </c>
      <c r="AH8" s="230" t="s">
        <v>25</v>
      </c>
      <c r="AI8" s="230" t="s">
        <v>306</v>
      </c>
      <c r="AJ8" s="230" t="s">
        <v>19</v>
      </c>
      <c r="AK8" s="230" t="s">
        <v>306</v>
      </c>
      <c r="AL8" s="230" t="s">
        <v>306</v>
      </c>
      <c r="AM8" s="230" t="s">
        <v>306</v>
      </c>
      <c r="AN8" s="230" t="s">
        <v>19</v>
      </c>
      <c r="AO8" s="230" t="s">
        <v>19</v>
      </c>
      <c r="AP8" s="230" t="s">
        <v>19</v>
      </c>
      <c r="AQ8" s="230" t="s">
        <v>19</v>
      </c>
      <c r="AR8" s="230" t="s">
        <v>306</v>
      </c>
      <c r="AS8" s="230" t="s">
        <v>25</v>
      </c>
      <c r="AT8" s="230" t="s">
        <v>25</v>
      </c>
      <c r="AU8" s="230" t="s">
        <v>25</v>
      </c>
      <c r="AV8" s="230" t="s">
        <v>25</v>
      </c>
      <c r="AW8" s="230" t="s">
        <v>25</v>
      </c>
      <c r="AX8" s="230" t="s">
        <v>25</v>
      </c>
      <c r="AY8" s="230" t="s">
        <v>25</v>
      </c>
      <c r="AZ8" s="230" t="s">
        <v>25</v>
      </c>
      <c r="BA8" s="230" t="s">
        <v>25</v>
      </c>
      <c r="BB8" s="230" t="s">
        <v>306</v>
      </c>
      <c r="BC8" s="230" t="s">
        <v>25</v>
      </c>
      <c r="BD8" s="231" t="s">
        <v>25</v>
      </c>
    </row>
    <row r="9" spans="1:56" ht="15.75" customHeight="1" x14ac:dyDescent="0.25">
      <c r="A9" s="229">
        <v>44789.81928340278</v>
      </c>
      <c r="B9" s="230" t="s">
        <v>384</v>
      </c>
      <c r="C9" s="230">
        <v>2022</v>
      </c>
      <c r="D9" s="230" t="s">
        <v>17</v>
      </c>
      <c r="E9" s="230" t="s">
        <v>515</v>
      </c>
      <c r="F9" s="230" t="s">
        <v>15</v>
      </c>
      <c r="G9" s="230" t="s">
        <v>516</v>
      </c>
      <c r="H9" s="230" t="s">
        <v>528</v>
      </c>
      <c r="I9" s="230" t="s">
        <v>24</v>
      </c>
      <c r="J9" s="230">
        <v>12</v>
      </c>
      <c r="K9" s="230" t="s">
        <v>518</v>
      </c>
      <c r="L9" s="230" t="s">
        <v>529</v>
      </c>
      <c r="M9" s="230" t="s">
        <v>518</v>
      </c>
      <c r="N9" s="230" t="s">
        <v>401</v>
      </c>
      <c r="O9" s="230"/>
      <c r="P9" s="230"/>
      <c r="Q9" s="230"/>
      <c r="R9" s="230" t="s">
        <v>306</v>
      </c>
      <c r="S9" s="230" t="s">
        <v>306</v>
      </c>
      <c r="T9" s="230" t="s">
        <v>306</v>
      </c>
      <c r="U9" s="230" t="s">
        <v>306</v>
      </c>
      <c r="V9" s="230" t="s">
        <v>306</v>
      </c>
      <c r="W9" s="230" t="s">
        <v>306</v>
      </c>
      <c r="X9" s="230" t="s">
        <v>19</v>
      </c>
      <c r="Y9" s="230" t="s">
        <v>25</v>
      </c>
      <c r="Z9" s="230" t="s">
        <v>25</v>
      </c>
      <c r="AA9" s="230" t="s">
        <v>306</v>
      </c>
      <c r="AB9" s="230" t="s">
        <v>306</v>
      </c>
      <c r="AC9" s="230" t="s">
        <v>306</v>
      </c>
      <c r="AD9" s="230" t="s">
        <v>19</v>
      </c>
      <c r="AE9" s="230" t="s">
        <v>306</v>
      </c>
      <c r="AF9" s="230" t="s">
        <v>306</v>
      </c>
      <c r="AG9" s="230" t="s">
        <v>306</v>
      </c>
      <c r="AH9" s="230" t="s">
        <v>19</v>
      </c>
      <c r="AI9" s="230" t="s">
        <v>306</v>
      </c>
      <c r="AJ9" s="230" t="s">
        <v>306</v>
      </c>
      <c r="AK9" s="230" t="s">
        <v>306</v>
      </c>
      <c r="AL9" s="230" t="s">
        <v>306</v>
      </c>
      <c r="AM9" s="230" t="s">
        <v>306</v>
      </c>
      <c r="AN9" s="230" t="s">
        <v>306</v>
      </c>
      <c r="AO9" s="230" t="s">
        <v>306</v>
      </c>
      <c r="AP9" s="230" t="s">
        <v>306</v>
      </c>
      <c r="AQ9" s="230" t="s">
        <v>306</v>
      </c>
      <c r="AR9" s="230" t="s">
        <v>25</v>
      </c>
      <c r="AS9" s="230" t="s">
        <v>306</v>
      </c>
      <c r="AT9" s="230" t="s">
        <v>306</v>
      </c>
      <c r="AU9" s="230" t="s">
        <v>306</v>
      </c>
      <c r="AV9" s="230" t="s">
        <v>306</v>
      </c>
      <c r="AW9" s="230" t="s">
        <v>306</v>
      </c>
      <c r="AX9" s="230" t="s">
        <v>306</v>
      </c>
      <c r="AY9" s="230" t="s">
        <v>306</v>
      </c>
      <c r="AZ9" s="230" t="s">
        <v>306</v>
      </c>
      <c r="BA9" s="230" t="s">
        <v>306</v>
      </c>
      <c r="BB9" s="230" t="s">
        <v>25</v>
      </c>
      <c r="BC9" s="230" t="s">
        <v>19</v>
      </c>
      <c r="BD9" s="231" t="s">
        <v>306</v>
      </c>
    </row>
    <row r="10" spans="1:56" ht="15.75" customHeight="1" x14ac:dyDescent="0.25">
      <c r="A10" s="229">
        <v>44797.429447743052</v>
      </c>
      <c r="B10" s="230" t="s">
        <v>304</v>
      </c>
      <c r="C10" s="230">
        <v>2022</v>
      </c>
      <c r="D10" s="230" t="s">
        <v>17</v>
      </c>
      <c r="E10" s="230" t="s">
        <v>515</v>
      </c>
      <c r="F10" s="230" t="s">
        <v>15</v>
      </c>
      <c r="G10" s="230" t="s">
        <v>516</v>
      </c>
      <c r="H10" s="230" t="s">
        <v>530</v>
      </c>
      <c r="I10" s="230" t="s">
        <v>18</v>
      </c>
      <c r="J10" s="230">
        <v>11</v>
      </c>
      <c r="K10" s="230" t="s">
        <v>531</v>
      </c>
      <c r="L10" s="230" t="s">
        <v>532</v>
      </c>
      <c r="M10" s="230" t="s">
        <v>518</v>
      </c>
      <c r="N10" s="230" t="s">
        <v>375</v>
      </c>
      <c r="O10" s="230"/>
      <c r="P10" s="230"/>
      <c r="Q10" s="230"/>
      <c r="R10" s="230" t="s">
        <v>306</v>
      </c>
      <c r="S10" s="230" t="s">
        <v>306</v>
      </c>
      <c r="T10" s="230" t="s">
        <v>19</v>
      </c>
      <c r="U10" s="230" t="s">
        <v>25</v>
      </c>
      <c r="V10" s="230" t="s">
        <v>306</v>
      </c>
      <c r="W10" s="230" t="s">
        <v>19</v>
      </c>
      <c r="X10" s="230" t="s">
        <v>25</v>
      </c>
      <c r="Y10" s="230" t="s">
        <v>19</v>
      </c>
      <c r="Z10" s="230" t="s">
        <v>19</v>
      </c>
      <c r="AA10" s="230" t="s">
        <v>19</v>
      </c>
      <c r="AB10" s="230" t="s">
        <v>306</v>
      </c>
      <c r="AC10" s="230" t="s">
        <v>25</v>
      </c>
      <c r="AD10" s="230" t="s">
        <v>19</v>
      </c>
      <c r="AE10" s="230" t="s">
        <v>19</v>
      </c>
      <c r="AF10" s="230" t="s">
        <v>19</v>
      </c>
      <c r="AG10" s="230" t="s">
        <v>19</v>
      </c>
      <c r="AH10" s="230" t="s">
        <v>19</v>
      </c>
      <c r="AI10" s="230" t="s">
        <v>19</v>
      </c>
      <c r="AJ10" s="230" t="s">
        <v>19</v>
      </c>
      <c r="AK10" s="230" t="s">
        <v>19</v>
      </c>
      <c r="AL10" s="230" t="s">
        <v>19</v>
      </c>
      <c r="AM10" s="230" t="s">
        <v>19</v>
      </c>
      <c r="AN10" s="230" t="s">
        <v>19</v>
      </c>
      <c r="AO10" s="230" t="s">
        <v>19</v>
      </c>
      <c r="AP10" s="230" t="s">
        <v>19</v>
      </c>
      <c r="AQ10" s="230" t="s">
        <v>19</v>
      </c>
      <c r="AR10" s="230" t="s">
        <v>306</v>
      </c>
      <c r="AS10" s="230" t="s">
        <v>306</v>
      </c>
      <c r="AT10" s="230" t="s">
        <v>19</v>
      </c>
      <c r="AU10" s="230" t="s">
        <v>25</v>
      </c>
      <c r="AV10" s="230" t="s">
        <v>25</v>
      </c>
      <c r="AW10" s="230" t="s">
        <v>25</v>
      </c>
      <c r="AX10" s="230" t="s">
        <v>25</v>
      </c>
      <c r="AY10" s="230" t="s">
        <v>19</v>
      </c>
      <c r="AZ10" s="230" t="s">
        <v>19</v>
      </c>
      <c r="BA10" s="230" t="s">
        <v>19</v>
      </c>
      <c r="BB10" s="230" t="s">
        <v>306</v>
      </c>
      <c r="BC10" s="230" t="s">
        <v>306</v>
      </c>
      <c r="BD10" s="231" t="s">
        <v>19</v>
      </c>
    </row>
    <row r="11" spans="1:56" ht="15.75" customHeight="1" x14ac:dyDescent="0.25">
      <c r="A11" s="229">
        <v>44797.488791828699</v>
      </c>
      <c r="B11" s="230" t="s">
        <v>304</v>
      </c>
      <c r="C11" s="230">
        <v>2022</v>
      </c>
      <c r="D11" s="230" t="s">
        <v>17</v>
      </c>
      <c r="E11" s="230" t="s">
        <v>515</v>
      </c>
      <c r="F11" s="230" t="s">
        <v>15</v>
      </c>
      <c r="G11" s="230" t="s">
        <v>516</v>
      </c>
      <c r="H11" s="230" t="s">
        <v>533</v>
      </c>
      <c r="I11" s="230" t="s">
        <v>18</v>
      </c>
      <c r="J11" s="230">
        <v>11</v>
      </c>
      <c r="K11" s="230" t="s">
        <v>531</v>
      </c>
      <c r="L11" s="230" t="s">
        <v>532</v>
      </c>
      <c r="M11" s="230" t="s">
        <v>518</v>
      </c>
      <c r="N11" s="230" t="s">
        <v>389</v>
      </c>
      <c r="O11" s="230"/>
      <c r="P11" s="230"/>
      <c r="Q11" s="230"/>
      <c r="R11" s="230" t="s">
        <v>306</v>
      </c>
      <c r="S11" s="230" t="s">
        <v>306</v>
      </c>
      <c r="T11" s="230" t="s">
        <v>306</v>
      </c>
      <c r="U11" s="230" t="s">
        <v>306</v>
      </c>
      <c r="V11" s="230" t="s">
        <v>306</v>
      </c>
      <c r="W11" s="230" t="s">
        <v>19</v>
      </c>
      <c r="X11" s="230" t="s">
        <v>306</v>
      </c>
      <c r="Y11" s="230" t="s">
        <v>306</v>
      </c>
      <c r="Z11" s="230" t="s">
        <v>19</v>
      </c>
      <c r="AA11" s="230" t="s">
        <v>306</v>
      </c>
      <c r="AB11" s="230" t="s">
        <v>19</v>
      </c>
      <c r="AC11" s="230" t="s">
        <v>19</v>
      </c>
      <c r="AD11" s="230" t="s">
        <v>19</v>
      </c>
      <c r="AE11" s="230" t="s">
        <v>19</v>
      </c>
      <c r="AF11" s="230" t="s">
        <v>19</v>
      </c>
      <c r="AG11" s="230" t="s">
        <v>19</v>
      </c>
      <c r="AH11" s="230" t="s">
        <v>19</v>
      </c>
      <c r="AI11" s="230" t="s">
        <v>306</v>
      </c>
      <c r="AJ11" s="230" t="s">
        <v>306</v>
      </c>
      <c r="AK11" s="230" t="s">
        <v>19</v>
      </c>
      <c r="AL11" s="230" t="s">
        <v>19</v>
      </c>
      <c r="AM11" s="230" t="s">
        <v>19</v>
      </c>
      <c r="AN11" s="230" t="s">
        <v>19</v>
      </c>
      <c r="AO11" s="230" t="s">
        <v>19</v>
      </c>
      <c r="AP11" s="230" t="s">
        <v>19</v>
      </c>
      <c r="AQ11" s="230" t="s">
        <v>19</v>
      </c>
      <c r="AR11" s="230" t="s">
        <v>25</v>
      </c>
      <c r="AS11" s="230" t="s">
        <v>19</v>
      </c>
      <c r="AT11" s="230" t="s">
        <v>19</v>
      </c>
      <c r="AU11" s="230" t="s">
        <v>19</v>
      </c>
      <c r="AV11" s="230" t="s">
        <v>306</v>
      </c>
      <c r="AW11" s="230" t="s">
        <v>306</v>
      </c>
      <c r="AX11" s="230" t="s">
        <v>306</v>
      </c>
      <c r="AY11" s="230" t="s">
        <v>19</v>
      </c>
      <c r="AZ11" s="230" t="s">
        <v>19</v>
      </c>
      <c r="BA11" s="230" t="s">
        <v>19</v>
      </c>
      <c r="BB11" s="230" t="s">
        <v>306</v>
      </c>
      <c r="BC11" s="230" t="s">
        <v>25</v>
      </c>
      <c r="BD11" s="231" t="s">
        <v>19</v>
      </c>
    </row>
    <row r="12" spans="1:56" ht="15.75" customHeight="1" x14ac:dyDescent="0.25">
      <c r="A12" s="229">
        <v>44798.423423912041</v>
      </c>
      <c r="B12" s="230" t="s">
        <v>304</v>
      </c>
      <c r="C12" s="230">
        <v>2022</v>
      </c>
      <c r="D12" s="230" t="s">
        <v>17</v>
      </c>
      <c r="E12" s="230" t="s">
        <v>515</v>
      </c>
      <c r="F12" s="230" t="s">
        <v>15</v>
      </c>
      <c r="G12" s="230" t="s">
        <v>516</v>
      </c>
      <c r="H12" s="230" t="s">
        <v>534</v>
      </c>
      <c r="I12" s="230" t="s">
        <v>24</v>
      </c>
      <c r="J12" s="230">
        <v>11</v>
      </c>
      <c r="K12" s="230" t="s">
        <v>531</v>
      </c>
      <c r="L12" s="230" t="s">
        <v>532</v>
      </c>
      <c r="M12" s="230" t="s">
        <v>518</v>
      </c>
      <c r="N12" s="230" t="s">
        <v>412</v>
      </c>
      <c r="O12" s="230"/>
      <c r="P12" s="230"/>
      <c r="Q12" s="230"/>
      <c r="R12" s="230" t="s">
        <v>306</v>
      </c>
      <c r="S12" s="230" t="s">
        <v>306</v>
      </c>
      <c r="T12" s="230" t="s">
        <v>306</v>
      </c>
      <c r="U12" s="230" t="s">
        <v>306</v>
      </c>
      <c r="V12" s="230" t="s">
        <v>306</v>
      </c>
      <c r="W12" s="230" t="s">
        <v>19</v>
      </c>
      <c r="X12" s="230" t="s">
        <v>25</v>
      </c>
      <c r="Y12" s="230" t="s">
        <v>19</v>
      </c>
      <c r="Z12" s="230" t="s">
        <v>19</v>
      </c>
      <c r="AA12" s="230" t="s">
        <v>19</v>
      </c>
      <c r="AB12" s="230" t="s">
        <v>306</v>
      </c>
      <c r="AC12" s="230" t="s">
        <v>306</v>
      </c>
      <c r="AD12" s="230" t="s">
        <v>19</v>
      </c>
      <c r="AE12" s="230" t="s">
        <v>306</v>
      </c>
      <c r="AF12" s="230" t="s">
        <v>25</v>
      </c>
      <c r="AG12" s="230" t="s">
        <v>306</v>
      </c>
      <c r="AH12" s="230" t="s">
        <v>25</v>
      </c>
      <c r="AI12" s="230" t="s">
        <v>306</v>
      </c>
      <c r="AJ12" s="230" t="s">
        <v>306</v>
      </c>
      <c r="AK12" s="230" t="s">
        <v>306</v>
      </c>
      <c r="AL12" s="230" t="s">
        <v>306</v>
      </c>
      <c r="AM12" s="230" t="s">
        <v>306</v>
      </c>
      <c r="AN12" s="230" t="s">
        <v>306</v>
      </c>
      <c r="AO12" s="230" t="s">
        <v>19</v>
      </c>
      <c r="AP12" s="230" t="s">
        <v>19</v>
      </c>
      <c r="AQ12" s="230" t="s">
        <v>19</v>
      </c>
      <c r="AR12" s="230" t="s">
        <v>25</v>
      </c>
      <c r="AS12" s="230" t="s">
        <v>25</v>
      </c>
      <c r="AT12" s="230" t="s">
        <v>25</v>
      </c>
      <c r="AU12" s="230" t="s">
        <v>25</v>
      </c>
      <c r="AV12" s="230" t="s">
        <v>25</v>
      </c>
      <c r="AW12" s="230" t="s">
        <v>25</v>
      </c>
      <c r="AX12" s="230" t="s">
        <v>25</v>
      </c>
      <c r="AY12" s="230" t="s">
        <v>306</v>
      </c>
      <c r="AZ12" s="230" t="s">
        <v>306</v>
      </c>
      <c r="BA12" s="230" t="s">
        <v>306</v>
      </c>
      <c r="BB12" s="230" t="s">
        <v>306</v>
      </c>
      <c r="BC12" s="230" t="s">
        <v>306</v>
      </c>
      <c r="BD12" s="231" t="s">
        <v>25</v>
      </c>
    </row>
    <row r="13" spans="1:56" ht="15.75" customHeight="1" x14ac:dyDescent="0.25">
      <c r="A13" s="229">
        <v>44798.442969490745</v>
      </c>
      <c r="B13" s="230" t="s">
        <v>304</v>
      </c>
      <c r="C13" s="230">
        <v>2022</v>
      </c>
      <c r="D13" s="230" t="s">
        <v>17</v>
      </c>
      <c r="E13" s="230" t="s">
        <v>515</v>
      </c>
      <c r="F13" s="230" t="s">
        <v>15</v>
      </c>
      <c r="G13" s="230" t="s">
        <v>516</v>
      </c>
      <c r="H13" s="230" t="s">
        <v>535</v>
      </c>
      <c r="I13" s="230" t="s">
        <v>18</v>
      </c>
      <c r="J13" s="230">
        <v>11</v>
      </c>
      <c r="K13" s="230" t="s">
        <v>531</v>
      </c>
      <c r="L13" s="230" t="s">
        <v>532</v>
      </c>
      <c r="M13" s="230" t="s">
        <v>518</v>
      </c>
      <c r="N13" s="230" t="s">
        <v>375</v>
      </c>
      <c r="O13" s="230"/>
      <c r="P13" s="230"/>
      <c r="Q13" s="230"/>
      <c r="R13" s="230" t="s">
        <v>306</v>
      </c>
      <c r="S13" s="230" t="s">
        <v>306</v>
      </c>
      <c r="T13" s="230" t="s">
        <v>25</v>
      </c>
      <c r="U13" s="230" t="s">
        <v>19</v>
      </c>
      <c r="V13" s="230" t="s">
        <v>306</v>
      </c>
      <c r="W13" s="230" t="s">
        <v>19</v>
      </c>
      <c r="X13" s="230" t="s">
        <v>25</v>
      </c>
      <c r="Y13" s="230" t="s">
        <v>25</v>
      </c>
      <c r="Z13" s="230" t="s">
        <v>306</v>
      </c>
      <c r="AA13" s="230" t="s">
        <v>25</v>
      </c>
      <c r="AB13" s="230" t="s">
        <v>306</v>
      </c>
      <c r="AC13" s="230" t="s">
        <v>19</v>
      </c>
      <c r="AD13" s="230" t="s">
        <v>25</v>
      </c>
      <c r="AE13" s="230" t="s">
        <v>306</v>
      </c>
      <c r="AF13" s="230" t="s">
        <v>25</v>
      </c>
      <c r="AG13" s="230" t="s">
        <v>306</v>
      </c>
      <c r="AH13" s="230" t="s">
        <v>25</v>
      </c>
      <c r="AI13" s="230" t="s">
        <v>306</v>
      </c>
      <c r="AJ13" s="230" t="s">
        <v>25</v>
      </c>
      <c r="AK13" s="230" t="s">
        <v>19</v>
      </c>
      <c r="AL13" s="230" t="s">
        <v>306</v>
      </c>
      <c r="AM13" s="230" t="s">
        <v>19</v>
      </c>
      <c r="AN13" s="230" t="s">
        <v>25</v>
      </c>
      <c r="AO13" s="230" t="s">
        <v>25</v>
      </c>
      <c r="AP13" s="230" t="s">
        <v>25</v>
      </c>
      <c r="AQ13" s="230" t="s">
        <v>306</v>
      </c>
      <c r="AR13" s="230" t="s">
        <v>25</v>
      </c>
      <c r="AS13" s="230" t="s">
        <v>25</v>
      </c>
      <c r="AT13" s="230" t="s">
        <v>25</v>
      </c>
      <c r="AU13" s="230" t="s">
        <v>25</v>
      </c>
      <c r="AV13" s="230" t="s">
        <v>25</v>
      </c>
      <c r="AW13" s="230" t="s">
        <v>306</v>
      </c>
      <c r="AX13" s="230" t="s">
        <v>25</v>
      </c>
      <c r="AY13" s="230" t="s">
        <v>25</v>
      </c>
      <c r="AZ13" s="230" t="s">
        <v>306</v>
      </c>
      <c r="BA13" s="230" t="s">
        <v>25</v>
      </c>
      <c r="BB13" s="230" t="s">
        <v>25</v>
      </c>
      <c r="BC13" s="230" t="s">
        <v>25</v>
      </c>
      <c r="BD13" s="231" t="s">
        <v>306</v>
      </c>
    </row>
    <row r="14" spans="1:56" ht="15.75" customHeight="1" x14ac:dyDescent="0.25">
      <c r="A14" s="229">
        <v>44792.509453749997</v>
      </c>
      <c r="B14" s="230" t="s">
        <v>384</v>
      </c>
      <c r="C14" s="230">
        <v>2022</v>
      </c>
      <c r="D14" s="230" t="s">
        <v>17</v>
      </c>
      <c r="E14" s="230" t="s">
        <v>515</v>
      </c>
      <c r="F14" s="230" t="s">
        <v>15</v>
      </c>
      <c r="G14" s="230" t="s">
        <v>516</v>
      </c>
      <c r="H14" s="230" t="s">
        <v>536</v>
      </c>
      <c r="I14" s="230" t="s">
        <v>18</v>
      </c>
      <c r="J14" s="230">
        <v>11</v>
      </c>
      <c r="K14" s="230" t="s">
        <v>531</v>
      </c>
      <c r="L14" s="230" t="s">
        <v>532</v>
      </c>
      <c r="M14" s="230" t="s">
        <v>518</v>
      </c>
      <c r="N14" s="230" t="s">
        <v>412</v>
      </c>
      <c r="O14" s="230"/>
      <c r="P14" s="230"/>
      <c r="Q14" s="230"/>
      <c r="R14" s="230" t="s">
        <v>19</v>
      </c>
      <c r="S14" s="230" t="s">
        <v>306</v>
      </c>
      <c r="T14" s="230" t="s">
        <v>306</v>
      </c>
      <c r="U14" s="230" t="s">
        <v>19</v>
      </c>
      <c r="V14" s="230" t="s">
        <v>306</v>
      </c>
      <c r="W14" s="230" t="s">
        <v>19</v>
      </c>
      <c r="X14" s="230" t="s">
        <v>306</v>
      </c>
      <c r="Y14" s="230" t="s">
        <v>19</v>
      </c>
      <c r="Z14" s="230" t="s">
        <v>19</v>
      </c>
      <c r="AA14" s="230" t="s">
        <v>19</v>
      </c>
      <c r="AB14" s="230" t="s">
        <v>306</v>
      </c>
      <c r="AC14" s="230" t="s">
        <v>306</v>
      </c>
      <c r="AD14" s="230" t="s">
        <v>19</v>
      </c>
      <c r="AE14" s="230" t="s">
        <v>19</v>
      </c>
      <c r="AF14" s="230" t="s">
        <v>19</v>
      </c>
      <c r="AG14" s="230" t="s">
        <v>19</v>
      </c>
      <c r="AH14" s="230" t="s">
        <v>19</v>
      </c>
      <c r="AI14" s="230" t="s">
        <v>19</v>
      </c>
      <c r="AJ14" s="230" t="s">
        <v>19</v>
      </c>
      <c r="AK14" s="230" t="s">
        <v>19</v>
      </c>
      <c r="AL14" s="230" t="s">
        <v>19</v>
      </c>
      <c r="AM14" s="230" t="s">
        <v>19</v>
      </c>
      <c r="AN14" s="230" t="s">
        <v>19</v>
      </c>
      <c r="AO14" s="230" t="s">
        <v>19</v>
      </c>
      <c r="AP14" s="230" t="s">
        <v>19</v>
      </c>
      <c r="AQ14" s="230" t="s">
        <v>19</v>
      </c>
      <c r="AR14" s="230" t="s">
        <v>306</v>
      </c>
      <c r="AS14" s="230" t="s">
        <v>25</v>
      </c>
      <c r="AT14" s="230" t="s">
        <v>25</v>
      </c>
      <c r="AU14" s="230" t="s">
        <v>306</v>
      </c>
      <c r="AV14" s="230" t="s">
        <v>25</v>
      </c>
      <c r="AW14" s="230" t="s">
        <v>25</v>
      </c>
      <c r="AX14" s="230" t="s">
        <v>25</v>
      </c>
      <c r="AY14" s="230" t="s">
        <v>306</v>
      </c>
      <c r="AZ14" s="230" t="s">
        <v>306</v>
      </c>
      <c r="BA14" s="230" t="s">
        <v>306</v>
      </c>
      <c r="BB14" s="230" t="s">
        <v>19</v>
      </c>
      <c r="BC14" s="230" t="s">
        <v>19</v>
      </c>
      <c r="BD14" s="231" t="s">
        <v>25</v>
      </c>
    </row>
    <row r="15" spans="1:56" ht="15.75" customHeight="1" x14ac:dyDescent="0.25">
      <c r="A15" s="229">
        <v>44785.605628703706</v>
      </c>
      <c r="B15" s="230" t="s">
        <v>395</v>
      </c>
      <c r="C15" s="230">
        <v>2022</v>
      </c>
      <c r="D15" s="230" t="s">
        <v>17</v>
      </c>
      <c r="E15" s="230" t="s">
        <v>515</v>
      </c>
      <c r="F15" s="230" t="s">
        <v>15</v>
      </c>
      <c r="G15" s="230" t="s">
        <v>516</v>
      </c>
      <c r="H15" s="230" t="s">
        <v>537</v>
      </c>
      <c r="I15" s="230" t="s">
        <v>18</v>
      </c>
      <c r="J15" s="230">
        <v>11</v>
      </c>
      <c r="K15" s="230" t="s">
        <v>531</v>
      </c>
      <c r="L15" s="230" t="s">
        <v>532</v>
      </c>
      <c r="M15" s="230" t="s">
        <v>518</v>
      </c>
      <c r="N15" s="230" t="s">
        <v>412</v>
      </c>
      <c r="O15" s="230"/>
      <c r="P15" s="230"/>
      <c r="Q15" s="230"/>
      <c r="R15" s="230" t="s">
        <v>306</v>
      </c>
      <c r="S15" s="230" t="s">
        <v>306</v>
      </c>
      <c r="T15" s="230" t="s">
        <v>25</v>
      </c>
      <c r="U15" s="230" t="s">
        <v>19</v>
      </c>
      <c r="V15" s="230" t="s">
        <v>25</v>
      </c>
      <c r="W15" s="230" t="s">
        <v>25</v>
      </c>
      <c r="X15" s="230" t="s">
        <v>25</v>
      </c>
      <c r="Y15" s="230" t="s">
        <v>306</v>
      </c>
      <c r="Z15" s="230" t="s">
        <v>25</v>
      </c>
      <c r="AA15" s="230" t="s">
        <v>19</v>
      </c>
      <c r="AB15" s="230" t="s">
        <v>306</v>
      </c>
      <c r="AC15" s="230" t="s">
        <v>25</v>
      </c>
      <c r="AD15" s="230" t="s">
        <v>19</v>
      </c>
      <c r="AE15" s="230" t="s">
        <v>306</v>
      </c>
      <c r="AF15" s="230" t="s">
        <v>306</v>
      </c>
      <c r="AG15" s="230" t="s">
        <v>19</v>
      </c>
      <c r="AH15" s="230" t="s">
        <v>25</v>
      </c>
      <c r="AI15" s="230" t="s">
        <v>306</v>
      </c>
      <c r="AJ15" s="230" t="s">
        <v>306</v>
      </c>
      <c r="AK15" s="230" t="s">
        <v>19</v>
      </c>
      <c r="AL15" s="230" t="s">
        <v>306</v>
      </c>
      <c r="AM15" s="230" t="s">
        <v>306</v>
      </c>
      <c r="AN15" s="230" t="s">
        <v>19</v>
      </c>
      <c r="AO15" s="230" t="s">
        <v>19</v>
      </c>
      <c r="AP15" s="230" t="s">
        <v>19</v>
      </c>
      <c r="AQ15" s="230" t="s">
        <v>19</v>
      </c>
      <c r="AR15" s="230" t="s">
        <v>19</v>
      </c>
      <c r="AS15" s="230" t="s">
        <v>25</v>
      </c>
      <c r="AT15" s="230" t="s">
        <v>25</v>
      </c>
      <c r="AU15" s="230" t="s">
        <v>25</v>
      </c>
      <c r="AV15" s="230" t="s">
        <v>25</v>
      </c>
      <c r="AW15" s="230" t="s">
        <v>25</v>
      </c>
      <c r="AX15" s="230" t="s">
        <v>25</v>
      </c>
      <c r="AY15" s="230" t="s">
        <v>306</v>
      </c>
      <c r="AZ15" s="230" t="s">
        <v>306</v>
      </c>
      <c r="BA15" s="230" t="s">
        <v>306</v>
      </c>
      <c r="BB15" s="230" t="s">
        <v>19</v>
      </c>
      <c r="BC15" s="230" t="s">
        <v>25</v>
      </c>
      <c r="BD15" s="231" t="s">
        <v>25</v>
      </c>
    </row>
    <row r="16" spans="1:56" ht="15.75" customHeight="1" x14ac:dyDescent="0.25">
      <c r="A16" s="229">
        <v>44796.848985381948</v>
      </c>
      <c r="B16" s="230" t="s">
        <v>406</v>
      </c>
      <c r="C16" s="230">
        <v>2022</v>
      </c>
      <c r="D16" s="230" t="s">
        <v>17</v>
      </c>
      <c r="E16" s="230" t="s">
        <v>515</v>
      </c>
      <c r="F16" s="230" t="s">
        <v>15</v>
      </c>
      <c r="G16" s="230" t="s">
        <v>516</v>
      </c>
      <c r="H16" s="230" t="s">
        <v>538</v>
      </c>
      <c r="I16" s="230" t="s">
        <v>18</v>
      </c>
      <c r="J16" s="230">
        <v>12</v>
      </c>
      <c r="K16" s="230" t="s">
        <v>531</v>
      </c>
      <c r="L16" s="230" t="s">
        <v>539</v>
      </c>
      <c r="M16" s="230" t="s">
        <v>531</v>
      </c>
      <c r="N16" s="230" t="s">
        <v>424</v>
      </c>
      <c r="O16" s="230"/>
      <c r="P16" s="230"/>
      <c r="Q16" s="230"/>
      <c r="R16" s="230" t="s">
        <v>306</v>
      </c>
      <c r="S16" s="230" t="s">
        <v>306</v>
      </c>
      <c r="T16" s="230" t="s">
        <v>25</v>
      </c>
      <c r="U16" s="230" t="s">
        <v>19</v>
      </c>
      <c r="V16" s="230" t="s">
        <v>25</v>
      </c>
      <c r="W16" s="230" t="s">
        <v>25</v>
      </c>
      <c r="X16" s="230" t="s">
        <v>306</v>
      </c>
      <c r="Y16" s="230" t="s">
        <v>19</v>
      </c>
      <c r="Z16" s="230" t="s">
        <v>19</v>
      </c>
      <c r="AA16" s="230" t="s">
        <v>19</v>
      </c>
      <c r="AB16" s="230" t="s">
        <v>306</v>
      </c>
      <c r="AC16" s="230" t="s">
        <v>19</v>
      </c>
      <c r="AD16" s="230" t="s">
        <v>25</v>
      </c>
      <c r="AE16" s="230" t="s">
        <v>306</v>
      </c>
      <c r="AF16" s="230" t="s">
        <v>306</v>
      </c>
      <c r="AG16" s="230" t="s">
        <v>19</v>
      </c>
      <c r="AH16" s="230" t="s">
        <v>306</v>
      </c>
      <c r="AI16" s="230" t="s">
        <v>25</v>
      </c>
      <c r="AJ16" s="230" t="s">
        <v>306</v>
      </c>
      <c r="AK16" s="230" t="s">
        <v>25</v>
      </c>
      <c r="AL16" s="230" t="s">
        <v>306</v>
      </c>
      <c r="AM16" s="230" t="s">
        <v>19</v>
      </c>
      <c r="AN16" s="230" t="s">
        <v>25</v>
      </c>
      <c r="AO16" s="230" t="s">
        <v>306</v>
      </c>
      <c r="AP16" s="230" t="s">
        <v>306</v>
      </c>
      <c r="AQ16" s="230" t="s">
        <v>306</v>
      </c>
      <c r="AR16" s="230" t="s">
        <v>25</v>
      </c>
      <c r="AS16" s="230" t="s">
        <v>306</v>
      </c>
      <c r="AT16" s="230" t="s">
        <v>25</v>
      </c>
      <c r="AU16" s="230" t="s">
        <v>19</v>
      </c>
      <c r="AV16" s="230" t="s">
        <v>25</v>
      </c>
      <c r="AW16" s="230" t="s">
        <v>25</v>
      </c>
      <c r="AX16" s="230" t="s">
        <v>25</v>
      </c>
      <c r="AY16" s="230" t="s">
        <v>306</v>
      </c>
      <c r="AZ16" s="230" t="s">
        <v>19</v>
      </c>
      <c r="BA16" s="230" t="s">
        <v>306</v>
      </c>
      <c r="BB16" s="230" t="s">
        <v>25</v>
      </c>
      <c r="BC16" s="230" t="s">
        <v>306</v>
      </c>
      <c r="BD16" s="231" t="s">
        <v>25</v>
      </c>
    </row>
    <row r="17" spans="1:56" ht="15.75" customHeight="1" x14ac:dyDescent="0.25">
      <c r="A17" s="229">
        <v>44796.932414490744</v>
      </c>
      <c r="B17" s="230" t="s">
        <v>406</v>
      </c>
      <c r="C17" s="230">
        <v>2022</v>
      </c>
      <c r="D17" s="230" t="s">
        <v>17</v>
      </c>
      <c r="E17" s="230" t="s">
        <v>515</v>
      </c>
      <c r="F17" s="230" t="s">
        <v>15</v>
      </c>
      <c r="G17" s="230" t="s">
        <v>516</v>
      </c>
      <c r="H17" s="230" t="s">
        <v>540</v>
      </c>
      <c r="I17" s="230" t="s">
        <v>18</v>
      </c>
      <c r="J17" s="230">
        <v>12</v>
      </c>
      <c r="K17" s="230" t="s">
        <v>531</v>
      </c>
      <c r="L17" s="230" t="s">
        <v>539</v>
      </c>
      <c r="M17" s="230" t="s">
        <v>531</v>
      </c>
      <c r="N17" s="230" t="s">
        <v>424</v>
      </c>
      <c r="O17" s="230"/>
      <c r="P17" s="230"/>
      <c r="Q17" s="230"/>
      <c r="R17" s="230" t="s">
        <v>19</v>
      </c>
      <c r="S17" s="230" t="s">
        <v>306</v>
      </c>
      <c r="T17" s="230" t="s">
        <v>19</v>
      </c>
      <c r="U17" s="230" t="s">
        <v>306</v>
      </c>
      <c r="V17" s="230" t="s">
        <v>306</v>
      </c>
      <c r="W17" s="230" t="s">
        <v>19</v>
      </c>
      <c r="X17" s="230" t="s">
        <v>25</v>
      </c>
      <c r="Y17" s="230" t="s">
        <v>19</v>
      </c>
      <c r="Z17" s="230" t="s">
        <v>19</v>
      </c>
      <c r="AA17" s="230" t="s">
        <v>19</v>
      </c>
      <c r="AB17" s="230" t="s">
        <v>19</v>
      </c>
      <c r="AC17" s="230" t="s">
        <v>19</v>
      </c>
      <c r="AD17" s="230" t="s">
        <v>19</v>
      </c>
      <c r="AE17" s="230" t="s">
        <v>19</v>
      </c>
      <c r="AF17" s="230" t="s">
        <v>19</v>
      </c>
      <c r="AG17" s="230" t="s">
        <v>19</v>
      </c>
      <c r="AH17" s="230" t="s">
        <v>19</v>
      </c>
      <c r="AI17" s="230" t="s">
        <v>19</v>
      </c>
      <c r="AJ17" s="230" t="s">
        <v>19</v>
      </c>
      <c r="AK17" s="230" t="s">
        <v>19</v>
      </c>
      <c r="AL17" s="230" t="s">
        <v>19</v>
      </c>
      <c r="AM17" s="230" t="s">
        <v>19</v>
      </c>
      <c r="AN17" s="230" t="s">
        <v>19</v>
      </c>
      <c r="AO17" s="230" t="s">
        <v>19</v>
      </c>
      <c r="AP17" s="230" t="s">
        <v>19</v>
      </c>
      <c r="AQ17" s="230" t="s">
        <v>19</v>
      </c>
      <c r="AR17" s="230" t="s">
        <v>306</v>
      </c>
      <c r="AS17" s="230" t="s">
        <v>19</v>
      </c>
      <c r="AT17" s="230" t="s">
        <v>19</v>
      </c>
      <c r="AU17" s="230" t="s">
        <v>19</v>
      </c>
      <c r="AV17" s="230" t="s">
        <v>19</v>
      </c>
      <c r="AW17" s="230" t="s">
        <v>19</v>
      </c>
      <c r="AX17" s="230" t="s">
        <v>19</v>
      </c>
      <c r="AY17" s="230" t="s">
        <v>19</v>
      </c>
      <c r="AZ17" s="230" t="s">
        <v>19</v>
      </c>
      <c r="BA17" s="230" t="s">
        <v>19</v>
      </c>
      <c r="BB17" s="230" t="s">
        <v>19</v>
      </c>
      <c r="BC17" s="230" t="s">
        <v>19</v>
      </c>
      <c r="BD17" s="231" t="s">
        <v>19</v>
      </c>
    </row>
    <row r="18" spans="1:56" ht="15.75" customHeight="1" x14ac:dyDescent="0.25">
      <c r="A18" s="229">
        <v>44796.937459386572</v>
      </c>
      <c r="B18" s="230" t="s">
        <v>406</v>
      </c>
      <c r="C18" s="230">
        <v>2022</v>
      </c>
      <c r="D18" s="230" t="s">
        <v>17</v>
      </c>
      <c r="E18" s="230" t="s">
        <v>515</v>
      </c>
      <c r="F18" s="230" t="s">
        <v>15</v>
      </c>
      <c r="G18" s="230" t="s">
        <v>516</v>
      </c>
      <c r="H18" s="230" t="s">
        <v>541</v>
      </c>
      <c r="I18" s="230" t="s">
        <v>18</v>
      </c>
      <c r="J18" s="230">
        <v>12</v>
      </c>
      <c r="K18" s="230" t="s">
        <v>531</v>
      </c>
      <c r="L18" s="230" t="s">
        <v>539</v>
      </c>
      <c r="M18" s="230" t="s">
        <v>531</v>
      </c>
      <c r="N18" s="230" t="s">
        <v>424</v>
      </c>
      <c r="O18" s="230"/>
      <c r="P18" s="230"/>
      <c r="Q18" s="230"/>
      <c r="R18" s="230" t="s">
        <v>306</v>
      </c>
      <c r="S18" s="230" t="s">
        <v>306</v>
      </c>
      <c r="T18" s="230" t="s">
        <v>306</v>
      </c>
      <c r="U18" s="230" t="s">
        <v>306</v>
      </c>
      <c r="V18" s="230" t="s">
        <v>306</v>
      </c>
      <c r="W18" s="230" t="s">
        <v>19</v>
      </c>
      <c r="X18" s="230" t="s">
        <v>25</v>
      </c>
      <c r="Y18" s="230" t="s">
        <v>19</v>
      </c>
      <c r="Z18" s="230" t="s">
        <v>19</v>
      </c>
      <c r="AA18" s="230" t="s">
        <v>19</v>
      </c>
      <c r="AB18" s="230" t="s">
        <v>19</v>
      </c>
      <c r="AC18" s="230" t="s">
        <v>19</v>
      </c>
      <c r="AD18" s="230" t="s">
        <v>19</v>
      </c>
      <c r="AE18" s="230" t="s">
        <v>19</v>
      </c>
      <c r="AF18" s="230" t="s">
        <v>19</v>
      </c>
      <c r="AG18" s="230" t="s">
        <v>19</v>
      </c>
      <c r="AH18" s="230" t="s">
        <v>19</v>
      </c>
      <c r="AI18" s="230" t="s">
        <v>19</v>
      </c>
      <c r="AJ18" s="230" t="s">
        <v>19</v>
      </c>
      <c r="AK18" s="230" t="s">
        <v>19</v>
      </c>
      <c r="AL18" s="230" t="s">
        <v>19</v>
      </c>
      <c r="AM18" s="230" t="s">
        <v>19</v>
      </c>
      <c r="AN18" s="230" t="s">
        <v>19</v>
      </c>
      <c r="AO18" s="230" t="s">
        <v>19</v>
      </c>
      <c r="AP18" s="230" t="s">
        <v>19</v>
      </c>
      <c r="AQ18" s="230" t="s">
        <v>19</v>
      </c>
      <c r="AR18" s="230" t="s">
        <v>306</v>
      </c>
      <c r="AS18" s="230" t="s">
        <v>19</v>
      </c>
      <c r="AT18" s="230" t="s">
        <v>19</v>
      </c>
      <c r="AU18" s="230" t="s">
        <v>19</v>
      </c>
      <c r="AV18" s="230" t="s">
        <v>19</v>
      </c>
      <c r="AW18" s="230" t="s">
        <v>19</v>
      </c>
      <c r="AX18" s="230" t="s">
        <v>19</v>
      </c>
      <c r="AY18" s="230" t="s">
        <v>19</v>
      </c>
      <c r="AZ18" s="230" t="s">
        <v>19</v>
      </c>
      <c r="BA18" s="230" t="s">
        <v>19</v>
      </c>
      <c r="BB18" s="230" t="s">
        <v>306</v>
      </c>
      <c r="BC18" s="230" t="s">
        <v>19</v>
      </c>
      <c r="BD18" s="231" t="s">
        <v>19</v>
      </c>
    </row>
    <row r="19" spans="1:56" ht="15.75" customHeight="1" x14ac:dyDescent="0.25">
      <c r="A19" s="229">
        <v>44796.944038368056</v>
      </c>
      <c r="B19" s="230" t="s">
        <v>406</v>
      </c>
      <c r="C19" s="230">
        <v>2022</v>
      </c>
      <c r="D19" s="230" t="s">
        <v>17</v>
      </c>
      <c r="E19" s="230" t="s">
        <v>515</v>
      </c>
      <c r="F19" s="230" t="s">
        <v>15</v>
      </c>
      <c r="G19" s="230" t="s">
        <v>516</v>
      </c>
      <c r="H19" s="230" t="s">
        <v>542</v>
      </c>
      <c r="I19" s="230" t="s">
        <v>24</v>
      </c>
      <c r="J19" s="230">
        <v>11</v>
      </c>
      <c r="K19" s="230" t="s">
        <v>531</v>
      </c>
      <c r="L19" s="230" t="s">
        <v>539</v>
      </c>
      <c r="M19" s="230" t="s">
        <v>531</v>
      </c>
      <c r="N19" s="230" t="s">
        <v>424</v>
      </c>
      <c r="O19" s="230"/>
      <c r="P19" s="230"/>
      <c r="Q19" s="230"/>
      <c r="R19" s="230" t="s">
        <v>306</v>
      </c>
      <c r="S19" s="230" t="s">
        <v>306</v>
      </c>
      <c r="T19" s="230" t="s">
        <v>306</v>
      </c>
      <c r="U19" s="230" t="s">
        <v>306</v>
      </c>
      <c r="V19" s="230" t="s">
        <v>306</v>
      </c>
      <c r="W19" s="230" t="s">
        <v>19</v>
      </c>
      <c r="X19" s="230" t="s">
        <v>25</v>
      </c>
      <c r="Y19" s="230" t="s">
        <v>306</v>
      </c>
      <c r="Z19" s="230" t="s">
        <v>25</v>
      </c>
      <c r="AA19" s="230" t="s">
        <v>19</v>
      </c>
      <c r="AB19" s="230" t="s">
        <v>25</v>
      </c>
      <c r="AC19" s="230" t="s">
        <v>306</v>
      </c>
      <c r="AD19" s="230" t="s">
        <v>25</v>
      </c>
      <c r="AE19" s="230" t="s">
        <v>306</v>
      </c>
      <c r="AF19" s="230" t="s">
        <v>25</v>
      </c>
      <c r="AG19" s="230" t="s">
        <v>306</v>
      </c>
      <c r="AH19" s="230" t="s">
        <v>25</v>
      </c>
      <c r="AI19" s="230" t="s">
        <v>306</v>
      </c>
      <c r="AJ19" s="230" t="s">
        <v>306</v>
      </c>
      <c r="AK19" s="230" t="s">
        <v>19</v>
      </c>
      <c r="AL19" s="230" t="s">
        <v>25</v>
      </c>
      <c r="AM19" s="230" t="s">
        <v>25</v>
      </c>
      <c r="AN19" s="230" t="s">
        <v>25</v>
      </c>
      <c r="AO19" s="230" t="s">
        <v>306</v>
      </c>
      <c r="AP19" s="230" t="s">
        <v>19</v>
      </c>
      <c r="AQ19" s="230" t="s">
        <v>306</v>
      </c>
      <c r="AR19" s="230" t="s">
        <v>306</v>
      </c>
      <c r="AS19" s="230" t="s">
        <v>25</v>
      </c>
      <c r="AT19" s="230" t="s">
        <v>25</v>
      </c>
      <c r="AU19" s="230" t="s">
        <v>306</v>
      </c>
      <c r="AV19" s="230" t="s">
        <v>25</v>
      </c>
      <c r="AW19" s="230" t="s">
        <v>25</v>
      </c>
      <c r="AX19" s="230" t="s">
        <v>25</v>
      </c>
      <c r="AY19" s="230" t="s">
        <v>19</v>
      </c>
      <c r="AZ19" s="230" t="s">
        <v>19</v>
      </c>
      <c r="BA19" s="230" t="s">
        <v>19</v>
      </c>
      <c r="BB19" s="230" t="s">
        <v>306</v>
      </c>
      <c r="BC19" s="230" t="s">
        <v>19</v>
      </c>
      <c r="BD19" s="231" t="s">
        <v>25</v>
      </c>
    </row>
    <row r="20" spans="1:56" ht="15.75" customHeight="1" x14ac:dyDescent="0.25">
      <c r="A20" s="229">
        <v>44796.94610789352</v>
      </c>
      <c r="B20" s="230" t="s">
        <v>406</v>
      </c>
      <c r="C20" s="230">
        <v>2022</v>
      </c>
      <c r="D20" s="230" t="s">
        <v>17</v>
      </c>
      <c r="E20" s="230" t="s">
        <v>515</v>
      </c>
      <c r="F20" s="230" t="s">
        <v>15</v>
      </c>
      <c r="G20" s="230" t="s">
        <v>516</v>
      </c>
      <c r="H20" s="230" t="s">
        <v>543</v>
      </c>
      <c r="I20" s="230" t="s">
        <v>18</v>
      </c>
      <c r="J20" s="230">
        <v>12</v>
      </c>
      <c r="K20" s="230" t="s">
        <v>531</v>
      </c>
      <c r="L20" s="230" t="s">
        <v>539</v>
      </c>
      <c r="M20" s="230" t="s">
        <v>531</v>
      </c>
      <c r="N20" s="230" t="s">
        <v>424</v>
      </c>
      <c r="O20" s="230"/>
      <c r="P20" s="230"/>
      <c r="Q20" s="230"/>
      <c r="R20" s="230" t="s">
        <v>306</v>
      </c>
      <c r="S20" s="230" t="s">
        <v>306</v>
      </c>
      <c r="T20" s="230" t="s">
        <v>306</v>
      </c>
      <c r="U20" s="230" t="s">
        <v>306</v>
      </c>
      <c r="V20" s="230" t="s">
        <v>25</v>
      </c>
      <c r="W20" s="230" t="s">
        <v>306</v>
      </c>
      <c r="X20" s="230" t="s">
        <v>25</v>
      </c>
      <c r="Y20" s="230" t="s">
        <v>19</v>
      </c>
      <c r="Z20" s="230" t="s">
        <v>19</v>
      </c>
      <c r="AA20" s="230" t="s">
        <v>19</v>
      </c>
      <c r="AB20" s="230" t="s">
        <v>306</v>
      </c>
      <c r="AC20" s="230" t="s">
        <v>306</v>
      </c>
      <c r="AD20" s="230" t="s">
        <v>306</v>
      </c>
      <c r="AE20" s="230" t="s">
        <v>306</v>
      </c>
      <c r="AF20" s="230" t="s">
        <v>306</v>
      </c>
      <c r="AG20" s="230" t="s">
        <v>306</v>
      </c>
      <c r="AH20" s="230" t="s">
        <v>306</v>
      </c>
      <c r="AI20" s="230" t="s">
        <v>306</v>
      </c>
      <c r="AJ20" s="230" t="s">
        <v>306</v>
      </c>
      <c r="AK20" s="230" t="s">
        <v>306</v>
      </c>
      <c r="AL20" s="230" t="s">
        <v>306</v>
      </c>
      <c r="AM20" s="230" t="s">
        <v>306</v>
      </c>
      <c r="AN20" s="230" t="s">
        <v>306</v>
      </c>
      <c r="AO20" s="230" t="s">
        <v>306</v>
      </c>
      <c r="AP20" s="230" t="s">
        <v>306</v>
      </c>
      <c r="AQ20" s="230" t="s">
        <v>19</v>
      </c>
      <c r="AR20" s="230" t="s">
        <v>306</v>
      </c>
      <c r="AS20" s="230" t="s">
        <v>306</v>
      </c>
      <c r="AT20" s="230" t="s">
        <v>19</v>
      </c>
      <c r="AU20" s="230" t="s">
        <v>306</v>
      </c>
      <c r="AV20" s="230" t="s">
        <v>306</v>
      </c>
      <c r="AW20" s="230" t="s">
        <v>306</v>
      </c>
      <c r="AX20" s="230" t="s">
        <v>19</v>
      </c>
      <c r="AY20" s="230" t="s">
        <v>19</v>
      </c>
      <c r="AZ20" s="230" t="s">
        <v>19</v>
      </c>
      <c r="BA20" s="230" t="s">
        <v>19</v>
      </c>
      <c r="BB20" s="230" t="s">
        <v>25</v>
      </c>
      <c r="BC20" s="230" t="s">
        <v>19</v>
      </c>
      <c r="BD20" s="231" t="s">
        <v>19</v>
      </c>
    </row>
    <row r="21" spans="1:56" ht="15.75" customHeight="1" x14ac:dyDescent="0.25">
      <c r="A21" s="229">
        <v>44796.948861053243</v>
      </c>
      <c r="B21" s="230" t="s">
        <v>406</v>
      </c>
      <c r="C21" s="230">
        <v>2022</v>
      </c>
      <c r="D21" s="230" t="s">
        <v>17</v>
      </c>
      <c r="E21" s="230" t="s">
        <v>515</v>
      </c>
      <c r="F21" s="230" t="s">
        <v>15</v>
      </c>
      <c r="G21" s="230" t="s">
        <v>516</v>
      </c>
      <c r="H21" s="230" t="s">
        <v>544</v>
      </c>
      <c r="I21" s="230" t="s">
        <v>24</v>
      </c>
      <c r="J21" s="230">
        <v>14</v>
      </c>
      <c r="K21" s="230" t="s">
        <v>531</v>
      </c>
      <c r="L21" s="230" t="s">
        <v>539</v>
      </c>
      <c r="M21" s="230" t="s">
        <v>531</v>
      </c>
      <c r="N21" s="230" t="s">
        <v>424</v>
      </c>
      <c r="O21" s="230"/>
      <c r="P21" s="230"/>
      <c r="Q21" s="230"/>
      <c r="R21" s="230" t="s">
        <v>306</v>
      </c>
      <c r="S21" s="230" t="s">
        <v>306</v>
      </c>
      <c r="T21" s="230" t="s">
        <v>306</v>
      </c>
      <c r="U21" s="230" t="s">
        <v>19</v>
      </c>
      <c r="V21" s="230" t="s">
        <v>306</v>
      </c>
      <c r="W21" s="230" t="s">
        <v>19</v>
      </c>
      <c r="X21" s="230" t="s">
        <v>25</v>
      </c>
      <c r="Y21" s="230" t="s">
        <v>19</v>
      </c>
      <c r="Z21" s="230" t="s">
        <v>19</v>
      </c>
      <c r="AA21" s="230" t="s">
        <v>19</v>
      </c>
      <c r="AB21" s="230" t="s">
        <v>306</v>
      </c>
      <c r="AC21" s="230" t="s">
        <v>19</v>
      </c>
      <c r="AD21" s="230" t="s">
        <v>306</v>
      </c>
      <c r="AE21" s="230" t="s">
        <v>306</v>
      </c>
      <c r="AF21" s="230" t="s">
        <v>306</v>
      </c>
      <c r="AG21" s="230" t="s">
        <v>306</v>
      </c>
      <c r="AH21" s="230" t="s">
        <v>306</v>
      </c>
      <c r="AI21" s="230" t="s">
        <v>306</v>
      </c>
      <c r="AJ21" s="230" t="s">
        <v>306</v>
      </c>
      <c r="AK21" s="230" t="s">
        <v>306</v>
      </c>
      <c r="AL21" s="230" t="s">
        <v>306</v>
      </c>
      <c r="AM21" s="230" t="s">
        <v>306</v>
      </c>
      <c r="AN21" s="230" t="s">
        <v>19</v>
      </c>
      <c r="AO21" s="230" t="s">
        <v>19</v>
      </c>
      <c r="AP21" s="230" t="s">
        <v>19</v>
      </c>
      <c r="AQ21" s="230" t="s">
        <v>19</v>
      </c>
      <c r="AR21" s="230" t="s">
        <v>306</v>
      </c>
      <c r="AS21" s="230" t="s">
        <v>19</v>
      </c>
      <c r="AT21" s="230" t="s">
        <v>19</v>
      </c>
      <c r="AU21" s="230" t="s">
        <v>19</v>
      </c>
      <c r="AV21" s="230" t="s">
        <v>306</v>
      </c>
      <c r="AW21" s="230" t="s">
        <v>306</v>
      </c>
      <c r="AX21" s="230" t="s">
        <v>19</v>
      </c>
      <c r="AY21" s="230" t="s">
        <v>19</v>
      </c>
      <c r="AZ21" s="230" t="s">
        <v>19</v>
      </c>
      <c r="BA21" s="230" t="s">
        <v>19</v>
      </c>
      <c r="BB21" s="230" t="s">
        <v>306</v>
      </c>
      <c r="BC21" s="230" t="s">
        <v>19</v>
      </c>
      <c r="BD21" s="231" t="s">
        <v>19</v>
      </c>
    </row>
    <row r="22" spans="1:56" ht="15.75" customHeight="1" x14ac:dyDescent="0.25">
      <c r="A22" s="229">
        <v>44796.95953644676</v>
      </c>
      <c r="B22" s="230" t="s">
        <v>406</v>
      </c>
      <c r="C22" s="230">
        <v>2022</v>
      </c>
      <c r="D22" s="230" t="s">
        <v>17</v>
      </c>
      <c r="E22" s="230" t="s">
        <v>515</v>
      </c>
      <c r="F22" s="230" t="s">
        <v>15</v>
      </c>
      <c r="G22" s="230" t="s">
        <v>516</v>
      </c>
      <c r="H22" s="230" t="s">
        <v>545</v>
      </c>
      <c r="I22" s="230" t="s">
        <v>18</v>
      </c>
      <c r="J22" s="230">
        <v>12</v>
      </c>
      <c r="K22" s="230" t="s">
        <v>531</v>
      </c>
      <c r="L22" s="230" t="s">
        <v>539</v>
      </c>
      <c r="M22" s="230" t="s">
        <v>531</v>
      </c>
      <c r="N22" s="230" t="s">
        <v>424</v>
      </c>
      <c r="O22" s="230"/>
      <c r="P22" s="230"/>
      <c r="Q22" s="230"/>
      <c r="R22" s="230" t="s">
        <v>306</v>
      </c>
      <c r="S22" s="230" t="s">
        <v>306</v>
      </c>
      <c r="T22" s="230" t="s">
        <v>306</v>
      </c>
      <c r="U22" s="230" t="s">
        <v>19</v>
      </c>
      <c r="V22" s="230" t="s">
        <v>306</v>
      </c>
      <c r="W22" s="230" t="s">
        <v>19</v>
      </c>
      <c r="X22" s="230" t="s">
        <v>25</v>
      </c>
      <c r="Y22" s="230" t="s">
        <v>306</v>
      </c>
      <c r="Z22" s="230" t="s">
        <v>306</v>
      </c>
      <c r="AA22" s="230" t="s">
        <v>306</v>
      </c>
      <c r="AB22" s="230" t="s">
        <v>306</v>
      </c>
      <c r="AC22" s="230" t="s">
        <v>306</v>
      </c>
      <c r="AD22" s="230" t="s">
        <v>19</v>
      </c>
      <c r="AE22" s="230" t="s">
        <v>306</v>
      </c>
      <c r="AF22" s="230" t="s">
        <v>306</v>
      </c>
      <c r="AG22" s="230" t="s">
        <v>306</v>
      </c>
      <c r="AH22" s="230" t="s">
        <v>19</v>
      </c>
      <c r="AI22" s="230" t="s">
        <v>306</v>
      </c>
      <c r="AJ22" s="230" t="s">
        <v>306</v>
      </c>
      <c r="AK22" s="230" t="s">
        <v>19</v>
      </c>
      <c r="AL22" s="230" t="s">
        <v>306</v>
      </c>
      <c r="AM22" s="230" t="s">
        <v>306</v>
      </c>
      <c r="AN22" s="230" t="s">
        <v>19</v>
      </c>
      <c r="AO22" s="230" t="s">
        <v>306</v>
      </c>
      <c r="AP22" s="230" t="s">
        <v>19</v>
      </c>
      <c r="AQ22" s="230" t="s">
        <v>306</v>
      </c>
      <c r="AR22" s="230" t="s">
        <v>306</v>
      </c>
      <c r="AS22" s="230" t="s">
        <v>306</v>
      </c>
      <c r="AT22" s="230" t="s">
        <v>19</v>
      </c>
      <c r="AU22" s="230" t="s">
        <v>306</v>
      </c>
      <c r="AV22" s="230" t="s">
        <v>306</v>
      </c>
      <c r="AW22" s="230" t="s">
        <v>19</v>
      </c>
      <c r="AX22" s="230" t="s">
        <v>306</v>
      </c>
      <c r="AY22" s="230" t="s">
        <v>306</v>
      </c>
      <c r="AZ22" s="230" t="s">
        <v>19</v>
      </c>
      <c r="BA22" s="230" t="s">
        <v>306</v>
      </c>
      <c r="BB22" s="230" t="s">
        <v>25</v>
      </c>
      <c r="BC22" s="230" t="s">
        <v>306</v>
      </c>
      <c r="BD22" s="231" t="s">
        <v>306</v>
      </c>
    </row>
    <row r="23" spans="1:56" ht="15.75" customHeight="1" x14ac:dyDescent="0.25">
      <c r="A23" s="229">
        <v>44796.961588715276</v>
      </c>
      <c r="B23" s="230" t="s">
        <v>406</v>
      </c>
      <c r="C23" s="230">
        <v>2022</v>
      </c>
      <c r="D23" s="230" t="s">
        <v>17</v>
      </c>
      <c r="E23" s="230" t="s">
        <v>515</v>
      </c>
      <c r="F23" s="230" t="s">
        <v>15</v>
      </c>
      <c r="G23" s="230" t="s">
        <v>516</v>
      </c>
      <c r="H23" s="230" t="s">
        <v>546</v>
      </c>
      <c r="I23" s="230" t="s">
        <v>18</v>
      </c>
      <c r="J23" s="230">
        <v>14</v>
      </c>
      <c r="K23" s="230" t="s">
        <v>531</v>
      </c>
      <c r="L23" s="230" t="s">
        <v>539</v>
      </c>
      <c r="M23" s="230" t="s">
        <v>531</v>
      </c>
      <c r="N23" s="230" t="s">
        <v>424</v>
      </c>
      <c r="O23" s="230"/>
      <c r="P23" s="230"/>
      <c r="Q23" s="230"/>
      <c r="R23" s="230" t="s">
        <v>306</v>
      </c>
      <c r="S23" s="230" t="s">
        <v>306</v>
      </c>
      <c r="T23" s="230" t="s">
        <v>306</v>
      </c>
      <c r="U23" s="230" t="s">
        <v>306</v>
      </c>
      <c r="V23" s="230" t="s">
        <v>306</v>
      </c>
      <c r="W23" s="230" t="s">
        <v>306</v>
      </c>
      <c r="X23" s="230" t="s">
        <v>306</v>
      </c>
      <c r="Y23" s="230" t="s">
        <v>306</v>
      </c>
      <c r="Z23" s="230" t="s">
        <v>306</v>
      </c>
      <c r="AA23" s="230" t="s">
        <v>306</v>
      </c>
      <c r="AB23" s="230" t="s">
        <v>306</v>
      </c>
      <c r="AC23" s="230" t="s">
        <v>306</v>
      </c>
      <c r="AD23" s="230" t="s">
        <v>306</v>
      </c>
      <c r="AE23" s="230" t="s">
        <v>306</v>
      </c>
      <c r="AF23" s="230" t="s">
        <v>306</v>
      </c>
      <c r="AG23" s="230" t="s">
        <v>306</v>
      </c>
      <c r="AH23" s="230" t="s">
        <v>306</v>
      </c>
      <c r="AI23" s="230" t="s">
        <v>306</v>
      </c>
      <c r="AJ23" s="230" t="s">
        <v>306</v>
      </c>
      <c r="AK23" s="230" t="s">
        <v>19</v>
      </c>
      <c r="AL23" s="230" t="s">
        <v>306</v>
      </c>
      <c r="AM23" s="230" t="s">
        <v>306</v>
      </c>
      <c r="AN23" s="230" t="s">
        <v>306</v>
      </c>
      <c r="AO23" s="230" t="s">
        <v>306</v>
      </c>
      <c r="AP23" s="230" t="s">
        <v>306</v>
      </c>
      <c r="AQ23" s="230" t="s">
        <v>306</v>
      </c>
      <c r="AR23" s="230" t="s">
        <v>19</v>
      </c>
      <c r="AS23" s="230" t="s">
        <v>19</v>
      </c>
      <c r="AT23" s="230" t="s">
        <v>19</v>
      </c>
      <c r="AU23" s="230" t="s">
        <v>19</v>
      </c>
      <c r="AV23" s="230" t="s">
        <v>306</v>
      </c>
      <c r="AW23" s="230" t="s">
        <v>306</v>
      </c>
      <c r="AX23" s="230" t="s">
        <v>306</v>
      </c>
      <c r="AY23" s="230" t="s">
        <v>306</v>
      </c>
      <c r="AZ23" s="230" t="s">
        <v>306</v>
      </c>
      <c r="BA23" s="230" t="s">
        <v>306</v>
      </c>
      <c r="BB23" s="230" t="s">
        <v>19</v>
      </c>
      <c r="BC23" s="230" t="s">
        <v>19</v>
      </c>
      <c r="BD23" s="231" t="s">
        <v>306</v>
      </c>
    </row>
    <row r="24" spans="1:56" ht="15.75" customHeight="1" x14ac:dyDescent="0.25">
      <c r="A24" s="229">
        <v>44796.966009814816</v>
      </c>
      <c r="B24" s="230" t="s">
        <v>406</v>
      </c>
      <c r="C24" s="230">
        <v>2022</v>
      </c>
      <c r="D24" s="230" t="s">
        <v>17</v>
      </c>
      <c r="E24" s="230" t="s">
        <v>515</v>
      </c>
      <c r="F24" s="230" t="s">
        <v>15</v>
      </c>
      <c r="G24" s="230" t="s">
        <v>516</v>
      </c>
      <c r="H24" s="230" t="s">
        <v>547</v>
      </c>
      <c r="I24" s="230" t="s">
        <v>18</v>
      </c>
      <c r="J24" s="230">
        <v>11</v>
      </c>
      <c r="K24" s="230" t="s">
        <v>531</v>
      </c>
      <c r="L24" s="230" t="s">
        <v>539</v>
      </c>
      <c r="M24" s="230" t="s">
        <v>531</v>
      </c>
      <c r="N24" s="230" t="s">
        <v>424</v>
      </c>
      <c r="O24" s="230"/>
      <c r="P24" s="230"/>
      <c r="Q24" s="230"/>
      <c r="R24" s="230" t="s">
        <v>306</v>
      </c>
      <c r="S24" s="230" t="s">
        <v>306</v>
      </c>
      <c r="T24" s="230" t="s">
        <v>306</v>
      </c>
      <c r="U24" s="230" t="s">
        <v>306</v>
      </c>
      <c r="V24" s="230" t="s">
        <v>306</v>
      </c>
      <c r="W24" s="230" t="s">
        <v>306</v>
      </c>
      <c r="X24" s="230" t="s">
        <v>306</v>
      </c>
      <c r="Y24" s="230" t="s">
        <v>306</v>
      </c>
      <c r="Z24" s="230" t="s">
        <v>306</v>
      </c>
      <c r="AA24" s="230" t="s">
        <v>306</v>
      </c>
      <c r="AB24" s="230" t="s">
        <v>306</v>
      </c>
      <c r="AC24" s="230" t="s">
        <v>306</v>
      </c>
      <c r="AD24" s="230" t="s">
        <v>306</v>
      </c>
      <c r="AE24" s="230" t="s">
        <v>306</v>
      </c>
      <c r="AF24" s="230" t="s">
        <v>306</v>
      </c>
      <c r="AG24" s="230" t="s">
        <v>306</v>
      </c>
      <c r="AH24" s="230" t="s">
        <v>306</v>
      </c>
      <c r="AI24" s="230" t="s">
        <v>306</v>
      </c>
      <c r="AJ24" s="230" t="s">
        <v>19</v>
      </c>
      <c r="AK24" s="230" t="s">
        <v>306</v>
      </c>
      <c r="AL24" s="230" t="s">
        <v>306</v>
      </c>
      <c r="AM24" s="230" t="s">
        <v>306</v>
      </c>
      <c r="AN24" s="230" t="s">
        <v>306</v>
      </c>
      <c r="AO24" s="230" t="s">
        <v>306</v>
      </c>
      <c r="AP24" s="230" t="s">
        <v>306</v>
      </c>
      <c r="AQ24" s="230" t="s">
        <v>19</v>
      </c>
      <c r="AR24" s="230" t="s">
        <v>19</v>
      </c>
      <c r="AS24" s="230" t="s">
        <v>306</v>
      </c>
      <c r="AT24" s="230" t="s">
        <v>306</v>
      </c>
      <c r="AU24" s="230" t="s">
        <v>19</v>
      </c>
      <c r="AV24" s="230" t="s">
        <v>306</v>
      </c>
      <c r="AW24" s="230" t="s">
        <v>306</v>
      </c>
      <c r="AX24" s="230" t="s">
        <v>306</v>
      </c>
      <c r="AY24" s="230" t="s">
        <v>306</v>
      </c>
      <c r="AZ24" s="230" t="s">
        <v>19</v>
      </c>
      <c r="BA24" s="230" t="s">
        <v>306</v>
      </c>
      <c r="BB24" s="230" t="s">
        <v>19</v>
      </c>
      <c r="BC24" s="230" t="s">
        <v>19</v>
      </c>
      <c r="BD24" s="231" t="s">
        <v>19</v>
      </c>
    </row>
    <row r="25" spans="1:56" ht="15.75" customHeight="1" x14ac:dyDescent="0.25">
      <c r="A25" s="229">
        <v>44796.970003819442</v>
      </c>
      <c r="B25" s="230" t="s">
        <v>406</v>
      </c>
      <c r="C25" s="230">
        <v>2022</v>
      </c>
      <c r="D25" s="230" t="s">
        <v>17</v>
      </c>
      <c r="E25" s="230" t="s">
        <v>515</v>
      </c>
      <c r="F25" s="230" t="s">
        <v>15</v>
      </c>
      <c r="G25" s="230" t="s">
        <v>516</v>
      </c>
      <c r="H25" s="230" t="s">
        <v>548</v>
      </c>
      <c r="I25" s="230" t="s">
        <v>24</v>
      </c>
      <c r="J25" s="230">
        <v>13</v>
      </c>
      <c r="K25" s="230" t="s">
        <v>531</v>
      </c>
      <c r="L25" s="230" t="s">
        <v>539</v>
      </c>
      <c r="M25" s="230" t="s">
        <v>531</v>
      </c>
      <c r="N25" s="230" t="s">
        <v>424</v>
      </c>
      <c r="O25" s="230"/>
      <c r="P25" s="230"/>
      <c r="Q25" s="230"/>
      <c r="R25" s="230" t="s">
        <v>19</v>
      </c>
      <c r="S25" s="230" t="s">
        <v>306</v>
      </c>
      <c r="T25" s="230" t="s">
        <v>306</v>
      </c>
      <c r="U25" s="230" t="s">
        <v>19</v>
      </c>
      <c r="V25" s="230" t="s">
        <v>306</v>
      </c>
      <c r="W25" s="230" t="s">
        <v>19</v>
      </c>
      <c r="X25" s="230" t="s">
        <v>25</v>
      </c>
      <c r="Y25" s="230" t="s">
        <v>19</v>
      </c>
      <c r="Z25" s="230" t="s">
        <v>19</v>
      </c>
      <c r="AA25" s="230" t="s">
        <v>19</v>
      </c>
      <c r="AB25" s="230" t="s">
        <v>19</v>
      </c>
      <c r="AC25" s="230" t="s">
        <v>19</v>
      </c>
      <c r="AD25" s="230" t="s">
        <v>19</v>
      </c>
      <c r="AE25" s="230" t="s">
        <v>306</v>
      </c>
      <c r="AF25" s="230" t="s">
        <v>306</v>
      </c>
      <c r="AG25" s="230" t="s">
        <v>306</v>
      </c>
      <c r="AH25" s="230" t="s">
        <v>306</v>
      </c>
      <c r="AI25" s="230" t="s">
        <v>306</v>
      </c>
      <c r="AJ25" s="230" t="s">
        <v>306</v>
      </c>
      <c r="AK25" s="230" t="s">
        <v>306</v>
      </c>
      <c r="AL25" s="230" t="s">
        <v>306</v>
      </c>
      <c r="AM25" s="230" t="s">
        <v>306</v>
      </c>
      <c r="AN25" s="230" t="s">
        <v>19</v>
      </c>
      <c r="AO25" s="230" t="s">
        <v>19</v>
      </c>
      <c r="AP25" s="230" t="s">
        <v>19</v>
      </c>
      <c r="AQ25" s="230" t="s">
        <v>19</v>
      </c>
      <c r="AR25" s="230" t="s">
        <v>19</v>
      </c>
      <c r="AS25" s="230" t="s">
        <v>19</v>
      </c>
      <c r="AT25" s="230" t="s">
        <v>19</v>
      </c>
      <c r="AU25" s="230" t="s">
        <v>19</v>
      </c>
      <c r="AV25" s="230" t="s">
        <v>306</v>
      </c>
      <c r="AW25" s="230" t="s">
        <v>306</v>
      </c>
      <c r="AX25" s="230" t="s">
        <v>19</v>
      </c>
      <c r="AY25" s="230" t="s">
        <v>306</v>
      </c>
      <c r="AZ25" s="230" t="s">
        <v>306</v>
      </c>
      <c r="BA25" s="230" t="s">
        <v>19</v>
      </c>
      <c r="BB25" s="230" t="s">
        <v>19</v>
      </c>
      <c r="BC25" s="230" t="s">
        <v>19</v>
      </c>
      <c r="BD25" s="231" t="s">
        <v>19</v>
      </c>
    </row>
    <row r="26" spans="1:56" ht="12.5" x14ac:dyDescent="0.25">
      <c r="A26" s="229">
        <v>44797.845050081014</v>
      </c>
      <c r="B26" s="230" t="s">
        <v>417</v>
      </c>
      <c r="C26" s="230">
        <v>2022</v>
      </c>
      <c r="D26" s="230" t="s">
        <v>17</v>
      </c>
      <c r="E26" s="230" t="s">
        <v>515</v>
      </c>
      <c r="F26" s="230" t="s">
        <v>15</v>
      </c>
      <c r="G26" s="230" t="s">
        <v>516</v>
      </c>
      <c r="H26" s="230" t="s">
        <v>549</v>
      </c>
      <c r="I26" s="230" t="s">
        <v>18</v>
      </c>
      <c r="J26" s="230">
        <v>12</v>
      </c>
      <c r="K26" s="230" t="s">
        <v>531</v>
      </c>
      <c r="L26" s="230" t="s">
        <v>532</v>
      </c>
      <c r="M26" s="230" t="s">
        <v>531</v>
      </c>
      <c r="N26" s="230" t="s">
        <v>424</v>
      </c>
      <c r="O26" s="230"/>
      <c r="P26" s="230"/>
      <c r="Q26" s="230"/>
      <c r="R26" s="230" t="s">
        <v>306</v>
      </c>
      <c r="S26" s="230" t="s">
        <v>306</v>
      </c>
      <c r="T26" s="230" t="s">
        <v>306</v>
      </c>
      <c r="U26" s="230" t="s">
        <v>306</v>
      </c>
      <c r="V26" s="230" t="s">
        <v>306</v>
      </c>
      <c r="W26" s="230" t="s">
        <v>306</v>
      </c>
      <c r="X26" s="230" t="s">
        <v>306</v>
      </c>
      <c r="Y26" s="230" t="s">
        <v>306</v>
      </c>
      <c r="Z26" s="230" t="s">
        <v>306</v>
      </c>
      <c r="AA26" s="230" t="s">
        <v>306</v>
      </c>
      <c r="AB26" s="230" t="s">
        <v>306</v>
      </c>
      <c r="AC26" s="230" t="s">
        <v>306</v>
      </c>
      <c r="AD26" s="230" t="s">
        <v>19</v>
      </c>
      <c r="AE26" s="230" t="s">
        <v>19</v>
      </c>
      <c r="AF26" s="230" t="s">
        <v>306</v>
      </c>
      <c r="AG26" s="230" t="s">
        <v>306</v>
      </c>
      <c r="AH26" s="230" t="s">
        <v>306</v>
      </c>
      <c r="AI26" s="230" t="s">
        <v>306</v>
      </c>
      <c r="AJ26" s="230" t="s">
        <v>306</v>
      </c>
      <c r="AK26" s="230" t="s">
        <v>19</v>
      </c>
      <c r="AL26" s="230" t="s">
        <v>19</v>
      </c>
      <c r="AM26" s="230" t="s">
        <v>19</v>
      </c>
      <c r="AN26" s="230" t="s">
        <v>19</v>
      </c>
      <c r="AO26" s="230" t="s">
        <v>19</v>
      </c>
      <c r="AP26" s="230" t="s">
        <v>19</v>
      </c>
      <c r="AQ26" s="230" t="s">
        <v>19</v>
      </c>
      <c r="AR26" s="230" t="s">
        <v>25</v>
      </c>
      <c r="AS26" s="230" t="s">
        <v>306</v>
      </c>
      <c r="AT26" s="230" t="s">
        <v>306</v>
      </c>
      <c r="AU26" s="230" t="s">
        <v>306</v>
      </c>
      <c r="AV26" s="230" t="s">
        <v>306</v>
      </c>
      <c r="AW26" s="230" t="s">
        <v>306</v>
      </c>
      <c r="AX26" s="230" t="s">
        <v>306</v>
      </c>
      <c r="AY26" s="230" t="s">
        <v>306</v>
      </c>
      <c r="AZ26" s="230" t="s">
        <v>306</v>
      </c>
      <c r="BA26" s="230" t="s">
        <v>306</v>
      </c>
      <c r="BB26" s="230" t="s">
        <v>25</v>
      </c>
      <c r="BC26" s="230" t="s">
        <v>306</v>
      </c>
      <c r="BD26" s="231" t="s">
        <v>306</v>
      </c>
    </row>
    <row r="27" spans="1:56" ht="12.5" x14ac:dyDescent="0.25">
      <c r="A27" s="229">
        <v>44805.402238680559</v>
      </c>
      <c r="B27" s="230" t="s">
        <v>417</v>
      </c>
      <c r="C27" s="230">
        <v>2022</v>
      </c>
      <c r="D27" s="230" t="s">
        <v>17</v>
      </c>
      <c r="E27" s="230" t="s">
        <v>515</v>
      </c>
      <c r="F27" s="230" t="s">
        <v>15</v>
      </c>
      <c r="G27" s="230" t="s">
        <v>516</v>
      </c>
      <c r="H27" s="230" t="s">
        <v>550</v>
      </c>
      <c r="I27" s="230" t="s">
        <v>18</v>
      </c>
      <c r="J27" s="230">
        <v>12</v>
      </c>
      <c r="K27" s="230" t="s">
        <v>531</v>
      </c>
      <c r="L27" s="230" t="s">
        <v>532</v>
      </c>
      <c r="M27" s="230" t="s">
        <v>531</v>
      </c>
      <c r="N27" s="230" t="s">
        <v>424</v>
      </c>
      <c r="O27" s="230"/>
      <c r="P27" s="230"/>
      <c r="Q27" s="230"/>
      <c r="R27" s="230" t="s">
        <v>306</v>
      </c>
      <c r="S27" s="230" t="s">
        <v>306</v>
      </c>
      <c r="T27" s="230" t="s">
        <v>25</v>
      </c>
      <c r="U27" s="230" t="s">
        <v>19</v>
      </c>
      <c r="V27" s="230" t="s">
        <v>25</v>
      </c>
      <c r="W27" s="230" t="s">
        <v>306</v>
      </c>
      <c r="X27" s="230" t="s">
        <v>25</v>
      </c>
      <c r="Y27" s="230" t="s">
        <v>306</v>
      </c>
      <c r="Z27" s="230" t="s">
        <v>25</v>
      </c>
      <c r="AA27" s="230" t="s">
        <v>19</v>
      </c>
      <c r="AB27" s="230" t="s">
        <v>306</v>
      </c>
      <c r="AC27" s="230" t="s">
        <v>19</v>
      </c>
      <c r="AD27" s="230" t="s">
        <v>306</v>
      </c>
      <c r="AE27" s="230" t="s">
        <v>306</v>
      </c>
      <c r="AF27" s="230" t="s">
        <v>25</v>
      </c>
      <c r="AG27" s="230" t="s">
        <v>25</v>
      </c>
      <c r="AH27" s="230" t="s">
        <v>25</v>
      </c>
      <c r="AI27" s="230" t="s">
        <v>306</v>
      </c>
      <c r="AJ27" s="230" t="s">
        <v>306</v>
      </c>
      <c r="AK27" s="230" t="s">
        <v>306</v>
      </c>
      <c r="AL27" s="230" t="s">
        <v>306</v>
      </c>
      <c r="AM27" s="230" t="s">
        <v>25</v>
      </c>
      <c r="AN27" s="230" t="s">
        <v>19</v>
      </c>
      <c r="AO27" s="230" t="s">
        <v>19</v>
      </c>
      <c r="AP27" s="230" t="s">
        <v>19</v>
      </c>
      <c r="AQ27" s="230" t="s">
        <v>19</v>
      </c>
      <c r="AR27" s="230" t="s">
        <v>25</v>
      </c>
      <c r="AS27" s="230" t="s">
        <v>25</v>
      </c>
      <c r="AT27" s="230" t="s">
        <v>306</v>
      </c>
      <c r="AU27" s="230" t="s">
        <v>25</v>
      </c>
      <c r="AV27" s="230" t="s">
        <v>25</v>
      </c>
      <c r="AW27" s="230" t="s">
        <v>25</v>
      </c>
      <c r="AX27" s="230" t="s">
        <v>306</v>
      </c>
      <c r="AY27" s="230" t="s">
        <v>306</v>
      </c>
      <c r="AZ27" s="230" t="s">
        <v>306</v>
      </c>
      <c r="BA27" s="230" t="s">
        <v>306</v>
      </c>
      <c r="BB27" s="230" t="s">
        <v>25</v>
      </c>
      <c r="BC27" s="230" t="s">
        <v>25</v>
      </c>
      <c r="BD27" s="231" t="s">
        <v>25</v>
      </c>
    </row>
    <row r="28" spans="1:56" ht="12.5" x14ac:dyDescent="0.25">
      <c r="A28" s="229">
        <v>44805.403741365742</v>
      </c>
      <c r="B28" s="230" t="s">
        <v>417</v>
      </c>
      <c r="C28" s="230">
        <v>2022</v>
      </c>
      <c r="D28" s="230" t="s">
        <v>17</v>
      </c>
      <c r="E28" s="230" t="s">
        <v>515</v>
      </c>
      <c r="F28" s="230" t="s">
        <v>15</v>
      </c>
      <c r="G28" s="230" t="s">
        <v>516</v>
      </c>
      <c r="H28" s="230" t="s">
        <v>551</v>
      </c>
      <c r="I28" s="230" t="s">
        <v>24</v>
      </c>
      <c r="J28" s="230">
        <v>12</v>
      </c>
      <c r="K28" s="230" t="s">
        <v>531</v>
      </c>
      <c r="L28" s="230" t="s">
        <v>532</v>
      </c>
      <c r="M28" s="230" t="s">
        <v>531</v>
      </c>
      <c r="N28" s="230" t="s">
        <v>424</v>
      </c>
      <c r="O28" s="230"/>
      <c r="P28" s="230"/>
      <c r="Q28" s="230"/>
      <c r="R28" s="230" t="s">
        <v>306</v>
      </c>
      <c r="S28" s="230" t="s">
        <v>306</v>
      </c>
      <c r="T28" s="230" t="s">
        <v>25</v>
      </c>
      <c r="U28" s="230" t="s">
        <v>19</v>
      </c>
      <c r="V28" s="230" t="s">
        <v>306</v>
      </c>
      <c r="W28" s="230" t="s">
        <v>19</v>
      </c>
      <c r="X28" s="230" t="s">
        <v>25</v>
      </c>
      <c r="Y28" s="230" t="s">
        <v>19</v>
      </c>
      <c r="Z28" s="230" t="s">
        <v>19</v>
      </c>
      <c r="AA28" s="230" t="s">
        <v>19</v>
      </c>
      <c r="AB28" s="230" t="s">
        <v>19</v>
      </c>
      <c r="AC28" s="230" t="s">
        <v>19</v>
      </c>
      <c r="AD28" s="230" t="s">
        <v>19</v>
      </c>
      <c r="AE28" s="230" t="s">
        <v>19</v>
      </c>
      <c r="AF28" s="230" t="s">
        <v>19</v>
      </c>
      <c r="AG28" s="230" t="s">
        <v>19</v>
      </c>
      <c r="AH28" s="230" t="s">
        <v>19</v>
      </c>
      <c r="AI28" s="230" t="s">
        <v>306</v>
      </c>
      <c r="AJ28" s="230" t="s">
        <v>25</v>
      </c>
      <c r="AK28" s="230" t="s">
        <v>19</v>
      </c>
      <c r="AL28" s="230" t="s">
        <v>19</v>
      </c>
      <c r="AM28" s="230" t="s">
        <v>19</v>
      </c>
      <c r="AN28" s="230" t="s">
        <v>19</v>
      </c>
      <c r="AO28" s="230" t="s">
        <v>19</v>
      </c>
      <c r="AP28" s="230" t="s">
        <v>19</v>
      </c>
      <c r="AQ28" s="230" t="s">
        <v>19</v>
      </c>
      <c r="AR28" s="230" t="s">
        <v>25</v>
      </c>
      <c r="AS28" s="230" t="s">
        <v>25</v>
      </c>
      <c r="AT28" s="230" t="s">
        <v>25</v>
      </c>
      <c r="AU28" s="230" t="s">
        <v>306</v>
      </c>
      <c r="AV28" s="230" t="s">
        <v>25</v>
      </c>
      <c r="AW28" s="230" t="s">
        <v>25</v>
      </c>
      <c r="AX28" s="230" t="s">
        <v>25</v>
      </c>
      <c r="AY28" s="230" t="s">
        <v>19</v>
      </c>
      <c r="AZ28" s="230" t="s">
        <v>19</v>
      </c>
      <c r="BA28" s="230" t="s">
        <v>19</v>
      </c>
      <c r="BB28" s="230" t="s">
        <v>25</v>
      </c>
      <c r="BC28" s="230" t="s">
        <v>25</v>
      </c>
      <c r="BD28" s="231" t="s">
        <v>25</v>
      </c>
    </row>
    <row r="29" spans="1:56" ht="12.5" x14ac:dyDescent="0.25">
      <c r="A29" s="229">
        <v>44805.405147939819</v>
      </c>
      <c r="B29" s="230" t="s">
        <v>417</v>
      </c>
      <c r="C29" s="230">
        <v>2022</v>
      </c>
      <c r="D29" s="230" t="s">
        <v>17</v>
      </c>
      <c r="E29" s="230" t="s">
        <v>515</v>
      </c>
      <c r="F29" s="230" t="s">
        <v>15</v>
      </c>
      <c r="G29" s="230" t="s">
        <v>516</v>
      </c>
      <c r="H29" s="230" t="s">
        <v>552</v>
      </c>
      <c r="I29" s="230" t="s">
        <v>18</v>
      </c>
      <c r="J29" s="230">
        <v>12</v>
      </c>
      <c r="K29" s="230" t="s">
        <v>531</v>
      </c>
      <c r="L29" s="230" t="s">
        <v>532</v>
      </c>
      <c r="M29" s="230" t="s">
        <v>531</v>
      </c>
      <c r="N29" s="230" t="s">
        <v>424</v>
      </c>
      <c r="O29" s="230"/>
      <c r="P29" s="230"/>
      <c r="Q29" s="230"/>
      <c r="R29" s="230" t="s">
        <v>306</v>
      </c>
      <c r="S29" s="230" t="s">
        <v>306</v>
      </c>
      <c r="T29" s="230" t="s">
        <v>306</v>
      </c>
      <c r="U29" s="230" t="s">
        <v>19</v>
      </c>
      <c r="V29" s="230" t="s">
        <v>306</v>
      </c>
      <c r="W29" s="230" t="s">
        <v>306</v>
      </c>
      <c r="X29" s="230" t="s">
        <v>19</v>
      </c>
      <c r="Y29" s="230" t="s">
        <v>306</v>
      </c>
      <c r="Z29" s="230" t="s">
        <v>306</v>
      </c>
      <c r="AA29" s="230" t="s">
        <v>19</v>
      </c>
      <c r="AB29" s="230" t="s">
        <v>306</v>
      </c>
      <c r="AC29" s="230" t="s">
        <v>306</v>
      </c>
      <c r="AD29" s="230" t="s">
        <v>306</v>
      </c>
      <c r="AE29" s="230" t="s">
        <v>306</v>
      </c>
      <c r="AF29" s="230" t="s">
        <v>306</v>
      </c>
      <c r="AG29" s="230" t="s">
        <v>306</v>
      </c>
      <c r="AH29" s="230" t="s">
        <v>306</v>
      </c>
      <c r="AI29" s="230" t="s">
        <v>306</v>
      </c>
      <c r="AJ29" s="230" t="s">
        <v>306</v>
      </c>
      <c r="AK29" s="230" t="s">
        <v>306</v>
      </c>
      <c r="AL29" s="230" t="s">
        <v>306</v>
      </c>
      <c r="AM29" s="230" t="s">
        <v>306</v>
      </c>
      <c r="AN29" s="230" t="s">
        <v>306</v>
      </c>
      <c r="AO29" s="230" t="s">
        <v>306</v>
      </c>
      <c r="AP29" s="230" t="s">
        <v>306</v>
      </c>
      <c r="AQ29" s="230" t="s">
        <v>19</v>
      </c>
      <c r="AR29" s="230" t="s">
        <v>25</v>
      </c>
      <c r="AS29" s="230" t="s">
        <v>306</v>
      </c>
      <c r="AT29" s="230" t="s">
        <v>306</v>
      </c>
      <c r="AU29" s="230" t="s">
        <v>306</v>
      </c>
      <c r="AV29" s="230" t="s">
        <v>306</v>
      </c>
      <c r="AW29" s="230" t="s">
        <v>306</v>
      </c>
      <c r="AX29" s="230" t="s">
        <v>306</v>
      </c>
      <c r="AY29" s="230" t="s">
        <v>306</v>
      </c>
      <c r="AZ29" s="230" t="s">
        <v>306</v>
      </c>
      <c r="BA29" s="230" t="s">
        <v>306</v>
      </c>
      <c r="BB29" s="230" t="s">
        <v>25</v>
      </c>
      <c r="BC29" s="230" t="s">
        <v>306</v>
      </c>
      <c r="BD29" s="231" t="s">
        <v>306</v>
      </c>
    </row>
    <row r="30" spans="1:56" ht="12.5" x14ac:dyDescent="0.25">
      <c r="A30" s="229">
        <v>44805.422709085644</v>
      </c>
      <c r="B30" s="230" t="s">
        <v>417</v>
      </c>
      <c r="C30" s="230">
        <v>2022</v>
      </c>
      <c r="D30" s="230" t="s">
        <v>17</v>
      </c>
      <c r="E30" s="230" t="s">
        <v>515</v>
      </c>
      <c r="F30" s="230" t="s">
        <v>15</v>
      </c>
      <c r="G30" s="230" t="s">
        <v>516</v>
      </c>
      <c r="H30" s="230" t="s">
        <v>553</v>
      </c>
      <c r="I30" s="230" t="s">
        <v>24</v>
      </c>
      <c r="J30" s="230">
        <v>11</v>
      </c>
      <c r="K30" s="230" t="s">
        <v>531</v>
      </c>
      <c r="L30" s="230" t="s">
        <v>532</v>
      </c>
      <c r="M30" s="230" t="s">
        <v>531</v>
      </c>
      <c r="N30" s="230" t="s">
        <v>424</v>
      </c>
      <c r="O30" s="230"/>
      <c r="P30" s="230"/>
      <c r="Q30" s="230"/>
      <c r="R30" s="230" t="s">
        <v>306</v>
      </c>
      <c r="S30" s="230" t="s">
        <v>306</v>
      </c>
      <c r="T30" s="230" t="s">
        <v>19</v>
      </c>
      <c r="U30" s="230" t="s">
        <v>25</v>
      </c>
      <c r="V30" s="230" t="s">
        <v>25</v>
      </c>
      <c r="W30" s="230" t="s">
        <v>25</v>
      </c>
      <c r="X30" s="230" t="s">
        <v>306</v>
      </c>
      <c r="Y30" s="230" t="s">
        <v>25</v>
      </c>
      <c r="Z30" s="230" t="s">
        <v>306</v>
      </c>
      <c r="AA30" s="230" t="s">
        <v>25</v>
      </c>
      <c r="AB30" s="230" t="s">
        <v>25</v>
      </c>
      <c r="AC30" s="230" t="s">
        <v>25</v>
      </c>
      <c r="AD30" s="230" t="s">
        <v>306</v>
      </c>
      <c r="AE30" s="230" t="s">
        <v>306</v>
      </c>
      <c r="AF30" s="230" t="s">
        <v>306</v>
      </c>
      <c r="AG30" s="230" t="s">
        <v>306</v>
      </c>
      <c r="AH30" s="230" t="s">
        <v>306</v>
      </c>
      <c r="AI30" s="230" t="s">
        <v>306</v>
      </c>
      <c r="AJ30" s="230" t="s">
        <v>306</v>
      </c>
      <c r="AK30" s="230" t="s">
        <v>19</v>
      </c>
      <c r="AL30" s="230" t="s">
        <v>25</v>
      </c>
      <c r="AM30" s="230" t="s">
        <v>25</v>
      </c>
      <c r="AN30" s="230" t="s">
        <v>25</v>
      </c>
      <c r="AO30" s="230" t="s">
        <v>19</v>
      </c>
      <c r="AP30" s="230" t="s">
        <v>19</v>
      </c>
      <c r="AQ30" s="230" t="s">
        <v>19</v>
      </c>
      <c r="AR30" s="230" t="s">
        <v>25</v>
      </c>
      <c r="AS30" s="230" t="s">
        <v>25</v>
      </c>
      <c r="AT30" s="230" t="s">
        <v>25</v>
      </c>
      <c r="AU30" s="230" t="s">
        <v>25</v>
      </c>
      <c r="AV30" s="230" t="s">
        <v>25</v>
      </c>
      <c r="AW30" s="230" t="s">
        <v>25</v>
      </c>
      <c r="AX30" s="230" t="s">
        <v>306</v>
      </c>
      <c r="AY30" s="230" t="s">
        <v>25</v>
      </c>
      <c r="AZ30" s="230" t="s">
        <v>25</v>
      </c>
      <c r="BA30" s="230" t="s">
        <v>25</v>
      </c>
      <c r="BB30" s="230" t="s">
        <v>25</v>
      </c>
      <c r="BC30" s="230" t="s">
        <v>25</v>
      </c>
      <c r="BD30" s="231" t="s">
        <v>306</v>
      </c>
    </row>
    <row r="31" spans="1:56" ht="12.5" x14ac:dyDescent="0.25">
      <c r="A31" s="229">
        <v>44790.481772233798</v>
      </c>
      <c r="B31" s="230" t="s">
        <v>427</v>
      </c>
      <c r="C31" s="230">
        <v>2022</v>
      </c>
      <c r="D31" s="230" t="s">
        <v>17</v>
      </c>
      <c r="E31" s="230" t="s">
        <v>515</v>
      </c>
      <c r="F31" s="230" t="s">
        <v>15</v>
      </c>
      <c r="G31" s="230" t="s">
        <v>516</v>
      </c>
      <c r="H31" s="230" t="s">
        <v>554</v>
      </c>
      <c r="I31" s="230" t="s">
        <v>18</v>
      </c>
      <c r="J31" s="230">
        <v>11</v>
      </c>
      <c r="K31" s="230" t="s">
        <v>531</v>
      </c>
      <c r="L31" s="230" t="s">
        <v>532</v>
      </c>
      <c r="M31" s="230" t="s">
        <v>518</v>
      </c>
      <c r="N31" s="230" t="s">
        <v>412</v>
      </c>
      <c r="O31" s="230"/>
      <c r="P31" s="230"/>
      <c r="Q31" s="230"/>
      <c r="R31" s="230" t="s">
        <v>306</v>
      </c>
      <c r="S31" s="230" t="s">
        <v>306</v>
      </c>
      <c r="T31" s="230" t="s">
        <v>25</v>
      </c>
      <c r="U31" s="230" t="s">
        <v>19</v>
      </c>
      <c r="V31" s="230" t="s">
        <v>306</v>
      </c>
      <c r="W31" s="230" t="s">
        <v>19</v>
      </c>
      <c r="X31" s="230" t="s">
        <v>25</v>
      </c>
      <c r="Y31" s="230" t="s">
        <v>306</v>
      </c>
      <c r="Z31" s="230" t="s">
        <v>19</v>
      </c>
      <c r="AA31" s="230" t="s">
        <v>25</v>
      </c>
      <c r="AB31" s="230" t="s">
        <v>306</v>
      </c>
      <c r="AC31" s="230" t="s">
        <v>25</v>
      </c>
      <c r="AD31" s="230" t="s">
        <v>19</v>
      </c>
      <c r="AE31" s="230" t="s">
        <v>306</v>
      </c>
      <c r="AF31" s="230" t="s">
        <v>25</v>
      </c>
      <c r="AG31" s="230" t="s">
        <v>25</v>
      </c>
      <c r="AH31" s="230" t="s">
        <v>25</v>
      </c>
      <c r="AI31" s="230" t="s">
        <v>19</v>
      </c>
      <c r="AJ31" s="230" t="s">
        <v>19</v>
      </c>
      <c r="AK31" s="230" t="s">
        <v>19</v>
      </c>
      <c r="AL31" s="230" t="s">
        <v>19</v>
      </c>
      <c r="AM31" s="230" t="s">
        <v>19</v>
      </c>
      <c r="AN31" s="230" t="s">
        <v>19</v>
      </c>
      <c r="AO31" s="230" t="s">
        <v>19</v>
      </c>
      <c r="AP31" s="230" t="s">
        <v>19</v>
      </c>
      <c r="AQ31" s="230" t="s">
        <v>19</v>
      </c>
      <c r="AR31" s="230" t="s">
        <v>25</v>
      </c>
      <c r="AS31" s="230" t="s">
        <v>306</v>
      </c>
      <c r="AT31" s="230" t="s">
        <v>19</v>
      </c>
      <c r="AU31" s="230" t="s">
        <v>25</v>
      </c>
      <c r="AV31" s="230" t="s">
        <v>25</v>
      </c>
      <c r="AW31" s="230" t="s">
        <v>25</v>
      </c>
      <c r="AX31" s="230" t="s">
        <v>25</v>
      </c>
      <c r="AY31" s="230" t="s">
        <v>306</v>
      </c>
      <c r="AZ31" s="230" t="s">
        <v>19</v>
      </c>
      <c r="BA31" s="230" t="s">
        <v>25</v>
      </c>
      <c r="BB31" s="230" t="s">
        <v>25</v>
      </c>
      <c r="BC31" s="230" t="s">
        <v>19</v>
      </c>
      <c r="BD31" s="231" t="s">
        <v>19</v>
      </c>
    </row>
    <row r="32" spans="1:56" ht="12.5" x14ac:dyDescent="0.25">
      <c r="A32" s="229">
        <v>44796.955309988422</v>
      </c>
      <c r="B32" s="230" t="s">
        <v>406</v>
      </c>
      <c r="C32" s="230">
        <v>2022</v>
      </c>
      <c r="D32" s="230" t="s">
        <v>17</v>
      </c>
      <c r="E32" s="230" t="s">
        <v>515</v>
      </c>
      <c r="F32" s="230" t="s">
        <v>15</v>
      </c>
      <c r="G32" s="230" t="s">
        <v>516</v>
      </c>
      <c r="H32" s="230" t="s">
        <v>555</v>
      </c>
      <c r="I32" s="230" t="s">
        <v>24</v>
      </c>
      <c r="J32" s="230">
        <v>11</v>
      </c>
      <c r="K32" s="230" t="s">
        <v>518</v>
      </c>
      <c r="L32" s="230" t="s">
        <v>539</v>
      </c>
      <c r="M32" s="230" t="s">
        <v>531</v>
      </c>
      <c r="N32" s="230" t="s">
        <v>424</v>
      </c>
      <c r="O32" s="230"/>
      <c r="P32" s="230"/>
      <c r="Q32" s="230"/>
      <c r="R32" s="230" t="s">
        <v>306</v>
      </c>
      <c r="S32" s="230" t="s">
        <v>306</v>
      </c>
      <c r="T32" s="230" t="s">
        <v>306</v>
      </c>
      <c r="U32" s="230" t="s">
        <v>306</v>
      </c>
      <c r="V32" s="230" t="s">
        <v>306</v>
      </c>
      <c r="W32" s="230" t="s">
        <v>19</v>
      </c>
      <c r="X32" s="230" t="s">
        <v>306</v>
      </c>
      <c r="Y32" s="230" t="s">
        <v>306</v>
      </c>
      <c r="Z32" s="230" t="s">
        <v>306</v>
      </c>
      <c r="AA32" s="230" t="s">
        <v>19</v>
      </c>
      <c r="AB32" s="230" t="s">
        <v>25</v>
      </c>
      <c r="AC32" s="230" t="s">
        <v>306</v>
      </c>
      <c r="AD32" s="230" t="s">
        <v>25</v>
      </c>
      <c r="AE32" s="230" t="s">
        <v>19</v>
      </c>
      <c r="AF32" s="230" t="s">
        <v>306</v>
      </c>
      <c r="AG32" s="230" t="s">
        <v>19</v>
      </c>
      <c r="AH32" s="230" t="s">
        <v>306</v>
      </c>
      <c r="AI32" s="230" t="s">
        <v>306</v>
      </c>
      <c r="AJ32" s="230" t="s">
        <v>306</v>
      </c>
      <c r="AK32" s="230" t="s">
        <v>19</v>
      </c>
      <c r="AL32" s="230" t="s">
        <v>306</v>
      </c>
      <c r="AM32" s="230" t="s">
        <v>306</v>
      </c>
      <c r="AN32" s="230" t="s">
        <v>19</v>
      </c>
      <c r="AO32" s="230" t="s">
        <v>19</v>
      </c>
      <c r="AP32" s="230" t="s">
        <v>19</v>
      </c>
      <c r="AQ32" s="230" t="s">
        <v>19</v>
      </c>
      <c r="AR32" s="230" t="s">
        <v>25</v>
      </c>
      <c r="AS32" s="230" t="s">
        <v>19</v>
      </c>
      <c r="AT32" s="230" t="s">
        <v>19</v>
      </c>
      <c r="AU32" s="230" t="s">
        <v>19</v>
      </c>
      <c r="AV32" s="230" t="s">
        <v>306</v>
      </c>
      <c r="AW32" s="230" t="s">
        <v>306</v>
      </c>
      <c r="AX32" s="230" t="s">
        <v>306</v>
      </c>
      <c r="AY32" s="230" t="s">
        <v>306</v>
      </c>
      <c r="AZ32" s="230" t="s">
        <v>19</v>
      </c>
      <c r="BA32" s="230" t="s">
        <v>306</v>
      </c>
      <c r="BB32" s="230" t="s">
        <v>25</v>
      </c>
      <c r="BC32" s="230" t="s">
        <v>19</v>
      </c>
      <c r="BD32" s="231" t="s">
        <v>306</v>
      </c>
    </row>
    <row r="33" spans="1:56" ht="12.5" x14ac:dyDescent="0.25">
      <c r="A33" s="229">
        <v>44796.957742500002</v>
      </c>
      <c r="B33" s="230" t="s">
        <v>406</v>
      </c>
      <c r="C33" s="230">
        <v>2022</v>
      </c>
      <c r="D33" s="230" t="s">
        <v>17</v>
      </c>
      <c r="E33" s="230" t="s">
        <v>515</v>
      </c>
      <c r="F33" s="230" t="s">
        <v>15</v>
      </c>
      <c r="G33" s="230" t="s">
        <v>516</v>
      </c>
      <c r="H33" s="230" t="s">
        <v>556</v>
      </c>
      <c r="I33" s="230" t="s">
        <v>18</v>
      </c>
      <c r="J33" s="230">
        <v>12</v>
      </c>
      <c r="K33" s="230" t="s">
        <v>518</v>
      </c>
      <c r="L33" s="230" t="s">
        <v>539</v>
      </c>
      <c r="M33" s="230" t="s">
        <v>531</v>
      </c>
      <c r="N33" s="230" t="s">
        <v>424</v>
      </c>
      <c r="O33" s="230"/>
      <c r="P33" s="230"/>
      <c r="Q33" s="230"/>
      <c r="R33" s="230" t="s">
        <v>19</v>
      </c>
      <c r="S33" s="230" t="s">
        <v>306</v>
      </c>
      <c r="T33" s="230" t="s">
        <v>306</v>
      </c>
      <c r="U33" s="230" t="s">
        <v>19</v>
      </c>
      <c r="V33" s="230" t="s">
        <v>306</v>
      </c>
      <c r="W33" s="230" t="s">
        <v>19</v>
      </c>
      <c r="X33" s="230" t="s">
        <v>306</v>
      </c>
      <c r="Y33" s="230" t="s">
        <v>19</v>
      </c>
      <c r="Z33" s="230" t="s">
        <v>19</v>
      </c>
      <c r="AA33" s="230" t="s">
        <v>19</v>
      </c>
      <c r="AB33" s="230" t="s">
        <v>19</v>
      </c>
      <c r="AC33" s="230" t="s">
        <v>19</v>
      </c>
      <c r="AD33" s="230" t="s">
        <v>19</v>
      </c>
      <c r="AE33" s="230" t="s">
        <v>19</v>
      </c>
      <c r="AF33" s="230" t="s">
        <v>306</v>
      </c>
      <c r="AG33" s="230" t="s">
        <v>306</v>
      </c>
      <c r="AH33" s="230" t="s">
        <v>19</v>
      </c>
      <c r="AI33" s="230" t="s">
        <v>19</v>
      </c>
      <c r="AJ33" s="230" t="s">
        <v>19</v>
      </c>
      <c r="AK33" s="230" t="s">
        <v>19</v>
      </c>
      <c r="AL33" s="230" t="s">
        <v>19</v>
      </c>
      <c r="AM33" s="230" t="s">
        <v>19</v>
      </c>
      <c r="AN33" s="230" t="s">
        <v>19</v>
      </c>
      <c r="AO33" s="230" t="s">
        <v>19</v>
      </c>
      <c r="AP33" s="230" t="s">
        <v>19</v>
      </c>
      <c r="AQ33" s="230" t="s">
        <v>19</v>
      </c>
      <c r="AR33" s="230" t="s">
        <v>306</v>
      </c>
      <c r="AS33" s="230" t="s">
        <v>19</v>
      </c>
      <c r="AT33" s="230" t="s">
        <v>19</v>
      </c>
      <c r="AU33" s="230" t="s">
        <v>19</v>
      </c>
      <c r="AV33" s="230" t="s">
        <v>306</v>
      </c>
      <c r="AW33" s="230" t="s">
        <v>19</v>
      </c>
      <c r="AX33" s="230" t="s">
        <v>306</v>
      </c>
      <c r="AY33" s="230" t="s">
        <v>19</v>
      </c>
      <c r="AZ33" s="230" t="s">
        <v>19</v>
      </c>
      <c r="BA33" s="230" t="s">
        <v>19</v>
      </c>
      <c r="BB33" s="230" t="s">
        <v>25</v>
      </c>
      <c r="BC33" s="230" t="s">
        <v>306</v>
      </c>
      <c r="BD33" s="231" t="s">
        <v>19</v>
      </c>
    </row>
    <row r="34" spans="1:56" ht="12.5" x14ac:dyDescent="0.25">
      <c r="A34" s="229">
        <v>44796.963998425927</v>
      </c>
      <c r="B34" s="230" t="s">
        <v>406</v>
      </c>
      <c r="C34" s="230">
        <v>2022</v>
      </c>
      <c r="D34" s="230" t="s">
        <v>17</v>
      </c>
      <c r="E34" s="230" t="s">
        <v>515</v>
      </c>
      <c r="F34" s="230" t="s">
        <v>15</v>
      </c>
      <c r="G34" s="230" t="s">
        <v>516</v>
      </c>
      <c r="H34" s="230" t="s">
        <v>557</v>
      </c>
      <c r="I34" s="230" t="s">
        <v>18</v>
      </c>
      <c r="J34" s="230">
        <v>13</v>
      </c>
      <c r="K34" s="230" t="s">
        <v>518</v>
      </c>
      <c r="L34" s="230" t="s">
        <v>539</v>
      </c>
      <c r="M34" s="230" t="s">
        <v>531</v>
      </c>
      <c r="N34" s="230" t="s">
        <v>424</v>
      </c>
      <c r="O34" s="230"/>
      <c r="P34" s="230"/>
      <c r="Q34" s="230"/>
      <c r="R34" s="230" t="s">
        <v>19</v>
      </c>
      <c r="S34" s="230" t="s">
        <v>306</v>
      </c>
      <c r="T34" s="230" t="s">
        <v>306</v>
      </c>
      <c r="U34" s="230" t="s">
        <v>19</v>
      </c>
      <c r="V34" s="230" t="s">
        <v>306</v>
      </c>
      <c r="W34" s="230" t="s">
        <v>19</v>
      </c>
      <c r="X34" s="230" t="s">
        <v>306</v>
      </c>
      <c r="Y34" s="230" t="s">
        <v>19</v>
      </c>
      <c r="Z34" s="230" t="s">
        <v>19</v>
      </c>
      <c r="AA34" s="230" t="s">
        <v>19</v>
      </c>
      <c r="AB34" s="230" t="s">
        <v>19</v>
      </c>
      <c r="AC34" s="230" t="s">
        <v>19</v>
      </c>
      <c r="AD34" s="230" t="s">
        <v>19</v>
      </c>
      <c r="AE34" s="230" t="s">
        <v>306</v>
      </c>
      <c r="AF34" s="230" t="s">
        <v>306</v>
      </c>
      <c r="AG34" s="230" t="s">
        <v>19</v>
      </c>
      <c r="AH34" s="230" t="s">
        <v>306</v>
      </c>
      <c r="AI34" s="230" t="s">
        <v>306</v>
      </c>
      <c r="AJ34" s="230" t="s">
        <v>306</v>
      </c>
      <c r="AK34" s="230" t="s">
        <v>19</v>
      </c>
      <c r="AL34" s="230" t="s">
        <v>306</v>
      </c>
      <c r="AM34" s="230" t="s">
        <v>306</v>
      </c>
      <c r="AN34" s="230" t="s">
        <v>306</v>
      </c>
      <c r="AO34" s="230" t="s">
        <v>19</v>
      </c>
      <c r="AP34" s="230" t="s">
        <v>19</v>
      </c>
      <c r="AQ34" s="230" t="s">
        <v>19</v>
      </c>
      <c r="AR34" s="230" t="s">
        <v>306</v>
      </c>
      <c r="AS34" s="230" t="s">
        <v>306</v>
      </c>
      <c r="AT34" s="230" t="s">
        <v>306</v>
      </c>
      <c r="AU34" s="230" t="s">
        <v>19</v>
      </c>
      <c r="AV34" s="230" t="s">
        <v>19</v>
      </c>
      <c r="AW34" s="230" t="s">
        <v>19</v>
      </c>
      <c r="AX34" s="230" t="s">
        <v>19</v>
      </c>
      <c r="AY34" s="230" t="s">
        <v>19</v>
      </c>
      <c r="AZ34" s="230" t="s">
        <v>19</v>
      </c>
      <c r="BA34" s="230" t="s">
        <v>19</v>
      </c>
      <c r="BB34" s="230" t="s">
        <v>25</v>
      </c>
      <c r="BC34" s="230" t="s">
        <v>306</v>
      </c>
      <c r="BD34" s="231" t="s">
        <v>19</v>
      </c>
    </row>
    <row r="35" spans="1:56" ht="12.5" x14ac:dyDescent="0.25">
      <c r="A35" s="229">
        <v>44796.967968912038</v>
      </c>
      <c r="B35" s="230" t="s">
        <v>406</v>
      </c>
      <c r="C35" s="230">
        <v>2022</v>
      </c>
      <c r="D35" s="230" t="s">
        <v>17</v>
      </c>
      <c r="E35" s="230" t="s">
        <v>515</v>
      </c>
      <c r="F35" s="230" t="s">
        <v>15</v>
      </c>
      <c r="G35" s="230" t="s">
        <v>516</v>
      </c>
      <c r="H35" s="230" t="s">
        <v>558</v>
      </c>
      <c r="I35" s="230" t="s">
        <v>24</v>
      </c>
      <c r="J35" s="230">
        <v>12</v>
      </c>
      <c r="K35" s="230" t="s">
        <v>518</v>
      </c>
      <c r="L35" s="230" t="s">
        <v>539</v>
      </c>
      <c r="M35" s="230" t="s">
        <v>531</v>
      </c>
      <c r="N35" s="230" t="s">
        <v>424</v>
      </c>
      <c r="O35" s="230"/>
      <c r="P35" s="230"/>
      <c r="Q35" s="230"/>
      <c r="R35" s="230" t="s">
        <v>306</v>
      </c>
      <c r="S35" s="230" t="s">
        <v>306</v>
      </c>
      <c r="T35" s="230" t="s">
        <v>306</v>
      </c>
      <c r="U35" s="230" t="s">
        <v>19</v>
      </c>
      <c r="V35" s="230" t="s">
        <v>19</v>
      </c>
      <c r="W35" s="230" t="s">
        <v>19</v>
      </c>
      <c r="X35" s="230" t="s">
        <v>19</v>
      </c>
      <c r="Y35" s="230" t="s">
        <v>306</v>
      </c>
      <c r="Z35" s="230" t="s">
        <v>306</v>
      </c>
      <c r="AA35" s="230" t="s">
        <v>19</v>
      </c>
      <c r="AB35" s="230" t="s">
        <v>306</v>
      </c>
      <c r="AC35" s="230" t="s">
        <v>306</v>
      </c>
      <c r="AD35" s="230" t="s">
        <v>306</v>
      </c>
      <c r="AE35" s="230" t="s">
        <v>306</v>
      </c>
      <c r="AF35" s="230" t="s">
        <v>306</v>
      </c>
      <c r="AG35" s="230" t="s">
        <v>306</v>
      </c>
      <c r="AH35" s="230" t="s">
        <v>306</v>
      </c>
      <c r="AI35" s="230" t="s">
        <v>306</v>
      </c>
      <c r="AJ35" s="230" t="s">
        <v>19</v>
      </c>
      <c r="AK35" s="230" t="s">
        <v>306</v>
      </c>
      <c r="AL35" s="230" t="s">
        <v>306</v>
      </c>
      <c r="AM35" s="230" t="s">
        <v>19</v>
      </c>
      <c r="AN35" s="230" t="s">
        <v>306</v>
      </c>
      <c r="AO35" s="230" t="s">
        <v>306</v>
      </c>
      <c r="AP35" s="230" t="s">
        <v>306</v>
      </c>
      <c r="AQ35" s="230" t="s">
        <v>19</v>
      </c>
      <c r="AR35" s="230" t="s">
        <v>306</v>
      </c>
      <c r="AS35" s="230" t="s">
        <v>306</v>
      </c>
      <c r="AT35" s="230" t="s">
        <v>306</v>
      </c>
      <c r="AU35" s="230" t="s">
        <v>306</v>
      </c>
      <c r="AV35" s="230" t="s">
        <v>306</v>
      </c>
      <c r="AW35" s="230" t="s">
        <v>306</v>
      </c>
      <c r="AX35" s="230" t="s">
        <v>306</v>
      </c>
      <c r="AY35" s="230" t="s">
        <v>306</v>
      </c>
      <c r="AZ35" s="230" t="s">
        <v>19</v>
      </c>
      <c r="BA35" s="230" t="s">
        <v>306</v>
      </c>
      <c r="BB35" s="230" t="s">
        <v>306</v>
      </c>
      <c r="BC35" s="230" t="s">
        <v>306</v>
      </c>
      <c r="BD35" s="231" t="s">
        <v>306</v>
      </c>
    </row>
    <row r="36" spans="1:56" ht="12.5" x14ac:dyDescent="0.25">
      <c r="A36" s="229">
        <v>44797.452113692125</v>
      </c>
      <c r="B36" s="230" t="s">
        <v>304</v>
      </c>
      <c r="C36" s="230">
        <v>2022</v>
      </c>
      <c r="D36" s="230" t="s">
        <v>17</v>
      </c>
      <c r="E36" s="230" t="s">
        <v>515</v>
      </c>
      <c r="F36" s="230" t="s">
        <v>15</v>
      </c>
      <c r="G36" s="230" t="s">
        <v>516</v>
      </c>
      <c r="H36" s="230" t="s">
        <v>559</v>
      </c>
      <c r="I36" s="230" t="s">
        <v>24</v>
      </c>
      <c r="J36" s="230">
        <v>12</v>
      </c>
      <c r="K36" s="230" t="s">
        <v>518</v>
      </c>
      <c r="L36" s="230" t="s">
        <v>560</v>
      </c>
      <c r="M36" s="230" t="s">
        <v>518</v>
      </c>
      <c r="N36" s="230" t="s">
        <v>375</v>
      </c>
      <c r="O36" s="230"/>
      <c r="P36" s="230"/>
      <c r="Q36" s="230"/>
      <c r="R36" s="230" t="s">
        <v>306</v>
      </c>
      <c r="S36" s="230" t="s">
        <v>306</v>
      </c>
      <c r="T36" s="230" t="s">
        <v>19</v>
      </c>
      <c r="U36" s="230" t="s">
        <v>25</v>
      </c>
      <c r="V36" s="230" t="s">
        <v>306</v>
      </c>
      <c r="W36" s="230" t="s">
        <v>19</v>
      </c>
      <c r="X36" s="230" t="s">
        <v>25</v>
      </c>
      <c r="Y36" s="230" t="s">
        <v>25</v>
      </c>
      <c r="Z36" s="230" t="s">
        <v>25</v>
      </c>
      <c r="AA36" s="230" t="s">
        <v>25</v>
      </c>
      <c r="AB36" s="230" t="s">
        <v>306</v>
      </c>
      <c r="AC36" s="230" t="s">
        <v>19</v>
      </c>
      <c r="AD36" s="230" t="s">
        <v>25</v>
      </c>
      <c r="AE36" s="230" t="s">
        <v>306</v>
      </c>
      <c r="AF36" s="230" t="s">
        <v>25</v>
      </c>
      <c r="AG36" s="230" t="s">
        <v>306</v>
      </c>
      <c r="AH36" s="230" t="s">
        <v>25</v>
      </c>
      <c r="AI36" s="230" t="s">
        <v>306</v>
      </c>
      <c r="AJ36" s="230" t="s">
        <v>306</v>
      </c>
      <c r="AK36" s="230" t="s">
        <v>19</v>
      </c>
      <c r="AL36" s="230" t="s">
        <v>306</v>
      </c>
      <c r="AM36" s="230" t="s">
        <v>306</v>
      </c>
      <c r="AN36" s="230" t="s">
        <v>19</v>
      </c>
      <c r="AO36" s="230" t="s">
        <v>19</v>
      </c>
      <c r="AP36" s="230" t="s">
        <v>19</v>
      </c>
      <c r="AQ36" s="230" t="s">
        <v>19</v>
      </c>
      <c r="AR36" s="230" t="s">
        <v>306</v>
      </c>
      <c r="AS36" s="230" t="s">
        <v>25</v>
      </c>
      <c r="AT36" s="230" t="s">
        <v>25</v>
      </c>
      <c r="AU36" s="230" t="s">
        <v>25</v>
      </c>
      <c r="AV36" s="230" t="s">
        <v>25</v>
      </c>
      <c r="AW36" s="230" t="s">
        <v>306</v>
      </c>
      <c r="AX36" s="230" t="s">
        <v>25</v>
      </c>
      <c r="AY36" s="230" t="s">
        <v>19</v>
      </c>
      <c r="AZ36" s="230" t="s">
        <v>19</v>
      </c>
      <c r="BA36" s="230" t="s">
        <v>19</v>
      </c>
      <c r="BB36" s="230" t="s">
        <v>306</v>
      </c>
      <c r="BC36" s="230" t="s">
        <v>306</v>
      </c>
      <c r="BD36" s="231" t="s">
        <v>19</v>
      </c>
    </row>
    <row r="37" spans="1:56" ht="12.5" x14ac:dyDescent="0.25">
      <c r="A37" s="229">
        <v>44797.762456666664</v>
      </c>
      <c r="B37" s="230" t="s">
        <v>304</v>
      </c>
      <c r="C37" s="230">
        <v>2022</v>
      </c>
      <c r="D37" s="230" t="s">
        <v>17</v>
      </c>
      <c r="E37" s="230" t="s">
        <v>515</v>
      </c>
      <c r="F37" s="230" t="s">
        <v>15</v>
      </c>
      <c r="G37" s="230" t="s">
        <v>516</v>
      </c>
      <c r="H37" s="230" t="s">
        <v>561</v>
      </c>
      <c r="I37" s="230" t="s">
        <v>24</v>
      </c>
      <c r="J37" s="230">
        <v>11</v>
      </c>
      <c r="K37" s="230" t="s">
        <v>518</v>
      </c>
      <c r="L37" s="230" t="s">
        <v>560</v>
      </c>
      <c r="M37" s="230" t="s">
        <v>518</v>
      </c>
      <c r="N37" s="230" t="s">
        <v>375</v>
      </c>
      <c r="O37" s="230"/>
      <c r="P37" s="230"/>
      <c r="Q37" s="230"/>
      <c r="R37" s="230" t="s">
        <v>306</v>
      </c>
      <c r="S37" s="230" t="s">
        <v>306</v>
      </c>
      <c r="T37" s="230" t="s">
        <v>25</v>
      </c>
      <c r="U37" s="230" t="s">
        <v>19</v>
      </c>
      <c r="V37" s="230" t="s">
        <v>25</v>
      </c>
      <c r="W37" s="230" t="s">
        <v>306</v>
      </c>
      <c r="X37" s="230" t="s">
        <v>25</v>
      </c>
      <c r="Y37" s="230" t="s">
        <v>25</v>
      </c>
      <c r="Z37" s="230" t="s">
        <v>25</v>
      </c>
      <c r="AA37" s="230" t="s">
        <v>306</v>
      </c>
      <c r="AB37" s="230" t="s">
        <v>306</v>
      </c>
      <c r="AC37" s="230" t="s">
        <v>306</v>
      </c>
      <c r="AD37" s="230" t="s">
        <v>19</v>
      </c>
      <c r="AE37" s="230" t="s">
        <v>306</v>
      </c>
      <c r="AF37" s="230" t="s">
        <v>25</v>
      </c>
      <c r="AG37" s="230" t="s">
        <v>25</v>
      </c>
      <c r="AH37" s="230" t="s">
        <v>25</v>
      </c>
      <c r="AI37" s="230" t="s">
        <v>306</v>
      </c>
      <c r="AJ37" s="230" t="s">
        <v>306</v>
      </c>
      <c r="AK37" s="230" t="s">
        <v>306</v>
      </c>
      <c r="AL37" s="230" t="s">
        <v>306</v>
      </c>
      <c r="AM37" s="230" t="s">
        <v>306</v>
      </c>
      <c r="AN37" s="230" t="s">
        <v>306</v>
      </c>
      <c r="AO37" s="230" t="s">
        <v>19</v>
      </c>
      <c r="AP37" s="230" t="s">
        <v>19</v>
      </c>
      <c r="AQ37" s="230" t="s">
        <v>19</v>
      </c>
      <c r="AR37" s="230" t="s">
        <v>306</v>
      </c>
      <c r="AS37" s="230" t="s">
        <v>306</v>
      </c>
      <c r="AT37" s="230" t="s">
        <v>306</v>
      </c>
      <c r="AU37" s="230" t="s">
        <v>306</v>
      </c>
      <c r="AV37" s="230" t="s">
        <v>25</v>
      </c>
      <c r="AW37" s="230" t="s">
        <v>25</v>
      </c>
      <c r="AX37" s="230" t="s">
        <v>25</v>
      </c>
      <c r="AY37" s="230" t="s">
        <v>306</v>
      </c>
      <c r="AZ37" s="230" t="s">
        <v>306</v>
      </c>
      <c r="BA37" s="230" t="s">
        <v>306</v>
      </c>
      <c r="BB37" s="230" t="s">
        <v>306</v>
      </c>
      <c r="BC37" s="230" t="s">
        <v>306</v>
      </c>
      <c r="BD37" s="231" t="s">
        <v>25</v>
      </c>
    </row>
    <row r="38" spans="1:56" ht="12.5" x14ac:dyDescent="0.25">
      <c r="A38" s="229">
        <v>44798.324928344911</v>
      </c>
      <c r="B38" s="230" t="s">
        <v>304</v>
      </c>
      <c r="C38" s="230">
        <v>2022</v>
      </c>
      <c r="D38" s="230" t="s">
        <v>17</v>
      </c>
      <c r="E38" s="230" t="s">
        <v>515</v>
      </c>
      <c r="F38" s="230" t="s">
        <v>15</v>
      </c>
      <c r="G38" s="230" t="s">
        <v>516</v>
      </c>
      <c r="H38" s="230" t="s">
        <v>562</v>
      </c>
      <c r="I38" s="230" t="s">
        <v>24</v>
      </c>
      <c r="J38" s="230">
        <v>12</v>
      </c>
      <c r="K38" s="230" t="s">
        <v>518</v>
      </c>
      <c r="L38" s="230" t="s">
        <v>560</v>
      </c>
      <c r="M38" s="230" t="s">
        <v>518</v>
      </c>
      <c r="N38" s="230" t="s">
        <v>368</v>
      </c>
      <c r="O38" s="230"/>
      <c r="P38" s="230"/>
      <c r="Q38" s="230"/>
      <c r="R38" s="230" t="s">
        <v>306</v>
      </c>
      <c r="S38" s="230" t="s">
        <v>306</v>
      </c>
      <c r="T38" s="230" t="s">
        <v>306</v>
      </c>
      <c r="U38" s="230" t="s">
        <v>19</v>
      </c>
      <c r="V38" s="230" t="s">
        <v>25</v>
      </c>
      <c r="W38" s="230" t="s">
        <v>25</v>
      </c>
      <c r="X38" s="230" t="s">
        <v>25</v>
      </c>
      <c r="Y38" s="230" t="s">
        <v>306</v>
      </c>
      <c r="Z38" s="230" t="s">
        <v>25</v>
      </c>
      <c r="AA38" s="230" t="s">
        <v>19</v>
      </c>
      <c r="AB38" s="230" t="s">
        <v>25</v>
      </c>
      <c r="AC38" s="230" t="s">
        <v>306</v>
      </c>
      <c r="AD38" s="230" t="s">
        <v>25</v>
      </c>
      <c r="AE38" s="230" t="s">
        <v>306</v>
      </c>
      <c r="AF38" s="230" t="s">
        <v>25</v>
      </c>
      <c r="AG38" s="230" t="s">
        <v>306</v>
      </c>
      <c r="AH38" s="230" t="s">
        <v>25</v>
      </c>
      <c r="AI38" s="230" t="s">
        <v>306</v>
      </c>
      <c r="AJ38" s="230" t="s">
        <v>306</v>
      </c>
      <c r="AK38" s="230" t="s">
        <v>306</v>
      </c>
      <c r="AL38" s="230" t="s">
        <v>25</v>
      </c>
      <c r="AM38" s="230" t="s">
        <v>25</v>
      </c>
      <c r="AN38" s="230" t="s">
        <v>306</v>
      </c>
      <c r="AO38" s="230" t="s">
        <v>306</v>
      </c>
      <c r="AP38" s="230" t="s">
        <v>19</v>
      </c>
      <c r="AQ38" s="230" t="s">
        <v>306</v>
      </c>
      <c r="AR38" s="230" t="s">
        <v>25</v>
      </c>
      <c r="AS38" s="230" t="s">
        <v>306</v>
      </c>
      <c r="AT38" s="230" t="s">
        <v>25</v>
      </c>
      <c r="AU38" s="230" t="s">
        <v>19</v>
      </c>
      <c r="AV38" s="230" t="s">
        <v>25</v>
      </c>
      <c r="AW38" s="230" t="s">
        <v>25</v>
      </c>
      <c r="AX38" s="230" t="s">
        <v>25</v>
      </c>
      <c r="AY38" s="230" t="s">
        <v>25</v>
      </c>
      <c r="AZ38" s="230" t="s">
        <v>306</v>
      </c>
      <c r="BA38" s="230" t="s">
        <v>25</v>
      </c>
      <c r="BB38" s="230" t="s">
        <v>306</v>
      </c>
      <c r="BC38" s="230" t="s">
        <v>25</v>
      </c>
      <c r="BD38" s="231" t="s">
        <v>306</v>
      </c>
    </row>
    <row r="39" spans="1:56" ht="12.5" x14ac:dyDescent="0.25">
      <c r="A39" s="229">
        <v>44798.383508460647</v>
      </c>
      <c r="B39" s="230" t="s">
        <v>304</v>
      </c>
      <c r="C39" s="230">
        <v>2022</v>
      </c>
      <c r="D39" s="230" t="s">
        <v>17</v>
      </c>
      <c r="E39" s="230" t="s">
        <v>515</v>
      </c>
      <c r="F39" s="230" t="s">
        <v>15</v>
      </c>
      <c r="G39" s="230" t="s">
        <v>516</v>
      </c>
      <c r="H39" s="230" t="s">
        <v>563</v>
      </c>
      <c r="I39" s="230" t="s">
        <v>18</v>
      </c>
      <c r="J39" s="230">
        <v>12</v>
      </c>
      <c r="K39" s="230" t="s">
        <v>518</v>
      </c>
      <c r="L39" s="230" t="s">
        <v>560</v>
      </c>
      <c r="M39" s="230" t="s">
        <v>518</v>
      </c>
      <c r="N39" s="230" t="s">
        <v>375</v>
      </c>
      <c r="O39" s="230"/>
      <c r="P39" s="230"/>
      <c r="Q39" s="230"/>
      <c r="R39" s="230" t="s">
        <v>25</v>
      </c>
      <c r="S39" s="230" t="s">
        <v>306</v>
      </c>
      <c r="T39" s="230" t="s">
        <v>19</v>
      </c>
      <c r="U39" s="230" t="s">
        <v>25</v>
      </c>
      <c r="V39" s="230" t="s">
        <v>25</v>
      </c>
      <c r="W39" s="230" t="s">
        <v>25</v>
      </c>
      <c r="X39" s="230" t="s">
        <v>25</v>
      </c>
      <c r="Y39" s="230" t="s">
        <v>25</v>
      </c>
      <c r="Z39" s="230" t="s">
        <v>25</v>
      </c>
      <c r="AA39" s="230" t="s">
        <v>25</v>
      </c>
      <c r="AB39" s="230" t="s">
        <v>25</v>
      </c>
      <c r="AC39" s="230" t="s">
        <v>25</v>
      </c>
      <c r="AD39" s="230" t="s">
        <v>25</v>
      </c>
      <c r="AE39" s="230" t="s">
        <v>25</v>
      </c>
      <c r="AF39" s="230" t="s">
        <v>25</v>
      </c>
      <c r="AG39" s="230" t="s">
        <v>25</v>
      </c>
      <c r="AH39" s="230" t="s">
        <v>25</v>
      </c>
      <c r="AI39" s="230" t="s">
        <v>25</v>
      </c>
      <c r="AJ39" s="230" t="s">
        <v>306</v>
      </c>
      <c r="AK39" s="230" t="s">
        <v>25</v>
      </c>
      <c r="AL39" s="230" t="s">
        <v>25</v>
      </c>
      <c r="AM39" s="230" t="s">
        <v>25</v>
      </c>
      <c r="AN39" s="230" t="s">
        <v>25</v>
      </c>
      <c r="AO39" s="230" t="s">
        <v>306</v>
      </c>
      <c r="AP39" s="230" t="s">
        <v>306</v>
      </c>
      <c r="AQ39" s="230" t="s">
        <v>306</v>
      </c>
      <c r="AR39" s="230" t="s">
        <v>306</v>
      </c>
      <c r="AS39" s="230" t="s">
        <v>25</v>
      </c>
      <c r="AT39" s="230" t="s">
        <v>306</v>
      </c>
      <c r="AU39" s="230" t="s">
        <v>25</v>
      </c>
      <c r="AV39" s="230" t="s">
        <v>25</v>
      </c>
      <c r="AW39" s="230" t="s">
        <v>25</v>
      </c>
      <c r="AX39" s="230" t="s">
        <v>306</v>
      </c>
      <c r="AY39" s="230" t="s">
        <v>25</v>
      </c>
      <c r="AZ39" s="230" t="s">
        <v>25</v>
      </c>
      <c r="BA39" s="230" t="s">
        <v>25</v>
      </c>
      <c r="BB39" s="230" t="s">
        <v>25</v>
      </c>
      <c r="BC39" s="230" t="s">
        <v>306</v>
      </c>
      <c r="BD39" s="231" t="s">
        <v>25</v>
      </c>
    </row>
    <row r="40" spans="1:56" ht="12.5" x14ac:dyDescent="0.25">
      <c r="A40" s="229">
        <v>44798.386845682871</v>
      </c>
      <c r="B40" s="230" t="s">
        <v>304</v>
      </c>
      <c r="C40" s="230">
        <v>2022</v>
      </c>
      <c r="D40" s="230" t="s">
        <v>17</v>
      </c>
      <c r="E40" s="230" t="s">
        <v>515</v>
      </c>
      <c r="F40" s="230" t="s">
        <v>15</v>
      </c>
      <c r="G40" s="230" t="s">
        <v>516</v>
      </c>
      <c r="H40" s="230" t="s">
        <v>564</v>
      </c>
      <c r="I40" s="230" t="s">
        <v>24</v>
      </c>
      <c r="J40" s="230">
        <v>11</v>
      </c>
      <c r="K40" s="230" t="s">
        <v>518</v>
      </c>
      <c r="L40" s="230" t="s">
        <v>560</v>
      </c>
      <c r="M40" s="230" t="s">
        <v>518</v>
      </c>
      <c r="N40" s="230" t="s">
        <v>412</v>
      </c>
      <c r="O40" s="230"/>
      <c r="P40" s="230"/>
      <c r="Q40" s="230"/>
      <c r="R40" s="230" t="s">
        <v>306</v>
      </c>
      <c r="S40" s="230" t="s">
        <v>306</v>
      </c>
      <c r="T40" s="230" t="s">
        <v>19</v>
      </c>
      <c r="U40" s="230" t="s">
        <v>25</v>
      </c>
      <c r="V40" s="230" t="s">
        <v>25</v>
      </c>
      <c r="W40" s="230" t="s">
        <v>306</v>
      </c>
      <c r="X40" s="230" t="s">
        <v>25</v>
      </c>
      <c r="Y40" s="230" t="s">
        <v>306</v>
      </c>
      <c r="Z40" s="230" t="s">
        <v>25</v>
      </c>
      <c r="AA40" s="230" t="s">
        <v>19</v>
      </c>
      <c r="AB40" s="230" t="s">
        <v>306</v>
      </c>
      <c r="AC40" s="230" t="s">
        <v>306</v>
      </c>
      <c r="AD40" s="230" t="s">
        <v>19</v>
      </c>
      <c r="AE40" s="230" t="s">
        <v>306</v>
      </c>
      <c r="AF40" s="230" t="s">
        <v>306</v>
      </c>
      <c r="AG40" s="230" t="s">
        <v>306</v>
      </c>
      <c r="AH40" s="230" t="s">
        <v>306</v>
      </c>
      <c r="AI40" s="230" t="s">
        <v>25</v>
      </c>
      <c r="AJ40" s="230" t="s">
        <v>25</v>
      </c>
      <c r="AK40" s="230" t="s">
        <v>25</v>
      </c>
      <c r="AL40" s="230" t="s">
        <v>19</v>
      </c>
      <c r="AM40" s="230" t="s">
        <v>19</v>
      </c>
      <c r="AN40" s="230" t="s">
        <v>19</v>
      </c>
      <c r="AO40" s="230" t="s">
        <v>306</v>
      </c>
      <c r="AP40" s="230" t="s">
        <v>25</v>
      </c>
      <c r="AQ40" s="230" t="s">
        <v>19</v>
      </c>
      <c r="AR40" s="230" t="s">
        <v>306</v>
      </c>
      <c r="AS40" s="230" t="s">
        <v>306</v>
      </c>
      <c r="AT40" s="230" t="s">
        <v>19</v>
      </c>
      <c r="AU40" s="230" t="s">
        <v>25</v>
      </c>
      <c r="AV40" s="230" t="s">
        <v>306</v>
      </c>
      <c r="AW40" s="230" t="s">
        <v>19</v>
      </c>
      <c r="AX40" s="230" t="s">
        <v>25</v>
      </c>
      <c r="AY40" s="230" t="s">
        <v>306</v>
      </c>
      <c r="AZ40" s="230" t="s">
        <v>25</v>
      </c>
      <c r="BA40" s="230" t="s">
        <v>19</v>
      </c>
      <c r="BB40" s="230" t="s">
        <v>306</v>
      </c>
      <c r="BC40" s="230" t="s">
        <v>25</v>
      </c>
      <c r="BD40" s="231" t="s">
        <v>19</v>
      </c>
    </row>
    <row r="41" spans="1:56" ht="12.5" x14ac:dyDescent="0.25">
      <c r="A41" s="229">
        <v>44798.440943807873</v>
      </c>
      <c r="B41" s="230" t="s">
        <v>304</v>
      </c>
      <c r="C41" s="230">
        <v>2022</v>
      </c>
      <c r="D41" s="230" t="s">
        <v>17</v>
      </c>
      <c r="E41" s="230" t="s">
        <v>515</v>
      </c>
      <c r="F41" s="230" t="s">
        <v>15</v>
      </c>
      <c r="G41" s="230" t="s">
        <v>516</v>
      </c>
      <c r="H41" s="230" t="s">
        <v>565</v>
      </c>
      <c r="I41" s="230" t="s">
        <v>24</v>
      </c>
      <c r="J41" s="230">
        <v>11</v>
      </c>
      <c r="K41" s="230" t="s">
        <v>518</v>
      </c>
      <c r="L41" s="230" t="s">
        <v>560</v>
      </c>
      <c r="M41" s="230" t="s">
        <v>518</v>
      </c>
      <c r="N41" s="230" t="s">
        <v>412</v>
      </c>
      <c r="O41" s="230"/>
      <c r="P41" s="230"/>
      <c r="Q41" s="230"/>
      <c r="R41" s="230" t="s">
        <v>306</v>
      </c>
      <c r="S41" s="230" t="s">
        <v>306</v>
      </c>
      <c r="T41" s="230" t="s">
        <v>306</v>
      </c>
      <c r="U41" s="230" t="s">
        <v>306</v>
      </c>
      <c r="V41" s="230" t="s">
        <v>306</v>
      </c>
      <c r="W41" s="230" t="s">
        <v>19</v>
      </c>
      <c r="X41" s="230" t="s">
        <v>25</v>
      </c>
      <c r="Y41" s="230" t="s">
        <v>306</v>
      </c>
      <c r="Z41" s="230" t="s">
        <v>306</v>
      </c>
      <c r="AA41" s="230" t="s">
        <v>19</v>
      </c>
      <c r="AB41" s="230" t="s">
        <v>306</v>
      </c>
      <c r="AC41" s="230" t="s">
        <v>19</v>
      </c>
      <c r="AD41" s="230" t="s">
        <v>306</v>
      </c>
      <c r="AE41" s="230" t="s">
        <v>306</v>
      </c>
      <c r="AF41" s="230" t="s">
        <v>306</v>
      </c>
      <c r="AG41" s="230" t="s">
        <v>306</v>
      </c>
      <c r="AH41" s="230" t="s">
        <v>306</v>
      </c>
      <c r="AI41" s="230" t="s">
        <v>25</v>
      </c>
      <c r="AJ41" s="230" t="s">
        <v>25</v>
      </c>
      <c r="AK41" s="230" t="s">
        <v>306</v>
      </c>
      <c r="AL41" s="230" t="s">
        <v>25</v>
      </c>
      <c r="AM41" s="230" t="s">
        <v>25</v>
      </c>
      <c r="AN41" s="230" t="s">
        <v>306</v>
      </c>
      <c r="AO41" s="230" t="s">
        <v>306</v>
      </c>
      <c r="AP41" s="230" t="s">
        <v>19</v>
      </c>
      <c r="AQ41" s="230" t="s">
        <v>306</v>
      </c>
      <c r="AR41" s="230" t="s">
        <v>25</v>
      </c>
      <c r="AS41" s="230" t="s">
        <v>306</v>
      </c>
      <c r="AT41" s="230" t="s">
        <v>19</v>
      </c>
      <c r="AU41" s="230" t="s">
        <v>25</v>
      </c>
      <c r="AV41" s="230" t="s">
        <v>25</v>
      </c>
      <c r="AW41" s="230" t="s">
        <v>25</v>
      </c>
      <c r="AX41" s="230" t="s">
        <v>25</v>
      </c>
      <c r="AY41" s="230" t="s">
        <v>25</v>
      </c>
      <c r="AZ41" s="230" t="s">
        <v>306</v>
      </c>
      <c r="BA41" s="230" t="s">
        <v>25</v>
      </c>
      <c r="BB41" s="230" t="s">
        <v>25</v>
      </c>
      <c r="BC41" s="230" t="s">
        <v>19</v>
      </c>
      <c r="BD41" s="231" t="s">
        <v>19</v>
      </c>
    </row>
    <row r="42" spans="1:56" ht="12.5" x14ac:dyDescent="0.25">
      <c r="A42" s="229">
        <v>44789.794843668977</v>
      </c>
      <c r="B42" s="230" t="s">
        <v>384</v>
      </c>
      <c r="C42" s="230">
        <v>2022</v>
      </c>
      <c r="D42" s="230" t="s">
        <v>17</v>
      </c>
      <c r="E42" s="230" t="s">
        <v>515</v>
      </c>
      <c r="F42" s="230" t="s">
        <v>15</v>
      </c>
      <c r="G42" s="230" t="s">
        <v>516</v>
      </c>
      <c r="H42" s="230" t="s">
        <v>566</v>
      </c>
      <c r="I42" s="230" t="s">
        <v>24</v>
      </c>
      <c r="J42" s="230">
        <v>11</v>
      </c>
      <c r="K42" s="230" t="s">
        <v>518</v>
      </c>
      <c r="L42" s="230" t="s">
        <v>560</v>
      </c>
      <c r="M42" s="230" t="s">
        <v>518</v>
      </c>
      <c r="N42" s="230" t="s">
        <v>412</v>
      </c>
      <c r="O42" s="230"/>
      <c r="P42" s="230"/>
      <c r="Q42" s="230"/>
      <c r="R42" s="230" t="s">
        <v>306</v>
      </c>
      <c r="S42" s="230" t="s">
        <v>306</v>
      </c>
      <c r="T42" s="230" t="s">
        <v>306</v>
      </c>
      <c r="U42" s="230" t="s">
        <v>306</v>
      </c>
      <c r="V42" s="230" t="s">
        <v>25</v>
      </c>
      <c r="W42" s="230" t="s">
        <v>25</v>
      </c>
      <c r="X42" s="230" t="s">
        <v>306</v>
      </c>
      <c r="Y42" s="230" t="s">
        <v>306</v>
      </c>
      <c r="Z42" s="230" t="s">
        <v>25</v>
      </c>
      <c r="AA42" s="230" t="s">
        <v>19</v>
      </c>
      <c r="AB42" s="230" t="s">
        <v>306</v>
      </c>
      <c r="AC42" s="230" t="s">
        <v>306</v>
      </c>
      <c r="AD42" s="230" t="s">
        <v>306</v>
      </c>
      <c r="AE42" s="230" t="s">
        <v>306</v>
      </c>
      <c r="AF42" s="230" t="s">
        <v>306</v>
      </c>
      <c r="AG42" s="230" t="s">
        <v>306</v>
      </c>
      <c r="AH42" s="230" t="s">
        <v>306</v>
      </c>
      <c r="AI42" s="230" t="s">
        <v>25</v>
      </c>
      <c r="AJ42" s="230" t="s">
        <v>25</v>
      </c>
      <c r="AK42" s="230" t="s">
        <v>306</v>
      </c>
      <c r="AL42" s="230" t="s">
        <v>25</v>
      </c>
      <c r="AM42" s="230" t="s">
        <v>25</v>
      </c>
      <c r="AN42" s="230" t="s">
        <v>306</v>
      </c>
      <c r="AO42" s="230" t="s">
        <v>25</v>
      </c>
      <c r="AP42" s="230" t="s">
        <v>306</v>
      </c>
      <c r="AQ42" s="230" t="s">
        <v>25</v>
      </c>
      <c r="AR42" s="230" t="s">
        <v>306</v>
      </c>
      <c r="AS42" s="230" t="s">
        <v>306</v>
      </c>
      <c r="AT42" s="230" t="s">
        <v>306</v>
      </c>
      <c r="AU42" s="230" t="s">
        <v>306</v>
      </c>
      <c r="AV42" s="230" t="s">
        <v>306</v>
      </c>
      <c r="AW42" s="230" t="s">
        <v>306</v>
      </c>
      <c r="AX42" s="230" t="s">
        <v>306</v>
      </c>
      <c r="AY42" s="230" t="s">
        <v>25</v>
      </c>
      <c r="AZ42" s="230" t="s">
        <v>306</v>
      </c>
      <c r="BA42" s="230" t="s">
        <v>25</v>
      </c>
      <c r="BB42" s="230" t="s">
        <v>306</v>
      </c>
      <c r="BC42" s="230" t="s">
        <v>306</v>
      </c>
      <c r="BD42" s="231" t="s">
        <v>306</v>
      </c>
    </row>
    <row r="43" spans="1:56" ht="12.5" x14ac:dyDescent="0.25">
      <c r="A43" s="229">
        <v>44785.441363506943</v>
      </c>
      <c r="B43" s="230" t="s">
        <v>395</v>
      </c>
      <c r="C43" s="230">
        <v>2022</v>
      </c>
      <c r="D43" s="230" t="s">
        <v>17</v>
      </c>
      <c r="E43" s="230" t="s">
        <v>515</v>
      </c>
      <c r="F43" s="230" t="s">
        <v>15</v>
      </c>
      <c r="G43" s="230" t="s">
        <v>516</v>
      </c>
      <c r="H43" s="230" t="s">
        <v>567</v>
      </c>
      <c r="I43" s="230" t="s">
        <v>18</v>
      </c>
      <c r="J43" s="230">
        <v>11</v>
      </c>
      <c r="K43" s="230" t="s">
        <v>518</v>
      </c>
      <c r="L43" s="230" t="s">
        <v>560</v>
      </c>
      <c r="M43" s="230" t="s">
        <v>531</v>
      </c>
      <c r="N43" s="230" t="s">
        <v>424</v>
      </c>
      <c r="O43" s="230"/>
      <c r="P43" s="230"/>
      <c r="Q43" s="230"/>
      <c r="R43" s="230" t="s">
        <v>306</v>
      </c>
      <c r="S43" s="230" t="s">
        <v>306</v>
      </c>
      <c r="T43" s="230" t="s">
        <v>25</v>
      </c>
      <c r="U43" s="230" t="s">
        <v>19</v>
      </c>
      <c r="V43" s="230" t="s">
        <v>25</v>
      </c>
      <c r="W43" s="230" t="s">
        <v>25</v>
      </c>
      <c r="X43" s="230" t="s">
        <v>25</v>
      </c>
      <c r="Y43" s="230" t="s">
        <v>306</v>
      </c>
      <c r="Z43" s="230" t="s">
        <v>25</v>
      </c>
      <c r="AA43" s="230" t="s">
        <v>19</v>
      </c>
      <c r="AB43" s="230" t="s">
        <v>306</v>
      </c>
      <c r="AC43" s="230" t="s">
        <v>25</v>
      </c>
      <c r="AD43" s="230" t="s">
        <v>19</v>
      </c>
      <c r="AE43" s="230" t="s">
        <v>306</v>
      </c>
      <c r="AF43" s="230" t="s">
        <v>306</v>
      </c>
      <c r="AG43" s="230" t="s">
        <v>25</v>
      </c>
      <c r="AH43" s="230" t="s">
        <v>19</v>
      </c>
      <c r="AI43" s="230" t="s">
        <v>19</v>
      </c>
      <c r="AJ43" s="230" t="s">
        <v>19</v>
      </c>
      <c r="AK43" s="230" t="s">
        <v>19</v>
      </c>
      <c r="AL43" s="230" t="s">
        <v>306</v>
      </c>
      <c r="AM43" s="230" t="s">
        <v>25</v>
      </c>
      <c r="AN43" s="230" t="s">
        <v>19</v>
      </c>
      <c r="AO43" s="230" t="s">
        <v>25</v>
      </c>
      <c r="AP43" s="230" t="s">
        <v>306</v>
      </c>
      <c r="AQ43" s="230" t="s">
        <v>25</v>
      </c>
      <c r="AR43" s="230" t="s">
        <v>25</v>
      </c>
      <c r="AS43" s="230" t="s">
        <v>25</v>
      </c>
      <c r="AT43" s="230" t="s">
        <v>306</v>
      </c>
      <c r="AU43" s="230" t="s">
        <v>25</v>
      </c>
      <c r="AV43" s="230" t="s">
        <v>25</v>
      </c>
      <c r="AW43" s="230" t="s">
        <v>25</v>
      </c>
      <c r="AX43" s="230" t="s">
        <v>25</v>
      </c>
      <c r="AY43" s="230" t="s">
        <v>25</v>
      </c>
      <c r="AZ43" s="230" t="s">
        <v>25</v>
      </c>
      <c r="BA43" s="230" t="s">
        <v>25</v>
      </c>
      <c r="BB43" s="230" t="s">
        <v>25</v>
      </c>
      <c r="BC43" s="230" t="s">
        <v>25</v>
      </c>
      <c r="BD43" s="231" t="s">
        <v>19</v>
      </c>
    </row>
    <row r="44" spans="1:56" ht="12.5" x14ac:dyDescent="0.25">
      <c r="A44" s="229">
        <v>44785.45430626157</v>
      </c>
      <c r="B44" s="230" t="s">
        <v>395</v>
      </c>
      <c r="C44" s="230">
        <v>2022</v>
      </c>
      <c r="D44" s="230" t="s">
        <v>17</v>
      </c>
      <c r="E44" s="230" t="s">
        <v>515</v>
      </c>
      <c r="F44" s="230" t="s">
        <v>15</v>
      </c>
      <c r="G44" s="230" t="s">
        <v>516</v>
      </c>
      <c r="H44" s="230" t="s">
        <v>568</v>
      </c>
      <c r="I44" s="230" t="s">
        <v>18</v>
      </c>
      <c r="J44" s="230">
        <v>12</v>
      </c>
      <c r="K44" s="230" t="s">
        <v>518</v>
      </c>
      <c r="L44" s="230" t="s">
        <v>560</v>
      </c>
      <c r="M44" s="230" t="s">
        <v>531</v>
      </c>
      <c r="N44" s="230" t="s">
        <v>424</v>
      </c>
      <c r="O44" s="230"/>
      <c r="P44" s="230"/>
      <c r="Q44" s="230"/>
      <c r="R44" s="230" t="s">
        <v>306</v>
      </c>
      <c r="S44" s="230" t="s">
        <v>306</v>
      </c>
      <c r="T44" s="230" t="s">
        <v>25</v>
      </c>
      <c r="U44" s="230" t="s">
        <v>19</v>
      </c>
      <c r="V44" s="230" t="s">
        <v>306</v>
      </c>
      <c r="W44" s="230" t="s">
        <v>19</v>
      </c>
      <c r="X44" s="230" t="s">
        <v>25</v>
      </c>
      <c r="Y44" s="230" t="s">
        <v>306</v>
      </c>
      <c r="Z44" s="230" t="s">
        <v>25</v>
      </c>
      <c r="AA44" s="230" t="s">
        <v>19</v>
      </c>
      <c r="AB44" s="230" t="s">
        <v>306</v>
      </c>
      <c r="AC44" s="230" t="s">
        <v>25</v>
      </c>
      <c r="AD44" s="230" t="s">
        <v>19</v>
      </c>
      <c r="AE44" s="230" t="s">
        <v>306</v>
      </c>
      <c r="AF44" s="230" t="s">
        <v>25</v>
      </c>
      <c r="AG44" s="230" t="s">
        <v>25</v>
      </c>
      <c r="AH44" s="230" t="s">
        <v>306</v>
      </c>
      <c r="AI44" s="230" t="s">
        <v>306</v>
      </c>
      <c r="AJ44" s="230" t="s">
        <v>306</v>
      </c>
      <c r="AK44" s="230" t="s">
        <v>19</v>
      </c>
      <c r="AL44" s="230" t="s">
        <v>19</v>
      </c>
      <c r="AM44" s="230" t="s">
        <v>19</v>
      </c>
      <c r="AN44" s="230" t="s">
        <v>19</v>
      </c>
      <c r="AO44" s="230" t="s">
        <v>19</v>
      </c>
      <c r="AP44" s="230" t="s">
        <v>19</v>
      </c>
      <c r="AQ44" s="230" t="s">
        <v>19</v>
      </c>
      <c r="AR44" s="230" t="s">
        <v>306</v>
      </c>
      <c r="AS44" s="230" t="s">
        <v>25</v>
      </c>
      <c r="AT44" s="230" t="s">
        <v>25</v>
      </c>
      <c r="AU44" s="230" t="s">
        <v>25</v>
      </c>
      <c r="AV44" s="230" t="s">
        <v>25</v>
      </c>
      <c r="AW44" s="230" t="s">
        <v>25</v>
      </c>
      <c r="AX44" s="230" t="s">
        <v>25</v>
      </c>
      <c r="AY44" s="230" t="s">
        <v>25</v>
      </c>
      <c r="AZ44" s="230" t="s">
        <v>25</v>
      </c>
      <c r="BA44" s="230" t="s">
        <v>306</v>
      </c>
      <c r="BB44" s="230" t="s">
        <v>306</v>
      </c>
      <c r="BC44" s="230" t="s">
        <v>25</v>
      </c>
      <c r="BD44" s="231" t="s">
        <v>25</v>
      </c>
    </row>
    <row r="45" spans="1:56" ht="12.5" x14ac:dyDescent="0.25">
      <c r="A45" s="229">
        <v>44785.469243321757</v>
      </c>
      <c r="B45" s="230" t="s">
        <v>395</v>
      </c>
      <c r="C45" s="230">
        <v>2022</v>
      </c>
      <c r="D45" s="230" t="s">
        <v>17</v>
      </c>
      <c r="E45" s="230" t="s">
        <v>515</v>
      </c>
      <c r="F45" s="230" t="s">
        <v>15</v>
      </c>
      <c r="G45" s="230" t="s">
        <v>516</v>
      </c>
      <c r="H45" s="230" t="s">
        <v>569</v>
      </c>
      <c r="I45" s="230" t="s">
        <v>24</v>
      </c>
      <c r="J45" s="230">
        <v>12</v>
      </c>
      <c r="K45" s="230" t="s">
        <v>518</v>
      </c>
      <c r="L45" s="230" t="s">
        <v>560</v>
      </c>
      <c r="M45" s="230" t="s">
        <v>531</v>
      </c>
      <c r="N45" s="230" t="s">
        <v>424</v>
      </c>
      <c r="O45" s="230"/>
      <c r="P45" s="230"/>
      <c r="Q45" s="230"/>
      <c r="R45" s="230" t="s">
        <v>306</v>
      </c>
      <c r="S45" s="230" t="s">
        <v>306</v>
      </c>
      <c r="T45" s="230" t="s">
        <v>306</v>
      </c>
      <c r="U45" s="230" t="s">
        <v>19</v>
      </c>
      <c r="V45" s="230" t="s">
        <v>306</v>
      </c>
      <c r="W45" s="230" t="s">
        <v>19</v>
      </c>
      <c r="X45" s="230" t="s">
        <v>25</v>
      </c>
      <c r="Y45" s="230" t="s">
        <v>19</v>
      </c>
      <c r="Z45" s="230" t="s">
        <v>19</v>
      </c>
      <c r="AA45" s="230" t="s">
        <v>19</v>
      </c>
      <c r="AB45" s="230" t="s">
        <v>306</v>
      </c>
      <c r="AC45" s="230" t="s">
        <v>25</v>
      </c>
      <c r="AD45" s="230" t="s">
        <v>19</v>
      </c>
      <c r="AE45" s="230" t="s">
        <v>306</v>
      </c>
      <c r="AF45" s="230" t="s">
        <v>306</v>
      </c>
      <c r="AG45" s="230" t="s">
        <v>306</v>
      </c>
      <c r="AH45" s="230" t="s">
        <v>19</v>
      </c>
      <c r="AI45" s="230" t="s">
        <v>306</v>
      </c>
      <c r="AJ45" s="230" t="s">
        <v>306</v>
      </c>
      <c r="AK45" s="230" t="s">
        <v>19</v>
      </c>
      <c r="AL45" s="230" t="s">
        <v>306</v>
      </c>
      <c r="AM45" s="230" t="s">
        <v>19</v>
      </c>
      <c r="AN45" s="230" t="s">
        <v>306</v>
      </c>
      <c r="AO45" s="230" t="s">
        <v>306</v>
      </c>
      <c r="AP45" s="230" t="s">
        <v>19</v>
      </c>
      <c r="AQ45" s="230" t="s">
        <v>306</v>
      </c>
      <c r="AR45" s="230" t="s">
        <v>25</v>
      </c>
      <c r="AS45" s="230" t="s">
        <v>19</v>
      </c>
      <c r="AT45" s="230" t="s">
        <v>19</v>
      </c>
      <c r="AU45" s="230" t="s">
        <v>19</v>
      </c>
      <c r="AV45" s="230" t="s">
        <v>306</v>
      </c>
      <c r="AW45" s="230" t="s">
        <v>306</v>
      </c>
      <c r="AX45" s="230" t="s">
        <v>19</v>
      </c>
      <c r="AY45" s="230" t="s">
        <v>19</v>
      </c>
      <c r="AZ45" s="230" t="s">
        <v>19</v>
      </c>
      <c r="BA45" s="230" t="s">
        <v>19</v>
      </c>
      <c r="BB45" s="230" t="s">
        <v>25</v>
      </c>
      <c r="BC45" s="230" t="s">
        <v>25</v>
      </c>
      <c r="BD45" s="231" t="s">
        <v>19</v>
      </c>
    </row>
    <row r="46" spans="1:56" ht="12.5" x14ac:dyDescent="0.25">
      <c r="A46" s="229">
        <v>44785.48071142361</v>
      </c>
      <c r="B46" s="230" t="s">
        <v>395</v>
      </c>
      <c r="C46" s="230">
        <v>2022</v>
      </c>
      <c r="D46" s="230" t="s">
        <v>17</v>
      </c>
      <c r="E46" s="230" t="s">
        <v>515</v>
      </c>
      <c r="F46" s="230" t="s">
        <v>15</v>
      </c>
      <c r="G46" s="230" t="s">
        <v>516</v>
      </c>
      <c r="H46" s="230" t="s">
        <v>570</v>
      </c>
      <c r="I46" s="230" t="s">
        <v>24</v>
      </c>
      <c r="J46" s="230">
        <v>11</v>
      </c>
      <c r="K46" s="230" t="s">
        <v>518</v>
      </c>
      <c r="L46" s="230" t="s">
        <v>560</v>
      </c>
      <c r="M46" s="230" t="s">
        <v>531</v>
      </c>
      <c r="N46" s="230" t="s">
        <v>424</v>
      </c>
      <c r="O46" s="230"/>
      <c r="P46" s="230"/>
      <c r="Q46" s="230"/>
      <c r="R46" s="230" t="s">
        <v>306</v>
      </c>
      <c r="S46" s="230" t="s">
        <v>306</v>
      </c>
      <c r="T46" s="230" t="s">
        <v>306</v>
      </c>
      <c r="U46" s="230" t="s">
        <v>19</v>
      </c>
      <c r="V46" s="230" t="s">
        <v>25</v>
      </c>
      <c r="W46" s="230" t="s">
        <v>25</v>
      </c>
      <c r="X46" s="230" t="s">
        <v>25</v>
      </c>
      <c r="Y46" s="230" t="s">
        <v>19</v>
      </c>
      <c r="Z46" s="230" t="s">
        <v>19</v>
      </c>
      <c r="AA46" s="230" t="s">
        <v>19</v>
      </c>
      <c r="AB46" s="230" t="s">
        <v>306</v>
      </c>
      <c r="AC46" s="230" t="s">
        <v>306</v>
      </c>
      <c r="AD46" s="230" t="s">
        <v>306</v>
      </c>
      <c r="AE46" s="230" t="s">
        <v>19</v>
      </c>
      <c r="AF46" s="230" t="s">
        <v>306</v>
      </c>
      <c r="AG46" s="230" t="s">
        <v>306</v>
      </c>
      <c r="AH46" s="230" t="s">
        <v>19</v>
      </c>
      <c r="AI46" s="230" t="s">
        <v>306</v>
      </c>
      <c r="AJ46" s="230" t="s">
        <v>306</v>
      </c>
      <c r="AK46" s="230" t="s">
        <v>19</v>
      </c>
      <c r="AL46" s="230" t="s">
        <v>19</v>
      </c>
      <c r="AM46" s="230" t="s">
        <v>19</v>
      </c>
      <c r="AN46" s="230" t="s">
        <v>19</v>
      </c>
      <c r="AO46" s="230" t="s">
        <v>19</v>
      </c>
      <c r="AP46" s="230" t="s">
        <v>19</v>
      </c>
      <c r="AQ46" s="230" t="s">
        <v>19</v>
      </c>
      <c r="AR46" s="230" t="s">
        <v>25</v>
      </c>
      <c r="AS46" s="230" t="s">
        <v>306</v>
      </c>
      <c r="AT46" s="230" t="s">
        <v>25</v>
      </c>
      <c r="AU46" s="230" t="s">
        <v>19</v>
      </c>
      <c r="AV46" s="230" t="s">
        <v>25</v>
      </c>
      <c r="AW46" s="230" t="s">
        <v>25</v>
      </c>
      <c r="AX46" s="230" t="s">
        <v>25</v>
      </c>
      <c r="AY46" s="230" t="s">
        <v>19</v>
      </c>
      <c r="AZ46" s="230" t="s">
        <v>19</v>
      </c>
      <c r="BA46" s="230" t="s">
        <v>19</v>
      </c>
      <c r="BB46" s="230" t="s">
        <v>306</v>
      </c>
      <c r="BC46" s="230" t="s">
        <v>25</v>
      </c>
      <c r="BD46" s="231" t="s">
        <v>25</v>
      </c>
    </row>
    <row r="47" spans="1:56" ht="12.5" x14ac:dyDescent="0.25">
      <c r="A47" s="229">
        <v>44796.829554976852</v>
      </c>
      <c r="B47" s="230" t="s">
        <v>406</v>
      </c>
      <c r="C47" s="230">
        <v>2022</v>
      </c>
      <c r="D47" s="230" t="s">
        <v>17</v>
      </c>
      <c r="E47" s="230" t="s">
        <v>515</v>
      </c>
      <c r="F47" s="230" t="s">
        <v>15</v>
      </c>
      <c r="G47" s="230" t="s">
        <v>516</v>
      </c>
      <c r="H47" s="230" t="s">
        <v>571</v>
      </c>
      <c r="I47" s="230" t="s">
        <v>18</v>
      </c>
      <c r="J47" s="230">
        <v>12</v>
      </c>
      <c r="K47" s="230" t="s">
        <v>518</v>
      </c>
      <c r="L47" s="230" t="s">
        <v>560</v>
      </c>
      <c r="M47" s="230" t="s">
        <v>531</v>
      </c>
      <c r="N47" s="230" t="s">
        <v>424</v>
      </c>
      <c r="O47" s="230"/>
      <c r="P47" s="230"/>
      <c r="Q47" s="230"/>
      <c r="R47" s="230" t="s">
        <v>25</v>
      </c>
      <c r="S47" s="230" t="s">
        <v>306</v>
      </c>
      <c r="T47" s="230" t="s">
        <v>19</v>
      </c>
      <c r="U47" s="230" t="s">
        <v>25</v>
      </c>
      <c r="V47" s="230" t="s">
        <v>25</v>
      </c>
      <c r="W47" s="230" t="s">
        <v>306</v>
      </c>
      <c r="X47" s="230" t="s">
        <v>25</v>
      </c>
      <c r="Y47" s="230" t="s">
        <v>25</v>
      </c>
      <c r="Z47" s="230" t="s">
        <v>25</v>
      </c>
      <c r="AA47" s="230" t="s">
        <v>25</v>
      </c>
      <c r="AB47" s="230" t="s">
        <v>25</v>
      </c>
      <c r="AC47" s="230" t="s">
        <v>306</v>
      </c>
      <c r="AD47" s="230" t="s">
        <v>25</v>
      </c>
      <c r="AE47" s="230" t="s">
        <v>25</v>
      </c>
      <c r="AF47" s="230" t="s">
        <v>306</v>
      </c>
      <c r="AG47" s="230" t="s">
        <v>19</v>
      </c>
      <c r="AH47" s="230" t="s">
        <v>25</v>
      </c>
      <c r="AI47" s="230" t="s">
        <v>25</v>
      </c>
      <c r="AJ47" s="230" t="s">
        <v>306</v>
      </c>
      <c r="AK47" s="230" t="s">
        <v>25</v>
      </c>
      <c r="AL47" s="230" t="s">
        <v>25</v>
      </c>
      <c r="AM47" s="230" t="s">
        <v>25</v>
      </c>
      <c r="AN47" s="230" t="s">
        <v>25</v>
      </c>
      <c r="AO47" s="230" t="s">
        <v>25</v>
      </c>
      <c r="AP47" s="230" t="s">
        <v>25</v>
      </c>
      <c r="AQ47" s="230" t="s">
        <v>25</v>
      </c>
      <c r="AR47" s="230" t="s">
        <v>306</v>
      </c>
      <c r="AS47" s="230" t="s">
        <v>25</v>
      </c>
      <c r="AT47" s="230" t="s">
        <v>25</v>
      </c>
      <c r="AU47" s="230" t="s">
        <v>25</v>
      </c>
      <c r="AV47" s="230" t="s">
        <v>25</v>
      </c>
      <c r="AW47" s="230" t="s">
        <v>25</v>
      </c>
      <c r="AX47" s="230" t="s">
        <v>25</v>
      </c>
      <c r="AY47" s="230" t="s">
        <v>306</v>
      </c>
      <c r="AZ47" s="230" t="s">
        <v>19</v>
      </c>
      <c r="BA47" s="230" t="s">
        <v>25</v>
      </c>
      <c r="BB47" s="230" t="s">
        <v>306</v>
      </c>
      <c r="BC47" s="230" t="s">
        <v>306</v>
      </c>
      <c r="BD47" s="231" t="s">
        <v>306</v>
      </c>
    </row>
    <row r="48" spans="1:56" ht="12.5" x14ac:dyDescent="0.25">
      <c r="A48" s="229">
        <v>44797.956202384259</v>
      </c>
      <c r="B48" s="230" t="s">
        <v>304</v>
      </c>
      <c r="C48" s="230">
        <v>2022</v>
      </c>
      <c r="D48" s="230" t="s">
        <v>17</v>
      </c>
      <c r="E48" s="230" t="s">
        <v>515</v>
      </c>
      <c r="F48" s="230" t="s">
        <v>15</v>
      </c>
      <c r="G48" s="230" t="s">
        <v>516</v>
      </c>
      <c r="H48" s="230" t="s">
        <v>572</v>
      </c>
      <c r="I48" s="230" t="s">
        <v>18</v>
      </c>
      <c r="J48" s="230">
        <v>12</v>
      </c>
      <c r="K48" s="230" t="s">
        <v>518</v>
      </c>
      <c r="L48" s="230" t="s">
        <v>573</v>
      </c>
      <c r="M48" s="230" t="s">
        <v>518</v>
      </c>
      <c r="N48" s="230" t="s">
        <v>401</v>
      </c>
      <c r="O48" s="230"/>
      <c r="P48" s="230"/>
      <c r="Q48" s="230"/>
      <c r="R48" s="230" t="s">
        <v>306</v>
      </c>
      <c r="S48" s="230" t="s">
        <v>306</v>
      </c>
      <c r="T48" s="230" t="s">
        <v>306</v>
      </c>
      <c r="U48" s="230" t="s">
        <v>19</v>
      </c>
      <c r="V48" s="230" t="s">
        <v>25</v>
      </c>
      <c r="W48" s="230" t="s">
        <v>25</v>
      </c>
      <c r="X48" s="230" t="s">
        <v>306</v>
      </c>
      <c r="Y48" s="230" t="s">
        <v>306</v>
      </c>
      <c r="Z48" s="230" t="s">
        <v>306</v>
      </c>
      <c r="AA48" s="230" t="s">
        <v>306</v>
      </c>
      <c r="AB48" s="230" t="s">
        <v>25</v>
      </c>
      <c r="AC48" s="230" t="s">
        <v>25</v>
      </c>
      <c r="AD48" s="230" t="s">
        <v>306</v>
      </c>
      <c r="AE48" s="230" t="s">
        <v>306</v>
      </c>
      <c r="AF48" s="230" t="s">
        <v>25</v>
      </c>
      <c r="AG48" s="230" t="s">
        <v>306</v>
      </c>
      <c r="AH48" s="230" t="s">
        <v>25</v>
      </c>
      <c r="AI48" s="230" t="s">
        <v>306</v>
      </c>
      <c r="AJ48" s="230" t="s">
        <v>306</v>
      </c>
      <c r="AK48" s="230" t="s">
        <v>306</v>
      </c>
      <c r="AL48" s="230" t="s">
        <v>306</v>
      </c>
      <c r="AM48" s="230" t="s">
        <v>25</v>
      </c>
      <c r="AN48" s="230" t="s">
        <v>19</v>
      </c>
      <c r="AO48" s="230" t="s">
        <v>306</v>
      </c>
      <c r="AP48" s="230" t="s">
        <v>19</v>
      </c>
      <c r="AQ48" s="230" t="s">
        <v>306</v>
      </c>
      <c r="AR48" s="230" t="s">
        <v>25</v>
      </c>
      <c r="AS48" s="230" t="s">
        <v>25</v>
      </c>
      <c r="AT48" s="230" t="s">
        <v>25</v>
      </c>
      <c r="AU48" s="230" t="s">
        <v>25</v>
      </c>
      <c r="AV48" s="230" t="s">
        <v>25</v>
      </c>
      <c r="AW48" s="230" t="s">
        <v>25</v>
      </c>
      <c r="AX48" s="230" t="s">
        <v>25</v>
      </c>
      <c r="AY48" s="230" t="s">
        <v>25</v>
      </c>
      <c r="AZ48" s="230" t="s">
        <v>25</v>
      </c>
      <c r="BA48" s="230" t="s">
        <v>25</v>
      </c>
      <c r="BB48" s="230" t="s">
        <v>25</v>
      </c>
      <c r="BC48" s="230" t="s">
        <v>306</v>
      </c>
      <c r="BD48" s="231" t="s">
        <v>25</v>
      </c>
    </row>
    <row r="49" spans="1:56" ht="12.5" x14ac:dyDescent="0.25">
      <c r="A49" s="229">
        <v>44798.062155960652</v>
      </c>
      <c r="B49" s="230" t="s">
        <v>304</v>
      </c>
      <c r="C49" s="230">
        <v>2022</v>
      </c>
      <c r="D49" s="230" t="s">
        <v>17</v>
      </c>
      <c r="E49" s="230" t="s">
        <v>515</v>
      </c>
      <c r="F49" s="230" t="s">
        <v>15</v>
      </c>
      <c r="G49" s="230" t="s">
        <v>516</v>
      </c>
      <c r="H49" s="230" t="s">
        <v>574</v>
      </c>
      <c r="I49" s="230" t="s">
        <v>18</v>
      </c>
      <c r="J49" s="230">
        <v>12</v>
      </c>
      <c r="K49" s="230" t="s">
        <v>518</v>
      </c>
      <c r="L49" s="230" t="s">
        <v>573</v>
      </c>
      <c r="M49" s="230" t="s">
        <v>518</v>
      </c>
      <c r="N49" s="230" t="s">
        <v>401</v>
      </c>
      <c r="O49" s="230"/>
      <c r="P49" s="230"/>
      <c r="Q49" s="230"/>
      <c r="R49" s="230" t="s">
        <v>306</v>
      </c>
      <c r="S49" s="230" t="s">
        <v>306</v>
      </c>
      <c r="T49" s="230" t="s">
        <v>306</v>
      </c>
      <c r="U49" s="230" t="s">
        <v>306</v>
      </c>
      <c r="V49" s="230" t="s">
        <v>306</v>
      </c>
      <c r="W49" s="230" t="s">
        <v>19</v>
      </c>
      <c r="X49" s="230" t="s">
        <v>25</v>
      </c>
      <c r="Y49" s="230" t="s">
        <v>306</v>
      </c>
      <c r="Z49" s="230" t="s">
        <v>306</v>
      </c>
      <c r="AA49" s="230" t="s">
        <v>306</v>
      </c>
      <c r="AB49" s="230" t="s">
        <v>306</v>
      </c>
      <c r="AC49" s="230" t="s">
        <v>306</v>
      </c>
      <c r="AD49" s="230" t="s">
        <v>306</v>
      </c>
      <c r="AE49" s="230" t="s">
        <v>306</v>
      </c>
      <c r="AF49" s="230" t="s">
        <v>306</v>
      </c>
      <c r="AG49" s="230" t="s">
        <v>25</v>
      </c>
      <c r="AH49" s="230" t="s">
        <v>19</v>
      </c>
      <c r="AI49" s="230" t="s">
        <v>306</v>
      </c>
      <c r="AJ49" s="230" t="s">
        <v>306</v>
      </c>
      <c r="AK49" s="230" t="s">
        <v>306</v>
      </c>
      <c r="AL49" s="230" t="s">
        <v>25</v>
      </c>
      <c r="AM49" s="230" t="s">
        <v>25</v>
      </c>
      <c r="AN49" s="230" t="s">
        <v>25</v>
      </c>
      <c r="AO49" s="230" t="s">
        <v>306</v>
      </c>
      <c r="AP49" s="230" t="s">
        <v>306</v>
      </c>
      <c r="AQ49" s="230" t="s">
        <v>306</v>
      </c>
      <c r="AR49" s="230" t="s">
        <v>25</v>
      </c>
      <c r="AS49" s="230" t="s">
        <v>25</v>
      </c>
      <c r="AT49" s="230" t="s">
        <v>306</v>
      </c>
      <c r="AU49" s="230" t="s">
        <v>25</v>
      </c>
      <c r="AV49" s="230" t="s">
        <v>25</v>
      </c>
      <c r="AW49" s="230" t="s">
        <v>25</v>
      </c>
      <c r="AX49" s="230" t="s">
        <v>25</v>
      </c>
      <c r="AY49" s="230" t="s">
        <v>306</v>
      </c>
      <c r="AZ49" s="230" t="s">
        <v>306</v>
      </c>
      <c r="BA49" s="230" t="s">
        <v>306</v>
      </c>
      <c r="BB49" s="230" t="s">
        <v>25</v>
      </c>
      <c r="BC49" s="230" t="s">
        <v>306</v>
      </c>
      <c r="BD49" s="231" t="s">
        <v>306</v>
      </c>
    </row>
    <row r="50" spans="1:56" ht="12.5" x14ac:dyDescent="0.25">
      <c r="A50" s="229">
        <v>44789.760717777783</v>
      </c>
      <c r="B50" s="230" t="s">
        <v>384</v>
      </c>
      <c r="C50" s="230">
        <v>2022</v>
      </c>
      <c r="D50" s="230" t="s">
        <v>17</v>
      </c>
      <c r="E50" s="230" t="s">
        <v>515</v>
      </c>
      <c r="F50" s="230" t="s">
        <v>15</v>
      </c>
      <c r="G50" s="230" t="s">
        <v>516</v>
      </c>
      <c r="H50" s="230" t="s">
        <v>575</v>
      </c>
      <c r="I50" s="230" t="s">
        <v>18</v>
      </c>
      <c r="J50" s="230">
        <v>11</v>
      </c>
      <c r="K50" s="230" t="s">
        <v>518</v>
      </c>
      <c r="L50" s="230" t="s">
        <v>573</v>
      </c>
      <c r="M50" s="230" t="s">
        <v>518</v>
      </c>
      <c r="N50" s="230" t="s">
        <v>412</v>
      </c>
      <c r="O50" s="230"/>
      <c r="P50" s="230"/>
      <c r="Q50" s="230"/>
      <c r="R50" s="230" t="s">
        <v>306</v>
      </c>
      <c r="S50" s="230" t="s">
        <v>306</v>
      </c>
      <c r="T50" s="230" t="s">
        <v>306</v>
      </c>
      <c r="U50" s="230" t="s">
        <v>19</v>
      </c>
      <c r="V50" s="230" t="s">
        <v>25</v>
      </c>
      <c r="W50" s="230" t="s">
        <v>306</v>
      </c>
      <c r="X50" s="230" t="s">
        <v>25</v>
      </c>
      <c r="Y50" s="230" t="s">
        <v>25</v>
      </c>
      <c r="Z50" s="230" t="s">
        <v>25</v>
      </c>
      <c r="AA50" s="230" t="s">
        <v>306</v>
      </c>
      <c r="AB50" s="230" t="s">
        <v>306</v>
      </c>
      <c r="AC50" s="230" t="s">
        <v>19</v>
      </c>
      <c r="AD50" s="230" t="s">
        <v>306</v>
      </c>
      <c r="AE50" s="230" t="s">
        <v>306</v>
      </c>
      <c r="AF50" s="230" t="s">
        <v>306</v>
      </c>
      <c r="AG50" s="230" t="s">
        <v>19</v>
      </c>
      <c r="AH50" s="230" t="s">
        <v>306</v>
      </c>
      <c r="AI50" s="230" t="s">
        <v>306</v>
      </c>
      <c r="AJ50" s="230" t="s">
        <v>306</v>
      </c>
      <c r="AK50" s="230" t="s">
        <v>19</v>
      </c>
      <c r="AL50" s="230" t="s">
        <v>306</v>
      </c>
      <c r="AM50" s="230" t="s">
        <v>306</v>
      </c>
      <c r="AN50" s="230" t="s">
        <v>306</v>
      </c>
      <c r="AO50" s="230" t="s">
        <v>306</v>
      </c>
      <c r="AP50" s="230" t="s">
        <v>306</v>
      </c>
      <c r="AQ50" s="230" t="s">
        <v>306</v>
      </c>
      <c r="AR50" s="230" t="s">
        <v>25</v>
      </c>
      <c r="AS50" s="230" t="s">
        <v>25</v>
      </c>
      <c r="AT50" s="230" t="s">
        <v>25</v>
      </c>
      <c r="AU50" s="230" t="s">
        <v>306</v>
      </c>
      <c r="AV50" s="230" t="s">
        <v>306</v>
      </c>
      <c r="AW50" s="230" t="s">
        <v>19</v>
      </c>
      <c r="AX50" s="230" t="s">
        <v>306</v>
      </c>
      <c r="AY50" s="230" t="s">
        <v>306</v>
      </c>
      <c r="AZ50" s="230" t="s">
        <v>306</v>
      </c>
      <c r="BA50" s="230" t="s">
        <v>306</v>
      </c>
      <c r="BB50" s="230" t="s">
        <v>25</v>
      </c>
      <c r="BC50" s="230" t="s">
        <v>306</v>
      </c>
      <c r="BD50" s="231" t="s">
        <v>306</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BD915"/>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1" width="18.90625" customWidth="1"/>
    <col min="2" max="2" width="26.26953125" customWidth="1"/>
    <col min="3" max="3" width="17.7265625" customWidth="1"/>
    <col min="4" max="4" width="7.90625" customWidth="1"/>
    <col min="5" max="5" width="13" customWidth="1"/>
    <col min="6" max="6" width="26.26953125" customWidth="1"/>
    <col min="7" max="7" width="11.36328125" customWidth="1"/>
    <col min="8" max="8" width="8" customWidth="1"/>
    <col min="9" max="9" width="7" customWidth="1"/>
    <col min="10" max="11" width="15.26953125" customWidth="1"/>
    <col min="12" max="12" width="9" customWidth="1"/>
    <col min="13" max="14" width="13.08984375" customWidth="1"/>
    <col min="15" max="16" width="10.08984375" customWidth="1"/>
    <col min="17" max="28" width="6" customWidth="1"/>
    <col min="29" max="29" width="8.90625" customWidth="1"/>
    <col min="30" max="41" width="6" customWidth="1"/>
    <col min="42" max="42" width="9.6328125" customWidth="1"/>
    <col min="43" max="54" width="6" customWidth="1"/>
    <col min="55" max="55" width="8.90625" customWidth="1"/>
    <col min="56" max="56" width="18.90625" customWidth="1"/>
  </cols>
  <sheetData>
    <row r="1" spans="1:56" ht="12.75" customHeight="1" x14ac:dyDescent="0.25">
      <c r="A1" s="232" t="s">
        <v>465</v>
      </c>
      <c r="B1" s="233" t="s">
        <v>466</v>
      </c>
      <c r="C1" s="209" t="s">
        <v>576</v>
      </c>
      <c r="D1" s="232" t="s">
        <v>5</v>
      </c>
      <c r="E1" s="232" t="s">
        <v>3</v>
      </c>
      <c r="F1" s="232" t="s">
        <v>467</v>
      </c>
      <c r="G1" s="232" t="s">
        <v>6</v>
      </c>
      <c r="H1" s="232" t="s">
        <v>468</v>
      </c>
      <c r="I1" s="209" t="s">
        <v>469</v>
      </c>
      <c r="J1" s="209" t="s">
        <v>470</v>
      </c>
      <c r="K1" s="209" t="s">
        <v>577</v>
      </c>
      <c r="L1" s="209" t="s">
        <v>471</v>
      </c>
      <c r="M1" s="209" t="s">
        <v>472</v>
      </c>
      <c r="N1" s="209" t="s">
        <v>473</v>
      </c>
      <c r="O1" s="233" t="s">
        <v>474</v>
      </c>
      <c r="P1" s="209" t="s">
        <v>475</v>
      </c>
      <c r="Q1" s="209" t="s">
        <v>478</v>
      </c>
      <c r="R1" s="209" t="s">
        <v>479</v>
      </c>
      <c r="S1" s="234" t="s">
        <v>578</v>
      </c>
      <c r="T1" s="209" t="s">
        <v>481</v>
      </c>
      <c r="U1" s="209" t="s">
        <v>482</v>
      </c>
      <c r="V1" s="234" t="s">
        <v>480</v>
      </c>
      <c r="W1" s="209" t="s">
        <v>484</v>
      </c>
      <c r="X1" s="209" t="s">
        <v>485</v>
      </c>
      <c r="Y1" s="234" t="s">
        <v>579</v>
      </c>
      <c r="Z1" s="209" t="s">
        <v>487</v>
      </c>
      <c r="AA1" s="209" t="s">
        <v>488</v>
      </c>
      <c r="AB1" s="234" t="s">
        <v>580</v>
      </c>
      <c r="AC1" s="235" t="s">
        <v>476</v>
      </c>
      <c r="AD1" s="209" t="s">
        <v>491</v>
      </c>
      <c r="AE1" s="209" t="s">
        <v>492</v>
      </c>
      <c r="AF1" s="234" t="s">
        <v>490</v>
      </c>
      <c r="AG1" s="209" t="s">
        <v>494</v>
      </c>
      <c r="AH1" s="209" t="s">
        <v>495</v>
      </c>
      <c r="AI1" s="234" t="s">
        <v>581</v>
      </c>
      <c r="AJ1" s="209" t="s">
        <v>497</v>
      </c>
      <c r="AK1" s="209" t="s">
        <v>498</v>
      </c>
      <c r="AL1" s="234" t="s">
        <v>496</v>
      </c>
      <c r="AM1" s="209" t="s">
        <v>500</v>
      </c>
      <c r="AN1" s="209" t="s">
        <v>501</v>
      </c>
      <c r="AO1" s="234" t="s">
        <v>582</v>
      </c>
      <c r="AP1" s="236" t="s">
        <v>489</v>
      </c>
      <c r="AQ1" s="209" t="s">
        <v>504</v>
      </c>
      <c r="AR1" s="209" t="s">
        <v>505</v>
      </c>
      <c r="AS1" s="234" t="s">
        <v>583</v>
      </c>
      <c r="AT1" s="209" t="s">
        <v>507</v>
      </c>
      <c r="AU1" s="209" t="s">
        <v>508</v>
      </c>
      <c r="AV1" s="234" t="s">
        <v>584</v>
      </c>
      <c r="AW1" s="209" t="s">
        <v>510</v>
      </c>
      <c r="AX1" s="209" t="s">
        <v>511</v>
      </c>
      <c r="AY1" s="234" t="s">
        <v>585</v>
      </c>
      <c r="AZ1" s="209" t="s">
        <v>513</v>
      </c>
      <c r="BA1" s="209" t="s">
        <v>514</v>
      </c>
      <c r="BB1" s="234" t="s">
        <v>586</v>
      </c>
      <c r="BC1" s="237" t="s">
        <v>502</v>
      </c>
      <c r="BD1" s="188"/>
    </row>
    <row r="2" spans="1:56" ht="12.75" customHeight="1" x14ac:dyDescent="0.25">
      <c r="A2" s="238">
        <v>45257.353396087958</v>
      </c>
      <c r="B2" s="233" t="s">
        <v>304</v>
      </c>
      <c r="C2" s="209" t="s">
        <v>587</v>
      </c>
      <c r="D2" s="232" t="s">
        <v>17</v>
      </c>
      <c r="E2" s="232" t="s">
        <v>515</v>
      </c>
      <c r="F2" s="209" t="s">
        <v>588</v>
      </c>
      <c r="G2" s="232" t="s">
        <v>18</v>
      </c>
      <c r="H2" s="232">
        <v>12</v>
      </c>
      <c r="I2" s="209" t="s">
        <v>518</v>
      </c>
      <c r="J2" s="209" t="s">
        <v>519</v>
      </c>
      <c r="K2" s="209" t="s">
        <v>519</v>
      </c>
      <c r="L2" s="209" t="s">
        <v>518</v>
      </c>
      <c r="M2" s="209" t="s">
        <v>375</v>
      </c>
      <c r="N2" s="209" t="s">
        <v>589</v>
      </c>
      <c r="O2" s="209"/>
      <c r="P2" s="209"/>
      <c r="Q2" s="209" t="s">
        <v>25</v>
      </c>
      <c r="R2" s="209" t="s">
        <v>25</v>
      </c>
      <c r="S2" s="234" t="s">
        <v>25</v>
      </c>
      <c r="T2" s="209" t="s">
        <v>25</v>
      </c>
      <c r="U2" s="209" t="s">
        <v>25</v>
      </c>
      <c r="V2" s="234" t="s">
        <v>25</v>
      </c>
      <c r="W2" s="209" t="s">
        <v>25</v>
      </c>
      <c r="X2" s="209" t="s">
        <v>25</v>
      </c>
      <c r="Y2" s="234" t="s">
        <v>25</v>
      </c>
      <c r="Z2" s="209" t="s">
        <v>25</v>
      </c>
      <c r="AA2" s="209" t="s">
        <v>25</v>
      </c>
      <c r="AB2" s="234" t="s">
        <v>25</v>
      </c>
      <c r="AC2" s="235" t="s">
        <v>25</v>
      </c>
      <c r="AD2" s="209" t="s">
        <v>25</v>
      </c>
      <c r="AE2" s="209" t="s">
        <v>25</v>
      </c>
      <c r="AF2" s="234" t="s">
        <v>25</v>
      </c>
      <c r="AG2" s="209" t="s">
        <v>306</v>
      </c>
      <c r="AH2" s="209" t="s">
        <v>19</v>
      </c>
      <c r="AI2" s="234" t="s">
        <v>306</v>
      </c>
      <c r="AJ2" s="209" t="s">
        <v>306</v>
      </c>
      <c r="AK2" s="209" t="s">
        <v>25</v>
      </c>
      <c r="AL2" s="234" t="s">
        <v>25</v>
      </c>
      <c r="AM2" s="209" t="s">
        <v>25</v>
      </c>
      <c r="AN2" s="209" t="s">
        <v>306</v>
      </c>
      <c r="AO2" s="234" t="s">
        <v>25</v>
      </c>
      <c r="AP2" s="235" t="s">
        <v>306</v>
      </c>
      <c r="AQ2" s="209" t="s">
        <v>25</v>
      </c>
      <c r="AR2" s="209" t="s">
        <v>306</v>
      </c>
      <c r="AS2" s="234" t="s">
        <v>25</v>
      </c>
      <c r="AT2" s="209" t="s">
        <v>25</v>
      </c>
      <c r="AU2" s="209" t="s">
        <v>25</v>
      </c>
      <c r="AV2" s="234" t="s">
        <v>25</v>
      </c>
      <c r="AW2" s="209" t="s">
        <v>306</v>
      </c>
      <c r="AX2" s="209" t="s">
        <v>25</v>
      </c>
      <c r="AY2" s="234" t="s">
        <v>25</v>
      </c>
      <c r="AZ2" s="209" t="s">
        <v>306</v>
      </c>
      <c r="BA2" s="209" t="s">
        <v>25</v>
      </c>
      <c r="BB2" s="234" t="s">
        <v>306</v>
      </c>
      <c r="BC2" s="235" t="s">
        <v>306</v>
      </c>
      <c r="BD2" s="188"/>
    </row>
    <row r="3" spans="1:56" ht="12.75" customHeight="1" x14ac:dyDescent="0.25">
      <c r="A3" s="238">
        <v>45257.399656747686</v>
      </c>
      <c r="B3" s="233" t="s">
        <v>304</v>
      </c>
      <c r="C3" s="209" t="s">
        <v>587</v>
      </c>
      <c r="D3" s="232" t="s">
        <v>17</v>
      </c>
      <c r="E3" s="232" t="s">
        <v>515</v>
      </c>
      <c r="F3" s="209" t="s">
        <v>590</v>
      </c>
      <c r="G3" s="232" t="s">
        <v>24</v>
      </c>
      <c r="H3" s="232">
        <v>12</v>
      </c>
      <c r="I3" s="209" t="s">
        <v>518</v>
      </c>
      <c r="J3" s="209" t="s">
        <v>519</v>
      </c>
      <c r="K3" s="209" t="s">
        <v>519</v>
      </c>
      <c r="L3" s="209" t="s">
        <v>518</v>
      </c>
      <c r="M3" s="209" t="s">
        <v>401</v>
      </c>
      <c r="N3" s="209" t="s">
        <v>589</v>
      </c>
      <c r="O3" s="209"/>
      <c r="P3" s="209"/>
      <c r="Q3" s="209" t="s">
        <v>25</v>
      </c>
      <c r="R3" s="209" t="s">
        <v>306</v>
      </c>
      <c r="S3" s="234" t="s">
        <v>25</v>
      </c>
      <c r="T3" s="209" t="s">
        <v>19</v>
      </c>
      <c r="U3" s="209" t="s">
        <v>25</v>
      </c>
      <c r="V3" s="234" t="s">
        <v>306</v>
      </c>
      <c r="W3" s="209" t="s">
        <v>306</v>
      </c>
      <c r="X3" s="209" t="s">
        <v>19</v>
      </c>
      <c r="Y3" s="234" t="s">
        <v>306</v>
      </c>
      <c r="Z3" s="209" t="s">
        <v>306</v>
      </c>
      <c r="AA3" s="209" t="s">
        <v>306</v>
      </c>
      <c r="AB3" s="234" t="s">
        <v>306</v>
      </c>
      <c r="AC3" s="235" t="s">
        <v>306</v>
      </c>
      <c r="AD3" s="209" t="s">
        <v>306</v>
      </c>
      <c r="AE3" s="209" t="s">
        <v>25</v>
      </c>
      <c r="AF3" s="234" t="s">
        <v>25</v>
      </c>
      <c r="AG3" s="209" t="s">
        <v>19</v>
      </c>
      <c r="AH3" s="209" t="s">
        <v>19</v>
      </c>
      <c r="AI3" s="234" t="s">
        <v>19</v>
      </c>
      <c r="AJ3" s="209" t="s">
        <v>306</v>
      </c>
      <c r="AK3" s="209" t="s">
        <v>19</v>
      </c>
      <c r="AL3" s="234" t="s">
        <v>306</v>
      </c>
      <c r="AM3" s="209" t="s">
        <v>19</v>
      </c>
      <c r="AN3" s="209" t="s">
        <v>19</v>
      </c>
      <c r="AO3" s="234" t="s">
        <v>19</v>
      </c>
      <c r="AP3" s="235" t="s">
        <v>306</v>
      </c>
      <c r="AQ3" s="209" t="s">
        <v>25</v>
      </c>
      <c r="AR3" s="209" t="s">
        <v>306</v>
      </c>
      <c r="AS3" s="234" t="s">
        <v>25</v>
      </c>
      <c r="AT3" s="209" t="s">
        <v>25</v>
      </c>
      <c r="AU3" s="209" t="s">
        <v>25</v>
      </c>
      <c r="AV3" s="234" t="s">
        <v>25</v>
      </c>
      <c r="AW3" s="209" t="s">
        <v>306</v>
      </c>
      <c r="AX3" s="209" t="s">
        <v>306</v>
      </c>
      <c r="AY3" s="234" t="s">
        <v>306</v>
      </c>
      <c r="AZ3" s="209" t="s">
        <v>19</v>
      </c>
      <c r="BA3" s="209" t="s">
        <v>25</v>
      </c>
      <c r="BB3" s="234" t="s">
        <v>25</v>
      </c>
      <c r="BC3" s="235" t="s">
        <v>25</v>
      </c>
      <c r="BD3" s="188"/>
    </row>
    <row r="4" spans="1:56" ht="12.75" customHeight="1" x14ac:dyDescent="0.25">
      <c r="A4" s="238">
        <v>45257.414782557869</v>
      </c>
      <c r="B4" s="233" t="s">
        <v>304</v>
      </c>
      <c r="C4" s="209" t="s">
        <v>587</v>
      </c>
      <c r="D4" s="232" t="s">
        <v>17</v>
      </c>
      <c r="E4" s="232" t="s">
        <v>515</v>
      </c>
      <c r="F4" s="209" t="s">
        <v>591</v>
      </c>
      <c r="G4" s="232" t="s">
        <v>18</v>
      </c>
      <c r="H4" s="232">
        <v>12</v>
      </c>
      <c r="I4" s="209" t="s">
        <v>518</v>
      </c>
      <c r="J4" s="209" t="s">
        <v>519</v>
      </c>
      <c r="K4" s="209" t="s">
        <v>519</v>
      </c>
      <c r="L4" s="209" t="s">
        <v>518</v>
      </c>
      <c r="M4" s="209" t="s">
        <v>401</v>
      </c>
      <c r="N4" s="209" t="s">
        <v>589</v>
      </c>
      <c r="O4" s="209"/>
      <c r="P4" s="209"/>
      <c r="Q4" s="209" t="s">
        <v>25</v>
      </c>
      <c r="R4" s="209" t="s">
        <v>25</v>
      </c>
      <c r="S4" s="234" t="s">
        <v>25</v>
      </c>
      <c r="T4" s="209" t="s">
        <v>25</v>
      </c>
      <c r="U4" s="209" t="s">
        <v>25</v>
      </c>
      <c r="V4" s="234" t="s">
        <v>25</v>
      </c>
      <c r="W4" s="209" t="s">
        <v>306</v>
      </c>
      <c r="X4" s="209" t="s">
        <v>19</v>
      </c>
      <c r="Y4" s="234" t="s">
        <v>306</v>
      </c>
      <c r="Z4" s="209" t="s">
        <v>306</v>
      </c>
      <c r="AA4" s="209" t="s">
        <v>19</v>
      </c>
      <c r="AB4" s="234" t="s">
        <v>306</v>
      </c>
      <c r="AC4" s="235" t="s">
        <v>306</v>
      </c>
      <c r="AD4" s="209" t="s">
        <v>306</v>
      </c>
      <c r="AE4" s="209" t="s">
        <v>25</v>
      </c>
      <c r="AF4" s="234" t="s">
        <v>25</v>
      </c>
      <c r="AG4" s="209" t="s">
        <v>306</v>
      </c>
      <c r="AH4" s="209" t="s">
        <v>19</v>
      </c>
      <c r="AI4" s="234" t="s">
        <v>306</v>
      </c>
      <c r="AJ4" s="209" t="s">
        <v>306</v>
      </c>
      <c r="AK4" s="209" t="s">
        <v>19</v>
      </c>
      <c r="AL4" s="234" t="s">
        <v>306</v>
      </c>
      <c r="AM4" s="209" t="s">
        <v>306</v>
      </c>
      <c r="AN4" s="209" t="s">
        <v>19</v>
      </c>
      <c r="AO4" s="234" t="s">
        <v>306</v>
      </c>
      <c r="AP4" s="235" t="s">
        <v>306</v>
      </c>
      <c r="AQ4" s="209" t="s">
        <v>19</v>
      </c>
      <c r="AR4" s="209" t="s">
        <v>306</v>
      </c>
      <c r="AS4" s="234" t="s">
        <v>306</v>
      </c>
      <c r="AT4" s="209" t="s">
        <v>19</v>
      </c>
      <c r="AU4" s="209" t="s">
        <v>19</v>
      </c>
      <c r="AV4" s="234" t="s">
        <v>19</v>
      </c>
      <c r="AW4" s="209" t="s">
        <v>306</v>
      </c>
      <c r="AX4" s="209" t="s">
        <v>19</v>
      </c>
      <c r="AY4" s="234" t="s">
        <v>306</v>
      </c>
      <c r="AZ4" s="209" t="s">
        <v>306</v>
      </c>
      <c r="BA4" s="209" t="s">
        <v>19</v>
      </c>
      <c r="BB4" s="234" t="s">
        <v>306</v>
      </c>
      <c r="BC4" s="235" t="s">
        <v>306</v>
      </c>
      <c r="BD4" s="188"/>
    </row>
    <row r="5" spans="1:56" ht="12.75" customHeight="1" x14ac:dyDescent="0.25">
      <c r="A5" s="238">
        <v>45257.419014039348</v>
      </c>
      <c r="B5" s="233" t="s">
        <v>304</v>
      </c>
      <c r="C5" s="209" t="s">
        <v>587</v>
      </c>
      <c r="D5" s="232" t="s">
        <v>17</v>
      </c>
      <c r="E5" s="232" t="s">
        <v>515</v>
      </c>
      <c r="F5" s="209" t="s">
        <v>592</v>
      </c>
      <c r="G5" s="232" t="s">
        <v>18</v>
      </c>
      <c r="H5" s="232">
        <v>12</v>
      </c>
      <c r="I5" s="209" t="s">
        <v>518</v>
      </c>
      <c r="J5" s="209" t="s">
        <v>519</v>
      </c>
      <c r="K5" s="209" t="s">
        <v>519</v>
      </c>
      <c r="L5" s="209" t="s">
        <v>518</v>
      </c>
      <c r="M5" s="209" t="s">
        <v>375</v>
      </c>
      <c r="N5" s="209" t="s">
        <v>589</v>
      </c>
      <c r="O5" s="209"/>
      <c r="P5" s="209"/>
      <c r="Q5" s="209" t="s">
        <v>25</v>
      </c>
      <c r="R5" s="209" t="s">
        <v>25</v>
      </c>
      <c r="S5" s="234" t="s">
        <v>25</v>
      </c>
      <c r="T5" s="209" t="s">
        <v>25</v>
      </c>
      <c r="U5" s="209" t="s">
        <v>25</v>
      </c>
      <c r="V5" s="234" t="s">
        <v>25</v>
      </c>
      <c r="W5" s="209" t="s">
        <v>25</v>
      </c>
      <c r="X5" s="209" t="s">
        <v>25</v>
      </c>
      <c r="Y5" s="234" t="s">
        <v>25</v>
      </c>
      <c r="Z5" s="209" t="s">
        <v>25</v>
      </c>
      <c r="AA5" s="209" t="s">
        <v>25</v>
      </c>
      <c r="AB5" s="234" t="s">
        <v>25</v>
      </c>
      <c r="AC5" s="235" t="s">
        <v>25</v>
      </c>
      <c r="AD5" s="209" t="s">
        <v>25</v>
      </c>
      <c r="AE5" s="209" t="s">
        <v>25</v>
      </c>
      <c r="AF5" s="234" t="s">
        <v>25</v>
      </c>
      <c r="AG5" s="209" t="s">
        <v>25</v>
      </c>
      <c r="AH5" s="209" t="s">
        <v>25</v>
      </c>
      <c r="AI5" s="234" t="s">
        <v>25</v>
      </c>
      <c r="AJ5" s="209" t="s">
        <v>25</v>
      </c>
      <c r="AK5" s="209" t="s">
        <v>25</v>
      </c>
      <c r="AL5" s="234" t="s">
        <v>25</v>
      </c>
      <c r="AM5" s="209" t="s">
        <v>25</v>
      </c>
      <c r="AN5" s="209" t="s">
        <v>25</v>
      </c>
      <c r="AO5" s="234" t="s">
        <v>25</v>
      </c>
      <c r="AP5" s="235" t="s">
        <v>25</v>
      </c>
      <c r="AQ5" s="209" t="s">
        <v>25</v>
      </c>
      <c r="AR5" s="209" t="s">
        <v>25</v>
      </c>
      <c r="AS5" s="234" t="s">
        <v>25</v>
      </c>
      <c r="AT5" s="209" t="s">
        <v>25</v>
      </c>
      <c r="AU5" s="209" t="s">
        <v>25</v>
      </c>
      <c r="AV5" s="234" t="s">
        <v>25</v>
      </c>
      <c r="AW5" s="209" t="s">
        <v>25</v>
      </c>
      <c r="AX5" s="209" t="s">
        <v>25</v>
      </c>
      <c r="AY5" s="234" t="s">
        <v>25</v>
      </c>
      <c r="AZ5" s="209" t="s">
        <v>25</v>
      </c>
      <c r="BA5" s="209" t="s">
        <v>25</v>
      </c>
      <c r="BB5" s="234" t="s">
        <v>306</v>
      </c>
      <c r="BC5" s="235" t="s">
        <v>25</v>
      </c>
      <c r="BD5" s="188"/>
    </row>
    <row r="6" spans="1:56" ht="12.75" customHeight="1" x14ac:dyDescent="0.25">
      <c r="A6" s="238">
        <v>45257.452456678242</v>
      </c>
      <c r="B6" s="233" t="s">
        <v>304</v>
      </c>
      <c r="C6" s="209" t="s">
        <v>587</v>
      </c>
      <c r="D6" s="232" t="s">
        <v>17</v>
      </c>
      <c r="E6" s="232" t="s">
        <v>515</v>
      </c>
      <c r="F6" s="209" t="s">
        <v>593</v>
      </c>
      <c r="G6" s="232" t="s">
        <v>18</v>
      </c>
      <c r="H6" s="232">
        <v>12</v>
      </c>
      <c r="I6" s="209" t="s">
        <v>518</v>
      </c>
      <c r="J6" s="209" t="s">
        <v>519</v>
      </c>
      <c r="K6" s="209" t="s">
        <v>519</v>
      </c>
      <c r="L6" s="209" t="s">
        <v>518</v>
      </c>
      <c r="M6" s="209" t="s">
        <v>368</v>
      </c>
      <c r="N6" s="209" t="s">
        <v>589</v>
      </c>
      <c r="O6" s="209"/>
      <c r="P6" s="209"/>
      <c r="Q6" s="209" t="s">
        <v>25</v>
      </c>
      <c r="R6" s="209" t="s">
        <v>25</v>
      </c>
      <c r="S6" s="234" t="s">
        <v>25</v>
      </c>
      <c r="T6" s="209" t="s">
        <v>25</v>
      </c>
      <c r="U6" s="209" t="s">
        <v>25</v>
      </c>
      <c r="V6" s="234" t="s">
        <v>25</v>
      </c>
      <c r="W6" s="209" t="s">
        <v>25</v>
      </c>
      <c r="X6" s="209" t="s">
        <v>306</v>
      </c>
      <c r="Y6" s="234" t="s">
        <v>25</v>
      </c>
      <c r="Z6" s="209" t="s">
        <v>25</v>
      </c>
      <c r="AA6" s="209" t="s">
        <v>25</v>
      </c>
      <c r="AB6" s="234" t="s">
        <v>25</v>
      </c>
      <c r="AC6" s="235" t="s">
        <v>25</v>
      </c>
      <c r="AD6" s="209" t="s">
        <v>25</v>
      </c>
      <c r="AE6" s="209" t="s">
        <v>306</v>
      </c>
      <c r="AF6" s="234" t="s">
        <v>25</v>
      </c>
      <c r="AG6" s="209" t="s">
        <v>306</v>
      </c>
      <c r="AH6" s="209" t="s">
        <v>306</v>
      </c>
      <c r="AI6" s="234" t="s">
        <v>306</v>
      </c>
      <c r="AJ6" s="209" t="s">
        <v>25</v>
      </c>
      <c r="AK6" s="209" t="s">
        <v>25</v>
      </c>
      <c r="AL6" s="234" t="s">
        <v>25</v>
      </c>
      <c r="AM6" s="209" t="s">
        <v>25</v>
      </c>
      <c r="AN6" s="209" t="s">
        <v>306</v>
      </c>
      <c r="AO6" s="234" t="s">
        <v>25</v>
      </c>
      <c r="AP6" s="235" t="s">
        <v>25</v>
      </c>
      <c r="AQ6" s="209" t="s">
        <v>25</v>
      </c>
      <c r="AR6" s="209" t="s">
        <v>25</v>
      </c>
      <c r="AS6" s="234" t="s">
        <v>25</v>
      </c>
      <c r="AT6" s="209" t="s">
        <v>25</v>
      </c>
      <c r="AU6" s="209" t="s">
        <v>25</v>
      </c>
      <c r="AV6" s="234" t="s">
        <v>25</v>
      </c>
      <c r="AW6" s="209" t="s">
        <v>25</v>
      </c>
      <c r="AX6" s="209" t="s">
        <v>306</v>
      </c>
      <c r="AY6" s="234" t="s">
        <v>25</v>
      </c>
      <c r="AZ6" s="209" t="s">
        <v>19</v>
      </c>
      <c r="BA6" s="209" t="s">
        <v>306</v>
      </c>
      <c r="BB6" s="234" t="s">
        <v>306</v>
      </c>
      <c r="BC6" s="235" t="s">
        <v>306</v>
      </c>
      <c r="BD6" s="188"/>
    </row>
    <row r="7" spans="1:56" ht="12.75" customHeight="1" x14ac:dyDescent="0.25">
      <c r="A7" s="238">
        <v>45257.454806284717</v>
      </c>
      <c r="B7" s="233" t="s">
        <v>304</v>
      </c>
      <c r="C7" s="209" t="s">
        <v>587</v>
      </c>
      <c r="D7" s="232" t="s">
        <v>17</v>
      </c>
      <c r="E7" s="232" t="s">
        <v>515</v>
      </c>
      <c r="F7" s="209" t="s">
        <v>594</v>
      </c>
      <c r="G7" s="232" t="s">
        <v>24</v>
      </c>
      <c r="H7" s="232">
        <v>13</v>
      </c>
      <c r="I7" s="209" t="s">
        <v>518</v>
      </c>
      <c r="J7" s="209" t="s">
        <v>519</v>
      </c>
      <c r="K7" s="209" t="s">
        <v>519</v>
      </c>
      <c r="L7" s="209" t="s">
        <v>531</v>
      </c>
      <c r="M7" s="188"/>
      <c r="N7" s="188"/>
      <c r="O7" s="188"/>
      <c r="P7" s="188"/>
      <c r="Q7" s="209" t="s">
        <v>19</v>
      </c>
      <c r="R7" s="209" t="s">
        <v>25</v>
      </c>
      <c r="S7" s="234" t="s">
        <v>306</v>
      </c>
      <c r="T7" s="209" t="s">
        <v>25</v>
      </c>
      <c r="U7" s="209" t="s">
        <v>306</v>
      </c>
      <c r="V7" s="234" t="s">
        <v>25</v>
      </c>
      <c r="W7" s="209" t="s">
        <v>19</v>
      </c>
      <c r="X7" s="209" t="s">
        <v>25</v>
      </c>
      <c r="Y7" s="234" t="s">
        <v>306</v>
      </c>
      <c r="Z7" s="209" t="s">
        <v>25</v>
      </c>
      <c r="AA7" s="209" t="s">
        <v>306</v>
      </c>
      <c r="AB7" s="234" t="s">
        <v>25</v>
      </c>
      <c r="AC7" s="235" t="s">
        <v>306</v>
      </c>
      <c r="AD7" s="209" t="s">
        <v>306</v>
      </c>
      <c r="AE7" s="209" t="s">
        <v>25</v>
      </c>
      <c r="AF7" s="234" t="s">
        <v>25</v>
      </c>
      <c r="AG7" s="209" t="s">
        <v>25</v>
      </c>
      <c r="AH7" s="209" t="s">
        <v>19</v>
      </c>
      <c r="AI7" s="234" t="s">
        <v>306</v>
      </c>
      <c r="AJ7" s="209" t="s">
        <v>306</v>
      </c>
      <c r="AK7" s="209" t="s">
        <v>25</v>
      </c>
      <c r="AL7" s="234" t="s">
        <v>25</v>
      </c>
      <c r="AM7" s="209" t="s">
        <v>19</v>
      </c>
      <c r="AN7" s="209" t="s">
        <v>25</v>
      </c>
      <c r="AO7" s="234" t="s">
        <v>306</v>
      </c>
      <c r="AP7" s="235" t="s">
        <v>306</v>
      </c>
      <c r="AQ7" s="209" t="s">
        <v>306</v>
      </c>
      <c r="AR7" s="209" t="s">
        <v>19</v>
      </c>
      <c r="AS7" s="234" t="s">
        <v>306</v>
      </c>
      <c r="AT7" s="209" t="s">
        <v>25</v>
      </c>
      <c r="AU7" s="209" t="s">
        <v>19</v>
      </c>
      <c r="AV7" s="234" t="s">
        <v>306</v>
      </c>
      <c r="AW7" s="209" t="s">
        <v>306</v>
      </c>
      <c r="AX7" s="209" t="s">
        <v>19</v>
      </c>
      <c r="AY7" s="234" t="s">
        <v>306</v>
      </c>
      <c r="AZ7" s="209" t="s">
        <v>306</v>
      </c>
      <c r="BA7" s="209" t="s">
        <v>25</v>
      </c>
      <c r="BB7" s="234" t="s">
        <v>19</v>
      </c>
      <c r="BC7" s="235" t="s">
        <v>306</v>
      </c>
      <c r="BD7" s="188"/>
    </row>
    <row r="8" spans="1:56" ht="12.75" customHeight="1" x14ac:dyDescent="0.25">
      <c r="A8" s="238">
        <v>44797.446280844903</v>
      </c>
      <c r="B8" s="137" t="s">
        <v>304</v>
      </c>
      <c r="C8" s="211" t="s">
        <v>595</v>
      </c>
      <c r="D8" s="211" t="s">
        <v>17</v>
      </c>
      <c r="E8" s="232" t="s">
        <v>515</v>
      </c>
      <c r="F8" s="188" t="s">
        <v>596</v>
      </c>
      <c r="G8" s="211" t="s">
        <v>24</v>
      </c>
      <c r="H8" s="211">
        <v>11</v>
      </c>
      <c r="I8" s="188" t="s">
        <v>518</v>
      </c>
      <c r="J8" s="188" t="s">
        <v>519</v>
      </c>
      <c r="K8" s="209" t="s">
        <v>519</v>
      </c>
      <c r="L8" s="188" t="s">
        <v>518</v>
      </c>
      <c r="M8" s="188" t="s">
        <v>368</v>
      </c>
      <c r="N8" s="188"/>
      <c r="O8" s="188"/>
      <c r="P8" s="188"/>
      <c r="Q8" s="188" t="s">
        <v>25</v>
      </c>
      <c r="R8" s="188" t="s">
        <v>25</v>
      </c>
      <c r="S8" s="234" t="s">
        <v>25</v>
      </c>
      <c r="T8" s="188" t="s">
        <v>19</v>
      </c>
      <c r="U8" s="188" t="s">
        <v>25</v>
      </c>
      <c r="V8" s="234" t="s">
        <v>306</v>
      </c>
      <c r="W8" s="188" t="s">
        <v>25</v>
      </c>
      <c r="X8" s="188" t="s">
        <v>306</v>
      </c>
      <c r="Y8" s="234" t="s">
        <v>25</v>
      </c>
      <c r="Z8" s="188" t="s">
        <v>25</v>
      </c>
      <c r="AA8" s="188" t="s">
        <v>25</v>
      </c>
      <c r="AB8" s="234" t="s">
        <v>25</v>
      </c>
      <c r="AC8" s="235" t="s">
        <v>25</v>
      </c>
      <c r="AD8" s="188" t="s">
        <v>306</v>
      </c>
      <c r="AE8" s="188" t="s">
        <v>306</v>
      </c>
      <c r="AF8" s="234" t="s">
        <v>306</v>
      </c>
      <c r="AG8" s="188" t="s">
        <v>19</v>
      </c>
      <c r="AH8" s="188" t="s">
        <v>19</v>
      </c>
      <c r="AI8" s="234" t="s">
        <v>19</v>
      </c>
      <c r="AJ8" s="188" t="s">
        <v>306</v>
      </c>
      <c r="AK8" s="188" t="s">
        <v>19</v>
      </c>
      <c r="AL8" s="234" t="s">
        <v>306</v>
      </c>
      <c r="AM8" s="188" t="s">
        <v>19</v>
      </c>
      <c r="AN8" s="188" t="s">
        <v>19</v>
      </c>
      <c r="AO8" s="234" t="s">
        <v>19</v>
      </c>
      <c r="AP8" s="235" t="s">
        <v>19</v>
      </c>
      <c r="AQ8" s="188" t="s">
        <v>306</v>
      </c>
      <c r="AR8" s="188" t="s">
        <v>25</v>
      </c>
      <c r="AS8" s="234" t="s">
        <v>25</v>
      </c>
      <c r="AT8" s="188" t="s">
        <v>306</v>
      </c>
      <c r="AU8" s="188" t="s">
        <v>25</v>
      </c>
      <c r="AV8" s="234" t="s">
        <v>25</v>
      </c>
      <c r="AW8" s="188" t="s">
        <v>306</v>
      </c>
      <c r="AX8" s="188" t="s">
        <v>306</v>
      </c>
      <c r="AY8" s="234" t="s">
        <v>306</v>
      </c>
      <c r="AZ8" s="188" t="s">
        <v>306</v>
      </c>
      <c r="BA8" s="188" t="s">
        <v>19</v>
      </c>
      <c r="BB8" s="234" t="s">
        <v>25</v>
      </c>
      <c r="BC8" s="235" t="s">
        <v>25</v>
      </c>
      <c r="BD8" s="188"/>
    </row>
    <row r="9" spans="1:56" ht="12.75" customHeight="1" x14ac:dyDescent="0.25">
      <c r="A9" s="238">
        <v>44797.766126192131</v>
      </c>
      <c r="B9" s="137" t="s">
        <v>304</v>
      </c>
      <c r="C9" s="211" t="s">
        <v>595</v>
      </c>
      <c r="D9" s="211" t="s">
        <v>17</v>
      </c>
      <c r="E9" s="232" t="s">
        <v>515</v>
      </c>
      <c r="F9" s="188" t="s">
        <v>517</v>
      </c>
      <c r="G9" s="211" t="s">
        <v>24</v>
      </c>
      <c r="H9" s="211">
        <v>11</v>
      </c>
      <c r="I9" s="188" t="s">
        <v>518</v>
      </c>
      <c r="J9" s="188" t="s">
        <v>519</v>
      </c>
      <c r="K9" s="209" t="s">
        <v>519</v>
      </c>
      <c r="L9" s="188" t="s">
        <v>518</v>
      </c>
      <c r="M9" s="188" t="s">
        <v>412</v>
      </c>
      <c r="N9" s="188"/>
      <c r="O9" s="188"/>
      <c r="P9" s="188"/>
      <c r="Q9" s="188" t="s">
        <v>25</v>
      </c>
      <c r="R9" s="188" t="s">
        <v>19</v>
      </c>
      <c r="S9" s="234" t="s">
        <v>306</v>
      </c>
      <c r="T9" s="188" t="s">
        <v>306</v>
      </c>
      <c r="U9" s="188" t="s">
        <v>25</v>
      </c>
      <c r="V9" s="234" t="s">
        <v>25</v>
      </c>
      <c r="W9" s="188" t="s">
        <v>306</v>
      </c>
      <c r="X9" s="188" t="s">
        <v>306</v>
      </c>
      <c r="Y9" s="234" t="s">
        <v>306</v>
      </c>
      <c r="Z9" s="188" t="s">
        <v>25</v>
      </c>
      <c r="AA9" s="188" t="s">
        <v>25</v>
      </c>
      <c r="AB9" s="234" t="s">
        <v>25</v>
      </c>
      <c r="AC9" s="235" t="s">
        <v>306</v>
      </c>
      <c r="AD9" s="188" t="s">
        <v>25</v>
      </c>
      <c r="AE9" s="188" t="s">
        <v>25</v>
      </c>
      <c r="AF9" s="234" t="s">
        <v>25</v>
      </c>
      <c r="AG9" s="188" t="s">
        <v>306</v>
      </c>
      <c r="AH9" s="188" t="s">
        <v>306</v>
      </c>
      <c r="AI9" s="234" t="s">
        <v>306</v>
      </c>
      <c r="AJ9" s="188" t="s">
        <v>25</v>
      </c>
      <c r="AK9" s="188" t="s">
        <v>306</v>
      </c>
      <c r="AL9" s="234" t="s">
        <v>25</v>
      </c>
      <c r="AM9" s="188" t="s">
        <v>19</v>
      </c>
      <c r="AN9" s="188" t="s">
        <v>19</v>
      </c>
      <c r="AO9" s="234" t="s">
        <v>19</v>
      </c>
      <c r="AP9" s="235" t="s">
        <v>306</v>
      </c>
      <c r="AQ9" s="188" t="s">
        <v>25</v>
      </c>
      <c r="AR9" s="188" t="s">
        <v>25</v>
      </c>
      <c r="AS9" s="234" t="s">
        <v>25</v>
      </c>
      <c r="AT9" s="188" t="s">
        <v>25</v>
      </c>
      <c r="AU9" s="188" t="s">
        <v>25</v>
      </c>
      <c r="AV9" s="234" t="s">
        <v>25</v>
      </c>
      <c r="AW9" s="188" t="s">
        <v>25</v>
      </c>
      <c r="AX9" s="188" t="s">
        <v>25</v>
      </c>
      <c r="AY9" s="234" t="s">
        <v>25</v>
      </c>
      <c r="AZ9" s="188" t="s">
        <v>19</v>
      </c>
      <c r="BA9" s="188" t="s">
        <v>25</v>
      </c>
      <c r="BB9" s="234" t="s">
        <v>25</v>
      </c>
      <c r="BC9" s="235" t="s">
        <v>306</v>
      </c>
      <c r="BD9" s="188"/>
    </row>
    <row r="10" spans="1:56" ht="12.75" customHeight="1" x14ac:dyDescent="0.25">
      <c r="A10" s="238">
        <v>44797.880059062503</v>
      </c>
      <c r="B10" s="137" t="s">
        <v>304</v>
      </c>
      <c r="C10" s="211" t="s">
        <v>595</v>
      </c>
      <c r="D10" s="211" t="s">
        <v>17</v>
      </c>
      <c r="E10" s="232" t="s">
        <v>515</v>
      </c>
      <c r="F10" s="188" t="s">
        <v>520</v>
      </c>
      <c r="G10" s="211" t="s">
        <v>18</v>
      </c>
      <c r="H10" s="211">
        <v>11</v>
      </c>
      <c r="I10" s="188" t="s">
        <v>518</v>
      </c>
      <c r="J10" s="188" t="s">
        <v>519</v>
      </c>
      <c r="K10" s="209" t="s">
        <v>519</v>
      </c>
      <c r="L10" s="188" t="s">
        <v>518</v>
      </c>
      <c r="M10" s="188" t="s">
        <v>375</v>
      </c>
      <c r="N10" s="188"/>
      <c r="O10" s="188"/>
      <c r="P10" s="188"/>
      <c r="Q10" s="188" t="s">
        <v>306</v>
      </c>
      <c r="R10" s="188" t="s">
        <v>306</v>
      </c>
      <c r="S10" s="234" t="s">
        <v>306</v>
      </c>
      <c r="T10" s="188" t="s">
        <v>19</v>
      </c>
      <c r="U10" s="188" t="s">
        <v>306</v>
      </c>
      <c r="V10" s="234" t="s">
        <v>306</v>
      </c>
      <c r="W10" s="188" t="s">
        <v>306</v>
      </c>
      <c r="X10" s="188" t="s">
        <v>306</v>
      </c>
      <c r="Y10" s="234" t="s">
        <v>306</v>
      </c>
      <c r="Z10" s="188" t="s">
        <v>306</v>
      </c>
      <c r="AA10" s="188" t="s">
        <v>306</v>
      </c>
      <c r="AB10" s="234" t="s">
        <v>306</v>
      </c>
      <c r="AC10" s="235" t="s">
        <v>306</v>
      </c>
      <c r="AD10" s="188" t="s">
        <v>25</v>
      </c>
      <c r="AE10" s="188" t="s">
        <v>306</v>
      </c>
      <c r="AF10" s="234" t="s">
        <v>25</v>
      </c>
      <c r="AG10" s="188" t="s">
        <v>25</v>
      </c>
      <c r="AH10" s="188" t="s">
        <v>306</v>
      </c>
      <c r="AI10" s="234" t="s">
        <v>25</v>
      </c>
      <c r="AJ10" s="188" t="s">
        <v>25</v>
      </c>
      <c r="AK10" s="188" t="s">
        <v>306</v>
      </c>
      <c r="AL10" s="234" t="s">
        <v>25</v>
      </c>
      <c r="AM10" s="188" t="s">
        <v>306</v>
      </c>
      <c r="AN10" s="188" t="s">
        <v>306</v>
      </c>
      <c r="AO10" s="234" t="s">
        <v>306</v>
      </c>
      <c r="AP10" s="235" t="s">
        <v>306</v>
      </c>
      <c r="AQ10" s="188" t="s">
        <v>25</v>
      </c>
      <c r="AR10" s="188" t="s">
        <v>25</v>
      </c>
      <c r="AS10" s="234" t="s">
        <v>25</v>
      </c>
      <c r="AT10" s="188" t="s">
        <v>25</v>
      </c>
      <c r="AU10" s="188" t="s">
        <v>25</v>
      </c>
      <c r="AV10" s="234" t="s">
        <v>25</v>
      </c>
      <c r="AW10" s="188" t="s">
        <v>25</v>
      </c>
      <c r="AX10" s="188" t="s">
        <v>25</v>
      </c>
      <c r="AY10" s="234" t="s">
        <v>25</v>
      </c>
      <c r="AZ10" s="188" t="s">
        <v>25</v>
      </c>
      <c r="BA10" s="188" t="s">
        <v>25</v>
      </c>
      <c r="BB10" s="234" t="s">
        <v>25</v>
      </c>
      <c r="BC10" s="235" t="s">
        <v>306</v>
      </c>
      <c r="BD10" s="188"/>
    </row>
    <row r="11" spans="1:56" ht="12.75" customHeight="1" x14ac:dyDescent="0.25">
      <c r="A11" s="238">
        <v>44798.393190787036</v>
      </c>
      <c r="B11" s="137" t="s">
        <v>304</v>
      </c>
      <c r="C11" s="211" t="s">
        <v>595</v>
      </c>
      <c r="D11" s="211" t="s">
        <v>17</v>
      </c>
      <c r="E11" s="232" t="s">
        <v>515</v>
      </c>
      <c r="F11" s="188" t="s">
        <v>597</v>
      </c>
      <c r="G11" s="211" t="s">
        <v>18</v>
      </c>
      <c r="H11" s="211">
        <v>12</v>
      </c>
      <c r="I11" s="188" t="s">
        <v>518</v>
      </c>
      <c r="J11" s="188" t="s">
        <v>519</v>
      </c>
      <c r="K11" s="209" t="s">
        <v>519</v>
      </c>
      <c r="L11" s="188" t="s">
        <v>518</v>
      </c>
      <c r="M11" s="188" t="s">
        <v>401</v>
      </c>
      <c r="N11" s="188"/>
      <c r="O11" s="188"/>
      <c r="P11" s="188"/>
      <c r="Q11" s="188" t="s">
        <v>25</v>
      </c>
      <c r="R11" s="188" t="s">
        <v>306</v>
      </c>
      <c r="S11" s="234" t="s">
        <v>25</v>
      </c>
      <c r="T11" s="188" t="s">
        <v>19</v>
      </c>
      <c r="U11" s="188" t="s">
        <v>25</v>
      </c>
      <c r="V11" s="234" t="s">
        <v>306</v>
      </c>
      <c r="W11" s="188" t="s">
        <v>19</v>
      </c>
      <c r="X11" s="188" t="s">
        <v>25</v>
      </c>
      <c r="Y11" s="234" t="s">
        <v>306</v>
      </c>
      <c r="Z11" s="188" t="s">
        <v>306</v>
      </c>
      <c r="AA11" s="188" t="s">
        <v>19</v>
      </c>
      <c r="AB11" s="234" t="s">
        <v>306</v>
      </c>
      <c r="AC11" s="235" t="s">
        <v>306</v>
      </c>
      <c r="AD11" s="188" t="s">
        <v>19</v>
      </c>
      <c r="AE11" s="188" t="s">
        <v>25</v>
      </c>
      <c r="AF11" s="234" t="s">
        <v>306</v>
      </c>
      <c r="AG11" s="188" t="s">
        <v>19</v>
      </c>
      <c r="AH11" s="188" t="s">
        <v>19</v>
      </c>
      <c r="AI11" s="234" t="s">
        <v>19</v>
      </c>
      <c r="AJ11" s="188" t="s">
        <v>19</v>
      </c>
      <c r="AK11" s="188" t="s">
        <v>306</v>
      </c>
      <c r="AL11" s="234" t="s">
        <v>306</v>
      </c>
      <c r="AM11" s="188" t="s">
        <v>306</v>
      </c>
      <c r="AN11" s="188" t="s">
        <v>19</v>
      </c>
      <c r="AO11" s="234" t="s">
        <v>306</v>
      </c>
      <c r="AP11" s="235" t="s">
        <v>306</v>
      </c>
      <c r="AQ11" s="188" t="s">
        <v>25</v>
      </c>
      <c r="AR11" s="188" t="s">
        <v>25</v>
      </c>
      <c r="AS11" s="234" t="s">
        <v>25</v>
      </c>
      <c r="AT11" s="188" t="s">
        <v>25</v>
      </c>
      <c r="AU11" s="188" t="s">
        <v>306</v>
      </c>
      <c r="AV11" s="234" t="s">
        <v>25</v>
      </c>
      <c r="AW11" s="188" t="s">
        <v>306</v>
      </c>
      <c r="AX11" s="188" t="s">
        <v>25</v>
      </c>
      <c r="AY11" s="234" t="s">
        <v>25</v>
      </c>
      <c r="AZ11" s="188" t="s">
        <v>25</v>
      </c>
      <c r="BA11" s="188" t="s">
        <v>25</v>
      </c>
      <c r="BB11" s="234" t="s">
        <v>19</v>
      </c>
      <c r="BC11" s="235" t="s">
        <v>306</v>
      </c>
      <c r="BD11" s="188"/>
    </row>
    <row r="12" spans="1:56" ht="12.75" customHeight="1" x14ac:dyDescent="0.25">
      <c r="A12" s="238">
        <v>44798.402630335651</v>
      </c>
      <c r="B12" s="137" t="s">
        <v>304</v>
      </c>
      <c r="C12" s="211" t="s">
        <v>595</v>
      </c>
      <c r="D12" s="211" t="s">
        <v>17</v>
      </c>
      <c r="E12" s="232" t="s">
        <v>515</v>
      </c>
      <c r="F12" s="188" t="s">
        <v>521</v>
      </c>
      <c r="G12" s="211" t="s">
        <v>24</v>
      </c>
      <c r="H12" s="211">
        <v>11</v>
      </c>
      <c r="I12" s="188" t="s">
        <v>518</v>
      </c>
      <c r="J12" s="188" t="s">
        <v>519</v>
      </c>
      <c r="K12" s="209" t="s">
        <v>519</v>
      </c>
      <c r="L12" s="188" t="s">
        <v>518</v>
      </c>
      <c r="M12" s="188" t="s">
        <v>412</v>
      </c>
      <c r="N12" s="188"/>
      <c r="O12" s="188"/>
      <c r="P12" s="188"/>
      <c r="Q12" s="188" t="s">
        <v>19</v>
      </c>
      <c r="R12" s="188" t="s">
        <v>25</v>
      </c>
      <c r="S12" s="234" t="s">
        <v>306</v>
      </c>
      <c r="T12" s="188" t="s">
        <v>306</v>
      </c>
      <c r="U12" s="188" t="s">
        <v>25</v>
      </c>
      <c r="V12" s="234" t="s">
        <v>25</v>
      </c>
      <c r="W12" s="188" t="s">
        <v>25</v>
      </c>
      <c r="X12" s="188" t="s">
        <v>25</v>
      </c>
      <c r="Y12" s="234" t="s">
        <v>25</v>
      </c>
      <c r="Z12" s="188" t="s">
        <v>306</v>
      </c>
      <c r="AA12" s="188" t="s">
        <v>306</v>
      </c>
      <c r="AB12" s="234" t="s">
        <v>306</v>
      </c>
      <c r="AC12" s="235" t="s">
        <v>306</v>
      </c>
      <c r="AD12" s="188" t="s">
        <v>306</v>
      </c>
      <c r="AE12" s="188" t="s">
        <v>25</v>
      </c>
      <c r="AF12" s="234" t="s">
        <v>25</v>
      </c>
      <c r="AG12" s="188" t="s">
        <v>25</v>
      </c>
      <c r="AH12" s="188" t="s">
        <v>306</v>
      </c>
      <c r="AI12" s="234" t="s">
        <v>25</v>
      </c>
      <c r="AJ12" s="188" t="s">
        <v>25</v>
      </c>
      <c r="AK12" s="188" t="s">
        <v>19</v>
      </c>
      <c r="AL12" s="234" t="s">
        <v>306</v>
      </c>
      <c r="AM12" s="188" t="s">
        <v>19</v>
      </c>
      <c r="AN12" s="188" t="s">
        <v>19</v>
      </c>
      <c r="AO12" s="234" t="s">
        <v>19</v>
      </c>
      <c r="AP12" s="235" t="s">
        <v>306</v>
      </c>
      <c r="AQ12" s="188" t="s">
        <v>19</v>
      </c>
      <c r="AR12" s="188" t="s">
        <v>306</v>
      </c>
      <c r="AS12" s="234" t="s">
        <v>306</v>
      </c>
      <c r="AT12" s="188" t="s">
        <v>306</v>
      </c>
      <c r="AU12" s="188" t="s">
        <v>19</v>
      </c>
      <c r="AV12" s="234" t="s">
        <v>306</v>
      </c>
      <c r="AW12" s="188" t="s">
        <v>306</v>
      </c>
      <c r="AX12" s="188" t="s">
        <v>306</v>
      </c>
      <c r="AY12" s="234" t="s">
        <v>306</v>
      </c>
      <c r="AZ12" s="188" t="s">
        <v>25</v>
      </c>
      <c r="BA12" s="188" t="s">
        <v>306</v>
      </c>
      <c r="BB12" s="234" t="s">
        <v>25</v>
      </c>
      <c r="BC12" s="235" t="s">
        <v>306</v>
      </c>
      <c r="BD12" s="188"/>
    </row>
    <row r="13" spans="1:56" ht="12.75" customHeight="1" x14ac:dyDescent="0.25">
      <c r="A13" s="238">
        <v>44798.43847543982</v>
      </c>
      <c r="B13" s="137" t="s">
        <v>304</v>
      </c>
      <c r="C13" s="211" t="s">
        <v>595</v>
      </c>
      <c r="D13" s="211" t="s">
        <v>17</v>
      </c>
      <c r="E13" s="232" t="s">
        <v>515</v>
      </c>
      <c r="F13" s="188" t="s">
        <v>522</v>
      </c>
      <c r="G13" s="211" t="s">
        <v>24</v>
      </c>
      <c r="H13" s="211">
        <v>11</v>
      </c>
      <c r="I13" s="188" t="s">
        <v>518</v>
      </c>
      <c r="J13" s="188" t="s">
        <v>519</v>
      </c>
      <c r="K13" s="209" t="s">
        <v>519</v>
      </c>
      <c r="L13" s="188" t="s">
        <v>518</v>
      </c>
      <c r="M13" s="188" t="s">
        <v>375</v>
      </c>
      <c r="N13" s="188"/>
      <c r="O13" s="188"/>
      <c r="P13" s="188"/>
      <c r="Q13" s="188" t="s">
        <v>306</v>
      </c>
      <c r="R13" s="188" t="s">
        <v>306</v>
      </c>
      <c r="S13" s="234" t="s">
        <v>306</v>
      </c>
      <c r="T13" s="188" t="s">
        <v>306</v>
      </c>
      <c r="U13" s="188" t="s">
        <v>306</v>
      </c>
      <c r="V13" s="234" t="s">
        <v>306</v>
      </c>
      <c r="W13" s="188" t="s">
        <v>25</v>
      </c>
      <c r="X13" s="188" t="s">
        <v>306</v>
      </c>
      <c r="Y13" s="234" t="s">
        <v>25</v>
      </c>
      <c r="Z13" s="188" t="s">
        <v>19</v>
      </c>
      <c r="AA13" s="188" t="s">
        <v>19</v>
      </c>
      <c r="AB13" s="234" t="s">
        <v>19</v>
      </c>
      <c r="AC13" s="235" t="s">
        <v>306</v>
      </c>
      <c r="AD13" s="188" t="s">
        <v>306</v>
      </c>
      <c r="AE13" s="188" t="s">
        <v>25</v>
      </c>
      <c r="AF13" s="234" t="s">
        <v>25</v>
      </c>
      <c r="AG13" s="188" t="s">
        <v>306</v>
      </c>
      <c r="AH13" s="188" t="s">
        <v>19</v>
      </c>
      <c r="AI13" s="234" t="s">
        <v>306</v>
      </c>
      <c r="AJ13" s="188" t="s">
        <v>306</v>
      </c>
      <c r="AK13" s="188" t="s">
        <v>306</v>
      </c>
      <c r="AL13" s="234" t="s">
        <v>306</v>
      </c>
      <c r="AM13" s="188" t="s">
        <v>306</v>
      </c>
      <c r="AN13" s="188" t="s">
        <v>306</v>
      </c>
      <c r="AO13" s="234" t="s">
        <v>306</v>
      </c>
      <c r="AP13" s="235" t="s">
        <v>306</v>
      </c>
      <c r="AQ13" s="188" t="s">
        <v>306</v>
      </c>
      <c r="AR13" s="188" t="s">
        <v>25</v>
      </c>
      <c r="AS13" s="234" t="s">
        <v>25</v>
      </c>
      <c r="AT13" s="188" t="s">
        <v>25</v>
      </c>
      <c r="AU13" s="188" t="s">
        <v>25</v>
      </c>
      <c r="AV13" s="234" t="s">
        <v>25</v>
      </c>
      <c r="AW13" s="188" t="s">
        <v>306</v>
      </c>
      <c r="AX13" s="188" t="s">
        <v>306</v>
      </c>
      <c r="AY13" s="234" t="s">
        <v>306</v>
      </c>
      <c r="AZ13" s="188" t="s">
        <v>25</v>
      </c>
      <c r="BA13" s="188" t="s">
        <v>25</v>
      </c>
      <c r="BB13" s="234" t="s">
        <v>25</v>
      </c>
      <c r="BC13" s="235" t="s">
        <v>306</v>
      </c>
      <c r="BD13" s="188"/>
    </row>
    <row r="14" spans="1:56" ht="12.75" customHeight="1" x14ac:dyDescent="0.25">
      <c r="A14" s="238">
        <v>45265.422407534723</v>
      </c>
      <c r="B14" s="233" t="s">
        <v>384</v>
      </c>
      <c r="C14" s="209" t="s">
        <v>587</v>
      </c>
      <c r="D14" s="232" t="s">
        <v>17</v>
      </c>
      <c r="E14" s="232" t="s">
        <v>515</v>
      </c>
      <c r="F14" s="209" t="s">
        <v>598</v>
      </c>
      <c r="G14" s="232" t="s">
        <v>18</v>
      </c>
      <c r="H14" s="232">
        <v>12</v>
      </c>
      <c r="I14" s="209" t="s">
        <v>518</v>
      </c>
      <c r="J14" s="209" t="s">
        <v>519</v>
      </c>
      <c r="K14" s="209" t="s">
        <v>519</v>
      </c>
      <c r="L14" s="209" t="s">
        <v>518</v>
      </c>
      <c r="M14" s="209" t="s">
        <v>412</v>
      </c>
      <c r="N14" s="209" t="s">
        <v>589</v>
      </c>
      <c r="O14" s="209"/>
      <c r="P14" s="209"/>
      <c r="Q14" s="209" t="s">
        <v>25</v>
      </c>
      <c r="R14" s="209" t="s">
        <v>25</v>
      </c>
      <c r="S14" s="234" t="s">
        <v>25</v>
      </c>
      <c r="T14" s="209" t="s">
        <v>25</v>
      </c>
      <c r="U14" s="209" t="s">
        <v>25</v>
      </c>
      <c r="V14" s="234" t="s">
        <v>25</v>
      </c>
      <c r="W14" s="209" t="s">
        <v>25</v>
      </c>
      <c r="X14" s="209" t="s">
        <v>25</v>
      </c>
      <c r="Y14" s="234" t="s">
        <v>25</v>
      </c>
      <c r="Z14" s="209" t="s">
        <v>25</v>
      </c>
      <c r="AA14" s="209" t="s">
        <v>25</v>
      </c>
      <c r="AB14" s="234" t="s">
        <v>25</v>
      </c>
      <c r="AC14" s="235" t="s">
        <v>25</v>
      </c>
      <c r="AD14" s="209" t="s">
        <v>25</v>
      </c>
      <c r="AE14" s="209" t="s">
        <v>25</v>
      </c>
      <c r="AF14" s="234" t="s">
        <v>25</v>
      </c>
      <c r="AG14" s="209" t="s">
        <v>25</v>
      </c>
      <c r="AH14" s="209" t="s">
        <v>25</v>
      </c>
      <c r="AI14" s="234" t="s">
        <v>25</v>
      </c>
      <c r="AJ14" s="209" t="s">
        <v>25</v>
      </c>
      <c r="AK14" s="209" t="s">
        <v>25</v>
      </c>
      <c r="AL14" s="234" t="s">
        <v>25</v>
      </c>
      <c r="AM14" s="209" t="s">
        <v>25</v>
      </c>
      <c r="AN14" s="209" t="s">
        <v>25</v>
      </c>
      <c r="AO14" s="234" t="s">
        <v>25</v>
      </c>
      <c r="AP14" s="235" t="s">
        <v>25</v>
      </c>
      <c r="AQ14" s="209" t="s">
        <v>25</v>
      </c>
      <c r="AR14" s="209" t="s">
        <v>25</v>
      </c>
      <c r="AS14" s="234" t="s">
        <v>25</v>
      </c>
      <c r="AT14" s="209" t="s">
        <v>25</v>
      </c>
      <c r="AU14" s="209" t="s">
        <v>25</v>
      </c>
      <c r="AV14" s="234" t="s">
        <v>25</v>
      </c>
      <c r="AW14" s="209" t="s">
        <v>25</v>
      </c>
      <c r="AX14" s="209" t="s">
        <v>25</v>
      </c>
      <c r="AY14" s="234" t="s">
        <v>25</v>
      </c>
      <c r="AZ14" s="209" t="s">
        <v>25</v>
      </c>
      <c r="BA14" s="209" t="s">
        <v>25</v>
      </c>
      <c r="BB14" s="234" t="s">
        <v>25</v>
      </c>
      <c r="BC14" s="235" t="s">
        <v>25</v>
      </c>
      <c r="BD14" s="188"/>
    </row>
    <row r="15" spans="1:56" ht="12.75" customHeight="1" x14ac:dyDescent="0.25">
      <c r="A15" s="238">
        <v>45266.864982928237</v>
      </c>
      <c r="B15" s="233" t="s">
        <v>384</v>
      </c>
      <c r="C15" s="209" t="s">
        <v>587</v>
      </c>
      <c r="D15" s="232" t="s">
        <v>17</v>
      </c>
      <c r="E15" s="232" t="s">
        <v>515</v>
      </c>
      <c r="F15" s="209" t="s">
        <v>599</v>
      </c>
      <c r="G15" s="232" t="s">
        <v>18</v>
      </c>
      <c r="H15" s="232">
        <v>11</v>
      </c>
      <c r="I15" s="209" t="s">
        <v>518</v>
      </c>
      <c r="J15" s="209" t="s">
        <v>519</v>
      </c>
      <c r="K15" s="209" t="s">
        <v>519</v>
      </c>
      <c r="L15" s="209" t="s">
        <v>531</v>
      </c>
      <c r="M15" s="188"/>
      <c r="N15" s="188"/>
      <c r="O15" s="188"/>
      <c r="P15" s="188"/>
      <c r="Q15" s="209" t="s">
        <v>25</v>
      </c>
      <c r="R15" s="209" t="s">
        <v>306</v>
      </c>
      <c r="S15" s="234" t="s">
        <v>25</v>
      </c>
      <c r="T15" s="209" t="s">
        <v>19</v>
      </c>
      <c r="U15" s="209" t="s">
        <v>25</v>
      </c>
      <c r="V15" s="234" t="s">
        <v>306</v>
      </c>
      <c r="W15" s="209" t="s">
        <v>25</v>
      </c>
      <c r="X15" s="209" t="s">
        <v>25</v>
      </c>
      <c r="Y15" s="234" t="s">
        <v>25</v>
      </c>
      <c r="Z15" s="209" t="s">
        <v>19</v>
      </c>
      <c r="AA15" s="209" t="s">
        <v>306</v>
      </c>
      <c r="AB15" s="234" t="s">
        <v>306</v>
      </c>
      <c r="AC15" s="235" t="s">
        <v>306</v>
      </c>
      <c r="AD15" s="209" t="s">
        <v>306</v>
      </c>
      <c r="AE15" s="209" t="s">
        <v>306</v>
      </c>
      <c r="AF15" s="234" t="s">
        <v>306</v>
      </c>
      <c r="AG15" s="209" t="s">
        <v>19</v>
      </c>
      <c r="AH15" s="209" t="s">
        <v>25</v>
      </c>
      <c r="AI15" s="234" t="s">
        <v>306</v>
      </c>
      <c r="AJ15" s="209" t="s">
        <v>306</v>
      </c>
      <c r="AK15" s="209" t="s">
        <v>306</v>
      </c>
      <c r="AL15" s="234" t="s">
        <v>306</v>
      </c>
      <c r="AM15" s="209" t="s">
        <v>306</v>
      </c>
      <c r="AN15" s="209" t="s">
        <v>25</v>
      </c>
      <c r="AO15" s="234" t="s">
        <v>25</v>
      </c>
      <c r="AP15" s="235" t="s">
        <v>306</v>
      </c>
      <c r="AQ15" s="209" t="s">
        <v>306</v>
      </c>
      <c r="AR15" s="209" t="s">
        <v>19</v>
      </c>
      <c r="AS15" s="234" t="s">
        <v>306</v>
      </c>
      <c r="AT15" s="209" t="s">
        <v>25</v>
      </c>
      <c r="AU15" s="209" t="s">
        <v>25</v>
      </c>
      <c r="AV15" s="234" t="s">
        <v>25</v>
      </c>
      <c r="AW15" s="209" t="s">
        <v>25</v>
      </c>
      <c r="AX15" s="209" t="s">
        <v>306</v>
      </c>
      <c r="AY15" s="234" t="s">
        <v>25</v>
      </c>
      <c r="AZ15" s="209" t="s">
        <v>25</v>
      </c>
      <c r="BA15" s="209" t="s">
        <v>19</v>
      </c>
      <c r="BB15" s="234" t="s">
        <v>25</v>
      </c>
      <c r="BC15" s="235" t="s">
        <v>306</v>
      </c>
      <c r="BD15" s="188"/>
    </row>
    <row r="16" spans="1:56" ht="12.75" customHeight="1" x14ac:dyDescent="0.25">
      <c r="A16" s="238">
        <v>45266.883425300926</v>
      </c>
      <c r="B16" s="233" t="s">
        <v>384</v>
      </c>
      <c r="C16" s="209" t="s">
        <v>587</v>
      </c>
      <c r="D16" s="232" t="s">
        <v>17</v>
      </c>
      <c r="E16" s="232" t="s">
        <v>515</v>
      </c>
      <c r="F16" s="209" t="s">
        <v>600</v>
      </c>
      <c r="G16" s="232" t="s">
        <v>18</v>
      </c>
      <c r="H16" s="232">
        <v>12</v>
      </c>
      <c r="I16" s="209" t="s">
        <v>518</v>
      </c>
      <c r="J16" s="209" t="s">
        <v>519</v>
      </c>
      <c r="K16" s="209" t="s">
        <v>519</v>
      </c>
      <c r="L16" s="209" t="s">
        <v>518</v>
      </c>
      <c r="M16" s="209" t="s">
        <v>375</v>
      </c>
      <c r="N16" s="209" t="s">
        <v>375</v>
      </c>
      <c r="O16" s="209"/>
      <c r="P16" s="209"/>
      <c r="Q16" s="209" t="s">
        <v>25</v>
      </c>
      <c r="R16" s="209" t="s">
        <v>25</v>
      </c>
      <c r="S16" s="234" t="s">
        <v>25</v>
      </c>
      <c r="T16" s="209" t="s">
        <v>306</v>
      </c>
      <c r="U16" s="209" t="s">
        <v>25</v>
      </c>
      <c r="V16" s="234" t="s">
        <v>25</v>
      </c>
      <c r="W16" s="209" t="s">
        <v>306</v>
      </c>
      <c r="X16" s="209" t="s">
        <v>306</v>
      </c>
      <c r="Y16" s="234" t="s">
        <v>306</v>
      </c>
      <c r="Z16" s="209" t="s">
        <v>25</v>
      </c>
      <c r="AA16" s="209" t="s">
        <v>25</v>
      </c>
      <c r="AB16" s="234" t="s">
        <v>25</v>
      </c>
      <c r="AC16" s="235" t="s">
        <v>25</v>
      </c>
      <c r="AD16" s="209" t="s">
        <v>306</v>
      </c>
      <c r="AE16" s="209" t="s">
        <v>306</v>
      </c>
      <c r="AF16" s="234" t="s">
        <v>306</v>
      </c>
      <c r="AG16" s="209" t="s">
        <v>25</v>
      </c>
      <c r="AH16" s="209" t="s">
        <v>306</v>
      </c>
      <c r="AI16" s="234" t="s">
        <v>25</v>
      </c>
      <c r="AJ16" s="209" t="s">
        <v>306</v>
      </c>
      <c r="AK16" s="209" t="s">
        <v>25</v>
      </c>
      <c r="AL16" s="234" t="s">
        <v>25</v>
      </c>
      <c r="AM16" s="209" t="s">
        <v>306</v>
      </c>
      <c r="AN16" s="209" t="s">
        <v>306</v>
      </c>
      <c r="AO16" s="234" t="s">
        <v>306</v>
      </c>
      <c r="AP16" s="235" t="s">
        <v>306</v>
      </c>
      <c r="AQ16" s="209" t="s">
        <v>25</v>
      </c>
      <c r="AR16" s="209" t="s">
        <v>306</v>
      </c>
      <c r="AS16" s="234" t="s">
        <v>25</v>
      </c>
      <c r="AT16" s="209" t="s">
        <v>306</v>
      </c>
      <c r="AU16" s="209" t="s">
        <v>306</v>
      </c>
      <c r="AV16" s="234" t="s">
        <v>306</v>
      </c>
      <c r="AW16" s="209" t="s">
        <v>306</v>
      </c>
      <c r="AX16" s="209" t="s">
        <v>25</v>
      </c>
      <c r="AY16" s="234" t="s">
        <v>25</v>
      </c>
      <c r="AZ16" s="209" t="s">
        <v>306</v>
      </c>
      <c r="BA16" s="209" t="s">
        <v>306</v>
      </c>
      <c r="BB16" s="234" t="s">
        <v>25</v>
      </c>
      <c r="BC16" s="235" t="s">
        <v>306</v>
      </c>
      <c r="BD16" s="188"/>
    </row>
    <row r="17" spans="1:56" ht="12.75" customHeight="1" x14ac:dyDescent="0.25">
      <c r="A17" s="238">
        <v>44789.802502453706</v>
      </c>
      <c r="B17" s="137" t="s">
        <v>384</v>
      </c>
      <c r="C17" s="211" t="s">
        <v>595</v>
      </c>
      <c r="D17" s="211" t="s">
        <v>17</v>
      </c>
      <c r="E17" s="232" t="s">
        <v>515</v>
      </c>
      <c r="F17" s="188" t="s">
        <v>523</v>
      </c>
      <c r="G17" s="211" t="s">
        <v>24</v>
      </c>
      <c r="H17" s="211">
        <v>12</v>
      </c>
      <c r="I17" s="188" t="s">
        <v>518</v>
      </c>
      <c r="J17" s="188" t="s">
        <v>519</v>
      </c>
      <c r="K17" s="209" t="s">
        <v>519</v>
      </c>
      <c r="L17" s="188" t="s">
        <v>518</v>
      </c>
      <c r="M17" s="188" t="s">
        <v>412</v>
      </c>
      <c r="N17" s="188"/>
      <c r="O17" s="188"/>
      <c r="P17" s="188"/>
      <c r="Q17" s="188" t="s">
        <v>306</v>
      </c>
      <c r="R17" s="188" t="s">
        <v>306</v>
      </c>
      <c r="S17" s="234" t="s">
        <v>306</v>
      </c>
      <c r="T17" s="188" t="s">
        <v>306</v>
      </c>
      <c r="U17" s="188" t="s">
        <v>25</v>
      </c>
      <c r="V17" s="234" t="s">
        <v>25</v>
      </c>
      <c r="W17" s="188" t="s">
        <v>25</v>
      </c>
      <c r="X17" s="188" t="s">
        <v>306</v>
      </c>
      <c r="Y17" s="234" t="s">
        <v>25</v>
      </c>
      <c r="Z17" s="188" t="s">
        <v>306</v>
      </c>
      <c r="AA17" s="188" t="s">
        <v>306</v>
      </c>
      <c r="AB17" s="234" t="s">
        <v>306</v>
      </c>
      <c r="AC17" s="235" t="s">
        <v>306</v>
      </c>
      <c r="AD17" s="188" t="s">
        <v>306</v>
      </c>
      <c r="AE17" s="188" t="s">
        <v>25</v>
      </c>
      <c r="AF17" s="234" t="s">
        <v>25</v>
      </c>
      <c r="AG17" s="188" t="s">
        <v>19</v>
      </c>
      <c r="AH17" s="188" t="s">
        <v>306</v>
      </c>
      <c r="AI17" s="234" t="s">
        <v>306</v>
      </c>
      <c r="AJ17" s="188" t="s">
        <v>25</v>
      </c>
      <c r="AK17" s="188" t="s">
        <v>25</v>
      </c>
      <c r="AL17" s="234" t="s">
        <v>25</v>
      </c>
      <c r="AM17" s="188" t="s">
        <v>306</v>
      </c>
      <c r="AN17" s="188" t="s">
        <v>306</v>
      </c>
      <c r="AO17" s="234" t="s">
        <v>306</v>
      </c>
      <c r="AP17" s="235" t="s">
        <v>306</v>
      </c>
      <c r="AQ17" s="188" t="s">
        <v>25</v>
      </c>
      <c r="AR17" s="188" t="s">
        <v>306</v>
      </c>
      <c r="AS17" s="234" t="s">
        <v>25</v>
      </c>
      <c r="AT17" s="188" t="s">
        <v>25</v>
      </c>
      <c r="AU17" s="188" t="s">
        <v>25</v>
      </c>
      <c r="AV17" s="234" t="s">
        <v>25</v>
      </c>
      <c r="AW17" s="188" t="s">
        <v>25</v>
      </c>
      <c r="AX17" s="188" t="s">
        <v>306</v>
      </c>
      <c r="AY17" s="234" t="s">
        <v>25</v>
      </c>
      <c r="AZ17" s="188" t="s">
        <v>25</v>
      </c>
      <c r="BA17" s="188" t="s">
        <v>25</v>
      </c>
      <c r="BB17" s="234" t="s">
        <v>19</v>
      </c>
      <c r="BC17" s="235" t="s">
        <v>306</v>
      </c>
      <c r="BD17" s="188"/>
    </row>
    <row r="18" spans="1:56" ht="12.75" customHeight="1" x14ac:dyDescent="0.25">
      <c r="A18" s="238">
        <v>44789.807363055559</v>
      </c>
      <c r="B18" s="137" t="s">
        <v>384</v>
      </c>
      <c r="C18" s="211" t="s">
        <v>595</v>
      </c>
      <c r="D18" s="211" t="s">
        <v>17</v>
      </c>
      <c r="E18" s="232" t="s">
        <v>515</v>
      </c>
      <c r="F18" s="188" t="s">
        <v>601</v>
      </c>
      <c r="G18" s="211" t="s">
        <v>18</v>
      </c>
      <c r="H18" s="211">
        <v>11</v>
      </c>
      <c r="I18" s="188" t="s">
        <v>518</v>
      </c>
      <c r="J18" s="188" t="s">
        <v>519</v>
      </c>
      <c r="K18" s="209" t="s">
        <v>519</v>
      </c>
      <c r="L18" s="188" t="s">
        <v>518</v>
      </c>
      <c r="M18" s="188" t="s">
        <v>375</v>
      </c>
      <c r="N18" s="188"/>
      <c r="O18" s="188"/>
      <c r="P18" s="188"/>
      <c r="Q18" s="188" t="s">
        <v>306</v>
      </c>
      <c r="R18" s="188" t="s">
        <v>25</v>
      </c>
      <c r="S18" s="234" t="s">
        <v>25</v>
      </c>
      <c r="T18" s="188" t="s">
        <v>306</v>
      </c>
      <c r="U18" s="188" t="s">
        <v>25</v>
      </c>
      <c r="V18" s="234" t="s">
        <v>25</v>
      </c>
      <c r="W18" s="188" t="s">
        <v>25</v>
      </c>
      <c r="X18" s="188" t="s">
        <v>306</v>
      </c>
      <c r="Y18" s="234" t="s">
        <v>25</v>
      </c>
      <c r="Z18" s="188" t="s">
        <v>306</v>
      </c>
      <c r="AA18" s="188" t="s">
        <v>19</v>
      </c>
      <c r="AB18" s="234" t="s">
        <v>306</v>
      </c>
      <c r="AC18" s="235" t="s">
        <v>306</v>
      </c>
      <c r="AD18" s="188" t="s">
        <v>306</v>
      </c>
      <c r="AE18" s="188" t="s">
        <v>25</v>
      </c>
      <c r="AF18" s="234" t="s">
        <v>25</v>
      </c>
      <c r="AG18" s="188" t="s">
        <v>306</v>
      </c>
      <c r="AH18" s="188" t="s">
        <v>306</v>
      </c>
      <c r="AI18" s="234" t="s">
        <v>306</v>
      </c>
      <c r="AJ18" s="188" t="s">
        <v>19</v>
      </c>
      <c r="AK18" s="188" t="s">
        <v>19</v>
      </c>
      <c r="AL18" s="234" t="s">
        <v>19</v>
      </c>
      <c r="AM18" s="188" t="s">
        <v>306</v>
      </c>
      <c r="AN18" s="188" t="s">
        <v>19</v>
      </c>
      <c r="AO18" s="234" t="s">
        <v>306</v>
      </c>
      <c r="AP18" s="235" t="s">
        <v>306</v>
      </c>
      <c r="AQ18" s="188" t="s">
        <v>306</v>
      </c>
      <c r="AR18" s="188" t="s">
        <v>25</v>
      </c>
      <c r="AS18" s="234" t="s">
        <v>25</v>
      </c>
      <c r="AT18" s="188" t="s">
        <v>25</v>
      </c>
      <c r="AU18" s="188" t="s">
        <v>25</v>
      </c>
      <c r="AV18" s="234" t="s">
        <v>25</v>
      </c>
      <c r="AW18" s="188" t="s">
        <v>306</v>
      </c>
      <c r="AX18" s="188" t="s">
        <v>306</v>
      </c>
      <c r="AY18" s="234" t="s">
        <v>306</v>
      </c>
      <c r="AZ18" s="188" t="s">
        <v>25</v>
      </c>
      <c r="BA18" s="188" t="s">
        <v>25</v>
      </c>
      <c r="BB18" s="234" t="s">
        <v>25</v>
      </c>
      <c r="BC18" s="235" t="s">
        <v>25</v>
      </c>
      <c r="BD18" s="188"/>
    </row>
    <row r="19" spans="1:56" ht="12.75" customHeight="1" x14ac:dyDescent="0.25">
      <c r="A19" s="238">
        <v>44789.813950011579</v>
      </c>
      <c r="B19" s="137" t="s">
        <v>384</v>
      </c>
      <c r="C19" s="211" t="s">
        <v>595</v>
      </c>
      <c r="D19" s="211" t="s">
        <v>17</v>
      </c>
      <c r="E19" s="232" t="s">
        <v>515</v>
      </c>
      <c r="F19" s="188" t="s">
        <v>602</v>
      </c>
      <c r="G19" s="211" t="s">
        <v>18</v>
      </c>
      <c r="H19" s="211">
        <v>11</v>
      </c>
      <c r="I19" s="188" t="s">
        <v>518</v>
      </c>
      <c r="J19" s="188" t="s">
        <v>519</v>
      </c>
      <c r="K19" s="209" t="s">
        <v>519</v>
      </c>
      <c r="L19" s="188" t="s">
        <v>518</v>
      </c>
      <c r="M19" s="188" t="s">
        <v>412</v>
      </c>
      <c r="N19" s="188"/>
      <c r="O19" s="188"/>
      <c r="P19" s="188"/>
      <c r="Q19" s="188" t="s">
        <v>25</v>
      </c>
      <c r="R19" s="188" t="s">
        <v>25</v>
      </c>
      <c r="S19" s="234" t="s">
        <v>25</v>
      </c>
      <c r="T19" s="188" t="s">
        <v>25</v>
      </c>
      <c r="U19" s="188" t="s">
        <v>25</v>
      </c>
      <c r="V19" s="234" t="s">
        <v>25</v>
      </c>
      <c r="W19" s="188" t="s">
        <v>25</v>
      </c>
      <c r="X19" s="188" t="s">
        <v>306</v>
      </c>
      <c r="Y19" s="234" t="s">
        <v>25</v>
      </c>
      <c r="Z19" s="188" t="s">
        <v>25</v>
      </c>
      <c r="AA19" s="188" t="s">
        <v>306</v>
      </c>
      <c r="AB19" s="234" t="s">
        <v>25</v>
      </c>
      <c r="AC19" s="235" t="s">
        <v>25</v>
      </c>
      <c r="AD19" s="188" t="s">
        <v>25</v>
      </c>
      <c r="AE19" s="188" t="s">
        <v>25</v>
      </c>
      <c r="AF19" s="234" t="s">
        <v>25</v>
      </c>
      <c r="AG19" s="188" t="s">
        <v>25</v>
      </c>
      <c r="AH19" s="188" t="s">
        <v>306</v>
      </c>
      <c r="AI19" s="234" t="s">
        <v>25</v>
      </c>
      <c r="AJ19" s="188" t="s">
        <v>25</v>
      </c>
      <c r="AK19" s="188" t="s">
        <v>306</v>
      </c>
      <c r="AL19" s="234" t="s">
        <v>25</v>
      </c>
      <c r="AM19" s="188" t="s">
        <v>306</v>
      </c>
      <c r="AN19" s="188" t="s">
        <v>306</v>
      </c>
      <c r="AO19" s="234" t="s">
        <v>306</v>
      </c>
      <c r="AP19" s="235" t="s">
        <v>25</v>
      </c>
      <c r="AQ19" s="188" t="s">
        <v>25</v>
      </c>
      <c r="AR19" s="188" t="s">
        <v>25</v>
      </c>
      <c r="AS19" s="234" t="s">
        <v>25</v>
      </c>
      <c r="AT19" s="188" t="s">
        <v>306</v>
      </c>
      <c r="AU19" s="188" t="s">
        <v>25</v>
      </c>
      <c r="AV19" s="234" t="s">
        <v>25</v>
      </c>
      <c r="AW19" s="188" t="s">
        <v>25</v>
      </c>
      <c r="AX19" s="188" t="s">
        <v>306</v>
      </c>
      <c r="AY19" s="234" t="s">
        <v>25</v>
      </c>
      <c r="AZ19" s="188" t="s">
        <v>306</v>
      </c>
      <c r="BA19" s="188" t="s">
        <v>25</v>
      </c>
      <c r="BB19" s="234" t="s">
        <v>306</v>
      </c>
      <c r="BC19" s="235" t="s">
        <v>306</v>
      </c>
      <c r="BD19" s="188"/>
    </row>
    <row r="20" spans="1:56" ht="12.75" customHeight="1" x14ac:dyDescent="0.25">
      <c r="A20" s="238">
        <v>44789.816713773151</v>
      </c>
      <c r="B20" s="137" t="s">
        <v>384</v>
      </c>
      <c r="C20" s="211" t="s">
        <v>595</v>
      </c>
      <c r="D20" s="211" t="s">
        <v>17</v>
      </c>
      <c r="E20" s="232" t="s">
        <v>515</v>
      </c>
      <c r="F20" s="188" t="s">
        <v>603</v>
      </c>
      <c r="G20" s="211" t="s">
        <v>18</v>
      </c>
      <c r="H20" s="211">
        <v>13</v>
      </c>
      <c r="I20" s="188" t="s">
        <v>518</v>
      </c>
      <c r="J20" s="188" t="s">
        <v>519</v>
      </c>
      <c r="K20" s="209" t="s">
        <v>519</v>
      </c>
      <c r="L20" s="188" t="s">
        <v>518</v>
      </c>
      <c r="M20" s="188" t="s">
        <v>375</v>
      </c>
      <c r="N20" s="188"/>
      <c r="O20" s="188"/>
      <c r="P20" s="188"/>
      <c r="Q20" s="188" t="s">
        <v>306</v>
      </c>
      <c r="R20" s="188" t="s">
        <v>25</v>
      </c>
      <c r="S20" s="234" t="s">
        <v>25</v>
      </c>
      <c r="T20" s="188" t="s">
        <v>25</v>
      </c>
      <c r="U20" s="188" t="s">
        <v>25</v>
      </c>
      <c r="V20" s="234" t="s">
        <v>25</v>
      </c>
      <c r="W20" s="188" t="s">
        <v>306</v>
      </c>
      <c r="X20" s="188" t="s">
        <v>25</v>
      </c>
      <c r="Y20" s="234" t="s">
        <v>25</v>
      </c>
      <c r="Z20" s="188" t="s">
        <v>25</v>
      </c>
      <c r="AA20" s="188" t="s">
        <v>306</v>
      </c>
      <c r="AB20" s="234" t="s">
        <v>25</v>
      </c>
      <c r="AC20" s="235" t="s">
        <v>25</v>
      </c>
      <c r="AD20" s="188" t="s">
        <v>19</v>
      </c>
      <c r="AE20" s="188" t="s">
        <v>25</v>
      </c>
      <c r="AF20" s="234" t="s">
        <v>306</v>
      </c>
      <c r="AG20" s="188" t="s">
        <v>306</v>
      </c>
      <c r="AH20" s="188" t="s">
        <v>306</v>
      </c>
      <c r="AI20" s="234" t="s">
        <v>306</v>
      </c>
      <c r="AJ20" s="188" t="s">
        <v>306</v>
      </c>
      <c r="AK20" s="188" t="s">
        <v>19</v>
      </c>
      <c r="AL20" s="234" t="s">
        <v>306</v>
      </c>
      <c r="AM20" s="188" t="s">
        <v>306</v>
      </c>
      <c r="AN20" s="188" t="s">
        <v>19</v>
      </c>
      <c r="AO20" s="234" t="s">
        <v>306</v>
      </c>
      <c r="AP20" s="235" t="s">
        <v>306</v>
      </c>
      <c r="AQ20" s="188" t="s">
        <v>306</v>
      </c>
      <c r="AR20" s="188" t="s">
        <v>25</v>
      </c>
      <c r="AS20" s="234" t="s">
        <v>25</v>
      </c>
      <c r="AT20" s="188" t="s">
        <v>25</v>
      </c>
      <c r="AU20" s="188" t="s">
        <v>25</v>
      </c>
      <c r="AV20" s="234" t="s">
        <v>25</v>
      </c>
      <c r="AW20" s="188" t="s">
        <v>306</v>
      </c>
      <c r="AX20" s="188" t="s">
        <v>306</v>
      </c>
      <c r="AY20" s="234" t="s">
        <v>306</v>
      </c>
      <c r="AZ20" s="188" t="s">
        <v>25</v>
      </c>
      <c r="BA20" s="188" t="s">
        <v>25</v>
      </c>
      <c r="BB20" s="234" t="s">
        <v>25</v>
      </c>
      <c r="BC20" s="235" t="s">
        <v>25</v>
      </c>
      <c r="BD20" s="188"/>
    </row>
    <row r="21" spans="1:56" ht="12.75" customHeight="1" x14ac:dyDescent="0.25">
      <c r="A21" s="238">
        <v>44789.827968807869</v>
      </c>
      <c r="B21" s="137" t="s">
        <v>384</v>
      </c>
      <c r="C21" s="211" t="s">
        <v>595</v>
      </c>
      <c r="D21" s="211" t="s">
        <v>17</v>
      </c>
      <c r="E21" s="232" t="s">
        <v>515</v>
      </c>
      <c r="F21" s="188" t="s">
        <v>604</v>
      </c>
      <c r="G21" s="211" t="s">
        <v>18</v>
      </c>
      <c r="H21" s="211">
        <v>12</v>
      </c>
      <c r="I21" s="188" t="s">
        <v>518</v>
      </c>
      <c r="J21" s="188" t="s">
        <v>519</v>
      </c>
      <c r="K21" s="209" t="s">
        <v>519</v>
      </c>
      <c r="L21" s="188" t="s">
        <v>518</v>
      </c>
      <c r="M21" s="188" t="s">
        <v>412</v>
      </c>
      <c r="N21" s="188"/>
      <c r="O21" s="188"/>
      <c r="P21" s="188"/>
      <c r="Q21" s="188" t="s">
        <v>25</v>
      </c>
      <c r="R21" s="188" t="s">
        <v>25</v>
      </c>
      <c r="S21" s="234" t="s">
        <v>25</v>
      </c>
      <c r="T21" s="188" t="s">
        <v>306</v>
      </c>
      <c r="U21" s="188" t="s">
        <v>25</v>
      </c>
      <c r="V21" s="234" t="s">
        <v>25</v>
      </c>
      <c r="W21" s="188" t="s">
        <v>25</v>
      </c>
      <c r="X21" s="188" t="s">
        <v>25</v>
      </c>
      <c r="Y21" s="234" t="s">
        <v>25</v>
      </c>
      <c r="Z21" s="188" t="s">
        <v>25</v>
      </c>
      <c r="AA21" s="188" t="s">
        <v>25</v>
      </c>
      <c r="AB21" s="234" t="s">
        <v>25</v>
      </c>
      <c r="AC21" s="235" t="s">
        <v>25</v>
      </c>
      <c r="AD21" s="188" t="s">
        <v>25</v>
      </c>
      <c r="AE21" s="188" t="s">
        <v>25</v>
      </c>
      <c r="AF21" s="234" t="s">
        <v>25</v>
      </c>
      <c r="AG21" s="188" t="s">
        <v>25</v>
      </c>
      <c r="AH21" s="188" t="s">
        <v>25</v>
      </c>
      <c r="AI21" s="234" t="s">
        <v>25</v>
      </c>
      <c r="AJ21" s="188" t="s">
        <v>306</v>
      </c>
      <c r="AK21" s="188" t="s">
        <v>306</v>
      </c>
      <c r="AL21" s="234" t="s">
        <v>306</v>
      </c>
      <c r="AM21" s="188" t="s">
        <v>19</v>
      </c>
      <c r="AN21" s="188" t="s">
        <v>19</v>
      </c>
      <c r="AO21" s="234" t="s">
        <v>19</v>
      </c>
      <c r="AP21" s="235" t="s">
        <v>306</v>
      </c>
      <c r="AQ21" s="188" t="s">
        <v>25</v>
      </c>
      <c r="AR21" s="188" t="s">
        <v>25</v>
      </c>
      <c r="AS21" s="234" t="s">
        <v>25</v>
      </c>
      <c r="AT21" s="188" t="s">
        <v>25</v>
      </c>
      <c r="AU21" s="188" t="s">
        <v>25</v>
      </c>
      <c r="AV21" s="234" t="s">
        <v>25</v>
      </c>
      <c r="AW21" s="188" t="s">
        <v>306</v>
      </c>
      <c r="AX21" s="188" t="s">
        <v>306</v>
      </c>
      <c r="AY21" s="234" t="s">
        <v>306</v>
      </c>
      <c r="AZ21" s="188" t="s">
        <v>25</v>
      </c>
      <c r="BA21" s="188" t="s">
        <v>25</v>
      </c>
      <c r="BB21" s="234" t="s">
        <v>25</v>
      </c>
      <c r="BC21" s="235" t="s">
        <v>25</v>
      </c>
      <c r="BD21" s="188"/>
    </row>
    <row r="22" spans="1:56" ht="12.75" customHeight="1" x14ac:dyDescent="0.25">
      <c r="A22" s="238">
        <v>45267.741278993053</v>
      </c>
      <c r="B22" s="233" t="s">
        <v>384</v>
      </c>
      <c r="C22" s="232" t="s">
        <v>587</v>
      </c>
      <c r="D22" s="232" t="s">
        <v>17</v>
      </c>
      <c r="E22" s="232" t="s">
        <v>605</v>
      </c>
      <c r="F22" s="209" t="s">
        <v>606</v>
      </c>
      <c r="G22" s="232" t="s">
        <v>24</v>
      </c>
      <c r="H22" s="232">
        <v>16</v>
      </c>
      <c r="I22" s="209" t="s">
        <v>518</v>
      </c>
      <c r="J22" s="209" t="s">
        <v>519</v>
      </c>
      <c r="K22" s="209" t="s">
        <v>519</v>
      </c>
      <c r="L22" s="209" t="s">
        <v>531</v>
      </c>
      <c r="M22" s="188"/>
      <c r="N22" s="188"/>
      <c r="O22" s="232" t="s">
        <v>531</v>
      </c>
      <c r="P22" s="188"/>
      <c r="Q22" s="209" t="s">
        <v>25</v>
      </c>
      <c r="R22" s="209" t="s">
        <v>25</v>
      </c>
      <c r="S22" s="234" t="s">
        <v>25</v>
      </c>
      <c r="T22" s="209" t="s">
        <v>25</v>
      </c>
      <c r="U22" s="209" t="s">
        <v>25</v>
      </c>
      <c r="V22" s="234" t="s">
        <v>25</v>
      </c>
      <c r="W22" s="209" t="s">
        <v>306</v>
      </c>
      <c r="X22" s="209" t="s">
        <v>25</v>
      </c>
      <c r="Y22" s="234" t="s">
        <v>25</v>
      </c>
      <c r="Z22" s="209" t="s">
        <v>25</v>
      </c>
      <c r="AA22" s="209" t="s">
        <v>25</v>
      </c>
      <c r="AB22" s="234" t="s">
        <v>25</v>
      </c>
      <c r="AC22" s="235" t="s">
        <v>25</v>
      </c>
      <c r="AD22" s="209" t="s">
        <v>25</v>
      </c>
      <c r="AE22" s="209" t="s">
        <v>25</v>
      </c>
      <c r="AF22" s="234" t="s">
        <v>25</v>
      </c>
      <c r="AG22" s="209" t="s">
        <v>25</v>
      </c>
      <c r="AH22" s="209" t="s">
        <v>25</v>
      </c>
      <c r="AI22" s="234" t="s">
        <v>25</v>
      </c>
      <c r="AJ22" s="209" t="s">
        <v>25</v>
      </c>
      <c r="AK22" s="209" t="s">
        <v>25</v>
      </c>
      <c r="AL22" s="234" t="s">
        <v>25</v>
      </c>
      <c r="AM22" s="209" t="s">
        <v>306</v>
      </c>
      <c r="AN22" s="209" t="s">
        <v>306</v>
      </c>
      <c r="AO22" s="234" t="s">
        <v>306</v>
      </c>
      <c r="AP22" s="235" t="s">
        <v>25</v>
      </c>
      <c r="AQ22" s="209" t="s">
        <v>25</v>
      </c>
      <c r="AR22" s="209" t="s">
        <v>25</v>
      </c>
      <c r="AS22" s="234" t="s">
        <v>25</v>
      </c>
      <c r="AT22" s="209" t="s">
        <v>25</v>
      </c>
      <c r="AU22" s="209" t="s">
        <v>25</v>
      </c>
      <c r="AV22" s="234" t="s">
        <v>25</v>
      </c>
      <c r="AW22" s="209" t="s">
        <v>25</v>
      </c>
      <c r="AX22" s="209" t="s">
        <v>25</v>
      </c>
      <c r="AY22" s="234" t="s">
        <v>25</v>
      </c>
      <c r="AZ22" s="209" t="s">
        <v>25</v>
      </c>
      <c r="BA22" s="209" t="s">
        <v>25</v>
      </c>
      <c r="BB22" s="234" t="s">
        <v>25</v>
      </c>
      <c r="BC22" s="235" t="s">
        <v>25</v>
      </c>
      <c r="BD22" s="188"/>
    </row>
    <row r="23" spans="1:56" ht="12.75" customHeight="1" x14ac:dyDescent="0.25">
      <c r="A23" s="211">
        <v>72</v>
      </c>
      <c r="B23" s="137" t="s">
        <v>384</v>
      </c>
      <c r="C23" s="211" t="s">
        <v>595</v>
      </c>
      <c r="D23" s="211" t="s">
        <v>17</v>
      </c>
      <c r="E23" s="232" t="s">
        <v>605</v>
      </c>
      <c r="F23" s="188" t="s">
        <v>607</v>
      </c>
      <c r="G23" s="211" t="s">
        <v>18</v>
      </c>
      <c r="H23" s="211">
        <v>12</v>
      </c>
      <c r="I23" s="188" t="s">
        <v>518</v>
      </c>
      <c r="J23" s="188" t="s">
        <v>519</v>
      </c>
      <c r="K23" s="209" t="s">
        <v>519</v>
      </c>
      <c r="L23" s="188" t="s">
        <v>518</v>
      </c>
      <c r="M23" s="188" t="s">
        <v>368</v>
      </c>
      <c r="N23" s="188"/>
      <c r="O23" s="211" t="s">
        <v>518</v>
      </c>
      <c r="P23" s="188" t="s">
        <v>608</v>
      </c>
      <c r="Q23" s="188" t="s">
        <v>25</v>
      </c>
      <c r="R23" s="188" t="s">
        <v>306</v>
      </c>
      <c r="S23" s="234" t="s">
        <v>25</v>
      </c>
      <c r="T23" s="188" t="s">
        <v>25</v>
      </c>
      <c r="U23" s="188" t="s">
        <v>25</v>
      </c>
      <c r="V23" s="234" t="s">
        <v>25</v>
      </c>
      <c r="W23" s="188" t="s">
        <v>306</v>
      </c>
      <c r="X23" s="188" t="s">
        <v>25</v>
      </c>
      <c r="Y23" s="234" t="s">
        <v>25</v>
      </c>
      <c r="Z23" s="188" t="s">
        <v>25</v>
      </c>
      <c r="AA23" s="188" t="s">
        <v>306</v>
      </c>
      <c r="AB23" s="234" t="s">
        <v>25</v>
      </c>
      <c r="AC23" s="235" t="s">
        <v>25</v>
      </c>
      <c r="AD23" s="188" t="s">
        <v>306</v>
      </c>
      <c r="AE23" s="188" t="s">
        <v>25</v>
      </c>
      <c r="AF23" s="234" t="s">
        <v>25</v>
      </c>
      <c r="AG23" s="188" t="s">
        <v>25</v>
      </c>
      <c r="AH23" s="188" t="s">
        <v>25</v>
      </c>
      <c r="AI23" s="234" t="s">
        <v>25</v>
      </c>
      <c r="AJ23" s="188" t="s">
        <v>25</v>
      </c>
      <c r="AK23" s="188" t="s">
        <v>306</v>
      </c>
      <c r="AL23" s="234" t="s">
        <v>25</v>
      </c>
      <c r="AM23" s="188" t="s">
        <v>25</v>
      </c>
      <c r="AN23" s="188" t="s">
        <v>306</v>
      </c>
      <c r="AO23" s="234" t="s">
        <v>25</v>
      </c>
      <c r="AP23" s="235" t="s">
        <v>25</v>
      </c>
      <c r="AQ23" s="188" t="s">
        <v>25</v>
      </c>
      <c r="AR23" s="188" t="s">
        <v>25</v>
      </c>
      <c r="AS23" s="234" t="s">
        <v>25</v>
      </c>
      <c r="AT23" s="188" t="s">
        <v>306</v>
      </c>
      <c r="AU23" s="188" t="s">
        <v>25</v>
      </c>
      <c r="AV23" s="234" t="s">
        <v>25</v>
      </c>
      <c r="AW23" s="188" t="s">
        <v>25</v>
      </c>
      <c r="AX23" s="188" t="s">
        <v>25</v>
      </c>
      <c r="AY23" s="234" t="s">
        <v>25</v>
      </c>
      <c r="AZ23" s="188" t="s">
        <v>25</v>
      </c>
      <c r="BA23" s="188" t="s">
        <v>25</v>
      </c>
      <c r="BB23" s="234" t="s">
        <v>19</v>
      </c>
      <c r="BC23" s="235" t="s">
        <v>306</v>
      </c>
      <c r="BD23" s="188"/>
    </row>
    <row r="24" spans="1:56" ht="12.75" customHeight="1" x14ac:dyDescent="0.25">
      <c r="A24" s="238">
        <v>45257.646243020834</v>
      </c>
      <c r="B24" s="233" t="s">
        <v>395</v>
      </c>
      <c r="C24" s="209" t="s">
        <v>587</v>
      </c>
      <c r="D24" s="232" t="s">
        <v>17</v>
      </c>
      <c r="E24" s="232" t="s">
        <v>515</v>
      </c>
      <c r="F24" s="209" t="s">
        <v>609</v>
      </c>
      <c r="G24" s="232" t="s">
        <v>18</v>
      </c>
      <c r="H24" s="232">
        <v>12</v>
      </c>
      <c r="I24" s="209" t="s">
        <v>518</v>
      </c>
      <c r="J24" s="209" t="s">
        <v>519</v>
      </c>
      <c r="K24" s="209" t="s">
        <v>519</v>
      </c>
      <c r="L24" s="209" t="s">
        <v>531</v>
      </c>
      <c r="M24" s="188"/>
      <c r="N24" s="188"/>
      <c r="O24" s="188"/>
      <c r="P24" s="188"/>
      <c r="Q24" s="209" t="s">
        <v>306</v>
      </c>
      <c r="R24" s="209" t="s">
        <v>306</v>
      </c>
      <c r="S24" s="234" t="s">
        <v>306</v>
      </c>
      <c r="T24" s="209" t="s">
        <v>19</v>
      </c>
      <c r="U24" s="209" t="s">
        <v>306</v>
      </c>
      <c r="V24" s="234" t="s">
        <v>306</v>
      </c>
      <c r="W24" s="209" t="s">
        <v>19</v>
      </c>
      <c r="X24" s="209" t="s">
        <v>19</v>
      </c>
      <c r="Y24" s="234" t="s">
        <v>19</v>
      </c>
      <c r="Z24" s="209" t="s">
        <v>19</v>
      </c>
      <c r="AA24" s="209" t="s">
        <v>19</v>
      </c>
      <c r="AB24" s="234" t="s">
        <v>19</v>
      </c>
      <c r="AC24" s="235" t="s">
        <v>19</v>
      </c>
      <c r="AD24" s="209" t="s">
        <v>306</v>
      </c>
      <c r="AE24" s="209" t="s">
        <v>306</v>
      </c>
      <c r="AF24" s="234" t="s">
        <v>306</v>
      </c>
      <c r="AG24" s="209" t="s">
        <v>306</v>
      </c>
      <c r="AH24" s="209" t="s">
        <v>19</v>
      </c>
      <c r="AI24" s="234" t="s">
        <v>306</v>
      </c>
      <c r="AJ24" s="209" t="s">
        <v>19</v>
      </c>
      <c r="AK24" s="209" t="s">
        <v>19</v>
      </c>
      <c r="AL24" s="234" t="s">
        <v>19</v>
      </c>
      <c r="AM24" s="209" t="s">
        <v>19</v>
      </c>
      <c r="AN24" s="209" t="s">
        <v>19</v>
      </c>
      <c r="AO24" s="234" t="s">
        <v>19</v>
      </c>
      <c r="AP24" s="235" t="s">
        <v>19</v>
      </c>
      <c r="AQ24" s="209" t="s">
        <v>19</v>
      </c>
      <c r="AR24" s="209" t="s">
        <v>306</v>
      </c>
      <c r="AS24" s="234" t="s">
        <v>306</v>
      </c>
      <c r="AT24" s="209" t="s">
        <v>25</v>
      </c>
      <c r="AU24" s="209" t="s">
        <v>19</v>
      </c>
      <c r="AV24" s="234" t="s">
        <v>306</v>
      </c>
      <c r="AW24" s="209" t="s">
        <v>306</v>
      </c>
      <c r="AX24" s="209" t="s">
        <v>19</v>
      </c>
      <c r="AY24" s="234" t="s">
        <v>306</v>
      </c>
      <c r="AZ24" s="209" t="s">
        <v>19</v>
      </c>
      <c r="BA24" s="209" t="s">
        <v>19</v>
      </c>
      <c r="BB24" s="234" t="s">
        <v>25</v>
      </c>
      <c r="BC24" s="235" t="s">
        <v>25</v>
      </c>
      <c r="BD24" s="188"/>
    </row>
    <row r="25" spans="1:56" ht="12.75" customHeight="1" x14ac:dyDescent="0.25">
      <c r="A25" s="238">
        <v>45271.917590439814</v>
      </c>
      <c r="B25" s="233" t="s">
        <v>395</v>
      </c>
      <c r="C25" s="209" t="s">
        <v>587</v>
      </c>
      <c r="D25" s="232" t="s">
        <v>17</v>
      </c>
      <c r="E25" s="232" t="s">
        <v>515</v>
      </c>
      <c r="F25" s="209" t="s">
        <v>610</v>
      </c>
      <c r="G25" s="232" t="s">
        <v>24</v>
      </c>
      <c r="H25" s="232">
        <v>12</v>
      </c>
      <c r="I25" s="209" t="s">
        <v>518</v>
      </c>
      <c r="J25" s="209" t="s">
        <v>519</v>
      </c>
      <c r="K25" s="209" t="s">
        <v>519</v>
      </c>
      <c r="L25" s="209" t="s">
        <v>531</v>
      </c>
      <c r="M25" s="188"/>
      <c r="N25" s="188"/>
      <c r="O25" s="188"/>
      <c r="P25" s="188"/>
      <c r="Q25" s="209" t="s">
        <v>25</v>
      </c>
      <c r="R25" s="209" t="s">
        <v>19</v>
      </c>
      <c r="S25" s="234" t="s">
        <v>306</v>
      </c>
      <c r="T25" s="209" t="s">
        <v>19</v>
      </c>
      <c r="U25" s="209" t="s">
        <v>25</v>
      </c>
      <c r="V25" s="234" t="s">
        <v>306</v>
      </c>
      <c r="W25" s="209" t="s">
        <v>19</v>
      </c>
      <c r="X25" s="209" t="s">
        <v>19</v>
      </c>
      <c r="Y25" s="234" t="s">
        <v>19</v>
      </c>
      <c r="Z25" s="209" t="s">
        <v>25</v>
      </c>
      <c r="AA25" s="209" t="s">
        <v>25</v>
      </c>
      <c r="AB25" s="234" t="s">
        <v>25</v>
      </c>
      <c r="AC25" s="235" t="s">
        <v>306</v>
      </c>
      <c r="AD25" s="209" t="s">
        <v>25</v>
      </c>
      <c r="AE25" s="209" t="s">
        <v>25</v>
      </c>
      <c r="AF25" s="234" t="s">
        <v>25</v>
      </c>
      <c r="AG25" s="209" t="s">
        <v>19</v>
      </c>
      <c r="AH25" s="209" t="s">
        <v>19</v>
      </c>
      <c r="AI25" s="234" t="s">
        <v>19</v>
      </c>
      <c r="AJ25" s="209" t="s">
        <v>19</v>
      </c>
      <c r="AK25" s="209" t="s">
        <v>19</v>
      </c>
      <c r="AL25" s="234" t="s">
        <v>19</v>
      </c>
      <c r="AM25" s="209" t="s">
        <v>19</v>
      </c>
      <c r="AN25" s="209" t="s">
        <v>19</v>
      </c>
      <c r="AO25" s="234" t="s">
        <v>19</v>
      </c>
      <c r="AP25" s="235" t="s">
        <v>306</v>
      </c>
      <c r="AQ25" s="209" t="s">
        <v>25</v>
      </c>
      <c r="AR25" s="209" t="s">
        <v>25</v>
      </c>
      <c r="AS25" s="234" t="s">
        <v>25</v>
      </c>
      <c r="AT25" s="209" t="s">
        <v>25</v>
      </c>
      <c r="AU25" s="209" t="s">
        <v>25</v>
      </c>
      <c r="AV25" s="234" t="s">
        <v>25</v>
      </c>
      <c r="AW25" s="209" t="s">
        <v>19</v>
      </c>
      <c r="AX25" s="209" t="s">
        <v>19</v>
      </c>
      <c r="AY25" s="234" t="s">
        <v>19</v>
      </c>
      <c r="AZ25" s="209" t="s">
        <v>19</v>
      </c>
      <c r="BA25" s="209" t="s">
        <v>19</v>
      </c>
      <c r="BB25" s="234" t="s">
        <v>25</v>
      </c>
      <c r="BC25" s="235" t="s">
        <v>306</v>
      </c>
      <c r="BD25" s="188"/>
    </row>
    <row r="26" spans="1:56" ht="12.75" customHeight="1" x14ac:dyDescent="0.25">
      <c r="A26" s="238">
        <v>45243.42952549769</v>
      </c>
      <c r="B26" s="233" t="s">
        <v>406</v>
      </c>
      <c r="C26" s="209" t="s">
        <v>587</v>
      </c>
      <c r="D26" s="232" t="s">
        <v>17</v>
      </c>
      <c r="E26" s="232" t="s">
        <v>515</v>
      </c>
      <c r="F26" s="209" t="s">
        <v>611</v>
      </c>
      <c r="G26" s="232" t="s">
        <v>18</v>
      </c>
      <c r="H26" s="232">
        <v>12</v>
      </c>
      <c r="I26" s="209" t="s">
        <v>518</v>
      </c>
      <c r="J26" s="209" t="s">
        <v>519</v>
      </c>
      <c r="K26" s="209" t="s">
        <v>519</v>
      </c>
      <c r="L26" s="209" t="s">
        <v>518</v>
      </c>
      <c r="M26" s="209" t="s">
        <v>412</v>
      </c>
      <c r="N26" s="209" t="s">
        <v>589</v>
      </c>
      <c r="O26" s="209"/>
      <c r="P26" s="209"/>
      <c r="Q26" s="209" t="s">
        <v>25</v>
      </c>
      <c r="R26" s="209" t="s">
        <v>306</v>
      </c>
      <c r="S26" s="234" t="s">
        <v>25</v>
      </c>
      <c r="T26" s="209" t="s">
        <v>25</v>
      </c>
      <c r="U26" s="209" t="s">
        <v>25</v>
      </c>
      <c r="V26" s="234" t="s">
        <v>25</v>
      </c>
      <c r="W26" s="209" t="s">
        <v>25</v>
      </c>
      <c r="X26" s="209" t="s">
        <v>25</v>
      </c>
      <c r="Y26" s="234" t="s">
        <v>25</v>
      </c>
      <c r="Z26" s="209" t="s">
        <v>25</v>
      </c>
      <c r="AA26" s="209" t="s">
        <v>306</v>
      </c>
      <c r="AB26" s="234" t="s">
        <v>25</v>
      </c>
      <c r="AC26" s="235" t="s">
        <v>25</v>
      </c>
      <c r="AD26" s="209" t="s">
        <v>25</v>
      </c>
      <c r="AE26" s="209" t="s">
        <v>25</v>
      </c>
      <c r="AF26" s="234" t="s">
        <v>25</v>
      </c>
      <c r="AG26" s="209" t="s">
        <v>19</v>
      </c>
      <c r="AH26" s="209" t="s">
        <v>19</v>
      </c>
      <c r="AI26" s="234" t="s">
        <v>19</v>
      </c>
      <c r="AJ26" s="209" t="s">
        <v>25</v>
      </c>
      <c r="AK26" s="209" t="s">
        <v>306</v>
      </c>
      <c r="AL26" s="234" t="s">
        <v>25</v>
      </c>
      <c r="AM26" s="209" t="s">
        <v>19</v>
      </c>
      <c r="AN26" s="209" t="s">
        <v>25</v>
      </c>
      <c r="AO26" s="234" t="s">
        <v>306</v>
      </c>
      <c r="AP26" s="235" t="s">
        <v>306</v>
      </c>
      <c r="AQ26" s="209" t="s">
        <v>19</v>
      </c>
      <c r="AR26" s="209" t="s">
        <v>25</v>
      </c>
      <c r="AS26" s="234" t="s">
        <v>306</v>
      </c>
      <c r="AT26" s="209" t="s">
        <v>25</v>
      </c>
      <c r="AU26" s="209" t="s">
        <v>25</v>
      </c>
      <c r="AV26" s="234" t="s">
        <v>25</v>
      </c>
      <c r="AW26" s="209" t="s">
        <v>306</v>
      </c>
      <c r="AX26" s="209" t="s">
        <v>25</v>
      </c>
      <c r="AY26" s="234" t="s">
        <v>25</v>
      </c>
      <c r="AZ26" s="209" t="s">
        <v>25</v>
      </c>
      <c r="BA26" s="209" t="s">
        <v>25</v>
      </c>
      <c r="BB26" s="234" t="s">
        <v>25</v>
      </c>
      <c r="BC26" s="235" t="s">
        <v>25</v>
      </c>
      <c r="BD26" s="188"/>
    </row>
    <row r="27" spans="1:56" ht="12.75" customHeight="1" x14ac:dyDescent="0.25">
      <c r="A27" s="238">
        <v>45243.433303807869</v>
      </c>
      <c r="B27" s="233" t="s">
        <v>406</v>
      </c>
      <c r="C27" s="209" t="s">
        <v>587</v>
      </c>
      <c r="D27" s="232" t="s">
        <v>17</v>
      </c>
      <c r="E27" s="232" t="s">
        <v>515</v>
      </c>
      <c r="F27" s="209" t="s">
        <v>612</v>
      </c>
      <c r="G27" s="232" t="s">
        <v>18</v>
      </c>
      <c r="H27" s="232">
        <v>12</v>
      </c>
      <c r="I27" s="209" t="s">
        <v>518</v>
      </c>
      <c r="J27" s="209" t="s">
        <v>519</v>
      </c>
      <c r="K27" s="209" t="s">
        <v>519</v>
      </c>
      <c r="L27" s="209" t="s">
        <v>518</v>
      </c>
      <c r="M27" s="209" t="s">
        <v>375</v>
      </c>
      <c r="N27" s="209" t="s">
        <v>589</v>
      </c>
      <c r="O27" s="209"/>
      <c r="P27" s="209"/>
      <c r="Q27" s="209" t="s">
        <v>25</v>
      </c>
      <c r="R27" s="209" t="s">
        <v>19</v>
      </c>
      <c r="S27" s="234" t="s">
        <v>306</v>
      </c>
      <c r="T27" s="209" t="s">
        <v>19</v>
      </c>
      <c r="U27" s="209" t="s">
        <v>19</v>
      </c>
      <c r="V27" s="234" t="s">
        <v>19</v>
      </c>
      <c r="W27" s="209" t="s">
        <v>25</v>
      </c>
      <c r="X27" s="209" t="s">
        <v>19</v>
      </c>
      <c r="Y27" s="234" t="s">
        <v>306</v>
      </c>
      <c r="Z27" s="209" t="s">
        <v>25</v>
      </c>
      <c r="AA27" s="209" t="s">
        <v>19</v>
      </c>
      <c r="AB27" s="234" t="s">
        <v>306</v>
      </c>
      <c r="AC27" s="235" t="s">
        <v>306</v>
      </c>
      <c r="AD27" s="209" t="s">
        <v>25</v>
      </c>
      <c r="AE27" s="209" t="s">
        <v>25</v>
      </c>
      <c r="AF27" s="234" t="s">
        <v>25</v>
      </c>
      <c r="AG27" s="209" t="s">
        <v>19</v>
      </c>
      <c r="AH27" s="209" t="s">
        <v>19</v>
      </c>
      <c r="AI27" s="234" t="s">
        <v>19</v>
      </c>
      <c r="AJ27" s="209" t="s">
        <v>25</v>
      </c>
      <c r="AK27" s="209" t="s">
        <v>19</v>
      </c>
      <c r="AL27" s="234" t="s">
        <v>306</v>
      </c>
      <c r="AM27" s="209" t="s">
        <v>19</v>
      </c>
      <c r="AN27" s="209" t="s">
        <v>19</v>
      </c>
      <c r="AO27" s="234" t="s">
        <v>19</v>
      </c>
      <c r="AP27" s="235" t="s">
        <v>306</v>
      </c>
      <c r="AQ27" s="209" t="s">
        <v>25</v>
      </c>
      <c r="AR27" s="209" t="s">
        <v>19</v>
      </c>
      <c r="AS27" s="234" t="s">
        <v>306</v>
      </c>
      <c r="AT27" s="209" t="s">
        <v>25</v>
      </c>
      <c r="AU27" s="209" t="s">
        <v>25</v>
      </c>
      <c r="AV27" s="234" t="s">
        <v>25</v>
      </c>
      <c r="AW27" s="209" t="s">
        <v>19</v>
      </c>
      <c r="AX27" s="209" t="s">
        <v>25</v>
      </c>
      <c r="AY27" s="234" t="s">
        <v>306</v>
      </c>
      <c r="AZ27" s="209" t="s">
        <v>25</v>
      </c>
      <c r="BA27" s="209" t="s">
        <v>25</v>
      </c>
      <c r="BB27" s="234" t="s">
        <v>25</v>
      </c>
      <c r="BC27" s="235" t="s">
        <v>25</v>
      </c>
      <c r="BD27" s="188"/>
    </row>
    <row r="28" spans="1:56" ht="12.75" customHeight="1" x14ac:dyDescent="0.25">
      <c r="A28" s="238">
        <v>44796.674572337964</v>
      </c>
      <c r="B28" s="137" t="s">
        <v>406</v>
      </c>
      <c r="C28" s="211" t="s">
        <v>595</v>
      </c>
      <c r="D28" s="211" t="s">
        <v>17</v>
      </c>
      <c r="E28" s="232" t="s">
        <v>515</v>
      </c>
      <c r="F28" s="188" t="s">
        <v>613</v>
      </c>
      <c r="G28" s="211" t="s">
        <v>18</v>
      </c>
      <c r="H28" s="211">
        <v>11</v>
      </c>
      <c r="I28" s="188" t="s">
        <v>518</v>
      </c>
      <c r="J28" s="188" t="s">
        <v>519</v>
      </c>
      <c r="K28" s="209" t="s">
        <v>519</v>
      </c>
      <c r="L28" s="188" t="s">
        <v>531</v>
      </c>
      <c r="M28" s="188" t="s">
        <v>614</v>
      </c>
      <c r="N28" s="188"/>
      <c r="O28" s="188"/>
      <c r="P28" s="188"/>
      <c r="Q28" s="188" t="s">
        <v>25</v>
      </c>
      <c r="R28" s="188" t="s">
        <v>306</v>
      </c>
      <c r="S28" s="234" t="s">
        <v>25</v>
      </c>
      <c r="T28" s="188" t="s">
        <v>25</v>
      </c>
      <c r="U28" s="188" t="s">
        <v>25</v>
      </c>
      <c r="V28" s="234" t="s">
        <v>25</v>
      </c>
      <c r="W28" s="188" t="s">
        <v>25</v>
      </c>
      <c r="X28" s="188" t="s">
        <v>306</v>
      </c>
      <c r="Y28" s="234" t="s">
        <v>25</v>
      </c>
      <c r="Z28" s="188" t="s">
        <v>25</v>
      </c>
      <c r="AA28" s="188" t="s">
        <v>25</v>
      </c>
      <c r="AB28" s="234" t="s">
        <v>25</v>
      </c>
      <c r="AC28" s="235" t="s">
        <v>25</v>
      </c>
      <c r="AD28" s="188" t="s">
        <v>306</v>
      </c>
      <c r="AE28" s="188" t="s">
        <v>25</v>
      </c>
      <c r="AF28" s="234" t="s">
        <v>25</v>
      </c>
      <c r="AG28" s="188" t="s">
        <v>306</v>
      </c>
      <c r="AH28" s="188" t="s">
        <v>25</v>
      </c>
      <c r="AI28" s="234" t="s">
        <v>25</v>
      </c>
      <c r="AJ28" s="188" t="s">
        <v>306</v>
      </c>
      <c r="AK28" s="188" t="s">
        <v>25</v>
      </c>
      <c r="AL28" s="234" t="s">
        <v>25</v>
      </c>
      <c r="AM28" s="188" t="s">
        <v>19</v>
      </c>
      <c r="AN28" s="188" t="s">
        <v>306</v>
      </c>
      <c r="AO28" s="234" t="s">
        <v>306</v>
      </c>
      <c r="AP28" s="235" t="s">
        <v>306</v>
      </c>
      <c r="AQ28" s="188" t="s">
        <v>306</v>
      </c>
      <c r="AR28" s="188" t="s">
        <v>25</v>
      </c>
      <c r="AS28" s="234" t="s">
        <v>25</v>
      </c>
      <c r="AT28" s="188" t="s">
        <v>19</v>
      </c>
      <c r="AU28" s="188" t="s">
        <v>25</v>
      </c>
      <c r="AV28" s="234" t="s">
        <v>306</v>
      </c>
      <c r="AW28" s="188" t="s">
        <v>19</v>
      </c>
      <c r="AX28" s="188" t="s">
        <v>19</v>
      </c>
      <c r="AY28" s="234" t="s">
        <v>19</v>
      </c>
      <c r="AZ28" s="188" t="s">
        <v>25</v>
      </c>
      <c r="BA28" s="188" t="s">
        <v>19</v>
      </c>
      <c r="BB28" s="234" t="s">
        <v>25</v>
      </c>
      <c r="BC28" s="235" t="s">
        <v>25</v>
      </c>
      <c r="BD28" s="188"/>
    </row>
    <row r="29" spans="1:56" ht="12.75" customHeight="1" x14ac:dyDescent="0.25">
      <c r="A29" s="238">
        <v>45257.44769961806</v>
      </c>
      <c r="B29" s="233" t="s">
        <v>304</v>
      </c>
      <c r="C29" s="209" t="s">
        <v>587</v>
      </c>
      <c r="D29" s="232" t="s">
        <v>17</v>
      </c>
      <c r="E29" s="232" t="s">
        <v>515</v>
      </c>
      <c r="F29" s="209" t="s">
        <v>615</v>
      </c>
      <c r="G29" s="232" t="s">
        <v>24</v>
      </c>
      <c r="H29" s="232">
        <v>13</v>
      </c>
      <c r="I29" s="209" t="s">
        <v>518</v>
      </c>
      <c r="J29" s="209" t="s">
        <v>616</v>
      </c>
      <c r="K29" s="209" t="s">
        <v>617</v>
      </c>
      <c r="L29" s="209" t="s">
        <v>531</v>
      </c>
      <c r="M29" s="188"/>
      <c r="N29" s="188"/>
      <c r="O29" s="188"/>
      <c r="P29" s="188"/>
      <c r="Q29" s="209" t="s">
        <v>25</v>
      </c>
      <c r="R29" s="209" t="s">
        <v>306</v>
      </c>
      <c r="S29" s="234" t="s">
        <v>25</v>
      </c>
      <c r="T29" s="209" t="s">
        <v>19</v>
      </c>
      <c r="U29" s="209" t="s">
        <v>25</v>
      </c>
      <c r="V29" s="234" t="s">
        <v>306</v>
      </c>
      <c r="W29" s="209" t="s">
        <v>306</v>
      </c>
      <c r="X29" s="209" t="s">
        <v>19</v>
      </c>
      <c r="Y29" s="234" t="s">
        <v>306</v>
      </c>
      <c r="Z29" s="209" t="s">
        <v>25</v>
      </c>
      <c r="AA29" s="209" t="s">
        <v>25</v>
      </c>
      <c r="AB29" s="234" t="s">
        <v>25</v>
      </c>
      <c r="AC29" s="235" t="s">
        <v>306</v>
      </c>
      <c r="AD29" s="209" t="s">
        <v>306</v>
      </c>
      <c r="AE29" s="209" t="s">
        <v>306</v>
      </c>
      <c r="AF29" s="234" t="s">
        <v>306</v>
      </c>
      <c r="AG29" s="209" t="s">
        <v>25</v>
      </c>
      <c r="AH29" s="209" t="s">
        <v>306</v>
      </c>
      <c r="AI29" s="234" t="s">
        <v>25</v>
      </c>
      <c r="AJ29" s="209" t="s">
        <v>306</v>
      </c>
      <c r="AK29" s="209" t="s">
        <v>306</v>
      </c>
      <c r="AL29" s="234" t="s">
        <v>306</v>
      </c>
      <c r="AM29" s="209" t="s">
        <v>306</v>
      </c>
      <c r="AN29" s="209" t="s">
        <v>306</v>
      </c>
      <c r="AO29" s="234" t="s">
        <v>306</v>
      </c>
      <c r="AP29" s="235" t="s">
        <v>306</v>
      </c>
      <c r="AQ29" s="209" t="s">
        <v>25</v>
      </c>
      <c r="AR29" s="209" t="s">
        <v>306</v>
      </c>
      <c r="AS29" s="234" t="s">
        <v>25</v>
      </c>
      <c r="AT29" s="209" t="s">
        <v>25</v>
      </c>
      <c r="AU29" s="209" t="s">
        <v>25</v>
      </c>
      <c r="AV29" s="234" t="s">
        <v>25</v>
      </c>
      <c r="AW29" s="209" t="s">
        <v>25</v>
      </c>
      <c r="AX29" s="209" t="s">
        <v>306</v>
      </c>
      <c r="AY29" s="234" t="s">
        <v>25</v>
      </c>
      <c r="AZ29" s="209" t="s">
        <v>25</v>
      </c>
      <c r="BA29" s="209" t="s">
        <v>25</v>
      </c>
      <c r="BB29" s="234" t="s">
        <v>25</v>
      </c>
      <c r="BC29" s="235" t="s">
        <v>25</v>
      </c>
      <c r="BD29" s="188"/>
    </row>
    <row r="30" spans="1:56" ht="12.75" customHeight="1" x14ac:dyDescent="0.25">
      <c r="A30" s="238">
        <v>45257.510499641205</v>
      </c>
      <c r="B30" s="233" t="s">
        <v>304</v>
      </c>
      <c r="C30" s="209" t="s">
        <v>587</v>
      </c>
      <c r="D30" s="232" t="s">
        <v>17</v>
      </c>
      <c r="E30" s="232" t="s">
        <v>515</v>
      </c>
      <c r="F30" s="209" t="s">
        <v>618</v>
      </c>
      <c r="G30" s="232" t="s">
        <v>18</v>
      </c>
      <c r="H30" s="232">
        <v>12</v>
      </c>
      <c r="I30" s="209" t="s">
        <v>518</v>
      </c>
      <c r="J30" s="209" t="s">
        <v>616</v>
      </c>
      <c r="K30" s="209" t="s">
        <v>617</v>
      </c>
      <c r="L30" s="209" t="s">
        <v>518</v>
      </c>
      <c r="M30" s="209" t="s">
        <v>412</v>
      </c>
      <c r="N30" s="209" t="s">
        <v>589</v>
      </c>
      <c r="O30" s="209"/>
      <c r="P30" s="209"/>
      <c r="Q30" s="209" t="s">
        <v>25</v>
      </c>
      <c r="R30" s="209" t="s">
        <v>25</v>
      </c>
      <c r="S30" s="234" t="s">
        <v>25</v>
      </c>
      <c r="T30" s="209" t="s">
        <v>25</v>
      </c>
      <c r="U30" s="209" t="s">
        <v>25</v>
      </c>
      <c r="V30" s="234" t="s">
        <v>25</v>
      </c>
      <c r="W30" s="209" t="s">
        <v>25</v>
      </c>
      <c r="X30" s="209" t="s">
        <v>306</v>
      </c>
      <c r="Y30" s="234" t="s">
        <v>25</v>
      </c>
      <c r="Z30" s="209" t="s">
        <v>25</v>
      </c>
      <c r="AA30" s="209" t="s">
        <v>25</v>
      </c>
      <c r="AB30" s="234" t="s">
        <v>25</v>
      </c>
      <c r="AC30" s="235" t="s">
        <v>25</v>
      </c>
      <c r="AD30" s="209" t="s">
        <v>306</v>
      </c>
      <c r="AE30" s="209" t="s">
        <v>25</v>
      </c>
      <c r="AF30" s="234" t="s">
        <v>25</v>
      </c>
      <c r="AG30" s="209" t="s">
        <v>25</v>
      </c>
      <c r="AH30" s="209" t="s">
        <v>306</v>
      </c>
      <c r="AI30" s="234" t="s">
        <v>25</v>
      </c>
      <c r="AJ30" s="209" t="s">
        <v>25</v>
      </c>
      <c r="AK30" s="209" t="s">
        <v>25</v>
      </c>
      <c r="AL30" s="234" t="s">
        <v>25</v>
      </c>
      <c r="AM30" s="209" t="s">
        <v>25</v>
      </c>
      <c r="AN30" s="209" t="s">
        <v>306</v>
      </c>
      <c r="AO30" s="234" t="s">
        <v>25</v>
      </c>
      <c r="AP30" s="235" t="s">
        <v>25</v>
      </c>
      <c r="AQ30" s="209" t="s">
        <v>25</v>
      </c>
      <c r="AR30" s="209" t="s">
        <v>25</v>
      </c>
      <c r="AS30" s="234" t="s">
        <v>25</v>
      </c>
      <c r="AT30" s="209" t="s">
        <v>306</v>
      </c>
      <c r="AU30" s="209" t="s">
        <v>25</v>
      </c>
      <c r="AV30" s="234" t="s">
        <v>25</v>
      </c>
      <c r="AW30" s="209" t="s">
        <v>25</v>
      </c>
      <c r="AX30" s="209" t="s">
        <v>306</v>
      </c>
      <c r="AY30" s="234" t="s">
        <v>25</v>
      </c>
      <c r="AZ30" s="209" t="s">
        <v>306</v>
      </c>
      <c r="BA30" s="209" t="s">
        <v>25</v>
      </c>
      <c r="BB30" s="234" t="s">
        <v>19</v>
      </c>
      <c r="BC30" s="235" t="s">
        <v>306</v>
      </c>
      <c r="BD30" s="188"/>
    </row>
    <row r="31" spans="1:56" ht="12.75" customHeight="1" x14ac:dyDescent="0.25">
      <c r="A31" s="238">
        <v>44797.472635798607</v>
      </c>
      <c r="B31" s="137" t="s">
        <v>304</v>
      </c>
      <c r="C31" s="211" t="s">
        <v>595</v>
      </c>
      <c r="D31" s="211" t="s">
        <v>17</v>
      </c>
      <c r="E31" s="232" t="s">
        <v>515</v>
      </c>
      <c r="F31" s="188" t="s">
        <v>619</v>
      </c>
      <c r="G31" s="211" t="s">
        <v>18</v>
      </c>
      <c r="H31" s="211">
        <v>11</v>
      </c>
      <c r="I31" s="188" t="s">
        <v>518</v>
      </c>
      <c r="J31" s="188" t="s">
        <v>620</v>
      </c>
      <c r="K31" s="209" t="s">
        <v>617</v>
      </c>
      <c r="L31" s="188" t="s">
        <v>518</v>
      </c>
      <c r="M31" s="188" t="s">
        <v>368</v>
      </c>
      <c r="N31" s="188"/>
      <c r="O31" s="188"/>
      <c r="P31" s="188"/>
      <c r="Q31" s="188" t="s">
        <v>25</v>
      </c>
      <c r="R31" s="188" t="s">
        <v>25</v>
      </c>
      <c r="S31" s="234" t="s">
        <v>25</v>
      </c>
      <c r="T31" s="188" t="s">
        <v>25</v>
      </c>
      <c r="U31" s="188" t="s">
        <v>25</v>
      </c>
      <c r="V31" s="234" t="s">
        <v>25</v>
      </c>
      <c r="W31" s="188" t="s">
        <v>25</v>
      </c>
      <c r="X31" s="188" t="s">
        <v>25</v>
      </c>
      <c r="Y31" s="234" t="s">
        <v>25</v>
      </c>
      <c r="Z31" s="188" t="s">
        <v>25</v>
      </c>
      <c r="AA31" s="188" t="s">
        <v>25</v>
      </c>
      <c r="AB31" s="234" t="s">
        <v>25</v>
      </c>
      <c r="AC31" s="235" t="s">
        <v>25</v>
      </c>
      <c r="AD31" s="188" t="s">
        <v>25</v>
      </c>
      <c r="AE31" s="188" t="s">
        <v>25</v>
      </c>
      <c r="AF31" s="234" t="s">
        <v>25</v>
      </c>
      <c r="AG31" s="188" t="s">
        <v>25</v>
      </c>
      <c r="AH31" s="188" t="s">
        <v>25</v>
      </c>
      <c r="AI31" s="234" t="s">
        <v>25</v>
      </c>
      <c r="AJ31" s="188" t="s">
        <v>25</v>
      </c>
      <c r="AK31" s="188" t="s">
        <v>25</v>
      </c>
      <c r="AL31" s="234" t="s">
        <v>25</v>
      </c>
      <c r="AM31" s="188" t="s">
        <v>25</v>
      </c>
      <c r="AN31" s="188" t="s">
        <v>306</v>
      </c>
      <c r="AO31" s="234" t="s">
        <v>25</v>
      </c>
      <c r="AP31" s="235" t="s">
        <v>25</v>
      </c>
      <c r="AQ31" s="188" t="s">
        <v>25</v>
      </c>
      <c r="AR31" s="188" t="s">
        <v>25</v>
      </c>
      <c r="AS31" s="234" t="s">
        <v>25</v>
      </c>
      <c r="AT31" s="188" t="s">
        <v>25</v>
      </c>
      <c r="AU31" s="188" t="s">
        <v>25</v>
      </c>
      <c r="AV31" s="234" t="s">
        <v>25</v>
      </c>
      <c r="AW31" s="188" t="s">
        <v>25</v>
      </c>
      <c r="AX31" s="188" t="s">
        <v>25</v>
      </c>
      <c r="AY31" s="234" t="s">
        <v>25</v>
      </c>
      <c r="AZ31" s="188" t="s">
        <v>25</v>
      </c>
      <c r="BA31" s="188" t="s">
        <v>306</v>
      </c>
      <c r="BB31" s="234" t="s">
        <v>306</v>
      </c>
      <c r="BC31" s="235" t="s">
        <v>306</v>
      </c>
      <c r="BD31" s="188"/>
    </row>
    <row r="32" spans="1:56" ht="12.75" customHeight="1" x14ac:dyDescent="0.25">
      <c r="A32" s="238">
        <v>44797.478604027783</v>
      </c>
      <c r="B32" s="137" t="s">
        <v>304</v>
      </c>
      <c r="C32" s="211" t="s">
        <v>595</v>
      </c>
      <c r="D32" s="211" t="s">
        <v>17</v>
      </c>
      <c r="E32" s="232" t="s">
        <v>515</v>
      </c>
      <c r="F32" s="188" t="s">
        <v>524</v>
      </c>
      <c r="G32" s="211" t="s">
        <v>24</v>
      </c>
      <c r="H32" s="211">
        <v>12</v>
      </c>
      <c r="I32" s="188" t="s">
        <v>518</v>
      </c>
      <c r="J32" s="188" t="s">
        <v>525</v>
      </c>
      <c r="K32" s="209" t="s">
        <v>617</v>
      </c>
      <c r="L32" s="188" t="s">
        <v>518</v>
      </c>
      <c r="M32" s="188" t="s">
        <v>368</v>
      </c>
      <c r="N32" s="188"/>
      <c r="O32" s="188"/>
      <c r="P32" s="188"/>
      <c r="Q32" s="188" t="s">
        <v>306</v>
      </c>
      <c r="R32" s="188" t="s">
        <v>306</v>
      </c>
      <c r="S32" s="234" t="s">
        <v>306</v>
      </c>
      <c r="T32" s="188" t="s">
        <v>306</v>
      </c>
      <c r="U32" s="188" t="s">
        <v>25</v>
      </c>
      <c r="V32" s="234" t="s">
        <v>25</v>
      </c>
      <c r="W32" s="188" t="s">
        <v>25</v>
      </c>
      <c r="X32" s="188" t="s">
        <v>25</v>
      </c>
      <c r="Y32" s="234" t="s">
        <v>25</v>
      </c>
      <c r="Z32" s="188" t="s">
        <v>306</v>
      </c>
      <c r="AA32" s="188" t="s">
        <v>19</v>
      </c>
      <c r="AB32" s="234" t="s">
        <v>306</v>
      </c>
      <c r="AC32" s="235" t="s">
        <v>306</v>
      </c>
      <c r="AD32" s="188" t="s">
        <v>306</v>
      </c>
      <c r="AE32" s="188" t="s">
        <v>25</v>
      </c>
      <c r="AF32" s="234" t="s">
        <v>25</v>
      </c>
      <c r="AG32" s="188" t="s">
        <v>306</v>
      </c>
      <c r="AH32" s="188" t="s">
        <v>306</v>
      </c>
      <c r="AI32" s="234" t="s">
        <v>306</v>
      </c>
      <c r="AJ32" s="188" t="s">
        <v>306</v>
      </c>
      <c r="AK32" s="188" t="s">
        <v>25</v>
      </c>
      <c r="AL32" s="234" t="s">
        <v>25</v>
      </c>
      <c r="AM32" s="188" t="s">
        <v>306</v>
      </c>
      <c r="AN32" s="188" t="s">
        <v>19</v>
      </c>
      <c r="AO32" s="234" t="s">
        <v>306</v>
      </c>
      <c r="AP32" s="235" t="s">
        <v>306</v>
      </c>
      <c r="AQ32" s="188" t="s">
        <v>25</v>
      </c>
      <c r="AR32" s="188" t="s">
        <v>25</v>
      </c>
      <c r="AS32" s="234" t="s">
        <v>25</v>
      </c>
      <c r="AT32" s="188" t="s">
        <v>25</v>
      </c>
      <c r="AU32" s="188" t="s">
        <v>306</v>
      </c>
      <c r="AV32" s="234" t="s">
        <v>25</v>
      </c>
      <c r="AW32" s="188" t="s">
        <v>25</v>
      </c>
      <c r="AX32" s="188" t="s">
        <v>306</v>
      </c>
      <c r="AY32" s="234" t="s">
        <v>25</v>
      </c>
      <c r="AZ32" s="188" t="s">
        <v>25</v>
      </c>
      <c r="BA32" s="188" t="s">
        <v>25</v>
      </c>
      <c r="BB32" s="234" t="s">
        <v>306</v>
      </c>
      <c r="BC32" s="235" t="s">
        <v>306</v>
      </c>
      <c r="BD32" s="188"/>
    </row>
    <row r="33" spans="1:56" ht="12.75" customHeight="1" x14ac:dyDescent="0.25">
      <c r="A33" s="238">
        <v>44797.681963854164</v>
      </c>
      <c r="B33" s="137" t="s">
        <v>304</v>
      </c>
      <c r="C33" s="211" t="s">
        <v>595</v>
      </c>
      <c r="D33" s="211" t="s">
        <v>17</v>
      </c>
      <c r="E33" s="232" t="s">
        <v>515</v>
      </c>
      <c r="F33" s="188" t="s">
        <v>621</v>
      </c>
      <c r="G33" s="211" t="s">
        <v>24</v>
      </c>
      <c r="H33" s="211">
        <v>11</v>
      </c>
      <c r="I33" s="188" t="s">
        <v>518</v>
      </c>
      <c r="J33" s="188" t="s">
        <v>622</v>
      </c>
      <c r="K33" s="209" t="s">
        <v>617</v>
      </c>
      <c r="L33" s="188" t="s">
        <v>518</v>
      </c>
      <c r="M33" s="188" t="s">
        <v>412</v>
      </c>
      <c r="N33" s="188"/>
      <c r="O33" s="188"/>
      <c r="P33" s="188"/>
      <c r="Q33" s="188" t="s">
        <v>25</v>
      </c>
      <c r="R33" s="188" t="s">
        <v>25</v>
      </c>
      <c r="S33" s="234" t="s">
        <v>25</v>
      </c>
      <c r="T33" s="188" t="s">
        <v>306</v>
      </c>
      <c r="U33" s="188" t="s">
        <v>25</v>
      </c>
      <c r="V33" s="234" t="s">
        <v>25</v>
      </c>
      <c r="W33" s="188" t="s">
        <v>25</v>
      </c>
      <c r="X33" s="188" t="s">
        <v>306</v>
      </c>
      <c r="Y33" s="234" t="s">
        <v>25</v>
      </c>
      <c r="Z33" s="188" t="s">
        <v>25</v>
      </c>
      <c r="AA33" s="188" t="s">
        <v>25</v>
      </c>
      <c r="AB33" s="234" t="s">
        <v>25</v>
      </c>
      <c r="AC33" s="235" t="s">
        <v>25</v>
      </c>
      <c r="AD33" s="188" t="s">
        <v>306</v>
      </c>
      <c r="AE33" s="188" t="s">
        <v>25</v>
      </c>
      <c r="AF33" s="234" t="s">
        <v>25</v>
      </c>
      <c r="AG33" s="188" t="s">
        <v>306</v>
      </c>
      <c r="AH33" s="188" t="s">
        <v>306</v>
      </c>
      <c r="AI33" s="234" t="s">
        <v>306</v>
      </c>
      <c r="AJ33" s="188" t="s">
        <v>19</v>
      </c>
      <c r="AK33" s="188" t="s">
        <v>25</v>
      </c>
      <c r="AL33" s="234" t="s">
        <v>306</v>
      </c>
      <c r="AM33" s="188" t="s">
        <v>25</v>
      </c>
      <c r="AN33" s="188" t="s">
        <v>19</v>
      </c>
      <c r="AO33" s="234" t="s">
        <v>306</v>
      </c>
      <c r="AP33" s="235" t="s">
        <v>306</v>
      </c>
      <c r="AQ33" s="188" t="s">
        <v>25</v>
      </c>
      <c r="AR33" s="188" t="s">
        <v>25</v>
      </c>
      <c r="AS33" s="234" t="s">
        <v>25</v>
      </c>
      <c r="AT33" s="188" t="s">
        <v>25</v>
      </c>
      <c r="AU33" s="188" t="s">
        <v>25</v>
      </c>
      <c r="AV33" s="234" t="s">
        <v>25</v>
      </c>
      <c r="AW33" s="188" t="s">
        <v>25</v>
      </c>
      <c r="AX33" s="188" t="s">
        <v>25</v>
      </c>
      <c r="AY33" s="234" t="s">
        <v>25</v>
      </c>
      <c r="AZ33" s="188" t="s">
        <v>25</v>
      </c>
      <c r="BA33" s="188" t="s">
        <v>25</v>
      </c>
      <c r="BB33" s="234" t="s">
        <v>25</v>
      </c>
      <c r="BC33" s="235" t="s">
        <v>306</v>
      </c>
      <c r="BD33" s="188"/>
    </row>
    <row r="34" spans="1:56" ht="12.75" customHeight="1" x14ac:dyDescent="0.25">
      <c r="A34" s="238">
        <v>44797.733505138887</v>
      </c>
      <c r="B34" s="137" t="s">
        <v>304</v>
      </c>
      <c r="C34" s="211" t="s">
        <v>595</v>
      </c>
      <c r="D34" s="211" t="s">
        <v>17</v>
      </c>
      <c r="E34" s="232" t="s">
        <v>515</v>
      </c>
      <c r="F34" s="188" t="s">
        <v>623</v>
      </c>
      <c r="G34" s="211" t="s">
        <v>24</v>
      </c>
      <c r="H34" s="211">
        <v>12</v>
      </c>
      <c r="I34" s="188" t="s">
        <v>518</v>
      </c>
      <c r="J34" s="188" t="s">
        <v>527</v>
      </c>
      <c r="K34" s="209" t="s">
        <v>617</v>
      </c>
      <c r="L34" s="188" t="s">
        <v>518</v>
      </c>
      <c r="M34" s="188" t="s">
        <v>375</v>
      </c>
      <c r="N34" s="188"/>
      <c r="O34" s="188"/>
      <c r="P34" s="188"/>
      <c r="Q34" s="188" t="s">
        <v>25</v>
      </c>
      <c r="R34" s="188" t="s">
        <v>25</v>
      </c>
      <c r="S34" s="234" t="s">
        <v>25</v>
      </c>
      <c r="T34" s="188" t="s">
        <v>25</v>
      </c>
      <c r="U34" s="188" t="s">
        <v>25</v>
      </c>
      <c r="V34" s="234" t="s">
        <v>25</v>
      </c>
      <c r="W34" s="188" t="s">
        <v>25</v>
      </c>
      <c r="X34" s="188" t="s">
        <v>306</v>
      </c>
      <c r="Y34" s="234" t="s">
        <v>25</v>
      </c>
      <c r="Z34" s="188" t="s">
        <v>25</v>
      </c>
      <c r="AA34" s="188" t="s">
        <v>306</v>
      </c>
      <c r="AB34" s="234" t="s">
        <v>25</v>
      </c>
      <c r="AC34" s="235" t="s">
        <v>25</v>
      </c>
      <c r="AD34" s="188" t="s">
        <v>25</v>
      </c>
      <c r="AE34" s="188" t="s">
        <v>306</v>
      </c>
      <c r="AF34" s="234" t="s">
        <v>25</v>
      </c>
      <c r="AG34" s="188" t="s">
        <v>25</v>
      </c>
      <c r="AH34" s="188" t="s">
        <v>306</v>
      </c>
      <c r="AI34" s="234" t="s">
        <v>25</v>
      </c>
      <c r="AJ34" s="188" t="s">
        <v>306</v>
      </c>
      <c r="AK34" s="188" t="s">
        <v>25</v>
      </c>
      <c r="AL34" s="234" t="s">
        <v>25</v>
      </c>
      <c r="AM34" s="188" t="s">
        <v>25</v>
      </c>
      <c r="AN34" s="188" t="s">
        <v>306</v>
      </c>
      <c r="AO34" s="234" t="s">
        <v>25</v>
      </c>
      <c r="AP34" s="235" t="s">
        <v>25</v>
      </c>
      <c r="AQ34" s="188" t="s">
        <v>306</v>
      </c>
      <c r="AR34" s="188" t="s">
        <v>25</v>
      </c>
      <c r="AS34" s="234" t="s">
        <v>25</v>
      </c>
      <c r="AT34" s="188" t="s">
        <v>25</v>
      </c>
      <c r="AU34" s="188" t="s">
        <v>25</v>
      </c>
      <c r="AV34" s="234" t="s">
        <v>25</v>
      </c>
      <c r="AW34" s="188" t="s">
        <v>306</v>
      </c>
      <c r="AX34" s="188" t="s">
        <v>306</v>
      </c>
      <c r="AY34" s="234" t="s">
        <v>306</v>
      </c>
      <c r="AZ34" s="188" t="s">
        <v>25</v>
      </c>
      <c r="BA34" s="188" t="s">
        <v>25</v>
      </c>
      <c r="BB34" s="234" t="s">
        <v>306</v>
      </c>
      <c r="BC34" s="235" t="s">
        <v>306</v>
      </c>
      <c r="BD34" s="188"/>
    </row>
    <row r="35" spans="1:56" ht="12.75" customHeight="1" x14ac:dyDescent="0.25">
      <c r="A35" s="238">
        <v>44797.756635891201</v>
      </c>
      <c r="B35" s="137" t="s">
        <v>304</v>
      </c>
      <c r="C35" s="211" t="s">
        <v>595</v>
      </c>
      <c r="D35" s="211" t="s">
        <v>17</v>
      </c>
      <c r="E35" s="232" t="s">
        <v>515</v>
      </c>
      <c r="F35" s="188" t="s">
        <v>526</v>
      </c>
      <c r="G35" s="211" t="s">
        <v>24</v>
      </c>
      <c r="H35" s="211">
        <v>12</v>
      </c>
      <c r="I35" s="188" t="s">
        <v>518</v>
      </c>
      <c r="J35" s="188" t="s">
        <v>527</v>
      </c>
      <c r="K35" s="209" t="s">
        <v>617</v>
      </c>
      <c r="L35" s="188" t="s">
        <v>518</v>
      </c>
      <c r="M35" s="188" t="s">
        <v>412</v>
      </c>
      <c r="N35" s="188"/>
      <c r="O35" s="188"/>
      <c r="P35" s="188"/>
      <c r="Q35" s="188" t="s">
        <v>25</v>
      </c>
      <c r="R35" s="188" t="s">
        <v>19</v>
      </c>
      <c r="S35" s="234" t="s">
        <v>306</v>
      </c>
      <c r="T35" s="188" t="s">
        <v>19</v>
      </c>
      <c r="U35" s="188" t="s">
        <v>25</v>
      </c>
      <c r="V35" s="234" t="s">
        <v>306</v>
      </c>
      <c r="W35" s="188" t="s">
        <v>306</v>
      </c>
      <c r="X35" s="188" t="s">
        <v>19</v>
      </c>
      <c r="Y35" s="234" t="s">
        <v>306</v>
      </c>
      <c r="Z35" s="188" t="s">
        <v>25</v>
      </c>
      <c r="AA35" s="188" t="s">
        <v>19</v>
      </c>
      <c r="AB35" s="234" t="s">
        <v>306</v>
      </c>
      <c r="AC35" s="235" t="s">
        <v>306</v>
      </c>
      <c r="AD35" s="188" t="s">
        <v>306</v>
      </c>
      <c r="AE35" s="188" t="s">
        <v>25</v>
      </c>
      <c r="AF35" s="234" t="s">
        <v>25</v>
      </c>
      <c r="AG35" s="188" t="s">
        <v>19</v>
      </c>
      <c r="AH35" s="188" t="s">
        <v>306</v>
      </c>
      <c r="AI35" s="234" t="s">
        <v>306</v>
      </c>
      <c r="AJ35" s="188" t="s">
        <v>306</v>
      </c>
      <c r="AK35" s="188" t="s">
        <v>19</v>
      </c>
      <c r="AL35" s="234" t="s">
        <v>306</v>
      </c>
      <c r="AM35" s="188" t="s">
        <v>19</v>
      </c>
      <c r="AN35" s="188" t="s">
        <v>19</v>
      </c>
      <c r="AO35" s="234" t="s">
        <v>19</v>
      </c>
      <c r="AP35" s="235" t="s">
        <v>306</v>
      </c>
      <c r="AQ35" s="188" t="s">
        <v>25</v>
      </c>
      <c r="AR35" s="188" t="s">
        <v>25</v>
      </c>
      <c r="AS35" s="234" t="s">
        <v>25</v>
      </c>
      <c r="AT35" s="188" t="s">
        <v>25</v>
      </c>
      <c r="AU35" s="188" t="s">
        <v>25</v>
      </c>
      <c r="AV35" s="234" t="s">
        <v>25</v>
      </c>
      <c r="AW35" s="188" t="s">
        <v>25</v>
      </c>
      <c r="AX35" s="188" t="s">
        <v>25</v>
      </c>
      <c r="AY35" s="234" t="s">
        <v>25</v>
      </c>
      <c r="AZ35" s="188" t="s">
        <v>25</v>
      </c>
      <c r="BA35" s="188" t="s">
        <v>25</v>
      </c>
      <c r="BB35" s="234" t="s">
        <v>306</v>
      </c>
      <c r="BC35" s="235" t="s">
        <v>306</v>
      </c>
      <c r="BD35" s="188"/>
    </row>
    <row r="36" spans="1:56" ht="12.75" customHeight="1" x14ac:dyDescent="0.25">
      <c r="A36" s="238">
        <v>44797.771717141208</v>
      </c>
      <c r="B36" s="137" t="s">
        <v>304</v>
      </c>
      <c r="C36" s="211" t="s">
        <v>595</v>
      </c>
      <c r="D36" s="211" t="s">
        <v>17</v>
      </c>
      <c r="E36" s="232" t="s">
        <v>515</v>
      </c>
      <c r="F36" s="188" t="s">
        <v>624</v>
      </c>
      <c r="G36" s="211" t="s">
        <v>24</v>
      </c>
      <c r="H36" s="211">
        <v>12</v>
      </c>
      <c r="I36" s="188" t="s">
        <v>518</v>
      </c>
      <c r="J36" s="188" t="s">
        <v>620</v>
      </c>
      <c r="K36" s="209" t="s">
        <v>617</v>
      </c>
      <c r="L36" s="188" t="s">
        <v>518</v>
      </c>
      <c r="M36" s="188" t="s">
        <v>375</v>
      </c>
      <c r="N36" s="188"/>
      <c r="O36" s="188"/>
      <c r="P36" s="188"/>
      <c r="Q36" s="188" t="s">
        <v>25</v>
      </c>
      <c r="R36" s="188" t="s">
        <v>25</v>
      </c>
      <c r="S36" s="234" t="s">
        <v>25</v>
      </c>
      <c r="T36" s="188" t="s">
        <v>25</v>
      </c>
      <c r="U36" s="188" t="s">
        <v>25</v>
      </c>
      <c r="V36" s="234" t="s">
        <v>25</v>
      </c>
      <c r="W36" s="188" t="s">
        <v>306</v>
      </c>
      <c r="X36" s="188" t="s">
        <v>25</v>
      </c>
      <c r="Y36" s="234" t="s">
        <v>25</v>
      </c>
      <c r="Z36" s="188" t="s">
        <v>25</v>
      </c>
      <c r="AA36" s="188" t="s">
        <v>25</v>
      </c>
      <c r="AB36" s="234" t="s">
        <v>25</v>
      </c>
      <c r="AC36" s="235" t="s">
        <v>25</v>
      </c>
      <c r="AD36" s="188" t="s">
        <v>25</v>
      </c>
      <c r="AE36" s="188" t="s">
        <v>25</v>
      </c>
      <c r="AF36" s="234" t="s">
        <v>25</v>
      </c>
      <c r="AG36" s="188" t="s">
        <v>25</v>
      </c>
      <c r="AH36" s="188" t="s">
        <v>25</v>
      </c>
      <c r="AI36" s="234" t="s">
        <v>25</v>
      </c>
      <c r="AJ36" s="188" t="s">
        <v>25</v>
      </c>
      <c r="AK36" s="188" t="s">
        <v>306</v>
      </c>
      <c r="AL36" s="234" t="s">
        <v>25</v>
      </c>
      <c r="AM36" s="188" t="s">
        <v>19</v>
      </c>
      <c r="AN36" s="188" t="s">
        <v>306</v>
      </c>
      <c r="AO36" s="234" t="s">
        <v>306</v>
      </c>
      <c r="AP36" s="235" t="s">
        <v>25</v>
      </c>
      <c r="AQ36" s="188" t="s">
        <v>306</v>
      </c>
      <c r="AR36" s="188" t="s">
        <v>25</v>
      </c>
      <c r="AS36" s="234" t="s">
        <v>25</v>
      </c>
      <c r="AT36" s="188" t="s">
        <v>25</v>
      </c>
      <c r="AU36" s="188" t="s">
        <v>25</v>
      </c>
      <c r="AV36" s="234" t="s">
        <v>25</v>
      </c>
      <c r="AW36" s="188" t="s">
        <v>25</v>
      </c>
      <c r="AX36" s="188" t="s">
        <v>25</v>
      </c>
      <c r="AY36" s="234" t="s">
        <v>25</v>
      </c>
      <c r="AZ36" s="188" t="s">
        <v>25</v>
      </c>
      <c r="BA36" s="188" t="s">
        <v>25</v>
      </c>
      <c r="BB36" s="234" t="s">
        <v>19</v>
      </c>
      <c r="BC36" s="235" t="s">
        <v>306</v>
      </c>
      <c r="BD36" s="188"/>
    </row>
    <row r="37" spans="1:56" ht="12.75" customHeight="1" x14ac:dyDescent="0.25">
      <c r="A37" s="238">
        <v>44797.774391331019</v>
      </c>
      <c r="B37" s="137" t="s">
        <v>304</v>
      </c>
      <c r="C37" s="211" t="s">
        <v>595</v>
      </c>
      <c r="D37" s="211" t="s">
        <v>17</v>
      </c>
      <c r="E37" s="232" t="s">
        <v>515</v>
      </c>
      <c r="F37" s="188" t="s">
        <v>625</v>
      </c>
      <c r="G37" s="211" t="s">
        <v>24</v>
      </c>
      <c r="H37" s="211">
        <v>12</v>
      </c>
      <c r="I37" s="188" t="s">
        <v>518</v>
      </c>
      <c r="J37" s="188" t="s">
        <v>616</v>
      </c>
      <c r="K37" s="209" t="s">
        <v>617</v>
      </c>
      <c r="L37" s="188" t="s">
        <v>518</v>
      </c>
      <c r="M37" s="188" t="s">
        <v>375</v>
      </c>
      <c r="N37" s="188"/>
      <c r="O37" s="188"/>
      <c r="P37" s="188"/>
      <c r="Q37" s="188" t="s">
        <v>25</v>
      </c>
      <c r="R37" s="188" t="s">
        <v>25</v>
      </c>
      <c r="S37" s="234" t="s">
        <v>25</v>
      </c>
      <c r="T37" s="188" t="s">
        <v>25</v>
      </c>
      <c r="U37" s="188" t="s">
        <v>25</v>
      </c>
      <c r="V37" s="234" t="s">
        <v>25</v>
      </c>
      <c r="W37" s="188" t="s">
        <v>25</v>
      </c>
      <c r="X37" s="188" t="s">
        <v>25</v>
      </c>
      <c r="Y37" s="234" t="s">
        <v>25</v>
      </c>
      <c r="Z37" s="188" t="s">
        <v>25</v>
      </c>
      <c r="AA37" s="188" t="s">
        <v>25</v>
      </c>
      <c r="AB37" s="234" t="s">
        <v>25</v>
      </c>
      <c r="AC37" s="235" t="s">
        <v>25</v>
      </c>
      <c r="AD37" s="188" t="s">
        <v>306</v>
      </c>
      <c r="AE37" s="188" t="s">
        <v>25</v>
      </c>
      <c r="AF37" s="234" t="s">
        <v>25</v>
      </c>
      <c r="AG37" s="188" t="s">
        <v>25</v>
      </c>
      <c r="AH37" s="188" t="s">
        <v>25</v>
      </c>
      <c r="AI37" s="234" t="s">
        <v>25</v>
      </c>
      <c r="AJ37" s="188" t="s">
        <v>25</v>
      </c>
      <c r="AK37" s="188" t="s">
        <v>25</v>
      </c>
      <c r="AL37" s="234" t="s">
        <v>25</v>
      </c>
      <c r="AM37" s="188" t="s">
        <v>19</v>
      </c>
      <c r="AN37" s="188" t="s">
        <v>306</v>
      </c>
      <c r="AO37" s="234" t="s">
        <v>306</v>
      </c>
      <c r="AP37" s="235" t="s">
        <v>25</v>
      </c>
      <c r="AQ37" s="188" t="s">
        <v>25</v>
      </c>
      <c r="AR37" s="188" t="s">
        <v>25</v>
      </c>
      <c r="AS37" s="234" t="s">
        <v>25</v>
      </c>
      <c r="AT37" s="188" t="s">
        <v>25</v>
      </c>
      <c r="AU37" s="188" t="s">
        <v>25</v>
      </c>
      <c r="AV37" s="234" t="s">
        <v>25</v>
      </c>
      <c r="AW37" s="188" t="s">
        <v>25</v>
      </c>
      <c r="AX37" s="188" t="s">
        <v>25</v>
      </c>
      <c r="AY37" s="234" t="s">
        <v>25</v>
      </c>
      <c r="AZ37" s="188" t="s">
        <v>25</v>
      </c>
      <c r="BA37" s="188" t="s">
        <v>25</v>
      </c>
      <c r="BB37" s="234" t="s">
        <v>306</v>
      </c>
      <c r="BC37" s="235" t="s">
        <v>25</v>
      </c>
      <c r="BD37" s="188"/>
    </row>
    <row r="38" spans="1:56" ht="12.75" customHeight="1" x14ac:dyDescent="0.25">
      <c r="A38" s="238">
        <v>44797.779600069443</v>
      </c>
      <c r="B38" s="137" t="s">
        <v>304</v>
      </c>
      <c r="C38" s="211" t="s">
        <v>595</v>
      </c>
      <c r="D38" s="211" t="s">
        <v>17</v>
      </c>
      <c r="E38" s="232" t="s">
        <v>515</v>
      </c>
      <c r="F38" s="188" t="s">
        <v>626</v>
      </c>
      <c r="G38" s="211" t="s">
        <v>24</v>
      </c>
      <c r="H38" s="211">
        <v>12</v>
      </c>
      <c r="I38" s="188" t="s">
        <v>518</v>
      </c>
      <c r="J38" s="188" t="s">
        <v>620</v>
      </c>
      <c r="K38" s="209" t="s">
        <v>617</v>
      </c>
      <c r="L38" s="188" t="s">
        <v>518</v>
      </c>
      <c r="M38" s="188" t="s">
        <v>412</v>
      </c>
      <c r="N38" s="188"/>
      <c r="O38" s="188"/>
      <c r="P38" s="188"/>
      <c r="Q38" s="188" t="s">
        <v>25</v>
      </c>
      <c r="R38" s="188" t="s">
        <v>25</v>
      </c>
      <c r="S38" s="234" t="s">
        <v>25</v>
      </c>
      <c r="T38" s="188" t="s">
        <v>306</v>
      </c>
      <c r="U38" s="188" t="s">
        <v>25</v>
      </c>
      <c r="V38" s="234" t="s">
        <v>25</v>
      </c>
      <c r="W38" s="188" t="s">
        <v>306</v>
      </c>
      <c r="X38" s="188" t="s">
        <v>306</v>
      </c>
      <c r="Y38" s="234" t="s">
        <v>306</v>
      </c>
      <c r="Z38" s="188" t="s">
        <v>306</v>
      </c>
      <c r="AA38" s="188" t="s">
        <v>306</v>
      </c>
      <c r="AB38" s="234" t="s">
        <v>306</v>
      </c>
      <c r="AC38" s="235" t="s">
        <v>306</v>
      </c>
      <c r="AD38" s="188" t="s">
        <v>306</v>
      </c>
      <c r="AE38" s="188" t="s">
        <v>25</v>
      </c>
      <c r="AF38" s="234" t="s">
        <v>25</v>
      </c>
      <c r="AG38" s="188" t="s">
        <v>25</v>
      </c>
      <c r="AH38" s="188" t="s">
        <v>25</v>
      </c>
      <c r="AI38" s="234" t="s">
        <v>25</v>
      </c>
      <c r="AJ38" s="188" t="s">
        <v>306</v>
      </c>
      <c r="AK38" s="188" t="s">
        <v>25</v>
      </c>
      <c r="AL38" s="234" t="s">
        <v>25</v>
      </c>
      <c r="AM38" s="188" t="s">
        <v>25</v>
      </c>
      <c r="AN38" s="188" t="s">
        <v>306</v>
      </c>
      <c r="AO38" s="234" t="s">
        <v>25</v>
      </c>
      <c r="AP38" s="235" t="s">
        <v>25</v>
      </c>
      <c r="AQ38" s="188" t="s">
        <v>306</v>
      </c>
      <c r="AR38" s="188" t="s">
        <v>306</v>
      </c>
      <c r="AS38" s="234" t="s">
        <v>306</v>
      </c>
      <c r="AT38" s="188" t="s">
        <v>306</v>
      </c>
      <c r="AU38" s="188" t="s">
        <v>306</v>
      </c>
      <c r="AV38" s="234" t="s">
        <v>306</v>
      </c>
      <c r="AW38" s="188" t="s">
        <v>306</v>
      </c>
      <c r="AX38" s="188" t="s">
        <v>25</v>
      </c>
      <c r="AY38" s="234" t="s">
        <v>25</v>
      </c>
      <c r="AZ38" s="188" t="s">
        <v>25</v>
      </c>
      <c r="BA38" s="188" t="s">
        <v>25</v>
      </c>
      <c r="BB38" s="234" t="s">
        <v>306</v>
      </c>
      <c r="BC38" s="235" t="s">
        <v>306</v>
      </c>
      <c r="BD38" s="188"/>
    </row>
    <row r="39" spans="1:56" ht="12.75" customHeight="1" x14ac:dyDescent="0.25">
      <c r="A39" s="238">
        <v>44797.78209148148</v>
      </c>
      <c r="B39" s="137" t="s">
        <v>304</v>
      </c>
      <c r="C39" s="211" t="s">
        <v>595</v>
      </c>
      <c r="D39" s="211" t="s">
        <v>17</v>
      </c>
      <c r="E39" s="232" t="s">
        <v>515</v>
      </c>
      <c r="F39" s="188" t="s">
        <v>627</v>
      </c>
      <c r="G39" s="211" t="s">
        <v>24</v>
      </c>
      <c r="H39" s="211">
        <v>12</v>
      </c>
      <c r="I39" s="188" t="s">
        <v>518</v>
      </c>
      <c r="J39" s="188" t="s">
        <v>620</v>
      </c>
      <c r="K39" s="209" t="s">
        <v>617</v>
      </c>
      <c r="L39" s="188" t="s">
        <v>518</v>
      </c>
      <c r="M39" s="188" t="s">
        <v>412</v>
      </c>
      <c r="N39" s="188"/>
      <c r="O39" s="188"/>
      <c r="P39" s="188"/>
      <c r="Q39" s="188" t="s">
        <v>25</v>
      </c>
      <c r="R39" s="188" t="s">
        <v>25</v>
      </c>
      <c r="S39" s="234" t="s">
        <v>25</v>
      </c>
      <c r="T39" s="188" t="s">
        <v>306</v>
      </c>
      <c r="U39" s="188" t="s">
        <v>25</v>
      </c>
      <c r="V39" s="234" t="s">
        <v>25</v>
      </c>
      <c r="W39" s="188" t="s">
        <v>306</v>
      </c>
      <c r="X39" s="188" t="s">
        <v>306</v>
      </c>
      <c r="Y39" s="234" t="s">
        <v>306</v>
      </c>
      <c r="Z39" s="188" t="s">
        <v>306</v>
      </c>
      <c r="AA39" s="188" t="s">
        <v>306</v>
      </c>
      <c r="AB39" s="234" t="s">
        <v>306</v>
      </c>
      <c r="AC39" s="235" t="s">
        <v>306</v>
      </c>
      <c r="AD39" s="188" t="s">
        <v>306</v>
      </c>
      <c r="AE39" s="188" t="s">
        <v>25</v>
      </c>
      <c r="AF39" s="234" t="s">
        <v>25</v>
      </c>
      <c r="AG39" s="188" t="s">
        <v>306</v>
      </c>
      <c r="AH39" s="188" t="s">
        <v>19</v>
      </c>
      <c r="AI39" s="234" t="s">
        <v>306</v>
      </c>
      <c r="AJ39" s="188" t="s">
        <v>306</v>
      </c>
      <c r="AK39" s="188" t="s">
        <v>25</v>
      </c>
      <c r="AL39" s="234" t="s">
        <v>25</v>
      </c>
      <c r="AM39" s="188" t="s">
        <v>306</v>
      </c>
      <c r="AN39" s="188" t="s">
        <v>19</v>
      </c>
      <c r="AO39" s="234" t="s">
        <v>306</v>
      </c>
      <c r="AP39" s="235" t="s">
        <v>306</v>
      </c>
      <c r="AQ39" s="188" t="s">
        <v>306</v>
      </c>
      <c r="AR39" s="188" t="s">
        <v>306</v>
      </c>
      <c r="AS39" s="234" t="s">
        <v>306</v>
      </c>
      <c r="AT39" s="188" t="s">
        <v>25</v>
      </c>
      <c r="AU39" s="188" t="s">
        <v>306</v>
      </c>
      <c r="AV39" s="234" t="s">
        <v>25</v>
      </c>
      <c r="AW39" s="188" t="s">
        <v>25</v>
      </c>
      <c r="AX39" s="188" t="s">
        <v>19</v>
      </c>
      <c r="AY39" s="234" t="s">
        <v>306</v>
      </c>
      <c r="AZ39" s="188" t="s">
        <v>306</v>
      </c>
      <c r="BA39" s="188" t="s">
        <v>306</v>
      </c>
      <c r="BB39" s="234" t="s">
        <v>25</v>
      </c>
      <c r="BC39" s="235" t="s">
        <v>25</v>
      </c>
      <c r="BD39" s="188"/>
    </row>
    <row r="40" spans="1:56" ht="12.75" customHeight="1" x14ac:dyDescent="0.25">
      <c r="A40" s="238">
        <v>44797.795083414356</v>
      </c>
      <c r="B40" s="137" t="s">
        <v>304</v>
      </c>
      <c r="C40" s="211" t="s">
        <v>595</v>
      </c>
      <c r="D40" s="211" t="s">
        <v>17</v>
      </c>
      <c r="E40" s="232" t="s">
        <v>515</v>
      </c>
      <c r="F40" s="188" t="s">
        <v>628</v>
      </c>
      <c r="G40" s="211" t="s">
        <v>24</v>
      </c>
      <c r="H40" s="211">
        <v>12</v>
      </c>
      <c r="I40" s="188" t="s">
        <v>518</v>
      </c>
      <c r="J40" s="188" t="s">
        <v>527</v>
      </c>
      <c r="K40" s="209" t="s">
        <v>617</v>
      </c>
      <c r="L40" s="188" t="s">
        <v>518</v>
      </c>
      <c r="M40" s="188" t="s">
        <v>375</v>
      </c>
      <c r="N40" s="188"/>
      <c r="O40" s="188"/>
      <c r="P40" s="188"/>
      <c r="Q40" s="188" t="s">
        <v>306</v>
      </c>
      <c r="R40" s="188" t="s">
        <v>25</v>
      </c>
      <c r="S40" s="234" t="s">
        <v>25</v>
      </c>
      <c r="T40" s="188" t="s">
        <v>306</v>
      </c>
      <c r="U40" s="188" t="s">
        <v>25</v>
      </c>
      <c r="V40" s="234" t="s">
        <v>25</v>
      </c>
      <c r="W40" s="188" t="s">
        <v>25</v>
      </c>
      <c r="X40" s="188" t="s">
        <v>19</v>
      </c>
      <c r="Y40" s="234" t="s">
        <v>306</v>
      </c>
      <c r="Z40" s="188" t="s">
        <v>306</v>
      </c>
      <c r="AA40" s="188" t="s">
        <v>25</v>
      </c>
      <c r="AB40" s="234" t="s">
        <v>25</v>
      </c>
      <c r="AC40" s="235" t="s">
        <v>306</v>
      </c>
      <c r="AD40" s="188" t="s">
        <v>19</v>
      </c>
      <c r="AE40" s="188" t="s">
        <v>306</v>
      </c>
      <c r="AF40" s="234" t="s">
        <v>306</v>
      </c>
      <c r="AG40" s="188" t="s">
        <v>25</v>
      </c>
      <c r="AH40" s="188" t="s">
        <v>306</v>
      </c>
      <c r="AI40" s="234" t="s">
        <v>25</v>
      </c>
      <c r="AJ40" s="188" t="s">
        <v>306</v>
      </c>
      <c r="AK40" s="188" t="s">
        <v>306</v>
      </c>
      <c r="AL40" s="234" t="s">
        <v>306</v>
      </c>
      <c r="AM40" s="188" t="s">
        <v>19</v>
      </c>
      <c r="AN40" s="188" t="s">
        <v>25</v>
      </c>
      <c r="AO40" s="234" t="s">
        <v>306</v>
      </c>
      <c r="AP40" s="235" t="s">
        <v>306</v>
      </c>
      <c r="AQ40" s="188" t="s">
        <v>25</v>
      </c>
      <c r="AR40" s="188" t="s">
        <v>306</v>
      </c>
      <c r="AS40" s="234" t="s">
        <v>25</v>
      </c>
      <c r="AT40" s="188" t="s">
        <v>19</v>
      </c>
      <c r="AU40" s="188" t="s">
        <v>25</v>
      </c>
      <c r="AV40" s="234" t="s">
        <v>306</v>
      </c>
      <c r="AW40" s="188" t="s">
        <v>25</v>
      </c>
      <c r="AX40" s="188" t="s">
        <v>306</v>
      </c>
      <c r="AY40" s="234" t="s">
        <v>25</v>
      </c>
      <c r="AZ40" s="188" t="s">
        <v>25</v>
      </c>
      <c r="BA40" s="188" t="s">
        <v>25</v>
      </c>
      <c r="BB40" s="234" t="s">
        <v>25</v>
      </c>
      <c r="BC40" s="235" t="s">
        <v>25</v>
      </c>
      <c r="BD40" s="188"/>
    </row>
    <row r="41" spans="1:56" ht="12.75" customHeight="1" x14ac:dyDescent="0.25">
      <c r="A41" s="238">
        <v>44797.872734872682</v>
      </c>
      <c r="B41" s="137" t="s">
        <v>304</v>
      </c>
      <c r="C41" s="211" t="s">
        <v>595</v>
      </c>
      <c r="D41" s="211" t="s">
        <v>17</v>
      </c>
      <c r="E41" s="232" t="s">
        <v>515</v>
      </c>
      <c r="F41" s="188" t="s">
        <v>629</v>
      </c>
      <c r="G41" s="211" t="s">
        <v>18</v>
      </c>
      <c r="H41" s="211">
        <v>11</v>
      </c>
      <c r="I41" s="188" t="s">
        <v>518</v>
      </c>
      <c r="J41" s="188" t="s">
        <v>622</v>
      </c>
      <c r="K41" s="209" t="s">
        <v>617</v>
      </c>
      <c r="L41" s="188" t="s">
        <v>518</v>
      </c>
      <c r="M41" s="188" t="s">
        <v>375</v>
      </c>
      <c r="N41" s="188"/>
      <c r="O41" s="188"/>
      <c r="P41" s="188"/>
      <c r="Q41" s="188" t="s">
        <v>25</v>
      </c>
      <c r="R41" s="188" t="s">
        <v>306</v>
      </c>
      <c r="S41" s="234" t="s">
        <v>25</v>
      </c>
      <c r="T41" s="188" t="s">
        <v>306</v>
      </c>
      <c r="U41" s="188" t="s">
        <v>25</v>
      </c>
      <c r="V41" s="234" t="s">
        <v>25</v>
      </c>
      <c r="W41" s="188" t="s">
        <v>306</v>
      </c>
      <c r="X41" s="188" t="s">
        <v>25</v>
      </c>
      <c r="Y41" s="234" t="s">
        <v>25</v>
      </c>
      <c r="Z41" s="188" t="s">
        <v>25</v>
      </c>
      <c r="AA41" s="188" t="s">
        <v>25</v>
      </c>
      <c r="AB41" s="234" t="s">
        <v>25</v>
      </c>
      <c r="AC41" s="235" t="s">
        <v>25</v>
      </c>
      <c r="AD41" s="188" t="s">
        <v>306</v>
      </c>
      <c r="AE41" s="188" t="s">
        <v>306</v>
      </c>
      <c r="AF41" s="234" t="s">
        <v>306</v>
      </c>
      <c r="AG41" s="188" t="s">
        <v>19</v>
      </c>
      <c r="AH41" s="188" t="s">
        <v>306</v>
      </c>
      <c r="AI41" s="234" t="s">
        <v>306</v>
      </c>
      <c r="AJ41" s="188" t="s">
        <v>306</v>
      </c>
      <c r="AK41" s="188" t="s">
        <v>25</v>
      </c>
      <c r="AL41" s="234" t="s">
        <v>25</v>
      </c>
      <c r="AM41" s="188" t="s">
        <v>19</v>
      </c>
      <c r="AN41" s="188" t="s">
        <v>306</v>
      </c>
      <c r="AO41" s="234" t="s">
        <v>306</v>
      </c>
      <c r="AP41" s="235" t="s">
        <v>306</v>
      </c>
      <c r="AQ41" s="188" t="s">
        <v>306</v>
      </c>
      <c r="AR41" s="188" t="s">
        <v>25</v>
      </c>
      <c r="AS41" s="234" t="s">
        <v>25</v>
      </c>
      <c r="AT41" s="188" t="s">
        <v>25</v>
      </c>
      <c r="AU41" s="188" t="s">
        <v>25</v>
      </c>
      <c r="AV41" s="234" t="s">
        <v>25</v>
      </c>
      <c r="AW41" s="188" t="s">
        <v>306</v>
      </c>
      <c r="AX41" s="188" t="s">
        <v>306</v>
      </c>
      <c r="AY41" s="234" t="s">
        <v>306</v>
      </c>
      <c r="AZ41" s="188" t="s">
        <v>25</v>
      </c>
      <c r="BA41" s="188" t="s">
        <v>306</v>
      </c>
      <c r="BB41" s="234" t="s">
        <v>25</v>
      </c>
      <c r="BC41" s="235" t="s">
        <v>306</v>
      </c>
      <c r="BD41" s="188"/>
    </row>
    <row r="42" spans="1:56" ht="12.75" customHeight="1" x14ac:dyDescent="0.25">
      <c r="A42" s="238">
        <v>44797.905684467594</v>
      </c>
      <c r="B42" s="137" t="s">
        <v>304</v>
      </c>
      <c r="C42" s="211" t="s">
        <v>595</v>
      </c>
      <c r="D42" s="211" t="s">
        <v>17</v>
      </c>
      <c r="E42" s="232" t="s">
        <v>515</v>
      </c>
      <c r="F42" s="188" t="s">
        <v>630</v>
      </c>
      <c r="G42" s="211" t="s">
        <v>18</v>
      </c>
      <c r="H42" s="211">
        <v>12</v>
      </c>
      <c r="I42" s="188" t="s">
        <v>518</v>
      </c>
      <c r="J42" s="188" t="s">
        <v>620</v>
      </c>
      <c r="K42" s="209" t="s">
        <v>617</v>
      </c>
      <c r="L42" s="188" t="s">
        <v>518</v>
      </c>
      <c r="M42" s="188" t="s">
        <v>412</v>
      </c>
      <c r="N42" s="188"/>
      <c r="O42" s="188"/>
      <c r="P42" s="188"/>
      <c r="Q42" s="188" t="s">
        <v>25</v>
      </c>
      <c r="R42" s="188" t="s">
        <v>306</v>
      </c>
      <c r="S42" s="234" t="s">
        <v>25</v>
      </c>
      <c r="T42" s="188" t="s">
        <v>25</v>
      </c>
      <c r="U42" s="188" t="s">
        <v>25</v>
      </c>
      <c r="V42" s="234" t="s">
        <v>25</v>
      </c>
      <c r="W42" s="188" t="s">
        <v>25</v>
      </c>
      <c r="X42" s="188" t="s">
        <v>19</v>
      </c>
      <c r="Y42" s="234" t="s">
        <v>306</v>
      </c>
      <c r="Z42" s="188" t="s">
        <v>25</v>
      </c>
      <c r="AA42" s="188" t="s">
        <v>306</v>
      </c>
      <c r="AB42" s="234" t="s">
        <v>25</v>
      </c>
      <c r="AC42" s="235" t="s">
        <v>25</v>
      </c>
      <c r="AD42" s="188" t="s">
        <v>19</v>
      </c>
      <c r="AE42" s="188" t="s">
        <v>25</v>
      </c>
      <c r="AF42" s="234" t="s">
        <v>306</v>
      </c>
      <c r="AG42" s="188" t="s">
        <v>306</v>
      </c>
      <c r="AH42" s="188" t="s">
        <v>19</v>
      </c>
      <c r="AI42" s="234" t="s">
        <v>306</v>
      </c>
      <c r="AJ42" s="188" t="s">
        <v>19</v>
      </c>
      <c r="AK42" s="188" t="s">
        <v>25</v>
      </c>
      <c r="AL42" s="234" t="s">
        <v>306</v>
      </c>
      <c r="AM42" s="188" t="s">
        <v>19</v>
      </c>
      <c r="AN42" s="188" t="s">
        <v>19</v>
      </c>
      <c r="AO42" s="234" t="s">
        <v>19</v>
      </c>
      <c r="AP42" s="235" t="s">
        <v>306</v>
      </c>
      <c r="AQ42" s="188" t="s">
        <v>19</v>
      </c>
      <c r="AR42" s="188" t="s">
        <v>25</v>
      </c>
      <c r="AS42" s="234" t="s">
        <v>306</v>
      </c>
      <c r="AT42" s="188" t="s">
        <v>25</v>
      </c>
      <c r="AU42" s="188" t="s">
        <v>25</v>
      </c>
      <c r="AV42" s="234" t="s">
        <v>25</v>
      </c>
      <c r="AW42" s="188" t="s">
        <v>306</v>
      </c>
      <c r="AX42" s="188" t="s">
        <v>25</v>
      </c>
      <c r="AY42" s="234" t="s">
        <v>25</v>
      </c>
      <c r="AZ42" s="188" t="s">
        <v>25</v>
      </c>
      <c r="BA42" s="188" t="s">
        <v>25</v>
      </c>
      <c r="BB42" s="234" t="s">
        <v>25</v>
      </c>
      <c r="BC42" s="235" t="s">
        <v>306</v>
      </c>
      <c r="BD42" s="188"/>
    </row>
    <row r="43" spans="1:56" ht="12.75" customHeight="1" x14ac:dyDescent="0.25">
      <c r="A43" s="238">
        <v>44797.934680208331</v>
      </c>
      <c r="B43" s="137" t="s">
        <v>304</v>
      </c>
      <c r="C43" s="211" t="s">
        <v>595</v>
      </c>
      <c r="D43" s="211" t="s">
        <v>17</v>
      </c>
      <c r="E43" s="232" t="s">
        <v>515</v>
      </c>
      <c r="F43" s="188" t="s">
        <v>631</v>
      </c>
      <c r="G43" s="211" t="s">
        <v>18</v>
      </c>
      <c r="H43" s="211">
        <v>12</v>
      </c>
      <c r="I43" s="188" t="s">
        <v>518</v>
      </c>
      <c r="J43" s="188" t="s">
        <v>632</v>
      </c>
      <c r="K43" s="209" t="s">
        <v>617</v>
      </c>
      <c r="L43" s="188" t="s">
        <v>518</v>
      </c>
      <c r="M43" s="188" t="s">
        <v>375</v>
      </c>
      <c r="N43" s="188"/>
      <c r="O43" s="188"/>
      <c r="P43" s="188"/>
      <c r="Q43" s="188" t="s">
        <v>25</v>
      </c>
      <c r="R43" s="188" t="s">
        <v>25</v>
      </c>
      <c r="S43" s="234" t="s">
        <v>25</v>
      </c>
      <c r="T43" s="188" t="s">
        <v>306</v>
      </c>
      <c r="U43" s="188" t="s">
        <v>25</v>
      </c>
      <c r="V43" s="234" t="s">
        <v>25</v>
      </c>
      <c r="W43" s="188" t="s">
        <v>306</v>
      </c>
      <c r="X43" s="188" t="s">
        <v>306</v>
      </c>
      <c r="Y43" s="234" t="s">
        <v>306</v>
      </c>
      <c r="Z43" s="188" t="s">
        <v>25</v>
      </c>
      <c r="AA43" s="188" t="s">
        <v>25</v>
      </c>
      <c r="AB43" s="234" t="s">
        <v>25</v>
      </c>
      <c r="AC43" s="235" t="s">
        <v>25</v>
      </c>
      <c r="AD43" s="188" t="s">
        <v>306</v>
      </c>
      <c r="AE43" s="188" t="s">
        <v>306</v>
      </c>
      <c r="AF43" s="234" t="s">
        <v>306</v>
      </c>
      <c r="AG43" s="188" t="s">
        <v>25</v>
      </c>
      <c r="AH43" s="188" t="s">
        <v>306</v>
      </c>
      <c r="AI43" s="234" t="s">
        <v>25</v>
      </c>
      <c r="AJ43" s="188" t="s">
        <v>306</v>
      </c>
      <c r="AK43" s="188" t="s">
        <v>25</v>
      </c>
      <c r="AL43" s="234" t="s">
        <v>25</v>
      </c>
      <c r="AM43" s="188" t="s">
        <v>25</v>
      </c>
      <c r="AN43" s="188" t="s">
        <v>306</v>
      </c>
      <c r="AO43" s="234" t="s">
        <v>25</v>
      </c>
      <c r="AP43" s="235" t="s">
        <v>306</v>
      </c>
      <c r="AQ43" s="188" t="s">
        <v>306</v>
      </c>
      <c r="AR43" s="188" t="s">
        <v>25</v>
      </c>
      <c r="AS43" s="234" t="s">
        <v>25</v>
      </c>
      <c r="AT43" s="188" t="s">
        <v>25</v>
      </c>
      <c r="AU43" s="188" t="s">
        <v>25</v>
      </c>
      <c r="AV43" s="234" t="s">
        <v>25</v>
      </c>
      <c r="AW43" s="188" t="s">
        <v>25</v>
      </c>
      <c r="AX43" s="188" t="s">
        <v>25</v>
      </c>
      <c r="AY43" s="234" t="s">
        <v>25</v>
      </c>
      <c r="AZ43" s="188" t="s">
        <v>306</v>
      </c>
      <c r="BA43" s="188" t="s">
        <v>25</v>
      </c>
      <c r="BB43" s="234" t="s">
        <v>25</v>
      </c>
      <c r="BC43" s="235" t="s">
        <v>306</v>
      </c>
      <c r="BD43" s="188"/>
    </row>
    <row r="44" spans="1:56" ht="12.75" customHeight="1" x14ac:dyDescent="0.25">
      <c r="A44" s="238">
        <v>44797.940715844903</v>
      </c>
      <c r="B44" s="137" t="s">
        <v>304</v>
      </c>
      <c r="C44" s="211" t="s">
        <v>595</v>
      </c>
      <c r="D44" s="211" t="s">
        <v>17</v>
      </c>
      <c r="E44" s="232" t="s">
        <v>515</v>
      </c>
      <c r="F44" s="188" t="s">
        <v>633</v>
      </c>
      <c r="G44" s="211" t="s">
        <v>18</v>
      </c>
      <c r="H44" s="211">
        <v>12</v>
      </c>
      <c r="I44" s="188" t="s">
        <v>518</v>
      </c>
      <c r="J44" s="188" t="s">
        <v>632</v>
      </c>
      <c r="K44" s="209" t="s">
        <v>617</v>
      </c>
      <c r="L44" s="188" t="s">
        <v>518</v>
      </c>
      <c r="M44" s="188" t="s">
        <v>412</v>
      </c>
      <c r="N44" s="188"/>
      <c r="O44" s="188"/>
      <c r="P44" s="188"/>
      <c r="Q44" s="188" t="s">
        <v>25</v>
      </c>
      <c r="R44" s="188" t="s">
        <v>25</v>
      </c>
      <c r="S44" s="234" t="s">
        <v>25</v>
      </c>
      <c r="T44" s="188" t="s">
        <v>25</v>
      </c>
      <c r="U44" s="188" t="s">
        <v>25</v>
      </c>
      <c r="V44" s="234" t="s">
        <v>25</v>
      </c>
      <c r="W44" s="188" t="s">
        <v>25</v>
      </c>
      <c r="X44" s="188" t="s">
        <v>19</v>
      </c>
      <c r="Y44" s="234" t="s">
        <v>306</v>
      </c>
      <c r="Z44" s="188" t="s">
        <v>25</v>
      </c>
      <c r="AA44" s="188" t="s">
        <v>25</v>
      </c>
      <c r="AB44" s="234" t="s">
        <v>25</v>
      </c>
      <c r="AC44" s="235" t="s">
        <v>25</v>
      </c>
      <c r="AD44" s="188" t="s">
        <v>25</v>
      </c>
      <c r="AE44" s="188" t="s">
        <v>25</v>
      </c>
      <c r="AF44" s="234" t="s">
        <v>25</v>
      </c>
      <c r="AG44" s="188" t="s">
        <v>19</v>
      </c>
      <c r="AH44" s="188" t="s">
        <v>25</v>
      </c>
      <c r="AI44" s="234" t="s">
        <v>306</v>
      </c>
      <c r="AJ44" s="188" t="s">
        <v>19</v>
      </c>
      <c r="AK44" s="188" t="s">
        <v>25</v>
      </c>
      <c r="AL44" s="234" t="s">
        <v>306</v>
      </c>
      <c r="AM44" s="188" t="s">
        <v>25</v>
      </c>
      <c r="AN44" s="188" t="s">
        <v>25</v>
      </c>
      <c r="AO44" s="234" t="s">
        <v>25</v>
      </c>
      <c r="AP44" s="235" t="s">
        <v>25</v>
      </c>
      <c r="AQ44" s="188" t="s">
        <v>19</v>
      </c>
      <c r="AR44" s="188" t="s">
        <v>25</v>
      </c>
      <c r="AS44" s="234" t="s">
        <v>306</v>
      </c>
      <c r="AT44" s="188" t="s">
        <v>25</v>
      </c>
      <c r="AU44" s="188" t="s">
        <v>25</v>
      </c>
      <c r="AV44" s="234" t="s">
        <v>25</v>
      </c>
      <c r="AW44" s="188" t="s">
        <v>25</v>
      </c>
      <c r="AX44" s="188" t="s">
        <v>25</v>
      </c>
      <c r="AY44" s="234" t="s">
        <v>25</v>
      </c>
      <c r="AZ44" s="188" t="s">
        <v>25</v>
      </c>
      <c r="BA44" s="188" t="s">
        <v>25</v>
      </c>
      <c r="BB44" s="234" t="s">
        <v>25</v>
      </c>
      <c r="BC44" s="235" t="s">
        <v>306</v>
      </c>
      <c r="BD44" s="188"/>
    </row>
    <row r="45" spans="1:56" ht="12.75" customHeight="1" x14ac:dyDescent="0.25">
      <c r="A45" s="238">
        <v>44797.971910428241</v>
      </c>
      <c r="B45" s="137" t="s">
        <v>304</v>
      </c>
      <c r="C45" s="211" t="s">
        <v>595</v>
      </c>
      <c r="D45" s="211" t="s">
        <v>17</v>
      </c>
      <c r="E45" s="232" t="s">
        <v>515</v>
      </c>
      <c r="F45" s="188" t="s">
        <v>634</v>
      </c>
      <c r="G45" s="211" t="s">
        <v>24</v>
      </c>
      <c r="H45" s="211">
        <v>11</v>
      </c>
      <c r="I45" s="188" t="s">
        <v>518</v>
      </c>
      <c r="J45" s="188" t="s">
        <v>632</v>
      </c>
      <c r="K45" s="209" t="s">
        <v>617</v>
      </c>
      <c r="L45" s="188" t="s">
        <v>518</v>
      </c>
      <c r="M45" s="188" t="s">
        <v>412</v>
      </c>
      <c r="N45" s="188"/>
      <c r="O45" s="188"/>
      <c r="P45" s="188"/>
      <c r="Q45" s="188" t="s">
        <v>25</v>
      </c>
      <c r="R45" s="188" t="s">
        <v>25</v>
      </c>
      <c r="S45" s="234" t="s">
        <v>25</v>
      </c>
      <c r="T45" s="188" t="s">
        <v>19</v>
      </c>
      <c r="U45" s="188" t="s">
        <v>25</v>
      </c>
      <c r="V45" s="234" t="s">
        <v>306</v>
      </c>
      <c r="W45" s="188" t="s">
        <v>306</v>
      </c>
      <c r="X45" s="188" t="s">
        <v>25</v>
      </c>
      <c r="Y45" s="234" t="s">
        <v>25</v>
      </c>
      <c r="Z45" s="188" t="s">
        <v>306</v>
      </c>
      <c r="AA45" s="188" t="s">
        <v>19</v>
      </c>
      <c r="AB45" s="234" t="s">
        <v>306</v>
      </c>
      <c r="AC45" s="235" t="s">
        <v>306</v>
      </c>
      <c r="AD45" s="188" t="s">
        <v>306</v>
      </c>
      <c r="AE45" s="188" t="s">
        <v>25</v>
      </c>
      <c r="AF45" s="234" t="s">
        <v>25</v>
      </c>
      <c r="AG45" s="188" t="s">
        <v>306</v>
      </c>
      <c r="AH45" s="188" t="s">
        <v>19</v>
      </c>
      <c r="AI45" s="234" t="s">
        <v>306</v>
      </c>
      <c r="AJ45" s="188" t="s">
        <v>306</v>
      </c>
      <c r="AK45" s="188" t="s">
        <v>19</v>
      </c>
      <c r="AL45" s="234" t="s">
        <v>306</v>
      </c>
      <c r="AM45" s="188" t="s">
        <v>19</v>
      </c>
      <c r="AN45" s="188" t="s">
        <v>19</v>
      </c>
      <c r="AO45" s="234" t="s">
        <v>19</v>
      </c>
      <c r="AP45" s="235" t="s">
        <v>306</v>
      </c>
      <c r="AQ45" s="188" t="s">
        <v>25</v>
      </c>
      <c r="AR45" s="188" t="s">
        <v>306</v>
      </c>
      <c r="AS45" s="234" t="s">
        <v>25</v>
      </c>
      <c r="AT45" s="188" t="s">
        <v>25</v>
      </c>
      <c r="AU45" s="188" t="s">
        <v>25</v>
      </c>
      <c r="AV45" s="234" t="s">
        <v>25</v>
      </c>
      <c r="AW45" s="188" t="s">
        <v>19</v>
      </c>
      <c r="AX45" s="188" t="s">
        <v>306</v>
      </c>
      <c r="AY45" s="234" t="s">
        <v>306</v>
      </c>
      <c r="AZ45" s="188" t="s">
        <v>25</v>
      </c>
      <c r="BA45" s="188" t="s">
        <v>25</v>
      </c>
      <c r="BB45" s="234" t="s">
        <v>25</v>
      </c>
      <c r="BC45" s="235" t="s">
        <v>25</v>
      </c>
      <c r="BD45" s="188"/>
    </row>
    <row r="46" spans="1:56" ht="12.75" customHeight="1" x14ac:dyDescent="0.25">
      <c r="A46" s="238">
        <v>45265.474715856486</v>
      </c>
      <c r="B46" s="233" t="s">
        <v>384</v>
      </c>
      <c r="C46" s="209" t="s">
        <v>587</v>
      </c>
      <c r="D46" s="232" t="s">
        <v>17</v>
      </c>
      <c r="E46" s="232" t="s">
        <v>515</v>
      </c>
      <c r="F46" s="209" t="s">
        <v>635</v>
      </c>
      <c r="G46" s="232" t="s">
        <v>18</v>
      </c>
      <c r="H46" s="232">
        <v>11</v>
      </c>
      <c r="I46" s="209" t="s">
        <v>518</v>
      </c>
      <c r="J46" s="209" t="s">
        <v>636</v>
      </c>
      <c r="K46" s="209" t="s">
        <v>617</v>
      </c>
      <c r="L46" s="209" t="s">
        <v>518</v>
      </c>
      <c r="M46" s="209" t="s">
        <v>368</v>
      </c>
      <c r="N46" s="209" t="s">
        <v>401</v>
      </c>
      <c r="O46" s="209"/>
      <c r="P46" s="209"/>
      <c r="Q46" s="209" t="s">
        <v>25</v>
      </c>
      <c r="R46" s="209" t="s">
        <v>19</v>
      </c>
      <c r="S46" s="234" t="s">
        <v>306</v>
      </c>
      <c r="T46" s="209" t="s">
        <v>25</v>
      </c>
      <c r="U46" s="209" t="s">
        <v>19</v>
      </c>
      <c r="V46" s="234" t="s">
        <v>306</v>
      </c>
      <c r="W46" s="209" t="s">
        <v>19</v>
      </c>
      <c r="X46" s="209" t="s">
        <v>19</v>
      </c>
      <c r="Y46" s="234" t="s">
        <v>19</v>
      </c>
      <c r="Z46" s="209" t="s">
        <v>25</v>
      </c>
      <c r="AA46" s="209" t="s">
        <v>19</v>
      </c>
      <c r="AB46" s="234" t="s">
        <v>306</v>
      </c>
      <c r="AC46" s="235" t="s">
        <v>306</v>
      </c>
      <c r="AD46" s="209" t="s">
        <v>25</v>
      </c>
      <c r="AE46" s="209" t="s">
        <v>25</v>
      </c>
      <c r="AF46" s="234" t="s">
        <v>25</v>
      </c>
      <c r="AG46" s="209" t="s">
        <v>25</v>
      </c>
      <c r="AH46" s="209" t="s">
        <v>25</v>
      </c>
      <c r="AI46" s="234" t="s">
        <v>25</v>
      </c>
      <c r="AJ46" s="209" t="s">
        <v>25</v>
      </c>
      <c r="AK46" s="209" t="s">
        <v>25</v>
      </c>
      <c r="AL46" s="234" t="s">
        <v>25</v>
      </c>
      <c r="AM46" s="209" t="s">
        <v>25</v>
      </c>
      <c r="AN46" s="209" t="s">
        <v>25</v>
      </c>
      <c r="AO46" s="234" t="s">
        <v>25</v>
      </c>
      <c r="AP46" s="235" t="s">
        <v>25</v>
      </c>
      <c r="AQ46" s="209" t="s">
        <v>25</v>
      </c>
      <c r="AR46" s="209" t="s">
        <v>25</v>
      </c>
      <c r="AS46" s="234" t="s">
        <v>25</v>
      </c>
      <c r="AT46" s="209" t="s">
        <v>25</v>
      </c>
      <c r="AU46" s="209" t="s">
        <v>25</v>
      </c>
      <c r="AV46" s="234" t="s">
        <v>25</v>
      </c>
      <c r="AW46" s="209" t="s">
        <v>25</v>
      </c>
      <c r="AX46" s="209" t="s">
        <v>25</v>
      </c>
      <c r="AY46" s="234" t="s">
        <v>25</v>
      </c>
      <c r="AZ46" s="209" t="s">
        <v>306</v>
      </c>
      <c r="BA46" s="209" t="s">
        <v>19</v>
      </c>
      <c r="BB46" s="234" t="s">
        <v>25</v>
      </c>
      <c r="BC46" s="235" t="s">
        <v>306</v>
      </c>
      <c r="BD46" s="188"/>
    </row>
    <row r="47" spans="1:56" ht="12.75" customHeight="1" x14ac:dyDescent="0.25">
      <c r="A47" s="238">
        <v>45267.739116932869</v>
      </c>
      <c r="B47" s="233" t="s">
        <v>384</v>
      </c>
      <c r="C47" s="232" t="s">
        <v>587</v>
      </c>
      <c r="D47" s="232" t="s">
        <v>17</v>
      </c>
      <c r="E47" s="232" t="s">
        <v>605</v>
      </c>
      <c r="F47" s="209" t="s">
        <v>637</v>
      </c>
      <c r="G47" s="232" t="s">
        <v>24</v>
      </c>
      <c r="H47" s="232">
        <v>15</v>
      </c>
      <c r="I47" s="209" t="s">
        <v>518</v>
      </c>
      <c r="J47" s="209" t="s">
        <v>616</v>
      </c>
      <c r="K47" s="209" t="s">
        <v>617</v>
      </c>
      <c r="L47" s="209" t="s">
        <v>531</v>
      </c>
      <c r="M47" s="188"/>
      <c r="N47" s="188"/>
      <c r="O47" s="232" t="s">
        <v>518</v>
      </c>
      <c r="P47" s="209" t="s">
        <v>638</v>
      </c>
      <c r="Q47" s="209" t="s">
        <v>25</v>
      </c>
      <c r="R47" s="209" t="s">
        <v>25</v>
      </c>
      <c r="S47" s="234" t="s">
        <v>25</v>
      </c>
      <c r="T47" s="209" t="s">
        <v>306</v>
      </c>
      <c r="U47" s="209" t="s">
        <v>25</v>
      </c>
      <c r="V47" s="234" t="s">
        <v>25</v>
      </c>
      <c r="W47" s="209" t="s">
        <v>25</v>
      </c>
      <c r="X47" s="209" t="s">
        <v>25</v>
      </c>
      <c r="Y47" s="234" t="s">
        <v>25</v>
      </c>
      <c r="Z47" s="209" t="s">
        <v>25</v>
      </c>
      <c r="AA47" s="209" t="s">
        <v>25</v>
      </c>
      <c r="AB47" s="234" t="s">
        <v>25</v>
      </c>
      <c r="AC47" s="235" t="s">
        <v>25</v>
      </c>
      <c r="AD47" s="209" t="s">
        <v>25</v>
      </c>
      <c r="AE47" s="209" t="s">
        <v>25</v>
      </c>
      <c r="AF47" s="234" t="s">
        <v>25</v>
      </c>
      <c r="AG47" s="209" t="s">
        <v>306</v>
      </c>
      <c r="AH47" s="209" t="s">
        <v>306</v>
      </c>
      <c r="AI47" s="234" t="s">
        <v>306</v>
      </c>
      <c r="AJ47" s="209" t="s">
        <v>25</v>
      </c>
      <c r="AK47" s="209" t="s">
        <v>306</v>
      </c>
      <c r="AL47" s="234" t="s">
        <v>25</v>
      </c>
      <c r="AM47" s="209" t="s">
        <v>19</v>
      </c>
      <c r="AN47" s="209" t="s">
        <v>306</v>
      </c>
      <c r="AO47" s="234" t="s">
        <v>306</v>
      </c>
      <c r="AP47" s="235" t="s">
        <v>306</v>
      </c>
      <c r="AQ47" s="209" t="s">
        <v>25</v>
      </c>
      <c r="AR47" s="209" t="s">
        <v>25</v>
      </c>
      <c r="AS47" s="234" t="s">
        <v>25</v>
      </c>
      <c r="AT47" s="209" t="s">
        <v>25</v>
      </c>
      <c r="AU47" s="209" t="s">
        <v>25</v>
      </c>
      <c r="AV47" s="234" t="s">
        <v>25</v>
      </c>
      <c r="AW47" s="209" t="s">
        <v>25</v>
      </c>
      <c r="AX47" s="209" t="s">
        <v>306</v>
      </c>
      <c r="AY47" s="234" t="s">
        <v>25</v>
      </c>
      <c r="AZ47" s="209" t="s">
        <v>25</v>
      </c>
      <c r="BA47" s="209" t="s">
        <v>25</v>
      </c>
      <c r="BB47" s="234" t="s">
        <v>25</v>
      </c>
      <c r="BC47" s="235" t="s">
        <v>25</v>
      </c>
      <c r="BD47" s="188"/>
    </row>
    <row r="48" spans="1:56" ht="12.75" customHeight="1" x14ac:dyDescent="0.25">
      <c r="A48" s="211">
        <v>18</v>
      </c>
      <c r="B48" s="137" t="s">
        <v>384</v>
      </c>
      <c r="C48" s="211" t="s">
        <v>595</v>
      </c>
      <c r="D48" s="211" t="s">
        <v>17</v>
      </c>
      <c r="E48" s="232" t="s">
        <v>605</v>
      </c>
      <c r="F48" s="188" t="s">
        <v>639</v>
      </c>
      <c r="G48" s="211" t="s">
        <v>18</v>
      </c>
      <c r="H48" s="211">
        <v>21</v>
      </c>
      <c r="I48" s="188" t="s">
        <v>518</v>
      </c>
      <c r="J48" s="188" t="s">
        <v>620</v>
      </c>
      <c r="K48" s="209" t="s">
        <v>617</v>
      </c>
      <c r="L48" s="188" t="s">
        <v>518</v>
      </c>
      <c r="M48" s="188" t="s">
        <v>368</v>
      </c>
      <c r="N48" s="188"/>
      <c r="O48" s="211" t="s">
        <v>531</v>
      </c>
      <c r="P48" s="188" t="s">
        <v>640</v>
      </c>
      <c r="Q48" s="188" t="s">
        <v>19</v>
      </c>
      <c r="R48" s="188" t="s">
        <v>306</v>
      </c>
      <c r="S48" s="234" t="s">
        <v>306</v>
      </c>
      <c r="T48" s="188" t="s">
        <v>306</v>
      </c>
      <c r="U48" s="188" t="s">
        <v>306</v>
      </c>
      <c r="V48" s="234" t="s">
        <v>306</v>
      </c>
      <c r="W48" s="188" t="s">
        <v>306</v>
      </c>
      <c r="X48" s="188" t="s">
        <v>306</v>
      </c>
      <c r="Y48" s="234" t="s">
        <v>306</v>
      </c>
      <c r="Z48" s="188" t="s">
        <v>306</v>
      </c>
      <c r="AA48" s="188" t="s">
        <v>306</v>
      </c>
      <c r="AB48" s="234" t="s">
        <v>306</v>
      </c>
      <c r="AC48" s="235" t="s">
        <v>306</v>
      </c>
      <c r="AD48" s="188" t="s">
        <v>19</v>
      </c>
      <c r="AE48" s="188" t="s">
        <v>306</v>
      </c>
      <c r="AF48" s="234" t="s">
        <v>306</v>
      </c>
      <c r="AG48" s="188" t="s">
        <v>19</v>
      </c>
      <c r="AH48" s="188" t="s">
        <v>19</v>
      </c>
      <c r="AI48" s="234" t="s">
        <v>19</v>
      </c>
      <c r="AJ48" s="188" t="s">
        <v>25</v>
      </c>
      <c r="AK48" s="188" t="s">
        <v>306</v>
      </c>
      <c r="AL48" s="234" t="s">
        <v>25</v>
      </c>
      <c r="AM48" s="188" t="s">
        <v>19</v>
      </c>
      <c r="AN48" s="188" t="s">
        <v>306</v>
      </c>
      <c r="AO48" s="234" t="s">
        <v>306</v>
      </c>
      <c r="AP48" s="235" t="s">
        <v>306</v>
      </c>
      <c r="AQ48" s="188" t="s">
        <v>25</v>
      </c>
      <c r="AR48" s="188" t="s">
        <v>25</v>
      </c>
      <c r="AS48" s="234" t="s">
        <v>25</v>
      </c>
      <c r="AT48" s="188" t="s">
        <v>25</v>
      </c>
      <c r="AU48" s="188" t="s">
        <v>25</v>
      </c>
      <c r="AV48" s="234" t="s">
        <v>25</v>
      </c>
      <c r="AW48" s="188" t="s">
        <v>306</v>
      </c>
      <c r="AX48" s="188" t="s">
        <v>306</v>
      </c>
      <c r="AY48" s="234" t="s">
        <v>306</v>
      </c>
      <c r="AZ48" s="188" t="s">
        <v>25</v>
      </c>
      <c r="BA48" s="188" t="s">
        <v>25</v>
      </c>
      <c r="BB48" s="234" t="s">
        <v>306</v>
      </c>
      <c r="BC48" s="235" t="s">
        <v>306</v>
      </c>
      <c r="BD48" s="188"/>
    </row>
    <row r="49" spans="1:56" ht="12.75" customHeight="1" x14ac:dyDescent="0.25">
      <c r="A49" s="238">
        <v>45260.403567118061</v>
      </c>
      <c r="B49" s="233" t="s">
        <v>395</v>
      </c>
      <c r="C49" s="209" t="s">
        <v>587</v>
      </c>
      <c r="D49" s="232" t="s">
        <v>17</v>
      </c>
      <c r="E49" s="232" t="s">
        <v>515</v>
      </c>
      <c r="F49" s="209" t="s">
        <v>641</v>
      </c>
      <c r="G49" s="232" t="s">
        <v>24</v>
      </c>
      <c r="H49" s="232">
        <v>12</v>
      </c>
      <c r="I49" s="209" t="s">
        <v>518</v>
      </c>
      <c r="J49" s="209" t="s">
        <v>616</v>
      </c>
      <c r="K49" s="209" t="s">
        <v>617</v>
      </c>
      <c r="L49" s="209" t="s">
        <v>531</v>
      </c>
      <c r="M49" s="188"/>
      <c r="N49" s="188"/>
      <c r="O49" s="188"/>
      <c r="P49" s="188"/>
      <c r="Q49" s="209" t="s">
        <v>25</v>
      </c>
      <c r="R49" s="209" t="s">
        <v>25</v>
      </c>
      <c r="S49" s="234" t="s">
        <v>25</v>
      </c>
      <c r="T49" s="209" t="s">
        <v>25</v>
      </c>
      <c r="U49" s="209" t="s">
        <v>25</v>
      </c>
      <c r="V49" s="234" t="s">
        <v>25</v>
      </c>
      <c r="W49" s="209" t="s">
        <v>19</v>
      </c>
      <c r="X49" s="209" t="s">
        <v>25</v>
      </c>
      <c r="Y49" s="234" t="s">
        <v>306</v>
      </c>
      <c r="Z49" s="209" t="s">
        <v>19</v>
      </c>
      <c r="AA49" s="209" t="s">
        <v>25</v>
      </c>
      <c r="AB49" s="234" t="s">
        <v>306</v>
      </c>
      <c r="AC49" s="235" t="s">
        <v>25</v>
      </c>
      <c r="AD49" s="209" t="s">
        <v>25</v>
      </c>
      <c r="AE49" s="209" t="s">
        <v>25</v>
      </c>
      <c r="AF49" s="234" t="s">
        <v>25</v>
      </c>
      <c r="AG49" s="209" t="s">
        <v>306</v>
      </c>
      <c r="AH49" s="209" t="s">
        <v>25</v>
      </c>
      <c r="AI49" s="234" t="s">
        <v>25</v>
      </c>
      <c r="AJ49" s="209" t="s">
        <v>25</v>
      </c>
      <c r="AK49" s="209" t="s">
        <v>306</v>
      </c>
      <c r="AL49" s="234" t="s">
        <v>25</v>
      </c>
      <c r="AM49" s="209" t="s">
        <v>19</v>
      </c>
      <c r="AN49" s="209" t="s">
        <v>19</v>
      </c>
      <c r="AO49" s="234" t="s">
        <v>19</v>
      </c>
      <c r="AP49" s="235" t="s">
        <v>306</v>
      </c>
      <c r="AQ49" s="209" t="s">
        <v>25</v>
      </c>
      <c r="AR49" s="209" t="s">
        <v>19</v>
      </c>
      <c r="AS49" s="234" t="s">
        <v>306</v>
      </c>
      <c r="AT49" s="209" t="s">
        <v>25</v>
      </c>
      <c r="AU49" s="209" t="s">
        <v>25</v>
      </c>
      <c r="AV49" s="234" t="s">
        <v>25</v>
      </c>
      <c r="AW49" s="209" t="s">
        <v>25</v>
      </c>
      <c r="AX49" s="209" t="s">
        <v>25</v>
      </c>
      <c r="AY49" s="234" t="s">
        <v>25</v>
      </c>
      <c r="AZ49" s="209" t="s">
        <v>25</v>
      </c>
      <c r="BA49" s="209" t="s">
        <v>25</v>
      </c>
      <c r="BB49" s="234" t="s">
        <v>306</v>
      </c>
      <c r="BC49" s="235" t="s">
        <v>306</v>
      </c>
      <c r="BD49" s="188"/>
    </row>
    <row r="50" spans="1:56" ht="12.75" customHeight="1" x14ac:dyDescent="0.25">
      <c r="A50" s="238">
        <v>45260.409306493057</v>
      </c>
      <c r="B50" s="233" t="s">
        <v>395</v>
      </c>
      <c r="C50" s="209" t="s">
        <v>587</v>
      </c>
      <c r="D50" s="232" t="s">
        <v>17</v>
      </c>
      <c r="E50" s="232" t="s">
        <v>515</v>
      </c>
      <c r="F50" s="209" t="s">
        <v>642</v>
      </c>
      <c r="G50" s="232" t="s">
        <v>18</v>
      </c>
      <c r="H50" s="232">
        <v>12</v>
      </c>
      <c r="I50" s="209" t="s">
        <v>518</v>
      </c>
      <c r="J50" s="209" t="s">
        <v>527</v>
      </c>
      <c r="K50" s="209" t="s">
        <v>617</v>
      </c>
      <c r="L50" s="209" t="s">
        <v>531</v>
      </c>
      <c r="M50" s="188"/>
      <c r="N50" s="188"/>
      <c r="O50" s="188"/>
      <c r="P50" s="188"/>
      <c r="Q50" s="209" t="s">
        <v>306</v>
      </c>
      <c r="R50" s="209" t="s">
        <v>19</v>
      </c>
      <c r="S50" s="234" t="s">
        <v>306</v>
      </c>
      <c r="T50" s="209" t="s">
        <v>306</v>
      </c>
      <c r="U50" s="209" t="s">
        <v>25</v>
      </c>
      <c r="V50" s="234" t="s">
        <v>25</v>
      </c>
      <c r="W50" s="209" t="s">
        <v>19</v>
      </c>
      <c r="X50" s="209" t="s">
        <v>19</v>
      </c>
      <c r="Y50" s="234" t="s">
        <v>19</v>
      </c>
      <c r="Z50" s="209" t="s">
        <v>19</v>
      </c>
      <c r="AA50" s="209" t="s">
        <v>19</v>
      </c>
      <c r="AB50" s="234" t="s">
        <v>19</v>
      </c>
      <c r="AC50" s="235" t="s">
        <v>306</v>
      </c>
      <c r="AD50" s="209" t="s">
        <v>306</v>
      </c>
      <c r="AE50" s="209" t="s">
        <v>25</v>
      </c>
      <c r="AF50" s="234" t="s">
        <v>25</v>
      </c>
      <c r="AG50" s="209" t="s">
        <v>19</v>
      </c>
      <c r="AH50" s="209" t="s">
        <v>19</v>
      </c>
      <c r="AI50" s="234" t="s">
        <v>19</v>
      </c>
      <c r="AJ50" s="209" t="s">
        <v>19</v>
      </c>
      <c r="AK50" s="209" t="s">
        <v>19</v>
      </c>
      <c r="AL50" s="234" t="s">
        <v>19</v>
      </c>
      <c r="AM50" s="209" t="s">
        <v>19</v>
      </c>
      <c r="AN50" s="209" t="s">
        <v>19</v>
      </c>
      <c r="AO50" s="234" t="s">
        <v>19</v>
      </c>
      <c r="AP50" s="235" t="s">
        <v>19</v>
      </c>
      <c r="AQ50" s="209" t="s">
        <v>25</v>
      </c>
      <c r="AR50" s="209" t="s">
        <v>19</v>
      </c>
      <c r="AS50" s="234" t="s">
        <v>306</v>
      </c>
      <c r="AT50" s="209" t="s">
        <v>25</v>
      </c>
      <c r="AU50" s="209" t="s">
        <v>25</v>
      </c>
      <c r="AV50" s="234" t="s">
        <v>25</v>
      </c>
      <c r="AW50" s="209" t="s">
        <v>25</v>
      </c>
      <c r="AX50" s="209" t="s">
        <v>25</v>
      </c>
      <c r="AY50" s="234" t="s">
        <v>25</v>
      </c>
      <c r="AZ50" s="209" t="s">
        <v>19</v>
      </c>
      <c r="BA50" s="209" t="s">
        <v>25</v>
      </c>
      <c r="BB50" s="234" t="s">
        <v>306</v>
      </c>
      <c r="BC50" s="235" t="s">
        <v>19</v>
      </c>
      <c r="BD50" s="188"/>
    </row>
    <row r="51" spans="1:56" ht="12.75" customHeight="1" x14ac:dyDescent="0.25">
      <c r="A51" s="238">
        <v>45260.496182546296</v>
      </c>
      <c r="B51" s="233" t="s">
        <v>395</v>
      </c>
      <c r="C51" s="209" t="s">
        <v>587</v>
      </c>
      <c r="D51" s="232" t="s">
        <v>17</v>
      </c>
      <c r="E51" s="232" t="s">
        <v>515</v>
      </c>
      <c r="F51" s="209" t="s">
        <v>643</v>
      </c>
      <c r="G51" s="232" t="s">
        <v>24</v>
      </c>
      <c r="H51" s="232">
        <v>11</v>
      </c>
      <c r="I51" s="209" t="s">
        <v>518</v>
      </c>
      <c r="J51" s="209" t="s">
        <v>616</v>
      </c>
      <c r="K51" s="209" t="s">
        <v>617</v>
      </c>
      <c r="L51" s="209" t="s">
        <v>531</v>
      </c>
      <c r="M51" s="188"/>
      <c r="N51" s="188"/>
      <c r="O51" s="188"/>
      <c r="P51" s="188"/>
      <c r="Q51" s="209" t="s">
        <v>306</v>
      </c>
      <c r="R51" s="209" t="s">
        <v>306</v>
      </c>
      <c r="S51" s="234" t="s">
        <v>306</v>
      </c>
      <c r="T51" s="209" t="s">
        <v>306</v>
      </c>
      <c r="U51" s="209" t="s">
        <v>25</v>
      </c>
      <c r="V51" s="234" t="s">
        <v>25</v>
      </c>
      <c r="W51" s="209" t="s">
        <v>19</v>
      </c>
      <c r="X51" s="209" t="s">
        <v>306</v>
      </c>
      <c r="Y51" s="234" t="s">
        <v>306</v>
      </c>
      <c r="Z51" s="209" t="s">
        <v>25</v>
      </c>
      <c r="AA51" s="209" t="s">
        <v>19</v>
      </c>
      <c r="AB51" s="234" t="s">
        <v>306</v>
      </c>
      <c r="AC51" s="235" t="s">
        <v>306</v>
      </c>
      <c r="AD51" s="209" t="s">
        <v>306</v>
      </c>
      <c r="AE51" s="209" t="s">
        <v>25</v>
      </c>
      <c r="AF51" s="234" t="s">
        <v>25</v>
      </c>
      <c r="AG51" s="209" t="s">
        <v>19</v>
      </c>
      <c r="AH51" s="209" t="s">
        <v>19</v>
      </c>
      <c r="AI51" s="234" t="s">
        <v>19</v>
      </c>
      <c r="AJ51" s="209" t="s">
        <v>19</v>
      </c>
      <c r="AK51" s="209" t="s">
        <v>306</v>
      </c>
      <c r="AL51" s="234" t="s">
        <v>306</v>
      </c>
      <c r="AM51" s="209" t="s">
        <v>19</v>
      </c>
      <c r="AN51" s="209" t="s">
        <v>19</v>
      </c>
      <c r="AO51" s="234" t="s">
        <v>19</v>
      </c>
      <c r="AP51" s="235" t="s">
        <v>306</v>
      </c>
      <c r="AQ51" s="209" t="s">
        <v>25</v>
      </c>
      <c r="AR51" s="209" t="s">
        <v>25</v>
      </c>
      <c r="AS51" s="234" t="s">
        <v>25</v>
      </c>
      <c r="AT51" s="209" t="s">
        <v>25</v>
      </c>
      <c r="AU51" s="209" t="s">
        <v>25</v>
      </c>
      <c r="AV51" s="234" t="s">
        <v>25</v>
      </c>
      <c r="AW51" s="209" t="s">
        <v>25</v>
      </c>
      <c r="AX51" s="209" t="s">
        <v>25</v>
      </c>
      <c r="AY51" s="234" t="s">
        <v>25</v>
      </c>
      <c r="AZ51" s="209" t="s">
        <v>306</v>
      </c>
      <c r="BA51" s="209" t="s">
        <v>25</v>
      </c>
      <c r="BB51" s="234" t="s">
        <v>25</v>
      </c>
      <c r="BC51" s="235" t="s">
        <v>306</v>
      </c>
      <c r="BD51" s="188"/>
    </row>
    <row r="52" spans="1:56" ht="12.75" customHeight="1" x14ac:dyDescent="0.25">
      <c r="A52" s="238">
        <v>45271.733766423611</v>
      </c>
      <c r="B52" s="233" t="s">
        <v>395</v>
      </c>
      <c r="C52" s="209" t="s">
        <v>587</v>
      </c>
      <c r="D52" s="232" t="s">
        <v>17</v>
      </c>
      <c r="E52" s="232" t="s">
        <v>515</v>
      </c>
      <c r="F52" s="209" t="s">
        <v>644</v>
      </c>
      <c r="G52" s="232" t="s">
        <v>18</v>
      </c>
      <c r="H52" s="232">
        <v>12</v>
      </c>
      <c r="I52" s="209" t="s">
        <v>518</v>
      </c>
      <c r="J52" s="209" t="s">
        <v>620</v>
      </c>
      <c r="K52" s="209" t="s">
        <v>617</v>
      </c>
      <c r="L52" s="209" t="s">
        <v>531</v>
      </c>
      <c r="M52" s="188"/>
      <c r="N52" s="188"/>
      <c r="O52" s="188"/>
      <c r="P52" s="188"/>
      <c r="Q52" s="209" t="s">
        <v>25</v>
      </c>
      <c r="R52" s="209" t="s">
        <v>19</v>
      </c>
      <c r="S52" s="234" t="s">
        <v>306</v>
      </c>
      <c r="T52" s="209" t="s">
        <v>306</v>
      </c>
      <c r="U52" s="209" t="s">
        <v>25</v>
      </c>
      <c r="V52" s="234" t="s">
        <v>25</v>
      </c>
      <c r="W52" s="209" t="s">
        <v>306</v>
      </c>
      <c r="X52" s="209" t="s">
        <v>306</v>
      </c>
      <c r="Y52" s="234" t="s">
        <v>306</v>
      </c>
      <c r="Z52" s="209" t="s">
        <v>19</v>
      </c>
      <c r="AA52" s="209" t="s">
        <v>19</v>
      </c>
      <c r="AB52" s="234" t="s">
        <v>19</v>
      </c>
      <c r="AC52" s="235" t="s">
        <v>306</v>
      </c>
      <c r="AD52" s="209" t="s">
        <v>306</v>
      </c>
      <c r="AE52" s="209" t="s">
        <v>25</v>
      </c>
      <c r="AF52" s="234" t="s">
        <v>25</v>
      </c>
      <c r="AG52" s="209" t="s">
        <v>19</v>
      </c>
      <c r="AH52" s="209" t="s">
        <v>19</v>
      </c>
      <c r="AI52" s="234" t="s">
        <v>19</v>
      </c>
      <c r="AJ52" s="209" t="s">
        <v>19</v>
      </c>
      <c r="AK52" s="209" t="s">
        <v>19</v>
      </c>
      <c r="AL52" s="234" t="s">
        <v>19</v>
      </c>
      <c r="AM52" s="209" t="s">
        <v>19</v>
      </c>
      <c r="AN52" s="209" t="s">
        <v>19</v>
      </c>
      <c r="AO52" s="234" t="s">
        <v>19</v>
      </c>
      <c r="AP52" s="235" t="s">
        <v>19</v>
      </c>
      <c r="AQ52" s="209" t="s">
        <v>19</v>
      </c>
      <c r="AR52" s="209" t="s">
        <v>25</v>
      </c>
      <c r="AS52" s="234" t="s">
        <v>306</v>
      </c>
      <c r="AT52" s="209" t="s">
        <v>306</v>
      </c>
      <c r="AU52" s="209" t="s">
        <v>19</v>
      </c>
      <c r="AV52" s="234" t="s">
        <v>306</v>
      </c>
      <c r="AW52" s="209" t="s">
        <v>19</v>
      </c>
      <c r="AX52" s="209" t="s">
        <v>19</v>
      </c>
      <c r="AY52" s="234" t="s">
        <v>19</v>
      </c>
      <c r="AZ52" s="209" t="s">
        <v>25</v>
      </c>
      <c r="BA52" s="209" t="s">
        <v>306</v>
      </c>
      <c r="BB52" s="234" t="s">
        <v>306</v>
      </c>
      <c r="BC52" s="235" t="s">
        <v>306</v>
      </c>
      <c r="BD52" s="188"/>
    </row>
    <row r="53" spans="1:56" ht="12.75" customHeight="1" x14ac:dyDescent="0.25">
      <c r="A53" s="238">
        <v>45271.905450069447</v>
      </c>
      <c r="B53" s="233" t="s">
        <v>395</v>
      </c>
      <c r="C53" s="209" t="s">
        <v>587</v>
      </c>
      <c r="D53" s="232" t="s">
        <v>17</v>
      </c>
      <c r="E53" s="232" t="s">
        <v>515</v>
      </c>
      <c r="F53" s="209" t="s">
        <v>645</v>
      </c>
      <c r="G53" s="232" t="s">
        <v>18</v>
      </c>
      <c r="H53" s="232">
        <v>12</v>
      </c>
      <c r="I53" s="209" t="s">
        <v>518</v>
      </c>
      <c r="J53" s="209" t="s">
        <v>636</v>
      </c>
      <c r="K53" s="209" t="s">
        <v>617</v>
      </c>
      <c r="L53" s="209" t="s">
        <v>531</v>
      </c>
      <c r="M53" s="188"/>
      <c r="N53" s="188"/>
      <c r="O53" s="188"/>
      <c r="P53" s="188"/>
      <c r="Q53" s="209" t="s">
        <v>306</v>
      </c>
      <c r="R53" s="209" t="s">
        <v>306</v>
      </c>
      <c r="S53" s="234" t="s">
        <v>306</v>
      </c>
      <c r="T53" s="209" t="s">
        <v>306</v>
      </c>
      <c r="U53" s="209" t="s">
        <v>25</v>
      </c>
      <c r="V53" s="234" t="s">
        <v>25</v>
      </c>
      <c r="W53" s="209" t="s">
        <v>25</v>
      </c>
      <c r="X53" s="209" t="s">
        <v>306</v>
      </c>
      <c r="Y53" s="234" t="s">
        <v>25</v>
      </c>
      <c r="Z53" s="209" t="s">
        <v>306</v>
      </c>
      <c r="AA53" s="209" t="s">
        <v>306</v>
      </c>
      <c r="AB53" s="234" t="s">
        <v>306</v>
      </c>
      <c r="AC53" s="235" t="s">
        <v>306</v>
      </c>
      <c r="AD53" s="209" t="s">
        <v>306</v>
      </c>
      <c r="AE53" s="209" t="s">
        <v>306</v>
      </c>
      <c r="AF53" s="234" t="s">
        <v>306</v>
      </c>
      <c r="AG53" s="209" t="s">
        <v>19</v>
      </c>
      <c r="AH53" s="209" t="s">
        <v>306</v>
      </c>
      <c r="AI53" s="234" t="s">
        <v>306</v>
      </c>
      <c r="AJ53" s="209" t="s">
        <v>306</v>
      </c>
      <c r="AK53" s="209" t="s">
        <v>306</v>
      </c>
      <c r="AL53" s="234" t="s">
        <v>306</v>
      </c>
      <c r="AM53" s="209" t="s">
        <v>19</v>
      </c>
      <c r="AN53" s="209" t="s">
        <v>306</v>
      </c>
      <c r="AO53" s="234" t="s">
        <v>306</v>
      </c>
      <c r="AP53" s="235" t="s">
        <v>306</v>
      </c>
      <c r="AQ53" s="209" t="s">
        <v>25</v>
      </c>
      <c r="AR53" s="209" t="s">
        <v>306</v>
      </c>
      <c r="AS53" s="234" t="s">
        <v>25</v>
      </c>
      <c r="AT53" s="209" t="s">
        <v>25</v>
      </c>
      <c r="AU53" s="209" t="s">
        <v>306</v>
      </c>
      <c r="AV53" s="234" t="s">
        <v>25</v>
      </c>
      <c r="AW53" s="209" t="s">
        <v>19</v>
      </c>
      <c r="AX53" s="209" t="s">
        <v>25</v>
      </c>
      <c r="AY53" s="234" t="s">
        <v>306</v>
      </c>
      <c r="AZ53" s="209" t="s">
        <v>19</v>
      </c>
      <c r="BA53" s="209" t="s">
        <v>25</v>
      </c>
      <c r="BB53" s="234" t="s">
        <v>25</v>
      </c>
      <c r="BC53" s="235" t="s">
        <v>25</v>
      </c>
      <c r="BD53" s="188"/>
    </row>
    <row r="54" spans="1:56" ht="12.75" customHeight="1" x14ac:dyDescent="0.25">
      <c r="A54" s="238">
        <v>45271.959814398149</v>
      </c>
      <c r="B54" s="233" t="s">
        <v>395</v>
      </c>
      <c r="C54" s="209" t="s">
        <v>587</v>
      </c>
      <c r="D54" s="232" t="s">
        <v>17</v>
      </c>
      <c r="E54" s="232" t="s">
        <v>515</v>
      </c>
      <c r="F54" s="209" t="s">
        <v>646</v>
      </c>
      <c r="G54" s="232" t="s">
        <v>18</v>
      </c>
      <c r="H54" s="232">
        <v>11</v>
      </c>
      <c r="I54" s="209" t="s">
        <v>518</v>
      </c>
      <c r="J54" s="209" t="s">
        <v>525</v>
      </c>
      <c r="K54" s="209" t="s">
        <v>617</v>
      </c>
      <c r="L54" s="209" t="s">
        <v>518</v>
      </c>
      <c r="M54" s="209" t="s">
        <v>368</v>
      </c>
      <c r="N54" s="209" t="s">
        <v>368</v>
      </c>
      <c r="O54" s="209"/>
      <c r="P54" s="209"/>
      <c r="Q54" s="209" t="s">
        <v>25</v>
      </c>
      <c r="R54" s="209" t="s">
        <v>25</v>
      </c>
      <c r="S54" s="234" t="s">
        <v>25</v>
      </c>
      <c r="T54" s="209" t="s">
        <v>25</v>
      </c>
      <c r="U54" s="209" t="s">
        <v>25</v>
      </c>
      <c r="V54" s="234" t="s">
        <v>25</v>
      </c>
      <c r="W54" s="209" t="s">
        <v>25</v>
      </c>
      <c r="X54" s="209" t="s">
        <v>25</v>
      </c>
      <c r="Y54" s="234" t="s">
        <v>25</v>
      </c>
      <c r="Z54" s="209" t="s">
        <v>25</v>
      </c>
      <c r="AA54" s="209" t="s">
        <v>25</v>
      </c>
      <c r="AB54" s="234" t="s">
        <v>25</v>
      </c>
      <c r="AC54" s="235" t="s">
        <v>25</v>
      </c>
      <c r="AD54" s="209" t="s">
        <v>25</v>
      </c>
      <c r="AE54" s="209" t="s">
        <v>25</v>
      </c>
      <c r="AF54" s="234" t="s">
        <v>25</v>
      </c>
      <c r="AG54" s="209" t="s">
        <v>25</v>
      </c>
      <c r="AH54" s="209" t="s">
        <v>25</v>
      </c>
      <c r="AI54" s="234" t="s">
        <v>25</v>
      </c>
      <c r="AJ54" s="209" t="s">
        <v>25</v>
      </c>
      <c r="AK54" s="209" t="s">
        <v>25</v>
      </c>
      <c r="AL54" s="234" t="s">
        <v>25</v>
      </c>
      <c r="AM54" s="209" t="s">
        <v>25</v>
      </c>
      <c r="AN54" s="209" t="s">
        <v>25</v>
      </c>
      <c r="AO54" s="234" t="s">
        <v>25</v>
      </c>
      <c r="AP54" s="235" t="s">
        <v>25</v>
      </c>
      <c r="AQ54" s="209" t="s">
        <v>25</v>
      </c>
      <c r="AR54" s="209" t="s">
        <v>25</v>
      </c>
      <c r="AS54" s="234" t="s">
        <v>25</v>
      </c>
      <c r="AT54" s="209" t="s">
        <v>25</v>
      </c>
      <c r="AU54" s="209" t="s">
        <v>25</v>
      </c>
      <c r="AV54" s="234" t="s">
        <v>25</v>
      </c>
      <c r="AW54" s="209" t="s">
        <v>25</v>
      </c>
      <c r="AX54" s="209" t="s">
        <v>25</v>
      </c>
      <c r="AY54" s="234" t="s">
        <v>25</v>
      </c>
      <c r="AZ54" s="209" t="s">
        <v>25</v>
      </c>
      <c r="BA54" s="209" t="s">
        <v>25</v>
      </c>
      <c r="BB54" s="234" t="s">
        <v>25</v>
      </c>
      <c r="BC54" s="235" t="s">
        <v>25</v>
      </c>
      <c r="BD54" s="188"/>
    </row>
    <row r="55" spans="1:56" ht="12.75" customHeight="1" x14ac:dyDescent="0.25">
      <c r="A55" s="238">
        <v>45271.96381184028</v>
      </c>
      <c r="B55" s="233" t="s">
        <v>395</v>
      </c>
      <c r="C55" s="209" t="s">
        <v>587</v>
      </c>
      <c r="D55" s="232" t="s">
        <v>17</v>
      </c>
      <c r="E55" s="232" t="s">
        <v>515</v>
      </c>
      <c r="F55" s="209" t="s">
        <v>647</v>
      </c>
      <c r="G55" s="232" t="s">
        <v>24</v>
      </c>
      <c r="H55" s="232">
        <v>12</v>
      </c>
      <c r="I55" s="209" t="s">
        <v>518</v>
      </c>
      <c r="J55" s="209" t="s">
        <v>616</v>
      </c>
      <c r="K55" s="209" t="s">
        <v>617</v>
      </c>
      <c r="L55" s="209" t="s">
        <v>531</v>
      </c>
      <c r="M55" s="188"/>
      <c r="N55" s="188"/>
      <c r="O55" s="188"/>
      <c r="P55" s="188"/>
      <c r="Q55" s="209" t="s">
        <v>25</v>
      </c>
      <c r="R55" s="209" t="s">
        <v>25</v>
      </c>
      <c r="S55" s="234" t="s">
        <v>25</v>
      </c>
      <c r="T55" s="209" t="s">
        <v>25</v>
      </c>
      <c r="U55" s="209" t="s">
        <v>25</v>
      </c>
      <c r="V55" s="234" t="s">
        <v>25</v>
      </c>
      <c r="W55" s="209" t="s">
        <v>306</v>
      </c>
      <c r="X55" s="209" t="s">
        <v>306</v>
      </c>
      <c r="Y55" s="234" t="s">
        <v>306</v>
      </c>
      <c r="Z55" s="209" t="s">
        <v>306</v>
      </c>
      <c r="AA55" s="209" t="s">
        <v>25</v>
      </c>
      <c r="AB55" s="234" t="s">
        <v>25</v>
      </c>
      <c r="AC55" s="235" t="s">
        <v>25</v>
      </c>
      <c r="AD55" s="209" t="s">
        <v>25</v>
      </c>
      <c r="AE55" s="209" t="s">
        <v>25</v>
      </c>
      <c r="AF55" s="234" t="s">
        <v>25</v>
      </c>
      <c r="AG55" s="209" t="s">
        <v>19</v>
      </c>
      <c r="AH55" s="209" t="s">
        <v>19</v>
      </c>
      <c r="AI55" s="234" t="s">
        <v>19</v>
      </c>
      <c r="AJ55" s="209" t="s">
        <v>19</v>
      </c>
      <c r="AK55" s="209" t="s">
        <v>19</v>
      </c>
      <c r="AL55" s="234" t="s">
        <v>19</v>
      </c>
      <c r="AM55" s="209" t="s">
        <v>19</v>
      </c>
      <c r="AN55" s="209" t="s">
        <v>19</v>
      </c>
      <c r="AO55" s="234" t="s">
        <v>19</v>
      </c>
      <c r="AP55" s="235" t="s">
        <v>306</v>
      </c>
      <c r="AQ55" s="209" t="s">
        <v>306</v>
      </c>
      <c r="AR55" s="209" t="s">
        <v>19</v>
      </c>
      <c r="AS55" s="234" t="s">
        <v>306</v>
      </c>
      <c r="AT55" s="209" t="s">
        <v>25</v>
      </c>
      <c r="AU55" s="209" t="s">
        <v>25</v>
      </c>
      <c r="AV55" s="234" t="s">
        <v>25</v>
      </c>
      <c r="AW55" s="209" t="s">
        <v>306</v>
      </c>
      <c r="AX55" s="209" t="s">
        <v>25</v>
      </c>
      <c r="AY55" s="234" t="s">
        <v>25</v>
      </c>
      <c r="AZ55" s="209" t="s">
        <v>25</v>
      </c>
      <c r="BA55" s="209" t="s">
        <v>25</v>
      </c>
      <c r="BB55" s="234" t="s">
        <v>25</v>
      </c>
      <c r="BC55" s="235" t="s">
        <v>25</v>
      </c>
      <c r="BD55" s="188"/>
    </row>
    <row r="56" spans="1:56" ht="12.75" customHeight="1" x14ac:dyDescent="0.25">
      <c r="A56" s="238">
        <v>44785.608192812499</v>
      </c>
      <c r="B56" s="137" t="s">
        <v>395</v>
      </c>
      <c r="C56" s="211" t="s">
        <v>595</v>
      </c>
      <c r="D56" s="211" t="s">
        <v>17</v>
      </c>
      <c r="E56" s="232" t="s">
        <v>515</v>
      </c>
      <c r="F56" s="188" t="s">
        <v>648</v>
      </c>
      <c r="G56" s="211" t="s">
        <v>18</v>
      </c>
      <c r="H56" s="211">
        <v>12</v>
      </c>
      <c r="I56" s="188" t="s">
        <v>518</v>
      </c>
      <c r="J56" s="188" t="s">
        <v>616</v>
      </c>
      <c r="K56" s="209" t="s">
        <v>617</v>
      </c>
      <c r="L56" s="188" t="s">
        <v>531</v>
      </c>
      <c r="M56" s="188" t="s">
        <v>614</v>
      </c>
      <c r="N56" s="188"/>
      <c r="O56" s="188"/>
      <c r="P56" s="188"/>
      <c r="Q56" s="188" t="s">
        <v>25</v>
      </c>
      <c r="R56" s="188" t="s">
        <v>25</v>
      </c>
      <c r="S56" s="234" t="s">
        <v>25</v>
      </c>
      <c r="T56" s="188" t="s">
        <v>25</v>
      </c>
      <c r="U56" s="188" t="s">
        <v>25</v>
      </c>
      <c r="V56" s="234" t="s">
        <v>25</v>
      </c>
      <c r="W56" s="188" t="s">
        <v>306</v>
      </c>
      <c r="X56" s="188" t="s">
        <v>25</v>
      </c>
      <c r="Y56" s="234" t="s">
        <v>25</v>
      </c>
      <c r="Z56" s="188" t="s">
        <v>25</v>
      </c>
      <c r="AA56" s="188" t="s">
        <v>25</v>
      </c>
      <c r="AB56" s="234" t="s">
        <v>25</v>
      </c>
      <c r="AC56" s="235" t="s">
        <v>25</v>
      </c>
      <c r="AD56" s="188" t="s">
        <v>306</v>
      </c>
      <c r="AE56" s="188" t="s">
        <v>25</v>
      </c>
      <c r="AF56" s="234" t="s">
        <v>25</v>
      </c>
      <c r="AG56" s="188" t="s">
        <v>25</v>
      </c>
      <c r="AH56" s="188" t="s">
        <v>306</v>
      </c>
      <c r="AI56" s="234" t="s">
        <v>25</v>
      </c>
      <c r="AJ56" s="188" t="s">
        <v>25</v>
      </c>
      <c r="AK56" s="188" t="s">
        <v>306</v>
      </c>
      <c r="AL56" s="234" t="s">
        <v>25</v>
      </c>
      <c r="AM56" s="188" t="s">
        <v>306</v>
      </c>
      <c r="AN56" s="188" t="s">
        <v>306</v>
      </c>
      <c r="AO56" s="234" t="s">
        <v>306</v>
      </c>
      <c r="AP56" s="235" t="s">
        <v>306</v>
      </c>
      <c r="AQ56" s="188" t="s">
        <v>25</v>
      </c>
      <c r="AR56" s="188" t="s">
        <v>25</v>
      </c>
      <c r="AS56" s="234" t="s">
        <v>25</v>
      </c>
      <c r="AT56" s="188" t="s">
        <v>25</v>
      </c>
      <c r="AU56" s="188" t="s">
        <v>25</v>
      </c>
      <c r="AV56" s="234" t="s">
        <v>25</v>
      </c>
      <c r="AW56" s="188" t="s">
        <v>306</v>
      </c>
      <c r="AX56" s="188" t="s">
        <v>306</v>
      </c>
      <c r="AY56" s="234" t="s">
        <v>306</v>
      </c>
      <c r="AZ56" s="188" t="s">
        <v>25</v>
      </c>
      <c r="BA56" s="188" t="s">
        <v>25</v>
      </c>
      <c r="BB56" s="234" t="s">
        <v>25</v>
      </c>
      <c r="BC56" s="235" t="s">
        <v>25</v>
      </c>
      <c r="BD56" s="188"/>
    </row>
    <row r="57" spans="1:56" ht="12.75" customHeight="1" x14ac:dyDescent="0.25">
      <c r="A57" s="238">
        <v>45259.552672708334</v>
      </c>
      <c r="B57" s="233" t="s">
        <v>427</v>
      </c>
      <c r="C57" s="209" t="s">
        <v>587</v>
      </c>
      <c r="D57" s="232" t="s">
        <v>17</v>
      </c>
      <c r="E57" s="232" t="s">
        <v>515</v>
      </c>
      <c r="F57" s="209" t="s">
        <v>649</v>
      </c>
      <c r="G57" s="232" t="s">
        <v>18</v>
      </c>
      <c r="H57" s="232">
        <v>13</v>
      </c>
      <c r="I57" s="209" t="s">
        <v>518</v>
      </c>
      <c r="J57" s="209" t="s">
        <v>622</v>
      </c>
      <c r="K57" s="209" t="s">
        <v>617</v>
      </c>
      <c r="L57" s="209" t="s">
        <v>518</v>
      </c>
      <c r="M57" s="209" t="s">
        <v>375</v>
      </c>
      <c r="N57" s="209" t="s">
        <v>375</v>
      </c>
      <c r="O57" s="209"/>
      <c r="P57" s="209"/>
      <c r="Q57" s="209" t="s">
        <v>25</v>
      </c>
      <c r="R57" s="209" t="s">
        <v>25</v>
      </c>
      <c r="S57" s="234" t="s">
        <v>25</v>
      </c>
      <c r="T57" s="209" t="s">
        <v>25</v>
      </c>
      <c r="U57" s="209" t="s">
        <v>25</v>
      </c>
      <c r="V57" s="234" t="s">
        <v>25</v>
      </c>
      <c r="W57" s="209" t="s">
        <v>306</v>
      </c>
      <c r="X57" s="209" t="s">
        <v>25</v>
      </c>
      <c r="Y57" s="234" t="s">
        <v>25</v>
      </c>
      <c r="Z57" s="209" t="s">
        <v>25</v>
      </c>
      <c r="AA57" s="209" t="s">
        <v>25</v>
      </c>
      <c r="AB57" s="234" t="s">
        <v>25</v>
      </c>
      <c r="AC57" s="235" t="s">
        <v>25</v>
      </c>
      <c r="AD57" s="209" t="s">
        <v>25</v>
      </c>
      <c r="AE57" s="209" t="s">
        <v>25</v>
      </c>
      <c r="AF57" s="234" t="s">
        <v>25</v>
      </c>
      <c r="AG57" s="209" t="s">
        <v>306</v>
      </c>
      <c r="AH57" s="209" t="s">
        <v>306</v>
      </c>
      <c r="AI57" s="234" t="s">
        <v>306</v>
      </c>
      <c r="AJ57" s="209" t="s">
        <v>25</v>
      </c>
      <c r="AK57" s="209" t="s">
        <v>25</v>
      </c>
      <c r="AL57" s="234" t="s">
        <v>25</v>
      </c>
      <c r="AM57" s="209" t="s">
        <v>306</v>
      </c>
      <c r="AN57" s="209" t="s">
        <v>306</v>
      </c>
      <c r="AO57" s="234" t="s">
        <v>306</v>
      </c>
      <c r="AP57" s="235" t="s">
        <v>25</v>
      </c>
      <c r="AQ57" s="209" t="s">
        <v>25</v>
      </c>
      <c r="AR57" s="209" t="s">
        <v>306</v>
      </c>
      <c r="AS57" s="234" t="s">
        <v>25</v>
      </c>
      <c r="AT57" s="209" t="s">
        <v>25</v>
      </c>
      <c r="AU57" s="209" t="s">
        <v>306</v>
      </c>
      <c r="AV57" s="234" t="s">
        <v>25</v>
      </c>
      <c r="AW57" s="209" t="s">
        <v>25</v>
      </c>
      <c r="AX57" s="209" t="s">
        <v>25</v>
      </c>
      <c r="AY57" s="234" t="s">
        <v>25</v>
      </c>
      <c r="AZ57" s="209" t="s">
        <v>25</v>
      </c>
      <c r="BA57" s="209" t="s">
        <v>25</v>
      </c>
      <c r="BB57" s="234" t="s">
        <v>25</v>
      </c>
      <c r="BC57" s="235" t="s">
        <v>306</v>
      </c>
      <c r="BD57" s="188"/>
    </row>
    <row r="58" spans="1:56" ht="12.75" customHeight="1" x14ac:dyDescent="0.25">
      <c r="A58" s="238">
        <v>45259.623023645836</v>
      </c>
      <c r="B58" s="233" t="s">
        <v>427</v>
      </c>
      <c r="C58" s="209" t="s">
        <v>587</v>
      </c>
      <c r="D58" s="232" t="s">
        <v>17</v>
      </c>
      <c r="E58" s="232" t="s">
        <v>515</v>
      </c>
      <c r="F58" s="209" t="s">
        <v>650</v>
      </c>
      <c r="G58" s="232" t="s">
        <v>18</v>
      </c>
      <c r="H58" s="232">
        <v>11</v>
      </c>
      <c r="I58" s="209" t="s">
        <v>518</v>
      </c>
      <c r="J58" s="209" t="s">
        <v>651</v>
      </c>
      <c r="K58" s="209" t="s">
        <v>617</v>
      </c>
      <c r="L58" s="209" t="s">
        <v>518</v>
      </c>
      <c r="M58" s="209" t="s">
        <v>412</v>
      </c>
      <c r="N58" s="209" t="s">
        <v>589</v>
      </c>
      <c r="O58" s="209"/>
      <c r="P58" s="209"/>
      <c r="Q58" s="209" t="s">
        <v>19</v>
      </c>
      <c r="R58" s="209" t="s">
        <v>19</v>
      </c>
      <c r="S58" s="234" t="s">
        <v>19</v>
      </c>
      <c r="T58" s="209" t="s">
        <v>25</v>
      </c>
      <c r="U58" s="209" t="s">
        <v>306</v>
      </c>
      <c r="V58" s="234" t="s">
        <v>25</v>
      </c>
      <c r="W58" s="209" t="s">
        <v>25</v>
      </c>
      <c r="X58" s="209" t="s">
        <v>25</v>
      </c>
      <c r="Y58" s="234" t="s">
        <v>25</v>
      </c>
      <c r="Z58" s="209" t="s">
        <v>306</v>
      </c>
      <c r="AA58" s="209" t="s">
        <v>19</v>
      </c>
      <c r="AB58" s="234" t="s">
        <v>306</v>
      </c>
      <c r="AC58" s="235" t="s">
        <v>306</v>
      </c>
      <c r="AD58" s="209" t="s">
        <v>306</v>
      </c>
      <c r="AE58" s="209" t="s">
        <v>306</v>
      </c>
      <c r="AF58" s="234" t="s">
        <v>306</v>
      </c>
      <c r="AG58" s="209" t="s">
        <v>306</v>
      </c>
      <c r="AH58" s="209" t="s">
        <v>25</v>
      </c>
      <c r="AI58" s="234" t="s">
        <v>25</v>
      </c>
      <c r="AJ58" s="209" t="s">
        <v>306</v>
      </c>
      <c r="AK58" s="209" t="s">
        <v>19</v>
      </c>
      <c r="AL58" s="234" t="s">
        <v>306</v>
      </c>
      <c r="AM58" s="209" t="s">
        <v>19</v>
      </c>
      <c r="AN58" s="209" t="s">
        <v>306</v>
      </c>
      <c r="AO58" s="234" t="s">
        <v>306</v>
      </c>
      <c r="AP58" s="235" t="s">
        <v>306</v>
      </c>
      <c r="AQ58" s="209" t="s">
        <v>19</v>
      </c>
      <c r="AR58" s="209" t="s">
        <v>19</v>
      </c>
      <c r="AS58" s="234" t="s">
        <v>19</v>
      </c>
      <c r="AT58" s="209" t="s">
        <v>25</v>
      </c>
      <c r="AU58" s="209" t="s">
        <v>306</v>
      </c>
      <c r="AV58" s="234" t="s">
        <v>25</v>
      </c>
      <c r="AW58" s="209" t="s">
        <v>306</v>
      </c>
      <c r="AX58" s="209" t="s">
        <v>306</v>
      </c>
      <c r="AY58" s="234" t="s">
        <v>306</v>
      </c>
      <c r="AZ58" s="209" t="s">
        <v>306</v>
      </c>
      <c r="BA58" s="209" t="s">
        <v>306</v>
      </c>
      <c r="BB58" s="234" t="s">
        <v>19</v>
      </c>
      <c r="BC58" s="235" t="s">
        <v>306</v>
      </c>
      <c r="BD58" s="188"/>
    </row>
    <row r="59" spans="1:56" ht="12.75" customHeight="1" x14ac:dyDescent="0.25">
      <c r="A59" s="238">
        <v>45259.651509479168</v>
      </c>
      <c r="B59" s="233" t="s">
        <v>427</v>
      </c>
      <c r="C59" s="232" t="s">
        <v>587</v>
      </c>
      <c r="D59" s="232" t="s">
        <v>17</v>
      </c>
      <c r="E59" s="232" t="s">
        <v>605</v>
      </c>
      <c r="F59" s="209" t="s">
        <v>652</v>
      </c>
      <c r="G59" s="232" t="s">
        <v>24</v>
      </c>
      <c r="H59" s="232">
        <v>15</v>
      </c>
      <c r="I59" s="209" t="s">
        <v>518</v>
      </c>
      <c r="J59" s="209" t="s">
        <v>620</v>
      </c>
      <c r="K59" s="209" t="s">
        <v>617</v>
      </c>
      <c r="L59" s="209" t="s">
        <v>518</v>
      </c>
      <c r="M59" s="209" t="s">
        <v>401</v>
      </c>
      <c r="N59" s="209" t="s">
        <v>653</v>
      </c>
      <c r="O59" s="232" t="s">
        <v>531</v>
      </c>
      <c r="P59" s="188"/>
      <c r="Q59" s="209" t="s">
        <v>25</v>
      </c>
      <c r="R59" s="209" t="s">
        <v>25</v>
      </c>
      <c r="S59" s="234" t="s">
        <v>25</v>
      </c>
      <c r="T59" s="209" t="s">
        <v>25</v>
      </c>
      <c r="U59" s="209" t="s">
        <v>25</v>
      </c>
      <c r="V59" s="234" t="s">
        <v>25</v>
      </c>
      <c r="W59" s="209" t="s">
        <v>25</v>
      </c>
      <c r="X59" s="209" t="s">
        <v>306</v>
      </c>
      <c r="Y59" s="234" t="s">
        <v>25</v>
      </c>
      <c r="Z59" s="209" t="s">
        <v>25</v>
      </c>
      <c r="AA59" s="209" t="s">
        <v>306</v>
      </c>
      <c r="AB59" s="234" t="s">
        <v>25</v>
      </c>
      <c r="AC59" s="235" t="s">
        <v>25</v>
      </c>
      <c r="AD59" s="209" t="s">
        <v>25</v>
      </c>
      <c r="AE59" s="209" t="s">
        <v>25</v>
      </c>
      <c r="AF59" s="234" t="s">
        <v>25</v>
      </c>
      <c r="AG59" s="209" t="s">
        <v>306</v>
      </c>
      <c r="AH59" s="209" t="s">
        <v>25</v>
      </c>
      <c r="AI59" s="234" t="s">
        <v>25</v>
      </c>
      <c r="AJ59" s="209" t="s">
        <v>306</v>
      </c>
      <c r="AK59" s="209" t="s">
        <v>306</v>
      </c>
      <c r="AL59" s="234" t="s">
        <v>306</v>
      </c>
      <c r="AM59" s="209" t="s">
        <v>306</v>
      </c>
      <c r="AN59" s="209" t="s">
        <v>306</v>
      </c>
      <c r="AO59" s="234" t="s">
        <v>306</v>
      </c>
      <c r="AP59" s="235" t="s">
        <v>306</v>
      </c>
      <c r="AQ59" s="209" t="s">
        <v>25</v>
      </c>
      <c r="AR59" s="209" t="s">
        <v>25</v>
      </c>
      <c r="AS59" s="234" t="s">
        <v>25</v>
      </c>
      <c r="AT59" s="209" t="s">
        <v>25</v>
      </c>
      <c r="AU59" s="209" t="s">
        <v>25</v>
      </c>
      <c r="AV59" s="234" t="s">
        <v>25</v>
      </c>
      <c r="AW59" s="209" t="s">
        <v>25</v>
      </c>
      <c r="AX59" s="209" t="s">
        <v>25</v>
      </c>
      <c r="AY59" s="234" t="s">
        <v>25</v>
      </c>
      <c r="AZ59" s="209" t="s">
        <v>25</v>
      </c>
      <c r="BA59" s="209" t="s">
        <v>25</v>
      </c>
      <c r="BB59" s="234" t="s">
        <v>306</v>
      </c>
      <c r="BC59" s="235" t="s">
        <v>306</v>
      </c>
      <c r="BD59" s="188"/>
    </row>
    <row r="60" spans="1:56" ht="12.75" customHeight="1" x14ac:dyDescent="0.25">
      <c r="A60" s="238">
        <v>45259.704437152774</v>
      </c>
      <c r="B60" s="233" t="s">
        <v>427</v>
      </c>
      <c r="C60" s="232" t="s">
        <v>587</v>
      </c>
      <c r="D60" s="232" t="s">
        <v>17</v>
      </c>
      <c r="E60" s="232" t="s">
        <v>605</v>
      </c>
      <c r="F60" s="209" t="s">
        <v>654</v>
      </c>
      <c r="G60" s="232" t="s">
        <v>18</v>
      </c>
      <c r="H60" s="232">
        <v>15</v>
      </c>
      <c r="I60" s="209" t="s">
        <v>518</v>
      </c>
      <c r="J60" s="209" t="s">
        <v>616</v>
      </c>
      <c r="K60" s="209" t="s">
        <v>617</v>
      </c>
      <c r="L60" s="209" t="s">
        <v>518</v>
      </c>
      <c r="M60" s="209" t="s">
        <v>389</v>
      </c>
      <c r="N60" s="209" t="s">
        <v>389</v>
      </c>
      <c r="O60" s="232" t="s">
        <v>518</v>
      </c>
      <c r="P60" s="209" t="s">
        <v>655</v>
      </c>
      <c r="Q60" s="209" t="s">
        <v>25</v>
      </c>
      <c r="R60" s="209" t="s">
        <v>25</v>
      </c>
      <c r="S60" s="234" t="s">
        <v>25</v>
      </c>
      <c r="T60" s="209" t="s">
        <v>306</v>
      </c>
      <c r="U60" s="209" t="s">
        <v>306</v>
      </c>
      <c r="V60" s="234" t="s">
        <v>306</v>
      </c>
      <c r="W60" s="209" t="s">
        <v>25</v>
      </c>
      <c r="X60" s="209" t="s">
        <v>306</v>
      </c>
      <c r="Y60" s="234" t="s">
        <v>25</v>
      </c>
      <c r="Z60" s="209" t="s">
        <v>25</v>
      </c>
      <c r="AA60" s="209" t="s">
        <v>25</v>
      </c>
      <c r="AB60" s="234" t="s">
        <v>25</v>
      </c>
      <c r="AC60" s="235" t="s">
        <v>25</v>
      </c>
      <c r="AD60" s="209" t="s">
        <v>306</v>
      </c>
      <c r="AE60" s="209" t="s">
        <v>306</v>
      </c>
      <c r="AF60" s="234" t="s">
        <v>306</v>
      </c>
      <c r="AG60" s="209" t="s">
        <v>306</v>
      </c>
      <c r="AH60" s="209" t="s">
        <v>306</v>
      </c>
      <c r="AI60" s="234" t="s">
        <v>306</v>
      </c>
      <c r="AJ60" s="209" t="s">
        <v>25</v>
      </c>
      <c r="AK60" s="209" t="s">
        <v>306</v>
      </c>
      <c r="AL60" s="234" t="s">
        <v>25</v>
      </c>
      <c r="AM60" s="209" t="s">
        <v>306</v>
      </c>
      <c r="AN60" s="209" t="s">
        <v>306</v>
      </c>
      <c r="AO60" s="234" t="s">
        <v>306</v>
      </c>
      <c r="AP60" s="235" t="s">
        <v>306</v>
      </c>
      <c r="AQ60" s="209" t="s">
        <v>306</v>
      </c>
      <c r="AR60" s="209" t="s">
        <v>306</v>
      </c>
      <c r="AS60" s="234" t="s">
        <v>306</v>
      </c>
      <c r="AT60" s="209" t="s">
        <v>306</v>
      </c>
      <c r="AU60" s="209" t="s">
        <v>19</v>
      </c>
      <c r="AV60" s="234" t="s">
        <v>306</v>
      </c>
      <c r="AW60" s="209" t="s">
        <v>306</v>
      </c>
      <c r="AX60" s="209" t="s">
        <v>306</v>
      </c>
      <c r="AY60" s="234" t="s">
        <v>306</v>
      </c>
      <c r="AZ60" s="209" t="s">
        <v>25</v>
      </c>
      <c r="BA60" s="209" t="s">
        <v>25</v>
      </c>
      <c r="BB60" s="234" t="s">
        <v>25</v>
      </c>
      <c r="BC60" s="235" t="s">
        <v>25</v>
      </c>
      <c r="BD60" s="188"/>
    </row>
    <row r="61" spans="1:56" ht="12.75" customHeight="1" x14ac:dyDescent="0.25">
      <c r="A61" s="211">
        <v>11</v>
      </c>
      <c r="B61" s="137" t="s">
        <v>427</v>
      </c>
      <c r="C61" s="211" t="s">
        <v>595</v>
      </c>
      <c r="D61" s="211" t="s">
        <v>17</v>
      </c>
      <c r="E61" s="232" t="s">
        <v>605</v>
      </c>
      <c r="F61" s="188" t="s">
        <v>656</v>
      </c>
      <c r="G61" s="211" t="s">
        <v>24</v>
      </c>
      <c r="H61" s="211">
        <v>15</v>
      </c>
      <c r="I61" s="188" t="s">
        <v>518</v>
      </c>
      <c r="J61" s="188" t="s">
        <v>616</v>
      </c>
      <c r="K61" s="209" t="s">
        <v>617</v>
      </c>
      <c r="L61" s="188" t="s">
        <v>518</v>
      </c>
      <c r="M61" s="188" t="s">
        <v>401</v>
      </c>
      <c r="N61" s="188"/>
      <c r="O61" s="211" t="s">
        <v>518</v>
      </c>
      <c r="P61" s="188" t="s">
        <v>657</v>
      </c>
      <c r="Q61" s="188" t="s">
        <v>25</v>
      </c>
      <c r="R61" s="188" t="s">
        <v>25</v>
      </c>
      <c r="S61" s="234" t="s">
        <v>25</v>
      </c>
      <c r="T61" s="188" t="s">
        <v>25</v>
      </c>
      <c r="U61" s="188" t="s">
        <v>25</v>
      </c>
      <c r="V61" s="234" t="s">
        <v>25</v>
      </c>
      <c r="W61" s="188" t="s">
        <v>25</v>
      </c>
      <c r="X61" s="188" t="s">
        <v>25</v>
      </c>
      <c r="Y61" s="234" t="s">
        <v>25</v>
      </c>
      <c r="Z61" s="188" t="s">
        <v>25</v>
      </c>
      <c r="AA61" s="188" t="s">
        <v>25</v>
      </c>
      <c r="AB61" s="234" t="s">
        <v>25</v>
      </c>
      <c r="AC61" s="235" t="s">
        <v>25</v>
      </c>
      <c r="AD61" s="188" t="s">
        <v>25</v>
      </c>
      <c r="AE61" s="188" t="s">
        <v>25</v>
      </c>
      <c r="AF61" s="234" t="s">
        <v>25</v>
      </c>
      <c r="AG61" s="188" t="s">
        <v>25</v>
      </c>
      <c r="AH61" s="188" t="s">
        <v>25</v>
      </c>
      <c r="AI61" s="234" t="s">
        <v>25</v>
      </c>
      <c r="AJ61" s="188" t="s">
        <v>25</v>
      </c>
      <c r="AK61" s="188" t="s">
        <v>25</v>
      </c>
      <c r="AL61" s="234" t="s">
        <v>25</v>
      </c>
      <c r="AM61" s="188" t="s">
        <v>306</v>
      </c>
      <c r="AN61" s="188" t="s">
        <v>25</v>
      </c>
      <c r="AO61" s="234" t="s">
        <v>25</v>
      </c>
      <c r="AP61" s="235" t="s">
        <v>25</v>
      </c>
      <c r="AQ61" s="188" t="s">
        <v>25</v>
      </c>
      <c r="AR61" s="188" t="s">
        <v>25</v>
      </c>
      <c r="AS61" s="234" t="s">
        <v>25</v>
      </c>
      <c r="AT61" s="188" t="s">
        <v>25</v>
      </c>
      <c r="AU61" s="188" t="s">
        <v>306</v>
      </c>
      <c r="AV61" s="234" t="s">
        <v>25</v>
      </c>
      <c r="AW61" s="188" t="s">
        <v>25</v>
      </c>
      <c r="AX61" s="188" t="s">
        <v>25</v>
      </c>
      <c r="AY61" s="234" t="s">
        <v>25</v>
      </c>
      <c r="AZ61" s="188" t="s">
        <v>306</v>
      </c>
      <c r="BA61" s="188" t="s">
        <v>25</v>
      </c>
      <c r="BB61" s="234" t="s">
        <v>25</v>
      </c>
      <c r="BC61" s="235" t="s">
        <v>306</v>
      </c>
      <c r="BD61" s="188"/>
    </row>
    <row r="62" spans="1:56" ht="12.75" customHeight="1" x14ac:dyDescent="0.25">
      <c r="A62" s="238">
        <v>45257.373448750004</v>
      </c>
      <c r="B62" s="233" t="s">
        <v>304</v>
      </c>
      <c r="C62" s="209" t="s">
        <v>587</v>
      </c>
      <c r="D62" s="232" t="s">
        <v>17</v>
      </c>
      <c r="E62" s="232" t="s">
        <v>515</v>
      </c>
      <c r="F62" s="209" t="s">
        <v>658</v>
      </c>
      <c r="G62" s="232" t="s">
        <v>24</v>
      </c>
      <c r="H62" s="232">
        <v>12</v>
      </c>
      <c r="I62" s="209" t="s">
        <v>518</v>
      </c>
      <c r="J62" s="209" t="s">
        <v>529</v>
      </c>
      <c r="K62" s="209" t="s">
        <v>529</v>
      </c>
      <c r="L62" s="209" t="s">
        <v>531</v>
      </c>
      <c r="M62" s="188"/>
      <c r="N62" s="188"/>
      <c r="O62" s="188"/>
      <c r="P62" s="188"/>
      <c r="Q62" s="209" t="s">
        <v>306</v>
      </c>
      <c r="R62" s="209" t="s">
        <v>25</v>
      </c>
      <c r="S62" s="234" t="s">
        <v>25</v>
      </c>
      <c r="T62" s="209" t="s">
        <v>19</v>
      </c>
      <c r="U62" s="209" t="s">
        <v>25</v>
      </c>
      <c r="V62" s="234" t="s">
        <v>306</v>
      </c>
      <c r="W62" s="209" t="s">
        <v>19</v>
      </c>
      <c r="X62" s="209" t="s">
        <v>19</v>
      </c>
      <c r="Y62" s="234" t="s">
        <v>19</v>
      </c>
      <c r="Z62" s="209" t="s">
        <v>25</v>
      </c>
      <c r="AA62" s="209" t="s">
        <v>19</v>
      </c>
      <c r="AB62" s="234" t="s">
        <v>306</v>
      </c>
      <c r="AC62" s="235" t="s">
        <v>306</v>
      </c>
      <c r="AD62" s="209" t="s">
        <v>306</v>
      </c>
      <c r="AE62" s="209" t="s">
        <v>306</v>
      </c>
      <c r="AF62" s="234" t="s">
        <v>306</v>
      </c>
      <c r="AG62" s="209" t="s">
        <v>306</v>
      </c>
      <c r="AH62" s="209" t="s">
        <v>306</v>
      </c>
      <c r="AI62" s="234" t="s">
        <v>306</v>
      </c>
      <c r="AJ62" s="209" t="s">
        <v>306</v>
      </c>
      <c r="AK62" s="209" t="s">
        <v>306</v>
      </c>
      <c r="AL62" s="234" t="s">
        <v>306</v>
      </c>
      <c r="AM62" s="209" t="s">
        <v>306</v>
      </c>
      <c r="AN62" s="209" t="s">
        <v>19</v>
      </c>
      <c r="AO62" s="234" t="s">
        <v>306</v>
      </c>
      <c r="AP62" s="235" t="s">
        <v>306</v>
      </c>
      <c r="AQ62" s="209" t="s">
        <v>306</v>
      </c>
      <c r="AR62" s="209" t="s">
        <v>306</v>
      </c>
      <c r="AS62" s="234" t="s">
        <v>306</v>
      </c>
      <c r="AT62" s="209" t="s">
        <v>25</v>
      </c>
      <c r="AU62" s="209" t="s">
        <v>25</v>
      </c>
      <c r="AV62" s="234" t="s">
        <v>25</v>
      </c>
      <c r="AW62" s="209" t="s">
        <v>306</v>
      </c>
      <c r="AX62" s="209" t="s">
        <v>306</v>
      </c>
      <c r="AY62" s="234" t="s">
        <v>306</v>
      </c>
      <c r="AZ62" s="209" t="s">
        <v>25</v>
      </c>
      <c r="BA62" s="209" t="s">
        <v>306</v>
      </c>
      <c r="BB62" s="234" t="s">
        <v>25</v>
      </c>
      <c r="BC62" s="235" t="s">
        <v>306</v>
      </c>
      <c r="BD62" s="188"/>
    </row>
    <row r="63" spans="1:56" ht="12.75" customHeight="1" x14ac:dyDescent="0.25">
      <c r="A63" s="238">
        <v>45257.422416875001</v>
      </c>
      <c r="B63" s="233" t="s">
        <v>304</v>
      </c>
      <c r="C63" s="209" t="s">
        <v>587</v>
      </c>
      <c r="D63" s="232" t="s">
        <v>17</v>
      </c>
      <c r="E63" s="232" t="s">
        <v>515</v>
      </c>
      <c r="F63" s="209" t="s">
        <v>659</v>
      </c>
      <c r="G63" s="232" t="s">
        <v>24</v>
      </c>
      <c r="H63" s="232">
        <v>11</v>
      </c>
      <c r="I63" s="209" t="s">
        <v>518</v>
      </c>
      <c r="J63" s="209" t="s">
        <v>529</v>
      </c>
      <c r="K63" s="209" t="s">
        <v>529</v>
      </c>
      <c r="L63" s="209" t="s">
        <v>518</v>
      </c>
      <c r="M63" s="209" t="s">
        <v>412</v>
      </c>
      <c r="N63" s="209" t="s">
        <v>589</v>
      </c>
      <c r="O63" s="209"/>
      <c r="P63" s="209"/>
      <c r="Q63" s="209" t="s">
        <v>25</v>
      </c>
      <c r="R63" s="209" t="s">
        <v>306</v>
      </c>
      <c r="S63" s="234" t="s">
        <v>25</v>
      </c>
      <c r="T63" s="209" t="s">
        <v>25</v>
      </c>
      <c r="U63" s="209" t="s">
        <v>25</v>
      </c>
      <c r="V63" s="234" t="s">
        <v>25</v>
      </c>
      <c r="W63" s="209" t="s">
        <v>25</v>
      </c>
      <c r="X63" s="209" t="s">
        <v>25</v>
      </c>
      <c r="Y63" s="234" t="s">
        <v>25</v>
      </c>
      <c r="Z63" s="209" t="s">
        <v>25</v>
      </c>
      <c r="AA63" s="209" t="s">
        <v>19</v>
      </c>
      <c r="AB63" s="234" t="s">
        <v>306</v>
      </c>
      <c r="AC63" s="235" t="s">
        <v>25</v>
      </c>
      <c r="AD63" s="209" t="s">
        <v>25</v>
      </c>
      <c r="AE63" s="209" t="s">
        <v>25</v>
      </c>
      <c r="AF63" s="234" t="s">
        <v>25</v>
      </c>
      <c r="AG63" s="209" t="s">
        <v>306</v>
      </c>
      <c r="AH63" s="209" t="s">
        <v>306</v>
      </c>
      <c r="AI63" s="234" t="s">
        <v>306</v>
      </c>
      <c r="AJ63" s="209" t="s">
        <v>25</v>
      </c>
      <c r="AK63" s="209" t="s">
        <v>19</v>
      </c>
      <c r="AL63" s="234" t="s">
        <v>306</v>
      </c>
      <c r="AM63" s="209" t="s">
        <v>19</v>
      </c>
      <c r="AN63" s="209" t="s">
        <v>306</v>
      </c>
      <c r="AO63" s="234" t="s">
        <v>306</v>
      </c>
      <c r="AP63" s="235" t="s">
        <v>306</v>
      </c>
      <c r="AQ63" s="209" t="s">
        <v>19</v>
      </c>
      <c r="AR63" s="209" t="s">
        <v>306</v>
      </c>
      <c r="AS63" s="234" t="s">
        <v>306</v>
      </c>
      <c r="AT63" s="209" t="s">
        <v>25</v>
      </c>
      <c r="AU63" s="209" t="s">
        <v>25</v>
      </c>
      <c r="AV63" s="234" t="s">
        <v>25</v>
      </c>
      <c r="AW63" s="209" t="s">
        <v>19</v>
      </c>
      <c r="AX63" s="209" t="s">
        <v>25</v>
      </c>
      <c r="AY63" s="234" t="s">
        <v>306</v>
      </c>
      <c r="AZ63" s="209" t="s">
        <v>19</v>
      </c>
      <c r="BA63" s="209" t="s">
        <v>306</v>
      </c>
      <c r="BB63" s="234" t="s">
        <v>25</v>
      </c>
      <c r="BC63" s="235" t="s">
        <v>25</v>
      </c>
      <c r="BD63" s="188"/>
    </row>
    <row r="64" spans="1:56" ht="12.75" customHeight="1" x14ac:dyDescent="0.25">
      <c r="A64" s="238">
        <v>44797.902888055556</v>
      </c>
      <c r="B64" s="137" t="s">
        <v>304</v>
      </c>
      <c r="C64" s="211" t="s">
        <v>595</v>
      </c>
      <c r="D64" s="211" t="s">
        <v>17</v>
      </c>
      <c r="E64" s="232" t="s">
        <v>515</v>
      </c>
      <c r="F64" s="188" t="s">
        <v>660</v>
      </c>
      <c r="G64" s="211" t="s">
        <v>18</v>
      </c>
      <c r="H64" s="211">
        <v>12</v>
      </c>
      <c r="I64" s="188" t="s">
        <v>518</v>
      </c>
      <c r="J64" s="188" t="s">
        <v>529</v>
      </c>
      <c r="K64" s="209" t="s">
        <v>529</v>
      </c>
      <c r="L64" s="188" t="s">
        <v>518</v>
      </c>
      <c r="M64" s="188" t="s">
        <v>375</v>
      </c>
      <c r="N64" s="188"/>
      <c r="O64" s="188"/>
      <c r="P64" s="188"/>
      <c r="Q64" s="188" t="s">
        <v>25</v>
      </c>
      <c r="R64" s="188" t="s">
        <v>306</v>
      </c>
      <c r="S64" s="234" t="s">
        <v>25</v>
      </c>
      <c r="T64" s="188" t="s">
        <v>25</v>
      </c>
      <c r="U64" s="188" t="s">
        <v>25</v>
      </c>
      <c r="V64" s="234" t="s">
        <v>25</v>
      </c>
      <c r="W64" s="188" t="s">
        <v>19</v>
      </c>
      <c r="X64" s="188" t="s">
        <v>25</v>
      </c>
      <c r="Y64" s="234" t="s">
        <v>306</v>
      </c>
      <c r="Z64" s="188" t="s">
        <v>19</v>
      </c>
      <c r="AA64" s="188" t="s">
        <v>25</v>
      </c>
      <c r="AB64" s="234" t="s">
        <v>306</v>
      </c>
      <c r="AC64" s="235" t="s">
        <v>306</v>
      </c>
      <c r="AD64" s="188" t="s">
        <v>25</v>
      </c>
      <c r="AE64" s="188" t="s">
        <v>19</v>
      </c>
      <c r="AF64" s="234" t="s">
        <v>306</v>
      </c>
      <c r="AG64" s="188" t="s">
        <v>19</v>
      </c>
      <c r="AH64" s="188" t="s">
        <v>25</v>
      </c>
      <c r="AI64" s="234" t="s">
        <v>306</v>
      </c>
      <c r="AJ64" s="188" t="s">
        <v>25</v>
      </c>
      <c r="AK64" s="188" t="s">
        <v>25</v>
      </c>
      <c r="AL64" s="234" t="s">
        <v>25</v>
      </c>
      <c r="AM64" s="188" t="s">
        <v>19</v>
      </c>
      <c r="AN64" s="188" t="s">
        <v>19</v>
      </c>
      <c r="AO64" s="234" t="s">
        <v>19</v>
      </c>
      <c r="AP64" s="235" t="s">
        <v>306</v>
      </c>
      <c r="AQ64" s="188" t="s">
        <v>25</v>
      </c>
      <c r="AR64" s="188" t="s">
        <v>25</v>
      </c>
      <c r="AS64" s="234" t="s">
        <v>25</v>
      </c>
      <c r="AT64" s="188" t="s">
        <v>25</v>
      </c>
      <c r="AU64" s="188" t="s">
        <v>306</v>
      </c>
      <c r="AV64" s="234" t="s">
        <v>25</v>
      </c>
      <c r="AW64" s="188" t="s">
        <v>306</v>
      </c>
      <c r="AX64" s="188" t="s">
        <v>25</v>
      </c>
      <c r="AY64" s="234" t="s">
        <v>25</v>
      </c>
      <c r="AZ64" s="188" t="s">
        <v>25</v>
      </c>
      <c r="BA64" s="188" t="s">
        <v>19</v>
      </c>
      <c r="BB64" s="234" t="s">
        <v>25</v>
      </c>
      <c r="BC64" s="235" t="s">
        <v>25</v>
      </c>
      <c r="BD64" s="188"/>
    </row>
    <row r="65" spans="1:56" ht="12.75" customHeight="1" x14ac:dyDescent="0.25">
      <c r="A65" s="238">
        <v>45264.756248182872</v>
      </c>
      <c r="B65" s="233" t="s">
        <v>384</v>
      </c>
      <c r="C65" s="209" t="s">
        <v>587</v>
      </c>
      <c r="D65" s="232" t="s">
        <v>17</v>
      </c>
      <c r="E65" s="232" t="s">
        <v>515</v>
      </c>
      <c r="F65" s="209" t="s">
        <v>661</v>
      </c>
      <c r="G65" s="232" t="s">
        <v>18</v>
      </c>
      <c r="H65" s="232">
        <v>11</v>
      </c>
      <c r="I65" s="209" t="s">
        <v>518</v>
      </c>
      <c r="J65" s="209" t="s">
        <v>529</v>
      </c>
      <c r="K65" s="209" t="s">
        <v>529</v>
      </c>
      <c r="L65" s="209" t="s">
        <v>531</v>
      </c>
      <c r="M65" s="188"/>
      <c r="N65" s="188"/>
      <c r="O65" s="188"/>
      <c r="P65" s="188"/>
      <c r="Q65" s="209" t="s">
        <v>19</v>
      </c>
      <c r="R65" s="209" t="s">
        <v>306</v>
      </c>
      <c r="S65" s="234" t="s">
        <v>306</v>
      </c>
      <c r="T65" s="209" t="s">
        <v>306</v>
      </c>
      <c r="U65" s="209" t="s">
        <v>19</v>
      </c>
      <c r="V65" s="234" t="s">
        <v>306</v>
      </c>
      <c r="W65" s="209" t="s">
        <v>25</v>
      </c>
      <c r="X65" s="209" t="s">
        <v>306</v>
      </c>
      <c r="Y65" s="234" t="s">
        <v>25</v>
      </c>
      <c r="Z65" s="209" t="s">
        <v>25</v>
      </c>
      <c r="AA65" s="209" t="s">
        <v>19</v>
      </c>
      <c r="AB65" s="234" t="s">
        <v>306</v>
      </c>
      <c r="AC65" s="235" t="s">
        <v>306</v>
      </c>
      <c r="AD65" s="209" t="s">
        <v>25</v>
      </c>
      <c r="AE65" s="209" t="s">
        <v>306</v>
      </c>
      <c r="AF65" s="234" t="s">
        <v>25</v>
      </c>
      <c r="AG65" s="209" t="s">
        <v>25</v>
      </c>
      <c r="AH65" s="209" t="s">
        <v>306</v>
      </c>
      <c r="AI65" s="234" t="s">
        <v>25</v>
      </c>
      <c r="AJ65" s="209" t="s">
        <v>25</v>
      </c>
      <c r="AK65" s="209" t="s">
        <v>25</v>
      </c>
      <c r="AL65" s="234" t="s">
        <v>25</v>
      </c>
      <c r="AM65" s="209" t="s">
        <v>19</v>
      </c>
      <c r="AN65" s="209" t="s">
        <v>306</v>
      </c>
      <c r="AO65" s="234" t="s">
        <v>306</v>
      </c>
      <c r="AP65" s="235" t="s">
        <v>306</v>
      </c>
      <c r="AQ65" s="209" t="s">
        <v>19</v>
      </c>
      <c r="AR65" s="209" t="s">
        <v>25</v>
      </c>
      <c r="AS65" s="234" t="s">
        <v>306</v>
      </c>
      <c r="AT65" s="209" t="s">
        <v>25</v>
      </c>
      <c r="AU65" s="209" t="s">
        <v>306</v>
      </c>
      <c r="AV65" s="234" t="s">
        <v>25</v>
      </c>
      <c r="AW65" s="209" t="s">
        <v>25</v>
      </c>
      <c r="AX65" s="209" t="s">
        <v>306</v>
      </c>
      <c r="AY65" s="234" t="s">
        <v>25</v>
      </c>
      <c r="AZ65" s="209" t="s">
        <v>19</v>
      </c>
      <c r="BA65" s="209" t="s">
        <v>25</v>
      </c>
      <c r="BB65" s="234" t="s">
        <v>25</v>
      </c>
      <c r="BC65" s="235" t="s">
        <v>306</v>
      </c>
      <c r="BD65" s="188"/>
    </row>
    <row r="66" spans="1:56" ht="12.75" customHeight="1" x14ac:dyDescent="0.25">
      <c r="A66" s="238">
        <v>45266.913581134257</v>
      </c>
      <c r="B66" s="233" t="s">
        <v>384</v>
      </c>
      <c r="C66" s="209" t="s">
        <v>587</v>
      </c>
      <c r="D66" s="232" t="s">
        <v>17</v>
      </c>
      <c r="E66" s="232" t="s">
        <v>515</v>
      </c>
      <c r="F66" s="209" t="s">
        <v>662</v>
      </c>
      <c r="G66" s="232" t="s">
        <v>24</v>
      </c>
      <c r="H66" s="232">
        <v>13</v>
      </c>
      <c r="I66" s="209" t="s">
        <v>518</v>
      </c>
      <c r="J66" s="209" t="s">
        <v>529</v>
      </c>
      <c r="K66" s="209" t="s">
        <v>529</v>
      </c>
      <c r="L66" s="209" t="s">
        <v>518</v>
      </c>
      <c r="M66" s="209" t="s">
        <v>368</v>
      </c>
      <c r="N66" s="209" t="s">
        <v>375</v>
      </c>
      <c r="O66" s="209"/>
      <c r="P66" s="209"/>
      <c r="Q66" s="209" t="s">
        <v>19</v>
      </c>
      <c r="R66" s="209" t="s">
        <v>19</v>
      </c>
      <c r="S66" s="234" t="s">
        <v>19</v>
      </c>
      <c r="T66" s="209" t="s">
        <v>25</v>
      </c>
      <c r="U66" s="209" t="s">
        <v>25</v>
      </c>
      <c r="V66" s="234" t="s">
        <v>25</v>
      </c>
      <c r="W66" s="209" t="s">
        <v>25</v>
      </c>
      <c r="X66" s="209" t="s">
        <v>25</v>
      </c>
      <c r="Y66" s="234" t="s">
        <v>25</v>
      </c>
      <c r="Z66" s="209" t="s">
        <v>25</v>
      </c>
      <c r="AA66" s="209" t="s">
        <v>25</v>
      </c>
      <c r="AB66" s="234" t="s">
        <v>25</v>
      </c>
      <c r="AC66" s="235" t="s">
        <v>25</v>
      </c>
      <c r="AD66" s="209" t="s">
        <v>25</v>
      </c>
      <c r="AE66" s="209" t="s">
        <v>25</v>
      </c>
      <c r="AF66" s="234" t="s">
        <v>25</v>
      </c>
      <c r="AG66" s="209" t="s">
        <v>25</v>
      </c>
      <c r="AH66" s="209" t="s">
        <v>25</v>
      </c>
      <c r="AI66" s="234" t="s">
        <v>25</v>
      </c>
      <c r="AJ66" s="209" t="s">
        <v>25</v>
      </c>
      <c r="AK66" s="209" t="s">
        <v>25</v>
      </c>
      <c r="AL66" s="234" t="s">
        <v>25</v>
      </c>
      <c r="AM66" s="209" t="s">
        <v>25</v>
      </c>
      <c r="AN66" s="209" t="s">
        <v>25</v>
      </c>
      <c r="AO66" s="234" t="s">
        <v>25</v>
      </c>
      <c r="AP66" s="235" t="s">
        <v>25</v>
      </c>
      <c r="AQ66" s="209" t="s">
        <v>25</v>
      </c>
      <c r="AR66" s="209" t="s">
        <v>25</v>
      </c>
      <c r="AS66" s="234" t="s">
        <v>25</v>
      </c>
      <c r="AT66" s="209" t="s">
        <v>25</v>
      </c>
      <c r="AU66" s="209" t="s">
        <v>25</v>
      </c>
      <c r="AV66" s="234" t="s">
        <v>25</v>
      </c>
      <c r="AW66" s="209" t="s">
        <v>25</v>
      </c>
      <c r="AX66" s="209" t="s">
        <v>25</v>
      </c>
      <c r="AY66" s="234" t="s">
        <v>25</v>
      </c>
      <c r="AZ66" s="209" t="s">
        <v>25</v>
      </c>
      <c r="BA66" s="209" t="s">
        <v>25</v>
      </c>
      <c r="BB66" s="234" t="s">
        <v>25</v>
      </c>
      <c r="BC66" s="235" t="s">
        <v>306</v>
      </c>
      <c r="BD66" s="188"/>
    </row>
    <row r="67" spans="1:56" ht="12.75" customHeight="1" x14ac:dyDescent="0.25">
      <c r="A67" s="238">
        <v>45268.153323888888</v>
      </c>
      <c r="B67" s="233" t="s">
        <v>384</v>
      </c>
      <c r="C67" s="209" t="s">
        <v>587</v>
      </c>
      <c r="D67" s="232" t="s">
        <v>17</v>
      </c>
      <c r="E67" s="232" t="s">
        <v>515</v>
      </c>
      <c r="F67" s="209" t="s">
        <v>663</v>
      </c>
      <c r="G67" s="232" t="s">
        <v>24</v>
      </c>
      <c r="H67" s="232">
        <v>12</v>
      </c>
      <c r="I67" s="209" t="s">
        <v>518</v>
      </c>
      <c r="J67" s="209" t="s">
        <v>529</v>
      </c>
      <c r="K67" s="209" t="s">
        <v>529</v>
      </c>
      <c r="L67" s="209" t="s">
        <v>531</v>
      </c>
      <c r="M67" s="188"/>
      <c r="N67" s="188"/>
      <c r="O67" s="188"/>
      <c r="P67" s="188"/>
      <c r="Q67" s="209" t="s">
        <v>25</v>
      </c>
      <c r="R67" s="209" t="s">
        <v>25</v>
      </c>
      <c r="S67" s="234" t="s">
        <v>25</v>
      </c>
      <c r="T67" s="209" t="s">
        <v>306</v>
      </c>
      <c r="U67" s="209" t="s">
        <v>25</v>
      </c>
      <c r="V67" s="234" t="s">
        <v>25</v>
      </c>
      <c r="W67" s="209" t="s">
        <v>306</v>
      </c>
      <c r="X67" s="209" t="s">
        <v>306</v>
      </c>
      <c r="Y67" s="234" t="s">
        <v>306</v>
      </c>
      <c r="Z67" s="209" t="s">
        <v>25</v>
      </c>
      <c r="AA67" s="209" t="s">
        <v>25</v>
      </c>
      <c r="AB67" s="234" t="s">
        <v>25</v>
      </c>
      <c r="AC67" s="235" t="s">
        <v>25</v>
      </c>
      <c r="AD67" s="209" t="s">
        <v>306</v>
      </c>
      <c r="AE67" s="209" t="s">
        <v>25</v>
      </c>
      <c r="AF67" s="234" t="s">
        <v>25</v>
      </c>
      <c r="AG67" s="209" t="s">
        <v>306</v>
      </c>
      <c r="AH67" s="209" t="s">
        <v>25</v>
      </c>
      <c r="AI67" s="234" t="s">
        <v>25</v>
      </c>
      <c r="AJ67" s="209" t="s">
        <v>25</v>
      </c>
      <c r="AK67" s="209" t="s">
        <v>25</v>
      </c>
      <c r="AL67" s="234" t="s">
        <v>25</v>
      </c>
      <c r="AM67" s="209" t="s">
        <v>25</v>
      </c>
      <c r="AN67" s="209" t="s">
        <v>306</v>
      </c>
      <c r="AO67" s="234" t="s">
        <v>25</v>
      </c>
      <c r="AP67" s="235" t="s">
        <v>25</v>
      </c>
      <c r="AQ67" s="209" t="s">
        <v>25</v>
      </c>
      <c r="AR67" s="209" t="s">
        <v>306</v>
      </c>
      <c r="AS67" s="234" t="s">
        <v>25</v>
      </c>
      <c r="AT67" s="209" t="s">
        <v>25</v>
      </c>
      <c r="AU67" s="209" t="s">
        <v>25</v>
      </c>
      <c r="AV67" s="234" t="s">
        <v>25</v>
      </c>
      <c r="AW67" s="209" t="s">
        <v>25</v>
      </c>
      <c r="AX67" s="209" t="s">
        <v>306</v>
      </c>
      <c r="AY67" s="234" t="s">
        <v>25</v>
      </c>
      <c r="AZ67" s="209" t="s">
        <v>25</v>
      </c>
      <c r="BA67" s="209" t="s">
        <v>306</v>
      </c>
      <c r="BB67" s="234" t="s">
        <v>306</v>
      </c>
      <c r="BC67" s="235" t="s">
        <v>306</v>
      </c>
      <c r="BD67" s="188"/>
    </row>
    <row r="68" spans="1:56" ht="12.75" customHeight="1" x14ac:dyDescent="0.25">
      <c r="A68" s="238">
        <v>44789.80083482639</v>
      </c>
      <c r="B68" s="137" t="s">
        <v>384</v>
      </c>
      <c r="C68" s="211" t="s">
        <v>595</v>
      </c>
      <c r="D68" s="211" t="s">
        <v>17</v>
      </c>
      <c r="E68" s="232" t="s">
        <v>515</v>
      </c>
      <c r="F68" s="188" t="s">
        <v>664</v>
      </c>
      <c r="G68" s="211" t="s">
        <v>18</v>
      </c>
      <c r="H68" s="211">
        <v>12</v>
      </c>
      <c r="I68" s="188" t="s">
        <v>518</v>
      </c>
      <c r="J68" s="188" t="s">
        <v>529</v>
      </c>
      <c r="K68" s="209" t="s">
        <v>529</v>
      </c>
      <c r="L68" s="188" t="s">
        <v>518</v>
      </c>
      <c r="M68" s="188" t="s">
        <v>375</v>
      </c>
      <c r="N68" s="188"/>
      <c r="O68" s="188"/>
      <c r="P68" s="188"/>
      <c r="Q68" s="188" t="s">
        <v>25</v>
      </c>
      <c r="R68" s="188" t="s">
        <v>25</v>
      </c>
      <c r="S68" s="234" t="s">
        <v>25</v>
      </c>
      <c r="T68" s="188" t="s">
        <v>306</v>
      </c>
      <c r="U68" s="188" t="s">
        <v>25</v>
      </c>
      <c r="V68" s="234" t="s">
        <v>25</v>
      </c>
      <c r="W68" s="188" t="s">
        <v>19</v>
      </c>
      <c r="X68" s="188" t="s">
        <v>306</v>
      </c>
      <c r="Y68" s="234" t="s">
        <v>306</v>
      </c>
      <c r="Z68" s="188" t="s">
        <v>306</v>
      </c>
      <c r="AA68" s="188" t="s">
        <v>25</v>
      </c>
      <c r="AB68" s="234" t="s">
        <v>25</v>
      </c>
      <c r="AC68" s="235" t="s">
        <v>306</v>
      </c>
      <c r="AD68" s="188" t="s">
        <v>306</v>
      </c>
      <c r="AE68" s="188" t="s">
        <v>306</v>
      </c>
      <c r="AF68" s="234" t="s">
        <v>306</v>
      </c>
      <c r="AG68" s="188" t="s">
        <v>25</v>
      </c>
      <c r="AH68" s="188" t="s">
        <v>19</v>
      </c>
      <c r="AI68" s="234" t="s">
        <v>306</v>
      </c>
      <c r="AJ68" s="188" t="s">
        <v>19</v>
      </c>
      <c r="AK68" s="188" t="s">
        <v>25</v>
      </c>
      <c r="AL68" s="234" t="s">
        <v>306</v>
      </c>
      <c r="AM68" s="188" t="s">
        <v>19</v>
      </c>
      <c r="AN68" s="188" t="s">
        <v>25</v>
      </c>
      <c r="AO68" s="234" t="s">
        <v>306</v>
      </c>
      <c r="AP68" s="235" t="s">
        <v>306</v>
      </c>
      <c r="AQ68" s="188" t="s">
        <v>25</v>
      </c>
      <c r="AR68" s="188" t="s">
        <v>25</v>
      </c>
      <c r="AS68" s="234" t="s">
        <v>25</v>
      </c>
      <c r="AT68" s="188" t="s">
        <v>25</v>
      </c>
      <c r="AU68" s="188" t="s">
        <v>25</v>
      </c>
      <c r="AV68" s="234" t="s">
        <v>25</v>
      </c>
      <c r="AW68" s="188" t="s">
        <v>25</v>
      </c>
      <c r="AX68" s="188" t="s">
        <v>306</v>
      </c>
      <c r="AY68" s="234" t="s">
        <v>25</v>
      </c>
      <c r="AZ68" s="188" t="s">
        <v>25</v>
      </c>
      <c r="BA68" s="188" t="s">
        <v>25</v>
      </c>
      <c r="BB68" s="234" t="s">
        <v>25</v>
      </c>
      <c r="BC68" s="235" t="s">
        <v>25</v>
      </c>
      <c r="BD68" s="188"/>
    </row>
    <row r="69" spans="1:56" ht="12.75" customHeight="1" x14ac:dyDescent="0.25">
      <c r="A69" s="238">
        <v>44789.81928340278</v>
      </c>
      <c r="B69" s="137" t="s">
        <v>384</v>
      </c>
      <c r="C69" s="211" t="s">
        <v>595</v>
      </c>
      <c r="D69" s="211" t="s">
        <v>17</v>
      </c>
      <c r="E69" s="232" t="s">
        <v>515</v>
      </c>
      <c r="F69" s="188" t="s">
        <v>528</v>
      </c>
      <c r="G69" s="211" t="s">
        <v>24</v>
      </c>
      <c r="H69" s="211">
        <v>12</v>
      </c>
      <c r="I69" s="188" t="s">
        <v>518</v>
      </c>
      <c r="J69" s="188" t="s">
        <v>529</v>
      </c>
      <c r="K69" s="209" t="s">
        <v>529</v>
      </c>
      <c r="L69" s="188" t="s">
        <v>518</v>
      </c>
      <c r="M69" s="188" t="s">
        <v>401</v>
      </c>
      <c r="N69" s="188"/>
      <c r="O69" s="188"/>
      <c r="P69" s="188"/>
      <c r="Q69" s="188" t="s">
        <v>306</v>
      </c>
      <c r="R69" s="188" t="s">
        <v>306</v>
      </c>
      <c r="S69" s="234" t="s">
        <v>306</v>
      </c>
      <c r="T69" s="188" t="s">
        <v>306</v>
      </c>
      <c r="U69" s="188" t="s">
        <v>19</v>
      </c>
      <c r="V69" s="234" t="s">
        <v>306</v>
      </c>
      <c r="W69" s="188" t="s">
        <v>25</v>
      </c>
      <c r="X69" s="188" t="s">
        <v>306</v>
      </c>
      <c r="Y69" s="234" t="s">
        <v>25</v>
      </c>
      <c r="Z69" s="188" t="s">
        <v>306</v>
      </c>
      <c r="AA69" s="188" t="s">
        <v>19</v>
      </c>
      <c r="AB69" s="234" t="s">
        <v>306</v>
      </c>
      <c r="AC69" s="235" t="s">
        <v>306</v>
      </c>
      <c r="AD69" s="188" t="s">
        <v>306</v>
      </c>
      <c r="AE69" s="188" t="s">
        <v>19</v>
      </c>
      <c r="AF69" s="234" t="s">
        <v>306</v>
      </c>
      <c r="AG69" s="188" t="s">
        <v>306</v>
      </c>
      <c r="AH69" s="188" t="s">
        <v>306</v>
      </c>
      <c r="AI69" s="234" t="s">
        <v>306</v>
      </c>
      <c r="AJ69" s="188" t="s">
        <v>306</v>
      </c>
      <c r="AK69" s="188" t="s">
        <v>306</v>
      </c>
      <c r="AL69" s="234" t="s">
        <v>306</v>
      </c>
      <c r="AM69" s="188" t="s">
        <v>306</v>
      </c>
      <c r="AN69" s="188" t="s">
        <v>306</v>
      </c>
      <c r="AO69" s="234" t="s">
        <v>306</v>
      </c>
      <c r="AP69" s="235" t="s">
        <v>306</v>
      </c>
      <c r="AQ69" s="188" t="s">
        <v>306</v>
      </c>
      <c r="AR69" s="188" t="s">
        <v>306</v>
      </c>
      <c r="AS69" s="234" t="s">
        <v>306</v>
      </c>
      <c r="AT69" s="188" t="s">
        <v>306</v>
      </c>
      <c r="AU69" s="188" t="s">
        <v>306</v>
      </c>
      <c r="AV69" s="234" t="s">
        <v>306</v>
      </c>
      <c r="AW69" s="188" t="s">
        <v>306</v>
      </c>
      <c r="AX69" s="188" t="s">
        <v>306</v>
      </c>
      <c r="AY69" s="234" t="s">
        <v>306</v>
      </c>
      <c r="AZ69" s="188" t="s">
        <v>19</v>
      </c>
      <c r="BA69" s="188" t="s">
        <v>306</v>
      </c>
      <c r="BB69" s="234" t="s">
        <v>25</v>
      </c>
      <c r="BC69" s="235" t="s">
        <v>25</v>
      </c>
      <c r="BD69" s="188"/>
    </row>
    <row r="70" spans="1:56" ht="12.75" customHeight="1" x14ac:dyDescent="0.25">
      <c r="A70" s="211">
        <v>56</v>
      </c>
      <c r="B70" s="137" t="s">
        <v>384</v>
      </c>
      <c r="C70" s="211" t="s">
        <v>595</v>
      </c>
      <c r="D70" s="211" t="s">
        <v>17</v>
      </c>
      <c r="E70" s="232" t="s">
        <v>605</v>
      </c>
      <c r="F70" s="188" t="s">
        <v>665</v>
      </c>
      <c r="G70" s="211" t="s">
        <v>18</v>
      </c>
      <c r="H70" s="211">
        <v>18</v>
      </c>
      <c r="I70" s="188" t="s">
        <v>518</v>
      </c>
      <c r="J70" s="188" t="s">
        <v>529</v>
      </c>
      <c r="K70" s="209" t="s">
        <v>529</v>
      </c>
      <c r="L70" s="188" t="s">
        <v>531</v>
      </c>
      <c r="M70" s="188" t="s">
        <v>666</v>
      </c>
      <c r="N70" s="188"/>
      <c r="O70" s="211" t="s">
        <v>531</v>
      </c>
      <c r="P70" s="188" t="s">
        <v>640</v>
      </c>
      <c r="Q70" s="188" t="s">
        <v>306</v>
      </c>
      <c r="R70" s="188" t="s">
        <v>306</v>
      </c>
      <c r="S70" s="234" t="s">
        <v>306</v>
      </c>
      <c r="T70" s="188" t="s">
        <v>306</v>
      </c>
      <c r="U70" s="188" t="s">
        <v>306</v>
      </c>
      <c r="V70" s="234" t="s">
        <v>306</v>
      </c>
      <c r="W70" s="188" t="s">
        <v>306</v>
      </c>
      <c r="X70" s="188" t="s">
        <v>306</v>
      </c>
      <c r="Y70" s="234" t="s">
        <v>306</v>
      </c>
      <c r="Z70" s="188" t="s">
        <v>306</v>
      </c>
      <c r="AA70" s="188" t="s">
        <v>306</v>
      </c>
      <c r="AB70" s="234" t="s">
        <v>306</v>
      </c>
      <c r="AC70" s="235" t="s">
        <v>306</v>
      </c>
      <c r="AD70" s="188" t="s">
        <v>306</v>
      </c>
      <c r="AE70" s="188" t="s">
        <v>306</v>
      </c>
      <c r="AF70" s="234" t="s">
        <v>306</v>
      </c>
      <c r="AG70" s="188" t="s">
        <v>306</v>
      </c>
      <c r="AH70" s="188" t="s">
        <v>306</v>
      </c>
      <c r="AI70" s="234" t="s">
        <v>306</v>
      </c>
      <c r="AJ70" s="188" t="s">
        <v>306</v>
      </c>
      <c r="AK70" s="188" t="s">
        <v>306</v>
      </c>
      <c r="AL70" s="234" t="s">
        <v>306</v>
      </c>
      <c r="AM70" s="188" t="s">
        <v>19</v>
      </c>
      <c r="AN70" s="188" t="s">
        <v>19</v>
      </c>
      <c r="AO70" s="234" t="s">
        <v>19</v>
      </c>
      <c r="AP70" s="235" t="s">
        <v>306</v>
      </c>
      <c r="AQ70" s="188" t="s">
        <v>25</v>
      </c>
      <c r="AR70" s="188" t="s">
        <v>25</v>
      </c>
      <c r="AS70" s="234" t="s">
        <v>25</v>
      </c>
      <c r="AT70" s="188" t="s">
        <v>25</v>
      </c>
      <c r="AU70" s="188" t="s">
        <v>25</v>
      </c>
      <c r="AV70" s="234" t="s">
        <v>25</v>
      </c>
      <c r="AW70" s="188" t="s">
        <v>306</v>
      </c>
      <c r="AX70" s="188" t="s">
        <v>306</v>
      </c>
      <c r="AY70" s="234" t="s">
        <v>306</v>
      </c>
      <c r="AZ70" s="188" t="s">
        <v>306</v>
      </c>
      <c r="BA70" s="188" t="s">
        <v>306</v>
      </c>
      <c r="BB70" s="234" t="s">
        <v>25</v>
      </c>
      <c r="BC70" s="235" t="s">
        <v>25</v>
      </c>
      <c r="BD70" s="188"/>
    </row>
    <row r="71" spans="1:56" ht="12.75" customHeight="1" x14ac:dyDescent="0.25">
      <c r="A71" s="238">
        <v>45271.915744675927</v>
      </c>
      <c r="B71" s="233" t="s">
        <v>395</v>
      </c>
      <c r="C71" s="209" t="s">
        <v>587</v>
      </c>
      <c r="D71" s="232" t="s">
        <v>17</v>
      </c>
      <c r="E71" s="232" t="s">
        <v>515</v>
      </c>
      <c r="F71" s="209" t="s">
        <v>667</v>
      </c>
      <c r="G71" s="232" t="s">
        <v>18</v>
      </c>
      <c r="H71" s="232">
        <v>12</v>
      </c>
      <c r="I71" s="209" t="s">
        <v>518</v>
      </c>
      <c r="J71" s="209" t="s">
        <v>529</v>
      </c>
      <c r="K71" s="209" t="s">
        <v>529</v>
      </c>
      <c r="L71" s="209" t="s">
        <v>531</v>
      </c>
      <c r="M71" s="188"/>
      <c r="N71" s="188"/>
      <c r="O71" s="188"/>
      <c r="P71" s="188"/>
      <c r="Q71" s="209" t="s">
        <v>25</v>
      </c>
      <c r="R71" s="209" t="s">
        <v>306</v>
      </c>
      <c r="S71" s="234" t="s">
        <v>25</v>
      </c>
      <c r="T71" s="209" t="s">
        <v>19</v>
      </c>
      <c r="U71" s="209" t="s">
        <v>25</v>
      </c>
      <c r="V71" s="234" t="s">
        <v>306</v>
      </c>
      <c r="W71" s="209" t="s">
        <v>19</v>
      </c>
      <c r="X71" s="209" t="s">
        <v>19</v>
      </c>
      <c r="Y71" s="234" t="s">
        <v>19</v>
      </c>
      <c r="Z71" s="209" t="s">
        <v>19</v>
      </c>
      <c r="AA71" s="209" t="s">
        <v>19</v>
      </c>
      <c r="AB71" s="234" t="s">
        <v>19</v>
      </c>
      <c r="AC71" s="235" t="s">
        <v>306</v>
      </c>
      <c r="AD71" s="209" t="s">
        <v>19</v>
      </c>
      <c r="AE71" s="209" t="s">
        <v>19</v>
      </c>
      <c r="AF71" s="234" t="s">
        <v>19</v>
      </c>
      <c r="AG71" s="209" t="s">
        <v>19</v>
      </c>
      <c r="AH71" s="209" t="s">
        <v>19</v>
      </c>
      <c r="AI71" s="234" t="s">
        <v>19</v>
      </c>
      <c r="AJ71" s="209" t="s">
        <v>19</v>
      </c>
      <c r="AK71" s="209" t="s">
        <v>19</v>
      </c>
      <c r="AL71" s="234" t="s">
        <v>19</v>
      </c>
      <c r="AM71" s="209" t="s">
        <v>19</v>
      </c>
      <c r="AN71" s="209" t="s">
        <v>19</v>
      </c>
      <c r="AO71" s="234" t="s">
        <v>19</v>
      </c>
      <c r="AP71" s="235" t="s">
        <v>19</v>
      </c>
      <c r="AQ71" s="209" t="s">
        <v>19</v>
      </c>
      <c r="AR71" s="209" t="s">
        <v>25</v>
      </c>
      <c r="AS71" s="234" t="s">
        <v>306</v>
      </c>
      <c r="AT71" s="209" t="s">
        <v>25</v>
      </c>
      <c r="AU71" s="209" t="s">
        <v>25</v>
      </c>
      <c r="AV71" s="234" t="s">
        <v>25</v>
      </c>
      <c r="AW71" s="209" t="s">
        <v>25</v>
      </c>
      <c r="AX71" s="209" t="s">
        <v>19</v>
      </c>
      <c r="AY71" s="234" t="s">
        <v>306</v>
      </c>
      <c r="AZ71" s="209" t="s">
        <v>19</v>
      </c>
      <c r="BA71" s="209" t="s">
        <v>25</v>
      </c>
      <c r="BB71" s="234" t="s">
        <v>306</v>
      </c>
      <c r="BC71" s="235" t="s">
        <v>306</v>
      </c>
      <c r="BD71" s="188"/>
    </row>
    <row r="72" spans="1:56" ht="12.75" customHeight="1" x14ac:dyDescent="0.25">
      <c r="A72" s="238">
        <v>44785.451939606486</v>
      </c>
      <c r="B72" s="137" t="s">
        <v>395</v>
      </c>
      <c r="C72" s="211" t="s">
        <v>595</v>
      </c>
      <c r="D72" s="211" t="s">
        <v>17</v>
      </c>
      <c r="E72" s="232" t="s">
        <v>515</v>
      </c>
      <c r="F72" s="188" t="s">
        <v>668</v>
      </c>
      <c r="G72" s="211" t="s">
        <v>18</v>
      </c>
      <c r="H72" s="211">
        <v>12</v>
      </c>
      <c r="I72" s="188" t="s">
        <v>518</v>
      </c>
      <c r="J72" s="188" t="s">
        <v>529</v>
      </c>
      <c r="K72" s="209" t="s">
        <v>529</v>
      </c>
      <c r="L72" s="188" t="s">
        <v>531</v>
      </c>
      <c r="M72" s="188" t="s">
        <v>614</v>
      </c>
      <c r="N72" s="188"/>
      <c r="O72" s="188"/>
      <c r="P72" s="188"/>
      <c r="Q72" s="188" t="s">
        <v>25</v>
      </c>
      <c r="R72" s="188" t="s">
        <v>25</v>
      </c>
      <c r="S72" s="234" t="s">
        <v>25</v>
      </c>
      <c r="T72" s="188" t="s">
        <v>306</v>
      </c>
      <c r="U72" s="188" t="s">
        <v>25</v>
      </c>
      <c r="V72" s="234" t="s">
        <v>25</v>
      </c>
      <c r="W72" s="188" t="s">
        <v>19</v>
      </c>
      <c r="X72" s="188" t="s">
        <v>25</v>
      </c>
      <c r="Y72" s="234" t="s">
        <v>306</v>
      </c>
      <c r="Z72" s="188" t="s">
        <v>25</v>
      </c>
      <c r="AA72" s="188" t="s">
        <v>306</v>
      </c>
      <c r="AB72" s="234" t="s">
        <v>25</v>
      </c>
      <c r="AC72" s="235" t="s">
        <v>25</v>
      </c>
      <c r="AD72" s="188" t="s">
        <v>19</v>
      </c>
      <c r="AE72" s="188" t="s">
        <v>19</v>
      </c>
      <c r="AF72" s="234" t="s">
        <v>19</v>
      </c>
      <c r="AG72" s="188" t="s">
        <v>25</v>
      </c>
      <c r="AH72" s="188" t="s">
        <v>306</v>
      </c>
      <c r="AI72" s="234" t="s">
        <v>25</v>
      </c>
      <c r="AJ72" s="188" t="s">
        <v>25</v>
      </c>
      <c r="AK72" s="188" t="s">
        <v>25</v>
      </c>
      <c r="AL72" s="234" t="s">
        <v>25</v>
      </c>
      <c r="AM72" s="188" t="s">
        <v>306</v>
      </c>
      <c r="AN72" s="188" t="s">
        <v>306</v>
      </c>
      <c r="AO72" s="234" t="s">
        <v>306</v>
      </c>
      <c r="AP72" s="235" t="s">
        <v>306</v>
      </c>
      <c r="AQ72" s="188" t="s">
        <v>25</v>
      </c>
      <c r="AR72" s="188" t="s">
        <v>25</v>
      </c>
      <c r="AS72" s="234" t="s">
        <v>25</v>
      </c>
      <c r="AT72" s="188" t="s">
        <v>25</v>
      </c>
      <c r="AU72" s="188" t="s">
        <v>25</v>
      </c>
      <c r="AV72" s="234" t="s">
        <v>25</v>
      </c>
      <c r="AW72" s="188" t="s">
        <v>306</v>
      </c>
      <c r="AX72" s="188" t="s">
        <v>25</v>
      </c>
      <c r="AY72" s="234" t="s">
        <v>25</v>
      </c>
      <c r="AZ72" s="188" t="s">
        <v>25</v>
      </c>
      <c r="BA72" s="188" t="s">
        <v>25</v>
      </c>
      <c r="BB72" s="234" t="s">
        <v>25</v>
      </c>
      <c r="BC72" s="235" t="s">
        <v>25</v>
      </c>
      <c r="BD72" s="188"/>
    </row>
    <row r="73" spans="1:56" ht="12.75" customHeight="1" x14ac:dyDescent="0.25">
      <c r="A73" s="239">
        <v>44796.743678854167</v>
      </c>
      <c r="B73" s="137" t="s">
        <v>406</v>
      </c>
      <c r="C73" s="211" t="s">
        <v>595</v>
      </c>
      <c r="D73" s="211" t="s">
        <v>17</v>
      </c>
      <c r="E73" s="232" t="s">
        <v>515</v>
      </c>
      <c r="F73" s="188" t="s">
        <v>669</v>
      </c>
      <c r="G73" s="211" t="s">
        <v>24</v>
      </c>
      <c r="H73" s="211">
        <v>12</v>
      </c>
      <c r="I73" s="188" t="s">
        <v>518</v>
      </c>
      <c r="J73" s="188" t="s">
        <v>529</v>
      </c>
      <c r="K73" s="209" t="s">
        <v>529</v>
      </c>
      <c r="L73" s="188" t="s">
        <v>531</v>
      </c>
      <c r="M73" s="188" t="s">
        <v>614</v>
      </c>
      <c r="N73" s="188"/>
      <c r="O73" s="188"/>
      <c r="P73" s="188"/>
      <c r="Q73" s="188" t="s">
        <v>25</v>
      </c>
      <c r="R73" s="188" t="s">
        <v>306</v>
      </c>
      <c r="S73" s="234" t="s">
        <v>25</v>
      </c>
      <c r="T73" s="188" t="s">
        <v>306</v>
      </c>
      <c r="U73" s="188" t="s">
        <v>25</v>
      </c>
      <c r="V73" s="234" t="s">
        <v>25</v>
      </c>
      <c r="W73" s="188" t="s">
        <v>25</v>
      </c>
      <c r="X73" s="188" t="s">
        <v>25</v>
      </c>
      <c r="Y73" s="234" t="s">
        <v>25</v>
      </c>
      <c r="Z73" s="188" t="s">
        <v>25</v>
      </c>
      <c r="AA73" s="188" t="s">
        <v>19</v>
      </c>
      <c r="AB73" s="234" t="s">
        <v>306</v>
      </c>
      <c r="AC73" s="235" t="s">
        <v>25</v>
      </c>
      <c r="AD73" s="188" t="s">
        <v>25</v>
      </c>
      <c r="AE73" s="188" t="s">
        <v>25</v>
      </c>
      <c r="AF73" s="234" t="s">
        <v>25</v>
      </c>
      <c r="AG73" s="188" t="s">
        <v>306</v>
      </c>
      <c r="AH73" s="188" t="s">
        <v>306</v>
      </c>
      <c r="AI73" s="234" t="s">
        <v>306</v>
      </c>
      <c r="AJ73" s="188" t="s">
        <v>19</v>
      </c>
      <c r="AK73" s="188" t="s">
        <v>25</v>
      </c>
      <c r="AL73" s="234" t="s">
        <v>306</v>
      </c>
      <c r="AM73" s="188" t="s">
        <v>19</v>
      </c>
      <c r="AN73" s="188" t="s">
        <v>306</v>
      </c>
      <c r="AO73" s="234" t="s">
        <v>306</v>
      </c>
      <c r="AP73" s="235" t="s">
        <v>306</v>
      </c>
      <c r="AQ73" s="188" t="s">
        <v>25</v>
      </c>
      <c r="AR73" s="188" t="s">
        <v>25</v>
      </c>
      <c r="AS73" s="234" t="s">
        <v>25</v>
      </c>
      <c r="AT73" s="188" t="s">
        <v>25</v>
      </c>
      <c r="AU73" s="188" t="s">
        <v>25</v>
      </c>
      <c r="AV73" s="234" t="s">
        <v>25</v>
      </c>
      <c r="AW73" s="188" t="s">
        <v>19</v>
      </c>
      <c r="AX73" s="188" t="s">
        <v>25</v>
      </c>
      <c r="AY73" s="234" t="s">
        <v>306</v>
      </c>
      <c r="AZ73" s="188" t="s">
        <v>25</v>
      </c>
      <c r="BA73" s="188" t="s">
        <v>25</v>
      </c>
      <c r="BB73" s="234" t="s">
        <v>25</v>
      </c>
      <c r="BC73" s="235" t="s">
        <v>25</v>
      </c>
      <c r="BD73" s="188"/>
    </row>
    <row r="74" spans="1:56" ht="12.75" customHeight="1" x14ac:dyDescent="0.25">
      <c r="A74" s="238">
        <v>45260.417741898149</v>
      </c>
      <c r="B74" s="233" t="s">
        <v>427</v>
      </c>
      <c r="C74" s="232" t="s">
        <v>587</v>
      </c>
      <c r="D74" s="232" t="s">
        <v>17</v>
      </c>
      <c r="E74" s="232" t="s">
        <v>605</v>
      </c>
      <c r="F74" s="209" t="s">
        <v>670</v>
      </c>
      <c r="G74" s="232" t="s">
        <v>18</v>
      </c>
      <c r="H74" s="232">
        <v>16</v>
      </c>
      <c r="I74" s="209" t="s">
        <v>518</v>
      </c>
      <c r="J74" s="209" t="s">
        <v>529</v>
      </c>
      <c r="K74" s="209" t="s">
        <v>529</v>
      </c>
      <c r="L74" s="209" t="s">
        <v>518</v>
      </c>
      <c r="M74" s="209" t="s">
        <v>401</v>
      </c>
      <c r="N74" s="209" t="s">
        <v>653</v>
      </c>
      <c r="O74" s="232" t="s">
        <v>518</v>
      </c>
      <c r="P74" s="209" t="s">
        <v>671</v>
      </c>
      <c r="Q74" s="209" t="s">
        <v>25</v>
      </c>
      <c r="R74" s="209" t="s">
        <v>25</v>
      </c>
      <c r="S74" s="234" t="s">
        <v>25</v>
      </c>
      <c r="T74" s="209" t="s">
        <v>25</v>
      </c>
      <c r="U74" s="209" t="s">
        <v>25</v>
      </c>
      <c r="V74" s="234" t="s">
        <v>25</v>
      </c>
      <c r="W74" s="209" t="s">
        <v>25</v>
      </c>
      <c r="X74" s="209" t="s">
        <v>25</v>
      </c>
      <c r="Y74" s="234" t="s">
        <v>25</v>
      </c>
      <c r="Z74" s="209" t="s">
        <v>306</v>
      </c>
      <c r="AA74" s="209" t="s">
        <v>25</v>
      </c>
      <c r="AB74" s="234" t="s">
        <v>25</v>
      </c>
      <c r="AC74" s="235" t="s">
        <v>25</v>
      </c>
      <c r="AD74" s="209" t="s">
        <v>25</v>
      </c>
      <c r="AE74" s="209" t="s">
        <v>306</v>
      </c>
      <c r="AF74" s="234" t="s">
        <v>25</v>
      </c>
      <c r="AG74" s="209" t="s">
        <v>19</v>
      </c>
      <c r="AH74" s="209" t="s">
        <v>25</v>
      </c>
      <c r="AI74" s="234" t="s">
        <v>306</v>
      </c>
      <c r="AJ74" s="209" t="s">
        <v>306</v>
      </c>
      <c r="AK74" s="209" t="s">
        <v>19</v>
      </c>
      <c r="AL74" s="234" t="s">
        <v>306</v>
      </c>
      <c r="AM74" s="209" t="s">
        <v>19</v>
      </c>
      <c r="AN74" s="209" t="s">
        <v>306</v>
      </c>
      <c r="AO74" s="234" t="s">
        <v>306</v>
      </c>
      <c r="AP74" s="235" t="s">
        <v>306</v>
      </c>
      <c r="AQ74" s="209" t="s">
        <v>25</v>
      </c>
      <c r="AR74" s="209" t="s">
        <v>25</v>
      </c>
      <c r="AS74" s="234" t="s">
        <v>25</v>
      </c>
      <c r="AT74" s="209" t="s">
        <v>25</v>
      </c>
      <c r="AU74" s="209" t="s">
        <v>306</v>
      </c>
      <c r="AV74" s="234" t="s">
        <v>25</v>
      </c>
      <c r="AW74" s="209" t="s">
        <v>19</v>
      </c>
      <c r="AX74" s="209" t="s">
        <v>25</v>
      </c>
      <c r="AY74" s="234" t="s">
        <v>306</v>
      </c>
      <c r="AZ74" s="209" t="s">
        <v>25</v>
      </c>
      <c r="BA74" s="209" t="s">
        <v>25</v>
      </c>
      <c r="BB74" s="234" t="s">
        <v>306</v>
      </c>
      <c r="BC74" s="235" t="s">
        <v>306</v>
      </c>
      <c r="BD74" s="188"/>
    </row>
    <row r="75" spans="1:56" ht="12.75" customHeight="1" x14ac:dyDescent="0.25">
      <c r="A75" s="238">
        <v>45257.361186666662</v>
      </c>
      <c r="B75" s="233" t="s">
        <v>304</v>
      </c>
      <c r="C75" s="209" t="s">
        <v>587</v>
      </c>
      <c r="D75" s="232" t="s">
        <v>17</v>
      </c>
      <c r="E75" s="232" t="s">
        <v>515</v>
      </c>
      <c r="F75" s="209" t="s">
        <v>672</v>
      </c>
      <c r="G75" s="232" t="s">
        <v>18</v>
      </c>
      <c r="H75" s="232">
        <v>11</v>
      </c>
      <c r="I75" s="209" t="s">
        <v>531</v>
      </c>
      <c r="J75" s="188"/>
      <c r="K75" s="209" t="s">
        <v>539</v>
      </c>
      <c r="L75" s="209" t="s">
        <v>518</v>
      </c>
      <c r="M75" s="209" t="s">
        <v>412</v>
      </c>
      <c r="N75" s="209" t="s">
        <v>589</v>
      </c>
      <c r="O75" s="209"/>
      <c r="P75" s="209"/>
      <c r="Q75" s="209" t="s">
        <v>306</v>
      </c>
      <c r="R75" s="209" t="s">
        <v>306</v>
      </c>
      <c r="S75" s="234" t="s">
        <v>306</v>
      </c>
      <c r="T75" s="209" t="s">
        <v>19</v>
      </c>
      <c r="U75" s="209" t="s">
        <v>25</v>
      </c>
      <c r="V75" s="234" t="s">
        <v>306</v>
      </c>
      <c r="W75" s="209" t="s">
        <v>25</v>
      </c>
      <c r="X75" s="209" t="s">
        <v>19</v>
      </c>
      <c r="Y75" s="234" t="s">
        <v>306</v>
      </c>
      <c r="Z75" s="209" t="s">
        <v>306</v>
      </c>
      <c r="AA75" s="209" t="s">
        <v>19</v>
      </c>
      <c r="AB75" s="234" t="s">
        <v>306</v>
      </c>
      <c r="AC75" s="235" t="s">
        <v>306</v>
      </c>
      <c r="AD75" s="209" t="s">
        <v>306</v>
      </c>
      <c r="AE75" s="209" t="s">
        <v>306</v>
      </c>
      <c r="AF75" s="234" t="s">
        <v>306</v>
      </c>
      <c r="AG75" s="209" t="s">
        <v>306</v>
      </c>
      <c r="AH75" s="209" t="s">
        <v>19</v>
      </c>
      <c r="AI75" s="234" t="s">
        <v>306</v>
      </c>
      <c r="AJ75" s="209" t="s">
        <v>306</v>
      </c>
      <c r="AK75" s="209" t="s">
        <v>306</v>
      </c>
      <c r="AL75" s="234" t="s">
        <v>306</v>
      </c>
      <c r="AM75" s="209" t="s">
        <v>306</v>
      </c>
      <c r="AN75" s="209" t="s">
        <v>19</v>
      </c>
      <c r="AO75" s="234" t="s">
        <v>306</v>
      </c>
      <c r="AP75" s="235" t="s">
        <v>306</v>
      </c>
      <c r="AQ75" s="209" t="s">
        <v>306</v>
      </c>
      <c r="AR75" s="209" t="s">
        <v>306</v>
      </c>
      <c r="AS75" s="234" t="s">
        <v>306</v>
      </c>
      <c r="AT75" s="209" t="s">
        <v>25</v>
      </c>
      <c r="AU75" s="209" t="s">
        <v>306</v>
      </c>
      <c r="AV75" s="234" t="s">
        <v>25</v>
      </c>
      <c r="AW75" s="209" t="s">
        <v>306</v>
      </c>
      <c r="AX75" s="209" t="s">
        <v>306</v>
      </c>
      <c r="AY75" s="234" t="s">
        <v>306</v>
      </c>
      <c r="AZ75" s="209" t="s">
        <v>25</v>
      </c>
      <c r="BA75" s="209" t="s">
        <v>19</v>
      </c>
      <c r="BB75" s="234" t="s">
        <v>306</v>
      </c>
      <c r="BC75" s="235" t="s">
        <v>25</v>
      </c>
      <c r="BD75" s="188"/>
    </row>
    <row r="76" spans="1:56" ht="12.75" customHeight="1" x14ac:dyDescent="0.25">
      <c r="A76" s="238">
        <v>45257.365549490743</v>
      </c>
      <c r="B76" s="233" t="s">
        <v>304</v>
      </c>
      <c r="C76" s="209" t="s">
        <v>587</v>
      </c>
      <c r="D76" s="232" t="s">
        <v>17</v>
      </c>
      <c r="E76" s="232" t="s">
        <v>515</v>
      </c>
      <c r="F76" s="209" t="s">
        <v>673</v>
      </c>
      <c r="G76" s="232" t="s">
        <v>18</v>
      </c>
      <c r="H76" s="232">
        <v>12</v>
      </c>
      <c r="I76" s="209" t="s">
        <v>531</v>
      </c>
      <c r="J76" s="188"/>
      <c r="K76" s="209" t="s">
        <v>539</v>
      </c>
      <c r="L76" s="209" t="s">
        <v>531</v>
      </c>
      <c r="M76" s="188"/>
      <c r="N76" s="188"/>
      <c r="O76" s="188"/>
      <c r="P76" s="188"/>
      <c r="Q76" s="209" t="s">
        <v>25</v>
      </c>
      <c r="R76" s="209" t="s">
        <v>25</v>
      </c>
      <c r="S76" s="234" t="s">
        <v>25</v>
      </c>
      <c r="T76" s="209" t="s">
        <v>306</v>
      </c>
      <c r="U76" s="209" t="s">
        <v>25</v>
      </c>
      <c r="V76" s="234" t="s">
        <v>25</v>
      </c>
      <c r="W76" s="209" t="s">
        <v>306</v>
      </c>
      <c r="X76" s="209" t="s">
        <v>25</v>
      </c>
      <c r="Y76" s="234" t="s">
        <v>25</v>
      </c>
      <c r="Z76" s="209" t="s">
        <v>25</v>
      </c>
      <c r="AA76" s="209" t="s">
        <v>25</v>
      </c>
      <c r="AB76" s="234" t="s">
        <v>25</v>
      </c>
      <c r="AC76" s="235" t="s">
        <v>25</v>
      </c>
      <c r="AD76" s="209" t="s">
        <v>306</v>
      </c>
      <c r="AE76" s="209" t="s">
        <v>25</v>
      </c>
      <c r="AF76" s="234" t="s">
        <v>25</v>
      </c>
      <c r="AG76" s="209" t="s">
        <v>19</v>
      </c>
      <c r="AH76" s="209" t="s">
        <v>25</v>
      </c>
      <c r="AI76" s="234" t="s">
        <v>306</v>
      </c>
      <c r="AJ76" s="209" t="s">
        <v>306</v>
      </c>
      <c r="AK76" s="209" t="s">
        <v>306</v>
      </c>
      <c r="AL76" s="234" t="s">
        <v>306</v>
      </c>
      <c r="AM76" s="209" t="s">
        <v>19</v>
      </c>
      <c r="AN76" s="209" t="s">
        <v>306</v>
      </c>
      <c r="AO76" s="234" t="s">
        <v>306</v>
      </c>
      <c r="AP76" s="235" t="s">
        <v>306</v>
      </c>
      <c r="AQ76" s="209" t="s">
        <v>25</v>
      </c>
      <c r="AR76" s="209" t="s">
        <v>25</v>
      </c>
      <c r="AS76" s="234" t="s">
        <v>25</v>
      </c>
      <c r="AT76" s="209" t="s">
        <v>25</v>
      </c>
      <c r="AU76" s="209" t="s">
        <v>306</v>
      </c>
      <c r="AV76" s="234" t="s">
        <v>25</v>
      </c>
      <c r="AW76" s="209" t="s">
        <v>25</v>
      </c>
      <c r="AX76" s="209" t="s">
        <v>306</v>
      </c>
      <c r="AY76" s="234" t="s">
        <v>25</v>
      </c>
      <c r="AZ76" s="209" t="s">
        <v>25</v>
      </c>
      <c r="BA76" s="209" t="s">
        <v>25</v>
      </c>
      <c r="BB76" s="234" t="s">
        <v>306</v>
      </c>
      <c r="BC76" s="235" t="s">
        <v>306</v>
      </c>
      <c r="BD76" s="188"/>
    </row>
    <row r="77" spans="1:56" ht="12.75" customHeight="1" x14ac:dyDescent="0.25">
      <c r="A77" s="238">
        <v>45257.36629233796</v>
      </c>
      <c r="B77" s="233" t="s">
        <v>304</v>
      </c>
      <c r="C77" s="209" t="s">
        <v>587</v>
      </c>
      <c r="D77" s="232" t="s">
        <v>17</v>
      </c>
      <c r="E77" s="232" t="s">
        <v>515</v>
      </c>
      <c r="F77" s="209" t="s">
        <v>674</v>
      </c>
      <c r="G77" s="232" t="s">
        <v>18</v>
      </c>
      <c r="H77" s="232">
        <v>11</v>
      </c>
      <c r="I77" s="209" t="s">
        <v>531</v>
      </c>
      <c r="J77" s="188"/>
      <c r="K77" s="209" t="s">
        <v>539</v>
      </c>
      <c r="L77" s="209" t="s">
        <v>518</v>
      </c>
      <c r="M77" s="209" t="s">
        <v>412</v>
      </c>
      <c r="N77" s="209" t="s">
        <v>589</v>
      </c>
      <c r="O77" s="209"/>
      <c r="P77" s="209"/>
      <c r="Q77" s="209" t="s">
        <v>306</v>
      </c>
      <c r="R77" s="209" t="s">
        <v>19</v>
      </c>
      <c r="S77" s="234" t="s">
        <v>306</v>
      </c>
      <c r="T77" s="209" t="s">
        <v>19</v>
      </c>
      <c r="U77" s="209" t="s">
        <v>19</v>
      </c>
      <c r="V77" s="234" t="s">
        <v>19</v>
      </c>
      <c r="W77" s="209" t="s">
        <v>19</v>
      </c>
      <c r="X77" s="209" t="s">
        <v>19</v>
      </c>
      <c r="Y77" s="234" t="s">
        <v>19</v>
      </c>
      <c r="Z77" s="209" t="s">
        <v>306</v>
      </c>
      <c r="AA77" s="209" t="s">
        <v>306</v>
      </c>
      <c r="AB77" s="234" t="s">
        <v>306</v>
      </c>
      <c r="AC77" s="235" t="s">
        <v>19</v>
      </c>
      <c r="AD77" s="209" t="s">
        <v>25</v>
      </c>
      <c r="AE77" s="209" t="s">
        <v>19</v>
      </c>
      <c r="AF77" s="234" t="s">
        <v>306</v>
      </c>
      <c r="AG77" s="209" t="s">
        <v>19</v>
      </c>
      <c r="AH77" s="209" t="s">
        <v>306</v>
      </c>
      <c r="AI77" s="234" t="s">
        <v>306</v>
      </c>
      <c r="AJ77" s="209" t="s">
        <v>19</v>
      </c>
      <c r="AK77" s="209" t="s">
        <v>19</v>
      </c>
      <c r="AL77" s="234" t="s">
        <v>19</v>
      </c>
      <c r="AM77" s="209" t="s">
        <v>19</v>
      </c>
      <c r="AN77" s="209" t="s">
        <v>19</v>
      </c>
      <c r="AO77" s="234" t="s">
        <v>19</v>
      </c>
      <c r="AP77" s="235" t="s">
        <v>19</v>
      </c>
      <c r="AQ77" s="209" t="s">
        <v>19</v>
      </c>
      <c r="AR77" s="209" t="s">
        <v>19</v>
      </c>
      <c r="AS77" s="234" t="s">
        <v>19</v>
      </c>
      <c r="AT77" s="209" t="s">
        <v>306</v>
      </c>
      <c r="AU77" s="209" t="s">
        <v>25</v>
      </c>
      <c r="AV77" s="234" t="s">
        <v>25</v>
      </c>
      <c r="AW77" s="209" t="s">
        <v>306</v>
      </c>
      <c r="AX77" s="209" t="s">
        <v>19</v>
      </c>
      <c r="AY77" s="234" t="s">
        <v>306</v>
      </c>
      <c r="AZ77" s="209" t="s">
        <v>306</v>
      </c>
      <c r="BA77" s="209" t="s">
        <v>25</v>
      </c>
      <c r="BB77" s="234" t="s">
        <v>25</v>
      </c>
      <c r="BC77" s="235" t="s">
        <v>25</v>
      </c>
      <c r="BD77" s="188"/>
    </row>
    <row r="78" spans="1:56" ht="12.75" customHeight="1" x14ac:dyDescent="0.25">
      <c r="A78" s="238">
        <v>45257.368717418984</v>
      </c>
      <c r="B78" s="233" t="s">
        <v>304</v>
      </c>
      <c r="C78" s="209" t="s">
        <v>587</v>
      </c>
      <c r="D78" s="232" t="s">
        <v>17</v>
      </c>
      <c r="E78" s="232" t="s">
        <v>515</v>
      </c>
      <c r="F78" s="209" t="s">
        <v>675</v>
      </c>
      <c r="G78" s="232" t="s">
        <v>18</v>
      </c>
      <c r="H78" s="232">
        <v>11</v>
      </c>
      <c r="I78" s="209" t="s">
        <v>531</v>
      </c>
      <c r="J78" s="188"/>
      <c r="K78" s="209" t="s">
        <v>539</v>
      </c>
      <c r="L78" s="209" t="s">
        <v>518</v>
      </c>
      <c r="M78" s="209" t="s">
        <v>412</v>
      </c>
      <c r="N78" s="209" t="s">
        <v>589</v>
      </c>
      <c r="O78" s="209"/>
      <c r="P78" s="209"/>
      <c r="Q78" s="209" t="s">
        <v>25</v>
      </c>
      <c r="R78" s="209" t="s">
        <v>25</v>
      </c>
      <c r="S78" s="234" t="s">
        <v>25</v>
      </c>
      <c r="T78" s="209" t="s">
        <v>19</v>
      </c>
      <c r="U78" s="209" t="s">
        <v>25</v>
      </c>
      <c r="V78" s="234" t="s">
        <v>306</v>
      </c>
      <c r="W78" s="209" t="s">
        <v>19</v>
      </c>
      <c r="X78" s="209" t="s">
        <v>19</v>
      </c>
      <c r="Y78" s="234" t="s">
        <v>19</v>
      </c>
      <c r="Z78" s="209" t="s">
        <v>306</v>
      </c>
      <c r="AA78" s="209" t="s">
        <v>19</v>
      </c>
      <c r="AB78" s="234" t="s">
        <v>306</v>
      </c>
      <c r="AC78" s="235" t="s">
        <v>306</v>
      </c>
      <c r="AD78" s="209" t="s">
        <v>306</v>
      </c>
      <c r="AE78" s="209" t="s">
        <v>25</v>
      </c>
      <c r="AF78" s="234" t="s">
        <v>25</v>
      </c>
      <c r="AG78" s="209" t="s">
        <v>25</v>
      </c>
      <c r="AH78" s="209" t="s">
        <v>306</v>
      </c>
      <c r="AI78" s="234" t="s">
        <v>25</v>
      </c>
      <c r="AJ78" s="209" t="s">
        <v>306</v>
      </c>
      <c r="AK78" s="209" t="s">
        <v>25</v>
      </c>
      <c r="AL78" s="234" t="s">
        <v>25</v>
      </c>
      <c r="AM78" s="209" t="s">
        <v>25</v>
      </c>
      <c r="AN78" s="209" t="s">
        <v>25</v>
      </c>
      <c r="AO78" s="234" t="s">
        <v>25</v>
      </c>
      <c r="AP78" s="235" t="s">
        <v>25</v>
      </c>
      <c r="AQ78" s="209" t="s">
        <v>19</v>
      </c>
      <c r="AR78" s="209" t="s">
        <v>25</v>
      </c>
      <c r="AS78" s="234" t="s">
        <v>306</v>
      </c>
      <c r="AT78" s="209" t="s">
        <v>306</v>
      </c>
      <c r="AU78" s="209" t="s">
        <v>19</v>
      </c>
      <c r="AV78" s="234" t="s">
        <v>306</v>
      </c>
      <c r="AW78" s="209" t="s">
        <v>25</v>
      </c>
      <c r="AX78" s="209" t="s">
        <v>19</v>
      </c>
      <c r="AY78" s="234" t="s">
        <v>306</v>
      </c>
      <c r="AZ78" s="209" t="s">
        <v>19</v>
      </c>
      <c r="BA78" s="209" t="s">
        <v>19</v>
      </c>
      <c r="BB78" s="234" t="s">
        <v>25</v>
      </c>
      <c r="BC78" s="235" t="s">
        <v>306</v>
      </c>
      <c r="BD78" s="188"/>
    </row>
    <row r="79" spans="1:56" ht="12.75" customHeight="1" x14ac:dyDescent="0.25">
      <c r="A79" s="238">
        <v>45257.375712013891</v>
      </c>
      <c r="B79" s="233" t="s">
        <v>304</v>
      </c>
      <c r="C79" s="209" t="s">
        <v>587</v>
      </c>
      <c r="D79" s="232" t="s">
        <v>17</v>
      </c>
      <c r="E79" s="232" t="s">
        <v>515</v>
      </c>
      <c r="F79" s="209" t="s">
        <v>676</v>
      </c>
      <c r="G79" s="232" t="s">
        <v>24</v>
      </c>
      <c r="H79" s="232">
        <v>12</v>
      </c>
      <c r="I79" s="209" t="s">
        <v>531</v>
      </c>
      <c r="J79" s="188"/>
      <c r="K79" s="209" t="s">
        <v>539</v>
      </c>
      <c r="L79" s="209" t="s">
        <v>531</v>
      </c>
      <c r="M79" s="188"/>
      <c r="N79" s="188"/>
      <c r="O79" s="188"/>
      <c r="P79" s="188"/>
      <c r="Q79" s="209" t="s">
        <v>25</v>
      </c>
      <c r="R79" s="209" t="s">
        <v>19</v>
      </c>
      <c r="S79" s="234" t="s">
        <v>306</v>
      </c>
      <c r="T79" s="209" t="s">
        <v>19</v>
      </c>
      <c r="U79" s="209" t="s">
        <v>306</v>
      </c>
      <c r="V79" s="234" t="s">
        <v>306</v>
      </c>
      <c r="W79" s="209" t="s">
        <v>306</v>
      </c>
      <c r="X79" s="209" t="s">
        <v>25</v>
      </c>
      <c r="Y79" s="234" t="s">
        <v>25</v>
      </c>
      <c r="Z79" s="209" t="s">
        <v>19</v>
      </c>
      <c r="AA79" s="209" t="s">
        <v>306</v>
      </c>
      <c r="AB79" s="234" t="s">
        <v>306</v>
      </c>
      <c r="AC79" s="235" t="s">
        <v>306</v>
      </c>
      <c r="AD79" s="209" t="s">
        <v>19</v>
      </c>
      <c r="AE79" s="209" t="s">
        <v>25</v>
      </c>
      <c r="AF79" s="234" t="s">
        <v>306</v>
      </c>
      <c r="AG79" s="209" t="s">
        <v>25</v>
      </c>
      <c r="AH79" s="209" t="s">
        <v>19</v>
      </c>
      <c r="AI79" s="234" t="s">
        <v>306</v>
      </c>
      <c r="AJ79" s="209" t="s">
        <v>25</v>
      </c>
      <c r="AK79" s="209" t="s">
        <v>25</v>
      </c>
      <c r="AL79" s="234" t="s">
        <v>25</v>
      </c>
      <c r="AM79" s="209" t="s">
        <v>25</v>
      </c>
      <c r="AN79" s="209" t="s">
        <v>306</v>
      </c>
      <c r="AO79" s="234" t="s">
        <v>25</v>
      </c>
      <c r="AP79" s="235" t="s">
        <v>306</v>
      </c>
      <c r="AQ79" s="209" t="s">
        <v>19</v>
      </c>
      <c r="AR79" s="209" t="s">
        <v>306</v>
      </c>
      <c r="AS79" s="234" t="s">
        <v>306</v>
      </c>
      <c r="AT79" s="209" t="s">
        <v>306</v>
      </c>
      <c r="AU79" s="209" t="s">
        <v>25</v>
      </c>
      <c r="AV79" s="234" t="s">
        <v>25</v>
      </c>
      <c r="AW79" s="209" t="s">
        <v>306</v>
      </c>
      <c r="AX79" s="209" t="s">
        <v>25</v>
      </c>
      <c r="AY79" s="234" t="s">
        <v>25</v>
      </c>
      <c r="AZ79" s="209" t="s">
        <v>19</v>
      </c>
      <c r="BA79" s="209" t="s">
        <v>19</v>
      </c>
      <c r="BB79" s="234" t="s">
        <v>25</v>
      </c>
      <c r="BC79" s="235" t="s">
        <v>25</v>
      </c>
      <c r="BD79" s="188"/>
    </row>
    <row r="80" spans="1:56" ht="12.75" customHeight="1" x14ac:dyDescent="0.25">
      <c r="A80" s="238">
        <v>45257.377775439818</v>
      </c>
      <c r="B80" s="233" t="s">
        <v>304</v>
      </c>
      <c r="C80" s="209" t="s">
        <v>587</v>
      </c>
      <c r="D80" s="232" t="s">
        <v>17</v>
      </c>
      <c r="E80" s="232" t="s">
        <v>515</v>
      </c>
      <c r="F80" s="209" t="s">
        <v>677</v>
      </c>
      <c r="G80" s="232" t="s">
        <v>18</v>
      </c>
      <c r="H80" s="232">
        <v>11</v>
      </c>
      <c r="I80" s="209" t="s">
        <v>531</v>
      </c>
      <c r="J80" s="188"/>
      <c r="K80" s="209" t="s">
        <v>539</v>
      </c>
      <c r="L80" s="209" t="s">
        <v>518</v>
      </c>
      <c r="M80" s="209" t="s">
        <v>412</v>
      </c>
      <c r="N80" s="209" t="s">
        <v>589</v>
      </c>
      <c r="O80" s="209"/>
      <c r="P80" s="209"/>
      <c r="Q80" s="209" t="s">
        <v>306</v>
      </c>
      <c r="R80" s="209" t="s">
        <v>19</v>
      </c>
      <c r="S80" s="234" t="s">
        <v>306</v>
      </c>
      <c r="T80" s="209" t="s">
        <v>19</v>
      </c>
      <c r="U80" s="209" t="s">
        <v>306</v>
      </c>
      <c r="V80" s="234" t="s">
        <v>306</v>
      </c>
      <c r="W80" s="209" t="s">
        <v>19</v>
      </c>
      <c r="X80" s="209" t="s">
        <v>19</v>
      </c>
      <c r="Y80" s="234" t="s">
        <v>19</v>
      </c>
      <c r="Z80" s="209" t="s">
        <v>306</v>
      </c>
      <c r="AA80" s="209" t="s">
        <v>19</v>
      </c>
      <c r="AB80" s="234" t="s">
        <v>306</v>
      </c>
      <c r="AC80" s="235" t="s">
        <v>19</v>
      </c>
      <c r="AD80" s="209" t="s">
        <v>306</v>
      </c>
      <c r="AE80" s="209" t="s">
        <v>25</v>
      </c>
      <c r="AF80" s="234" t="s">
        <v>25</v>
      </c>
      <c r="AG80" s="209" t="s">
        <v>19</v>
      </c>
      <c r="AH80" s="209" t="s">
        <v>19</v>
      </c>
      <c r="AI80" s="234" t="s">
        <v>19</v>
      </c>
      <c r="AJ80" s="209" t="s">
        <v>19</v>
      </c>
      <c r="AK80" s="209" t="s">
        <v>19</v>
      </c>
      <c r="AL80" s="234" t="s">
        <v>19</v>
      </c>
      <c r="AM80" s="209" t="s">
        <v>19</v>
      </c>
      <c r="AN80" s="209" t="s">
        <v>19</v>
      </c>
      <c r="AO80" s="234" t="s">
        <v>19</v>
      </c>
      <c r="AP80" s="235" t="s">
        <v>19</v>
      </c>
      <c r="AQ80" s="209" t="s">
        <v>306</v>
      </c>
      <c r="AR80" s="209" t="s">
        <v>19</v>
      </c>
      <c r="AS80" s="234" t="s">
        <v>306</v>
      </c>
      <c r="AT80" s="209" t="s">
        <v>25</v>
      </c>
      <c r="AU80" s="209" t="s">
        <v>19</v>
      </c>
      <c r="AV80" s="234" t="s">
        <v>306</v>
      </c>
      <c r="AW80" s="209" t="s">
        <v>19</v>
      </c>
      <c r="AX80" s="209" t="s">
        <v>19</v>
      </c>
      <c r="AY80" s="234" t="s">
        <v>19</v>
      </c>
      <c r="AZ80" s="209" t="s">
        <v>306</v>
      </c>
      <c r="BA80" s="209" t="s">
        <v>19</v>
      </c>
      <c r="BB80" s="234" t="s">
        <v>306</v>
      </c>
      <c r="BC80" s="235" t="s">
        <v>306</v>
      </c>
      <c r="BD80" s="188"/>
    </row>
    <row r="81" spans="1:56" ht="12.75" customHeight="1" x14ac:dyDescent="0.25">
      <c r="A81" s="238">
        <v>45257.380517812504</v>
      </c>
      <c r="B81" s="233" t="s">
        <v>304</v>
      </c>
      <c r="C81" s="209" t="s">
        <v>587</v>
      </c>
      <c r="D81" s="232" t="s">
        <v>17</v>
      </c>
      <c r="E81" s="232" t="s">
        <v>515</v>
      </c>
      <c r="F81" s="209" t="s">
        <v>678</v>
      </c>
      <c r="G81" s="232" t="s">
        <v>18</v>
      </c>
      <c r="H81" s="232">
        <v>11</v>
      </c>
      <c r="I81" s="209" t="s">
        <v>531</v>
      </c>
      <c r="J81" s="188"/>
      <c r="K81" s="209" t="s">
        <v>539</v>
      </c>
      <c r="L81" s="209" t="s">
        <v>531</v>
      </c>
      <c r="M81" s="188"/>
      <c r="N81" s="188"/>
      <c r="O81" s="188"/>
      <c r="P81" s="188"/>
      <c r="Q81" s="209" t="s">
        <v>25</v>
      </c>
      <c r="R81" s="209" t="s">
        <v>25</v>
      </c>
      <c r="S81" s="234" t="s">
        <v>25</v>
      </c>
      <c r="T81" s="209" t="s">
        <v>19</v>
      </c>
      <c r="U81" s="209" t="s">
        <v>25</v>
      </c>
      <c r="V81" s="234" t="s">
        <v>306</v>
      </c>
      <c r="W81" s="209" t="s">
        <v>25</v>
      </c>
      <c r="X81" s="209" t="s">
        <v>19</v>
      </c>
      <c r="Y81" s="234" t="s">
        <v>306</v>
      </c>
      <c r="Z81" s="209" t="s">
        <v>25</v>
      </c>
      <c r="AA81" s="209" t="s">
        <v>19</v>
      </c>
      <c r="AB81" s="234" t="s">
        <v>306</v>
      </c>
      <c r="AC81" s="235" t="s">
        <v>306</v>
      </c>
      <c r="AD81" s="209" t="s">
        <v>19</v>
      </c>
      <c r="AE81" s="209" t="s">
        <v>306</v>
      </c>
      <c r="AF81" s="234" t="s">
        <v>306</v>
      </c>
      <c r="AG81" s="209" t="s">
        <v>306</v>
      </c>
      <c r="AH81" s="209" t="s">
        <v>306</v>
      </c>
      <c r="AI81" s="234" t="s">
        <v>306</v>
      </c>
      <c r="AJ81" s="209" t="s">
        <v>25</v>
      </c>
      <c r="AK81" s="209" t="s">
        <v>306</v>
      </c>
      <c r="AL81" s="234" t="s">
        <v>25</v>
      </c>
      <c r="AM81" s="209" t="s">
        <v>19</v>
      </c>
      <c r="AN81" s="209" t="s">
        <v>19</v>
      </c>
      <c r="AO81" s="234" t="s">
        <v>19</v>
      </c>
      <c r="AP81" s="235" t="s">
        <v>306</v>
      </c>
      <c r="AQ81" s="209" t="s">
        <v>19</v>
      </c>
      <c r="AR81" s="209" t="s">
        <v>306</v>
      </c>
      <c r="AS81" s="234" t="s">
        <v>306</v>
      </c>
      <c r="AT81" s="209" t="s">
        <v>25</v>
      </c>
      <c r="AU81" s="209" t="s">
        <v>306</v>
      </c>
      <c r="AV81" s="234" t="s">
        <v>25</v>
      </c>
      <c r="AW81" s="209" t="s">
        <v>306</v>
      </c>
      <c r="AX81" s="209" t="s">
        <v>19</v>
      </c>
      <c r="AY81" s="234" t="s">
        <v>306</v>
      </c>
      <c r="AZ81" s="209" t="s">
        <v>19</v>
      </c>
      <c r="BA81" s="209" t="s">
        <v>19</v>
      </c>
      <c r="BB81" s="234" t="s">
        <v>25</v>
      </c>
      <c r="BC81" s="235" t="s">
        <v>25</v>
      </c>
      <c r="BD81" s="188"/>
    </row>
    <row r="82" spans="1:56" ht="12.75" customHeight="1" x14ac:dyDescent="0.25">
      <c r="A82" s="238">
        <v>45257.386285358793</v>
      </c>
      <c r="B82" s="233" t="s">
        <v>304</v>
      </c>
      <c r="C82" s="209" t="s">
        <v>587</v>
      </c>
      <c r="D82" s="232" t="s">
        <v>17</v>
      </c>
      <c r="E82" s="232" t="s">
        <v>515</v>
      </c>
      <c r="F82" s="209" t="s">
        <v>679</v>
      </c>
      <c r="G82" s="232" t="s">
        <v>24</v>
      </c>
      <c r="H82" s="232">
        <v>11</v>
      </c>
      <c r="I82" s="209" t="s">
        <v>531</v>
      </c>
      <c r="J82" s="188"/>
      <c r="K82" s="209" t="s">
        <v>539</v>
      </c>
      <c r="L82" s="209" t="s">
        <v>518</v>
      </c>
      <c r="M82" s="209" t="s">
        <v>375</v>
      </c>
      <c r="N82" s="209" t="s">
        <v>589</v>
      </c>
      <c r="O82" s="209"/>
      <c r="P82" s="209"/>
      <c r="Q82" s="209" t="s">
        <v>25</v>
      </c>
      <c r="R82" s="209" t="s">
        <v>25</v>
      </c>
      <c r="S82" s="234" t="s">
        <v>25</v>
      </c>
      <c r="T82" s="209" t="s">
        <v>306</v>
      </c>
      <c r="U82" s="209" t="s">
        <v>25</v>
      </c>
      <c r="V82" s="234" t="s">
        <v>25</v>
      </c>
      <c r="W82" s="209" t="s">
        <v>306</v>
      </c>
      <c r="X82" s="209" t="s">
        <v>25</v>
      </c>
      <c r="Y82" s="234" t="s">
        <v>25</v>
      </c>
      <c r="Z82" s="209" t="s">
        <v>306</v>
      </c>
      <c r="AA82" s="209" t="s">
        <v>306</v>
      </c>
      <c r="AB82" s="234" t="s">
        <v>306</v>
      </c>
      <c r="AC82" s="235" t="s">
        <v>25</v>
      </c>
      <c r="AD82" s="209" t="s">
        <v>306</v>
      </c>
      <c r="AE82" s="209" t="s">
        <v>306</v>
      </c>
      <c r="AF82" s="234" t="s">
        <v>306</v>
      </c>
      <c r="AG82" s="209" t="s">
        <v>19</v>
      </c>
      <c r="AH82" s="209" t="s">
        <v>19</v>
      </c>
      <c r="AI82" s="234" t="s">
        <v>19</v>
      </c>
      <c r="AJ82" s="209" t="s">
        <v>25</v>
      </c>
      <c r="AK82" s="209" t="s">
        <v>25</v>
      </c>
      <c r="AL82" s="234" t="s">
        <v>25</v>
      </c>
      <c r="AM82" s="209" t="s">
        <v>19</v>
      </c>
      <c r="AN82" s="209" t="s">
        <v>19</v>
      </c>
      <c r="AO82" s="234" t="s">
        <v>19</v>
      </c>
      <c r="AP82" s="235" t="s">
        <v>306</v>
      </c>
      <c r="AQ82" s="209" t="s">
        <v>19</v>
      </c>
      <c r="AR82" s="209" t="s">
        <v>19</v>
      </c>
      <c r="AS82" s="234" t="s">
        <v>19</v>
      </c>
      <c r="AT82" s="209" t="s">
        <v>19</v>
      </c>
      <c r="AU82" s="209" t="s">
        <v>25</v>
      </c>
      <c r="AV82" s="234" t="s">
        <v>306</v>
      </c>
      <c r="AW82" s="209" t="s">
        <v>25</v>
      </c>
      <c r="AX82" s="209" t="s">
        <v>25</v>
      </c>
      <c r="AY82" s="234" t="s">
        <v>25</v>
      </c>
      <c r="AZ82" s="209" t="s">
        <v>25</v>
      </c>
      <c r="BA82" s="209" t="s">
        <v>25</v>
      </c>
      <c r="BB82" s="234" t="s">
        <v>19</v>
      </c>
      <c r="BC82" s="235" t="s">
        <v>19</v>
      </c>
      <c r="BD82" s="188"/>
    </row>
    <row r="83" spans="1:56" ht="12.75" customHeight="1" x14ac:dyDescent="0.25">
      <c r="A83" s="238">
        <v>45257.389596516208</v>
      </c>
      <c r="B83" s="233" t="s">
        <v>304</v>
      </c>
      <c r="C83" s="209" t="s">
        <v>587</v>
      </c>
      <c r="D83" s="232" t="s">
        <v>17</v>
      </c>
      <c r="E83" s="232" t="s">
        <v>515</v>
      </c>
      <c r="F83" s="209" t="s">
        <v>680</v>
      </c>
      <c r="G83" s="232" t="s">
        <v>24</v>
      </c>
      <c r="H83" s="232">
        <v>11</v>
      </c>
      <c r="I83" s="209" t="s">
        <v>531</v>
      </c>
      <c r="J83" s="188"/>
      <c r="K83" s="209" t="s">
        <v>539</v>
      </c>
      <c r="L83" s="209" t="s">
        <v>518</v>
      </c>
      <c r="M83" s="209" t="s">
        <v>412</v>
      </c>
      <c r="N83" s="209" t="s">
        <v>589</v>
      </c>
      <c r="O83" s="209"/>
      <c r="P83" s="209"/>
      <c r="Q83" s="209" t="s">
        <v>25</v>
      </c>
      <c r="R83" s="209" t="s">
        <v>306</v>
      </c>
      <c r="S83" s="234" t="s">
        <v>25</v>
      </c>
      <c r="T83" s="209" t="s">
        <v>19</v>
      </c>
      <c r="U83" s="209" t="s">
        <v>306</v>
      </c>
      <c r="V83" s="234" t="s">
        <v>306</v>
      </c>
      <c r="W83" s="209" t="s">
        <v>19</v>
      </c>
      <c r="X83" s="209" t="s">
        <v>306</v>
      </c>
      <c r="Y83" s="234" t="s">
        <v>306</v>
      </c>
      <c r="Z83" s="209" t="s">
        <v>25</v>
      </c>
      <c r="AA83" s="209" t="s">
        <v>25</v>
      </c>
      <c r="AB83" s="234" t="s">
        <v>25</v>
      </c>
      <c r="AC83" s="235" t="s">
        <v>306</v>
      </c>
      <c r="AD83" s="209" t="s">
        <v>19</v>
      </c>
      <c r="AE83" s="209" t="s">
        <v>25</v>
      </c>
      <c r="AF83" s="234" t="s">
        <v>306</v>
      </c>
      <c r="AG83" s="209" t="s">
        <v>25</v>
      </c>
      <c r="AH83" s="209" t="s">
        <v>25</v>
      </c>
      <c r="AI83" s="234" t="s">
        <v>25</v>
      </c>
      <c r="AJ83" s="209" t="s">
        <v>306</v>
      </c>
      <c r="AK83" s="209" t="s">
        <v>306</v>
      </c>
      <c r="AL83" s="234" t="s">
        <v>306</v>
      </c>
      <c r="AM83" s="209" t="s">
        <v>25</v>
      </c>
      <c r="AN83" s="209" t="s">
        <v>19</v>
      </c>
      <c r="AO83" s="234" t="s">
        <v>306</v>
      </c>
      <c r="AP83" s="235" t="s">
        <v>306</v>
      </c>
      <c r="AQ83" s="209" t="s">
        <v>306</v>
      </c>
      <c r="AR83" s="209" t="s">
        <v>25</v>
      </c>
      <c r="AS83" s="234" t="s">
        <v>25</v>
      </c>
      <c r="AT83" s="209" t="s">
        <v>25</v>
      </c>
      <c r="AU83" s="209" t="s">
        <v>25</v>
      </c>
      <c r="AV83" s="234" t="s">
        <v>25</v>
      </c>
      <c r="AW83" s="209" t="s">
        <v>25</v>
      </c>
      <c r="AX83" s="209" t="s">
        <v>25</v>
      </c>
      <c r="AY83" s="234" t="s">
        <v>25</v>
      </c>
      <c r="AZ83" s="209" t="s">
        <v>25</v>
      </c>
      <c r="BA83" s="209" t="s">
        <v>306</v>
      </c>
      <c r="BB83" s="234" t="s">
        <v>25</v>
      </c>
      <c r="BC83" s="235" t="s">
        <v>25</v>
      </c>
      <c r="BD83" s="188"/>
    </row>
    <row r="84" spans="1:56" ht="12.75" customHeight="1" x14ac:dyDescent="0.25">
      <c r="A84" s="238">
        <v>45257.391063622686</v>
      </c>
      <c r="B84" s="233" t="s">
        <v>304</v>
      </c>
      <c r="C84" s="209" t="s">
        <v>587</v>
      </c>
      <c r="D84" s="232" t="s">
        <v>17</v>
      </c>
      <c r="E84" s="232" t="s">
        <v>515</v>
      </c>
      <c r="F84" s="209" t="s">
        <v>681</v>
      </c>
      <c r="G84" s="232" t="s">
        <v>18</v>
      </c>
      <c r="H84" s="232">
        <v>11</v>
      </c>
      <c r="I84" s="209" t="s">
        <v>531</v>
      </c>
      <c r="J84" s="188"/>
      <c r="K84" s="209" t="s">
        <v>539</v>
      </c>
      <c r="L84" s="209" t="s">
        <v>518</v>
      </c>
      <c r="M84" s="209" t="s">
        <v>412</v>
      </c>
      <c r="N84" s="209" t="s">
        <v>589</v>
      </c>
      <c r="O84" s="209"/>
      <c r="P84" s="209"/>
      <c r="Q84" s="209" t="s">
        <v>25</v>
      </c>
      <c r="R84" s="209" t="s">
        <v>19</v>
      </c>
      <c r="S84" s="234" t="s">
        <v>306</v>
      </c>
      <c r="T84" s="209" t="s">
        <v>19</v>
      </c>
      <c r="U84" s="209" t="s">
        <v>25</v>
      </c>
      <c r="V84" s="234" t="s">
        <v>306</v>
      </c>
      <c r="W84" s="209" t="s">
        <v>19</v>
      </c>
      <c r="X84" s="209" t="s">
        <v>19</v>
      </c>
      <c r="Y84" s="234" t="s">
        <v>19</v>
      </c>
      <c r="Z84" s="209" t="s">
        <v>25</v>
      </c>
      <c r="AA84" s="209" t="s">
        <v>19</v>
      </c>
      <c r="AB84" s="234" t="s">
        <v>306</v>
      </c>
      <c r="AC84" s="235" t="s">
        <v>306</v>
      </c>
      <c r="AD84" s="209" t="s">
        <v>25</v>
      </c>
      <c r="AE84" s="209" t="s">
        <v>25</v>
      </c>
      <c r="AF84" s="234" t="s">
        <v>25</v>
      </c>
      <c r="AG84" s="209" t="s">
        <v>25</v>
      </c>
      <c r="AH84" s="209" t="s">
        <v>19</v>
      </c>
      <c r="AI84" s="234" t="s">
        <v>306</v>
      </c>
      <c r="AJ84" s="209" t="s">
        <v>25</v>
      </c>
      <c r="AK84" s="209" t="s">
        <v>19</v>
      </c>
      <c r="AL84" s="234" t="s">
        <v>306</v>
      </c>
      <c r="AM84" s="209" t="s">
        <v>19</v>
      </c>
      <c r="AN84" s="209" t="s">
        <v>19</v>
      </c>
      <c r="AO84" s="234" t="s">
        <v>19</v>
      </c>
      <c r="AP84" s="235" t="s">
        <v>306</v>
      </c>
      <c r="AQ84" s="209" t="s">
        <v>19</v>
      </c>
      <c r="AR84" s="209" t="s">
        <v>19</v>
      </c>
      <c r="AS84" s="234" t="s">
        <v>19</v>
      </c>
      <c r="AT84" s="209" t="s">
        <v>19</v>
      </c>
      <c r="AU84" s="209" t="s">
        <v>25</v>
      </c>
      <c r="AV84" s="234" t="s">
        <v>306</v>
      </c>
      <c r="AW84" s="209" t="s">
        <v>19</v>
      </c>
      <c r="AX84" s="209" t="s">
        <v>25</v>
      </c>
      <c r="AY84" s="234" t="s">
        <v>306</v>
      </c>
      <c r="AZ84" s="209" t="s">
        <v>19</v>
      </c>
      <c r="BA84" s="209" t="s">
        <v>19</v>
      </c>
      <c r="BB84" s="234" t="s">
        <v>306</v>
      </c>
      <c r="BC84" s="235" t="s">
        <v>306</v>
      </c>
      <c r="BD84" s="188"/>
    </row>
    <row r="85" spans="1:56" ht="12.75" customHeight="1" x14ac:dyDescent="0.25">
      <c r="A85" s="238">
        <v>45257.393041909723</v>
      </c>
      <c r="B85" s="233" t="s">
        <v>304</v>
      </c>
      <c r="C85" s="209" t="s">
        <v>587</v>
      </c>
      <c r="D85" s="232" t="s">
        <v>17</v>
      </c>
      <c r="E85" s="232" t="s">
        <v>515</v>
      </c>
      <c r="F85" s="209" t="s">
        <v>682</v>
      </c>
      <c r="G85" s="232" t="s">
        <v>18</v>
      </c>
      <c r="H85" s="232">
        <v>12</v>
      </c>
      <c r="I85" s="209" t="s">
        <v>531</v>
      </c>
      <c r="J85" s="188"/>
      <c r="K85" s="209" t="s">
        <v>539</v>
      </c>
      <c r="L85" s="209" t="s">
        <v>531</v>
      </c>
      <c r="M85" s="188"/>
      <c r="N85" s="188"/>
      <c r="O85" s="188"/>
      <c r="P85" s="188"/>
      <c r="Q85" s="209" t="s">
        <v>306</v>
      </c>
      <c r="R85" s="209" t="s">
        <v>25</v>
      </c>
      <c r="S85" s="234" t="s">
        <v>25</v>
      </c>
      <c r="T85" s="209" t="s">
        <v>306</v>
      </c>
      <c r="U85" s="209" t="s">
        <v>306</v>
      </c>
      <c r="V85" s="234" t="s">
        <v>306</v>
      </c>
      <c r="W85" s="209" t="s">
        <v>25</v>
      </c>
      <c r="X85" s="209" t="s">
        <v>306</v>
      </c>
      <c r="Y85" s="234" t="s">
        <v>25</v>
      </c>
      <c r="Z85" s="209" t="s">
        <v>306</v>
      </c>
      <c r="AA85" s="209" t="s">
        <v>25</v>
      </c>
      <c r="AB85" s="234" t="s">
        <v>25</v>
      </c>
      <c r="AC85" s="235" t="s">
        <v>306</v>
      </c>
      <c r="AD85" s="209" t="s">
        <v>306</v>
      </c>
      <c r="AE85" s="209" t="s">
        <v>306</v>
      </c>
      <c r="AF85" s="234" t="s">
        <v>306</v>
      </c>
      <c r="AG85" s="209" t="s">
        <v>306</v>
      </c>
      <c r="AH85" s="209" t="s">
        <v>25</v>
      </c>
      <c r="AI85" s="234" t="s">
        <v>25</v>
      </c>
      <c r="AJ85" s="209" t="s">
        <v>306</v>
      </c>
      <c r="AK85" s="209" t="s">
        <v>306</v>
      </c>
      <c r="AL85" s="234" t="s">
        <v>306</v>
      </c>
      <c r="AM85" s="209" t="s">
        <v>25</v>
      </c>
      <c r="AN85" s="209" t="s">
        <v>306</v>
      </c>
      <c r="AO85" s="234" t="s">
        <v>25</v>
      </c>
      <c r="AP85" s="235" t="s">
        <v>306</v>
      </c>
      <c r="AQ85" s="209" t="s">
        <v>306</v>
      </c>
      <c r="AR85" s="209" t="s">
        <v>19</v>
      </c>
      <c r="AS85" s="234" t="s">
        <v>306</v>
      </c>
      <c r="AT85" s="209" t="s">
        <v>306</v>
      </c>
      <c r="AU85" s="209" t="s">
        <v>19</v>
      </c>
      <c r="AV85" s="234" t="s">
        <v>306</v>
      </c>
      <c r="AW85" s="209" t="s">
        <v>19</v>
      </c>
      <c r="AX85" s="209" t="s">
        <v>306</v>
      </c>
      <c r="AY85" s="234" t="s">
        <v>306</v>
      </c>
      <c r="AZ85" s="209" t="s">
        <v>19</v>
      </c>
      <c r="BA85" s="209" t="s">
        <v>306</v>
      </c>
      <c r="BB85" s="234" t="s">
        <v>25</v>
      </c>
      <c r="BC85" s="235" t="s">
        <v>306</v>
      </c>
      <c r="BD85" s="188"/>
    </row>
    <row r="86" spans="1:56" ht="12.75" customHeight="1" x14ac:dyDescent="0.25">
      <c r="A86" s="238">
        <v>45257.394386932865</v>
      </c>
      <c r="B86" s="233" t="s">
        <v>304</v>
      </c>
      <c r="C86" s="209" t="s">
        <v>587</v>
      </c>
      <c r="D86" s="232" t="s">
        <v>17</v>
      </c>
      <c r="E86" s="232" t="s">
        <v>515</v>
      </c>
      <c r="F86" s="209" t="s">
        <v>683</v>
      </c>
      <c r="G86" s="232" t="s">
        <v>18</v>
      </c>
      <c r="H86" s="232">
        <v>11</v>
      </c>
      <c r="I86" s="209" t="s">
        <v>531</v>
      </c>
      <c r="J86" s="188"/>
      <c r="K86" s="209" t="s">
        <v>539</v>
      </c>
      <c r="L86" s="209" t="s">
        <v>518</v>
      </c>
      <c r="M86" s="209" t="s">
        <v>401</v>
      </c>
      <c r="N86" s="209" t="s">
        <v>589</v>
      </c>
      <c r="O86" s="209"/>
      <c r="P86" s="209"/>
      <c r="Q86" s="209" t="s">
        <v>25</v>
      </c>
      <c r="R86" s="209" t="s">
        <v>25</v>
      </c>
      <c r="S86" s="234" t="s">
        <v>25</v>
      </c>
      <c r="T86" s="209" t="s">
        <v>306</v>
      </c>
      <c r="U86" s="209" t="s">
        <v>25</v>
      </c>
      <c r="V86" s="234" t="s">
        <v>25</v>
      </c>
      <c r="W86" s="209" t="s">
        <v>306</v>
      </c>
      <c r="X86" s="209" t="s">
        <v>25</v>
      </c>
      <c r="Y86" s="234" t="s">
        <v>25</v>
      </c>
      <c r="Z86" s="209" t="s">
        <v>306</v>
      </c>
      <c r="AA86" s="209" t="s">
        <v>25</v>
      </c>
      <c r="AB86" s="234" t="s">
        <v>25</v>
      </c>
      <c r="AC86" s="235" t="s">
        <v>25</v>
      </c>
      <c r="AD86" s="209" t="s">
        <v>25</v>
      </c>
      <c r="AE86" s="209" t="s">
        <v>25</v>
      </c>
      <c r="AF86" s="234" t="s">
        <v>25</v>
      </c>
      <c r="AG86" s="209" t="s">
        <v>25</v>
      </c>
      <c r="AH86" s="209" t="s">
        <v>19</v>
      </c>
      <c r="AI86" s="234" t="s">
        <v>306</v>
      </c>
      <c r="AJ86" s="209" t="s">
        <v>25</v>
      </c>
      <c r="AK86" s="209" t="s">
        <v>306</v>
      </c>
      <c r="AL86" s="234" t="s">
        <v>25</v>
      </c>
      <c r="AM86" s="209" t="s">
        <v>19</v>
      </c>
      <c r="AN86" s="209" t="s">
        <v>306</v>
      </c>
      <c r="AO86" s="234" t="s">
        <v>306</v>
      </c>
      <c r="AP86" s="235" t="s">
        <v>306</v>
      </c>
      <c r="AQ86" s="209" t="s">
        <v>25</v>
      </c>
      <c r="AR86" s="209" t="s">
        <v>19</v>
      </c>
      <c r="AS86" s="234" t="s">
        <v>306</v>
      </c>
      <c r="AT86" s="209" t="s">
        <v>306</v>
      </c>
      <c r="AU86" s="209" t="s">
        <v>306</v>
      </c>
      <c r="AV86" s="234" t="s">
        <v>306</v>
      </c>
      <c r="AW86" s="209" t="s">
        <v>19</v>
      </c>
      <c r="AX86" s="209" t="s">
        <v>25</v>
      </c>
      <c r="AY86" s="234" t="s">
        <v>306</v>
      </c>
      <c r="AZ86" s="209" t="s">
        <v>25</v>
      </c>
      <c r="BA86" s="209" t="s">
        <v>25</v>
      </c>
      <c r="BB86" s="234" t="s">
        <v>25</v>
      </c>
      <c r="BC86" s="235" t="s">
        <v>25</v>
      </c>
      <c r="BD86" s="188"/>
    </row>
    <row r="87" spans="1:56" ht="12.75" customHeight="1" x14ac:dyDescent="0.25">
      <c r="A87" s="238">
        <v>45257.400852013889</v>
      </c>
      <c r="B87" s="233" t="s">
        <v>304</v>
      </c>
      <c r="C87" s="209" t="s">
        <v>587</v>
      </c>
      <c r="D87" s="232" t="s">
        <v>17</v>
      </c>
      <c r="E87" s="232" t="s">
        <v>515</v>
      </c>
      <c r="F87" s="209" t="s">
        <v>684</v>
      </c>
      <c r="G87" s="232" t="s">
        <v>18</v>
      </c>
      <c r="H87" s="232">
        <v>12</v>
      </c>
      <c r="I87" s="209" t="s">
        <v>531</v>
      </c>
      <c r="J87" s="188"/>
      <c r="K87" s="209" t="s">
        <v>539</v>
      </c>
      <c r="L87" s="209" t="s">
        <v>518</v>
      </c>
      <c r="M87" s="209" t="s">
        <v>412</v>
      </c>
      <c r="N87" s="209" t="s">
        <v>589</v>
      </c>
      <c r="O87" s="209"/>
      <c r="P87" s="209"/>
      <c r="Q87" s="209" t="s">
        <v>306</v>
      </c>
      <c r="R87" s="209" t="s">
        <v>306</v>
      </c>
      <c r="S87" s="234" t="s">
        <v>306</v>
      </c>
      <c r="T87" s="209" t="s">
        <v>306</v>
      </c>
      <c r="U87" s="209" t="s">
        <v>25</v>
      </c>
      <c r="V87" s="234" t="s">
        <v>25</v>
      </c>
      <c r="W87" s="209" t="s">
        <v>19</v>
      </c>
      <c r="X87" s="209" t="s">
        <v>306</v>
      </c>
      <c r="Y87" s="234" t="s">
        <v>306</v>
      </c>
      <c r="Z87" s="209" t="s">
        <v>25</v>
      </c>
      <c r="AA87" s="209" t="s">
        <v>19</v>
      </c>
      <c r="AB87" s="234" t="s">
        <v>306</v>
      </c>
      <c r="AC87" s="235" t="s">
        <v>306</v>
      </c>
      <c r="AD87" s="209" t="s">
        <v>25</v>
      </c>
      <c r="AE87" s="209" t="s">
        <v>25</v>
      </c>
      <c r="AF87" s="234" t="s">
        <v>25</v>
      </c>
      <c r="AG87" s="209" t="s">
        <v>25</v>
      </c>
      <c r="AH87" s="209" t="s">
        <v>19</v>
      </c>
      <c r="AI87" s="234" t="s">
        <v>306</v>
      </c>
      <c r="AJ87" s="209" t="s">
        <v>25</v>
      </c>
      <c r="AK87" s="209" t="s">
        <v>25</v>
      </c>
      <c r="AL87" s="234" t="s">
        <v>25</v>
      </c>
      <c r="AM87" s="209" t="s">
        <v>19</v>
      </c>
      <c r="AN87" s="209" t="s">
        <v>306</v>
      </c>
      <c r="AO87" s="234" t="s">
        <v>306</v>
      </c>
      <c r="AP87" s="235" t="s">
        <v>306</v>
      </c>
      <c r="AQ87" s="209" t="s">
        <v>25</v>
      </c>
      <c r="AR87" s="209" t="s">
        <v>25</v>
      </c>
      <c r="AS87" s="234" t="s">
        <v>25</v>
      </c>
      <c r="AT87" s="209" t="s">
        <v>25</v>
      </c>
      <c r="AU87" s="209" t="s">
        <v>306</v>
      </c>
      <c r="AV87" s="234" t="s">
        <v>25</v>
      </c>
      <c r="AW87" s="209" t="s">
        <v>25</v>
      </c>
      <c r="AX87" s="209" t="s">
        <v>25</v>
      </c>
      <c r="AY87" s="234" t="s">
        <v>25</v>
      </c>
      <c r="AZ87" s="209" t="s">
        <v>306</v>
      </c>
      <c r="BA87" s="209" t="s">
        <v>25</v>
      </c>
      <c r="BB87" s="234" t="s">
        <v>306</v>
      </c>
      <c r="BC87" s="235" t="s">
        <v>306</v>
      </c>
      <c r="BD87" s="188"/>
    </row>
    <row r="88" spans="1:56" ht="12.75" customHeight="1" x14ac:dyDescent="0.25">
      <c r="A88" s="238">
        <v>45257.408353055551</v>
      </c>
      <c r="B88" s="233" t="s">
        <v>304</v>
      </c>
      <c r="C88" s="209" t="s">
        <v>587</v>
      </c>
      <c r="D88" s="232" t="s">
        <v>17</v>
      </c>
      <c r="E88" s="232" t="s">
        <v>515</v>
      </c>
      <c r="F88" s="209" t="s">
        <v>685</v>
      </c>
      <c r="G88" s="232" t="s">
        <v>24</v>
      </c>
      <c r="H88" s="232">
        <v>12</v>
      </c>
      <c r="I88" s="209" t="s">
        <v>531</v>
      </c>
      <c r="J88" s="188"/>
      <c r="K88" s="209" t="s">
        <v>539</v>
      </c>
      <c r="L88" s="209" t="s">
        <v>518</v>
      </c>
      <c r="M88" s="209" t="s">
        <v>401</v>
      </c>
      <c r="N88" s="209" t="s">
        <v>589</v>
      </c>
      <c r="O88" s="209"/>
      <c r="P88" s="209"/>
      <c r="Q88" s="209" t="s">
        <v>306</v>
      </c>
      <c r="R88" s="209" t="s">
        <v>306</v>
      </c>
      <c r="S88" s="234" t="s">
        <v>306</v>
      </c>
      <c r="T88" s="209" t="s">
        <v>19</v>
      </c>
      <c r="U88" s="209" t="s">
        <v>19</v>
      </c>
      <c r="V88" s="234" t="s">
        <v>19</v>
      </c>
      <c r="W88" s="209" t="s">
        <v>306</v>
      </c>
      <c r="X88" s="209" t="s">
        <v>19</v>
      </c>
      <c r="Y88" s="234" t="s">
        <v>306</v>
      </c>
      <c r="Z88" s="209" t="s">
        <v>19</v>
      </c>
      <c r="AA88" s="209" t="s">
        <v>306</v>
      </c>
      <c r="AB88" s="234" t="s">
        <v>306</v>
      </c>
      <c r="AC88" s="235" t="s">
        <v>306</v>
      </c>
      <c r="AD88" s="209" t="s">
        <v>25</v>
      </c>
      <c r="AE88" s="209" t="s">
        <v>25</v>
      </c>
      <c r="AF88" s="234" t="s">
        <v>25</v>
      </c>
      <c r="AG88" s="209" t="s">
        <v>306</v>
      </c>
      <c r="AH88" s="209" t="s">
        <v>19</v>
      </c>
      <c r="AI88" s="234" t="s">
        <v>306</v>
      </c>
      <c r="AJ88" s="209" t="s">
        <v>19</v>
      </c>
      <c r="AK88" s="209" t="s">
        <v>19</v>
      </c>
      <c r="AL88" s="234" t="s">
        <v>19</v>
      </c>
      <c r="AM88" s="209" t="s">
        <v>19</v>
      </c>
      <c r="AN88" s="209" t="s">
        <v>19</v>
      </c>
      <c r="AO88" s="234" t="s">
        <v>19</v>
      </c>
      <c r="AP88" s="235" t="s">
        <v>306</v>
      </c>
      <c r="AQ88" s="209" t="s">
        <v>306</v>
      </c>
      <c r="AR88" s="209" t="s">
        <v>19</v>
      </c>
      <c r="AS88" s="234" t="s">
        <v>306</v>
      </c>
      <c r="AT88" s="209" t="s">
        <v>19</v>
      </c>
      <c r="AU88" s="209" t="s">
        <v>25</v>
      </c>
      <c r="AV88" s="234" t="s">
        <v>306</v>
      </c>
      <c r="AW88" s="209" t="s">
        <v>25</v>
      </c>
      <c r="AX88" s="209" t="s">
        <v>25</v>
      </c>
      <c r="AY88" s="234" t="s">
        <v>25</v>
      </c>
      <c r="AZ88" s="209" t="s">
        <v>25</v>
      </c>
      <c r="BA88" s="209" t="s">
        <v>25</v>
      </c>
      <c r="BB88" s="234" t="s">
        <v>25</v>
      </c>
      <c r="BC88" s="235" t="s">
        <v>25</v>
      </c>
      <c r="BD88" s="188"/>
    </row>
    <row r="89" spans="1:56" ht="12.75" customHeight="1" x14ac:dyDescent="0.25">
      <c r="A89" s="238">
        <v>45257.415897071754</v>
      </c>
      <c r="B89" s="233" t="s">
        <v>304</v>
      </c>
      <c r="C89" s="209" t="s">
        <v>587</v>
      </c>
      <c r="D89" s="232" t="s">
        <v>17</v>
      </c>
      <c r="E89" s="232" t="s">
        <v>515</v>
      </c>
      <c r="F89" s="209" t="s">
        <v>686</v>
      </c>
      <c r="G89" s="232" t="s">
        <v>24</v>
      </c>
      <c r="H89" s="232">
        <v>12</v>
      </c>
      <c r="I89" s="209" t="s">
        <v>531</v>
      </c>
      <c r="J89" s="188"/>
      <c r="K89" s="209" t="s">
        <v>539</v>
      </c>
      <c r="L89" s="209" t="s">
        <v>518</v>
      </c>
      <c r="M89" s="209" t="s">
        <v>375</v>
      </c>
      <c r="N89" s="209" t="s">
        <v>589</v>
      </c>
      <c r="O89" s="209"/>
      <c r="P89" s="209"/>
      <c r="Q89" s="209" t="s">
        <v>25</v>
      </c>
      <c r="R89" s="209" t="s">
        <v>306</v>
      </c>
      <c r="S89" s="234" t="s">
        <v>25</v>
      </c>
      <c r="T89" s="209" t="s">
        <v>306</v>
      </c>
      <c r="U89" s="209" t="s">
        <v>25</v>
      </c>
      <c r="V89" s="234" t="s">
        <v>25</v>
      </c>
      <c r="W89" s="209" t="s">
        <v>306</v>
      </c>
      <c r="X89" s="209" t="s">
        <v>306</v>
      </c>
      <c r="Y89" s="234" t="s">
        <v>306</v>
      </c>
      <c r="Z89" s="209" t="s">
        <v>19</v>
      </c>
      <c r="AA89" s="209" t="s">
        <v>306</v>
      </c>
      <c r="AB89" s="234" t="s">
        <v>306</v>
      </c>
      <c r="AC89" s="235" t="s">
        <v>306</v>
      </c>
      <c r="AD89" s="209" t="s">
        <v>25</v>
      </c>
      <c r="AE89" s="209" t="s">
        <v>306</v>
      </c>
      <c r="AF89" s="234" t="s">
        <v>25</v>
      </c>
      <c r="AG89" s="209" t="s">
        <v>306</v>
      </c>
      <c r="AH89" s="209" t="s">
        <v>306</v>
      </c>
      <c r="AI89" s="234" t="s">
        <v>306</v>
      </c>
      <c r="AJ89" s="209" t="s">
        <v>19</v>
      </c>
      <c r="AK89" s="209" t="s">
        <v>19</v>
      </c>
      <c r="AL89" s="234" t="s">
        <v>19</v>
      </c>
      <c r="AM89" s="209" t="s">
        <v>19</v>
      </c>
      <c r="AN89" s="209" t="s">
        <v>19</v>
      </c>
      <c r="AO89" s="234" t="s">
        <v>19</v>
      </c>
      <c r="AP89" s="235" t="s">
        <v>306</v>
      </c>
      <c r="AQ89" s="209" t="s">
        <v>19</v>
      </c>
      <c r="AR89" s="209" t="s">
        <v>19</v>
      </c>
      <c r="AS89" s="234" t="s">
        <v>19</v>
      </c>
      <c r="AT89" s="209" t="s">
        <v>306</v>
      </c>
      <c r="AU89" s="209" t="s">
        <v>306</v>
      </c>
      <c r="AV89" s="234" t="s">
        <v>306</v>
      </c>
      <c r="AW89" s="209" t="s">
        <v>306</v>
      </c>
      <c r="AX89" s="209" t="s">
        <v>306</v>
      </c>
      <c r="AY89" s="234" t="s">
        <v>306</v>
      </c>
      <c r="AZ89" s="209" t="s">
        <v>25</v>
      </c>
      <c r="BA89" s="209" t="s">
        <v>306</v>
      </c>
      <c r="BB89" s="234" t="s">
        <v>25</v>
      </c>
      <c r="BC89" s="235" t="s">
        <v>306</v>
      </c>
      <c r="BD89" s="188"/>
    </row>
    <row r="90" spans="1:56" ht="12.75" customHeight="1" x14ac:dyDescent="0.25">
      <c r="A90" s="238">
        <v>45257.417080115745</v>
      </c>
      <c r="B90" s="233" t="s">
        <v>304</v>
      </c>
      <c r="C90" s="209" t="s">
        <v>587</v>
      </c>
      <c r="D90" s="232" t="s">
        <v>17</v>
      </c>
      <c r="E90" s="232" t="s">
        <v>515</v>
      </c>
      <c r="F90" s="209" t="s">
        <v>687</v>
      </c>
      <c r="G90" s="232" t="s">
        <v>24</v>
      </c>
      <c r="H90" s="232">
        <v>12</v>
      </c>
      <c r="I90" s="209" t="s">
        <v>531</v>
      </c>
      <c r="J90" s="188"/>
      <c r="K90" s="209" t="s">
        <v>539</v>
      </c>
      <c r="L90" s="209" t="s">
        <v>518</v>
      </c>
      <c r="M90" s="209" t="s">
        <v>412</v>
      </c>
      <c r="N90" s="209" t="s">
        <v>589</v>
      </c>
      <c r="O90" s="209"/>
      <c r="P90" s="209"/>
      <c r="Q90" s="209" t="s">
        <v>25</v>
      </c>
      <c r="R90" s="209" t="s">
        <v>306</v>
      </c>
      <c r="S90" s="234" t="s">
        <v>25</v>
      </c>
      <c r="T90" s="209" t="s">
        <v>19</v>
      </c>
      <c r="U90" s="209" t="s">
        <v>25</v>
      </c>
      <c r="V90" s="234" t="s">
        <v>306</v>
      </c>
      <c r="W90" s="209" t="s">
        <v>19</v>
      </c>
      <c r="X90" s="209" t="s">
        <v>19</v>
      </c>
      <c r="Y90" s="234" t="s">
        <v>19</v>
      </c>
      <c r="Z90" s="209" t="s">
        <v>306</v>
      </c>
      <c r="AA90" s="209" t="s">
        <v>19</v>
      </c>
      <c r="AB90" s="234" t="s">
        <v>306</v>
      </c>
      <c r="AC90" s="235" t="s">
        <v>306</v>
      </c>
      <c r="AD90" s="209" t="s">
        <v>25</v>
      </c>
      <c r="AE90" s="209" t="s">
        <v>25</v>
      </c>
      <c r="AF90" s="234" t="s">
        <v>25</v>
      </c>
      <c r="AG90" s="209" t="s">
        <v>25</v>
      </c>
      <c r="AH90" s="209" t="s">
        <v>19</v>
      </c>
      <c r="AI90" s="234" t="s">
        <v>306</v>
      </c>
      <c r="AJ90" s="209" t="s">
        <v>25</v>
      </c>
      <c r="AK90" s="209" t="s">
        <v>19</v>
      </c>
      <c r="AL90" s="234" t="s">
        <v>306</v>
      </c>
      <c r="AM90" s="209" t="s">
        <v>19</v>
      </c>
      <c r="AN90" s="209" t="s">
        <v>19</v>
      </c>
      <c r="AO90" s="234" t="s">
        <v>19</v>
      </c>
      <c r="AP90" s="235" t="s">
        <v>306</v>
      </c>
      <c r="AQ90" s="209" t="s">
        <v>25</v>
      </c>
      <c r="AR90" s="209" t="s">
        <v>306</v>
      </c>
      <c r="AS90" s="234" t="s">
        <v>25</v>
      </c>
      <c r="AT90" s="209" t="s">
        <v>25</v>
      </c>
      <c r="AU90" s="209" t="s">
        <v>25</v>
      </c>
      <c r="AV90" s="234" t="s">
        <v>25</v>
      </c>
      <c r="AW90" s="209" t="s">
        <v>25</v>
      </c>
      <c r="AX90" s="209" t="s">
        <v>306</v>
      </c>
      <c r="AY90" s="234" t="s">
        <v>25</v>
      </c>
      <c r="AZ90" s="209" t="s">
        <v>306</v>
      </c>
      <c r="BA90" s="209" t="s">
        <v>25</v>
      </c>
      <c r="BB90" s="234" t="s">
        <v>25</v>
      </c>
      <c r="BC90" s="235" t="s">
        <v>25</v>
      </c>
      <c r="BD90" s="188"/>
    </row>
    <row r="91" spans="1:56" ht="12.75" customHeight="1" x14ac:dyDescent="0.25">
      <c r="A91" s="238">
        <v>45257.41719206018</v>
      </c>
      <c r="B91" s="233" t="s">
        <v>304</v>
      </c>
      <c r="C91" s="209" t="s">
        <v>587</v>
      </c>
      <c r="D91" s="232" t="s">
        <v>17</v>
      </c>
      <c r="E91" s="232" t="s">
        <v>515</v>
      </c>
      <c r="F91" s="209" t="s">
        <v>688</v>
      </c>
      <c r="G91" s="232" t="s">
        <v>24</v>
      </c>
      <c r="H91" s="232">
        <v>11</v>
      </c>
      <c r="I91" s="209" t="s">
        <v>531</v>
      </c>
      <c r="J91" s="188"/>
      <c r="K91" s="209" t="s">
        <v>539</v>
      </c>
      <c r="L91" s="209" t="s">
        <v>518</v>
      </c>
      <c r="M91" s="209" t="s">
        <v>401</v>
      </c>
      <c r="N91" s="209" t="s">
        <v>589</v>
      </c>
      <c r="O91" s="209"/>
      <c r="P91" s="209"/>
      <c r="Q91" s="209" t="s">
        <v>25</v>
      </c>
      <c r="R91" s="209" t="s">
        <v>25</v>
      </c>
      <c r="S91" s="234" t="s">
        <v>25</v>
      </c>
      <c r="T91" s="209" t="s">
        <v>25</v>
      </c>
      <c r="U91" s="209" t="s">
        <v>25</v>
      </c>
      <c r="V91" s="234" t="s">
        <v>25</v>
      </c>
      <c r="W91" s="209" t="s">
        <v>25</v>
      </c>
      <c r="X91" s="209" t="s">
        <v>25</v>
      </c>
      <c r="Y91" s="234" t="s">
        <v>25</v>
      </c>
      <c r="Z91" s="209" t="s">
        <v>25</v>
      </c>
      <c r="AA91" s="209" t="s">
        <v>25</v>
      </c>
      <c r="AB91" s="234" t="s">
        <v>25</v>
      </c>
      <c r="AC91" s="235" t="s">
        <v>25</v>
      </c>
      <c r="AD91" s="209" t="s">
        <v>25</v>
      </c>
      <c r="AE91" s="209" t="s">
        <v>25</v>
      </c>
      <c r="AF91" s="234" t="s">
        <v>25</v>
      </c>
      <c r="AG91" s="209" t="s">
        <v>25</v>
      </c>
      <c r="AH91" s="209" t="s">
        <v>25</v>
      </c>
      <c r="AI91" s="234" t="s">
        <v>25</v>
      </c>
      <c r="AJ91" s="209" t="s">
        <v>25</v>
      </c>
      <c r="AK91" s="209" t="s">
        <v>25</v>
      </c>
      <c r="AL91" s="234" t="s">
        <v>25</v>
      </c>
      <c r="AM91" s="209" t="s">
        <v>25</v>
      </c>
      <c r="AN91" s="209" t="s">
        <v>25</v>
      </c>
      <c r="AO91" s="234" t="s">
        <v>25</v>
      </c>
      <c r="AP91" s="235" t="s">
        <v>25</v>
      </c>
      <c r="AQ91" s="209" t="s">
        <v>25</v>
      </c>
      <c r="AR91" s="209" t="s">
        <v>25</v>
      </c>
      <c r="AS91" s="234" t="s">
        <v>25</v>
      </c>
      <c r="AT91" s="209" t="s">
        <v>25</v>
      </c>
      <c r="AU91" s="209" t="s">
        <v>25</v>
      </c>
      <c r="AV91" s="234" t="s">
        <v>25</v>
      </c>
      <c r="AW91" s="209" t="s">
        <v>25</v>
      </c>
      <c r="AX91" s="209" t="s">
        <v>25</v>
      </c>
      <c r="AY91" s="234" t="s">
        <v>25</v>
      </c>
      <c r="AZ91" s="209" t="s">
        <v>25</v>
      </c>
      <c r="BA91" s="209" t="s">
        <v>25</v>
      </c>
      <c r="BB91" s="234" t="s">
        <v>306</v>
      </c>
      <c r="BC91" s="235" t="s">
        <v>306</v>
      </c>
      <c r="BD91" s="188"/>
    </row>
    <row r="92" spans="1:56" ht="12.75" customHeight="1" x14ac:dyDescent="0.25">
      <c r="A92" s="238">
        <v>45257.418579872683</v>
      </c>
      <c r="B92" s="233" t="s">
        <v>304</v>
      </c>
      <c r="C92" s="209" t="s">
        <v>587</v>
      </c>
      <c r="D92" s="232" t="s">
        <v>17</v>
      </c>
      <c r="E92" s="232" t="s">
        <v>515</v>
      </c>
      <c r="F92" s="209" t="s">
        <v>689</v>
      </c>
      <c r="G92" s="232" t="s">
        <v>24</v>
      </c>
      <c r="H92" s="232">
        <v>11</v>
      </c>
      <c r="I92" s="209" t="s">
        <v>531</v>
      </c>
      <c r="J92" s="188"/>
      <c r="K92" s="209" t="s">
        <v>539</v>
      </c>
      <c r="L92" s="209" t="s">
        <v>531</v>
      </c>
      <c r="M92" s="188"/>
      <c r="N92" s="188"/>
      <c r="O92" s="188"/>
      <c r="P92" s="188"/>
      <c r="Q92" s="209" t="s">
        <v>25</v>
      </c>
      <c r="R92" s="209" t="s">
        <v>25</v>
      </c>
      <c r="S92" s="234" t="s">
        <v>25</v>
      </c>
      <c r="T92" s="209" t="s">
        <v>306</v>
      </c>
      <c r="U92" s="209" t="s">
        <v>25</v>
      </c>
      <c r="V92" s="234" t="s">
        <v>25</v>
      </c>
      <c r="W92" s="209" t="s">
        <v>25</v>
      </c>
      <c r="X92" s="209" t="s">
        <v>19</v>
      </c>
      <c r="Y92" s="234" t="s">
        <v>306</v>
      </c>
      <c r="Z92" s="209" t="s">
        <v>25</v>
      </c>
      <c r="AA92" s="209" t="s">
        <v>25</v>
      </c>
      <c r="AB92" s="234" t="s">
        <v>25</v>
      </c>
      <c r="AC92" s="235" t="s">
        <v>25</v>
      </c>
      <c r="AD92" s="209" t="s">
        <v>306</v>
      </c>
      <c r="AE92" s="209" t="s">
        <v>306</v>
      </c>
      <c r="AF92" s="234" t="s">
        <v>306</v>
      </c>
      <c r="AG92" s="209" t="s">
        <v>306</v>
      </c>
      <c r="AH92" s="209" t="s">
        <v>306</v>
      </c>
      <c r="AI92" s="234" t="s">
        <v>306</v>
      </c>
      <c r="AJ92" s="209" t="s">
        <v>25</v>
      </c>
      <c r="AK92" s="209" t="s">
        <v>306</v>
      </c>
      <c r="AL92" s="234" t="s">
        <v>25</v>
      </c>
      <c r="AM92" s="209" t="s">
        <v>19</v>
      </c>
      <c r="AN92" s="209" t="s">
        <v>306</v>
      </c>
      <c r="AO92" s="234" t="s">
        <v>306</v>
      </c>
      <c r="AP92" s="235" t="s">
        <v>306</v>
      </c>
      <c r="AQ92" s="209" t="s">
        <v>25</v>
      </c>
      <c r="AR92" s="209" t="s">
        <v>19</v>
      </c>
      <c r="AS92" s="234" t="s">
        <v>306</v>
      </c>
      <c r="AT92" s="209" t="s">
        <v>25</v>
      </c>
      <c r="AU92" s="209" t="s">
        <v>306</v>
      </c>
      <c r="AV92" s="234" t="s">
        <v>25</v>
      </c>
      <c r="AW92" s="209" t="s">
        <v>25</v>
      </c>
      <c r="AX92" s="209" t="s">
        <v>25</v>
      </c>
      <c r="AY92" s="234" t="s">
        <v>25</v>
      </c>
      <c r="AZ92" s="209" t="s">
        <v>25</v>
      </c>
      <c r="BA92" s="209" t="s">
        <v>25</v>
      </c>
      <c r="BB92" s="234" t="s">
        <v>25</v>
      </c>
      <c r="BC92" s="235" t="s">
        <v>25</v>
      </c>
      <c r="BD92" s="188"/>
    </row>
    <row r="93" spans="1:56" ht="12.75" customHeight="1" x14ac:dyDescent="0.25">
      <c r="A93" s="238">
        <v>45257.41978084491</v>
      </c>
      <c r="B93" s="233" t="s">
        <v>304</v>
      </c>
      <c r="C93" s="209" t="s">
        <v>587</v>
      </c>
      <c r="D93" s="232" t="s">
        <v>17</v>
      </c>
      <c r="E93" s="232" t="s">
        <v>515</v>
      </c>
      <c r="F93" s="209" t="s">
        <v>690</v>
      </c>
      <c r="G93" s="232" t="s">
        <v>18</v>
      </c>
      <c r="H93" s="232">
        <v>11</v>
      </c>
      <c r="I93" s="209" t="s">
        <v>531</v>
      </c>
      <c r="J93" s="188"/>
      <c r="K93" s="209" t="s">
        <v>539</v>
      </c>
      <c r="L93" s="209" t="s">
        <v>531</v>
      </c>
      <c r="M93" s="188"/>
      <c r="N93" s="188"/>
      <c r="O93" s="188"/>
      <c r="P93" s="188"/>
      <c r="Q93" s="209" t="s">
        <v>25</v>
      </c>
      <c r="R93" s="209" t="s">
        <v>25</v>
      </c>
      <c r="S93" s="234" t="s">
        <v>25</v>
      </c>
      <c r="T93" s="209" t="s">
        <v>306</v>
      </c>
      <c r="U93" s="209" t="s">
        <v>25</v>
      </c>
      <c r="V93" s="234" t="s">
        <v>25</v>
      </c>
      <c r="W93" s="209" t="s">
        <v>25</v>
      </c>
      <c r="X93" s="209" t="s">
        <v>306</v>
      </c>
      <c r="Y93" s="234" t="s">
        <v>25</v>
      </c>
      <c r="Z93" s="209" t="s">
        <v>25</v>
      </c>
      <c r="AA93" s="209" t="s">
        <v>25</v>
      </c>
      <c r="AB93" s="234" t="s">
        <v>25</v>
      </c>
      <c r="AC93" s="235" t="s">
        <v>25</v>
      </c>
      <c r="AD93" s="209" t="s">
        <v>306</v>
      </c>
      <c r="AE93" s="209" t="s">
        <v>306</v>
      </c>
      <c r="AF93" s="234" t="s">
        <v>306</v>
      </c>
      <c r="AG93" s="209" t="s">
        <v>19</v>
      </c>
      <c r="AH93" s="209" t="s">
        <v>19</v>
      </c>
      <c r="AI93" s="234" t="s">
        <v>19</v>
      </c>
      <c r="AJ93" s="209" t="s">
        <v>25</v>
      </c>
      <c r="AK93" s="209" t="s">
        <v>306</v>
      </c>
      <c r="AL93" s="234" t="s">
        <v>25</v>
      </c>
      <c r="AM93" s="209" t="s">
        <v>19</v>
      </c>
      <c r="AN93" s="209" t="s">
        <v>306</v>
      </c>
      <c r="AO93" s="234" t="s">
        <v>306</v>
      </c>
      <c r="AP93" s="235" t="s">
        <v>306</v>
      </c>
      <c r="AQ93" s="209" t="s">
        <v>25</v>
      </c>
      <c r="AR93" s="209" t="s">
        <v>306</v>
      </c>
      <c r="AS93" s="234" t="s">
        <v>25</v>
      </c>
      <c r="AT93" s="209" t="s">
        <v>19</v>
      </c>
      <c r="AU93" s="209" t="s">
        <v>25</v>
      </c>
      <c r="AV93" s="234" t="s">
        <v>306</v>
      </c>
      <c r="AW93" s="209" t="s">
        <v>19</v>
      </c>
      <c r="AX93" s="209" t="s">
        <v>25</v>
      </c>
      <c r="AY93" s="234" t="s">
        <v>306</v>
      </c>
      <c r="AZ93" s="209" t="s">
        <v>25</v>
      </c>
      <c r="BA93" s="209" t="s">
        <v>25</v>
      </c>
      <c r="BB93" s="234" t="s">
        <v>19</v>
      </c>
      <c r="BC93" s="235" t="s">
        <v>19</v>
      </c>
      <c r="BD93" s="188"/>
    </row>
    <row r="94" spans="1:56" ht="12.75" customHeight="1" x14ac:dyDescent="0.25">
      <c r="A94" s="238">
        <v>45257.423493842594</v>
      </c>
      <c r="B94" s="233" t="s">
        <v>304</v>
      </c>
      <c r="C94" s="209" t="s">
        <v>587</v>
      </c>
      <c r="D94" s="232" t="s">
        <v>17</v>
      </c>
      <c r="E94" s="232" t="s">
        <v>515</v>
      </c>
      <c r="F94" s="209" t="s">
        <v>691</v>
      </c>
      <c r="G94" s="232" t="s">
        <v>18</v>
      </c>
      <c r="H94" s="232">
        <v>12</v>
      </c>
      <c r="I94" s="209" t="s">
        <v>531</v>
      </c>
      <c r="J94" s="188"/>
      <c r="K94" s="209" t="s">
        <v>539</v>
      </c>
      <c r="L94" s="209" t="s">
        <v>518</v>
      </c>
      <c r="M94" s="209" t="s">
        <v>375</v>
      </c>
      <c r="N94" s="209" t="s">
        <v>589</v>
      </c>
      <c r="O94" s="209"/>
      <c r="P94" s="209"/>
      <c r="Q94" s="209" t="s">
        <v>25</v>
      </c>
      <c r="R94" s="209" t="s">
        <v>25</v>
      </c>
      <c r="S94" s="234" t="s">
        <v>25</v>
      </c>
      <c r="T94" s="209" t="s">
        <v>25</v>
      </c>
      <c r="U94" s="209" t="s">
        <v>306</v>
      </c>
      <c r="V94" s="234" t="s">
        <v>25</v>
      </c>
      <c r="W94" s="209" t="s">
        <v>25</v>
      </c>
      <c r="X94" s="209" t="s">
        <v>25</v>
      </c>
      <c r="Y94" s="234" t="s">
        <v>25</v>
      </c>
      <c r="Z94" s="209" t="s">
        <v>306</v>
      </c>
      <c r="AA94" s="209" t="s">
        <v>25</v>
      </c>
      <c r="AB94" s="234" t="s">
        <v>25</v>
      </c>
      <c r="AC94" s="235" t="s">
        <v>25</v>
      </c>
      <c r="AD94" s="209" t="s">
        <v>306</v>
      </c>
      <c r="AE94" s="209" t="s">
        <v>25</v>
      </c>
      <c r="AF94" s="234" t="s">
        <v>25</v>
      </c>
      <c r="AG94" s="209" t="s">
        <v>25</v>
      </c>
      <c r="AH94" s="209" t="s">
        <v>19</v>
      </c>
      <c r="AI94" s="234" t="s">
        <v>306</v>
      </c>
      <c r="AJ94" s="209" t="s">
        <v>25</v>
      </c>
      <c r="AK94" s="209" t="s">
        <v>25</v>
      </c>
      <c r="AL94" s="234" t="s">
        <v>25</v>
      </c>
      <c r="AM94" s="209" t="s">
        <v>306</v>
      </c>
      <c r="AN94" s="209" t="s">
        <v>306</v>
      </c>
      <c r="AO94" s="234" t="s">
        <v>306</v>
      </c>
      <c r="AP94" s="235" t="s">
        <v>306</v>
      </c>
      <c r="AQ94" s="209" t="s">
        <v>25</v>
      </c>
      <c r="AR94" s="209" t="s">
        <v>306</v>
      </c>
      <c r="AS94" s="234" t="s">
        <v>25</v>
      </c>
      <c r="AT94" s="209" t="s">
        <v>25</v>
      </c>
      <c r="AU94" s="209" t="s">
        <v>25</v>
      </c>
      <c r="AV94" s="234" t="s">
        <v>25</v>
      </c>
      <c r="AW94" s="209" t="s">
        <v>306</v>
      </c>
      <c r="AX94" s="209" t="s">
        <v>25</v>
      </c>
      <c r="AY94" s="234" t="s">
        <v>25</v>
      </c>
      <c r="AZ94" s="209" t="s">
        <v>25</v>
      </c>
      <c r="BA94" s="209" t="s">
        <v>306</v>
      </c>
      <c r="BB94" s="234" t="s">
        <v>19</v>
      </c>
      <c r="BC94" s="235" t="s">
        <v>19</v>
      </c>
      <c r="BD94" s="188"/>
    </row>
    <row r="95" spans="1:56" ht="12.75" customHeight="1" x14ac:dyDescent="0.25">
      <c r="A95" s="238">
        <v>45257.426197835652</v>
      </c>
      <c r="B95" s="233" t="s">
        <v>304</v>
      </c>
      <c r="C95" s="209" t="s">
        <v>587</v>
      </c>
      <c r="D95" s="232" t="s">
        <v>17</v>
      </c>
      <c r="E95" s="232" t="s">
        <v>515</v>
      </c>
      <c r="F95" s="209" t="s">
        <v>692</v>
      </c>
      <c r="G95" s="232" t="s">
        <v>18</v>
      </c>
      <c r="H95" s="232">
        <v>12</v>
      </c>
      <c r="I95" s="209" t="s">
        <v>531</v>
      </c>
      <c r="J95" s="188"/>
      <c r="K95" s="209" t="s">
        <v>539</v>
      </c>
      <c r="L95" s="209" t="s">
        <v>531</v>
      </c>
      <c r="M95" s="188"/>
      <c r="N95" s="188"/>
      <c r="O95" s="188"/>
      <c r="P95" s="188"/>
      <c r="Q95" s="209" t="s">
        <v>25</v>
      </c>
      <c r="R95" s="209" t="s">
        <v>25</v>
      </c>
      <c r="S95" s="234" t="s">
        <v>25</v>
      </c>
      <c r="T95" s="209" t="s">
        <v>19</v>
      </c>
      <c r="U95" s="209" t="s">
        <v>25</v>
      </c>
      <c r="V95" s="234" t="s">
        <v>306</v>
      </c>
      <c r="W95" s="209" t="s">
        <v>19</v>
      </c>
      <c r="X95" s="209" t="s">
        <v>19</v>
      </c>
      <c r="Y95" s="234" t="s">
        <v>19</v>
      </c>
      <c r="Z95" s="209" t="s">
        <v>25</v>
      </c>
      <c r="AA95" s="209" t="s">
        <v>19</v>
      </c>
      <c r="AB95" s="234" t="s">
        <v>306</v>
      </c>
      <c r="AC95" s="235" t="s">
        <v>306</v>
      </c>
      <c r="AD95" s="209" t="s">
        <v>25</v>
      </c>
      <c r="AE95" s="209" t="s">
        <v>25</v>
      </c>
      <c r="AF95" s="234" t="s">
        <v>25</v>
      </c>
      <c r="AG95" s="209" t="s">
        <v>25</v>
      </c>
      <c r="AH95" s="209" t="s">
        <v>306</v>
      </c>
      <c r="AI95" s="234" t="s">
        <v>25</v>
      </c>
      <c r="AJ95" s="209" t="s">
        <v>306</v>
      </c>
      <c r="AK95" s="209" t="s">
        <v>306</v>
      </c>
      <c r="AL95" s="234" t="s">
        <v>306</v>
      </c>
      <c r="AM95" s="209" t="s">
        <v>306</v>
      </c>
      <c r="AN95" s="209" t="s">
        <v>306</v>
      </c>
      <c r="AO95" s="234" t="s">
        <v>306</v>
      </c>
      <c r="AP95" s="235" t="s">
        <v>306</v>
      </c>
      <c r="AQ95" s="209" t="s">
        <v>25</v>
      </c>
      <c r="AR95" s="209" t="s">
        <v>306</v>
      </c>
      <c r="AS95" s="234" t="s">
        <v>25</v>
      </c>
      <c r="AT95" s="209" t="s">
        <v>306</v>
      </c>
      <c r="AU95" s="209" t="s">
        <v>25</v>
      </c>
      <c r="AV95" s="234" t="s">
        <v>25</v>
      </c>
      <c r="AW95" s="209" t="s">
        <v>306</v>
      </c>
      <c r="AX95" s="209" t="s">
        <v>306</v>
      </c>
      <c r="AY95" s="234" t="s">
        <v>306</v>
      </c>
      <c r="AZ95" s="209" t="s">
        <v>25</v>
      </c>
      <c r="BA95" s="209" t="s">
        <v>306</v>
      </c>
      <c r="BB95" s="234" t="s">
        <v>19</v>
      </c>
      <c r="BC95" s="235" t="s">
        <v>19</v>
      </c>
      <c r="BD95" s="188"/>
    </row>
    <row r="96" spans="1:56" ht="12.75" customHeight="1" x14ac:dyDescent="0.25">
      <c r="A96" s="238">
        <v>45257.426388078704</v>
      </c>
      <c r="B96" s="233" t="s">
        <v>304</v>
      </c>
      <c r="C96" s="209" t="s">
        <v>587</v>
      </c>
      <c r="D96" s="232" t="s">
        <v>17</v>
      </c>
      <c r="E96" s="232" t="s">
        <v>515</v>
      </c>
      <c r="F96" s="209" t="s">
        <v>693</v>
      </c>
      <c r="G96" s="232" t="s">
        <v>24</v>
      </c>
      <c r="H96" s="232">
        <v>11</v>
      </c>
      <c r="I96" s="209" t="s">
        <v>531</v>
      </c>
      <c r="J96" s="188"/>
      <c r="K96" s="209" t="s">
        <v>539</v>
      </c>
      <c r="L96" s="209" t="s">
        <v>531</v>
      </c>
      <c r="M96" s="188"/>
      <c r="N96" s="188"/>
      <c r="O96" s="188"/>
      <c r="P96" s="188"/>
      <c r="Q96" s="209" t="s">
        <v>25</v>
      </c>
      <c r="R96" s="209" t="s">
        <v>306</v>
      </c>
      <c r="S96" s="234" t="s">
        <v>25</v>
      </c>
      <c r="T96" s="209" t="s">
        <v>306</v>
      </c>
      <c r="U96" s="209" t="s">
        <v>25</v>
      </c>
      <c r="V96" s="234" t="s">
        <v>25</v>
      </c>
      <c r="W96" s="209" t="s">
        <v>25</v>
      </c>
      <c r="X96" s="209" t="s">
        <v>25</v>
      </c>
      <c r="Y96" s="234" t="s">
        <v>25</v>
      </c>
      <c r="Z96" s="209" t="s">
        <v>25</v>
      </c>
      <c r="AA96" s="209" t="s">
        <v>25</v>
      </c>
      <c r="AB96" s="234" t="s">
        <v>25</v>
      </c>
      <c r="AC96" s="235" t="s">
        <v>25</v>
      </c>
      <c r="AD96" s="209" t="s">
        <v>19</v>
      </c>
      <c r="AE96" s="209" t="s">
        <v>25</v>
      </c>
      <c r="AF96" s="234" t="s">
        <v>306</v>
      </c>
      <c r="AG96" s="209" t="s">
        <v>306</v>
      </c>
      <c r="AH96" s="209" t="s">
        <v>25</v>
      </c>
      <c r="AI96" s="234" t="s">
        <v>25</v>
      </c>
      <c r="AJ96" s="209" t="s">
        <v>306</v>
      </c>
      <c r="AK96" s="209" t="s">
        <v>306</v>
      </c>
      <c r="AL96" s="234" t="s">
        <v>306</v>
      </c>
      <c r="AM96" s="209" t="s">
        <v>19</v>
      </c>
      <c r="AN96" s="209" t="s">
        <v>306</v>
      </c>
      <c r="AO96" s="234" t="s">
        <v>306</v>
      </c>
      <c r="AP96" s="235" t="s">
        <v>306</v>
      </c>
      <c r="AQ96" s="209" t="s">
        <v>25</v>
      </c>
      <c r="AR96" s="209" t="s">
        <v>25</v>
      </c>
      <c r="AS96" s="234" t="s">
        <v>25</v>
      </c>
      <c r="AT96" s="209" t="s">
        <v>25</v>
      </c>
      <c r="AU96" s="209" t="s">
        <v>25</v>
      </c>
      <c r="AV96" s="234" t="s">
        <v>25</v>
      </c>
      <c r="AW96" s="209" t="s">
        <v>306</v>
      </c>
      <c r="AX96" s="209" t="s">
        <v>25</v>
      </c>
      <c r="AY96" s="234" t="s">
        <v>25</v>
      </c>
      <c r="AZ96" s="209" t="s">
        <v>25</v>
      </c>
      <c r="BA96" s="209" t="s">
        <v>25</v>
      </c>
      <c r="BB96" s="234" t="s">
        <v>19</v>
      </c>
      <c r="BC96" s="235" t="s">
        <v>19</v>
      </c>
      <c r="BD96" s="188"/>
    </row>
    <row r="97" spans="1:56" ht="12.75" customHeight="1" x14ac:dyDescent="0.25">
      <c r="A97" s="238">
        <v>45257.427539212964</v>
      </c>
      <c r="B97" s="233" t="s">
        <v>304</v>
      </c>
      <c r="C97" s="209" t="s">
        <v>587</v>
      </c>
      <c r="D97" s="232" t="s">
        <v>17</v>
      </c>
      <c r="E97" s="232" t="s">
        <v>515</v>
      </c>
      <c r="F97" s="209" t="s">
        <v>694</v>
      </c>
      <c r="G97" s="232" t="s">
        <v>18</v>
      </c>
      <c r="H97" s="232">
        <v>12</v>
      </c>
      <c r="I97" s="209" t="s">
        <v>531</v>
      </c>
      <c r="J97" s="188"/>
      <c r="K97" s="209" t="s">
        <v>539</v>
      </c>
      <c r="L97" s="209" t="s">
        <v>531</v>
      </c>
      <c r="M97" s="188"/>
      <c r="N97" s="188"/>
      <c r="O97" s="188"/>
      <c r="P97" s="188"/>
      <c r="Q97" s="209" t="s">
        <v>25</v>
      </c>
      <c r="R97" s="209" t="s">
        <v>25</v>
      </c>
      <c r="S97" s="234" t="s">
        <v>25</v>
      </c>
      <c r="T97" s="209" t="s">
        <v>25</v>
      </c>
      <c r="U97" s="209" t="s">
        <v>25</v>
      </c>
      <c r="V97" s="234" t="s">
        <v>25</v>
      </c>
      <c r="W97" s="209" t="s">
        <v>25</v>
      </c>
      <c r="X97" s="209" t="s">
        <v>25</v>
      </c>
      <c r="Y97" s="234" t="s">
        <v>25</v>
      </c>
      <c r="Z97" s="209" t="s">
        <v>25</v>
      </c>
      <c r="AA97" s="209" t="s">
        <v>25</v>
      </c>
      <c r="AB97" s="234" t="s">
        <v>25</v>
      </c>
      <c r="AC97" s="235" t="s">
        <v>25</v>
      </c>
      <c r="AD97" s="209" t="s">
        <v>25</v>
      </c>
      <c r="AE97" s="209" t="s">
        <v>25</v>
      </c>
      <c r="AF97" s="234" t="s">
        <v>25</v>
      </c>
      <c r="AG97" s="209" t="s">
        <v>25</v>
      </c>
      <c r="AH97" s="209" t="s">
        <v>25</v>
      </c>
      <c r="AI97" s="234" t="s">
        <v>25</v>
      </c>
      <c r="AJ97" s="209" t="s">
        <v>25</v>
      </c>
      <c r="AK97" s="209" t="s">
        <v>25</v>
      </c>
      <c r="AL97" s="234" t="s">
        <v>25</v>
      </c>
      <c r="AM97" s="209" t="s">
        <v>25</v>
      </c>
      <c r="AN97" s="209" t="s">
        <v>25</v>
      </c>
      <c r="AO97" s="234" t="s">
        <v>25</v>
      </c>
      <c r="AP97" s="235" t="s">
        <v>25</v>
      </c>
      <c r="AQ97" s="209" t="s">
        <v>25</v>
      </c>
      <c r="AR97" s="209" t="s">
        <v>25</v>
      </c>
      <c r="AS97" s="234" t="s">
        <v>25</v>
      </c>
      <c r="AT97" s="209" t="s">
        <v>25</v>
      </c>
      <c r="AU97" s="209" t="s">
        <v>25</v>
      </c>
      <c r="AV97" s="234" t="s">
        <v>25</v>
      </c>
      <c r="AW97" s="209" t="s">
        <v>306</v>
      </c>
      <c r="AX97" s="209" t="s">
        <v>25</v>
      </c>
      <c r="AY97" s="234" t="s">
        <v>25</v>
      </c>
      <c r="AZ97" s="209" t="s">
        <v>306</v>
      </c>
      <c r="BA97" s="209" t="s">
        <v>25</v>
      </c>
      <c r="BB97" s="234" t="s">
        <v>19</v>
      </c>
      <c r="BC97" s="235" t="s">
        <v>19</v>
      </c>
      <c r="BD97" s="188"/>
    </row>
    <row r="98" spans="1:56" ht="12.75" customHeight="1" x14ac:dyDescent="0.25">
      <c r="A98" s="238">
        <v>45257.427755115743</v>
      </c>
      <c r="B98" s="233" t="s">
        <v>304</v>
      </c>
      <c r="C98" s="209" t="s">
        <v>587</v>
      </c>
      <c r="D98" s="232" t="s">
        <v>17</v>
      </c>
      <c r="E98" s="232" t="s">
        <v>515</v>
      </c>
      <c r="F98" s="209" t="s">
        <v>695</v>
      </c>
      <c r="G98" s="232" t="s">
        <v>18</v>
      </c>
      <c r="H98" s="232">
        <v>11</v>
      </c>
      <c r="I98" s="209" t="s">
        <v>531</v>
      </c>
      <c r="J98" s="188"/>
      <c r="K98" s="209" t="s">
        <v>539</v>
      </c>
      <c r="L98" s="209" t="s">
        <v>518</v>
      </c>
      <c r="M98" s="209" t="s">
        <v>412</v>
      </c>
      <c r="N98" s="209" t="s">
        <v>589</v>
      </c>
      <c r="O98" s="209"/>
      <c r="P98" s="209"/>
      <c r="Q98" s="209" t="s">
        <v>25</v>
      </c>
      <c r="R98" s="209" t="s">
        <v>19</v>
      </c>
      <c r="S98" s="234" t="s">
        <v>306</v>
      </c>
      <c r="T98" s="209" t="s">
        <v>306</v>
      </c>
      <c r="U98" s="209" t="s">
        <v>25</v>
      </c>
      <c r="V98" s="234" t="s">
        <v>25</v>
      </c>
      <c r="W98" s="209" t="s">
        <v>19</v>
      </c>
      <c r="X98" s="209" t="s">
        <v>19</v>
      </c>
      <c r="Y98" s="234" t="s">
        <v>19</v>
      </c>
      <c r="Z98" s="209" t="s">
        <v>306</v>
      </c>
      <c r="AA98" s="209" t="s">
        <v>306</v>
      </c>
      <c r="AB98" s="234" t="s">
        <v>306</v>
      </c>
      <c r="AC98" s="235" t="s">
        <v>306</v>
      </c>
      <c r="AD98" s="209" t="s">
        <v>19</v>
      </c>
      <c r="AE98" s="209" t="s">
        <v>19</v>
      </c>
      <c r="AF98" s="234" t="s">
        <v>19</v>
      </c>
      <c r="AG98" s="209" t="s">
        <v>306</v>
      </c>
      <c r="AH98" s="209" t="s">
        <v>19</v>
      </c>
      <c r="AI98" s="234" t="s">
        <v>306</v>
      </c>
      <c r="AJ98" s="209" t="s">
        <v>19</v>
      </c>
      <c r="AK98" s="209" t="s">
        <v>306</v>
      </c>
      <c r="AL98" s="234" t="s">
        <v>306</v>
      </c>
      <c r="AM98" s="209" t="s">
        <v>306</v>
      </c>
      <c r="AN98" s="209" t="s">
        <v>19</v>
      </c>
      <c r="AO98" s="234" t="s">
        <v>306</v>
      </c>
      <c r="AP98" s="235" t="s">
        <v>19</v>
      </c>
      <c r="AQ98" s="209" t="s">
        <v>306</v>
      </c>
      <c r="AR98" s="209" t="s">
        <v>25</v>
      </c>
      <c r="AS98" s="234" t="s">
        <v>25</v>
      </c>
      <c r="AT98" s="209" t="s">
        <v>306</v>
      </c>
      <c r="AU98" s="209" t="s">
        <v>19</v>
      </c>
      <c r="AV98" s="234" t="s">
        <v>306</v>
      </c>
      <c r="AW98" s="209" t="s">
        <v>19</v>
      </c>
      <c r="AX98" s="209" t="s">
        <v>306</v>
      </c>
      <c r="AY98" s="234" t="s">
        <v>306</v>
      </c>
      <c r="AZ98" s="209" t="s">
        <v>306</v>
      </c>
      <c r="BA98" s="209" t="s">
        <v>25</v>
      </c>
      <c r="BB98" s="234" t="s">
        <v>306</v>
      </c>
      <c r="BC98" s="235" t="s">
        <v>25</v>
      </c>
      <c r="BD98" s="188"/>
    </row>
    <row r="99" spans="1:56" ht="12.75" customHeight="1" x14ac:dyDescent="0.25">
      <c r="A99" s="238">
        <v>45257.429600497686</v>
      </c>
      <c r="B99" s="233" t="s">
        <v>304</v>
      </c>
      <c r="C99" s="209" t="s">
        <v>587</v>
      </c>
      <c r="D99" s="232" t="s">
        <v>17</v>
      </c>
      <c r="E99" s="232" t="s">
        <v>515</v>
      </c>
      <c r="F99" s="209" t="s">
        <v>696</v>
      </c>
      <c r="G99" s="232" t="s">
        <v>24</v>
      </c>
      <c r="H99" s="232">
        <v>12</v>
      </c>
      <c r="I99" s="209" t="s">
        <v>531</v>
      </c>
      <c r="J99" s="188"/>
      <c r="K99" s="209" t="s">
        <v>539</v>
      </c>
      <c r="L99" s="209" t="s">
        <v>518</v>
      </c>
      <c r="M99" s="209" t="s">
        <v>412</v>
      </c>
      <c r="N99" s="209" t="s">
        <v>589</v>
      </c>
      <c r="O99" s="209"/>
      <c r="P99" s="209"/>
      <c r="Q99" s="209" t="s">
        <v>25</v>
      </c>
      <c r="R99" s="209" t="s">
        <v>19</v>
      </c>
      <c r="S99" s="234" t="s">
        <v>306</v>
      </c>
      <c r="T99" s="209" t="s">
        <v>25</v>
      </c>
      <c r="U99" s="209" t="s">
        <v>25</v>
      </c>
      <c r="V99" s="234" t="s">
        <v>25</v>
      </c>
      <c r="W99" s="209" t="s">
        <v>306</v>
      </c>
      <c r="X99" s="209" t="s">
        <v>25</v>
      </c>
      <c r="Y99" s="234" t="s">
        <v>25</v>
      </c>
      <c r="Z99" s="209" t="s">
        <v>25</v>
      </c>
      <c r="AA99" s="209" t="s">
        <v>306</v>
      </c>
      <c r="AB99" s="234" t="s">
        <v>25</v>
      </c>
      <c r="AC99" s="235" t="s">
        <v>25</v>
      </c>
      <c r="AD99" s="209" t="s">
        <v>306</v>
      </c>
      <c r="AE99" s="209" t="s">
        <v>306</v>
      </c>
      <c r="AF99" s="234" t="s">
        <v>306</v>
      </c>
      <c r="AG99" s="209" t="s">
        <v>25</v>
      </c>
      <c r="AH99" s="209" t="s">
        <v>25</v>
      </c>
      <c r="AI99" s="234" t="s">
        <v>25</v>
      </c>
      <c r="AJ99" s="209" t="s">
        <v>25</v>
      </c>
      <c r="AK99" s="209" t="s">
        <v>25</v>
      </c>
      <c r="AL99" s="234" t="s">
        <v>25</v>
      </c>
      <c r="AM99" s="209" t="s">
        <v>25</v>
      </c>
      <c r="AN99" s="209" t="s">
        <v>306</v>
      </c>
      <c r="AO99" s="234" t="s">
        <v>25</v>
      </c>
      <c r="AP99" s="235" t="s">
        <v>25</v>
      </c>
      <c r="AQ99" s="209" t="s">
        <v>306</v>
      </c>
      <c r="AR99" s="209" t="s">
        <v>306</v>
      </c>
      <c r="AS99" s="234" t="s">
        <v>306</v>
      </c>
      <c r="AT99" s="209" t="s">
        <v>25</v>
      </c>
      <c r="AU99" s="209" t="s">
        <v>25</v>
      </c>
      <c r="AV99" s="234" t="s">
        <v>25</v>
      </c>
      <c r="AW99" s="209" t="s">
        <v>306</v>
      </c>
      <c r="AX99" s="209" t="s">
        <v>19</v>
      </c>
      <c r="AY99" s="234" t="s">
        <v>306</v>
      </c>
      <c r="AZ99" s="209" t="s">
        <v>306</v>
      </c>
      <c r="BA99" s="209" t="s">
        <v>25</v>
      </c>
      <c r="BB99" s="234" t="s">
        <v>19</v>
      </c>
      <c r="BC99" s="235" t="s">
        <v>19</v>
      </c>
      <c r="BD99" s="188"/>
    </row>
    <row r="100" spans="1:56" ht="12.75" customHeight="1" x14ac:dyDescent="0.25">
      <c r="A100" s="238">
        <v>45257.437134131949</v>
      </c>
      <c r="B100" s="233" t="s">
        <v>304</v>
      </c>
      <c r="C100" s="209" t="s">
        <v>587</v>
      </c>
      <c r="D100" s="232" t="s">
        <v>17</v>
      </c>
      <c r="E100" s="232" t="s">
        <v>515</v>
      </c>
      <c r="F100" s="209" t="s">
        <v>697</v>
      </c>
      <c r="G100" s="232" t="s">
        <v>24</v>
      </c>
      <c r="H100" s="232">
        <v>11</v>
      </c>
      <c r="I100" s="209" t="s">
        <v>531</v>
      </c>
      <c r="J100" s="188"/>
      <c r="K100" s="209" t="s">
        <v>539</v>
      </c>
      <c r="L100" s="209" t="s">
        <v>518</v>
      </c>
      <c r="M100" s="209" t="s">
        <v>412</v>
      </c>
      <c r="N100" s="209" t="s">
        <v>589</v>
      </c>
      <c r="O100" s="209"/>
      <c r="P100" s="209"/>
      <c r="Q100" s="209" t="s">
        <v>25</v>
      </c>
      <c r="R100" s="209" t="s">
        <v>25</v>
      </c>
      <c r="S100" s="234" t="s">
        <v>25</v>
      </c>
      <c r="T100" s="209" t="s">
        <v>25</v>
      </c>
      <c r="U100" s="209" t="s">
        <v>25</v>
      </c>
      <c r="V100" s="234" t="s">
        <v>25</v>
      </c>
      <c r="W100" s="209" t="s">
        <v>25</v>
      </c>
      <c r="X100" s="209" t="s">
        <v>306</v>
      </c>
      <c r="Y100" s="234" t="s">
        <v>25</v>
      </c>
      <c r="Z100" s="209" t="s">
        <v>25</v>
      </c>
      <c r="AA100" s="209" t="s">
        <v>25</v>
      </c>
      <c r="AB100" s="234" t="s">
        <v>25</v>
      </c>
      <c r="AC100" s="235" t="s">
        <v>25</v>
      </c>
      <c r="AD100" s="209" t="s">
        <v>25</v>
      </c>
      <c r="AE100" s="209" t="s">
        <v>306</v>
      </c>
      <c r="AF100" s="234" t="s">
        <v>25</v>
      </c>
      <c r="AG100" s="209" t="s">
        <v>25</v>
      </c>
      <c r="AH100" s="209" t="s">
        <v>19</v>
      </c>
      <c r="AI100" s="234" t="s">
        <v>306</v>
      </c>
      <c r="AJ100" s="209" t="s">
        <v>25</v>
      </c>
      <c r="AK100" s="209" t="s">
        <v>306</v>
      </c>
      <c r="AL100" s="234" t="s">
        <v>25</v>
      </c>
      <c r="AM100" s="209" t="s">
        <v>19</v>
      </c>
      <c r="AN100" s="209" t="s">
        <v>19</v>
      </c>
      <c r="AO100" s="234" t="s">
        <v>19</v>
      </c>
      <c r="AP100" s="235" t="s">
        <v>306</v>
      </c>
      <c r="AQ100" s="209" t="s">
        <v>25</v>
      </c>
      <c r="AR100" s="209" t="s">
        <v>25</v>
      </c>
      <c r="AS100" s="234" t="s">
        <v>25</v>
      </c>
      <c r="AT100" s="209" t="s">
        <v>25</v>
      </c>
      <c r="AU100" s="209" t="s">
        <v>25</v>
      </c>
      <c r="AV100" s="234" t="s">
        <v>25</v>
      </c>
      <c r="AW100" s="209" t="s">
        <v>25</v>
      </c>
      <c r="AX100" s="209" t="s">
        <v>25</v>
      </c>
      <c r="AY100" s="234" t="s">
        <v>25</v>
      </c>
      <c r="AZ100" s="209" t="s">
        <v>25</v>
      </c>
      <c r="BA100" s="209" t="s">
        <v>25</v>
      </c>
      <c r="BB100" s="234" t="s">
        <v>306</v>
      </c>
      <c r="BC100" s="235" t="s">
        <v>19</v>
      </c>
      <c r="BD100" s="188"/>
    </row>
    <row r="101" spans="1:56" ht="12.75" customHeight="1" x14ac:dyDescent="0.25">
      <c r="A101" s="238">
        <v>45257.441663564816</v>
      </c>
      <c r="B101" s="233" t="s">
        <v>304</v>
      </c>
      <c r="C101" s="209" t="s">
        <v>587</v>
      </c>
      <c r="D101" s="232" t="s">
        <v>17</v>
      </c>
      <c r="E101" s="232" t="s">
        <v>515</v>
      </c>
      <c r="F101" s="209" t="s">
        <v>698</v>
      </c>
      <c r="G101" s="232" t="s">
        <v>18</v>
      </c>
      <c r="H101" s="232">
        <v>12</v>
      </c>
      <c r="I101" s="209" t="s">
        <v>531</v>
      </c>
      <c r="J101" s="188"/>
      <c r="K101" s="209" t="s">
        <v>539</v>
      </c>
      <c r="L101" s="209" t="s">
        <v>518</v>
      </c>
      <c r="M101" s="209" t="s">
        <v>412</v>
      </c>
      <c r="N101" s="209" t="s">
        <v>589</v>
      </c>
      <c r="O101" s="209"/>
      <c r="P101" s="209"/>
      <c r="Q101" s="209" t="s">
        <v>25</v>
      </c>
      <c r="R101" s="209" t="s">
        <v>25</v>
      </c>
      <c r="S101" s="234" t="s">
        <v>25</v>
      </c>
      <c r="T101" s="209" t="s">
        <v>25</v>
      </c>
      <c r="U101" s="209" t="s">
        <v>25</v>
      </c>
      <c r="V101" s="234" t="s">
        <v>25</v>
      </c>
      <c r="W101" s="209" t="s">
        <v>25</v>
      </c>
      <c r="X101" s="209" t="s">
        <v>19</v>
      </c>
      <c r="Y101" s="234" t="s">
        <v>306</v>
      </c>
      <c r="Z101" s="209" t="s">
        <v>25</v>
      </c>
      <c r="AA101" s="209" t="s">
        <v>25</v>
      </c>
      <c r="AB101" s="234" t="s">
        <v>25</v>
      </c>
      <c r="AC101" s="235" t="s">
        <v>25</v>
      </c>
      <c r="AD101" s="209" t="s">
        <v>25</v>
      </c>
      <c r="AE101" s="209" t="s">
        <v>25</v>
      </c>
      <c r="AF101" s="234" t="s">
        <v>25</v>
      </c>
      <c r="AG101" s="209" t="s">
        <v>25</v>
      </c>
      <c r="AH101" s="209" t="s">
        <v>19</v>
      </c>
      <c r="AI101" s="234" t="s">
        <v>306</v>
      </c>
      <c r="AJ101" s="209" t="s">
        <v>25</v>
      </c>
      <c r="AK101" s="209" t="s">
        <v>19</v>
      </c>
      <c r="AL101" s="234" t="s">
        <v>306</v>
      </c>
      <c r="AM101" s="209" t="s">
        <v>19</v>
      </c>
      <c r="AN101" s="209" t="s">
        <v>19</v>
      </c>
      <c r="AO101" s="234" t="s">
        <v>19</v>
      </c>
      <c r="AP101" s="235" t="s">
        <v>306</v>
      </c>
      <c r="AQ101" s="209" t="s">
        <v>25</v>
      </c>
      <c r="AR101" s="209" t="s">
        <v>25</v>
      </c>
      <c r="AS101" s="234" t="s">
        <v>25</v>
      </c>
      <c r="AT101" s="209" t="s">
        <v>25</v>
      </c>
      <c r="AU101" s="209" t="s">
        <v>25</v>
      </c>
      <c r="AV101" s="234" t="s">
        <v>25</v>
      </c>
      <c r="AW101" s="209" t="s">
        <v>306</v>
      </c>
      <c r="AX101" s="209" t="s">
        <v>25</v>
      </c>
      <c r="AY101" s="234" t="s">
        <v>25</v>
      </c>
      <c r="AZ101" s="209" t="s">
        <v>25</v>
      </c>
      <c r="BA101" s="209" t="s">
        <v>25</v>
      </c>
      <c r="BB101" s="234" t="s">
        <v>25</v>
      </c>
      <c r="BC101" s="235" t="s">
        <v>306</v>
      </c>
      <c r="BD101" s="188"/>
    </row>
    <row r="102" spans="1:56" ht="12.75" customHeight="1" x14ac:dyDescent="0.25">
      <c r="A102" s="238">
        <v>45257.444662974536</v>
      </c>
      <c r="B102" s="233" t="s">
        <v>304</v>
      </c>
      <c r="C102" s="209" t="s">
        <v>587</v>
      </c>
      <c r="D102" s="232" t="s">
        <v>17</v>
      </c>
      <c r="E102" s="232" t="s">
        <v>515</v>
      </c>
      <c r="F102" s="209" t="s">
        <v>699</v>
      </c>
      <c r="G102" s="232" t="s">
        <v>18</v>
      </c>
      <c r="H102" s="232">
        <v>12</v>
      </c>
      <c r="I102" s="209" t="s">
        <v>531</v>
      </c>
      <c r="J102" s="188"/>
      <c r="K102" s="209" t="s">
        <v>539</v>
      </c>
      <c r="L102" s="209" t="s">
        <v>531</v>
      </c>
      <c r="M102" s="188"/>
      <c r="N102" s="188"/>
      <c r="O102" s="188"/>
      <c r="P102" s="188"/>
      <c r="Q102" s="209" t="s">
        <v>25</v>
      </c>
      <c r="R102" s="209" t="s">
        <v>19</v>
      </c>
      <c r="S102" s="234" t="s">
        <v>306</v>
      </c>
      <c r="T102" s="209" t="s">
        <v>19</v>
      </c>
      <c r="U102" s="209" t="s">
        <v>306</v>
      </c>
      <c r="V102" s="234" t="s">
        <v>306</v>
      </c>
      <c r="W102" s="209" t="s">
        <v>25</v>
      </c>
      <c r="X102" s="209" t="s">
        <v>19</v>
      </c>
      <c r="Y102" s="234" t="s">
        <v>306</v>
      </c>
      <c r="Z102" s="209" t="s">
        <v>306</v>
      </c>
      <c r="AA102" s="209" t="s">
        <v>306</v>
      </c>
      <c r="AB102" s="234" t="s">
        <v>306</v>
      </c>
      <c r="AC102" s="235" t="s">
        <v>306</v>
      </c>
      <c r="AD102" s="209" t="s">
        <v>25</v>
      </c>
      <c r="AE102" s="209" t="s">
        <v>306</v>
      </c>
      <c r="AF102" s="234" t="s">
        <v>25</v>
      </c>
      <c r="AG102" s="209" t="s">
        <v>25</v>
      </c>
      <c r="AH102" s="209" t="s">
        <v>19</v>
      </c>
      <c r="AI102" s="234" t="s">
        <v>306</v>
      </c>
      <c r="AJ102" s="209" t="s">
        <v>306</v>
      </c>
      <c r="AK102" s="209" t="s">
        <v>25</v>
      </c>
      <c r="AL102" s="234" t="s">
        <v>25</v>
      </c>
      <c r="AM102" s="209" t="s">
        <v>19</v>
      </c>
      <c r="AN102" s="209" t="s">
        <v>306</v>
      </c>
      <c r="AO102" s="234" t="s">
        <v>306</v>
      </c>
      <c r="AP102" s="235" t="s">
        <v>306</v>
      </c>
      <c r="AQ102" s="209" t="s">
        <v>25</v>
      </c>
      <c r="AR102" s="209" t="s">
        <v>25</v>
      </c>
      <c r="AS102" s="234" t="s">
        <v>25</v>
      </c>
      <c r="AT102" s="209" t="s">
        <v>25</v>
      </c>
      <c r="AU102" s="209" t="s">
        <v>25</v>
      </c>
      <c r="AV102" s="234" t="s">
        <v>25</v>
      </c>
      <c r="AW102" s="209" t="s">
        <v>306</v>
      </c>
      <c r="AX102" s="209" t="s">
        <v>306</v>
      </c>
      <c r="AY102" s="234" t="s">
        <v>306</v>
      </c>
      <c r="AZ102" s="209" t="s">
        <v>306</v>
      </c>
      <c r="BA102" s="209" t="s">
        <v>19</v>
      </c>
      <c r="BB102" s="234" t="s">
        <v>25</v>
      </c>
      <c r="BC102" s="235" t="s">
        <v>25</v>
      </c>
      <c r="BD102" s="188"/>
    </row>
    <row r="103" spans="1:56" ht="12.75" customHeight="1" x14ac:dyDescent="0.25">
      <c r="A103" s="238">
        <v>45257.45352185185</v>
      </c>
      <c r="B103" s="233" t="s">
        <v>304</v>
      </c>
      <c r="C103" s="209" t="s">
        <v>587</v>
      </c>
      <c r="D103" s="232" t="s">
        <v>17</v>
      </c>
      <c r="E103" s="232" t="s">
        <v>515</v>
      </c>
      <c r="F103" s="209" t="s">
        <v>700</v>
      </c>
      <c r="G103" s="232" t="s">
        <v>24</v>
      </c>
      <c r="H103" s="232">
        <v>12</v>
      </c>
      <c r="I103" s="209" t="s">
        <v>531</v>
      </c>
      <c r="J103" s="188"/>
      <c r="K103" s="209" t="s">
        <v>539</v>
      </c>
      <c r="L103" s="209" t="s">
        <v>518</v>
      </c>
      <c r="M103" s="209" t="s">
        <v>401</v>
      </c>
      <c r="N103" s="209" t="s">
        <v>589</v>
      </c>
      <c r="O103" s="209"/>
      <c r="P103" s="209"/>
      <c r="Q103" s="209" t="s">
        <v>306</v>
      </c>
      <c r="R103" s="209" t="s">
        <v>306</v>
      </c>
      <c r="S103" s="234" t="s">
        <v>306</v>
      </c>
      <c r="T103" s="209" t="s">
        <v>306</v>
      </c>
      <c r="U103" s="209" t="s">
        <v>306</v>
      </c>
      <c r="V103" s="234" t="s">
        <v>306</v>
      </c>
      <c r="W103" s="209" t="s">
        <v>306</v>
      </c>
      <c r="X103" s="209" t="s">
        <v>19</v>
      </c>
      <c r="Y103" s="234" t="s">
        <v>306</v>
      </c>
      <c r="Z103" s="209" t="s">
        <v>19</v>
      </c>
      <c r="AA103" s="209" t="s">
        <v>306</v>
      </c>
      <c r="AB103" s="234" t="s">
        <v>306</v>
      </c>
      <c r="AC103" s="235" t="s">
        <v>306</v>
      </c>
      <c r="AD103" s="209" t="s">
        <v>19</v>
      </c>
      <c r="AE103" s="209" t="s">
        <v>19</v>
      </c>
      <c r="AF103" s="234" t="s">
        <v>19</v>
      </c>
      <c r="AG103" s="209" t="s">
        <v>306</v>
      </c>
      <c r="AH103" s="209" t="s">
        <v>19</v>
      </c>
      <c r="AI103" s="234" t="s">
        <v>306</v>
      </c>
      <c r="AJ103" s="209" t="s">
        <v>19</v>
      </c>
      <c r="AK103" s="209" t="s">
        <v>306</v>
      </c>
      <c r="AL103" s="234" t="s">
        <v>306</v>
      </c>
      <c r="AM103" s="209" t="s">
        <v>306</v>
      </c>
      <c r="AN103" s="209" t="s">
        <v>306</v>
      </c>
      <c r="AO103" s="234" t="s">
        <v>306</v>
      </c>
      <c r="AP103" s="235" t="s">
        <v>306</v>
      </c>
      <c r="AQ103" s="209" t="s">
        <v>19</v>
      </c>
      <c r="AR103" s="209" t="s">
        <v>306</v>
      </c>
      <c r="AS103" s="234" t="s">
        <v>306</v>
      </c>
      <c r="AT103" s="209" t="s">
        <v>306</v>
      </c>
      <c r="AU103" s="209" t="s">
        <v>25</v>
      </c>
      <c r="AV103" s="234" t="s">
        <v>25</v>
      </c>
      <c r="AW103" s="209" t="s">
        <v>306</v>
      </c>
      <c r="AX103" s="209" t="s">
        <v>306</v>
      </c>
      <c r="AY103" s="234" t="s">
        <v>306</v>
      </c>
      <c r="AZ103" s="209" t="s">
        <v>306</v>
      </c>
      <c r="BA103" s="209" t="s">
        <v>306</v>
      </c>
      <c r="BB103" s="234" t="s">
        <v>19</v>
      </c>
      <c r="BC103" s="235" t="s">
        <v>19</v>
      </c>
      <c r="BD103" s="188"/>
    </row>
    <row r="104" spans="1:56" ht="12.75" customHeight="1" x14ac:dyDescent="0.25">
      <c r="A104" s="238">
        <v>45257.453636666665</v>
      </c>
      <c r="B104" s="233" t="s">
        <v>304</v>
      </c>
      <c r="C104" s="209" t="s">
        <v>587</v>
      </c>
      <c r="D104" s="232" t="s">
        <v>17</v>
      </c>
      <c r="E104" s="232" t="s">
        <v>515</v>
      </c>
      <c r="F104" s="209" t="s">
        <v>701</v>
      </c>
      <c r="G104" s="232" t="s">
        <v>18</v>
      </c>
      <c r="H104" s="232">
        <v>11</v>
      </c>
      <c r="I104" s="209" t="s">
        <v>531</v>
      </c>
      <c r="J104" s="188"/>
      <c r="K104" s="209" t="s">
        <v>539</v>
      </c>
      <c r="L104" s="209" t="s">
        <v>531</v>
      </c>
      <c r="M104" s="188"/>
      <c r="N104" s="188"/>
      <c r="O104" s="188"/>
      <c r="P104" s="188"/>
      <c r="Q104" s="209" t="s">
        <v>25</v>
      </c>
      <c r="R104" s="209" t="s">
        <v>25</v>
      </c>
      <c r="S104" s="234" t="s">
        <v>25</v>
      </c>
      <c r="T104" s="209" t="s">
        <v>19</v>
      </c>
      <c r="U104" s="209" t="s">
        <v>19</v>
      </c>
      <c r="V104" s="234" t="s">
        <v>19</v>
      </c>
      <c r="W104" s="209" t="s">
        <v>19</v>
      </c>
      <c r="X104" s="209" t="s">
        <v>19</v>
      </c>
      <c r="Y104" s="234" t="s">
        <v>19</v>
      </c>
      <c r="Z104" s="209" t="s">
        <v>19</v>
      </c>
      <c r="AA104" s="209" t="s">
        <v>19</v>
      </c>
      <c r="AB104" s="234" t="s">
        <v>19</v>
      </c>
      <c r="AC104" s="235" t="s">
        <v>306</v>
      </c>
      <c r="AD104" s="209" t="s">
        <v>25</v>
      </c>
      <c r="AE104" s="209" t="s">
        <v>25</v>
      </c>
      <c r="AF104" s="234" t="s">
        <v>25</v>
      </c>
      <c r="AG104" s="209" t="s">
        <v>25</v>
      </c>
      <c r="AH104" s="209" t="s">
        <v>19</v>
      </c>
      <c r="AI104" s="234" t="s">
        <v>306</v>
      </c>
      <c r="AJ104" s="209" t="s">
        <v>25</v>
      </c>
      <c r="AK104" s="209" t="s">
        <v>25</v>
      </c>
      <c r="AL104" s="234" t="s">
        <v>25</v>
      </c>
      <c r="AM104" s="209" t="s">
        <v>306</v>
      </c>
      <c r="AN104" s="209" t="s">
        <v>19</v>
      </c>
      <c r="AO104" s="234" t="s">
        <v>306</v>
      </c>
      <c r="AP104" s="235" t="s">
        <v>306</v>
      </c>
      <c r="AQ104" s="209" t="s">
        <v>306</v>
      </c>
      <c r="AR104" s="209" t="s">
        <v>25</v>
      </c>
      <c r="AS104" s="234" t="s">
        <v>25</v>
      </c>
      <c r="AT104" s="209" t="s">
        <v>25</v>
      </c>
      <c r="AU104" s="209" t="s">
        <v>25</v>
      </c>
      <c r="AV104" s="234" t="s">
        <v>25</v>
      </c>
      <c r="AW104" s="209" t="s">
        <v>25</v>
      </c>
      <c r="AX104" s="209" t="s">
        <v>25</v>
      </c>
      <c r="AY104" s="234" t="s">
        <v>25</v>
      </c>
      <c r="AZ104" s="209" t="s">
        <v>25</v>
      </c>
      <c r="BA104" s="209" t="s">
        <v>25</v>
      </c>
      <c r="BB104" s="234" t="s">
        <v>25</v>
      </c>
      <c r="BC104" s="235" t="s">
        <v>25</v>
      </c>
      <c r="BD104" s="188"/>
    </row>
    <row r="105" spans="1:56" ht="12.75" customHeight="1" x14ac:dyDescent="0.25">
      <c r="A105" s="238">
        <v>45257.455979953702</v>
      </c>
      <c r="B105" s="233" t="s">
        <v>304</v>
      </c>
      <c r="C105" s="209" t="s">
        <v>587</v>
      </c>
      <c r="D105" s="232" t="s">
        <v>17</v>
      </c>
      <c r="E105" s="232" t="s">
        <v>515</v>
      </c>
      <c r="F105" s="209" t="s">
        <v>702</v>
      </c>
      <c r="G105" s="232" t="s">
        <v>18</v>
      </c>
      <c r="H105" s="232">
        <v>12</v>
      </c>
      <c r="I105" s="209" t="s">
        <v>531</v>
      </c>
      <c r="J105" s="188"/>
      <c r="K105" s="209" t="s">
        <v>539</v>
      </c>
      <c r="L105" s="209" t="s">
        <v>518</v>
      </c>
      <c r="M105" s="209" t="s">
        <v>401</v>
      </c>
      <c r="N105" s="209" t="s">
        <v>589</v>
      </c>
      <c r="O105" s="209"/>
      <c r="P105" s="209"/>
      <c r="Q105" s="209" t="s">
        <v>25</v>
      </c>
      <c r="R105" s="209" t="s">
        <v>306</v>
      </c>
      <c r="S105" s="234" t="s">
        <v>25</v>
      </c>
      <c r="T105" s="209" t="s">
        <v>306</v>
      </c>
      <c r="U105" s="209" t="s">
        <v>19</v>
      </c>
      <c r="V105" s="234" t="s">
        <v>306</v>
      </c>
      <c r="W105" s="209" t="s">
        <v>306</v>
      </c>
      <c r="X105" s="209" t="s">
        <v>19</v>
      </c>
      <c r="Y105" s="234" t="s">
        <v>306</v>
      </c>
      <c r="Z105" s="209" t="s">
        <v>306</v>
      </c>
      <c r="AA105" s="209" t="s">
        <v>19</v>
      </c>
      <c r="AB105" s="234" t="s">
        <v>306</v>
      </c>
      <c r="AC105" s="235" t="s">
        <v>306</v>
      </c>
      <c r="AD105" s="209" t="s">
        <v>19</v>
      </c>
      <c r="AE105" s="209" t="s">
        <v>306</v>
      </c>
      <c r="AF105" s="234" t="s">
        <v>306</v>
      </c>
      <c r="AG105" s="209" t="s">
        <v>19</v>
      </c>
      <c r="AH105" s="209" t="s">
        <v>19</v>
      </c>
      <c r="AI105" s="234" t="s">
        <v>19</v>
      </c>
      <c r="AJ105" s="209" t="s">
        <v>19</v>
      </c>
      <c r="AK105" s="209" t="s">
        <v>306</v>
      </c>
      <c r="AL105" s="234" t="s">
        <v>306</v>
      </c>
      <c r="AM105" s="209" t="s">
        <v>306</v>
      </c>
      <c r="AN105" s="209" t="s">
        <v>19</v>
      </c>
      <c r="AO105" s="234" t="s">
        <v>306</v>
      </c>
      <c r="AP105" s="235" t="s">
        <v>19</v>
      </c>
      <c r="AQ105" s="209" t="s">
        <v>25</v>
      </c>
      <c r="AR105" s="209" t="s">
        <v>306</v>
      </c>
      <c r="AS105" s="234" t="s">
        <v>25</v>
      </c>
      <c r="AT105" s="209" t="s">
        <v>25</v>
      </c>
      <c r="AU105" s="209" t="s">
        <v>25</v>
      </c>
      <c r="AV105" s="234" t="s">
        <v>25</v>
      </c>
      <c r="AW105" s="209" t="s">
        <v>25</v>
      </c>
      <c r="AX105" s="209" t="s">
        <v>25</v>
      </c>
      <c r="AY105" s="234" t="s">
        <v>25</v>
      </c>
      <c r="AZ105" s="209" t="s">
        <v>25</v>
      </c>
      <c r="BA105" s="209" t="s">
        <v>25</v>
      </c>
      <c r="BB105" s="234" t="s">
        <v>19</v>
      </c>
      <c r="BC105" s="235" t="s">
        <v>19</v>
      </c>
      <c r="BD105" s="188"/>
    </row>
    <row r="106" spans="1:56" ht="12.75" customHeight="1" x14ac:dyDescent="0.25">
      <c r="A106" s="238">
        <v>45257.45650083333</v>
      </c>
      <c r="B106" s="233" t="s">
        <v>304</v>
      </c>
      <c r="C106" s="209" t="s">
        <v>587</v>
      </c>
      <c r="D106" s="232" t="s">
        <v>17</v>
      </c>
      <c r="E106" s="232" t="s">
        <v>515</v>
      </c>
      <c r="F106" s="209" t="s">
        <v>703</v>
      </c>
      <c r="G106" s="232" t="s">
        <v>24</v>
      </c>
      <c r="H106" s="232">
        <v>12</v>
      </c>
      <c r="I106" s="209" t="s">
        <v>531</v>
      </c>
      <c r="J106" s="188"/>
      <c r="K106" s="209" t="s">
        <v>539</v>
      </c>
      <c r="L106" s="209" t="s">
        <v>518</v>
      </c>
      <c r="M106" s="209" t="s">
        <v>375</v>
      </c>
      <c r="N106" s="209" t="s">
        <v>589</v>
      </c>
      <c r="O106" s="209"/>
      <c r="P106" s="209"/>
      <c r="Q106" s="209" t="s">
        <v>306</v>
      </c>
      <c r="R106" s="209" t="s">
        <v>25</v>
      </c>
      <c r="S106" s="234" t="s">
        <v>25</v>
      </c>
      <c r="T106" s="209" t="s">
        <v>306</v>
      </c>
      <c r="U106" s="209" t="s">
        <v>306</v>
      </c>
      <c r="V106" s="234" t="s">
        <v>306</v>
      </c>
      <c r="W106" s="209" t="s">
        <v>306</v>
      </c>
      <c r="X106" s="209" t="s">
        <v>19</v>
      </c>
      <c r="Y106" s="234" t="s">
        <v>306</v>
      </c>
      <c r="Z106" s="209" t="s">
        <v>306</v>
      </c>
      <c r="AA106" s="209" t="s">
        <v>306</v>
      </c>
      <c r="AB106" s="234" t="s">
        <v>306</v>
      </c>
      <c r="AC106" s="235" t="s">
        <v>306</v>
      </c>
      <c r="AD106" s="209" t="s">
        <v>306</v>
      </c>
      <c r="AE106" s="209" t="s">
        <v>19</v>
      </c>
      <c r="AF106" s="234" t="s">
        <v>306</v>
      </c>
      <c r="AG106" s="209" t="s">
        <v>19</v>
      </c>
      <c r="AH106" s="209" t="s">
        <v>19</v>
      </c>
      <c r="AI106" s="234" t="s">
        <v>19</v>
      </c>
      <c r="AJ106" s="209" t="s">
        <v>306</v>
      </c>
      <c r="AK106" s="209" t="s">
        <v>19</v>
      </c>
      <c r="AL106" s="234" t="s">
        <v>306</v>
      </c>
      <c r="AM106" s="209" t="s">
        <v>19</v>
      </c>
      <c r="AN106" s="209" t="s">
        <v>306</v>
      </c>
      <c r="AO106" s="234" t="s">
        <v>306</v>
      </c>
      <c r="AP106" s="235" t="s">
        <v>19</v>
      </c>
      <c r="AQ106" s="209" t="s">
        <v>306</v>
      </c>
      <c r="AR106" s="209" t="s">
        <v>306</v>
      </c>
      <c r="AS106" s="234" t="s">
        <v>306</v>
      </c>
      <c r="AT106" s="209" t="s">
        <v>306</v>
      </c>
      <c r="AU106" s="209" t="s">
        <v>25</v>
      </c>
      <c r="AV106" s="234" t="s">
        <v>25</v>
      </c>
      <c r="AW106" s="209" t="s">
        <v>306</v>
      </c>
      <c r="AX106" s="209" t="s">
        <v>306</v>
      </c>
      <c r="AY106" s="234" t="s">
        <v>306</v>
      </c>
      <c r="AZ106" s="209" t="s">
        <v>19</v>
      </c>
      <c r="BA106" s="209" t="s">
        <v>306</v>
      </c>
      <c r="BB106" s="234" t="s">
        <v>25</v>
      </c>
      <c r="BC106" s="235" t="s">
        <v>25</v>
      </c>
      <c r="BD106" s="188"/>
    </row>
    <row r="107" spans="1:56" ht="12.75" customHeight="1" x14ac:dyDescent="0.25">
      <c r="A107" s="238">
        <v>45257.460055243057</v>
      </c>
      <c r="B107" s="233" t="s">
        <v>304</v>
      </c>
      <c r="C107" s="209" t="s">
        <v>587</v>
      </c>
      <c r="D107" s="232" t="s">
        <v>17</v>
      </c>
      <c r="E107" s="232" t="s">
        <v>515</v>
      </c>
      <c r="F107" s="209" t="s">
        <v>704</v>
      </c>
      <c r="G107" s="232" t="s">
        <v>24</v>
      </c>
      <c r="H107" s="232">
        <v>11</v>
      </c>
      <c r="I107" s="209" t="s">
        <v>531</v>
      </c>
      <c r="J107" s="188"/>
      <c r="K107" s="209" t="s">
        <v>539</v>
      </c>
      <c r="L107" s="209" t="s">
        <v>518</v>
      </c>
      <c r="M107" s="209" t="s">
        <v>401</v>
      </c>
      <c r="N107" s="209" t="s">
        <v>589</v>
      </c>
      <c r="O107" s="209"/>
      <c r="P107" s="209"/>
      <c r="Q107" s="209" t="s">
        <v>25</v>
      </c>
      <c r="R107" s="209" t="s">
        <v>306</v>
      </c>
      <c r="S107" s="234" t="s">
        <v>25</v>
      </c>
      <c r="T107" s="209" t="s">
        <v>19</v>
      </c>
      <c r="U107" s="209" t="s">
        <v>25</v>
      </c>
      <c r="V107" s="234" t="s">
        <v>306</v>
      </c>
      <c r="W107" s="209" t="s">
        <v>25</v>
      </c>
      <c r="X107" s="209" t="s">
        <v>306</v>
      </c>
      <c r="Y107" s="234" t="s">
        <v>25</v>
      </c>
      <c r="Z107" s="209" t="s">
        <v>306</v>
      </c>
      <c r="AA107" s="209" t="s">
        <v>306</v>
      </c>
      <c r="AB107" s="234" t="s">
        <v>306</v>
      </c>
      <c r="AC107" s="235" t="s">
        <v>306</v>
      </c>
      <c r="AD107" s="209" t="s">
        <v>19</v>
      </c>
      <c r="AE107" s="209" t="s">
        <v>25</v>
      </c>
      <c r="AF107" s="234" t="s">
        <v>306</v>
      </c>
      <c r="AG107" s="209" t="s">
        <v>25</v>
      </c>
      <c r="AH107" s="209" t="s">
        <v>19</v>
      </c>
      <c r="AI107" s="234" t="s">
        <v>306</v>
      </c>
      <c r="AJ107" s="209" t="s">
        <v>19</v>
      </c>
      <c r="AK107" s="209" t="s">
        <v>25</v>
      </c>
      <c r="AL107" s="234" t="s">
        <v>306</v>
      </c>
      <c r="AM107" s="209" t="s">
        <v>306</v>
      </c>
      <c r="AN107" s="209" t="s">
        <v>25</v>
      </c>
      <c r="AO107" s="234" t="s">
        <v>25</v>
      </c>
      <c r="AP107" s="235" t="s">
        <v>306</v>
      </c>
      <c r="AQ107" s="209" t="s">
        <v>25</v>
      </c>
      <c r="AR107" s="209" t="s">
        <v>25</v>
      </c>
      <c r="AS107" s="234" t="s">
        <v>25</v>
      </c>
      <c r="AT107" s="209" t="s">
        <v>306</v>
      </c>
      <c r="AU107" s="209" t="s">
        <v>306</v>
      </c>
      <c r="AV107" s="234" t="s">
        <v>306</v>
      </c>
      <c r="AW107" s="209" t="s">
        <v>25</v>
      </c>
      <c r="AX107" s="209" t="s">
        <v>306</v>
      </c>
      <c r="AY107" s="234" t="s">
        <v>25</v>
      </c>
      <c r="AZ107" s="209" t="s">
        <v>306</v>
      </c>
      <c r="BA107" s="209" t="s">
        <v>306</v>
      </c>
      <c r="BB107" s="234" t="s">
        <v>25</v>
      </c>
      <c r="BC107" s="235" t="s">
        <v>25</v>
      </c>
      <c r="BD107" s="188"/>
    </row>
    <row r="108" spans="1:56" ht="12.75" customHeight="1" x14ac:dyDescent="0.25">
      <c r="A108" s="238">
        <v>45257.460317581019</v>
      </c>
      <c r="B108" s="233" t="s">
        <v>304</v>
      </c>
      <c r="C108" s="209" t="s">
        <v>587</v>
      </c>
      <c r="D108" s="232" t="s">
        <v>17</v>
      </c>
      <c r="E108" s="232" t="s">
        <v>515</v>
      </c>
      <c r="F108" s="209" t="s">
        <v>705</v>
      </c>
      <c r="G108" s="232" t="s">
        <v>18</v>
      </c>
      <c r="H108" s="232">
        <v>11</v>
      </c>
      <c r="I108" s="209" t="s">
        <v>531</v>
      </c>
      <c r="J108" s="188"/>
      <c r="K108" s="209" t="s">
        <v>539</v>
      </c>
      <c r="L108" s="209" t="s">
        <v>531</v>
      </c>
      <c r="M108" s="188"/>
      <c r="N108" s="188"/>
      <c r="O108" s="188"/>
      <c r="P108" s="188"/>
      <c r="Q108" s="209" t="s">
        <v>306</v>
      </c>
      <c r="R108" s="209" t="s">
        <v>19</v>
      </c>
      <c r="S108" s="234" t="s">
        <v>306</v>
      </c>
      <c r="T108" s="209" t="s">
        <v>306</v>
      </c>
      <c r="U108" s="209" t="s">
        <v>306</v>
      </c>
      <c r="V108" s="234" t="s">
        <v>306</v>
      </c>
      <c r="W108" s="209" t="s">
        <v>19</v>
      </c>
      <c r="X108" s="209" t="s">
        <v>25</v>
      </c>
      <c r="Y108" s="234" t="s">
        <v>306</v>
      </c>
      <c r="Z108" s="209" t="s">
        <v>19</v>
      </c>
      <c r="AA108" s="209" t="s">
        <v>306</v>
      </c>
      <c r="AB108" s="234" t="s">
        <v>306</v>
      </c>
      <c r="AC108" s="235" t="s">
        <v>306</v>
      </c>
      <c r="AD108" s="209" t="s">
        <v>306</v>
      </c>
      <c r="AE108" s="209" t="s">
        <v>25</v>
      </c>
      <c r="AF108" s="234" t="s">
        <v>25</v>
      </c>
      <c r="AG108" s="209" t="s">
        <v>306</v>
      </c>
      <c r="AH108" s="209" t="s">
        <v>25</v>
      </c>
      <c r="AI108" s="234" t="s">
        <v>25</v>
      </c>
      <c r="AJ108" s="209" t="s">
        <v>19</v>
      </c>
      <c r="AK108" s="209" t="s">
        <v>306</v>
      </c>
      <c r="AL108" s="234" t="s">
        <v>306</v>
      </c>
      <c r="AM108" s="209" t="s">
        <v>19</v>
      </c>
      <c r="AN108" s="209" t="s">
        <v>306</v>
      </c>
      <c r="AO108" s="234" t="s">
        <v>306</v>
      </c>
      <c r="AP108" s="235" t="s">
        <v>306</v>
      </c>
      <c r="AQ108" s="209" t="s">
        <v>19</v>
      </c>
      <c r="AR108" s="209" t="s">
        <v>25</v>
      </c>
      <c r="AS108" s="234" t="s">
        <v>306</v>
      </c>
      <c r="AT108" s="209" t="s">
        <v>25</v>
      </c>
      <c r="AU108" s="209" t="s">
        <v>306</v>
      </c>
      <c r="AV108" s="234" t="s">
        <v>25</v>
      </c>
      <c r="AW108" s="209" t="s">
        <v>25</v>
      </c>
      <c r="AX108" s="209" t="s">
        <v>19</v>
      </c>
      <c r="AY108" s="234" t="s">
        <v>306</v>
      </c>
      <c r="AZ108" s="209" t="s">
        <v>25</v>
      </c>
      <c r="BA108" s="209" t="s">
        <v>306</v>
      </c>
      <c r="BB108" s="234" t="s">
        <v>19</v>
      </c>
      <c r="BC108" s="235" t="s">
        <v>19</v>
      </c>
      <c r="BD108" s="188"/>
    </row>
    <row r="109" spans="1:56" ht="12.75" customHeight="1" x14ac:dyDescent="0.25">
      <c r="A109" s="238">
        <v>45257.462069479167</v>
      </c>
      <c r="B109" s="233" t="s">
        <v>304</v>
      </c>
      <c r="C109" s="209" t="s">
        <v>587</v>
      </c>
      <c r="D109" s="232" t="s">
        <v>17</v>
      </c>
      <c r="E109" s="232" t="s">
        <v>515</v>
      </c>
      <c r="F109" s="209" t="s">
        <v>706</v>
      </c>
      <c r="G109" s="232" t="s">
        <v>18</v>
      </c>
      <c r="H109" s="232">
        <v>12</v>
      </c>
      <c r="I109" s="209" t="s">
        <v>531</v>
      </c>
      <c r="J109" s="188"/>
      <c r="K109" s="209" t="s">
        <v>539</v>
      </c>
      <c r="L109" s="209" t="s">
        <v>518</v>
      </c>
      <c r="M109" s="209" t="s">
        <v>412</v>
      </c>
      <c r="N109" s="209" t="s">
        <v>589</v>
      </c>
      <c r="O109" s="209"/>
      <c r="P109" s="209"/>
      <c r="Q109" s="209" t="s">
        <v>25</v>
      </c>
      <c r="R109" s="209" t="s">
        <v>25</v>
      </c>
      <c r="S109" s="234" t="s">
        <v>25</v>
      </c>
      <c r="T109" s="209" t="s">
        <v>25</v>
      </c>
      <c r="U109" s="209" t="s">
        <v>25</v>
      </c>
      <c r="V109" s="234" t="s">
        <v>25</v>
      </c>
      <c r="W109" s="209" t="s">
        <v>25</v>
      </c>
      <c r="X109" s="209" t="s">
        <v>25</v>
      </c>
      <c r="Y109" s="234" t="s">
        <v>25</v>
      </c>
      <c r="Z109" s="209" t="s">
        <v>306</v>
      </c>
      <c r="AA109" s="209" t="s">
        <v>19</v>
      </c>
      <c r="AB109" s="234" t="s">
        <v>306</v>
      </c>
      <c r="AC109" s="235" t="s">
        <v>25</v>
      </c>
      <c r="AD109" s="209" t="s">
        <v>306</v>
      </c>
      <c r="AE109" s="209" t="s">
        <v>19</v>
      </c>
      <c r="AF109" s="234" t="s">
        <v>306</v>
      </c>
      <c r="AG109" s="209" t="s">
        <v>19</v>
      </c>
      <c r="AH109" s="209" t="s">
        <v>19</v>
      </c>
      <c r="AI109" s="234" t="s">
        <v>19</v>
      </c>
      <c r="AJ109" s="209" t="s">
        <v>19</v>
      </c>
      <c r="AK109" s="209" t="s">
        <v>19</v>
      </c>
      <c r="AL109" s="234" t="s">
        <v>19</v>
      </c>
      <c r="AM109" s="209" t="s">
        <v>306</v>
      </c>
      <c r="AN109" s="209" t="s">
        <v>306</v>
      </c>
      <c r="AO109" s="234" t="s">
        <v>306</v>
      </c>
      <c r="AP109" s="235" t="s">
        <v>19</v>
      </c>
      <c r="AQ109" s="209" t="s">
        <v>306</v>
      </c>
      <c r="AR109" s="209" t="s">
        <v>306</v>
      </c>
      <c r="AS109" s="234" t="s">
        <v>306</v>
      </c>
      <c r="AT109" s="209" t="s">
        <v>306</v>
      </c>
      <c r="AU109" s="209" t="s">
        <v>306</v>
      </c>
      <c r="AV109" s="234" t="s">
        <v>306</v>
      </c>
      <c r="AW109" s="209" t="s">
        <v>19</v>
      </c>
      <c r="AX109" s="209" t="s">
        <v>19</v>
      </c>
      <c r="AY109" s="234" t="s">
        <v>19</v>
      </c>
      <c r="AZ109" s="209" t="s">
        <v>19</v>
      </c>
      <c r="BA109" s="209" t="s">
        <v>306</v>
      </c>
      <c r="BB109" s="234" t="s">
        <v>25</v>
      </c>
      <c r="BC109" s="235" t="s">
        <v>25</v>
      </c>
      <c r="BD109" s="188"/>
    </row>
    <row r="110" spans="1:56" ht="12.75" customHeight="1" x14ac:dyDescent="0.25">
      <c r="A110" s="238">
        <v>45257.464630127317</v>
      </c>
      <c r="B110" s="233" t="s">
        <v>304</v>
      </c>
      <c r="C110" s="209" t="s">
        <v>587</v>
      </c>
      <c r="D110" s="232" t="s">
        <v>17</v>
      </c>
      <c r="E110" s="232" t="s">
        <v>515</v>
      </c>
      <c r="F110" s="209" t="s">
        <v>707</v>
      </c>
      <c r="G110" s="232" t="s">
        <v>18</v>
      </c>
      <c r="H110" s="232">
        <v>12</v>
      </c>
      <c r="I110" s="209" t="s">
        <v>531</v>
      </c>
      <c r="J110" s="188"/>
      <c r="K110" s="209" t="s">
        <v>539</v>
      </c>
      <c r="L110" s="209" t="s">
        <v>518</v>
      </c>
      <c r="M110" s="209" t="s">
        <v>401</v>
      </c>
      <c r="N110" s="209" t="s">
        <v>589</v>
      </c>
      <c r="O110" s="209"/>
      <c r="P110" s="209"/>
      <c r="Q110" s="209" t="s">
        <v>25</v>
      </c>
      <c r="R110" s="209" t="s">
        <v>25</v>
      </c>
      <c r="S110" s="234" t="s">
        <v>25</v>
      </c>
      <c r="T110" s="209" t="s">
        <v>25</v>
      </c>
      <c r="U110" s="209" t="s">
        <v>25</v>
      </c>
      <c r="V110" s="234" t="s">
        <v>25</v>
      </c>
      <c r="W110" s="209" t="s">
        <v>25</v>
      </c>
      <c r="X110" s="209" t="s">
        <v>306</v>
      </c>
      <c r="Y110" s="234" t="s">
        <v>25</v>
      </c>
      <c r="Z110" s="209" t="s">
        <v>306</v>
      </c>
      <c r="AA110" s="209" t="s">
        <v>306</v>
      </c>
      <c r="AB110" s="234" t="s">
        <v>306</v>
      </c>
      <c r="AC110" s="235" t="s">
        <v>25</v>
      </c>
      <c r="AD110" s="209" t="s">
        <v>306</v>
      </c>
      <c r="AE110" s="209" t="s">
        <v>25</v>
      </c>
      <c r="AF110" s="234" t="s">
        <v>25</v>
      </c>
      <c r="AG110" s="209" t="s">
        <v>25</v>
      </c>
      <c r="AH110" s="209" t="s">
        <v>306</v>
      </c>
      <c r="AI110" s="234" t="s">
        <v>25</v>
      </c>
      <c r="AJ110" s="209" t="s">
        <v>306</v>
      </c>
      <c r="AK110" s="209" t="s">
        <v>19</v>
      </c>
      <c r="AL110" s="234" t="s">
        <v>306</v>
      </c>
      <c r="AM110" s="209" t="s">
        <v>306</v>
      </c>
      <c r="AN110" s="209" t="s">
        <v>19</v>
      </c>
      <c r="AO110" s="234" t="s">
        <v>306</v>
      </c>
      <c r="AP110" s="235" t="s">
        <v>306</v>
      </c>
      <c r="AQ110" s="209" t="s">
        <v>25</v>
      </c>
      <c r="AR110" s="209" t="s">
        <v>25</v>
      </c>
      <c r="AS110" s="234" t="s">
        <v>25</v>
      </c>
      <c r="AT110" s="209" t="s">
        <v>25</v>
      </c>
      <c r="AU110" s="209" t="s">
        <v>306</v>
      </c>
      <c r="AV110" s="234" t="s">
        <v>25</v>
      </c>
      <c r="AW110" s="209" t="s">
        <v>306</v>
      </c>
      <c r="AX110" s="209" t="s">
        <v>25</v>
      </c>
      <c r="AY110" s="234" t="s">
        <v>25</v>
      </c>
      <c r="AZ110" s="209" t="s">
        <v>25</v>
      </c>
      <c r="BA110" s="209" t="s">
        <v>25</v>
      </c>
      <c r="BB110" s="234" t="s">
        <v>306</v>
      </c>
      <c r="BC110" s="235" t="s">
        <v>306</v>
      </c>
      <c r="BD110" s="188"/>
    </row>
    <row r="111" spans="1:56" ht="12.75" customHeight="1" x14ac:dyDescent="0.25">
      <c r="A111" s="238">
        <v>45257.466231377315</v>
      </c>
      <c r="B111" s="233" t="s">
        <v>304</v>
      </c>
      <c r="C111" s="209" t="s">
        <v>587</v>
      </c>
      <c r="D111" s="232" t="s">
        <v>17</v>
      </c>
      <c r="E111" s="232" t="s">
        <v>515</v>
      </c>
      <c r="F111" s="209" t="s">
        <v>708</v>
      </c>
      <c r="G111" s="232" t="s">
        <v>24</v>
      </c>
      <c r="H111" s="232">
        <v>12</v>
      </c>
      <c r="I111" s="209" t="s">
        <v>531</v>
      </c>
      <c r="J111" s="188"/>
      <c r="K111" s="209" t="s">
        <v>539</v>
      </c>
      <c r="L111" s="209" t="s">
        <v>518</v>
      </c>
      <c r="M111" s="209" t="s">
        <v>401</v>
      </c>
      <c r="N111" s="209" t="s">
        <v>589</v>
      </c>
      <c r="O111" s="209"/>
      <c r="P111" s="209"/>
      <c r="Q111" s="209" t="s">
        <v>306</v>
      </c>
      <c r="R111" s="209" t="s">
        <v>306</v>
      </c>
      <c r="S111" s="234" t="s">
        <v>306</v>
      </c>
      <c r="T111" s="209" t="s">
        <v>19</v>
      </c>
      <c r="U111" s="209" t="s">
        <v>25</v>
      </c>
      <c r="V111" s="234" t="s">
        <v>306</v>
      </c>
      <c r="W111" s="209" t="s">
        <v>19</v>
      </c>
      <c r="X111" s="209" t="s">
        <v>306</v>
      </c>
      <c r="Y111" s="234" t="s">
        <v>306</v>
      </c>
      <c r="Z111" s="209" t="s">
        <v>306</v>
      </c>
      <c r="AA111" s="209" t="s">
        <v>19</v>
      </c>
      <c r="AB111" s="234" t="s">
        <v>306</v>
      </c>
      <c r="AC111" s="235" t="s">
        <v>306</v>
      </c>
      <c r="AD111" s="209" t="s">
        <v>306</v>
      </c>
      <c r="AE111" s="209" t="s">
        <v>306</v>
      </c>
      <c r="AF111" s="234" t="s">
        <v>306</v>
      </c>
      <c r="AG111" s="209" t="s">
        <v>306</v>
      </c>
      <c r="AH111" s="209" t="s">
        <v>19</v>
      </c>
      <c r="AI111" s="234" t="s">
        <v>306</v>
      </c>
      <c r="AJ111" s="209" t="s">
        <v>19</v>
      </c>
      <c r="AK111" s="209" t="s">
        <v>19</v>
      </c>
      <c r="AL111" s="234" t="s">
        <v>19</v>
      </c>
      <c r="AM111" s="209" t="s">
        <v>306</v>
      </c>
      <c r="AN111" s="209" t="s">
        <v>19</v>
      </c>
      <c r="AO111" s="234" t="s">
        <v>306</v>
      </c>
      <c r="AP111" s="235" t="s">
        <v>306</v>
      </c>
      <c r="AQ111" s="209" t="s">
        <v>306</v>
      </c>
      <c r="AR111" s="209" t="s">
        <v>306</v>
      </c>
      <c r="AS111" s="234" t="s">
        <v>306</v>
      </c>
      <c r="AT111" s="209" t="s">
        <v>25</v>
      </c>
      <c r="AU111" s="209" t="s">
        <v>25</v>
      </c>
      <c r="AV111" s="234" t="s">
        <v>25</v>
      </c>
      <c r="AW111" s="209" t="s">
        <v>306</v>
      </c>
      <c r="AX111" s="209" t="s">
        <v>306</v>
      </c>
      <c r="AY111" s="234" t="s">
        <v>306</v>
      </c>
      <c r="AZ111" s="209" t="s">
        <v>19</v>
      </c>
      <c r="BA111" s="209" t="s">
        <v>306</v>
      </c>
      <c r="BB111" s="234" t="s">
        <v>25</v>
      </c>
      <c r="BC111" s="235" t="s">
        <v>25</v>
      </c>
      <c r="BD111" s="188"/>
    </row>
    <row r="112" spans="1:56" ht="12.75" customHeight="1" x14ac:dyDescent="0.25">
      <c r="A112" s="238">
        <v>45257.467753715275</v>
      </c>
      <c r="B112" s="233" t="s">
        <v>304</v>
      </c>
      <c r="C112" s="209" t="s">
        <v>587</v>
      </c>
      <c r="D112" s="232" t="s">
        <v>17</v>
      </c>
      <c r="E112" s="232" t="s">
        <v>515</v>
      </c>
      <c r="F112" s="209" t="s">
        <v>709</v>
      </c>
      <c r="G112" s="232" t="s">
        <v>18</v>
      </c>
      <c r="H112" s="232">
        <v>11</v>
      </c>
      <c r="I112" s="209" t="s">
        <v>531</v>
      </c>
      <c r="J112" s="188"/>
      <c r="K112" s="209" t="s">
        <v>539</v>
      </c>
      <c r="L112" s="209" t="s">
        <v>518</v>
      </c>
      <c r="M112" s="209" t="s">
        <v>401</v>
      </c>
      <c r="N112" s="209" t="s">
        <v>589</v>
      </c>
      <c r="O112" s="209"/>
      <c r="P112" s="209"/>
      <c r="Q112" s="209" t="s">
        <v>25</v>
      </c>
      <c r="R112" s="209" t="s">
        <v>19</v>
      </c>
      <c r="S112" s="234" t="s">
        <v>306</v>
      </c>
      <c r="T112" s="209" t="s">
        <v>19</v>
      </c>
      <c r="U112" s="209" t="s">
        <v>25</v>
      </c>
      <c r="V112" s="234" t="s">
        <v>306</v>
      </c>
      <c r="W112" s="209" t="s">
        <v>19</v>
      </c>
      <c r="X112" s="209" t="s">
        <v>306</v>
      </c>
      <c r="Y112" s="234" t="s">
        <v>306</v>
      </c>
      <c r="Z112" s="209" t="s">
        <v>306</v>
      </c>
      <c r="AA112" s="209" t="s">
        <v>19</v>
      </c>
      <c r="AB112" s="234" t="s">
        <v>306</v>
      </c>
      <c r="AC112" s="235" t="s">
        <v>306</v>
      </c>
      <c r="AD112" s="209" t="s">
        <v>306</v>
      </c>
      <c r="AE112" s="209" t="s">
        <v>25</v>
      </c>
      <c r="AF112" s="234" t="s">
        <v>25</v>
      </c>
      <c r="AG112" s="209" t="s">
        <v>306</v>
      </c>
      <c r="AH112" s="209" t="s">
        <v>19</v>
      </c>
      <c r="AI112" s="234" t="s">
        <v>306</v>
      </c>
      <c r="AJ112" s="209" t="s">
        <v>19</v>
      </c>
      <c r="AK112" s="209" t="s">
        <v>306</v>
      </c>
      <c r="AL112" s="234" t="s">
        <v>306</v>
      </c>
      <c r="AM112" s="209" t="s">
        <v>306</v>
      </c>
      <c r="AN112" s="209" t="s">
        <v>306</v>
      </c>
      <c r="AO112" s="234" t="s">
        <v>306</v>
      </c>
      <c r="AP112" s="235" t="s">
        <v>306</v>
      </c>
      <c r="AQ112" s="209" t="s">
        <v>25</v>
      </c>
      <c r="AR112" s="209" t="s">
        <v>306</v>
      </c>
      <c r="AS112" s="234" t="s">
        <v>25</v>
      </c>
      <c r="AT112" s="209" t="s">
        <v>306</v>
      </c>
      <c r="AU112" s="209" t="s">
        <v>306</v>
      </c>
      <c r="AV112" s="234" t="s">
        <v>306</v>
      </c>
      <c r="AW112" s="209" t="s">
        <v>306</v>
      </c>
      <c r="AX112" s="209" t="s">
        <v>25</v>
      </c>
      <c r="AY112" s="234" t="s">
        <v>25</v>
      </c>
      <c r="AZ112" s="209" t="s">
        <v>25</v>
      </c>
      <c r="BA112" s="209" t="s">
        <v>25</v>
      </c>
      <c r="BB112" s="234" t="s">
        <v>19</v>
      </c>
      <c r="BC112" s="235" t="s">
        <v>19</v>
      </c>
      <c r="BD112" s="188"/>
    </row>
    <row r="113" spans="1:56" ht="12.75" customHeight="1" x14ac:dyDescent="0.25">
      <c r="A113" s="238">
        <v>45257.486852442133</v>
      </c>
      <c r="B113" s="233" t="s">
        <v>304</v>
      </c>
      <c r="C113" s="209" t="s">
        <v>587</v>
      </c>
      <c r="D113" s="232" t="s">
        <v>17</v>
      </c>
      <c r="E113" s="232" t="s">
        <v>515</v>
      </c>
      <c r="F113" s="209" t="s">
        <v>710</v>
      </c>
      <c r="G113" s="232" t="s">
        <v>18</v>
      </c>
      <c r="H113" s="232">
        <v>11</v>
      </c>
      <c r="I113" s="209" t="s">
        <v>531</v>
      </c>
      <c r="J113" s="188"/>
      <c r="K113" s="209" t="s">
        <v>539</v>
      </c>
      <c r="L113" s="209" t="s">
        <v>518</v>
      </c>
      <c r="M113" s="209" t="s">
        <v>401</v>
      </c>
      <c r="N113" s="209" t="s">
        <v>589</v>
      </c>
      <c r="O113" s="209"/>
      <c r="P113" s="209"/>
      <c r="Q113" s="209" t="s">
        <v>19</v>
      </c>
      <c r="R113" s="209" t="s">
        <v>19</v>
      </c>
      <c r="S113" s="234" t="s">
        <v>19</v>
      </c>
      <c r="T113" s="209" t="s">
        <v>306</v>
      </c>
      <c r="U113" s="209" t="s">
        <v>25</v>
      </c>
      <c r="V113" s="234" t="s">
        <v>25</v>
      </c>
      <c r="W113" s="209" t="s">
        <v>19</v>
      </c>
      <c r="X113" s="209" t="s">
        <v>19</v>
      </c>
      <c r="Y113" s="234" t="s">
        <v>19</v>
      </c>
      <c r="Z113" s="209" t="s">
        <v>19</v>
      </c>
      <c r="AA113" s="209" t="s">
        <v>306</v>
      </c>
      <c r="AB113" s="234" t="s">
        <v>306</v>
      </c>
      <c r="AC113" s="235" t="s">
        <v>306</v>
      </c>
      <c r="AD113" s="209" t="s">
        <v>19</v>
      </c>
      <c r="AE113" s="209" t="s">
        <v>19</v>
      </c>
      <c r="AF113" s="234" t="s">
        <v>19</v>
      </c>
      <c r="AG113" s="209" t="s">
        <v>19</v>
      </c>
      <c r="AH113" s="209" t="s">
        <v>19</v>
      </c>
      <c r="AI113" s="234" t="s">
        <v>19</v>
      </c>
      <c r="AJ113" s="209" t="s">
        <v>19</v>
      </c>
      <c r="AK113" s="209" t="s">
        <v>19</v>
      </c>
      <c r="AL113" s="234" t="s">
        <v>19</v>
      </c>
      <c r="AM113" s="209" t="s">
        <v>19</v>
      </c>
      <c r="AN113" s="209" t="s">
        <v>19</v>
      </c>
      <c r="AO113" s="234" t="s">
        <v>19</v>
      </c>
      <c r="AP113" s="235" t="s">
        <v>19</v>
      </c>
      <c r="AQ113" s="209" t="s">
        <v>19</v>
      </c>
      <c r="AR113" s="209" t="s">
        <v>19</v>
      </c>
      <c r="AS113" s="234" t="s">
        <v>19</v>
      </c>
      <c r="AT113" s="209" t="s">
        <v>19</v>
      </c>
      <c r="AU113" s="209" t="s">
        <v>19</v>
      </c>
      <c r="AV113" s="234" t="s">
        <v>19</v>
      </c>
      <c r="AW113" s="209" t="s">
        <v>19</v>
      </c>
      <c r="AX113" s="209" t="s">
        <v>19</v>
      </c>
      <c r="AY113" s="234" t="s">
        <v>19</v>
      </c>
      <c r="AZ113" s="209" t="s">
        <v>19</v>
      </c>
      <c r="BA113" s="209" t="s">
        <v>19</v>
      </c>
      <c r="BB113" s="234" t="s">
        <v>25</v>
      </c>
      <c r="BC113" s="235" t="s">
        <v>25</v>
      </c>
      <c r="BD113" s="188"/>
    </row>
    <row r="114" spans="1:56" ht="12.75" customHeight="1" x14ac:dyDescent="0.25">
      <c r="A114" s="238">
        <v>45257.488575694442</v>
      </c>
      <c r="B114" s="233" t="s">
        <v>304</v>
      </c>
      <c r="C114" s="209" t="s">
        <v>587</v>
      </c>
      <c r="D114" s="232" t="s">
        <v>17</v>
      </c>
      <c r="E114" s="232" t="s">
        <v>515</v>
      </c>
      <c r="F114" s="209" t="s">
        <v>711</v>
      </c>
      <c r="G114" s="232" t="s">
        <v>18</v>
      </c>
      <c r="H114" s="232">
        <v>12</v>
      </c>
      <c r="I114" s="209" t="s">
        <v>531</v>
      </c>
      <c r="J114" s="188"/>
      <c r="K114" s="209" t="s">
        <v>539</v>
      </c>
      <c r="L114" s="209" t="s">
        <v>518</v>
      </c>
      <c r="M114" s="209" t="s">
        <v>375</v>
      </c>
      <c r="N114" s="209" t="s">
        <v>589</v>
      </c>
      <c r="O114" s="209"/>
      <c r="P114" s="209"/>
      <c r="Q114" s="209" t="s">
        <v>19</v>
      </c>
      <c r="R114" s="209" t="s">
        <v>19</v>
      </c>
      <c r="S114" s="234" t="s">
        <v>19</v>
      </c>
      <c r="T114" s="209" t="s">
        <v>306</v>
      </c>
      <c r="U114" s="209" t="s">
        <v>25</v>
      </c>
      <c r="V114" s="234" t="s">
        <v>25</v>
      </c>
      <c r="W114" s="209" t="s">
        <v>306</v>
      </c>
      <c r="X114" s="209" t="s">
        <v>19</v>
      </c>
      <c r="Y114" s="234" t="s">
        <v>306</v>
      </c>
      <c r="Z114" s="209" t="s">
        <v>19</v>
      </c>
      <c r="AA114" s="209" t="s">
        <v>19</v>
      </c>
      <c r="AB114" s="234" t="s">
        <v>19</v>
      </c>
      <c r="AC114" s="235" t="s">
        <v>306</v>
      </c>
      <c r="AD114" s="209" t="s">
        <v>19</v>
      </c>
      <c r="AE114" s="209" t="s">
        <v>19</v>
      </c>
      <c r="AF114" s="234" t="s">
        <v>19</v>
      </c>
      <c r="AG114" s="209" t="s">
        <v>19</v>
      </c>
      <c r="AH114" s="209" t="s">
        <v>19</v>
      </c>
      <c r="AI114" s="234" t="s">
        <v>19</v>
      </c>
      <c r="AJ114" s="209" t="s">
        <v>19</v>
      </c>
      <c r="AK114" s="209" t="s">
        <v>19</v>
      </c>
      <c r="AL114" s="234" t="s">
        <v>19</v>
      </c>
      <c r="AM114" s="209" t="s">
        <v>19</v>
      </c>
      <c r="AN114" s="209" t="s">
        <v>19</v>
      </c>
      <c r="AO114" s="234" t="s">
        <v>19</v>
      </c>
      <c r="AP114" s="235" t="s">
        <v>19</v>
      </c>
      <c r="AQ114" s="209" t="s">
        <v>19</v>
      </c>
      <c r="AR114" s="209" t="s">
        <v>19</v>
      </c>
      <c r="AS114" s="234" t="s">
        <v>19</v>
      </c>
      <c r="AT114" s="209" t="s">
        <v>19</v>
      </c>
      <c r="AU114" s="209" t="s">
        <v>19</v>
      </c>
      <c r="AV114" s="234" t="s">
        <v>19</v>
      </c>
      <c r="AW114" s="209" t="s">
        <v>19</v>
      </c>
      <c r="AX114" s="209" t="s">
        <v>19</v>
      </c>
      <c r="AY114" s="234" t="s">
        <v>19</v>
      </c>
      <c r="AZ114" s="209" t="s">
        <v>19</v>
      </c>
      <c r="BA114" s="209" t="s">
        <v>19</v>
      </c>
      <c r="BB114" s="234" t="s">
        <v>19</v>
      </c>
      <c r="BC114" s="235" t="s">
        <v>19</v>
      </c>
      <c r="BD114" s="188"/>
    </row>
    <row r="115" spans="1:56" ht="12.75" customHeight="1" x14ac:dyDescent="0.25">
      <c r="A115" s="238">
        <v>45257.490245995374</v>
      </c>
      <c r="B115" s="233" t="s">
        <v>304</v>
      </c>
      <c r="C115" s="209" t="s">
        <v>587</v>
      </c>
      <c r="D115" s="232" t="s">
        <v>17</v>
      </c>
      <c r="E115" s="232" t="s">
        <v>515</v>
      </c>
      <c r="F115" s="209" t="s">
        <v>712</v>
      </c>
      <c r="G115" s="232" t="s">
        <v>24</v>
      </c>
      <c r="H115" s="232">
        <v>12</v>
      </c>
      <c r="I115" s="209" t="s">
        <v>531</v>
      </c>
      <c r="J115" s="188"/>
      <c r="K115" s="209" t="s">
        <v>539</v>
      </c>
      <c r="L115" s="209" t="s">
        <v>518</v>
      </c>
      <c r="M115" s="209" t="s">
        <v>375</v>
      </c>
      <c r="N115" s="209" t="s">
        <v>589</v>
      </c>
      <c r="O115" s="209"/>
      <c r="P115" s="209"/>
      <c r="Q115" s="209" t="s">
        <v>19</v>
      </c>
      <c r="R115" s="209" t="s">
        <v>25</v>
      </c>
      <c r="S115" s="234" t="s">
        <v>306</v>
      </c>
      <c r="T115" s="209" t="s">
        <v>306</v>
      </c>
      <c r="U115" s="209" t="s">
        <v>25</v>
      </c>
      <c r="V115" s="234" t="s">
        <v>25</v>
      </c>
      <c r="W115" s="209" t="s">
        <v>19</v>
      </c>
      <c r="X115" s="209" t="s">
        <v>19</v>
      </c>
      <c r="Y115" s="234" t="s">
        <v>19</v>
      </c>
      <c r="Z115" s="209" t="s">
        <v>19</v>
      </c>
      <c r="AA115" s="209" t="s">
        <v>306</v>
      </c>
      <c r="AB115" s="234" t="s">
        <v>306</v>
      </c>
      <c r="AC115" s="235" t="s">
        <v>306</v>
      </c>
      <c r="AD115" s="209" t="s">
        <v>19</v>
      </c>
      <c r="AE115" s="209" t="s">
        <v>19</v>
      </c>
      <c r="AF115" s="234" t="s">
        <v>19</v>
      </c>
      <c r="AG115" s="209" t="s">
        <v>19</v>
      </c>
      <c r="AH115" s="209" t="s">
        <v>19</v>
      </c>
      <c r="AI115" s="234" t="s">
        <v>19</v>
      </c>
      <c r="AJ115" s="209" t="s">
        <v>19</v>
      </c>
      <c r="AK115" s="209" t="s">
        <v>19</v>
      </c>
      <c r="AL115" s="234" t="s">
        <v>19</v>
      </c>
      <c r="AM115" s="209" t="s">
        <v>19</v>
      </c>
      <c r="AN115" s="209" t="s">
        <v>19</v>
      </c>
      <c r="AO115" s="234" t="s">
        <v>19</v>
      </c>
      <c r="AP115" s="235" t="s">
        <v>19</v>
      </c>
      <c r="AQ115" s="209" t="s">
        <v>19</v>
      </c>
      <c r="AR115" s="209" t="s">
        <v>19</v>
      </c>
      <c r="AS115" s="234" t="s">
        <v>19</v>
      </c>
      <c r="AT115" s="209" t="s">
        <v>19</v>
      </c>
      <c r="AU115" s="209" t="s">
        <v>19</v>
      </c>
      <c r="AV115" s="234" t="s">
        <v>19</v>
      </c>
      <c r="AW115" s="209" t="s">
        <v>19</v>
      </c>
      <c r="AX115" s="209" t="s">
        <v>19</v>
      </c>
      <c r="AY115" s="234" t="s">
        <v>19</v>
      </c>
      <c r="AZ115" s="209" t="s">
        <v>19</v>
      </c>
      <c r="BA115" s="209" t="s">
        <v>19</v>
      </c>
      <c r="BB115" s="234" t="s">
        <v>306</v>
      </c>
      <c r="BC115" s="235" t="s">
        <v>306</v>
      </c>
      <c r="BD115" s="188"/>
    </row>
    <row r="116" spans="1:56" ht="12.75" customHeight="1" x14ac:dyDescent="0.25">
      <c r="A116" s="238">
        <v>45257.492517407409</v>
      </c>
      <c r="B116" s="233" t="s">
        <v>304</v>
      </c>
      <c r="C116" s="209" t="s">
        <v>587</v>
      </c>
      <c r="D116" s="232" t="s">
        <v>17</v>
      </c>
      <c r="E116" s="232" t="s">
        <v>515</v>
      </c>
      <c r="F116" s="209" t="s">
        <v>713</v>
      </c>
      <c r="G116" s="232" t="s">
        <v>24</v>
      </c>
      <c r="H116" s="232">
        <v>11</v>
      </c>
      <c r="I116" s="209" t="s">
        <v>531</v>
      </c>
      <c r="J116" s="188"/>
      <c r="K116" s="209" t="s">
        <v>539</v>
      </c>
      <c r="L116" s="209" t="s">
        <v>518</v>
      </c>
      <c r="M116" s="209" t="s">
        <v>401</v>
      </c>
      <c r="N116" s="209" t="s">
        <v>589</v>
      </c>
      <c r="O116" s="209"/>
      <c r="P116" s="209"/>
      <c r="Q116" s="209" t="s">
        <v>19</v>
      </c>
      <c r="R116" s="209" t="s">
        <v>25</v>
      </c>
      <c r="S116" s="234" t="s">
        <v>306</v>
      </c>
      <c r="T116" s="209" t="s">
        <v>306</v>
      </c>
      <c r="U116" s="209" t="s">
        <v>306</v>
      </c>
      <c r="V116" s="234" t="s">
        <v>306</v>
      </c>
      <c r="W116" s="209" t="s">
        <v>19</v>
      </c>
      <c r="X116" s="209" t="s">
        <v>19</v>
      </c>
      <c r="Y116" s="234" t="s">
        <v>19</v>
      </c>
      <c r="Z116" s="209" t="s">
        <v>19</v>
      </c>
      <c r="AA116" s="209" t="s">
        <v>19</v>
      </c>
      <c r="AB116" s="234" t="s">
        <v>19</v>
      </c>
      <c r="AC116" s="235" t="s">
        <v>306</v>
      </c>
      <c r="AD116" s="209" t="s">
        <v>306</v>
      </c>
      <c r="AE116" s="209" t="s">
        <v>19</v>
      </c>
      <c r="AF116" s="234" t="s">
        <v>306</v>
      </c>
      <c r="AG116" s="209" t="s">
        <v>19</v>
      </c>
      <c r="AH116" s="209" t="s">
        <v>19</v>
      </c>
      <c r="AI116" s="234" t="s">
        <v>19</v>
      </c>
      <c r="AJ116" s="209" t="s">
        <v>19</v>
      </c>
      <c r="AK116" s="209" t="s">
        <v>19</v>
      </c>
      <c r="AL116" s="234" t="s">
        <v>19</v>
      </c>
      <c r="AM116" s="209" t="s">
        <v>19</v>
      </c>
      <c r="AN116" s="209" t="s">
        <v>19</v>
      </c>
      <c r="AO116" s="234" t="s">
        <v>19</v>
      </c>
      <c r="AP116" s="235" t="s">
        <v>19</v>
      </c>
      <c r="AQ116" s="209" t="s">
        <v>19</v>
      </c>
      <c r="AR116" s="209" t="s">
        <v>19</v>
      </c>
      <c r="AS116" s="234" t="s">
        <v>19</v>
      </c>
      <c r="AT116" s="209" t="s">
        <v>19</v>
      </c>
      <c r="AU116" s="209" t="s">
        <v>19</v>
      </c>
      <c r="AV116" s="234" t="s">
        <v>19</v>
      </c>
      <c r="AW116" s="209" t="s">
        <v>19</v>
      </c>
      <c r="AX116" s="209" t="s">
        <v>19</v>
      </c>
      <c r="AY116" s="234" t="s">
        <v>19</v>
      </c>
      <c r="AZ116" s="209" t="s">
        <v>19</v>
      </c>
      <c r="BA116" s="209" t="s">
        <v>19</v>
      </c>
      <c r="BB116" s="234" t="s">
        <v>19</v>
      </c>
      <c r="BC116" s="235" t="s">
        <v>19</v>
      </c>
      <c r="BD116" s="188"/>
    </row>
    <row r="117" spans="1:56" ht="12.75" customHeight="1" x14ac:dyDescent="0.25">
      <c r="A117" s="238">
        <v>45257.493150671296</v>
      </c>
      <c r="B117" s="233" t="s">
        <v>304</v>
      </c>
      <c r="C117" s="209" t="s">
        <v>587</v>
      </c>
      <c r="D117" s="232" t="s">
        <v>17</v>
      </c>
      <c r="E117" s="232" t="s">
        <v>515</v>
      </c>
      <c r="F117" s="209" t="s">
        <v>714</v>
      </c>
      <c r="G117" s="232" t="s">
        <v>24</v>
      </c>
      <c r="H117" s="232">
        <v>11</v>
      </c>
      <c r="I117" s="209" t="s">
        <v>531</v>
      </c>
      <c r="J117" s="188"/>
      <c r="K117" s="209" t="s">
        <v>539</v>
      </c>
      <c r="L117" s="209" t="s">
        <v>531</v>
      </c>
      <c r="M117" s="188"/>
      <c r="N117" s="188"/>
      <c r="O117" s="188"/>
      <c r="P117" s="188"/>
      <c r="Q117" s="209" t="s">
        <v>306</v>
      </c>
      <c r="R117" s="209" t="s">
        <v>306</v>
      </c>
      <c r="S117" s="234" t="s">
        <v>306</v>
      </c>
      <c r="T117" s="209" t="s">
        <v>25</v>
      </c>
      <c r="U117" s="209" t="s">
        <v>25</v>
      </c>
      <c r="V117" s="234" t="s">
        <v>25</v>
      </c>
      <c r="W117" s="209" t="s">
        <v>19</v>
      </c>
      <c r="X117" s="209" t="s">
        <v>306</v>
      </c>
      <c r="Y117" s="234" t="s">
        <v>306</v>
      </c>
      <c r="Z117" s="209" t="s">
        <v>25</v>
      </c>
      <c r="AA117" s="209" t="s">
        <v>306</v>
      </c>
      <c r="AB117" s="234" t="s">
        <v>25</v>
      </c>
      <c r="AC117" s="235" t="s">
        <v>306</v>
      </c>
      <c r="AD117" s="209" t="s">
        <v>306</v>
      </c>
      <c r="AE117" s="209" t="s">
        <v>25</v>
      </c>
      <c r="AF117" s="234" t="s">
        <v>25</v>
      </c>
      <c r="AG117" s="209" t="s">
        <v>306</v>
      </c>
      <c r="AH117" s="209" t="s">
        <v>25</v>
      </c>
      <c r="AI117" s="234" t="s">
        <v>25</v>
      </c>
      <c r="AJ117" s="209" t="s">
        <v>25</v>
      </c>
      <c r="AK117" s="209" t="s">
        <v>25</v>
      </c>
      <c r="AL117" s="234" t="s">
        <v>25</v>
      </c>
      <c r="AM117" s="209" t="s">
        <v>306</v>
      </c>
      <c r="AN117" s="209" t="s">
        <v>25</v>
      </c>
      <c r="AO117" s="234" t="s">
        <v>25</v>
      </c>
      <c r="AP117" s="235" t="s">
        <v>25</v>
      </c>
      <c r="AQ117" s="209" t="s">
        <v>25</v>
      </c>
      <c r="AR117" s="209" t="s">
        <v>25</v>
      </c>
      <c r="AS117" s="234" t="s">
        <v>25</v>
      </c>
      <c r="AT117" s="209" t="s">
        <v>25</v>
      </c>
      <c r="AU117" s="209" t="s">
        <v>25</v>
      </c>
      <c r="AV117" s="234" t="s">
        <v>25</v>
      </c>
      <c r="AW117" s="209" t="s">
        <v>306</v>
      </c>
      <c r="AX117" s="209" t="s">
        <v>306</v>
      </c>
      <c r="AY117" s="234" t="s">
        <v>306</v>
      </c>
      <c r="AZ117" s="209" t="s">
        <v>306</v>
      </c>
      <c r="BA117" s="209" t="s">
        <v>306</v>
      </c>
      <c r="BB117" s="234" t="s">
        <v>25</v>
      </c>
      <c r="BC117" s="235" t="s">
        <v>25</v>
      </c>
      <c r="BD117" s="188"/>
    </row>
    <row r="118" spans="1:56" ht="12.75" customHeight="1" x14ac:dyDescent="0.25">
      <c r="A118" s="238">
        <v>45257.494308449073</v>
      </c>
      <c r="B118" s="233" t="s">
        <v>304</v>
      </c>
      <c r="C118" s="209" t="s">
        <v>587</v>
      </c>
      <c r="D118" s="232" t="s">
        <v>17</v>
      </c>
      <c r="E118" s="232" t="s">
        <v>515</v>
      </c>
      <c r="F118" s="209" t="s">
        <v>715</v>
      </c>
      <c r="G118" s="232" t="s">
        <v>24</v>
      </c>
      <c r="H118" s="232">
        <v>15</v>
      </c>
      <c r="I118" s="209" t="s">
        <v>531</v>
      </c>
      <c r="J118" s="188"/>
      <c r="K118" s="209" t="s">
        <v>539</v>
      </c>
      <c r="L118" s="209" t="s">
        <v>518</v>
      </c>
      <c r="M118" s="209" t="s">
        <v>412</v>
      </c>
      <c r="N118" s="209" t="s">
        <v>589</v>
      </c>
      <c r="O118" s="209"/>
      <c r="P118" s="209"/>
      <c r="Q118" s="209" t="s">
        <v>19</v>
      </c>
      <c r="R118" s="209" t="s">
        <v>19</v>
      </c>
      <c r="S118" s="234" t="s">
        <v>19</v>
      </c>
      <c r="T118" s="209" t="s">
        <v>19</v>
      </c>
      <c r="U118" s="209" t="s">
        <v>19</v>
      </c>
      <c r="V118" s="234" t="s">
        <v>19</v>
      </c>
      <c r="W118" s="209" t="s">
        <v>19</v>
      </c>
      <c r="X118" s="209" t="s">
        <v>19</v>
      </c>
      <c r="Y118" s="234" t="s">
        <v>19</v>
      </c>
      <c r="Z118" s="209" t="s">
        <v>19</v>
      </c>
      <c r="AA118" s="209" t="s">
        <v>19</v>
      </c>
      <c r="AB118" s="234" t="s">
        <v>19</v>
      </c>
      <c r="AC118" s="235" t="s">
        <v>19</v>
      </c>
      <c r="AD118" s="209" t="s">
        <v>19</v>
      </c>
      <c r="AE118" s="209" t="s">
        <v>19</v>
      </c>
      <c r="AF118" s="234" t="s">
        <v>19</v>
      </c>
      <c r="AG118" s="209" t="s">
        <v>19</v>
      </c>
      <c r="AH118" s="209" t="s">
        <v>19</v>
      </c>
      <c r="AI118" s="234" t="s">
        <v>19</v>
      </c>
      <c r="AJ118" s="209" t="s">
        <v>19</v>
      </c>
      <c r="AK118" s="209" t="s">
        <v>19</v>
      </c>
      <c r="AL118" s="234" t="s">
        <v>19</v>
      </c>
      <c r="AM118" s="209" t="s">
        <v>19</v>
      </c>
      <c r="AN118" s="209" t="s">
        <v>19</v>
      </c>
      <c r="AO118" s="234" t="s">
        <v>19</v>
      </c>
      <c r="AP118" s="235" t="s">
        <v>19</v>
      </c>
      <c r="AQ118" s="209" t="s">
        <v>19</v>
      </c>
      <c r="AR118" s="209" t="s">
        <v>19</v>
      </c>
      <c r="AS118" s="234" t="s">
        <v>19</v>
      </c>
      <c r="AT118" s="209" t="s">
        <v>19</v>
      </c>
      <c r="AU118" s="209" t="s">
        <v>19</v>
      </c>
      <c r="AV118" s="234" t="s">
        <v>19</v>
      </c>
      <c r="AW118" s="209" t="s">
        <v>19</v>
      </c>
      <c r="AX118" s="209" t="s">
        <v>19</v>
      </c>
      <c r="AY118" s="234" t="s">
        <v>19</v>
      </c>
      <c r="AZ118" s="209" t="s">
        <v>19</v>
      </c>
      <c r="BA118" s="209" t="s">
        <v>19</v>
      </c>
      <c r="BB118" s="234" t="s">
        <v>19</v>
      </c>
      <c r="BC118" s="235" t="s">
        <v>19</v>
      </c>
      <c r="BD118" s="188"/>
    </row>
    <row r="119" spans="1:56" ht="12.75" customHeight="1" x14ac:dyDescent="0.25">
      <c r="A119" s="238">
        <v>45257.49472091435</v>
      </c>
      <c r="B119" s="233" t="s">
        <v>304</v>
      </c>
      <c r="C119" s="209" t="s">
        <v>587</v>
      </c>
      <c r="D119" s="232" t="s">
        <v>17</v>
      </c>
      <c r="E119" s="232" t="s">
        <v>515</v>
      </c>
      <c r="F119" s="209" t="s">
        <v>716</v>
      </c>
      <c r="G119" s="232" t="s">
        <v>24</v>
      </c>
      <c r="H119" s="232">
        <v>11</v>
      </c>
      <c r="I119" s="209" t="s">
        <v>531</v>
      </c>
      <c r="J119" s="188"/>
      <c r="K119" s="209" t="s">
        <v>539</v>
      </c>
      <c r="L119" s="209" t="s">
        <v>518</v>
      </c>
      <c r="M119" s="209" t="s">
        <v>401</v>
      </c>
      <c r="N119" s="209" t="s">
        <v>589</v>
      </c>
      <c r="O119" s="209"/>
      <c r="P119" s="209"/>
      <c r="Q119" s="209" t="s">
        <v>19</v>
      </c>
      <c r="R119" s="209" t="s">
        <v>25</v>
      </c>
      <c r="S119" s="234" t="s">
        <v>306</v>
      </c>
      <c r="T119" s="209" t="s">
        <v>306</v>
      </c>
      <c r="U119" s="209" t="s">
        <v>25</v>
      </c>
      <c r="V119" s="234" t="s">
        <v>25</v>
      </c>
      <c r="W119" s="209" t="s">
        <v>19</v>
      </c>
      <c r="X119" s="209" t="s">
        <v>19</v>
      </c>
      <c r="Y119" s="234" t="s">
        <v>19</v>
      </c>
      <c r="Z119" s="209" t="s">
        <v>19</v>
      </c>
      <c r="AA119" s="209" t="s">
        <v>306</v>
      </c>
      <c r="AB119" s="234" t="s">
        <v>306</v>
      </c>
      <c r="AC119" s="235" t="s">
        <v>306</v>
      </c>
      <c r="AD119" s="209" t="s">
        <v>19</v>
      </c>
      <c r="AE119" s="209" t="s">
        <v>19</v>
      </c>
      <c r="AF119" s="234" t="s">
        <v>19</v>
      </c>
      <c r="AG119" s="209" t="s">
        <v>19</v>
      </c>
      <c r="AH119" s="209" t="s">
        <v>19</v>
      </c>
      <c r="AI119" s="234" t="s">
        <v>19</v>
      </c>
      <c r="AJ119" s="209" t="s">
        <v>19</v>
      </c>
      <c r="AK119" s="209" t="s">
        <v>19</v>
      </c>
      <c r="AL119" s="234" t="s">
        <v>19</v>
      </c>
      <c r="AM119" s="209" t="s">
        <v>19</v>
      </c>
      <c r="AN119" s="209" t="s">
        <v>19</v>
      </c>
      <c r="AO119" s="234" t="s">
        <v>19</v>
      </c>
      <c r="AP119" s="235" t="s">
        <v>19</v>
      </c>
      <c r="AQ119" s="209" t="s">
        <v>19</v>
      </c>
      <c r="AR119" s="209" t="s">
        <v>19</v>
      </c>
      <c r="AS119" s="234" t="s">
        <v>19</v>
      </c>
      <c r="AT119" s="209" t="s">
        <v>19</v>
      </c>
      <c r="AU119" s="209" t="s">
        <v>19</v>
      </c>
      <c r="AV119" s="234" t="s">
        <v>19</v>
      </c>
      <c r="AW119" s="209" t="s">
        <v>19</v>
      </c>
      <c r="AX119" s="209" t="s">
        <v>19</v>
      </c>
      <c r="AY119" s="234" t="s">
        <v>19</v>
      </c>
      <c r="AZ119" s="209" t="s">
        <v>306</v>
      </c>
      <c r="BA119" s="209" t="s">
        <v>306</v>
      </c>
      <c r="BB119" s="234" t="s">
        <v>306</v>
      </c>
      <c r="BC119" s="235" t="s">
        <v>306</v>
      </c>
      <c r="BD119" s="188"/>
    </row>
    <row r="120" spans="1:56" ht="12.75" customHeight="1" x14ac:dyDescent="0.25">
      <c r="A120" s="238">
        <v>45257.495511620371</v>
      </c>
      <c r="B120" s="233" t="s">
        <v>304</v>
      </c>
      <c r="C120" s="209" t="s">
        <v>587</v>
      </c>
      <c r="D120" s="232" t="s">
        <v>17</v>
      </c>
      <c r="E120" s="232" t="s">
        <v>515</v>
      </c>
      <c r="F120" s="209" t="s">
        <v>717</v>
      </c>
      <c r="G120" s="232" t="s">
        <v>18</v>
      </c>
      <c r="H120" s="232">
        <v>12</v>
      </c>
      <c r="I120" s="209" t="s">
        <v>531</v>
      </c>
      <c r="J120" s="188"/>
      <c r="K120" s="209" t="s">
        <v>539</v>
      </c>
      <c r="L120" s="209" t="s">
        <v>518</v>
      </c>
      <c r="M120" s="209" t="s">
        <v>375</v>
      </c>
      <c r="N120" s="209" t="s">
        <v>589</v>
      </c>
      <c r="O120" s="209"/>
      <c r="P120" s="209"/>
      <c r="Q120" s="209" t="s">
        <v>306</v>
      </c>
      <c r="R120" s="209" t="s">
        <v>25</v>
      </c>
      <c r="S120" s="234" t="s">
        <v>25</v>
      </c>
      <c r="T120" s="209" t="s">
        <v>306</v>
      </c>
      <c r="U120" s="209" t="s">
        <v>25</v>
      </c>
      <c r="V120" s="234" t="s">
        <v>25</v>
      </c>
      <c r="W120" s="209" t="s">
        <v>25</v>
      </c>
      <c r="X120" s="209" t="s">
        <v>306</v>
      </c>
      <c r="Y120" s="234" t="s">
        <v>25</v>
      </c>
      <c r="Z120" s="209" t="s">
        <v>306</v>
      </c>
      <c r="AA120" s="209" t="s">
        <v>306</v>
      </c>
      <c r="AB120" s="234" t="s">
        <v>306</v>
      </c>
      <c r="AC120" s="235" t="s">
        <v>306</v>
      </c>
      <c r="AD120" s="209" t="s">
        <v>306</v>
      </c>
      <c r="AE120" s="209" t="s">
        <v>25</v>
      </c>
      <c r="AF120" s="234" t="s">
        <v>25</v>
      </c>
      <c r="AG120" s="209" t="s">
        <v>306</v>
      </c>
      <c r="AH120" s="209" t="s">
        <v>306</v>
      </c>
      <c r="AI120" s="234" t="s">
        <v>306</v>
      </c>
      <c r="AJ120" s="209" t="s">
        <v>25</v>
      </c>
      <c r="AK120" s="209" t="s">
        <v>306</v>
      </c>
      <c r="AL120" s="234" t="s">
        <v>25</v>
      </c>
      <c r="AM120" s="209" t="s">
        <v>306</v>
      </c>
      <c r="AN120" s="209" t="s">
        <v>25</v>
      </c>
      <c r="AO120" s="234" t="s">
        <v>25</v>
      </c>
      <c r="AP120" s="235" t="s">
        <v>306</v>
      </c>
      <c r="AQ120" s="209" t="s">
        <v>306</v>
      </c>
      <c r="AR120" s="209" t="s">
        <v>25</v>
      </c>
      <c r="AS120" s="234" t="s">
        <v>25</v>
      </c>
      <c r="AT120" s="209" t="s">
        <v>306</v>
      </c>
      <c r="AU120" s="209" t="s">
        <v>306</v>
      </c>
      <c r="AV120" s="234" t="s">
        <v>306</v>
      </c>
      <c r="AW120" s="209" t="s">
        <v>306</v>
      </c>
      <c r="AX120" s="209" t="s">
        <v>25</v>
      </c>
      <c r="AY120" s="234" t="s">
        <v>25</v>
      </c>
      <c r="AZ120" s="209" t="s">
        <v>306</v>
      </c>
      <c r="BA120" s="209" t="s">
        <v>25</v>
      </c>
      <c r="BB120" s="234" t="s">
        <v>25</v>
      </c>
      <c r="BC120" s="235" t="s">
        <v>25</v>
      </c>
      <c r="BD120" s="188"/>
    </row>
    <row r="121" spans="1:56" ht="12.75" customHeight="1" x14ac:dyDescent="0.25">
      <c r="A121" s="238">
        <v>45257.4970984838</v>
      </c>
      <c r="B121" s="233" t="s">
        <v>304</v>
      </c>
      <c r="C121" s="209" t="s">
        <v>587</v>
      </c>
      <c r="D121" s="232" t="s">
        <v>17</v>
      </c>
      <c r="E121" s="232" t="s">
        <v>515</v>
      </c>
      <c r="F121" s="209" t="s">
        <v>718</v>
      </c>
      <c r="G121" s="232" t="s">
        <v>18</v>
      </c>
      <c r="H121" s="232">
        <v>11</v>
      </c>
      <c r="I121" s="209" t="s">
        <v>531</v>
      </c>
      <c r="J121" s="188"/>
      <c r="K121" s="209" t="s">
        <v>539</v>
      </c>
      <c r="L121" s="209" t="s">
        <v>518</v>
      </c>
      <c r="M121" s="209" t="s">
        <v>375</v>
      </c>
      <c r="N121" s="209" t="s">
        <v>589</v>
      </c>
      <c r="O121" s="209"/>
      <c r="P121" s="209"/>
      <c r="Q121" s="209" t="s">
        <v>19</v>
      </c>
      <c r="R121" s="209" t="s">
        <v>25</v>
      </c>
      <c r="S121" s="234" t="s">
        <v>306</v>
      </c>
      <c r="T121" s="209" t="s">
        <v>306</v>
      </c>
      <c r="U121" s="209" t="s">
        <v>25</v>
      </c>
      <c r="V121" s="234" t="s">
        <v>25</v>
      </c>
      <c r="W121" s="209" t="s">
        <v>19</v>
      </c>
      <c r="X121" s="209" t="s">
        <v>19</v>
      </c>
      <c r="Y121" s="234" t="s">
        <v>19</v>
      </c>
      <c r="Z121" s="209" t="s">
        <v>19</v>
      </c>
      <c r="AA121" s="209" t="s">
        <v>19</v>
      </c>
      <c r="AB121" s="234" t="s">
        <v>19</v>
      </c>
      <c r="AC121" s="235" t="s">
        <v>306</v>
      </c>
      <c r="AD121" s="209" t="s">
        <v>19</v>
      </c>
      <c r="AE121" s="209" t="s">
        <v>19</v>
      </c>
      <c r="AF121" s="234" t="s">
        <v>19</v>
      </c>
      <c r="AG121" s="209" t="s">
        <v>19</v>
      </c>
      <c r="AH121" s="209" t="s">
        <v>19</v>
      </c>
      <c r="AI121" s="234" t="s">
        <v>19</v>
      </c>
      <c r="AJ121" s="209" t="s">
        <v>19</v>
      </c>
      <c r="AK121" s="209" t="s">
        <v>19</v>
      </c>
      <c r="AL121" s="234" t="s">
        <v>19</v>
      </c>
      <c r="AM121" s="209" t="s">
        <v>19</v>
      </c>
      <c r="AN121" s="209" t="s">
        <v>19</v>
      </c>
      <c r="AO121" s="234" t="s">
        <v>19</v>
      </c>
      <c r="AP121" s="235" t="s">
        <v>19</v>
      </c>
      <c r="AQ121" s="209" t="s">
        <v>19</v>
      </c>
      <c r="AR121" s="209" t="s">
        <v>19</v>
      </c>
      <c r="AS121" s="234" t="s">
        <v>19</v>
      </c>
      <c r="AT121" s="209" t="s">
        <v>19</v>
      </c>
      <c r="AU121" s="209" t="s">
        <v>19</v>
      </c>
      <c r="AV121" s="234" t="s">
        <v>19</v>
      </c>
      <c r="AW121" s="209" t="s">
        <v>19</v>
      </c>
      <c r="AX121" s="209" t="s">
        <v>19</v>
      </c>
      <c r="AY121" s="234" t="s">
        <v>19</v>
      </c>
      <c r="AZ121" s="209" t="s">
        <v>19</v>
      </c>
      <c r="BA121" s="209" t="s">
        <v>19</v>
      </c>
      <c r="BB121" s="234" t="s">
        <v>25</v>
      </c>
      <c r="BC121" s="235" t="s">
        <v>25</v>
      </c>
      <c r="BD121" s="188"/>
    </row>
    <row r="122" spans="1:56" ht="12.75" customHeight="1" x14ac:dyDescent="0.25">
      <c r="A122" s="238">
        <v>45257.49848545139</v>
      </c>
      <c r="B122" s="233" t="s">
        <v>304</v>
      </c>
      <c r="C122" s="209" t="s">
        <v>587</v>
      </c>
      <c r="D122" s="232" t="s">
        <v>17</v>
      </c>
      <c r="E122" s="232" t="s">
        <v>515</v>
      </c>
      <c r="F122" s="209" t="s">
        <v>719</v>
      </c>
      <c r="G122" s="232" t="s">
        <v>24</v>
      </c>
      <c r="H122" s="232">
        <v>11</v>
      </c>
      <c r="I122" s="209" t="s">
        <v>531</v>
      </c>
      <c r="J122" s="188"/>
      <c r="K122" s="209" t="s">
        <v>539</v>
      </c>
      <c r="L122" s="209" t="s">
        <v>518</v>
      </c>
      <c r="M122" s="209" t="s">
        <v>375</v>
      </c>
      <c r="N122" s="209" t="s">
        <v>589</v>
      </c>
      <c r="O122" s="209"/>
      <c r="P122" s="209"/>
      <c r="Q122" s="209" t="s">
        <v>19</v>
      </c>
      <c r="R122" s="209" t="s">
        <v>25</v>
      </c>
      <c r="S122" s="234" t="s">
        <v>306</v>
      </c>
      <c r="T122" s="209" t="s">
        <v>306</v>
      </c>
      <c r="U122" s="209" t="s">
        <v>25</v>
      </c>
      <c r="V122" s="234" t="s">
        <v>25</v>
      </c>
      <c r="W122" s="209" t="s">
        <v>19</v>
      </c>
      <c r="X122" s="209" t="s">
        <v>19</v>
      </c>
      <c r="Y122" s="234" t="s">
        <v>19</v>
      </c>
      <c r="Z122" s="209" t="s">
        <v>19</v>
      </c>
      <c r="AA122" s="209" t="s">
        <v>19</v>
      </c>
      <c r="AB122" s="234" t="s">
        <v>19</v>
      </c>
      <c r="AC122" s="235" t="s">
        <v>306</v>
      </c>
      <c r="AD122" s="209" t="s">
        <v>19</v>
      </c>
      <c r="AE122" s="209" t="s">
        <v>19</v>
      </c>
      <c r="AF122" s="234" t="s">
        <v>19</v>
      </c>
      <c r="AG122" s="209" t="s">
        <v>19</v>
      </c>
      <c r="AH122" s="209" t="s">
        <v>19</v>
      </c>
      <c r="AI122" s="234" t="s">
        <v>19</v>
      </c>
      <c r="AJ122" s="209" t="s">
        <v>19</v>
      </c>
      <c r="AK122" s="209" t="s">
        <v>19</v>
      </c>
      <c r="AL122" s="234" t="s">
        <v>19</v>
      </c>
      <c r="AM122" s="209" t="s">
        <v>19</v>
      </c>
      <c r="AN122" s="209" t="s">
        <v>19</v>
      </c>
      <c r="AO122" s="234" t="s">
        <v>19</v>
      </c>
      <c r="AP122" s="235" t="s">
        <v>19</v>
      </c>
      <c r="AQ122" s="209" t="s">
        <v>19</v>
      </c>
      <c r="AR122" s="209" t="s">
        <v>19</v>
      </c>
      <c r="AS122" s="234" t="s">
        <v>19</v>
      </c>
      <c r="AT122" s="209" t="s">
        <v>19</v>
      </c>
      <c r="AU122" s="209" t="s">
        <v>19</v>
      </c>
      <c r="AV122" s="234" t="s">
        <v>19</v>
      </c>
      <c r="AW122" s="209" t="s">
        <v>19</v>
      </c>
      <c r="AX122" s="209" t="s">
        <v>19</v>
      </c>
      <c r="AY122" s="234" t="s">
        <v>19</v>
      </c>
      <c r="AZ122" s="209" t="s">
        <v>19</v>
      </c>
      <c r="BA122" s="209" t="s">
        <v>19</v>
      </c>
      <c r="BB122" s="234" t="s">
        <v>19</v>
      </c>
      <c r="BC122" s="235" t="s">
        <v>306</v>
      </c>
      <c r="BD122" s="188"/>
    </row>
    <row r="123" spans="1:56" ht="12.75" customHeight="1" x14ac:dyDescent="0.25">
      <c r="A123" s="238">
        <v>45257.503420347217</v>
      </c>
      <c r="B123" s="233" t="s">
        <v>304</v>
      </c>
      <c r="C123" s="209" t="s">
        <v>587</v>
      </c>
      <c r="D123" s="232" t="s">
        <v>17</v>
      </c>
      <c r="E123" s="232" t="s">
        <v>515</v>
      </c>
      <c r="F123" s="209" t="s">
        <v>720</v>
      </c>
      <c r="G123" s="232" t="s">
        <v>18</v>
      </c>
      <c r="H123" s="232">
        <v>11</v>
      </c>
      <c r="I123" s="209" t="s">
        <v>531</v>
      </c>
      <c r="J123" s="188"/>
      <c r="K123" s="209" t="s">
        <v>539</v>
      </c>
      <c r="L123" s="209" t="s">
        <v>518</v>
      </c>
      <c r="M123" s="209" t="s">
        <v>375</v>
      </c>
      <c r="N123" s="209" t="s">
        <v>589</v>
      </c>
      <c r="O123" s="209"/>
      <c r="P123" s="209"/>
      <c r="Q123" s="209" t="s">
        <v>19</v>
      </c>
      <c r="R123" s="209" t="s">
        <v>25</v>
      </c>
      <c r="S123" s="234" t="s">
        <v>306</v>
      </c>
      <c r="T123" s="209" t="s">
        <v>306</v>
      </c>
      <c r="U123" s="209" t="s">
        <v>25</v>
      </c>
      <c r="V123" s="234" t="s">
        <v>25</v>
      </c>
      <c r="W123" s="209" t="s">
        <v>19</v>
      </c>
      <c r="X123" s="209" t="s">
        <v>19</v>
      </c>
      <c r="Y123" s="234" t="s">
        <v>19</v>
      </c>
      <c r="Z123" s="209" t="s">
        <v>19</v>
      </c>
      <c r="AA123" s="209" t="s">
        <v>19</v>
      </c>
      <c r="AB123" s="234" t="s">
        <v>19</v>
      </c>
      <c r="AC123" s="235" t="s">
        <v>306</v>
      </c>
      <c r="AD123" s="209" t="s">
        <v>19</v>
      </c>
      <c r="AE123" s="209" t="s">
        <v>19</v>
      </c>
      <c r="AF123" s="234" t="s">
        <v>19</v>
      </c>
      <c r="AG123" s="209" t="s">
        <v>19</v>
      </c>
      <c r="AH123" s="209" t="s">
        <v>19</v>
      </c>
      <c r="AI123" s="234" t="s">
        <v>19</v>
      </c>
      <c r="AJ123" s="209" t="s">
        <v>19</v>
      </c>
      <c r="AK123" s="209" t="s">
        <v>19</v>
      </c>
      <c r="AL123" s="234" t="s">
        <v>19</v>
      </c>
      <c r="AM123" s="209" t="s">
        <v>19</v>
      </c>
      <c r="AN123" s="209" t="s">
        <v>19</v>
      </c>
      <c r="AO123" s="234" t="s">
        <v>19</v>
      </c>
      <c r="AP123" s="235" t="s">
        <v>19</v>
      </c>
      <c r="AQ123" s="209" t="s">
        <v>19</v>
      </c>
      <c r="AR123" s="209" t="s">
        <v>19</v>
      </c>
      <c r="AS123" s="234" t="s">
        <v>19</v>
      </c>
      <c r="AT123" s="209" t="s">
        <v>19</v>
      </c>
      <c r="AU123" s="209" t="s">
        <v>19</v>
      </c>
      <c r="AV123" s="234" t="s">
        <v>19</v>
      </c>
      <c r="AW123" s="209" t="s">
        <v>19</v>
      </c>
      <c r="AX123" s="209" t="s">
        <v>19</v>
      </c>
      <c r="AY123" s="234" t="s">
        <v>19</v>
      </c>
      <c r="AZ123" s="209" t="s">
        <v>19</v>
      </c>
      <c r="BA123" s="209" t="s">
        <v>19</v>
      </c>
      <c r="BB123" s="234" t="s">
        <v>25</v>
      </c>
      <c r="BC123" s="235" t="s">
        <v>25</v>
      </c>
      <c r="BD123" s="188"/>
    </row>
    <row r="124" spans="1:56" ht="12.75" customHeight="1" x14ac:dyDescent="0.25">
      <c r="A124" s="238">
        <v>45257.504680821759</v>
      </c>
      <c r="B124" s="233" t="s">
        <v>304</v>
      </c>
      <c r="C124" s="209" t="s">
        <v>587</v>
      </c>
      <c r="D124" s="232" t="s">
        <v>17</v>
      </c>
      <c r="E124" s="232" t="s">
        <v>515</v>
      </c>
      <c r="F124" s="209" t="s">
        <v>721</v>
      </c>
      <c r="G124" s="232" t="s">
        <v>18</v>
      </c>
      <c r="H124" s="232">
        <v>11</v>
      </c>
      <c r="I124" s="209" t="s">
        <v>531</v>
      </c>
      <c r="J124" s="188"/>
      <c r="K124" s="209" t="s">
        <v>539</v>
      </c>
      <c r="L124" s="209" t="s">
        <v>518</v>
      </c>
      <c r="M124" s="209" t="s">
        <v>375</v>
      </c>
      <c r="N124" s="209" t="s">
        <v>589</v>
      </c>
      <c r="O124" s="209"/>
      <c r="P124" s="209"/>
      <c r="Q124" s="209" t="s">
        <v>19</v>
      </c>
      <c r="R124" s="209" t="s">
        <v>25</v>
      </c>
      <c r="S124" s="234" t="s">
        <v>306</v>
      </c>
      <c r="T124" s="209" t="s">
        <v>306</v>
      </c>
      <c r="U124" s="209" t="s">
        <v>306</v>
      </c>
      <c r="V124" s="234" t="s">
        <v>306</v>
      </c>
      <c r="W124" s="209" t="s">
        <v>19</v>
      </c>
      <c r="X124" s="209" t="s">
        <v>19</v>
      </c>
      <c r="Y124" s="234" t="s">
        <v>19</v>
      </c>
      <c r="Z124" s="209" t="s">
        <v>19</v>
      </c>
      <c r="AA124" s="209" t="s">
        <v>19</v>
      </c>
      <c r="AB124" s="234" t="s">
        <v>19</v>
      </c>
      <c r="AC124" s="235" t="s">
        <v>306</v>
      </c>
      <c r="AD124" s="209" t="s">
        <v>19</v>
      </c>
      <c r="AE124" s="209" t="s">
        <v>19</v>
      </c>
      <c r="AF124" s="234" t="s">
        <v>19</v>
      </c>
      <c r="AG124" s="209" t="s">
        <v>19</v>
      </c>
      <c r="AH124" s="209" t="s">
        <v>19</v>
      </c>
      <c r="AI124" s="234" t="s">
        <v>19</v>
      </c>
      <c r="AJ124" s="209" t="s">
        <v>19</v>
      </c>
      <c r="AK124" s="209" t="s">
        <v>19</v>
      </c>
      <c r="AL124" s="234" t="s">
        <v>19</v>
      </c>
      <c r="AM124" s="209" t="s">
        <v>19</v>
      </c>
      <c r="AN124" s="209" t="s">
        <v>19</v>
      </c>
      <c r="AO124" s="234" t="s">
        <v>19</v>
      </c>
      <c r="AP124" s="235" t="s">
        <v>19</v>
      </c>
      <c r="AQ124" s="209" t="s">
        <v>19</v>
      </c>
      <c r="AR124" s="209" t="s">
        <v>19</v>
      </c>
      <c r="AS124" s="234" t="s">
        <v>19</v>
      </c>
      <c r="AT124" s="209" t="s">
        <v>19</v>
      </c>
      <c r="AU124" s="209" t="s">
        <v>19</v>
      </c>
      <c r="AV124" s="234" t="s">
        <v>19</v>
      </c>
      <c r="AW124" s="209" t="s">
        <v>19</v>
      </c>
      <c r="AX124" s="209" t="s">
        <v>19</v>
      </c>
      <c r="AY124" s="234" t="s">
        <v>19</v>
      </c>
      <c r="AZ124" s="209" t="s">
        <v>19</v>
      </c>
      <c r="BA124" s="209" t="s">
        <v>19</v>
      </c>
      <c r="BB124" s="234" t="s">
        <v>306</v>
      </c>
      <c r="BC124" s="235" t="s">
        <v>306</v>
      </c>
      <c r="BD124" s="188"/>
    </row>
    <row r="125" spans="1:56" ht="12.75" customHeight="1" x14ac:dyDescent="0.25">
      <c r="A125" s="238">
        <v>45257.506171597226</v>
      </c>
      <c r="B125" s="233" t="s">
        <v>304</v>
      </c>
      <c r="C125" s="209" t="s">
        <v>587</v>
      </c>
      <c r="D125" s="232" t="s">
        <v>17</v>
      </c>
      <c r="E125" s="232" t="s">
        <v>515</v>
      </c>
      <c r="F125" s="209" t="s">
        <v>722</v>
      </c>
      <c r="G125" s="232" t="s">
        <v>18</v>
      </c>
      <c r="H125" s="232">
        <v>12</v>
      </c>
      <c r="I125" s="209" t="s">
        <v>531</v>
      </c>
      <c r="J125" s="188"/>
      <c r="K125" s="209" t="s">
        <v>539</v>
      </c>
      <c r="L125" s="209" t="s">
        <v>518</v>
      </c>
      <c r="M125" s="209" t="s">
        <v>375</v>
      </c>
      <c r="N125" s="209" t="s">
        <v>589</v>
      </c>
      <c r="O125" s="209"/>
      <c r="P125" s="209"/>
      <c r="Q125" s="209" t="s">
        <v>19</v>
      </c>
      <c r="R125" s="209" t="s">
        <v>25</v>
      </c>
      <c r="S125" s="234" t="s">
        <v>306</v>
      </c>
      <c r="T125" s="209" t="s">
        <v>306</v>
      </c>
      <c r="U125" s="209" t="s">
        <v>25</v>
      </c>
      <c r="V125" s="234" t="s">
        <v>25</v>
      </c>
      <c r="W125" s="209" t="s">
        <v>19</v>
      </c>
      <c r="X125" s="209" t="s">
        <v>19</v>
      </c>
      <c r="Y125" s="234" t="s">
        <v>19</v>
      </c>
      <c r="Z125" s="209" t="s">
        <v>19</v>
      </c>
      <c r="AA125" s="209" t="s">
        <v>19</v>
      </c>
      <c r="AB125" s="234" t="s">
        <v>19</v>
      </c>
      <c r="AC125" s="235" t="s">
        <v>306</v>
      </c>
      <c r="AD125" s="209" t="s">
        <v>19</v>
      </c>
      <c r="AE125" s="209" t="s">
        <v>25</v>
      </c>
      <c r="AF125" s="234" t="s">
        <v>306</v>
      </c>
      <c r="AG125" s="209" t="s">
        <v>19</v>
      </c>
      <c r="AH125" s="209" t="s">
        <v>19</v>
      </c>
      <c r="AI125" s="234" t="s">
        <v>19</v>
      </c>
      <c r="AJ125" s="209" t="s">
        <v>19</v>
      </c>
      <c r="AK125" s="209" t="s">
        <v>19</v>
      </c>
      <c r="AL125" s="234" t="s">
        <v>19</v>
      </c>
      <c r="AM125" s="209" t="s">
        <v>19</v>
      </c>
      <c r="AN125" s="209" t="s">
        <v>19</v>
      </c>
      <c r="AO125" s="234" t="s">
        <v>19</v>
      </c>
      <c r="AP125" s="235" t="s">
        <v>19</v>
      </c>
      <c r="AQ125" s="209" t="s">
        <v>19</v>
      </c>
      <c r="AR125" s="209" t="s">
        <v>19</v>
      </c>
      <c r="AS125" s="234" t="s">
        <v>19</v>
      </c>
      <c r="AT125" s="209" t="s">
        <v>19</v>
      </c>
      <c r="AU125" s="209" t="s">
        <v>19</v>
      </c>
      <c r="AV125" s="234" t="s">
        <v>19</v>
      </c>
      <c r="AW125" s="209" t="s">
        <v>19</v>
      </c>
      <c r="AX125" s="209" t="s">
        <v>19</v>
      </c>
      <c r="AY125" s="234" t="s">
        <v>19</v>
      </c>
      <c r="AZ125" s="209" t="s">
        <v>19</v>
      </c>
      <c r="BA125" s="209" t="s">
        <v>19</v>
      </c>
      <c r="BB125" s="234" t="s">
        <v>306</v>
      </c>
      <c r="BC125" s="235" t="s">
        <v>19</v>
      </c>
      <c r="BD125" s="188"/>
    </row>
    <row r="126" spans="1:56" ht="12.75" customHeight="1" x14ac:dyDescent="0.25">
      <c r="A126" s="238">
        <v>45257.506618715277</v>
      </c>
      <c r="B126" s="233" t="s">
        <v>304</v>
      </c>
      <c r="C126" s="209" t="s">
        <v>587</v>
      </c>
      <c r="D126" s="232" t="s">
        <v>17</v>
      </c>
      <c r="E126" s="232" t="s">
        <v>515</v>
      </c>
      <c r="F126" s="209" t="s">
        <v>723</v>
      </c>
      <c r="G126" s="232" t="s">
        <v>18</v>
      </c>
      <c r="H126" s="232">
        <v>12</v>
      </c>
      <c r="I126" s="209" t="s">
        <v>531</v>
      </c>
      <c r="J126" s="188"/>
      <c r="K126" s="209" t="s">
        <v>539</v>
      </c>
      <c r="L126" s="209" t="s">
        <v>518</v>
      </c>
      <c r="M126" s="209" t="s">
        <v>401</v>
      </c>
      <c r="N126" s="209" t="s">
        <v>589</v>
      </c>
      <c r="O126" s="209"/>
      <c r="P126" s="209"/>
      <c r="Q126" s="209" t="s">
        <v>25</v>
      </c>
      <c r="R126" s="209" t="s">
        <v>25</v>
      </c>
      <c r="S126" s="234" t="s">
        <v>25</v>
      </c>
      <c r="T126" s="209" t="s">
        <v>25</v>
      </c>
      <c r="U126" s="209" t="s">
        <v>25</v>
      </c>
      <c r="V126" s="234" t="s">
        <v>25</v>
      </c>
      <c r="W126" s="209" t="s">
        <v>306</v>
      </c>
      <c r="X126" s="209" t="s">
        <v>25</v>
      </c>
      <c r="Y126" s="234" t="s">
        <v>25</v>
      </c>
      <c r="Z126" s="209" t="s">
        <v>19</v>
      </c>
      <c r="AA126" s="209" t="s">
        <v>306</v>
      </c>
      <c r="AB126" s="234" t="s">
        <v>306</v>
      </c>
      <c r="AC126" s="235" t="s">
        <v>25</v>
      </c>
      <c r="AD126" s="209" t="s">
        <v>25</v>
      </c>
      <c r="AE126" s="209" t="s">
        <v>25</v>
      </c>
      <c r="AF126" s="234" t="s">
        <v>25</v>
      </c>
      <c r="AG126" s="209" t="s">
        <v>306</v>
      </c>
      <c r="AH126" s="209" t="s">
        <v>306</v>
      </c>
      <c r="AI126" s="234" t="s">
        <v>306</v>
      </c>
      <c r="AJ126" s="209" t="s">
        <v>25</v>
      </c>
      <c r="AK126" s="209" t="s">
        <v>25</v>
      </c>
      <c r="AL126" s="234" t="s">
        <v>25</v>
      </c>
      <c r="AM126" s="209" t="s">
        <v>306</v>
      </c>
      <c r="AN126" s="209" t="s">
        <v>25</v>
      </c>
      <c r="AO126" s="234" t="s">
        <v>25</v>
      </c>
      <c r="AP126" s="235" t="s">
        <v>25</v>
      </c>
      <c r="AQ126" s="209" t="s">
        <v>25</v>
      </c>
      <c r="AR126" s="209" t="s">
        <v>25</v>
      </c>
      <c r="AS126" s="234" t="s">
        <v>25</v>
      </c>
      <c r="AT126" s="209" t="s">
        <v>306</v>
      </c>
      <c r="AU126" s="209" t="s">
        <v>25</v>
      </c>
      <c r="AV126" s="234" t="s">
        <v>25</v>
      </c>
      <c r="AW126" s="209" t="s">
        <v>25</v>
      </c>
      <c r="AX126" s="209" t="s">
        <v>25</v>
      </c>
      <c r="AY126" s="234" t="s">
        <v>25</v>
      </c>
      <c r="AZ126" s="209" t="s">
        <v>306</v>
      </c>
      <c r="BA126" s="209" t="s">
        <v>25</v>
      </c>
      <c r="BB126" s="234" t="s">
        <v>19</v>
      </c>
      <c r="BC126" s="235" t="s">
        <v>19</v>
      </c>
      <c r="BD126" s="188"/>
    </row>
    <row r="127" spans="1:56" ht="12.75" customHeight="1" x14ac:dyDescent="0.25">
      <c r="A127" s="238">
        <v>45257.50754175926</v>
      </c>
      <c r="B127" s="233" t="s">
        <v>304</v>
      </c>
      <c r="C127" s="209" t="s">
        <v>587</v>
      </c>
      <c r="D127" s="232" t="s">
        <v>17</v>
      </c>
      <c r="E127" s="232" t="s">
        <v>515</v>
      </c>
      <c r="F127" s="209" t="s">
        <v>724</v>
      </c>
      <c r="G127" s="232" t="s">
        <v>18</v>
      </c>
      <c r="H127" s="232">
        <v>11</v>
      </c>
      <c r="I127" s="209" t="s">
        <v>531</v>
      </c>
      <c r="J127" s="188"/>
      <c r="K127" s="209" t="s">
        <v>539</v>
      </c>
      <c r="L127" s="209" t="s">
        <v>518</v>
      </c>
      <c r="M127" s="209" t="s">
        <v>375</v>
      </c>
      <c r="N127" s="209" t="s">
        <v>589</v>
      </c>
      <c r="O127" s="209"/>
      <c r="P127" s="209"/>
      <c r="Q127" s="209" t="s">
        <v>19</v>
      </c>
      <c r="R127" s="209" t="s">
        <v>25</v>
      </c>
      <c r="S127" s="234" t="s">
        <v>306</v>
      </c>
      <c r="T127" s="209" t="s">
        <v>306</v>
      </c>
      <c r="U127" s="209" t="s">
        <v>19</v>
      </c>
      <c r="V127" s="234" t="s">
        <v>306</v>
      </c>
      <c r="W127" s="209" t="s">
        <v>25</v>
      </c>
      <c r="X127" s="209" t="s">
        <v>19</v>
      </c>
      <c r="Y127" s="234" t="s">
        <v>306</v>
      </c>
      <c r="Z127" s="209" t="s">
        <v>19</v>
      </c>
      <c r="AA127" s="209" t="s">
        <v>19</v>
      </c>
      <c r="AB127" s="234" t="s">
        <v>19</v>
      </c>
      <c r="AC127" s="235" t="s">
        <v>306</v>
      </c>
      <c r="AD127" s="209" t="s">
        <v>19</v>
      </c>
      <c r="AE127" s="209" t="s">
        <v>19</v>
      </c>
      <c r="AF127" s="234" t="s">
        <v>19</v>
      </c>
      <c r="AG127" s="209" t="s">
        <v>19</v>
      </c>
      <c r="AH127" s="209" t="s">
        <v>19</v>
      </c>
      <c r="AI127" s="234" t="s">
        <v>19</v>
      </c>
      <c r="AJ127" s="209" t="s">
        <v>19</v>
      </c>
      <c r="AK127" s="209" t="s">
        <v>19</v>
      </c>
      <c r="AL127" s="234" t="s">
        <v>19</v>
      </c>
      <c r="AM127" s="209" t="s">
        <v>19</v>
      </c>
      <c r="AN127" s="209" t="s">
        <v>19</v>
      </c>
      <c r="AO127" s="234" t="s">
        <v>19</v>
      </c>
      <c r="AP127" s="235" t="s">
        <v>19</v>
      </c>
      <c r="AQ127" s="209" t="s">
        <v>19</v>
      </c>
      <c r="AR127" s="209" t="s">
        <v>19</v>
      </c>
      <c r="AS127" s="234" t="s">
        <v>19</v>
      </c>
      <c r="AT127" s="209" t="s">
        <v>19</v>
      </c>
      <c r="AU127" s="209" t="s">
        <v>19</v>
      </c>
      <c r="AV127" s="234" t="s">
        <v>19</v>
      </c>
      <c r="AW127" s="209" t="s">
        <v>19</v>
      </c>
      <c r="AX127" s="209" t="s">
        <v>19</v>
      </c>
      <c r="AY127" s="234" t="s">
        <v>19</v>
      </c>
      <c r="AZ127" s="209" t="s">
        <v>19</v>
      </c>
      <c r="BA127" s="209" t="s">
        <v>19</v>
      </c>
      <c r="BB127" s="234" t="s">
        <v>306</v>
      </c>
      <c r="BC127" s="235" t="s">
        <v>306</v>
      </c>
      <c r="BD127" s="188"/>
    </row>
    <row r="128" spans="1:56" ht="12.75" customHeight="1" x14ac:dyDescent="0.25">
      <c r="A128" s="238">
        <v>45257.51146991898</v>
      </c>
      <c r="B128" s="233" t="s">
        <v>304</v>
      </c>
      <c r="C128" s="209" t="s">
        <v>587</v>
      </c>
      <c r="D128" s="232" t="s">
        <v>17</v>
      </c>
      <c r="E128" s="232" t="s">
        <v>515</v>
      </c>
      <c r="F128" s="209" t="s">
        <v>725</v>
      </c>
      <c r="G128" s="232" t="s">
        <v>24</v>
      </c>
      <c r="H128" s="232">
        <v>12</v>
      </c>
      <c r="I128" s="209" t="s">
        <v>531</v>
      </c>
      <c r="J128" s="188"/>
      <c r="K128" s="209" t="s">
        <v>539</v>
      </c>
      <c r="L128" s="209" t="s">
        <v>531</v>
      </c>
      <c r="M128" s="188"/>
      <c r="N128" s="188"/>
      <c r="O128" s="188"/>
      <c r="P128" s="188"/>
      <c r="Q128" s="209" t="s">
        <v>25</v>
      </c>
      <c r="R128" s="209" t="s">
        <v>25</v>
      </c>
      <c r="S128" s="234" t="s">
        <v>25</v>
      </c>
      <c r="T128" s="209" t="s">
        <v>25</v>
      </c>
      <c r="U128" s="209" t="s">
        <v>25</v>
      </c>
      <c r="V128" s="234" t="s">
        <v>25</v>
      </c>
      <c r="W128" s="209" t="s">
        <v>25</v>
      </c>
      <c r="X128" s="209" t="s">
        <v>19</v>
      </c>
      <c r="Y128" s="234" t="s">
        <v>306</v>
      </c>
      <c r="Z128" s="209" t="s">
        <v>25</v>
      </c>
      <c r="AA128" s="209" t="s">
        <v>19</v>
      </c>
      <c r="AB128" s="234" t="s">
        <v>306</v>
      </c>
      <c r="AC128" s="235" t="s">
        <v>25</v>
      </c>
      <c r="AD128" s="209" t="s">
        <v>19</v>
      </c>
      <c r="AE128" s="209" t="s">
        <v>19</v>
      </c>
      <c r="AF128" s="234" t="s">
        <v>19</v>
      </c>
      <c r="AG128" s="209" t="s">
        <v>25</v>
      </c>
      <c r="AH128" s="209" t="s">
        <v>19</v>
      </c>
      <c r="AI128" s="234" t="s">
        <v>306</v>
      </c>
      <c r="AJ128" s="209" t="s">
        <v>19</v>
      </c>
      <c r="AK128" s="209" t="s">
        <v>19</v>
      </c>
      <c r="AL128" s="234" t="s">
        <v>19</v>
      </c>
      <c r="AM128" s="209" t="s">
        <v>19</v>
      </c>
      <c r="AN128" s="209" t="s">
        <v>19</v>
      </c>
      <c r="AO128" s="234" t="s">
        <v>19</v>
      </c>
      <c r="AP128" s="235" t="s">
        <v>19</v>
      </c>
      <c r="AQ128" s="209" t="s">
        <v>25</v>
      </c>
      <c r="AR128" s="209" t="s">
        <v>19</v>
      </c>
      <c r="AS128" s="234" t="s">
        <v>306</v>
      </c>
      <c r="AT128" s="209" t="s">
        <v>19</v>
      </c>
      <c r="AU128" s="209" t="s">
        <v>19</v>
      </c>
      <c r="AV128" s="234" t="s">
        <v>19</v>
      </c>
      <c r="AW128" s="209" t="s">
        <v>25</v>
      </c>
      <c r="AX128" s="209" t="s">
        <v>19</v>
      </c>
      <c r="AY128" s="234" t="s">
        <v>306</v>
      </c>
      <c r="AZ128" s="209" t="s">
        <v>19</v>
      </c>
      <c r="BA128" s="209" t="s">
        <v>19</v>
      </c>
      <c r="BB128" s="234" t="s">
        <v>19</v>
      </c>
      <c r="BC128" s="235" t="s">
        <v>306</v>
      </c>
      <c r="BD128" s="188"/>
    </row>
    <row r="129" spans="1:56" ht="12.75" customHeight="1" x14ac:dyDescent="0.25">
      <c r="A129" s="238">
        <v>45257.513321157407</v>
      </c>
      <c r="B129" s="233" t="s">
        <v>304</v>
      </c>
      <c r="C129" s="209" t="s">
        <v>587</v>
      </c>
      <c r="D129" s="232" t="s">
        <v>17</v>
      </c>
      <c r="E129" s="232" t="s">
        <v>515</v>
      </c>
      <c r="F129" s="209" t="s">
        <v>726</v>
      </c>
      <c r="G129" s="232" t="s">
        <v>18</v>
      </c>
      <c r="H129" s="232">
        <v>12</v>
      </c>
      <c r="I129" s="209" t="s">
        <v>531</v>
      </c>
      <c r="J129" s="188"/>
      <c r="K129" s="209" t="s">
        <v>539</v>
      </c>
      <c r="L129" s="209" t="s">
        <v>518</v>
      </c>
      <c r="M129" s="209" t="s">
        <v>375</v>
      </c>
      <c r="N129" s="209" t="s">
        <v>589</v>
      </c>
      <c r="O129" s="209"/>
      <c r="P129" s="209"/>
      <c r="Q129" s="209" t="s">
        <v>25</v>
      </c>
      <c r="R129" s="209" t="s">
        <v>25</v>
      </c>
      <c r="S129" s="234" t="s">
        <v>25</v>
      </c>
      <c r="T129" s="209" t="s">
        <v>25</v>
      </c>
      <c r="U129" s="209" t="s">
        <v>25</v>
      </c>
      <c r="V129" s="234" t="s">
        <v>25</v>
      </c>
      <c r="W129" s="209" t="s">
        <v>25</v>
      </c>
      <c r="X129" s="209" t="s">
        <v>19</v>
      </c>
      <c r="Y129" s="234" t="s">
        <v>306</v>
      </c>
      <c r="Z129" s="209" t="s">
        <v>25</v>
      </c>
      <c r="AA129" s="209" t="s">
        <v>19</v>
      </c>
      <c r="AB129" s="234" t="s">
        <v>306</v>
      </c>
      <c r="AC129" s="235" t="s">
        <v>25</v>
      </c>
      <c r="AD129" s="209" t="s">
        <v>25</v>
      </c>
      <c r="AE129" s="209" t="s">
        <v>25</v>
      </c>
      <c r="AF129" s="234" t="s">
        <v>25</v>
      </c>
      <c r="AG129" s="209" t="s">
        <v>25</v>
      </c>
      <c r="AH129" s="209" t="s">
        <v>19</v>
      </c>
      <c r="AI129" s="234" t="s">
        <v>306</v>
      </c>
      <c r="AJ129" s="209" t="s">
        <v>19</v>
      </c>
      <c r="AK129" s="209" t="s">
        <v>19</v>
      </c>
      <c r="AL129" s="234" t="s">
        <v>19</v>
      </c>
      <c r="AM129" s="209" t="s">
        <v>19</v>
      </c>
      <c r="AN129" s="209" t="s">
        <v>19</v>
      </c>
      <c r="AO129" s="234" t="s">
        <v>19</v>
      </c>
      <c r="AP129" s="235" t="s">
        <v>306</v>
      </c>
      <c r="AQ129" s="209" t="s">
        <v>25</v>
      </c>
      <c r="AR129" s="209" t="s">
        <v>19</v>
      </c>
      <c r="AS129" s="234" t="s">
        <v>306</v>
      </c>
      <c r="AT129" s="209" t="s">
        <v>25</v>
      </c>
      <c r="AU129" s="209" t="s">
        <v>306</v>
      </c>
      <c r="AV129" s="234" t="s">
        <v>25</v>
      </c>
      <c r="AW129" s="209" t="s">
        <v>19</v>
      </c>
      <c r="AX129" s="209" t="s">
        <v>19</v>
      </c>
      <c r="AY129" s="234" t="s">
        <v>19</v>
      </c>
      <c r="AZ129" s="209" t="s">
        <v>19</v>
      </c>
      <c r="BA129" s="209" t="s">
        <v>306</v>
      </c>
      <c r="BB129" s="234" t="s">
        <v>306</v>
      </c>
      <c r="BC129" s="235" t="s">
        <v>306</v>
      </c>
      <c r="BD129" s="188"/>
    </row>
    <row r="130" spans="1:56" ht="12.75" customHeight="1" x14ac:dyDescent="0.25">
      <c r="A130" s="238">
        <v>45257.514895439817</v>
      </c>
      <c r="B130" s="233" t="s">
        <v>304</v>
      </c>
      <c r="C130" s="209" t="s">
        <v>587</v>
      </c>
      <c r="D130" s="232" t="s">
        <v>17</v>
      </c>
      <c r="E130" s="232" t="s">
        <v>515</v>
      </c>
      <c r="F130" s="209" t="s">
        <v>727</v>
      </c>
      <c r="G130" s="232" t="s">
        <v>18</v>
      </c>
      <c r="H130" s="232">
        <v>12</v>
      </c>
      <c r="I130" s="209" t="s">
        <v>531</v>
      </c>
      <c r="J130" s="188"/>
      <c r="K130" s="209" t="s">
        <v>539</v>
      </c>
      <c r="L130" s="209" t="s">
        <v>518</v>
      </c>
      <c r="M130" s="209" t="s">
        <v>389</v>
      </c>
      <c r="N130" s="209" t="s">
        <v>589</v>
      </c>
      <c r="O130" s="209"/>
      <c r="P130" s="209"/>
      <c r="Q130" s="209" t="s">
        <v>25</v>
      </c>
      <c r="R130" s="209" t="s">
        <v>306</v>
      </c>
      <c r="S130" s="234" t="s">
        <v>25</v>
      </c>
      <c r="T130" s="209" t="s">
        <v>19</v>
      </c>
      <c r="U130" s="209" t="s">
        <v>25</v>
      </c>
      <c r="V130" s="234" t="s">
        <v>306</v>
      </c>
      <c r="W130" s="209" t="s">
        <v>25</v>
      </c>
      <c r="X130" s="209" t="s">
        <v>19</v>
      </c>
      <c r="Y130" s="234" t="s">
        <v>306</v>
      </c>
      <c r="Z130" s="209" t="s">
        <v>19</v>
      </c>
      <c r="AA130" s="209" t="s">
        <v>306</v>
      </c>
      <c r="AB130" s="234" t="s">
        <v>306</v>
      </c>
      <c r="AC130" s="235" t="s">
        <v>306</v>
      </c>
      <c r="AD130" s="209" t="s">
        <v>306</v>
      </c>
      <c r="AE130" s="209" t="s">
        <v>25</v>
      </c>
      <c r="AF130" s="234" t="s">
        <v>25</v>
      </c>
      <c r="AG130" s="209" t="s">
        <v>25</v>
      </c>
      <c r="AH130" s="209" t="s">
        <v>19</v>
      </c>
      <c r="AI130" s="234" t="s">
        <v>306</v>
      </c>
      <c r="AJ130" s="209" t="s">
        <v>19</v>
      </c>
      <c r="AK130" s="209" t="s">
        <v>19</v>
      </c>
      <c r="AL130" s="234" t="s">
        <v>19</v>
      </c>
      <c r="AM130" s="209" t="s">
        <v>19</v>
      </c>
      <c r="AN130" s="209" t="s">
        <v>19</v>
      </c>
      <c r="AO130" s="234" t="s">
        <v>19</v>
      </c>
      <c r="AP130" s="235" t="s">
        <v>306</v>
      </c>
      <c r="AQ130" s="209" t="s">
        <v>19</v>
      </c>
      <c r="AR130" s="209" t="s">
        <v>19</v>
      </c>
      <c r="AS130" s="234" t="s">
        <v>19</v>
      </c>
      <c r="AT130" s="209" t="s">
        <v>19</v>
      </c>
      <c r="AU130" s="209" t="s">
        <v>19</v>
      </c>
      <c r="AV130" s="234" t="s">
        <v>19</v>
      </c>
      <c r="AW130" s="209" t="s">
        <v>25</v>
      </c>
      <c r="AX130" s="209" t="s">
        <v>19</v>
      </c>
      <c r="AY130" s="234" t="s">
        <v>306</v>
      </c>
      <c r="AZ130" s="209" t="s">
        <v>306</v>
      </c>
      <c r="BA130" s="209" t="s">
        <v>19</v>
      </c>
      <c r="BB130" s="234" t="s">
        <v>25</v>
      </c>
      <c r="BC130" s="235" t="s">
        <v>306</v>
      </c>
      <c r="BD130" s="188"/>
    </row>
    <row r="131" spans="1:56" ht="12.75" customHeight="1" x14ac:dyDescent="0.25">
      <c r="A131" s="238">
        <v>45257.517548495365</v>
      </c>
      <c r="B131" s="233" t="s">
        <v>304</v>
      </c>
      <c r="C131" s="209" t="s">
        <v>587</v>
      </c>
      <c r="D131" s="232" t="s">
        <v>17</v>
      </c>
      <c r="E131" s="232" t="s">
        <v>515</v>
      </c>
      <c r="F131" s="209" t="s">
        <v>728</v>
      </c>
      <c r="G131" s="232" t="s">
        <v>24</v>
      </c>
      <c r="H131" s="232">
        <v>12</v>
      </c>
      <c r="I131" s="209" t="s">
        <v>531</v>
      </c>
      <c r="J131" s="188"/>
      <c r="K131" s="209" t="s">
        <v>539</v>
      </c>
      <c r="L131" s="209" t="s">
        <v>518</v>
      </c>
      <c r="M131" s="209" t="s">
        <v>375</v>
      </c>
      <c r="N131" s="209" t="s">
        <v>589</v>
      </c>
      <c r="O131" s="209"/>
      <c r="P131" s="209"/>
      <c r="Q131" s="209" t="s">
        <v>25</v>
      </c>
      <c r="R131" s="209" t="s">
        <v>25</v>
      </c>
      <c r="S131" s="234" t="s">
        <v>25</v>
      </c>
      <c r="T131" s="209" t="s">
        <v>19</v>
      </c>
      <c r="U131" s="209" t="s">
        <v>19</v>
      </c>
      <c r="V131" s="234" t="s">
        <v>19</v>
      </c>
      <c r="W131" s="209" t="s">
        <v>19</v>
      </c>
      <c r="X131" s="209" t="s">
        <v>19</v>
      </c>
      <c r="Y131" s="234" t="s">
        <v>19</v>
      </c>
      <c r="Z131" s="209" t="s">
        <v>19</v>
      </c>
      <c r="AA131" s="209" t="s">
        <v>19</v>
      </c>
      <c r="AB131" s="234" t="s">
        <v>19</v>
      </c>
      <c r="AC131" s="235" t="s">
        <v>306</v>
      </c>
      <c r="AD131" s="209" t="s">
        <v>306</v>
      </c>
      <c r="AE131" s="209" t="s">
        <v>25</v>
      </c>
      <c r="AF131" s="234" t="s">
        <v>25</v>
      </c>
      <c r="AG131" s="209" t="s">
        <v>25</v>
      </c>
      <c r="AH131" s="209" t="s">
        <v>19</v>
      </c>
      <c r="AI131" s="234" t="s">
        <v>306</v>
      </c>
      <c r="AJ131" s="209" t="s">
        <v>19</v>
      </c>
      <c r="AK131" s="209" t="s">
        <v>19</v>
      </c>
      <c r="AL131" s="234" t="s">
        <v>19</v>
      </c>
      <c r="AM131" s="209" t="s">
        <v>19</v>
      </c>
      <c r="AN131" s="209" t="s">
        <v>19</v>
      </c>
      <c r="AO131" s="234" t="s">
        <v>19</v>
      </c>
      <c r="AP131" s="235" t="s">
        <v>306</v>
      </c>
      <c r="AQ131" s="209" t="s">
        <v>19</v>
      </c>
      <c r="AR131" s="209" t="s">
        <v>19</v>
      </c>
      <c r="AS131" s="234" t="s">
        <v>19</v>
      </c>
      <c r="AT131" s="209" t="s">
        <v>19</v>
      </c>
      <c r="AU131" s="209" t="s">
        <v>19</v>
      </c>
      <c r="AV131" s="234" t="s">
        <v>19</v>
      </c>
      <c r="AW131" s="209" t="s">
        <v>19</v>
      </c>
      <c r="AX131" s="209" t="s">
        <v>19</v>
      </c>
      <c r="AY131" s="234" t="s">
        <v>19</v>
      </c>
      <c r="AZ131" s="209" t="s">
        <v>19</v>
      </c>
      <c r="BA131" s="209" t="s">
        <v>19</v>
      </c>
      <c r="BB131" s="234" t="s">
        <v>19</v>
      </c>
      <c r="BC131" s="235" t="s">
        <v>306</v>
      </c>
      <c r="BD131" s="188"/>
    </row>
    <row r="132" spans="1:56" ht="12.75" customHeight="1" x14ac:dyDescent="0.25">
      <c r="A132" s="238">
        <v>45257.518916666668</v>
      </c>
      <c r="B132" s="233" t="s">
        <v>304</v>
      </c>
      <c r="C132" s="209" t="s">
        <v>587</v>
      </c>
      <c r="D132" s="232" t="s">
        <v>17</v>
      </c>
      <c r="E132" s="232" t="s">
        <v>515</v>
      </c>
      <c r="F132" s="209" t="s">
        <v>729</v>
      </c>
      <c r="G132" s="232" t="s">
        <v>24</v>
      </c>
      <c r="H132" s="232">
        <v>12</v>
      </c>
      <c r="I132" s="209" t="s">
        <v>531</v>
      </c>
      <c r="J132" s="188"/>
      <c r="K132" s="209" t="s">
        <v>539</v>
      </c>
      <c r="L132" s="209" t="s">
        <v>518</v>
      </c>
      <c r="M132" s="209" t="s">
        <v>375</v>
      </c>
      <c r="N132" s="209" t="s">
        <v>589</v>
      </c>
      <c r="O132" s="209"/>
      <c r="P132" s="209"/>
      <c r="Q132" s="209" t="s">
        <v>306</v>
      </c>
      <c r="R132" s="209" t="s">
        <v>306</v>
      </c>
      <c r="S132" s="234" t="s">
        <v>306</v>
      </c>
      <c r="T132" s="209" t="s">
        <v>19</v>
      </c>
      <c r="U132" s="209" t="s">
        <v>306</v>
      </c>
      <c r="V132" s="234" t="s">
        <v>306</v>
      </c>
      <c r="W132" s="209" t="s">
        <v>306</v>
      </c>
      <c r="X132" s="209" t="s">
        <v>19</v>
      </c>
      <c r="Y132" s="234" t="s">
        <v>306</v>
      </c>
      <c r="Z132" s="209" t="s">
        <v>306</v>
      </c>
      <c r="AA132" s="209" t="s">
        <v>306</v>
      </c>
      <c r="AB132" s="234" t="s">
        <v>306</v>
      </c>
      <c r="AC132" s="235" t="s">
        <v>306</v>
      </c>
      <c r="AD132" s="209" t="s">
        <v>25</v>
      </c>
      <c r="AE132" s="209" t="s">
        <v>25</v>
      </c>
      <c r="AF132" s="234" t="s">
        <v>25</v>
      </c>
      <c r="AG132" s="209" t="s">
        <v>25</v>
      </c>
      <c r="AH132" s="209" t="s">
        <v>19</v>
      </c>
      <c r="AI132" s="234" t="s">
        <v>306</v>
      </c>
      <c r="AJ132" s="209" t="s">
        <v>19</v>
      </c>
      <c r="AK132" s="209" t="s">
        <v>19</v>
      </c>
      <c r="AL132" s="234" t="s">
        <v>19</v>
      </c>
      <c r="AM132" s="209" t="s">
        <v>19</v>
      </c>
      <c r="AN132" s="209" t="s">
        <v>19</v>
      </c>
      <c r="AO132" s="234" t="s">
        <v>19</v>
      </c>
      <c r="AP132" s="235" t="s">
        <v>306</v>
      </c>
      <c r="AQ132" s="209" t="s">
        <v>306</v>
      </c>
      <c r="AR132" s="209" t="s">
        <v>306</v>
      </c>
      <c r="AS132" s="234" t="s">
        <v>306</v>
      </c>
      <c r="AT132" s="209" t="s">
        <v>306</v>
      </c>
      <c r="AU132" s="209" t="s">
        <v>306</v>
      </c>
      <c r="AV132" s="234" t="s">
        <v>306</v>
      </c>
      <c r="AW132" s="209" t="s">
        <v>306</v>
      </c>
      <c r="AX132" s="209" t="s">
        <v>306</v>
      </c>
      <c r="AY132" s="234" t="s">
        <v>306</v>
      </c>
      <c r="AZ132" s="209" t="s">
        <v>306</v>
      </c>
      <c r="BA132" s="209" t="s">
        <v>19</v>
      </c>
      <c r="BB132" s="234" t="s">
        <v>306</v>
      </c>
      <c r="BC132" s="235" t="s">
        <v>306</v>
      </c>
      <c r="BD132" s="188"/>
    </row>
    <row r="133" spans="1:56" ht="12.75" customHeight="1" x14ac:dyDescent="0.25">
      <c r="A133" s="238">
        <v>45257.520238206023</v>
      </c>
      <c r="B133" s="233" t="s">
        <v>304</v>
      </c>
      <c r="C133" s="209" t="s">
        <v>587</v>
      </c>
      <c r="D133" s="232" t="s">
        <v>17</v>
      </c>
      <c r="E133" s="232" t="s">
        <v>515</v>
      </c>
      <c r="F133" s="209" t="s">
        <v>730</v>
      </c>
      <c r="G133" s="232" t="s">
        <v>18</v>
      </c>
      <c r="H133" s="232">
        <v>11</v>
      </c>
      <c r="I133" s="209" t="s">
        <v>531</v>
      </c>
      <c r="J133" s="188"/>
      <c r="K133" s="209" t="s">
        <v>539</v>
      </c>
      <c r="L133" s="209" t="s">
        <v>518</v>
      </c>
      <c r="M133" s="209" t="s">
        <v>368</v>
      </c>
      <c r="N133" s="209" t="s">
        <v>589</v>
      </c>
      <c r="O133" s="209"/>
      <c r="P133" s="209"/>
      <c r="Q133" s="209" t="s">
        <v>25</v>
      </c>
      <c r="R133" s="209" t="s">
        <v>306</v>
      </c>
      <c r="S133" s="234" t="s">
        <v>25</v>
      </c>
      <c r="T133" s="209" t="s">
        <v>19</v>
      </c>
      <c r="U133" s="209" t="s">
        <v>25</v>
      </c>
      <c r="V133" s="234" t="s">
        <v>306</v>
      </c>
      <c r="W133" s="209" t="s">
        <v>25</v>
      </c>
      <c r="X133" s="209" t="s">
        <v>19</v>
      </c>
      <c r="Y133" s="234" t="s">
        <v>306</v>
      </c>
      <c r="Z133" s="209" t="s">
        <v>306</v>
      </c>
      <c r="AA133" s="209" t="s">
        <v>19</v>
      </c>
      <c r="AB133" s="234" t="s">
        <v>306</v>
      </c>
      <c r="AC133" s="235" t="s">
        <v>306</v>
      </c>
      <c r="AD133" s="209" t="s">
        <v>25</v>
      </c>
      <c r="AE133" s="209" t="s">
        <v>25</v>
      </c>
      <c r="AF133" s="234" t="s">
        <v>25</v>
      </c>
      <c r="AG133" s="209" t="s">
        <v>25</v>
      </c>
      <c r="AH133" s="209" t="s">
        <v>19</v>
      </c>
      <c r="AI133" s="234" t="s">
        <v>306</v>
      </c>
      <c r="AJ133" s="209" t="s">
        <v>19</v>
      </c>
      <c r="AK133" s="209" t="s">
        <v>306</v>
      </c>
      <c r="AL133" s="234" t="s">
        <v>306</v>
      </c>
      <c r="AM133" s="209" t="s">
        <v>19</v>
      </c>
      <c r="AN133" s="209" t="s">
        <v>306</v>
      </c>
      <c r="AO133" s="234" t="s">
        <v>306</v>
      </c>
      <c r="AP133" s="235" t="s">
        <v>306</v>
      </c>
      <c r="AQ133" s="209" t="s">
        <v>19</v>
      </c>
      <c r="AR133" s="209" t="s">
        <v>19</v>
      </c>
      <c r="AS133" s="234" t="s">
        <v>19</v>
      </c>
      <c r="AT133" s="209" t="s">
        <v>25</v>
      </c>
      <c r="AU133" s="209" t="s">
        <v>25</v>
      </c>
      <c r="AV133" s="234" t="s">
        <v>25</v>
      </c>
      <c r="AW133" s="209" t="s">
        <v>19</v>
      </c>
      <c r="AX133" s="209" t="s">
        <v>19</v>
      </c>
      <c r="AY133" s="234" t="s">
        <v>19</v>
      </c>
      <c r="AZ133" s="209" t="s">
        <v>19</v>
      </c>
      <c r="BA133" s="209" t="s">
        <v>19</v>
      </c>
      <c r="BB133" s="234" t="s">
        <v>19</v>
      </c>
      <c r="BC133" s="235" t="s">
        <v>306</v>
      </c>
      <c r="BD133" s="188"/>
    </row>
    <row r="134" spans="1:56" ht="12.75" customHeight="1" x14ac:dyDescent="0.25">
      <c r="A134" s="238">
        <v>45257.521792256943</v>
      </c>
      <c r="B134" s="233" t="s">
        <v>304</v>
      </c>
      <c r="C134" s="209" t="s">
        <v>587</v>
      </c>
      <c r="D134" s="232" t="s">
        <v>17</v>
      </c>
      <c r="E134" s="232" t="s">
        <v>515</v>
      </c>
      <c r="F134" s="209" t="s">
        <v>731</v>
      </c>
      <c r="G134" s="232" t="s">
        <v>18</v>
      </c>
      <c r="H134" s="232">
        <v>12</v>
      </c>
      <c r="I134" s="209" t="s">
        <v>531</v>
      </c>
      <c r="J134" s="188"/>
      <c r="K134" s="209" t="s">
        <v>539</v>
      </c>
      <c r="L134" s="209" t="s">
        <v>518</v>
      </c>
      <c r="M134" s="209" t="s">
        <v>375</v>
      </c>
      <c r="N134" s="209" t="s">
        <v>589</v>
      </c>
      <c r="O134" s="209"/>
      <c r="P134" s="209"/>
      <c r="Q134" s="209" t="s">
        <v>25</v>
      </c>
      <c r="R134" s="209" t="s">
        <v>19</v>
      </c>
      <c r="S134" s="234" t="s">
        <v>306</v>
      </c>
      <c r="T134" s="209" t="s">
        <v>306</v>
      </c>
      <c r="U134" s="209" t="s">
        <v>306</v>
      </c>
      <c r="V134" s="234" t="s">
        <v>306</v>
      </c>
      <c r="W134" s="209" t="s">
        <v>25</v>
      </c>
      <c r="X134" s="209" t="s">
        <v>306</v>
      </c>
      <c r="Y134" s="234" t="s">
        <v>25</v>
      </c>
      <c r="Z134" s="209" t="s">
        <v>306</v>
      </c>
      <c r="AA134" s="209" t="s">
        <v>306</v>
      </c>
      <c r="AB134" s="234" t="s">
        <v>306</v>
      </c>
      <c r="AC134" s="235" t="s">
        <v>306</v>
      </c>
      <c r="AD134" s="209" t="s">
        <v>306</v>
      </c>
      <c r="AE134" s="209" t="s">
        <v>25</v>
      </c>
      <c r="AF134" s="234" t="s">
        <v>25</v>
      </c>
      <c r="AG134" s="209" t="s">
        <v>25</v>
      </c>
      <c r="AH134" s="209" t="s">
        <v>306</v>
      </c>
      <c r="AI134" s="234" t="s">
        <v>25</v>
      </c>
      <c r="AJ134" s="209" t="s">
        <v>306</v>
      </c>
      <c r="AK134" s="209" t="s">
        <v>306</v>
      </c>
      <c r="AL134" s="234" t="s">
        <v>306</v>
      </c>
      <c r="AM134" s="209" t="s">
        <v>19</v>
      </c>
      <c r="AN134" s="209" t="s">
        <v>19</v>
      </c>
      <c r="AO134" s="234" t="s">
        <v>19</v>
      </c>
      <c r="AP134" s="235" t="s">
        <v>306</v>
      </c>
      <c r="AQ134" s="209" t="s">
        <v>306</v>
      </c>
      <c r="AR134" s="209" t="s">
        <v>25</v>
      </c>
      <c r="AS134" s="234" t="s">
        <v>25</v>
      </c>
      <c r="AT134" s="209" t="s">
        <v>25</v>
      </c>
      <c r="AU134" s="209" t="s">
        <v>25</v>
      </c>
      <c r="AV134" s="234" t="s">
        <v>25</v>
      </c>
      <c r="AW134" s="209" t="s">
        <v>19</v>
      </c>
      <c r="AX134" s="209" t="s">
        <v>19</v>
      </c>
      <c r="AY134" s="234" t="s">
        <v>19</v>
      </c>
      <c r="AZ134" s="209" t="s">
        <v>306</v>
      </c>
      <c r="BA134" s="209" t="s">
        <v>19</v>
      </c>
      <c r="BB134" s="234" t="s">
        <v>306</v>
      </c>
      <c r="BC134" s="235" t="s">
        <v>306</v>
      </c>
      <c r="BD134" s="188"/>
    </row>
    <row r="135" spans="1:56" ht="12.75" customHeight="1" x14ac:dyDescent="0.25">
      <c r="A135" s="238">
        <v>45257.523242337964</v>
      </c>
      <c r="B135" s="233" t="s">
        <v>304</v>
      </c>
      <c r="C135" s="209" t="s">
        <v>587</v>
      </c>
      <c r="D135" s="232" t="s">
        <v>17</v>
      </c>
      <c r="E135" s="232" t="s">
        <v>515</v>
      </c>
      <c r="F135" s="209" t="s">
        <v>732</v>
      </c>
      <c r="G135" s="232" t="s">
        <v>24</v>
      </c>
      <c r="H135" s="232">
        <v>12</v>
      </c>
      <c r="I135" s="209" t="s">
        <v>531</v>
      </c>
      <c r="J135" s="188"/>
      <c r="K135" s="209" t="s">
        <v>539</v>
      </c>
      <c r="L135" s="209" t="s">
        <v>518</v>
      </c>
      <c r="M135" s="209" t="s">
        <v>375</v>
      </c>
      <c r="N135" s="209" t="s">
        <v>589</v>
      </c>
      <c r="O135" s="209"/>
      <c r="P135" s="209"/>
      <c r="Q135" s="209" t="s">
        <v>19</v>
      </c>
      <c r="R135" s="209" t="s">
        <v>19</v>
      </c>
      <c r="S135" s="234" t="s">
        <v>19</v>
      </c>
      <c r="T135" s="209" t="s">
        <v>19</v>
      </c>
      <c r="U135" s="209" t="s">
        <v>306</v>
      </c>
      <c r="V135" s="234" t="s">
        <v>306</v>
      </c>
      <c r="W135" s="209" t="s">
        <v>306</v>
      </c>
      <c r="X135" s="209" t="s">
        <v>306</v>
      </c>
      <c r="Y135" s="234" t="s">
        <v>306</v>
      </c>
      <c r="Z135" s="209" t="s">
        <v>306</v>
      </c>
      <c r="AA135" s="209" t="s">
        <v>306</v>
      </c>
      <c r="AB135" s="234" t="s">
        <v>306</v>
      </c>
      <c r="AC135" s="235" t="s">
        <v>306</v>
      </c>
      <c r="AD135" s="209" t="s">
        <v>306</v>
      </c>
      <c r="AE135" s="209" t="s">
        <v>25</v>
      </c>
      <c r="AF135" s="234" t="s">
        <v>25</v>
      </c>
      <c r="AG135" s="209" t="s">
        <v>306</v>
      </c>
      <c r="AH135" s="209" t="s">
        <v>19</v>
      </c>
      <c r="AI135" s="234" t="s">
        <v>306</v>
      </c>
      <c r="AJ135" s="209" t="s">
        <v>19</v>
      </c>
      <c r="AK135" s="209" t="s">
        <v>19</v>
      </c>
      <c r="AL135" s="234" t="s">
        <v>19</v>
      </c>
      <c r="AM135" s="209" t="s">
        <v>19</v>
      </c>
      <c r="AN135" s="209" t="s">
        <v>19</v>
      </c>
      <c r="AO135" s="234" t="s">
        <v>19</v>
      </c>
      <c r="AP135" s="235" t="s">
        <v>306</v>
      </c>
      <c r="AQ135" s="209" t="s">
        <v>306</v>
      </c>
      <c r="AR135" s="209" t="s">
        <v>306</v>
      </c>
      <c r="AS135" s="234" t="s">
        <v>306</v>
      </c>
      <c r="AT135" s="209" t="s">
        <v>25</v>
      </c>
      <c r="AU135" s="209" t="s">
        <v>25</v>
      </c>
      <c r="AV135" s="234" t="s">
        <v>25</v>
      </c>
      <c r="AW135" s="209" t="s">
        <v>19</v>
      </c>
      <c r="AX135" s="209" t="s">
        <v>306</v>
      </c>
      <c r="AY135" s="234" t="s">
        <v>306</v>
      </c>
      <c r="AZ135" s="209" t="s">
        <v>25</v>
      </c>
      <c r="BA135" s="209" t="s">
        <v>306</v>
      </c>
      <c r="BB135" s="234" t="s">
        <v>306</v>
      </c>
      <c r="BC135" s="235" t="s">
        <v>306</v>
      </c>
      <c r="BD135" s="188"/>
    </row>
    <row r="136" spans="1:56" ht="12.75" customHeight="1" x14ac:dyDescent="0.25">
      <c r="A136" s="238">
        <v>45257.524544664353</v>
      </c>
      <c r="B136" s="233" t="s">
        <v>304</v>
      </c>
      <c r="C136" s="209" t="s">
        <v>587</v>
      </c>
      <c r="D136" s="232" t="s">
        <v>17</v>
      </c>
      <c r="E136" s="232" t="s">
        <v>515</v>
      </c>
      <c r="F136" s="209" t="s">
        <v>733</v>
      </c>
      <c r="G136" s="232" t="s">
        <v>24</v>
      </c>
      <c r="H136" s="232">
        <v>12</v>
      </c>
      <c r="I136" s="209" t="s">
        <v>531</v>
      </c>
      <c r="J136" s="188"/>
      <c r="K136" s="209" t="s">
        <v>539</v>
      </c>
      <c r="L136" s="209" t="s">
        <v>518</v>
      </c>
      <c r="M136" s="209" t="s">
        <v>401</v>
      </c>
      <c r="N136" s="209" t="s">
        <v>589</v>
      </c>
      <c r="O136" s="209"/>
      <c r="P136" s="209"/>
      <c r="Q136" s="209" t="s">
        <v>25</v>
      </c>
      <c r="R136" s="209" t="s">
        <v>306</v>
      </c>
      <c r="S136" s="234" t="s">
        <v>25</v>
      </c>
      <c r="T136" s="209" t="s">
        <v>25</v>
      </c>
      <c r="U136" s="209" t="s">
        <v>25</v>
      </c>
      <c r="V136" s="234" t="s">
        <v>25</v>
      </c>
      <c r="W136" s="209" t="s">
        <v>19</v>
      </c>
      <c r="X136" s="209" t="s">
        <v>19</v>
      </c>
      <c r="Y136" s="234" t="s">
        <v>19</v>
      </c>
      <c r="Z136" s="209" t="s">
        <v>306</v>
      </c>
      <c r="AA136" s="209" t="s">
        <v>306</v>
      </c>
      <c r="AB136" s="234" t="s">
        <v>306</v>
      </c>
      <c r="AC136" s="235" t="s">
        <v>306</v>
      </c>
      <c r="AD136" s="209" t="s">
        <v>306</v>
      </c>
      <c r="AE136" s="209" t="s">
        <v>306</v>
      </c>
      <c r="AF136" s="234" t="s">
        <v>306</v>
      </c>
      <c r="AG136" s="209" t="s">
        <v>25</v>
      </c>
      <c r="AH136" s="209" t="s">
        <v>25</v>
      </c>
      <c r="AI136" s="234" t="s">
        <v>25</v>
      </c>
      <c r="AJ136" s="209" t="s">
        <v>19</v>
      </c>
      <c r="AK136" s="209" t="s">
        <v>19</v>
      </c>
      <c r="AL136" s="234" t="s">
        <v>19</v>
      </c>
      <c r="AM136" s="209" t="s">
        <v>19</v>
      </c>
      <c r="AN136" s="209" t="s">
        <v>19</v>
      </c>
      <c r="AO136" s="234" t="s">
        <v>19</v>
      </c>
      <c r="AP136" s="235" t="s">
        <v>306</v>
      </c>
      <c r="AQ136" s="209" t="s">
        <v>25</v>
      </c>
      <c r="AR136" s="209" t="s">
        <v>19</v>
      </c>
      <c r="AS136" s="234" t="s">
        <v>306</v>
      </c>
      <c r="AT136" s="209" t="s">
        <v>25</v>
      </c>
      <c r="AU136" s="209" t="s">
        <v>25</v>
      </c>
      <c r="AV136" s="234" t="s">
        <v>25</v>
      </c>
      <c r="AW136" s="209" t="s">
        <v>19</v>
      </c>
      <c r="AX136" s="209" t="s">
        <v>19</v>
      </c>
      <c r="AY136" s="234" t="s">
        <v>19</v>
      </c>
      <c r="AZ136" s="209" t="s">
        <v>19</v>
      </c>
      <c r="BA136" s="209" t="s">
        <v>19</v>
      </c>
      <c r="BB136" s="234" t="s">
        <v>306</v>
      </c>
      <c r="BC136" s="235" t="s">
        <v>306</v>
      </c>
      <c r="BD136" s="188"/>
    </row>
    <row r="137" spans="1:56" ht="12.75" customHeight="1" x14ac:dyDescent="0.25">
      <c r="A137" s="238">
        <v>45257.525834687505</v>
      </c>
      <c r="B137" s="233" t="s">
        <v>304</v>
      </c>
      <c r="C137" s="209" t="s">
        <v>587</v>
      </c>
      <c r="D137" s="232" t="s">
        <v>17</v>
      </c>
      <c r="E137" s="232" t="s">
        <v>515</v>
      </c>
      <c r="F137" s="209" t="s">
        <v>734</v>
      </c>
      <c r="G137" s="232" t="s">
        <v>18</v>
      </c>
      <c r="H137" s="232">
        <v>11</v>
      </c>
      <c r="I137" s="209" t="s">
        <v>531</v>
      </c>
      <c r="J137" s="188"/>
      <c r="K137" s="209" t="s">
        <v>539</v>
      </c>
      <c r="L137" s="209" t="s">
        <v>518</v>
      </c>
      <c r="M137" s="209" t="s">
        <v>401</v>
      </c>
      <c r="N137" s="209" t="s">
        <v>589</v>
      </c>
      <c r="O137" s="209"/>
      <c r="P137" s="209"/>
      <c r="Q137" s="209" t="s">
        <v>25</v>
      </c>
      <c r="R137" s="209" t="s">
        <v>306</v>
      </c>
      <c r="S137" s="234" t="s">
        <v>25</v>
      </c>
      <c r="T137" s="209" t="s">
        <v>19</v>
      </c>
      <c r="U137" s="209" t="s">
        <v>25</v>
      </c>
      <c r="V137" s="234" t="s">
        <v>306</v>
      </c>
      <c r="W137" s="209" t="s">
        <v>25</v>
      </c>
      <c r="X137" s="209" t="s">
        <v>306</v>
      </c>
      <c r="Y137" s="234" t="s">
        <v>25</v>
      </c>
      <c r="Z137" s="209" t="s">
        <v>306</v>
      </c>
      <c r="AA137" s="209" t="s">
        <v>306</v>
      </c>
      <c r="AB137" s="234" t="s">
        <v>306</v>
      </c>
      <c r="AC137" s="235" t="s">
        <v>306</v>
      </c>
      <c r="AD137" s="209" t="s">
        <v>306</v>
      </c>
      <c r="AE137" s="209" t="s">
        <v>25</v>
      </c>
      <c r="AF137" s="234" t="s">
        <v>25</v>
      </c>
      <c r="AG137" s="209" t="s">
        <v>25</v>
      </c>
      <c r="AH137" s="209" t="s">
        <v>19</v>
      </c>
      <c r="AI137" s="234" t="s">
        <v>306</v>
      </c>
      <c r="AJ137" s="209" t="s">
        <v>306</v>
      </c>
      <c r="AK137" s="209" t="s">
        <v>19</v>
      </c>
      <c r="AL137" s="234" t="s">
        <v>306</v>
      </c>
      <c r="AM137" s="209" t="s">
        <v>19</v>
      </c>
      <c r="AN137" s="209" t="s">
        <v>306</v>
      </c>
      <c r="AO137" s="234" t="s">
        <v>306</v>
      </c>
      <c r="AP137" s="235" t="s">
        <v>306</v>
      </c>
      <c r="AQ137" s="209" t="s">
        <v>306</v>
      </c>
      <c r="AR137" s="209" t="s">
        <v>306</v>
      </c>
      <c r="AS137" s="234" t="s">
        <v>306</v>
      </c>
      <c r="AT137" s="209" t="s">
        <v>25</v>
      </c>
      <c r="AU137" s="209" t="s">
        <v>25</v>
      </c>
      <c r="AV137" s="234" t="s">
        <v>25</v>
      </c>
      <c r="AW137" s="209" t="s">
        <v>306</v>
      </c>
      <c r="AX137" s="209" t="s">
        <v>306</v>
      </c>
      <c r="AY137" s="234" t="s">
        <v>306</v>
      </c>
      <c r="AZ137" s="209" t="s">
        <v>306</v>
      </c>
      <c r="BA137" s="209" t="s">
        <v>19</v>
      </c>
      <c r="BB137" s="234" t="s">
        <v>306</v>
      </c>
      <c r="BC137" s="235" t="s">
        <v>306</v>
      </c>
      <c r="BD137" s="188"/>
    </row>
    <row r="138" spans="1:56" ht="12.75" customHeight="1" x14ac:dyDescent="0.25">
      <c r="A138" s="238">
        <v>45257.52720355324</v>
      </c>
      <c r="B138" s="233" t="s">
        <v>304</v>
      </c>
      <c r="C138" s="209" t="s">
        <v>587</v>
      </c>
      <c r="D138" s="232" t="s">
        <v>17</v>
      </c>
      <c r="E138" s="232" t="s">
        <v>515</v>
      </c>
      <c r="F138" s="209" t="s">
        <v>735</v>
      </c>
      <c r="G138" s="232" t="s">
        <v>18</v>
      </c>
      <c r="H138" s="232">
        <v>12</v>
      </c>
      <c r="I138" s="209" t="s">
        <v>531</v>
      </c>
      <c r="J138" s="188"/>
      <c r="K138" s="209" t="s">
        <v>539</v>
      </c>
      <c r="L138" s="209" t="s">
        <v>518</v>
      </c>
      <c r="M138" s="209" t="s">
        <v>401</v>
      </c>
      <c r="N138" s="209" t="s">
        <v>589</v>
      </c>
      <c r="O138" s="209"/>
      <c r="P138" s="209"/>
      <c r="Q138" s="209" t="s">
        <v>25</v>
      </c>
      <c r="R138" s="209" t="s">
        <v>306</v>
      </c>
      <c r="S138" s="234" t="s">
        <v>25</v>
      </c>
      <c r="T138" s="209" t="s">
        <v>306</v>
      </c>
      <c r="U138" s="209" t="s">
        <v>25</v>
      </c>
      <c r="V138" s="234" t="s">
        <v>25</v>
      </c>
      <c r="W138" s="209" t="s">
        <v>306</v>
      </c>
      <c r="X138" s="209" t="s">
        <v>306</v>
      </c>
      <c r="Y138" s="234" t="s">
        <v>306</v>
      </c>
      <c r="Z138" s="209" t="s">
        <v>306</v>
      </c>
      <c r="AA138" s="209" t="s">
        <v>306</v>
      </c>
      <c r="AB138" s="234" t="s">
        <v>306</v>
      </c>
      <c r="AC138" s="235" t="s">
        <v>306</v>
      </c>
      <c r="AD138" s="209" t="s">
        <v>25</v>
      </c>
      <c r="AE138" s="209" t="s">
        <v>306</v>
      </c>
      <c r="AF138" s="234" t="s">
        <v>25</v>
      </c>
      <c r="AG138" s="209" t="s">
        <v>25</v>
      </c>
      <c r="AH138" s="209" t="s">
        <v>19</v>
      </c>
      <c r="AI138" s="234" t="s">
        <v>306</v>
      </c>
      <c r="AJ138" s="209" t="s">
        <v>19</v>
      </c>
      <c r="AK138" s="209" t="s">
        <v>19</v>
      </c>
      <c r="AL138" s="234" t="s">
        <v>19</v>
      </c>
      <c r="AM138" s="209" t="s">
        <v>19</v>
      </c>
      <c r="AN138" s="209" t="s">
        <v>19</v>
      </c>
      <c r="AO138" s="234" t="s">
        <v>19</v>
      </c>
      <c r="AP138" s="235" t="s">
        <v>306</v>
      </c>
      <c r="AQ138" s="209" t="s">
        <v>306</v>
      </c>
      <c r="AR138" s="209" t="s">
        <v>19</v>
      </c>
      <c r="AS138" s="234" t="s">
        <v>306</v>
      </c>
      <c r="AT138" s="209" t="s">
        <v>25</v>
      </c>
      <c r="AU138" s="209" t="s">
        <v>25</v>
      </c>
      <c r="AV138" s="234" t="s">
        <v>25</v>
      </c>
      <c r="AW138" s="209" t="s">
        <v>306</v>
      </c>
      <c r="AX138" s="209" t="s">
        <v>19</v>
      </c>
      <c r="AY138" s="234" t="s">
        <v>306</v>
      </c>
      <c r="AZ138" s="209" t="s">
        <v>19</v>
      </c>
      <c r="BA138" s="209" t="s">
        <v>19</v>
      </c>
      <c r="BB138" s="234" t="s">
        <v>306</v>
      </c>
      <c r="BC138" s="235" t="s">
        <v>306</v>
      </c>
      <c r="BD138" s="188"/>
    </row>
    <row r="139" spans="1:56" ht="12.75" customHeight="1" x14ac:dyDescent="0.25">
      <c r="A139" s="238">
        <v>44797.429447743052</v>
      </c>
      <c r="B139" s="137" t="s">
        <v>304</v>
      </c>
      <c r="C139" s="211" t="s">
        <v>595</v>
      </c>
      <c r="D139" s="211" t="s">
        <v>17</v>
      </c>
      <c r="E139" s="232" t="s">
        <v>515</v>
      </c>
      <c r="F139" s="188" t="s">
        <v>530</v>
      </c>
      <c r="G139" s="211" t="s">
        <v>18</v>
      </c>
      <c r="H139" s="211">
        <v>11</v>
      </c>
      <c r="I139" s="188" t="s">
        <v>531</v>
      </c>
      <c r="J139" s="188" t="s">
        <v>532</v>
      </c>
      <c r="K139" s="209" t="s">
        <v>539</v>
      </c>
      <c r="L139" s="188" t="s">
        <v>518</v>
      </c>
      <c r="M139" s="188" t="s">
        <v>375</v>
      </c>
      <c r="N139" s="188"/>
      <c r="O139" s="188"/>
      <c r="P139" s="188"/>
      <c r="Q139" s="188" t="s">
        <v>19</v>
      </c>
      <c r="R139" s="188" t="s">
        <v>25</v>
      </c>
      <c r="S139" s="234" t="s">
        <v>306</v>
      </c>
      <c r="T139" s="188" t="s">
        <v>19</v>
      </c>
      <c r="U139" s="188" t="s">
        <v>25</v>
      </c>
      <c r="V139" s="234" t="s">
        <v>306</v>
      </c>
      <c r="W139" s="188" t="s">
        <v>19</v>
      </c>
      <c r="X139" s="188" t="s">
        <v>19</v>
      </c>
      <c r="Y139" s="234" t="s">
        <v>19</v>
      </c>
      <c r="Z139" s="188" t="s">
        <v>25</v>
      </c>
      <c r="AA139" s="188" t="s">
        <v>19</v>
      </c>
      <c r="AB139" s="234" t="s">
        <v>306</v>
      </c>
      <c r="AC139" s="235" t="s">
        <v>306</v>
      </c>
      <c r="AD139" s="188" t="s">
        <v>19</v>
      </c>
      <c r="AE139" s="188" t="s">
        <v>19</v>
      </c>
      <c r="AF139" s="234" t="s">
        <v>19</v>
      </c>
      <c r="AG139" s="188" t="s">
        <v>19</v>
      </c>
      <c r="AH139" s="188" t="s">
        <v>19</v>
      </c>
      <c r="AI139" s="234" t="s">
        <v>19</v>
      </c>
      <c r="AJ139" s="188" t="s">
        <v>19</v>
      </c>
      <c r="AK139" s="188" t="s">
        <v>19</v>
      </c>
      <c r="AL139" s="234" t="s">
        <v>19</v>
      </c>
      <c r="AM139" s="188" t="s">
        <v>19</v>
      </c>
      <c r="AN139" s="188" t="s">
        <v>19</v>
      </c>
      <c r="AO139" s="234" t="s">
        <v>19</v>
      </c>
      <c r="AP139" s="235" t="s">
        <v>19</v>
      </c>
      <c r="AQ139" s="188" t="s">
        <v>19</v>
      </c>
      <c r="AR139" s="188" t="s">
        <v>25</v>
      </c>
      <c r="AS139" s="234" t="s">
        <v>306</v>
      </c>
      <c r="AT139" s="188" t="s">
        <v>25</v>
      </c>
      <c r="AU139" s="188" t="s">
        <v>25</v>
      </c>
      <c r="AV139" s="234" t="s">
        <v>25</v>
      </c>
      <c r="AW139" s="188" t="s">
        <v>19</v>
      </c>
      <c r="AX139" s="188" t="s">
        <v>19</v>
      </c>
      <c r="AY139" s="234" t="s">
        <v>19</v>
      </c>
      <c r="AZ139" s="188" t="s">
        <v>306</v>
      </c>
      <c r="BA139" s="188" t="s">
        <v>19</v>
      </c>
      <c r="BB139" s="234" t="s">
        <v>306</v>
      </c>
      <c r="BC139" s="235" t="s">
        <v>306</v>
      </c>
      <c r="BD139" s="188"/>
    </row>
    <row r="140" spans="1:56" ht="12.75" customHeight="1" x14ac:dyDescent="0.25">
      <c r="A140" s="238">
        <v>44797.454920335644</v>
      </c>
      <c r="B140" s="137" t="s">
        <v>304</v>
      </c>
      <c r="C140" s="211" t="s">
        <v>595</v>
      </c>
      <c r="D140" s="211" t="s">
        <v>17</v>
      </c>
      <c r="E140" s="232" t="s">
        <v>515</v>
      </c>
      <c r="F140" s="188" t="s">
        <v>736</v>
      </c>
      <c r="G140" s="211" t="s">
        <v>18</v>
      </c>
      <c r="H140" s="211">
        <v>12</v>
      </c>
      <c r="I140" s="188" t="s">
        <v>531</v>
      </c>
      <c r="J140" s="188" t="s">
        <v>532</v>
      </c>
      <c r="K140" s="209" t="s">
        <v>539</v>
      </c>
      <c r="L140" s="188" t="s">
        <v>518</v>
      </c>
      <c r="M140" s="188" t="s">
        <v>375</v>
      </c>
      <c r="N140" s="188"/>
      <c r="O140" s="188"/>
      <c r="P140" s="188"/>
      <c r="Q140" s="188" t="s">
        <v>25</v>
      </c>
      <c r="R140" s="188" t="s">
        <v>306</v>
      </c>
      <c r="S140" s="234" t="s">
        <v>25</v>
      </c>
      <c r="T140" s="188" t="s">
        <v>306</v>
      </c>
      <c r="U140" s="188" t="s">
        <v>25</v>
      </c>
      <c r="V140" s="234" t="s">
        <v>25</v>
      </c>
      <c r="W140" s="188" t="s">
        <v>25</v>
      </c>
      <c r="X140" s="188" t="s">
        <v>25</v>
      </c>
      <c r="Y140" s="234" t="s">
        <v>25</v>
      </c>
      <c r="Z140" s="188" t="s">
        <v>19</v>
      </c>
      <c r="AA140" s="188" t="s">
        <v>306</v>
      </c>
      <c r="AB140" s="234" t="s">
        <v>306</v>
      </c>
      <c r="AC140" s="235" t="s">
        <v>306</v>
      </c>
      <c r="AD140" s="188" t="s">
        <v>306</v>
      </c>
      <c r="AE140" s="188" t="s">
        <v>25</v>
      </c>
      <c r="AF140" s="234" t="s">
        <v>25</v>
      </c>
      <c r="AG140" s="188" t="s">
        <v>306</v>
      </c>
      <c r="AH140" s="188" t="s">
        <v>306</v>
      </c>
      <c r="AI140" s="234" t="s">
        <v>306</v>
      </c>
      <c r="AJ140" s="188" t="s">
        <v>306</v>
      </c>
      <c r="AK140" s="188" t="s">
        <v>306</v>
      </c>
      <c r="AL140" s="234" t="s">
        <v>306</v>
      </c>
      <c r="AM140" s="188" t="s">
        <v>306</v>
      </c>
      <c r="AN140" s="188" t="s">
        <v>19</v>
      </c>
      <c r="AO140" s="234" t="s">
        <v>306</v>
      </c>
      <c r="AP140" s="235" t="s">
        <v>306</v>
      </c>
      <c r="AQ140" s="188" t="s">
        <v>306</v>
      </c>
      <c r="AR140" s="188" t="s">
        <v>306</v>
      </c>
      <c r="AS140" s="234" t="s">
        <v>306</v>
      </c>
      <c r="AT140" s="188" t="s">
        <v>25</v>
      </c>
      <c r="AU140" s="188" t="s">
        <v>306</v>
      </c>
      <c r="AV140" s="234" t="s">
        <v>25</v>
      </c>
      <c r="AW140" s="188" t="s">
        <v>25</v>
      </c>
      <c r="AX140" s="188" t="s">
        <v>19</v>
      </c>
      <c r="AY140" s="234" t="s">
        <v>306</v>
      </c>
      <c r="AZ140" s="188" t="s">
        <v>306</v>
      </c>
      <c r="BA140" s="188" t="s">
        <v>19</v>
      </c>
      <c r="BB140" s="234" t="s">
        <v>25</v>
      </c>
      <c r="BC140" s="235" t="s">
        <v>306</v>
      </c>
      <c r="BD140" s="188"/>
    </row>
    <row r="141" spans="1:56" ht="12.75" customHeight="1" x14ac:dyDescent="0.25">
      <c r="A141" s="238">
        <v>44797.468627997689</v>
      </c>
      <c r="B141" s="137" t="s">
        <v>304</v>
      </c>
      <c r="C141" s="211" t="s">
        <v>595</v>
      </c>
      <c r="D141" s="211" t="s">
        <v>17</v>
      </c>
      <c r="E141" s="232" t="s">
        <v>515</v>
      </c>
      <c r="F141" s="188" t="s">
        <v>737</v>
      </c>
      <c r="G141" s="211" t="s">
        <v>18</v>
      </c>
      <c r="H141" s="211">
        <v>12</v>
      </c>
      <c r="I141" s="188" t="s">
        <v>531</v>
      </c>
      <c r="J141" s="188" t="s">
        <v>532</v>
      </c>
      <c r="K141" s="209" t="s">
        <v>539</v>
      </c>
      <c r="L141" s="188" t="s">
        <v>518</v>
      </c>
      <c r="M141" s="188" t="s">
        <v>412</v>
      </c>
      <c r="N141" s="188"/>
      <c r="O141" s="188"/>
      <c r="P141" s="188"/>
      <c r="Q141" s="188" t="s">
        <v>25</v>
      </c>
      <c r="R141" s="188" t="s">
        <v>25</v>
      </c>
      <c r="S141" s="234" t="s">
        <v>25</v>
      </c>
      <c r="T141" s="188" t="s">
        <v>306</v>
      </c>
      <c r="U141" s="188" t="s">
        <v>25</v>
      </c>
      <c r="V141" s="234" t="s">
        <v>25</v>
      </c>
      <c r="W141" s="188" t="s">
        <v>25</v>
      </c>
      <c r="X141" s="188" t="s">
        <v>25</v>
      </c>
      <c r="Y141" s="234" t="s">
        <v>25</v>
      </c>
      <c r="Z141" s="188" t="s">
        <v>25</v>
      </c>
      <c r="AA141" s="188" t="s">
        <v>25</v>
      </c>
      <c r="AB141" s="234" t="s">
        <v>25</v>
      </c>
      <c r="AC141" s="235" t="s">
        <v>25</v>
      </c>
      <c r="AD141" s="188" t="s">
        <v>25</v>
      </c>
      <c r="AE141" s="188" t="s">
        <v>25</v>
      </c>
      <c r="AF141" s="234" t="s">
        <v>25</v>
      </c>
      <c r="AG141" s="188" t="s">
        <v>25</v>
      </c>
      <c r="AH141" s="188" t="s">
        <v>306</v>
      </c>
      <c r="AI141" s="234" t="s">
        <v>25</v>
      </c>
      <c r="AJ141" s="188" t="s">
        <v>25</v>
      </c>
      <c r="AK141" s="188" t="s">
        <v>306</v>
      </c>
      <c r="AL141" s="234" t="s">
        <v>25</v>
      </c>
      <c r="AM141" s="188" t="s">
        <v>25</v>
      </c>
      <c r="AN141" s="188" t="s">
        <v>25</v>
      </c>
      <c r="AO141" s="234" t="s">
        <v>25</v>
      </c>
      <c r="AP141" s="235" t="s">
        <v>25</v>
      </c>
      <c r="AQ141" s="188" t="s">
        <v>306</v>
      </c>
      <c r="AR141" s="188" t="s">
        <v>25</v>
      </c>
      <c r="AS141" s="234" t="s">
        <v>25</v>
      </c>
      <c r="AT141" s="188" t="s">
        <v>25</v>
      </c>
      <c r="AU141" s="188" t="s">
        <v>25</v>
      </c>
      <c r="AV141" s="234" t="s">
        <v>25</v>
      </c>
      <c r="AW141" s="188" t="s">
        <v>25</v>
      </c>
      <c r="AX141" s="188" t="s">
        <v>25</v>
      </c>
      <c r="AY141" s="234" t="s">
        <v>25</v>
      </c>
      <c r="AZ141" s="188" t="s">
        <v>25</v>
      </c>
      <c r="BA141" s="188" t="s">
        <v>19</v>
      </c>
      <c r="BB141" s="234" t="s">
        <v>306</v>
      </c>
      <c r="BC141" s="235" t="s">
        <v>306</v>
      </c>
      <c r="BD141" s="188"/>
    </row>
    <row r="142" spans="1:56" ht="12.75" customHeight="1" x14ac:dyDescent="0.25">
      <c r="A142" s="238">
        <v>44797.481711562505</v>
      </c>
      <c r="B142" s="137" t="s">
        <v>304</v>
      </c>
      <c r="C142" s="211" t="s">
        <v>595</v>
      </c>
      <c r="D142" s="211" t="s">
        <v>17</v>
      </c>
      <c r="E142" s="232" t="s">
        <v>515</v>
      </c>
      <c r="F142" s="188" t="s">
        <v>738</v>
      </c>
      <c r="G142" s="211" t="s">
        <v>24</v>
      </c>
      <c r="H142" s="211">
        <v>12</v>
      </c>
      <c r="I142" s="188" t="s">
        <v>531</v>
      </c>
      <c r="J142" s="188" t="s">
        <v>532</v>
      </c>
      <c r="K142" s="209" t="s">
        <v>539</v>
      </c>
      <c r="L142" s="188" t="s">
        <v>518</v>
      </c>
      <c r="M142" s="188" t="s">
        <v>368</v>
      </c>
      <c r="N142" s="188"/>
      <c r="O142" s="188"/>
      <c r="P142" s="188"/>
      <c r="Q142" s="188" t="s">
        <v>25</v>
      </c>
      <c r="R142" s="188" t="s">
        <v>25</v>
      </c>
      <c r="S142" s="234" t="s">
        <v>25</v>
      </c>
      <c r="T142" s="188" t="s">
        <v>306</v>
      </c>
      <c r="U142" s="188" t="s">
        <v>306</v>
      </c>
      <c r="V142" s="234" t="s">
        <v>306</v>
      </c>
      <c r="W142" s="188" t="s">
        <v>306</v>
      </c>
      <c r="X142" s="188" t="s">
        <v>25</v>
      </c>
      <c r="Y142" s="234" t="s">
        <v>25</v>
      </c>
      <c r="Z142" s="188" t="s">
        <v>306</v>
      </c>
      <c r="AA142" s="188" t="s">
        <v>306</v>
      </c>
      <c r="AB142" s="234" t="s">
        <v>306</v>
      </c>
      <c r="AC142" s="235" t="s">
        <v>306</v>
      </c>
      <c r="AD142" s="188" t="s">
        <v>19</v>
      </c>
      <c r="AE142" s="188" t="s">
        <v>25</v>
      </c>
      <c r="AF142" s="234" t="s">
        <v>306</v>
      </c>
      <c r="AG142" s="188" t="s">
        <v>25</v>
      </c>
      <c r="AH142" s="188" t="s">
        <v>306</v>
      </c>
      <c r="AI142" s="234" t="s">
        <v>25</v>
      </c>
      <c r="AJ142" s="188" t="s">
        <v>25</v>
      </c>
      <c r="AK142" s="188" t="s">
        <v>306</v>
      </c>
      <c r="AL142" s="234" t="s">
        <v>25</v>
      </c>
      <c r="AM142" s="188" t="s">
        <v>19</v>
      </c>
      <c r="AN142" s="188" t="s">
        <v>19</v>
      </c>
      <c r="AO142" s="234" t="s">
        <v>19</v>
      </c>
      <c r="AP142" s="235" t="s">
        <v>306</v>
      </c>
      <c r="AQ142" s="188" t="s">
        <v>306</v>
      </c>
      <c r="AR142" s="188" t="s">
        <v>25</v>
      </c>
      <c r="AS142" s="234" t="s">
        <v>25</v>
      </c>
      <c r="AT142" s="188" t="s">
        <v>25</v>
      </c>
      <c r="AU142" s="188" t="s">
        <v>25</v>
      </c>
      <c r="AV142" s="234" t="s">
        <v>25</v>
      </c>
      <c r="AW142" s="188" t="s">
        <v>306</v>
      </c>
      <c r="AX142" s="188" t="s">
        <v>25</v>
      </c>
      <c r="AY142" s="234" t="s">
        <v>25</v>
      </c>
      <c r="AZ142" s="188" t="s">
        <v>25</v>
      </c>
      <c r="BA142" s="188" t="s">
        <v>19</v>
      </c>
      <c r="BB142" s="234" t="s">
        <v>25</v>
      </c>
      <c r="BC142" s="235" t="s">
        <v>25</v>
      </c>
      <c r="BD142" s="188"/>
    </row>
    <row r="143" spans="1:56" ht="12.75" customHeight="1" x14ac:dyDescent="0.25">
      <c r="A143" s="238">
        <v>44797.48447826389</v>
      </c>
      <c r="B143" s="137" t="s">
        <v>304</v>
      </c>
      <c r="C143" s="211" t="s">
        <v>595</v>
      </c>
      <c r="D143" s="211" t="s">
        <v>17</v>
      </c>
      <c r="E143" s="232" t="s">
        <v>515</v>
      </c>
      <c r="F143" s="188" t="s">
        <v>739</v>
      </c>
      <c r="G143" s="211" t="s">
        <v>24</v>
      </c>
      <c r="H143" s="211">
        <v>11</v>
      </c>
      <c r="I143" s="188" t="s">
        <v>531</v>
      </c>
      <c r="J143" s="188" t="s">
        <v>532</v>
      </c>
      <c r="K143" s="209" t="s">
        <v>539</v>
      </c>
      <c r="L143" s="188" t="s">
        <v>518</v>
      </c>
      <c r="M143" s="188" t="s">
        <v>389</v>
      </c>
      <c r="N143" s="188"/>
      <c r="O143" s="188"/>
      <c r="P143" s="188"/>
      <c r="Q143" s="188" t="s">
        <v>25</v>
      </c>
      <c r="R143" s="188" t="s">
        <v>306</v>
      </c>
      <c r="S143" s="234" t="s">
        <v>25</v>
      </c>
      <c r="T143" s="188" t="s">
        <v>19</v>
      </c>
      <c r="U143" s="188" t="s">
        <v>306</v>
      </c>
      <c r="V143" s="234" t="s">
        <v>306</v>
      </c>
      <c r="W143" s="188" t="s">
        <v>19</v>
      </c>
      <c r="X143" s="188" t="s">
        <v>19</v>
      </c>
      <c r="Y143" s="234" t="s">
        <v>19</v>
      </c>
      <c r="Z143" s="188" t="s">
        <v>19</v>
      </c>
      <c r="AA143" s="188" t="s">
        <v>19</v>
      </c>
      <c r="AB143" s="234" t="s">
        <v>19</v>
      </c>
      <c r="AC143" s="235" t="s">
        <v>306</v>
      </c>
      <c r="AD143" s="188" t="s">
        <v>19</v>
      </c>
      <c r="AE143" s="188" t="s">
        <v>19</v>
      </c>
      <c r="AF143" s="234" t="s">
        <v>19</v>
      </c>
      <c r="AG143" s="188" t="s">
        <v>306</v>
      </c>
      <c r="AH143" s="188" t="s">
        <v>19</v>
      </c>
      <c r="AI143" s="234" t="s">
        <v>306</v>
      </c>
      <c r="AJ143" s="188" t="s">
        <v>19</v>
      </c>
      <c r="AK143" s="188" t="s">
        <v>19</v>
      </c>
      <c r="AL143" s="234" t="s">
        <v>19</v>
      </c>
      <c r="AM143" s="188" t="s">
        <v>19</v>
      </c>
      <c r="AN143" s="188" t="s">
        <v>19</v>
      </c>
      <c r="AO143" s="234" t="s">
        <v>19</v>
      </c>
      <c r="AP143" s="235" t="s">
        <v>19</v>
      </c>
      <c r="AQ143" s="188" t="s">
        <v>19</v>
      </c>
      <c r="AR143" s="188" t="s">
        <v>19</v>
      </c>
      <c r="AS143" s="234" t="s">
        <v>19</v>
      </c>
      <c r="AT143" s="188" t="s">
        <v>19</v>
      </c>
      <c r="AU143" s="188" t="s">
        <v>306</v>
      </c>
      <c r="AV143" s="234" t="s">
        <v>306</v>
      </c>
      <c r="AW143" s="188" t="s">
        <v>306</v>
      </c>
      <c r="AX143" s="188" t="s">
        <v>19</v>
      </c>
      <c r="AY143" s="234" t="s">
        <v>306</v>
      </c>
      <c r="AZ143" s="188" t="s">
        <v>25</v>
      </c>
      <c r="BA143" s="188" t="s">
        <v>25</v>
      </c>
      <c r="BB143" s="234" t="s">
        <v>25</v>
      </c>
      <c r="BC143" s="235" t="s">
        <v>306</v>
      </c>
      <c r="BD143" s="188"/>
    </row>
    <row r="144" spans="1:56" ht="12.75" customHeight="1" x14ac:dyDescent="0.25">
      <c r="A144" s="238">
        <v>44797.488791828699</v>
      </c>
      <c r="B144" s="137" t="s">
        <v>304</v>
      </c>
      <c r="C144" s="211" t="s">
        <v>595</v>
      </c>
      <c r="D144" s="211" t="s">
        <v>17</v>
      </c>
      <c r="E144" s="232" t="s">
        <v>515</v>
      </c>
      <c r="F144" s="188" t="s">
        <v>533</v>
      </c>
      <c r="G144" s="211" t="s">
        <v>18</v>
      </c>
      <c r="H144" s="211">
        <v>11</v>
      </c>
      <c r="I144" s="188" t="s">
        <v>531</v>
      </c>
      <c r="J144" s="188" t="s">
        <v>532</v>
      </c>
      <c r="K144" s="209" t="s">
        <v>539</v>
      </c>
      <c r="L144" s="188" t="s">
        <v>518</v>
      </c>
      <c r="M144" s="188" t="s">
        <v>389</v>
      </c>
      <c r="N144" s="188"/>
      <c r="O144" s="188"/>
      <c r="P144" s="188"/>
      <c r="Q144" s="188" t="s">
        <v>306</v>
      </c>
      <c r="R144" s="188" t="s">
        <v>306</v>
      </c>
      <c r="S144" s="234" t="s">
        <v>306</v>
      </c>
      <c r="T144" s="188" t="s">
        <v>19</v>
      </c>
      <c r="U144" s="188" t="s">
        <v>306</v>
      </c>
      <c r="V144" s="234" t="s">
        <v>306</v>
      </c>
      <c r="W144" s="188" t="s">
        <v>19</v>
      </c>
      <c r="X144" s="188" t="s">
        <v>306</v>
      </c>
      <c r="Y144" s="234" t="s">
        <v>306</v>
      </c>
      <c r="Z144" s="188" t="s">
        <v>19</v>
      </c>
      <c r="AA144" s="188" t="s">
        <v>19</v>
      </c>
      <c r="AB144" s="234" t="s">
        <v>19</v>
      </c>
      <c r="AC144" s="235" t="s">
        <v>306</v>
      </c>
      <c r="AD144" s="188" t="s">
        <v>19</v>
      </c>
      <c r="AE144" s="188" t="s">
        <v>19</v>
      </c>
      <c r="AF144" s="234" t="s">
        <v>19</v>
      </c>
      <c r="AG144" s="188" t="s">
        <v>306</v>
      </c>
      <c r="AH144" s="188" t="s">
        <v>19</v>
      </c>
      <c r="AI144" s="234" t="s">
        <v>306</v>
      </c>
      <c r="AJ144" s="188" t="s">
        <v>19</v>
      </c>
      <c r="AK144" s="188" t="s">
        <v>19</v>
      </c>
      <c r="AL144" s="234" t="s">
        <v>19</v>
      </c>
      <c r="AM144" s="188" t="s">
        <v>19</v>
      </c>
      <c r="AN144" s="188" t="s">
        <v>19</v>
      </c>
      <c r="AO144" s="234" t="s">
        <v>19</v>
      </c>
      <c r="AP144" s="235" t="s">
        <v>19</v>
      </c>
      <c r="AQ144" s="188" t="s">
        <v>19</v>
      </c>
      <c r="AR144" s="188" t="s">
        <v>19</v>
      </c>
      <c r="AS144" s="234" t="s">
        <v>19</v>
      </c>
      <c r="AT144" s="188" t="s">
        <v>306</v>
      </c>
      <c r="AU144" s="188" t="s">
        <v>306</v>
      </c>
      <c r="AV144" s="234" t="s">
        <v>306</v>
      </c>
      <c r="AW144" s="188" t="s">
        <v>19</v>
      </c>
      <c r="AX144" s="188" t="s">
        <v>19</v>
      </c>
      <c r="AY144" s="234" t="s">
        <v>19</v>
      </c>
      <c r="AZ144" s="188" t="s">
        <v>25</v>
      </c>
      <c r="BA144" s="188" t="s">
        <v>19</v>
      </c>
      <c r="BB144" s="234" t="s">
        <v>306</v>
      </c>
      <c r="BC144" s="235" t="s">
        <v>25</v>
      </c>
      <c r="BD144" s="188"/>
    </row>
    <row r="145" spans="1:56" ht="12.75" customHeight="1" x14ac:dyDescent="0.25">
      <c r="A145" s="238">
        <v>44797.491312465281</v>
      </c>
      <c r="B145" s="137" t="s">
        <v>304</v>
      </c>
      <c r="C145" s="211" t="s">
        <v>595</v>
      </c>
      <c r="D145" s="211" t="s">
        <v>17</v>
      </c>
      <c r="E145" s="232" t="s">
        <v>515</v>
      </c>
      <c r="F145" s="188" t="s">
        <v>740</v>
      </c>
      <c r="G145" s="211" t="s">
        <v>24</v>
      </c>
      <c r="H145" s="211">
        <v>12</v>
      </c>
      <c r="I145" s="188" t="s">
        <v>531</v>
      </c>
      <c r="J145" s="188" t="s">
        <v>532</v>
      </c>
      <c r="K145" s="209" t="s">
        <v>539</v>
      </c>
      <c r="L145" s="188" t="s">
        <v>518</v>
      </c>
      <c r="M145" s="188" t="s">
        <v>389</v>
      </c>
      <c r="N145" s="188"/>
      <c r="O145" s="188"/>
      <c r="P145" s="188"/>
      <c r="Q145" s="188" t="s">
        <v>25</v>
      </c>
      <c r="R145" s="188" t="s">
        <v>306</v>
      </c>
      <c r="S145" s="234" t="s">
        <v>25</v>
      </c>
      <c r="T145" s="188" t="s">
        <v>19</v>
      </c>
      <c r="U145" s="188" t="s">
        <v>25</v>
      </c>
      <c r="V145" s="234" t="s">
        <v>306</v>
      </c>
      <c r="W145" s="188" t="s">
        <v>19</v>
      </c>
      <c r="X145" s="188" t="s">
        <v>19</v>
      </c>
      <c r="Y145" s="234" t="s">
        <v>19</v>
      </c>
      <c r="Z145" s="188" t="s">
        <v>19</v>
      </c>
      <c r="AA145" s="188" t="s">
        <v>19</v>
      </c>
      <c r="AB145" s="234" t="s">
        <v>19</v>
      </c>
      <c r="AC145" s="235" t="s">
        <v>306</v>
      </c>
      <c r="AD145" s="188" t="s">
        <v>19</v>
      </c>
      <c r="AE145" s="188" t="s">
        <v>19</v>
      </c>
      <c r="AF145" s="234" t="s">
        <v>19</v>
      </c>
      <c r="AG145" s="188" t="s">
        <v>19</v>
      </c>
      <c r="AH145" s="188" t="s">
        <v>19</v>
      </c>
      <c r="AI145" s="234" t="s">
        <v>19</v>
      </c>
      <c r="AJ145" s="188" t="s">
        <v>19</v>
      </c>
      <c r="AK145" s="188" t="s">
        <v>19</v>
      </c>
      <c r="AL145" s="234" t="s">
        <v>19</v>
      </c>
      <c r="AM145" s="188" t="s">
        <v>19</v>
      </c>
      <c r="AN145" s="188" t="s">
        <v>19</v>
      </c>
      <c r="AO145" s="234" t="s">
        <v>19</v>
      </c>
      <c r="AP145" s="235" t="s">
        <v>19</v>
      </c>
      <c r="AQ145" s="188" t="s">
        <v>19</v>
      </c>
      <c r="AR145" s="188" t="s">
        <v>19</v>
      </c>
      <c r="AS145" s="234" t="s">
        <v>19</v>
      </c>
      <c r="AT145" s="188" t="s">
        <v>306</v>
      </c>
      <c r="AU145" s="188" t="s">
        <v>306</v>
      </c>
      <c r="AV145" s="234" t="s">
        <v>306</v>
      </c>
      <c r="AW145" s="188" t="s">
        <v>25</v>
      </c>
      <c r="AX145" s="188" t="s">
        <v>19</v>
      </c>
      <c r="AY145" s="234" t="s">
        <v>306</v>
      </c>
      <c r="AZ145" s="188" t="s">
        <v>25</v>
      </c>
      <c r="BA145" s="188" t="s">
        <v>25</v>
      </c>
      <c r="BB145" s="234" t="s">
        <v>25</v>
      </c>
      <c r="BC145" s="235" t="s">
        <v>306</v>
      </c>
      <c r="BD145" s="188"/>
    </row>
    <row r="146" spans="1:56" ht="12.75" customHeight="1" x14ac:dyDescent="0.25">
      <c r="A146" s="238">
        <v>44797.614331238423</v>
      </c>
      <c r="B146" s="137" t="s">
        <v>304</v>
      </c>
      <c r="C146" s="211" t="s">
        <v>595</v>
      </c>
      <c r="D146" s="211" t="s">
        <v>17</v>
      </c>
      <c r="E146" s="232" t="s">
        <v>515</v>
      </c>
      <c r="F146" s="188" t="s">
        <v>741</v>
      </c>
      <c r="G146" s="211" t="s">
        <v>24</v>
      </c>
      <c r="H146" s="211">
        <v>12</v>
      </c>
      <c r="I146" s="188" t="s">
        <v>531</v>
      </c>
      <c r="J146" s="188" t="s">
        <v>532</v>
      </c>
      <c r="K146" s="209" t="s">
        <v>539</v>
      </c>
      <c r="L146" s="188" t="s">
        <v>518</v>
      </c>
      <c r="M146" s="188" t="s">
        <v>389</v>
      </c>
      <c r="N146" s="188"/>
      <c r="O146" s="188"/>
      <c r="P146" s="188"/>
      <c r="Q146" s="188" t="s">
        <v>25</v>
      </c>
      <c r="R146" s="188" t="s">
        <v>306</v>
      </c>
      <c r="S146" s="234" t="s">
        <v>25</v>
      </c>
      <c r="T146" s="188" t="s">
        <v>19</v>
      </c>
      <c r="U146" s="188" t="s">
        <v>25</v>
      </c>
      <c r="V146" s="234" t="s">
        <v>306</v>
      </c>
      <c r="W146" s="188" t="s">
        <v>19</v>
      </c>
      <c r="X146" s="188" t="s">
        <v>306</v>
      </c>
      <c r="Y146" s="234" t="s">
        <v>306</v>
      </c>
      <c r="Z146" s="188" t="s">
        <v>19</v>
      </c>
      <c r="AA146" s="188" t="s">
        <v>306</v>
      </c>
      <c r="AB146" s="234" t="s">
        <v>306</v>
      </c>
      <c r="AC146" s="235" t="s">
        <v>306</v>
      </c>
      <c r="AD146" s="188" t="s">
        <v>19</v>
      </c>
      <c r="AE146" s="188" t="s">
        <v>19</v>
      </c>
      <c r="AF146" s="234" t="s">
        <v>19</v>
      </c>
      <c r="AG146" s="188" t="s">
        <v>306</v>
      </c>
      <c r="AH146" s="188" t="s">
        <v>19</v>
      </c>
      <c r="AI146" s="234" t="s">
        <v>306</v>
      </c>
      <c r="AJ146" s="188" t="s">
        <v>19</v>
      </c>
      <c r="AK146" s="188" t="s">
        <v>19</v>
      </c>
      <c r="AL146" s="234" t="s">
        <v>19</v>
      </c>
      <c r="AM146" s="188" t="s">
        <v>19</v>
      </c>
      <c r="AN146" s="188" t="s">
        <v>19</v>
      </c>
      <c r="AO146" s="234" t="s">
        <v>19</v>
      </c>
      <c r="AP146" s="235" t="s">
        <v>19</v>
      </c>
      <c r="AQ146" s="188" t="s">
        <v>306</v>
      </c>
      <c r="AR146" s="188" t="s">
        <v>19</v>
      </c>
      <c r="AS146" s="234" t="s">
        <v>306</v>
      </c>
      <c r="AT146" s="188" t="s">
        <v>306</v>
      </c>
      <c r="AU146" s="188" t="s">
        <v>306</v>
      </c>
      <c r="AV146" s="234" t="s">
        <v>306</v>
      </c>
      <c r="AW146" s="188" t="s">
        <v>306</v>
      </c>
      <c r="AX146" s="188" t="s">
        <v>19</v>
      </c>
      <c r="AY146" s="234" t="s">
        <v>306</v>
      </c>
      <c r="AZ146" s="188" t="s">
        <v>25</v>
      </c>
      <c r="BA146" s="188" t="s">
        <v>306</v>
      </c>
      <c r="BB146" s="234" t="s">
        <v>306</v>
      </c>
      <c r="BC146" s="235" t="s">
        <v>306</v>
      </c>
      <c r="BD146" s="188"/>
    </row>
    <row r="147" spans="1:56" ht="12.75" customHeight="1" x14ac:dyDescent="0.25">
      <c r="A147" s="238">
        <v>44797.61615155093</v>
      </c>
      <c r="B147" s="137" t="s">
        <v>304</v>
      </c>
      <c r="C147" s="211" t="s">
        <v>595</v>
      </c>
      <c r="D147" s="211" t="s">
        <v>17</v>
      </c>
      <c r="E147" s="232" t="s">
        <v>515</v>
      </c>
      <c r="F147" s="188" t="s">
        <v>742</v>
      </c>
      <c r="G147" s="211" t="s">
        <v>24</v>
      </c>
      <c r="H147" s="211">
        <v>11</v>
      </c>
      <c r="I147" s="188" t="s">
        <v>531</v>
      </c>
      <c r="J147" s="188" t="s">
        <v>532</v>
      </c>
      <c r="K147" s="209" t="s">
        <v>539</v>
      </c>
      <c r="L147" s="188" t="s">
        <v>518</v>
      </c>
      <c r="M147" s="188" t="s">
        <v>389</v>
      </c>
      <c r="N147" s="188"/>
      <c r="O147" s="188"/>
      <c r="P147" s="188"/>
      <c r="Q147" s="188" t="s">
        <v>25</v>
      </c>
      <c r="R147" s="188" t="s">
        <v>306</v>
      </c>
      <c r="S147" s="234" t="s">
        <v>25</v>
      </c>
      <c r="T147" s="188" t="s">
        <v>19</v>
      </c>
      <c r="U147" s="188" t="s">
        <v>25</v>
      </c>
      <c r="V147" s="234" t="s">
        <v>306</v>
      </c>
      <c r="W147" s="188" t="s">
        <v>19</v>
      </c>
      <c r="X147" s="188" t="s">
        <v>306</v>
      </c>
      <c r="Y147" s="234" t="s">
        <v>306</v>
      </c>
      <c r="Z147" s="188" t="s">
        <v>19</v>
      </c>
      <c r="AA147" s="188" t="s">
        <v>306</v>
      </c>
      <c r="AB147" s="234" t="s">
        <v>306</v>
      </c>
      <c r="AC147" s="235" t="s">
        <v>306</v>
      </c>
      <c r="AD147" s="188" t="s">
        <v>19</v>
      </c>
      <c r="AE147" s="188" t="s">
        <v>19</v>
      </c>
      <c r="AF147" s="234" t="s">
        <v>19</v>
      </c>
      <c r="AG147" s="188" t="s">
        <v>306</v>
      </c>
      <c r="AH147" s="188" t="s">
        <v>19</v>
      </c>
      <c r="AI147" s="234" t="s">
        <v>306</v>
      </c>
      <c r="AJ147" s="188" t="s">
        <v>19</v>
      </c>
      <c r="AK147" s="188" t="s">
        <v>19</v>
      </c>
      <c r="AL147" s="234" t="s">
        <v>19</v>
      </c>
      <c r="AM147" s="188" t="s">
        <v>19</v>
      </c>
      <c r="AN147" s="188" t="s">
        <v>19</v>
      </c>
      <c r="AO147" s="234" t="s">
        <v>19</v>
      </c>
      <c r="AP147" s="235" t="s">
        <v>19</v>
      </c>
      <c r="AQ147" s="188" t="s">
        <v>306</v>
      </c>
      <c r="AR147" s="188" t="s">
        <v>19</v>
      </c>
      <c r="AS147" s="234" t="s">
        <v>306</v>
      </c>
      <c r="AT147" s="188" t="s">
        <v>25</v>
      </c>
      <c r="AU147" s="188" t="s">
        <v>25</v>
      </c>
      <c r="AV147" s="234" t="s">
        <v>25</v>
      </c>
      <c r="AW147" s="188" t="s">
        <v>306</v>
      </c>
      <c r="AX147" s="188" t="s">
        <v>19</v>
      </c>
      <c r="AY147" s="234" t="s">
        <v>306</v>
      </c>
      <c r="AZ147" s="188" t="s">
        <v>25</v>
      </c>
      <c r="BA147" s="188" t="s">
        <v>19</v>
      </c>
      <c r="BB147" s="234" t="s">
        <v>25</v>
      </c>
      <c r="BC147" s="235" t="s">
        <v>25</v>
      </c>
      <c r="BD147" s="188"/>
    </row>
    <row r="148" spans="1:56" ht="12.75" customHeight="1" x14ac:dyDescent="0.25">
      <c r="A148" s="238">
        <v>44797.61925423611</v>
      </c>
      <c r="B148" s="137" t="s">
        <v>304</v>
      </c>
      <c r="C148" s="211" t="s">
        <v>595</v>
      </c>
      <c r="D148" s="211" t="s">
        <v>17</v>
      </c>
      <c r="E148" s="232" t="s">
        <v>515</v>
      </c>
      <c r="F148" s="188" t="s">
        <v>743</v>
      </c>
      <c r="G148" s="211" t="s">
        <v>18</v>
      </c>
      <c r="H148" s="211">
        <v>11</v>
      </c>
      <c r="I148" s="188" t="s">
        <v>531</v>
      </c>
      <c r="J148" s="188" t="s">
        <v>532</v>
      </c>
      <c r="K148" s="209" t="s">
        <v>539</v>
      </c>
      <c r="L148" s="188" t="s">
        <v>518</v>
      </c>
      <c r="M148" s="188" t="s">
        <v>401</v>
      </c>
      <c r="N148" s="188"/>
      <c r="O148" s="188"/>
      <c r="P148" s="188"/>
      <c r="Q148" s="188" t="s">
        <v>25</v>
      </c>
      <c r="R148" s="188" t="s">
        <v>25</v>
      </c>
      <c r="S148" s="234" t="s">
        <v>25</v>
      </c>
      <c r="T148" s="188" t="s">
        <v>19</v>
      </c>
      <c r="U148" s="188" t="s">
        <v>25</v>
      </c>
      <c r="V148" s="234" t="s">
        <v>306</v>
      </c>
      <c r="W148" s="188" t="s">
        <v>25</v>
      </c>
      <c r="X148" s="188" t="s">
        <v>19</v>
      </c>
      <c r="Y148" s="234" t="s">
        <v>306</v>
      </c>
      <c r="Z148" s="188" t="s">
        <v>25</v>
      </c>
      <c r="AA148" s="188" t="s">
        <v>19</v>
      </c>
      <c r="AB148" s="234" t="s">
        <v>306</v>
      </c>
      <c r="AC148" s="235" t="s">
        <v>306</v>
      </c>
      <c r="AD148" s="188" t="s">
        <v>19</v>
      </c>
      <c r="AE148" s="188" t="s">
        <v>19</v>
      </c>
      <c r="AF148" s="234" t="s">
        <v>19</v>
      </c>
      <c r="AG148" s="188" t="s">
        <v>25</v>
      </c>
      <c r="AH148" s="188" t="s">
        <v>306</v>
      </c>
      <c r="AI148" s="234" t="s">
        <v>25</v>
      </c>
      <c r="AJ148" s="188" t="s">
        <v>19</v>
      </c>
      <c r="AK148" s="188" t="s">
        <v>306</v>
      </c>
      <c r="AL148" s="234" t="s">
        <v>306</v>
      </c>
      <c r="AM148" s="188" t="s">
        <v>19</v>
      </c>
      <c r="AN148" s="188" t="s">
        <v>306</v>
      </c>
      <c r="AO148" s="234" t="s">
        <v>306</v>
      </c>
      <c r="AP148" s="235" t="s">
        <v>306</v>
      </c>
      <c r="AQ148" s="188" t="s">
        <v>25</v>
      </c>
      <c r="AR148" s="188" t="s">
        <v>25</v>
      </c>
      <c r="AS148" s="234" t="s">
        <v>25</v>
      </c>
      <c r="AT148" s="188" t="s">
        <v>25</v>
      </c>
      <c r="AU148" s="188" t="s">
        <v>25</v>
      </c>
      <c r="AV148" s="234" t="s">
        <v>25</v>
      </c>
      <c r="AW148" s="188" t="s">
        <v>306</v>
      </c>
      <c r="AX148" s="188" t="s">
        <v>25</v>
      </c>
      <c r="AY148" s="234" t="s">
        <v>25</v>
      </c>
      <c r="AZ148" s="188" t="s">
        <v>25</v>
      </c>
      <c r="BA148" s="188" t="s">
        <v>25</v>
      </c>
      <c r="BB148" s="234" t="s">
        <v>306</v>
      </c>
      <c r="BC148" s="235" t="s">
        <v>25</v>
      </c>
      <c r="BD148" s="188"/>
    </row>
    <row r="149" spans="1:56" ht="12.75" customHeight="1" x14ac:dyDescent="0.25">
      <c r="A149" s="238">
        <v>44797.628894363428</v>
      </c>
      <c r="B149" s="137" t="s">
        <v>304</v>
      </c>
      <c r="C149" s="211" t="s">
        <v>595</v>
      </c>
      <c r="D149" s="211" t="s">
        <v>17</v>
      </c>
      <c r="E149" s="232" t="s">
        <v>515</v>
      </c>
      <c r="F149" s="188" t="s">
        <v>744</v>
      </c>
      <c r="G149" s="211" t="s">
        <v>18</v>
      </c>
      <c r="H149" s="211">
        <v>12</v>
      </c>
      <c r="I149" s="188" t="s">
        <v>531</v>
      </c>
      <c r="J149" s="188" t="s">
        <v>532</v>
      </c>
      <c r="K149" s="209" t="s">
        <v>539</v>
      </c>
      <c r="L149" s="188" t="s">
        <v>518</v>
      </c>
      <c r="M149" s="188" t="s">
        <v>375</v>
      </c>
      <c r="N149" s="188"/>
      <c r="O149" s="188"/>
      <c r="P149" s="188"/>
      <c r="Q149" s="188" t="s">
        <v>25</v>
      </c>
      <c r="R149" s="188" t="s">
        <v>25</v>
      </c>
      <c r="S149" s="234" t="s">
        <v>25</v>
      </c>
      <c r="T149" s="188" t="s">
        <v>306</v>
      </c>
      <c r="U149" s="188" t="s">
        <v>25</v>
      </c>
      <c r="V149" s="234" t="s">
        <v>25</v>
      </c>
      <c r="W149" s="188" t="s">
        <v>19</v>
      </c>
      <c r="X149" s="188" t="s">
        <v>19</v>
      </c>
      <c r="Y149" s="234" t="s">
        <v>19</v>
      </c>
      <c r="Z149" s="188" t="s">
        <v>306</v>
      </c>
      <c r="AA149" s="188" t="s">
        <v>19</v>
      </c>
      <c r="AB149" s="234" t="s">
        <v>306</v>
      </c>
      <c r="AC149" s="235" t="s">
        <v>306</v>
      </c>
      <c r="AD149" s="188" t="s">
        <v>19</v>
      </c>
      <c r="AE149" s="188" t="s">
        <v>25</v>
      </c>
      <c r="AF149" s="234" t="s">
        <v>306</v>
      </c>
      <c r="AG149" s="188" t="s">
        <v>25</v>
      </c>
      <c r="AH149" s="188" t="s">
        <v>19</v>
      </c>
      <c r="AI149" s="234" t="s">
        <v>306</v>
      </c>
      <c r="AJ149" s="188" t="s">
        <v>25</v>
      </c>
      <c r="AK149" s="188" t="s">
        <v>19</v>
      </c>
      <c r="AL149" s="234" t="s">
        <v>306</v>
      </c>
      <c r="AM149" s="188" t="s">
        <v>19</v>
      </c>
      <c r="AN149" s="188" t="s">
        <v>19</v>
      </c>
      <c r="AO149" s="234" t="s">
        <v>19</v>
      </c>
      <c r="AP149" s="235" t="s">
        <v>306</v>
      </c>
      <c r="AQ149" s="188" t="s">
        <v>25</v>
      </c>
      <c r="AR149" s="188" t="s">
        <v>25</v>
      </c>
      <c r="AS149" s="234" t="s">
        <v>25</v>
      </c>
      <c r="AT149" s="188" t="s">
        <v>25</v>
      </c>
      <c r="AU149" s="188" t="s">
        <v>25</v>
      </c>
      <c r="AV149" s="234" t="s">
        <v>25</v>
      </c>
      <c r="AW149" s="188" t="s">
        <v>19</v>
      </c>
      <c r="AX149" s="188" t="s">
        <v>19</v>
      </c>
      <c r="AY149" s="234" t="s">
        <v>19</v>
      </c>
      <c r="AZ149" s="188" t="s">
        <v>25</v>
      </c>
      <c r="BA149" s="188" t="s">
        <v>25</v>
      </c>
      <c r="BB149" s="234" t="s">
        <v>25</v>
      </c>
      <c r="BC149" s="235" t="s">
        <v>306</v>
      </c>
      <c r="BD149" s="188"/>
    </row>
    <row r="150" spans="1:56" ht="12.75" customHeight="1" x14ac:dyDescent="0.25">
      <c r="A150" s="238">
        <v>44797.632341377313</v>
      </c>
      <c r="B150" s="137" t="s">
        <v>304</v>
      </c>
      <c r="C150" s="211" t="s">
        <v>595</v>
      </c>
      <c r="D150" s="211" t="s">
        <v>17</v>
      </c>
      <c r="E150" s="232" t="s">
        <v>515</v>
      </c>
      <c r="F150" s="188" t="s">
        <v>745</v>
      </c>
      <c r="G150" s="211" t="s">
        <v>24</v>
      </c>
      <c r="H150" s="211">
        <v>12</v>
      </c>
      <c r="I150" s="188" t="s">
        <v>531</v>
      </c>
      <c r="J150" s="188" t="s">
        <v>532</v>
      </c>
      <c r="K150" s="209" t="s">
        <v>539</v>
      </c>
      <c r="L150" s="188" t="s">
        <v>518</v>
      </c>
      <c r="M150" s="188" t="s">
        <v>368</v>
      </c>
      <c r="N150" s="188"/>
      <c r="O150" s="188"/>
      <c r="P150" s="188"/>
      <c r="Q150" s="188" t="s">
        <v>25</v>
      </c>
      <c r="R150" s="188" t="s">
        <v>25</v>
      </c>
      <c r="S150" s="234" t="s">
        <v>25</v>
      </c>
      <c r="T150" s="188" t="s">
        <v>306</v>
      </c>
      <c r="U150" s="188" t="s">
        <v>25</v>
      </c>
      <c r="V150" s="234" t="s">
        <v>25</v>
      </c>
      <c r="W150" s="188" t="s">
        <v>306</v>
      </c>
      <c r="X150" s="188" t="s">
        <v>19</v>
      </c>
      <c r="Y150" s="234" t="s">
        <v>306</v>
      </c>
      <c r="Z150" s="188" t="s">
        <v>306</v>
      </c>
      <c r="AA150" s="188" t="s">
        <v>306</v>
      </c>
      <c r="AB150" s="234" t="s">
        <v>306</v>
      </c>
      <c r="AC150" s="235" t="s">
        <v>306</v>
      </c>
      <c r="AD150" s="188" t="s">
        <v>306</v>
      </c>
      <c r="AE150" s="188" t="s">
        <v>19</v>
      </c>
      <c r="AF150" s="234" t="s">
        <v>306</v>
      </c>
      <c r="AG150" s="188" t="s">
        <v>306</v>
      </c>
      <c r="AH150" s="188" t="s">
        <v>19</v>
      </c>
      <c r="AI150" s="234" t="s">
        <v>306</v>
      </c>
      <c r="AJ150" s="188" t="s">
        <v>19</v>
      </c>
      <c r="AK150" s="188" t="s">
        <v>19</v>
      </c>
      <c r="AL150" s="234" t="s">
        <v>19</v>
      </c>
      <c r="AM150" s="188" t="s">
        <v>19</v>
      </c>
      <c r="AN150" s="188" t="s">
        <v>19</v>
      </c>
      <c r="AO150" s="234" t="s">
        <v>19</v>
      </c>
      <c r="AP150" s="235" t="s">
        <v>19</v>
      </c>
      <c r="AQ150" s="188" t="s">
        <v>25</v>
      </c>
      <c r="AR150" s="188" t="s">
        <v>306</v>
      </c>
      <c r="AS150" s="234" t="s">
        <v>25</v>
      </c>
      <c r="AT150" s="188" t="s">
        <v>25</v>
      </c>
      <c r="AU150" s="188" t="s">
        <v>306</v>
      </c>
      <c r="AV150" s="234" t="s">
        <v>25</v>
      </c>
      <c r="AW150" s="188" t="s">
        <v>306</v>
      </c>
      <c r="AX150" s="188" t="s">
        <v>306</v>
      </c>
      <c r="AY150" s="234" t="s">
        <v>306</v>
      </c>
      <c r="AZ150" s="188" t="s">
        <v>25</v>
      </c>
      <c r="BA150" s="188" t="s">
        <v>25</v>
      </c>
      <c r="BB150" s="234" t="s">
        <v>25</v>
      </c>
      <c r="BC150" s="235" t="s">
        <v>306</v>
      </c>
      <c r="BD150" s="188"/>
    </row>
    <row r="151" spans="1:56" ht="12.75" customHeight="1" x14ac:dyDescent="0.25">
      <c r="A151" s="238">
        <v>44797.634608553242</v>
      </c>
      <c r="B151" s="137" t="s">
        <v>304</v>
      </c>
      <c r="C151" s="211" t="s">
        <v>595</v>
      </c>
      <c r="D151" s="211" t="s">
        <v>17</v>
      </c>
      <c r="E151" s="232" t="s">
        <v>515</v>
      </c>
      <c r="F151" s="188" t="s">
        <v>746</v>
      </c>
      <c r="G151" s="211" t="s">
        <v>18</v>
      </c>
      <c r="H151" s="211">
        <v>12</v>
      </c>
      <c r="I151" s="188" t="s">
        <v>531</v>
      </c>
      <c r="J151" s="188" t="s">
        <v>532</v>
      </c>
      <c r="K151" s="209" t="s">
        <v>539</v>
      </c>
      <c r="L151" s="188" t="s">
        <v>518</v>
      </c>
      <c r="M151" s="188" t="s">
        <v>401</v>
      </c>
      <c r="N151" s="188"/>
      <c r="O151" s="188"/>
      <c r="P151" s="188"/>
      <c r="Q151" s="188" t="s">
        <v>25</v>
      </c>
      <c r="R151" s="188" t="s">
        <v>25</v>
      </c>
      <c r="S151" s="234" t="s">
        <v>25</v>
      </c>
      <c r="T151" s="188" t="s">
        <v>306</v>
      </c>
      <c r="U151" s="188" t="s">
        <v>25</v>
      </c>
      <c r="V151" s="234" t="s">
        <v>25</v>
      </c>
      <c r="W151" s="188" t="s">
        <v>19</v>
      </c>
      <c r="X151" s="188" t="s">
        <v>19</v>
      </c>
      <c r="Y151" s="234" t="s">
        <v>19</v>
      </c>
      <c r="Z151" s="188" t="s">
        <v>25</v>
      </c>
      <c r="AA151" s="188" t="s">
        <v>19</v>
      </c>
      <c r="AB151" s="234" t="s">
        <v>306</v>
      </c>
      <c r="AC151" s="235" t="s">
        <v>306</v>
      </c>
      <c r="AD151" s="188" t="s">
        <v>306</v>
      </c>
      <c r="AE151" s="188" t="s">
        <v>19</v>
      </c>
      <c r="AF151" s="234" t="s">
        <v>306</v>
      </c>
      <c r="AG151" s="188" t="s">
        <v>19</v>
      </c>
      <c r="AH151" s="188" t="s">
        <v>306</v>
      </c>
      <c r="AI151" s="234" t="s">
        <v>306</v>
      </c>
      <c r="AJ151" s="188" t="s">
        <v>19</v>
      </c>
      <c r="AK151" s="188" t="s">
        <v>19</v>
      </c>
      <c r="AL151" s="234" t="s">
        <v>19</v>
      </c>
      <c r="AM151" s="188" t="s">
        <v>19</v>
      </c>
      <c r="AN151" s="188" t="s">
        <v>19</v>
      </c>
      <c r="AO151" s="234" t="s">
        <v>19</v>
      </c>
      <c r="AP151" s="235" t="s">
        <v>19</v>
      </c>
      <c r="AQ151" s="188" t="s">
        <v>19</v>
      </c>
      <c r="AR151" s="188" t="s">
        <v>19</v>
      </c>
      <c r="AS151" s="234" t="s">
        <v>19</v>
      </c>
      <c r="AT151" s="188" t="s">
        <v>25</v>
      </c>
      <c r="AU151" s="188" t="s">
        <v>25</v>
      </c>
      <c r="AV151" s="234" t="s">
        <v>25</v>
      </c>
      <c r="AW151" s="188" t="s">
        <v>19</v>
      </c>
      <c r="AX151" s="188" t="s">
        <v>19</v>
      </c>
      <c r="AY151" s="234" t="s">
        <v>19</v>
      </c>
      <c r="AZ151" s="188" t="s">
        <v>25</v>
      </c>
      <c r="BA151" s="188" t="s">
        <v>25</v>
      </c>
      <c r="BB151" s="234" t="s">
        <v>306</v>
      </c>
      <c r="BC151" s="235" t="s">
        <v>306</v>
      </c>
      <c r="BD151" s="188"/>
    </row>
    <row r="152" spans="1:56" ht="12.75" customHeight="1" x14ac:dyDescent="0.25">
      <c r="A152" s="238">
        <v>44797.636663506943</v>
      </c>
      <c r="B152" s="137" t="s">
        <v>304</v>
      </c>
      <c r="C152" s="211" t="s">
        <v>595</v>
      </c>
      <c r="D152" s="211" t="s">
        <v>17</v>
      </c>
      <c r="E152" s="232" t="s">
        <v>515</v>
      </c>
      <c r="F152" s="188" t="s">
        <v>747</v>
      </c>
      <c r="G152" s="211" t="s">
        <v>18</v>
      </c>
      <c r="H152" s="211">
        <v>11</v>
      </c>
      <c r="I152" s="188" t="s">
        <v>531</v>
      </c>
      <c r="J152" s="188" t="s">
        <v>532</v>
      </c>
      <c r="K152" s="209" t="s">
        <v>539</v>
      </c>
      <c r="L152" s="188" t="s">
        <v>518</v>
      </c>
      <c r="M152" s="188" t="s">
        <v>401</v>
      </c>
      <c r="N152" s="188"/>
      <c r="O152" s="188"/>
      <c r="P152" s="188"/>
      <c r="Q152" s="188" t="s">
        <v>306</v>
      </c>
      <c r="R152" s="188" t="s">
        <v>25</v>
      </c>
      <c r="S152" s="234" t="s">
        <v>25</v>
      </c>
      <c r="T152" s="188" t="s">
        <v>19</v>
      </c>
      <c r="U152" s="188" t="s">
        <v>25</v>
      </c>
      <c r="V152" s="234" t="s">
        <v>306</v>
      </c>
      <c r="W152" s="188" t="s">
        <v>19</v>
      </c>
      <c r="X152" s="188" t="s">
        <v>19</v>
      </c>
      <c r="Y152" s="234" t="s">
        <v>19</v>
      </c>
      <c r="Z152" s="188" t="s">
        <v>19</v>
      </c>
      <c r="AA152" s="188" t="s">
        <v>19</v>
      </c>
      <c r="AB152" s="234" t="s">
        <v>19</v>
      </c>
      <c r="AC152" s="235" t="s">
        <v>306</v>
      </c>
      <c r="AD152" s="188" t="s">
        <v>19</v>
      </c>
      <c r="AE152" s="188" t="s">
        <v>19</v>
      </c>
      <c r="AF152" s="234" t="s">
        <v>19</v>
      </c>
      <c r="AG152" s="188" t="s">
        <v>19</v>
      </c>
      <c r="AH152" s="188" t="s">
        <v>19</v>
      </c>
      <c r="AI152" s="234" t="s">
        <v>19</v>
      </c>
      <c r="AJ152" s="188" t="s">
        <v>19</v>
      </c>
      <c r="AK152" s="188" t="s">
        <v>19</v>
      </c>
      <c r="AL152" s="234" t="s">
        <v>19</v>
      </c>
      <c r="AM152" s="188" t="s">
        <v>19</v>
      </c>
      <c r="AN152" s="188" t="s">
        <v>19</v>
      </c>
      <c r="AO152" s="234" t="s">
        <v>19</v>
      </c>
      <c r="AP152" s="235" t="s">
        <v>19</v>
      </c>
      <c r="AQ152" s="188" t="s">
        <v>19</v>
      </c>
      <c r="AR152" s="188" t="s">
        <v>19</v>
      </c>
      <c r="AS152" s="234" t="s">
        <v>19</v>
      </c>
      <c r="AT152" s="188" t="s">
        <v>25</v>
      </c>
      <c r="AU152" s="188" t="s">
        <v>25</v>
      </c>
      <c r="AV152" s="234" t="s">
        <v>25</v>
      </c>
      <c r="AW152" s="188" t="s">
        <v>19</v>
      </c>
      <c r="AX152" s="188" t="s">
        <v>19</v>
      </c>
      <c r="AY152" s="234" t="s">
        <v>19</v>
      </c>
      <c r="AZ152" s="188" t="s">
        <v>25</v>
      </c>
      <c r="BA152" s="188" t="s">
        <v>25</v>
      </c>
      <c r="BB152" s="234" t="s">
        <v>25</v>
      </c>
      <c r="BC152" s="235" t="s">
        <v>25</v>
      </c>
      <c r="BD152" s="188"/>
    </row>
    <row r="153" spans="1:56" ht="12.75" customHeight="1" x14ac:dyDescent="0.25">
      <c r="A153" s="238">
        <v>44797.675016134264</v>
      </c>
      <c r="B153" s="137" t="s">
        <v>304</v>
      </c>
      <c r="C153" s="211" t="s">
        <v>595</v>
      </c>
      <c r="D153" s="211" t="s">
        <v>17</v>
      </c>
      <c r="E153" s="232" t="s">
        <v>515</v>
      </c>
      <c r="F153" s="188" t="s">
        <v>748</v>
      </c>
      <c r="G153" s="211" t="s">
        <v>24</v>
      </c>
      <c r="H153" s="211">
        <v>11</v>
      </c>
      <c r="I153" s="188" t="s">
        <v>531</v>
      </c>
      <c r="J153" s="188" t="s">
        <v>532</v>
      </c>
      <c r="K153" s="209" t="s">
        <v>539</v>
      </c>
      <c r="L153" s="188" t="s">
        <v>518</v>
      </c>
      <c r="M153" s="188" t="s">
        <v>375</v>
      </c>
      <c r="N153" s="188"/>
      <c r="O153" s="188"/>
      <c r="P153" s="188"/>
      <c r="Q153" s="188" t="s">
        <v>25</v>
      </c>
      <c r="R153" s="188" t="s">
        <v>306</v>
      </c>
      <c r="S153" s="234" t="s">
        <v>25</v>
      </c>
      <c r="T153" s="188" t="s">
        <v>19</v>
      </c>
      <c r="U153" s="188" t="s">
        <v>25</v>
      </c>
      <c r="V153" s="234" t="s">
        <v>306</v>
      </c>
      <c r="W153" s="188" t="s">
        <v>25</v>
      </c>
      <c r="X153" s="188" t="s">
        <v>19</v>
      </c>
      <c r="Y153" s="234" t="s">
        <v>306</v>
      </c>
      <c r="Z153" s="188" t="s">
        <v>25</v>
      </c>
      <c r="AA153" s="188" t="s">
        <v>306</v>
      </c>
      <c r="AB153" s="234" t="s">
        <v>25</v>
      </c>
      <c r="AC153" s="235" t="s">
        <v>306</v>
      </c>
      <c r="AD153" s="188" t="s">
        <v>25</v>
      </c>
      <c r="AE153" s="188" t="s">
        <v>25</v>
      </c>
      <c r="AF153" s="234" t="s">
        <v>25</v>
      </c>
      <c r="AG153" s="188" t="s">
        <v>25</v>
      </c>
      <c r="AH153" s="188" t="s">
        <v>19</v>
      </c>
      <c r="AI153" s="234" t="s">
        <v>306</v>
      </c>
      <c r="AJ153" s="188" t="s">
        <v>306</v>
      </c>
      <c r="AK153" s="188" t="s">
        <v>19</v>
      </c>
      <c r="AL153" s="234" t="s">
        <v>306</v>
      </c>
      <c r="AM153" s="188" t="s">
        <v>19</v>
      </c>
      <c r="AN153" s="188" t="s">
        <v>19</v>
      </c>
      <c r="AO153" s="234" t="s">
        <v>19</v>
      </c>
      <c r="AP153" s="235" t="s">
        <v>306</v>
      </c>
      <c r="AQ153" s="188" t="s">
        <v>19</v>
      </c>
      <c r="AR153" s="188" t="s">
        <v>25</v>
      </c>
      <c r="AS153" s="234" t="s">
        <v>306</v>
      </c>
      <c r="AT153" s="188" t="s">
        <v>25</v>
      </c>
      <c r="AU153" s="188" t="s">
        <v>25</v>
      </c>
      <c r="AV153" s="234" t="s">
        <v>25</v>
      </c>
      <c r="AW153" s="188" t="s">
        <v>306</v>
      </c>
      <c r="AX153" s="188" t="s">
        <v>25</v>
      </c>
      <c r="AY153" s="234" t="s">
        <v>25</v>
      </c>
      <c r="AZ153" s="188" t="s">
        <v>306</v>
      </c>
      <c r="BA153" s="188" t="s">
        <v>306</v>
      </c>
      <c r="BB153" s="234" t="s">
        <v>19</v>
      </c>
      <c r="BC153" s="235" t="s">
        <v>19</v>
      </c>
      <c r="BD153" s="188"/>
    </row>
    <row r="154" spans="1:56" ht="12.75" customHeight="1" x14ac:dyDescent="0.25">
      <c r="A154" s="238">
        <v>44797.678420370372</v>
      </c>
      <c r="B154" s="137" t="s">
        <v>304</v>
      </c>
      <c r="C154" s="211" t="s">
        <v>595</v>
      </c>
      <c r="D154" s="211" t="s">
        <v>17</v>
      </c>
      <c r="E154" s="232" t="s">
        <v>515</v>
      </c>
      <c r="F154" s="188" t="s">
        <v>749</v>
      </c>
      <c r="G154" s="211" t="s">
        <v>24</v>
      </c>
      <c r="H154" s="211">
        <v>11</v>
      </c>
      <c r="I154" s="188" t="s">
        <v>531</v>
      </c>
      <c r="J154" s="188" t="s">
        <v>532</v>
      </c>
      <c r="K154" s="209" t="s">
        <v>539</v>
      </c>
      <c r="L154" s="188" t="s">
        <v>518</v>
      </c>
      <c r="M154" s="188" t="s">
        <v>375</v>
      </c>
      <c r="N154" s="188"/>
      <c r="O154" s="188"/>
      <c r="P154" s="188"/>
      <c r="Q154" s="188" t="s">
        <v>25</v>
      </c>
      <c r="R154" s="188" t="s">
        <v>306</v>
      </c>
      <c r="S154" s="234" t="s">
        <v>25</v>
      </c>
      <c r="T154" s="188" t="s">
        <v>19</v>
      </c>
      <c r="U154" s="188" t="s">
        <v>25</v>
      </c>
      <c r="V154" s="234" t="s">
        <v>306</v>
      </c>
      <c r="W154" s="188" t="s">
        <v>25</v>
      </c>
      <c r="X154" s="188" t="s">
        <v>25</v>
      </c>
      <c r="Y154" s="234" t="s">
        <v>25</v>
      </c>
      <c r="Z154" s="188" t="s">
        <v>25</v>
      </c>
      <c r="AA154" s="188" t="s">
        <v>306</v>
      </c>
      <c r="AB154" s="234" t="s">
        <v>25</v>
      </c>
      <c r="AC154" s="235" t="s">
        <v>25</v>
      </c>
      <c r="AD154" s="188" t="s">
        <v>25</v>
      </c>
      <c r="AE154" s="188" t="s">
        <v>25</v>
      </c>
      <c r="AF154" s="234" t="s">
        <v>25</v>
      </c>
      <c r="AG154" s="188" t="s">
        <v>25</v>
      </c>
      <c r="AH154" s="188" t="s">
        <v>19</v>
      </c>
      <c r="AI154" s="234" t="s">
        <v>306</v>
      </c>
      <c r="AJ154" s="188" t="s">
        <v>19</v>
      </c>
      <c r="AK154" s="188" t="s">
        <v>25</v>
      </c>
      <c r="AL154" s="234" t="s">
        <v>306</v>
      </c>
      <c r="AM154" s="188" t="s">
        <v>306</v>
      </c>
      <c r="AN154" s="188" t="s">
        <v>306</v>
      </c>
      <c r="AO154" s="234" t="s">
        <v>306</v>
      </c>
      <c r="AP154" s="235" t="s">
        <v>306</v>
      </c>
      <c r="AQ154" s="188" t="s">
        <v>25</v>
      </c>
      <c r="AR154" s="188" t="s">
        <v>25</v>
      </c>
      <c r="AS154" s="234" t="s">
        <v>25</v>
      </c>
      <c r="AT154" s="188" t="s">
        <v>25</v>
      </c>
      <c r="AU154" s="188" t="s">
        <v>25</v>
      </c>
      <c r="AV154" s="234" t="s">
        <v>25</v>
      </c>
      <c r="AW154" s="188" t="s">
        <v>25</v>
      </c>
      <c r="AX154" s="188" t="s">
        <v>25</v>
      </c>
      <c r="AY154" s="234" t="s">
        <v>25</v>
      </c>
      <c r="AZ154" s="188" t="s">
        <v>25</v>
      </c>
      <c r="BA154" s="188" t="s">
        <v>25</v>
      </c>
      <c r="BB154" s="234" t="s">
        <v>25</v>
      </c>
      <c r="BC154" s="235" t="s">
        <v>25</v>
      </c>
      <c r="BD154" s="188"/>
    </row>
    <row r="155" spans="1:56" ht="12.75" customHeight="1" x14ac:dyDescent="0.25">
      <c r="A155" s="238">
        <v>44797.791940775467</v>
      </c>
      <c r="B155" s="137" t="s">
        <v>304</v>
      </c>
      <c r="C155" s="211" t="s">
        <v>595</v>
      </c>
      <c r="D155" s="211" t="s">
        <v>17</v>
      </c>
      <c r="E155" s="232" t="s">
        <v>515</v>
      </c>
      <c r="F155" s="188" t="s">
        <v>750</v>
      </c>
      <c r="G155" s="211" t="s">
        <v>18</v>
      </c>
      <c r="H155" s="211">
        <v>12</v>
      </c>
      <c r="I155" s="188" t="s">
        <v>531</v>
      </c>
      <c r="J155" s="188" t="s">
        <v>532</v>
      </c>
      <c r="K155" s="209" t="s">
        <v>539</v>
      </c>
      <c r="L155" s="188" t="s">
        <v>518</v>
      </c>
      <c r="M155" s="188" t="s">
        <v>401</v>
      </c>
      <c r="N155" s="188"/>
      <c r="O155" s="188"/>
      <c r="P155" s="188"/>
      <c r="Q155" s="188" t="s">
        <v>25</v>
      </c>
      <c r="R155" s="188" t="s">
        <v>306</v>
      </c>
      <c r="S155" s="234" t="s">
        <v>25</v>
      </c>
      <c r="T155" s="188" t="s">
        <v>306</v>
      </c>
      <c r="U155" s="188" t="s">
        <v>25</v>
      </c>
      <c r="V155" s="234" t="s">
        <v>25</v>
      </c>
      <c r="W155" s="188" t="s">
        <v>25</v>
      </c>
      <c r="X155" s="188" t="s">
        <v>306</v>
      </c>
      <c r="Y155" s="234" t="s">
        <v>25</v>
      </c>
      <c r="Z155" s="188" t="s">
        <v>25</v>
      </c>
      <c r="AA155" s="188" t="s">
        <v>306</v>
      </c>
      <c r="AB155" s="234" t="s">
        <v>25</v>
      </c>
      <c r="AC155" s="235" t="s">
        <v>25</v>
      </c>
      <c r="AD155" s="188" t="s">
        <v>25</v>
      </c>
      <c r="AE155" s="188" t="s">
        <v>25</v>
      </c>
      <c r="AF155" s="234" t="s">
        <v>25</v>
      </c>
      <c r="AG155" s="188" t="s">
        <v>306</v>
      </c>
      <c r="AH155" s="188" t="s">
        <v>306</v>
      </c>
      <c r="AI155" s="234" t="s">
        <v>306</v>
      </c>
      <c r="AJ155" s="188" t="s">
        <v>306</v>
      </c>
      <c r="AK155" s="188" t="s">
        <v>306</v>
      </c>
      <c r="AL155" s="234" t="s">
        <v>306</v>
      </c>
      <c r="AM155" s="188" t="s">
        <v>306</v>
      </c>
      <c r="AN155" s="188" t="s">
        <v>306</v>
      </c>
      <c r="AO155" s="234" t="s">
        <v>306</v>
      </c>
      <c r="AP155" s="235" t="s">
        <v>306</v>
      </c>
      <c r="AQ155" s="188" t="s">
        <v>19</v>
      </c>
      <c r="AR155" s="188" t="s">
        <v>25</v>
      </c>
      <c r="AS155" s="234" t="s">
        <v>306</v>
      </c>
      <c r="AT155" s="188" t="s">
        <v>25</v>
      </c>
      <c r="AU155" s="188" t="s">
        <v>25</v>
      </c>
      <c r="AV155" s="234" t="s">
        <v>25</v>
      </c>
      <c r="AW155" s="188" t="s">
        <v>306</v>
      </c>
      <c r="AX155" s="188" t="s">
        <v>25</v>
      </c>
      <c r="AY155" s="234" t="s">
        <v>25</v>
      </c>
      <c r="AZ155" s="188" t="s">
        <v>25</v>
      </c>
      <c r="BA155" s="188" t="s">
        <v>25</v>
      </c>
      <c r="BB155" s="234" t="s">
        <v>25</v>
      </c>
      <c r="BC155" s="235" t="s">
        <v>25</v>
      </c>
      <c r="BD155" s="188"/>
    </row>
    <row r="156" spans="1:56" ht="12.75" customHeight="1" x14ac:dyDescent="0.25">
      <c r="A156" s="238">
        <v>44797.822743252313</v>
      </c>
      <c r="B156" s="137" t="s">
        <v>304</v>
      </c>
      <c r="C156" s="211" t="s">
        <v>595</v>
      </c>
      <c r="D156" s="211" t="s">
        <v>17</v>
      </c>
      <c r="E156" s="232" t="s">
        <v>515</v>
      </c>
      <c r="F156" s="188" t="s">
        <v>751</v>
      </c>
      <c r="G156" s="211" t="s">
        <v>18</v>
      </c>
      <c r="H156" s="211">
        <v>12</v>
      </c>
      <c r="I156" s="188" t="s">
        <v>531</v>
      </c>
      <c r="J156" s="188" t="s">
        <v>532</v>
      </c>
      <c r="K156" s="209" t="s">
        <v>539</v>
      </c>
      <c r="L156" s="188" t="s">
        <v>518</v>
      </c>
      <c r="M156" s="188" t="s">
        <v>412</v>
      </c>
      <c r="N156" s="188"/>
      <c r="O156" s="188"/>
      <c r="P156" s="188"/>
      <c r="Q156" s="188" t="s">
        <v>25</v>
      </c>
      <c r="R156" s="188" t="s">
        <v>306</v>
      </c>
      <c r="S156" s="234" t="s">
        <v>25</v>
      </c>
      <c r="T156" s="188" t="s">
        <v>19</v>
      </c>
      <c r="U156" s="188" t="s">
        <v>25</v>
      </c>
      <c r="V156" s="234" t="s">
        <v>306</v>
      </c>
      <c r="W156" s="188" t="s">
        <v>25</v>
      </c>
      <c r="X156" s="188" t="s">
        <v>19</v>
      </c>
      <c r="Y156" s="234" t="s">
        <v>306</v>
      </c>
      <c r="Z156" s="188" t="s">
        <v>19</v>
      </c>
      <c r="AA156" s="188" t="s">
        <v>25</v>
      </c>
      <c r="AB156" s="234" t="s">
        <v>306</v>
      </c>
      <c r="AC156" s="235" t="s">
        <v>306</v>
      </c>
      <c r="AD156" s="188" t="s">
        <v>306</v>
      </c>
      <c r="AE156" s="188" t="s">
        <v>19</v>
      </c>
      <c r="AF156" s="234" t="s">
        <v>306</v>
      </c>
      <c r="AG156" s="188" t="s">
        <v>306</v>
      </c>
      <c r="AH156" s="188" t="s">
        <v>19</v>
      </c>
      <c r="AI156" s="234" t="s">
        <v>306</v>
      </c>
      <c r="AJ156" s="188" t="s">
        <v>19</v>
      </c>
      <c r="AK156" s="188" t="s">
        <v>19</v>
      </c>
      <c r="AL156" s="234" t="s">
        <v>19</v>
      </c>
      <c r="AM156" s="188" t="s">
        <v>25</v>
      </c>
      <c r="AN156" s="188" t="s">
        <v>19</v>
      </c>
      <c r="AO156" s="234" t="s">
        <v>306</v>
      </c>
      <c r="AP156" s="235" t="s">
        <v>306</v>
      </c>
      <c r="AQ156" s="188" t="s">
        <v>25</v>
      </c>
      <c r="AR156" s="188" t="s">
        <v>25</v>
      </c>
      <c r="AS156" s="234" t="s">
        <v>25</v>
      </c>
      <c r="AT156" s="188" t="s">
        <v>25</v>
      </c>
      <c r="AU156" s="188" t="s">
        <v>19</v>
      </c>
      <c r="AV156" s="234" t="s">
        <v>306</v>
      </c>
      <c r="AW156" s="188" t="s">
        <v>25</v>
      </c>
      <c r="AX156" s="188" t="s">
        <v>306</v>
      </c>
      <c r="AY156" s="234" t="s">
        <v>25</v>
      </c>
      <c r="AZ156" s="188" t="s">
        <v>19</v>
      </c>
      <c r="BA156" s="188" t="s">
        <v>25</v>
      </c>
      <c r="BB156" s="234" t="s">
        <v>25</v>
      </c>
      <c r="BC156" s="235" t="s">
        <v>25</v>
      </c>
      <c r="BD156" s="188"/>
    </row>
    <row r="157" spans="1:56" ht="12.75" customHeight="1" x14ac:dyDescent="0.25">
      <c r="A157" s="238">
        <v>44797.877163449069</v>
      </c>
      <c r="B157" s="137" t="s">
        <v>304</v>
      </c>
      <c r="C157" s="211" t="s">
        <v>595</v>
      </c>
      <c r="D157" s="211" t="s">
        <v>17</v>
      </c>
      <c r="E157" s="232" t="s">
        <v>515</v>
      </c>
      <c r="F157" s="188" t="s">
        <v>752</v>
      </c>
      <c r="G157" s="211" t="s">
        <v>18</v>
      </c>
      <c r="H157" s="211">
        <v>11</v>
      </c>
      <c r="I157" s="188" t="s">
        <v>531</v>
      </c>
      <c r="J157" s="188" t="s">
        <v>532</v>
      </c>
      <c r="K157" s="209" t="s">
        <v>539</v>
      </c>
      <c r="L157" s="188" t="s">
        <v>518</v>
      </c>
      <c r="M157" s="188" t="s">
        <v>412</v>
      </c>
      <c r="N157" s="188"/>
      <c r="O157" s="188"/>
      <c r="P157" s="188"/>
      <c r="Q157" s="188" t="s">
        <v>25</v>
      </c>
      <c r="R157" s="188" t="s">
        <v>25</v>
      </c>
      <c r="S157" s="234" t="s">
        <v>25</v>
      </c>
      <c r="T157" s="188" t="s">
        <v>19</v>
      </c>
      <c r="U157" s="188" t="s">
        <v>25</v>
      </c>
      <c r="V157" s="234" t="s">
        <v>306</v>
      </c>
      <c r="W157" s="188" t="s">
        <v>19</v>
      </c>
      <c r="X157" s="188" t="s">
        <v>19</v>
      </c>
      <c r="Y157" s="234" t="s">
        <v>19</v>
      </c>
      <c r="Z157" s="188" t="s">
        <v>25</v>
      </c>
      <c r="AA157" s="188" t="s">
        <v>25</v>
      </c>
      <c r="AB157" s="234" t="s">
        <v>25</v>
      </c>
      <c r="AC157" s="235" t="s">
        <v>306</v>
      </c>
      <c r="AD157" s="188" t="s">
        <v>25</v>
      </c>
      <c r="AE157" s="188" t="s">
        <v>306</v>
      </c>
      <c r="AF157" s="234" t="s">
        <v>25</v>
      </c>
      <c r="AG157" s="188" t="s">
        <v>25</v>
      </c>
      <c r="AH157" s="188" t="s">
        <v>19</v>
      </c>
      <c r="AI157" s="234" t="s">
        <v>306</v>
      </c>
      <c r="AJ157" s="188" t="s">
        <v>306</v>
      </c>
      <c r="AK157" s="188" t="s">
        <v>306</v>
      </c>
      <c r="AL157" s="234" t="s">
        <v>306</v>
      </c>
      <c r="AM157" s="188" t="s">
        <v>306</v>
      </c>
      <c r="AN157" s="188" t="s">
        <v>19</v>
      </c>
      <c r="AO157" s="234" t="s">
        <v>306</v>
      </c>
      <c r="AP157" s="235" t="s">
        <v>306</v>
      </c>
      <c r="AQ157" s="188" t="s">
        <v>306</v>
      </c>
      <c r="AR157" s="188" t="s">
        <v>306</v>
      </c>
      <c r="AS157" s="234" t="s">
        <v>306</v>
      </c>
      <c r="AT157" s="188" t="s">
        <v>306</v>
      </c>
      <c r="AU157" s="188" t="s">
        <v>25</v>
      </c>
      <c r="AV157" s="234" t="s">
        <v>25</v>
      </c>
      <c r="AW157" s="188" t="s">
        <v>306</v>
      </c>
      <c r="AX157" s="188" t="s">
        <v>306</v>
      </c>
      <c r="AY157" s="234" t="s">
        <v>306</v>
      </c>
      <c r="AZ157" s="188" t="s">
        <v>306</v>
      </c>
      <c r="BA157" s="188" t="s">
        <v>306</v>
      </c>
      <c r="BB157" s="234" t="s">
        <v>25</v>
      </c>
      <c r="BC157" s="235" t="s">
        <v>25</v>
      </c>
      <c r="BD157" s="188"/>
    </row>
    <row r="158" spans="1:56" ht="12.75" customHeight="1" x14ac:dyDescent="0.25">
      <c r="A158" s="238">
        <v>44797.918992997686</v>
      </c>
      <c r="B158" s="137" t="s">
        <v>304</v>
      </c>
      <c r="C158" s="211" t="s">
        <v>595</v>
      </c>
      <c r="D158" s="211" t="s">
        <v>17</v>
      </c>
      <c r="E158" s="232" t="s">
        <v>515</v>
      </c>
      <c r="F158" s="188" t="s">
        <v>753</v>
      </c>
      <c r="G158" s="211" t="s">
        <v>18</v>
      </c>
      <c r="H158" s="211">
        <v>11</v>
      </c>
      <c r="I158" s="188" t="s">
        <v>531</v>
      </c>
      <c r="J158" s="188" t="s">
        <v>532</v>
      </c>
      <c r="K158" s="209" t="s">
        <v>539</v>
      </c>
      <c r="L158" s="188" t="s">
        <v>518</v>
      </c>
      <c r="M158" s="188" t="s">
        <v>412</v>
      </c>
      <c r="N158" s="188"/>
      <c r="O158" s="188"/>
      <c r="P158" s="188"/>
      <c r="Q158" s="188" t="s">
        <v>25</v>
      </c>
      <c r="R158" s="188" t="s">
        <v>306</v>
      </c>
      <c r="S158" s="234" t="s">
        <v>25</v>
      </c>
      <c r="T158" s="188" t="s">
        <v>306</v>
      </c>
      <c r="U158" s="188" t="s">
        <v>306</v>
      </c>
      <c r="V158" s="234" t="s">
        <v>306</v>
      </c>
      <c r="W158" s="188" t="s">
        <v>306</v>
      </c>
      <c r="X158" s="188" t="s">
        <v>306</v>
      </c>
      <c r="Y158" s="234" t="s">
        <v>306</v>
      </c>
      <c r="Z158" s="188" t="s">
        <v>306</v>
      </c>
      <c r="AA158" s="188" t="s">
        <v>306</v>
      </c>
      <c r="AB158" s="234" t="s">
        <v>306</v>
      </c>
      <c r="AC158" s="235" t="s">
        <v>306</v>
      </c>
      <c r="AD158" s="188" t="s">
        <v>306</v>
      </c>
      <c r="AE158" s="188" t="s">
        <v>25</v>
      </c>
      <c r="AF158" s="234" t="s">
        <v>25</v>
      </c>
      <c r="AG158" s="188" t="s">
        <v>306</v>
      </c>
      <c r="AH158" s="188" t="s">
        <v>306</v>
      </c>
      <c r="AI158" s="234" t="s">
        <v>306</v>
      </c>
      <c r="AJ158" s="188" t="s">
        <v>306</v>
      </c>
      <c r="AK158" s="188" t="s">
        <v>306</v>
      </c>
      <c r="AL158" s="234" t="s">
        <v>306</v>
      </c>
      <c r="AM158" s="188" t="s">
        <v>19</v>
      </c>
      <c r="AN158" s="188" t="s">
        <v>19</v>
      </c>
      <c r="AO158" s="234" t="s">
        <v>19</v>
      </c>
      <c r="AP158" s="235" t="s">
        <v>306</v>
      </c>
      <c r="AQ158" s="188" t="s">
        <v>25</v>
      </c>
      <c r="AR158" s="188" t="s">
        <v>25</v>
      </c>
      <c r="AS158" s="234" t="s">
        <v>25</v>
      </c>
      <c r="AT158" s="188" t="s">
        <v>306</v>
      </c>
      <c r="AU158" s="188" t="s">
        <v>306</v>
      </c>
      <c r="AV158" s="234" t="s">
        <v>306</v>
      </c>
      <c r="AW158" s="188" t="s">
        <v>25</v>
      </c>
      <c r="AX158" s="188" t="s">
        <v>25</v>
      </c>
      <c r="AY158" s="234" t="s">
        <v>25</v>
      </c>
      <c r="AZ158" s="188" t="s">
        <v>25</v>
      </c>
      <c r="BA158" s="188" t="s">
        <v>25</v>
      </c>
      <c r="BB158" s="234" t="s">
        <v>19</v>
      </c>
      <c r="BC158" s="235" t="s">
        <v>19</v>
      </c>
      <c r="BD158" s="188"/>
    </row>
    <row r="159" spans="1:56" ht="12.75" customHeight="1" x14ac:dyDescent="0.25">
      <c r="A159" s="238">
        <v>44797.931318495372</v>
      </c>
      <c r="B159" s="137" t="s">
        <v>304</v>
      </c>
      <c r="C159" s="211" t="s">
        <v>595</v>
      </c>
      <c r="D159" s="211" t="s">
        <v>17</v>
      </c>
      <c r="E159" s="232" t="s">
        <v>515</v>
      </c>
      <c r="F159" s="188" t="s">
        <v>754</v>
      </c>
      <c r="G159" s="211" t="s">
        <v>18</v>
      </c>
      <c r="H159" s="211">
        <v>13</v>
      </c>
      <c r="I159" s="188" t="s">
        <v>531</v>
      </c>
      <c r="J159" s="188" t="s">
        <v>532</v>
      </c>
      <c r="K159" s="209" t="s">
        <v>539</v>
      </c>
      <c r="L159" s="188" t="s">
        <v>518</v>
      </c>
      <c r="M159" s="188" t="s">
        <v>412</v>
      </c>
      <c r="N159" s="188"/>
      <c r="O159" s="188"/>
      <c r="P159" s="188"/>
      <c r="Q159" s="188" t="s">
        <v>25</v>
      </c>
      <c r="R159" s="188" t="s">
        <v>25</v>
      </c>
      <c r="S159" s="234" t="s">
        <v>25</v>
      </c>
      <c r="T159" s="188" t="s">
        <v>25</v>
      </c>
      <c r="U159" s="188" t="s">
        <v>19</v>
      </c>
      <c r="V159" s="234" t="s">
        <v>306</v>
      </c>
      <c r="W159" s="188" t="s">
        <v>19</v>
      </c>
      <c r="X159" s="188" t="s">
        <v>19</v>
      </c>
      <c r="Y159" s="234" t="s">
        <v>19</v>
      </c>
      <c r="Z159" s="188" t="s">
        <v>19</v>
      </c>
      <c r="AA159" s="188" t="s">
        <v>19</v>
      </c>
      <c r="AB159" s="234" t="s">
        <v>19</v>
      </c>
      <c r="AC159" s="235" t="s">
        <v>306</v>
      </c>
      <c r="AD159" s="188" t="s">
        <v>25</v>
      </c>
      <c r="AE159" s="188" t="s">
        <v>25</v>
      </c>
      <c r="AF159" s="234" t="s">
        <v>25</v>
      </c>
      <c r="AG159" s="188" t="s">
        <v>19</v>
      </c>
      <c r="AH159" s="188" t="s">
        <v>25</v>
      </c>
      <c r="AI159" s="234" t="s">
        <v>306</v>
      </c>
      <c r="AJ159" s="188" t="s">
        <v>19</v>
      </c>
      <c r="AK159" s="188" t="s">
        <v>19</v>
      </c>
      <c r="AL159" s="234" t="s">
        <v>19</v>
      </c>
      <c r="AM159" s="188" t="s">
        <v>19</v>
      </c>
      <c r="AN159" s="188" t="s">
        <v>19</v>
      </c>
      <c r="AO159" s="234" t="s">
        <v>19</v>
      </c>
      <c r="AP159" s="235" t="s">
        <v>306</v>
      </c>
      <c r="AQ159" s="188" t="s">
        <v>25</v>
      </c>
      <c r="AR159" s="188" t="s">
        <v>19</v>
      </c>
      <c r="AS159" s="234" t="s">
        <v>306</v>
      </c>
      <c r="AT159" s="188" t="s">
        <v>25</v>
      </c>
      <c r="AU159" s="188" t="s">
        <v>25</v>
      </c>
      <c r="AV159" s="234" t="s">
        <v>25</v>
      </c>
      <c r="AW159" s="188" t="s">
        <v>306</v>
      </c>
      <c r="AX159" s="188" t="s">
        <v>25</v>
      </c>
      <c r="AY159" s="234" t="s">
        <v>25</v>
      </c>
      <c r="AZ159" s="188" t="s">
        <v>306</v>
      </c>
      <c r="BA159" s="188" t="s">
        <v>25</v>
      </c>
      <c r="BB159" s="234" t="s">
        <v>25</v>
      </c>
      <c r="BC159" s="235" t="s">
        <v>25</v>
      </c>
      <c r="BD159" s="188"/>
    </row>
    <row r="160" spans="1:56" ht="12.75" customHeight="1" x14ac:dyDescent="0.25">
      <c r="A160" s="238">
        <v>44798.042104907407</v>
      </c>
      <c r="B160" s="137" t="s">
        <v>304</v>
      </c>
      <c r="C160" s="211" t="s">
        <v>595</v>
      </c>
      <c r="D160" s="211" t="s">
        <v>17</v>
      </c>
      <c r="E160" s="232" t="s">
        <v>515</v>
      </c>
      <c r="F160" s="188" t="s">
        <v>755</v>
      </c>
      <c r="G160" s="211" t="s">
        <v>24</v>
      </c>
      <c r="H160" s="211">
        <v>12</v>
      </c>
      <c r="I160" s="188" t="s">
        <v>531</v>
      </c>
      <c r="J160" s="188" t="s">
        <v>532</v>
      </c>
      <c r="K160" s="209" t="s">
        <v>539</v>
      </c>
      <c r="L160" s="188" t="s">
        <v>518</v>
      </c>
      <c r="M160" s="188" t="s">
        <v>401</v>
      </c>
      <c r="N160" s="188"/>
      <c r="O160" s="188"/>
      <c r="P160" s="188"/>
      <c r="Q160" s="188" t="s">
        <v>306</v>
      </c>
      <c r="R160" s="188" t="s">
        <v>25</v>
      </c>
      <c r="S160" s="234" t="s">
        <v>25</v>
      </c>
      <c r="T160" s="188" t="s">
        <v>306</v>
      </c>
      <c r="U160" s="188" t="s">
        <v>25</v>
      </c>
      <c r="V160" s="234" t="s">
        <v>25</v>
      </c>
      <c r="W160" s="188" t="s">
        <v>19</v>
      </c>
      <c r="X160" s="188" t="s">
        <v>25</v>
      </c>
      <c r="Y160" s="234" t="s">
        <v>306</v>
      </c>
      <c r="Z160" s="188" t="s">
        <v>306</v>
      </c>
      <c r="AA160" s="188" t="s">
        <v>19</v>
      </c>
      <c r="AB160" s="234" t="s">
        <v>306</v>
      </c>
      <c r="AC160" s="235" t="s">
        <v>306</v>
      </c>
      <c r="AD160" s="188" t="s">
        <v>25</v>
      </c>
      <c r="AE160" s="188" t="s">
        <v>306</v>
      </c>
      <c r="AF160" s="234" t="s">
        <v>25</v>
      </c>
      <c r="AG160" s="188" t="s">
        <v>306</v>
      </c>
      <c r="AH160" s="188" t="s">
        <v>19</v>
      </c>
      <c r="AI160" s="234" t="s">
        <v>306</v>
      </c>
      <c r="AJ160" s="188" t="s">
        <v>19</v>
      </c>
      <c r="AK160" s="188" t="s">
        <v>25</v>
      </c>
      <c r="AL160" s="234" t="s">
        <v>306</v>
      </c>
      <c r="AM160" s="188" t="s">
        <v>19</v>
      </c>
      <c r="AN160" s="188" t="s">
        <v>19</v>
      </c>
      <c r="AO160" s="234" t="s">
        <v>19</v>
      </c>
      <c r="AP160" s="235" t="s">
        <v>306</v>
      </c>
      <c r="AQ160" s="188" t="s">
        <v>25</v>
      </c>
      <c r="AR160" s="188" t="s">
        <v>306</v>
      </c>
      <c r="AS160" s="234" t="s">
        <v>25</v>
      </c>
      <c r="AT160" s="188" t="s">
        <v>25</v>
      </c>
      <c r="AU160" s="188" t="s">
        <v>25</v>
      </c>
      <c r="AV160" s="234" t="s">
        <v>25</v>
      </c>
      <c r="AW160" s="188" t="s">
        <v>19</v>
      </c>
      <c r="AX160" s="188" t="s">
        <v>306</v>
      </c>
      <c r="AY160" s="234" t="s">
        <v>306</v>
      </c>
      <c r="AZ160" s="188" t="s">
        <v>25</v>
      </c>
      <c r="BA160" s="188" t="s">
        <v>25</v>
      </c>
      <c r="BB160" s="234" t="s">
        <v>19</v>
      </c>
      <c r="BC160" s="235" t="s">
        <v>19</v>
      </c>
      <c r="BD160" s="188"/>
    </row>
    <row r="161" spans="1:56" ht="12.75" customHeight="1" x14ac:dyDescent="0.25">
      <c r="A161" s="238">
        <v>44798.388943148151</v>
      </c>
      <c r="B161" s="137" t="s">
        <v>304</v>
      </c>
      <c r="C161" s="211" t="s">
        <v>595</v>
      </c>
      <c r="D161" s="211" t="s">
        <v>17</v>
      </c>
      <c r="E161" s="232" t="s">
        <v>515</v>
      </c>
      <c r="F161" s="188" t="s">
        <v>756</v>
      </c>
      <c r="G161" s="211" t="s">
        <v>18</v>
      </c>
      <c r="H161" s="211">
        <v>12</v>
      </c>
      <c r="I161" s="188" t="s">
        <v>531</v>
      </c>
      <c r="J161" s="188" t="s">
        <v>532</v>
      </c>
      <c r="K161" s="209" t="s">
        <v>539</v>
      </c>
      <c r="L161" s="188" t="s">
        <v>518</v>
      </c>
      <c r="M161" s="188" t="s">
        <v>412</v>
      </c>
      <c r="N161" s="188"/>
      <c r="O161" s="188"/>
      <c r="P161" s="188"/>
      <c r="Q161" s="188" t="s">
        <v>25</v>
      </c>
      <c r="R161" s="188" t="s">
        <v>306</v>
      </c>
      <c r="S161" s="234" t="s">
        <v>25</v>
      </c>
      <c r="T161" s="188" t="s">
        <v>306</v>
      </c>
      <c r="U161" s="188" t="s">
        <v>25</v>
      </c>
      <c r="V161" s="234" t="s">
        <v>25</v>
      </c>
      <c r="W161" s="188" t="s">
        <v>306</v>
      </c>
      <c r="X161" s="188" t="s">
        <v>306</v>
      </c>
      <c r="Y161" s="234" t="s">
        <v>306</v>
      </c>
      <c r="Z161" s="188" t="s">
        <v>25</v>
      </c>
      <c r="AA161" s="188" t="s">
        <v>306</v>
      </c>
      <c r="AB161" s="234" t="s">
        <v>25</v>
      </c>
      <c r="AC161" s="235" t="s">
        <v>306</v>
      </c>
      <c r="AD161" s="188" t="s">
        <v>306</v>
      </c>
      <c r="AE161" s="188" t="s">
        <v>25</v>
      </c>
      <c r="AF161" s="234" t="s">
        <v>25</v>
      </c>
      <c r="AG161" s="188" t="s">
        <v>306</v>
      </c>
      <c r="AH161" s="188" t="s">
        <v>306</v>
      </c>
      <c r="AI161" s="234" t="s">
        <v>306</v>
      </c>
      <c r="AJ161" s="188" t="s">
        <v>25</v>
      </c>
      <c r="AK161" s="188" t="s">
        <v>19</v>
      </c>
      <c r="AL161" s="234" t="s">
        <v>306</v>
      </c>
      <c r="AM161" s="188" t="s">
        <v>19</v>
      </c>
      <c r="AN161" s="188" t="s">
        <v>306</v>
      </c>
      <c r="AO161" s="234" t="s">
        <v>306</v>
      </c>
      <c r="AP161" s="235" t="s">
        <v>306</v>
      </c>
      <c r="AQ161" s="188" t="s">
        <v>306</v>
      </c>
      <c r="AR161" s="188" t="s">
        <v>25</v>
      </c>
      <c r="AS161" s="234" t="s">
        <v>25</v>
      </c>
      <c r="AT161" s="188" t="s">
        <v>19</v>
      </c>
      <c r="AU161" s="188" t="s">
        <v>19</v>
      </c>
      <c r="AV161" s="234" t="s">
        <v>19</v>
      </c>
      <c r="AW161" s="188" t="s">
        <v>306</v>
      </c>
      <c r="AX161" s="188" t="s">
        <v>306</v>
      </c>
      <c r="AY161" s="234" t="s">
        <v>306</v>
      </c>
      <c r="AZ161" s="188" t="s">
        <v>25</v>
      </c>
      <c r="BA161" s="188" t="s">
        <v>19</v>
      </c>
      <c r="BB161" s="234" t="s">
        <v>19</v>
      </c>
      <c r="BC161" s="235" t="s">
        <v>19</v>
      </c>
      <c r="BD161" s="188"/>
    </row>
    <row r="162" spans="1:56" ht="12.75" customHeight="1" x14ac:dyDescent="0.25">
      <c r="A162" s="238">
        <v>44798.390857650462</v>
      </c>
      <c r="B162" s="137" t="s">
        <v>304</v>
      </c>
      <c r="C162" s="211" t="s">
        <v>595</v>
      </c>
      <c r="D162" s="211" t="s">
        <v>17</v>
      </c>
      <c r="E162" s="232" t="s">
        <v>515</v>
      </c>
      <c r="F162" s="188" t="s">
        <v>757</v>
      </c>
      <c r="G162" s="211" t="s">
        <v>18</v>
      </c>
      <c r="H162" s="211">
        <v>12</v>
      </c>
      <c r="I162" s="188" t="s">
        <v>531</v>
      </c>
      <c r="J162" s="188" t="s">
        <v>532</v>
      </c>
      <c r="K162" s="209" t="s">
        <v>539</v>
      </c>
      <c r="L162" s="188" t="s">
        <v>518</v>
      </c>
      <c r="M162" s="188" t="s">
        <v>412</v>
      </c>
      <c r="N162" s="188"/>
      <c r="O162" s="188"/>
      <c r="P162" s="188"/>
      <c r="Q162" s="188" t="s">
        <v>25</v>
      </c>
      <c r="R162" s="188" t="s">
        <v>25</v>
      </c>
      <c r="S162" s="234" t="s">
        <v>25</v>
      </c>
      <c r="T162" s="188" t="s">
        <v>25</v>
      </c>
      <c r="U162" s="188" t="s">
        <v>306</v>
      </c>
      <c r="V162" s="234" t="s">
        <v>25</v>
      </c>
      <c r="W162" s="188" t="s">
        <v>306</v>
      </c>
      <c r="X162" s="188" t="s">
        <v>19</v>
      </c>
      <c r="Y162" s="234" t="s">
        <v>306</v>
      </c>
      <c r="Z162" s="188" t="s">
        <v>25</v>
      </c>
      <c r="AA162" s="188" t="s">
        <v>306</v>
      </c>
      <c r="AB162" s="234" t="s">
        <v>25</v>
      </c>
      <c r="AC162" s="235" t="s">
        <v>306</v>
      </c>
      <c r="AD162" s="188" t="s">
        <v>306</v>
      </c>
      <c r="AE162" s="188" t="s">
        <v>306</v>
      </c>
      <c r="AF162" s="234" t="s">
        <v>306</v>
      </c>
      <c r="AG162" s="188" t="s">
        <v>25</v>
      </c>
      <c r="AH162" s="188" t="s">
        <v>306</v>
      </c>
      <c r="AI162" s="234" t="s">
        <v>25</v>
      </c>
      <c r="AJ162" s="188" t="s">
        <v>25</v>
      </c>
      <c r="AK162" s="188" t="s">
        <v>306</v>
      </c>
      <c r="AL162" s="234" t="s">
        <v>25</v>
      </c>
      <c r="AM162" s="188" t="s">
        <v>19</v>
      </c>
      <c r="AN162" s="188" t="s">
        <v>306</v>
      </c>
      <c r="AO162" s="234" t="s">
        <v>306</v>
      </c>
      <c r="AP162" s="235" t="s">
        <v>306</v>
      </c>
      <c r="AQ162" s="188" t="s">
        <v>25</v>
      </c>
      <c r="AR162" s="188" t="s">
        <v>25</v>
      </c>
      <c r="AS162" s="234" t="s">
        <v>25</v>
      </c>
      <c r="AT162" s="188" t="s">
        <v>25</v>
      </c>
      <c r="AU162" s="188" t="s">
        <v>25</v>
      </c>
      <c r="AV162" s="234" t="s">
        <v>25</v>
      </c>
      <c r="AW162" s="188" t="s">
        <v>306</v>
      </c>
      <c r="AX162" s="188" t="s">
        <v>25</v>
      </c>
      <c r="AY162" s="234" t="s">
        <v>25</v>
      </c>
      <c r="AZ162" s="188" t="s">
        <v>25</v>
      </c>
      <c r="BA162" s="188" t="s">
        <v>25</v>
      </c>
      <c r="BB162" s="234" t="s">
        <v>25</v>
      </c>
      <c r="BC162" s="235" t="s">
        <v>25</v>
      </c>
      <c r="BD162" s="188"/>
    </row>
    <row r="163" spans="1:56" ht="12.75" customHeight="1" x14ac:dyDescent="0.25">
      <c r="A163" s="238">
        <v>44798.396342766202</v>
      </c>
      <c r="B163" s="137" t="s">
        <v>304</v>
      </c>
      <c r="C163" s="211" t="s">
        <v>595</v>
      </c>
      <c r="D163" s="211" t="s">
        <v>17</v>
      </c>
      <c r="E163" s="232" t="s">
        <v>515</v>
      </c>
      <c r="F163" s="188" t="s">
        <v>758</v>
      </c>
      <c r="G163" s="211" t="s">
        <v>24</v>
      </c>
      <c r="H163" s="211">
        <v>11</v>
      </c>
      <c r="I163" s="188" t="s">
        <v>531</v>
      </c>
      <c r="J163" s="188" t="s">
        <v>532</v>
      </c>
      <c r="K163" s="209" t="s">
        <v>539</v>
      </c>
      <c r="L163" s="188" t="s">
        <v>518</v>
      </c>
      <c r="M163" s="188" t="s">
        <v>401</v>
      </c>
      <c r="N163" s="188"/>
      <c r="O163" s="188"/>
      <c r="P163" s="188"/>
      <c r="Q163" s="188" t="s">
        <v>25</v>
      </c>
      <c r="R163" s="188" t="s">
        <v>25</v>
      </c>
      <c r="S163" s="234" t="s">
        <v>25</v>
      </c>
      <c r="T163" s="188" t="s">
        <v>306</v>
      </c>
      <c r="U163" s="188" t="s">
        <v>25</v>
      </c>
      <c r="V163" s="234" t="s">
        <v>25</v>
      </c>
      <c r="W163" s="188" t="s">
        <v>306</v>
      </c>
      <c r="X163" s="188" t="s">
        <v>306</v>
      </c>
      <c r="Y163" s="234" t="s">
        <v>306</v>
      </c>
      <c r="Z163" s="188" t="s">
        <v>25</v>
      </c>
      <c r="AA163" s="188" t="s">
        <v>25</v>
      </c>
      <c r="AB163" s="234" t="s">
        <v>25</v>
      </c>
      <c r="AC163" s="235" t="s">
        <v>25</v>
      </c>
      <c r="AD163" s="188" t="s">
        <v>25</v>
      </c>
      <c r="AE163" s="188" t="s">
        <v>25</v>
      </c>
      <c r="AF163" s="234" t="s">
        <v>25</v>
      </c>
      <c r="AG163" s="188" t="s">
        <v>25</v>
      </c>
      <c r="AH163" s="188" t="s">
        <v>306</v>
      </c>
      <c r="AI163" s="234" t="s">
        <v>25</v>
      </c>
      <c r="AJ163" s="188" t="s">
        <v>25</v>
      </c>
      <c r="AK163" s="188" t="s">
        <v>19</v>
      </c>
      <c r="AL163" s="234" t="s">
        <v>306</v>
      </c>
      <c r="AM163" s="188" t="s">
        <v>306</v>
      </c>
      <c r="AN163" s="188" t="s">
        <v>306</v>
      </c>
      <c r="AO163" s="234" t="s">
        <v>306</v>
      </c>
      <c r="AP163" s="235" t="s">
        <v>306</v>
      </c>
      <c r="AQ163" s="188" t="s">
        <v>25</v>
      </c>
      <c r="AR163" s="188" t="s">
        <v>306</v>
      </c>
      <c r="AS163" s="234" t="s">
        <v>25</v>
      </c>
      <c r="AT163" s="188" t="s">
        <v>25</v>
      </c>
      <c r="AU163" s="188" t="s">
        <v>25</v>
      </c>
      <c r="AV163" s="234" t="s">
        <v>25</v>
      </c>
      <c r="AW163" s="188" t="s">
        <v>306</v>
      </c>
      <c r="AX163" s="188" t="s">
        <v>306</v>
      </c>
      <c r="AY163" s="234" t="s">
        <v>306</v>
      </c>
      <c r="AZ163" s="188" t="s">
        <v>25</v>
      </c>
      <c r="BA163" s="188" t="s">
        <v>306</v>
      </c>
      <c r="BB163" s="234" t="s">
        <v>25</v>
      </c>
      <c r="BC163" s="235" t="s">
        <v>25</v>
      </c>
      <c r="BD163" s="188"/>
    </row>
    <row r="164" spans="1:56" ht="12.75" customHeight="1" x14ac:dyDescent="0.25">
      <c r="A164" s="238">
        <v>44798.398839988426</v>
      </c>
      <c r="B164" s="137" t="s">
        <v>304</v>
      </c>
      <c r="C164" s="211" t="s">
        <v>595</v>
      </c>
      <c r="D164" s="211" t="s">
        <v>17</v>
      </c>
      <c r="E164" s="232" t="s">
        <v>515</v>
      </c>
      <c r="F164" s="188" t="s">
        <v>759</v>
      </c>
      <c r="G164" s="211" t="s">
        <v>24</v>
      </c>
      <c r="H164" s="211">
        <v>11</v>
      </c>
      <c r="I164" s="188" t="s">
        <v>531</v>
      </c>
      <c r="J164" s="188" t="s">
        <v>532</v>
      </c>
      <c r="K164" s="209" t="s">
        <v>539</v>
      </c>
      <c r="L164" s="188" t="s">
        <v>518</v>
      </c>
      <c r="M164" s="188" t="s">
        <v>412</v>
      </c>
      <c r="N164" s="188"/>
      <c r="O164" s="188"/>
      <c r="P164" s="188"/>
      <c r="Q164" s="188" t="s">
        <v>306</v>
      </c>
      <c r="R164" s="188" t="s">
        <v>25</v>
      </c>
      <c r="S164" s="234" t="s">
        <v>25</v>
      </c>
      <c r="T164" s="188" t="s">
        <v>306</v>
      </c>
      <c r="U164" s="188" t="s">
        <v>25</v>
      </c>
      <c r="V164" s="234" t="s">
        <v>25</v>
      </c>
      <c r="W164" s="188" t="s">
        <v>25</v>
      </c>
      <c r="X164" s="188" t="s">
        <v>25</v>
      </c>
      <c r="Y164" s="234" t="s">
        <v>25</v>
      </c>
      <c r="Z164" s="188" t="s">
        <v>306</v>
      </c>
      <c r="AA164" s="188" t="s">
        <v>25</v>
      </c>
      <c r="AB164" s="234" t="s">
        <v>25</v>
      </c>
      <c r="AC164" s="235" t="s">
        <v>25</v>
      </c>
      <c r="AD164" s="188" t="s">
        <v>25</v>
      </c>
      <c r="AE164" s="188" t="s">
        <v>25</v>
      </c>
      <c r="AF164" s="234" t="s">
        <v>25</v>
      </c>
      <c r="AG164" s="188" t="s">
        <v>306</v>
      </c>
      <c r="AH164" s="188" t="s">
        <v>19</v>
      </c>
      <c r="AI164" s="234" t="s">
        <v>306</v>
      </c>
      <c r="AJ164" s="188" t="s">
        <v>19</v>
      </c>
      <c r="AK164" s="188" t="s">
        <v>306</v>
      </c>
      <c r="AL164" s="234" t="s">
        <v>306</v>
      </c>
      <c r="AM164" s="188" t="s">
        <v>19</v>
      </c>
      <c r="AN164" s="188" t="s">
        <v>306</v>
      </c>
      <c r="AO164" s="234" t="s">
        <v>306</v>
      </c>
      <c r="AP164" s="235" t="s">
        <v>306</v>
      </c>
      <c r="AQ164" s="188" t="s">
        <v>19</v>
      </c>
      <c r="AR164" s="188" t="s">
        <v>306</v>
      </c>
      <c r="AS164" s="234" t="s">
        <v>306</v>
      </c>
      <c r="AT164" s="188" t="s">
        <v>306</v>
      </c>
      <c r="AU164" s="188" t="s">
        <v>19</v>
      </c>
      <c r="AV164" s="234" t="s">
        <v>306</v>
      </c>
      <c r="AW164" s="188" t="s">
        <v>19</v>
      </c>
      <c r="AX164" s="188" t="s">
        <v>306</v>
      </c>
      <c r="AY164" s="234" t="s">
        <v>306</v>
      </c>
      <c r="AZ164" s="188" t="s">
        <v>19</v>
      </c>
      <c r="BA164" s="188" t="s">
        <v>19</v>
      </c>
      <c r="BB164" s="234" t="s">
        <v>306</v>
      </c>
      <c r="BC164" s="235" t="s">
        <v>306</v>
      </c>
      <c r="BD164" s="188"/>
    </row>
    <row r="165" spans="1:56" ht="12.75" customHeight="1" x14ac:dyDescent="0.25">
      <c r="A165" s="238">
        <v>44798.423423912041</v>
      </c>
      <c r="B165" s="137" t="s">
        <v>304</v>
      </c>
      <c r="C165" s="211" t="s">
        <v>595</v>
      </c>
      <c r="D165" s="211" t="s">
        <v>17</v>
      </c>
      <c r="E165" s="232" t="s">
        <v>515</v>
      </c>
      <c r="F165" s="188" t="s">
        <v>534</v>
      </c>
      <c r="G165" s="211" t="s">
        <v>24</v>
      </c>
      <c r="H165" s="211">
        <v>11</v>
      </c>
      <c r="I165" s="188" t="s">
        <v>531</v>
      </c>
      <c r="J165" s="188" t="s">
        <v>532</v>
      </c>
      <c r="K165" s="209" t="s">
        <v>539</v>
      </c>
      <c r="L165" s="188" t="s">
        <v>518</v>
      </c>
      <c r="M165" s="188" t="s">
        <v>412</v>
      </c>
      <c r="N165" s="188"/>
      <c r="O165" s="188"/>
      <c r="P165" s="188"/>
      <c r="Q165" s="188" t="s">
        <v>306</v>
      </c>
      <c r="R165" s="188" t="s">
        <v>306</v>
      </c>
      <c r="S165" s="234" t="s">
        <v>306</v>
      </c>
      <c r="T165" s="188" t="s">
        <v>19</v>
      </c>
      <c r="U165" s="188" t="s">
        <v>25</v>
      </c>
      <c r="V165" s="234" t="s">
        <v>306</v>
      </c>
      <c r="W165" s="188" t="s">
        <v>19</v>
      </c>
      <c r="X165" s="188" t="s">
        <v>19</v>
      </c>
      <c r="Y165" s="234" t="s">
        <v>19</v>
      </c>
      <c r="Z165" s="188" t="s">
        <v>306</v>
      </c>
      <c r="AA165" s="188" t="s">
        <v>19</v>
      </c>
      <c r="AB165" s="234" t="s">
        <v>306</v>
      </c>
      <c r="AC165" s="235" t="s">
        <v>306</v>
      </c>
      <c r="AD165" s="188" t="s">
        <v>306</v>
      </c>
      <c r="AE165" s="188" t="s">
        <v>25</v>
      </c>
      <c r="AF165" s="234" t="s">
        <v>25</v>
      </c>
      <c r="AG165" s="188" t="s">
        <v>306</v>
      </c>
      <c r="AH165" s="188" t="s">
        <v>306</v>
      </c>
      <c r="AI165" s="234" t="s">
        <v>306</v>
      </c>
      <c r="AJ165" s="188" t="s">
        <v>306</v>
      </c>
      <c r="AK165" s="188" t="s">
        <v>306</v>
      </c>
      <c r="AL165" s="234" t="s">
        <v>306</v>
      </c>
      <c r="AM165" s="188" t="s">
        <v>19</v>
      </c>
      <c r="AN165" s="188" t="s">
        <v>19</v>
      </c>
      <c r="AO165" s="234" t="s">
        <v>19</v>
      </c>
      <c r="AP165" s="235" t="s">
        <v>306</v>
      </c>
      <c r="AQ165" s="188" t="s">
        <v>25</v>
      </c>
      <c r="AR165" s="188" t="s">
        <v>25</v>
      </c>
      <c r="AS165" s="234" t="s">
        <v>25</v>
      </c>
      <c r="AT165" s="188" t="s">
        <v>25</v>
      </c>
      <c r="AU165" s="188" t="s">
        <v>25</v>
      </c>
      <c r="AV165" s="234" t="s">
        <v>25</v>
      </c>
      <c r="AW165" s="188" t="s">
        <v>306</v>
      </c>
      <c r="AX165" s="188" t="s">
        <v>306</v>
      </c>
      <c r="AY165" s="234" t="s">
        <v>306</v>
      </c>
      <c r="AZ165" s="188" t="s">
        <v>306</v>
      </c>
      <c r="BA165" s="188" t="s">
        <v>25</v>
      </c>
      <c r="BB165" s="234" t="s">
        <v>306</v>
      </c>
      <c r="BC165" s="235" t="s">
        <v>25</v>
      </c>
      <c r="BD165" s="188"/>
    </row>
    <row r="166" spans="1:56" ht="12.75" customHeight="1" x14ac:dyDescent="0.25">
      <c r="A166" s="238">
        <v>44798.442969490745</v>
      </c>
      <c r="B166" s="137" t="s">
        <v>304</v>
      </c>
      <c r="C166" s="211" t="s">
        <v>595</v>
      </c>
      <c r="D166" s="211" t="s">
        <v>17</v>
      </c>
      <c r="E166" s="232" t="s">
        <v>515</v>
      </c>
      <c r="F166" s="188" t="s">
        <v>535</v>
      </c>
      <c r="G166" s="211" t="s">
        <v>18</v>
      </c>
      <c r="H166" s="211">
        <v>11</v>
      </c>
      <c r="I166" s="188" t="s">
        <v>531</v>
      </c>
      <c r="J166" s="188" t="s">
        <v>532</v>
      </c>
      <c r="K166" s="209" t="s">
        <v>539</v>
      </c>
      <c r="L166" s="188" t="s">
        <v>518</v>
      </c>
      <c r="M166" s="188" t="s">
        <v>375</v>
      </c>
      <c r="N166" s="188"/>
      <c r="O166" s="188"/>
      <c r="P166" s="188"/>
      <c r="Q166" s="188" t="s">
        <v>25</v>
      </c>
      <c r="R166" s="188" t="s">
        <v>19</v>
      </c>
      <c r="S166" s="234" t="s">
        <v>306</v>
      </c>
      <c r="T166" s="188" t="s">
        <v>19</v>
      </c>
      <c r="U166" s="188" t="s">
        <v>25</v>
      </c>
      <c r="V166" s="234" t="s">
        <v>306</v>
      </c>
      <c r="W166" s="188" t="s">
        <v>306</v>
      </c>
      <c r="X166" s="188" t="s">
        <v>25</v>
      </c>
      <c r="Y166" s="234" t="s">
        <v>25</v>
      </c>
      <c r="Z166" s="188" t="s">
        <v>19</v>
      </c>
      <c r="AA166" s="188" t="s">
        <v>25</v>
      </c>
      <c r="AB166" s="234" t="s">
        <v>306</v>
      </c>
      <c r="AC166" s="235" t="s">
        <v>306</v>
      </c>
      <c r="AD166" s="188" t="s">
        <v>306</v>
      </c>
      <c r="AE166" s="188" t="s">
        <v>25</v>
      </c>
      <c r="AF166" s="234" t="s">
        <v>25</v>
      </c>
      <c r="AG166" s="188" t="s">
        <v>25</v>
      </c>
      <c r="AH166" s="188" t="s">
        <v>19</v>
      </c>
      <c r="AI166" s="234" t="s">
        <v>306</v>
      </c>
      <c r="AJ166" s="188" t="s">
        <v>19</v>
      </c>
      <c r="AK166" s="188" t="s">
        <v>25</v>
      </c>
      <c r="AL166" s="234" t="s">
        <v>306</v>
      </c>
      <c r="AM166" s="188" t="s">
        <v>25</v>
      </c>
      <c r="AN166" s="188" t="s">
        <v>306</v>
      </c>
      <c r="AO166" s="234" t="s">
        <v>25</v>
      </c>
      <c r="AP166" s="235" t="s">
        <v>306</v>
      </c>
      <c r="AQ166" s="188" t="s">
        <v>25</v>
      </c>
      <c r="AR166" s="188" t="s">
        <v>25</v>
      </c>
      <c r="AS166" s="234" t="s">
        <v>25</v>
      </c>
      <c r="AT166" s="188" t="s">
        <v>306</v>
      </c>
      <c r="AU166" s="188" t="s">
        <v>25</v>
      </c>
      <c r="AV166" s="234" t="s">
        <v>25</v>
      </c>
      <c r="AW166" s="188" t="s">
        <v>306</v>
      </c>
      <c r="AX166" s="188" t="s">
        <v>25</v>
      </c>
      <c r="AY166" s="234" t="s">
        <v>25</v>
      </c>
      <c r="AZ166" s="188" t="s">
        <v>25</v>
      </c>
      <c r="BA166" s="188" t="s">
        <v>306</v>
      </c>
      <c r="BB166" s="234" t="s">
        <v>25</v>
      </c>
      <c r="BC166" s="235" t="s">
        <v>25</v>
      </c>
      <c r="BD166" s="188"/>
    </row>
    <row r="167" spans="1:56" ht="12.75" customHeight="1" x14ac:dyDescent="0.25">
      <c r="A167" s="238">
        <v>44798.445070092595</v>
      </c>
      <c r="B167" s="137" t="s">
        <v>304</v>
      </c>
      <c r="C167" s="211" t="s">
        <v>595</v>
      </c>
      <c r="D167" s="211" t="s">
        <v>17</v>
      </c>
      <c r="E167" s="232" t="s">
        <v>515</v>
      </c>
      <c r="F167" s="188" t="s">
        <v>760</v>
      </c>
      <c r="G167" s="211" t="s">
        <v>18</v>
      </c>
      <c r="H167" s="211">
        <v>12</v>
      </c>
      <c r="I167" s="188" t="s">
        <v>531</v>
      </c>
      <c r="J167" s="188" t="s">
        <v>532</v>
      </c>
      <c r="K167" s="209" t="s">
        <v>539</v>
      </c>
      <c r="L167" s="188" t="s">
        <v>518</v>
      </c>
      <c r="M167" s="188" t="s">
        <v>412</v>
      </c>
      <c r="N167" s="188"/>
      <c r="O167" s="188"/>
      <c r="P167" s="188"/>
      <c r="Q167" s="188" t="s">
        <v>25</v>
      </c>
      <c r="R167" s="188" t="s">
        <v>25</v>
      </c>
      <c r="S167" s="234" t="s">
        <v>25</v>
      </c>
      <c r="T167" s="188" t="s">
        <v>19</v>
      </c>
      <c r="U167" s="188" t="s">
        <v>25</v>
      </c>
      <c r="V167" s="234" t="s">
        <v>306</v>
      </c>
      <c r="W167" s="188" t="s">
        <v>306</v>
      </c>
      <c r="X167" s="188" t="s">
        <v>306</v>
      </c>
      <c r="Y167" s="234" t="s">
        <v>306</v>
      </c>
      <c r="Z167" s="188" t="s">
        <v>306</v>
      </c>
      <c r="AA167" s="188" t="s">
        <v>25</v>
      </c>
      <c r="AB167" s="234" t="s">
        <v>25</v>
      </c>
      <c r="AC167" s="235" t="s">
        <v>306</v>
      </c>
      <c r="AD167" s="188" t="s">
        <v>306</v>
      </c>
      <c r="AE167" s="188" t="s">
        <v>306</v>
      </c>
      <c r="AF167" s="234" t="s">
        <v>306</v>
      </c>
      <c r="AG167" s="188" t="s">
        <v>306</v>
      </c>
      <c r="AH167" s="188" t="s">
        <v>306</v>
      </c>
      <c r="AI167" s="234" t="s">
        <v>306</v>
      </c>
      <c r="AJ167" s="188" t="s">
        <v>306</v>
      </c>
      <c r="AK167" s="188" t="s">
        <v>306</v>
      </c>
      <c r="AL167" s="234" t="s">
        <v>306</v>
      </c>
      <c r="AM167" s="188" t="s">
        <v>25</v>
      </c>
      <c r="AN167" s="188" t="s">
        <v>306</v>
      </c>
      <c r="AO167" s="234" t="s">
        <v>25</v>
      </c>
      <c r="AP167" s="235" t="s">
        <v>306</v>
      </c>
      <c r="AQ167" s="188" t="s">
        <v>25</v>
      </c>
      <c r="AR167" s="188" t="s">
        <v>25</v>
      </c>
      <c r="AS167" s="234" t="s">
        <v>25</v>
      </c>
      <c r="AT167" s="188" t="s">
        <v>25</v>
      </c>
      <c r="AU167" s="188" t="s">
        <v>25</v>
      </c>
      <c r="AV167" s="234" t="s">
        <v>25</v>
      </c>
      <c r="AW167" s="188" t="s">
        <v>25</v>
      </c>
      <c r="AX167" s="188" t="s">
        <v>25</v>
      </c>
      <c r="AY167" s="234" t="s">
        <v>25</v>
      </c>
      <c r="AZ167" s="188" t="s">
        <v>25</v>
      </c>
      <c r="BA167" s="188" t="s">
        <v>25</v>
      </c>
      <c r="BB167" s="234" t="s">
        <v>25</v>
      </c>
      <c r="BC167" s="235" t="s">
        <v>25</v>
      </c>
      <c r="BD167" s="188"/>
    </row>
    <row r="168" spans="1:56" ht="12.75" customHeight="1" x14ac:dyDescent="0.25">
      <c r="A168" s="238">
        <v>44798.449718587959</v>
      </c>
      <c r="B168" s="137" t="s">
        <v>304</v>
      </c>
      <c r="C168" s="211" t="s">
        <v>595</v>
      </c>
      <c r="D168" s="211" t="s">
        <v>17</v>
      </c>
      <c r="E168" s="232" t="s">
        <v>515</v>
      </c>
      <c r="F168" s="188" t="s">
        <v>761</v>
      </c>
      <c r="G168" s="211" t="s">
        <v>18</v>
      </c>
      <c r="H168" s="211">
        <v>12</v>
      </c>
      <c r="I168" s="188" t="s">
        <v>531</v>
      </c>
      <c r="J168" s="188" t="s">
        <v>532</v>
      </c>
      <c r="K168" s="209" t="s">
        <v>539</v>
      </c>
      <c r="L168" s="188" t="s">
        <v>518</v>
      </c>
      <c r="M168" s="188" t="s">
        <v>401</v>
      </c>
      <c r="N168" s="188"/>
      <c r="O168" s="188"/>
      <c r="P168" s="188"/>
      <c r="Q168" s="188" t="s">
        <v>306</v>
      </c>
      <c r="R168" s="188" t="s">
        <v>25</v>
      </c>
      <c r="S168" s="234" t="s">
        <v>25</v>
      </c>
      <c r="T168" s="188" t="s">
        <v>306</v>
      </c>
      <c r="U168" s="188" t="s">
        <v>25</v>
      </c>
      <c r="V168" s="234" t="s">
        <v>25</v>
      </c>
      <c r="W168" s="188" t="s">
        <v>306</v>
      </c>
      <c r="X168" s="188" t="s">
        <v>25</v>
      </c>
      <c r="Y168" s="234" t="s">
        <v>25</v>
      </c>
      <c r="Z168" s="188" t="s">
        <v>306</v>
      </c>
      <c r="AA168" s="188" t="s">
        <v>306</v>
      </c>
      <c r="AB168" s="234" t="s">
        <v>306</v>
      </c>
      <c r="AC168" s="235" t="s">
        <v>306</v>
      </c>
      <c r="AD168" s="188" t="s">
        <v>25</v>
      </c>
      <c r="AE168" s="188" t="s">
        <v>25</v>
      </c>
      <c r="AF168" s="234" t="s">
        <v>25</v>
      </c>
      <c r="AG168" s="188" t="s">
        <v>306</v>
      </c>
      <c r="AH168" s="188" t="s">
        <v>19</v>
      </c>
      <c r="AI168" s="234" t="s">
        <v>306</v>
      </c>
      <c r="AJ168" s="188" t="s">
        <v>25</v>
      </c>
      <c r="AK168" s="188" t="s">
        <v>19</v>
      </c>
      <c r="AL168" s="234" t="s">
        <v>306</v>
      </c>
      <c r="AM168" s="188" t="s">
        <v>306</v>
      </c>
      <c r="AN168" s="188" t="s">
        <v>19</v>
      </c>
      <c r="AO168" s="234" t="s">
        <v>306</v>
      </c>
      <c r="AP168" s="235" t="s">
        <v>306</v>
      </c>
      <c r="AQ168" s="188" t="s">
        <v>19</v>
      </c>
      <c r="AR168" s="188" t="s">
        <v>25</v>
      </c>
      <c r="AS168" s="234" t="s">
        <v>306</v>
      </c>
      <c r="AT168" s="188" t="s">
        <v>25</v>
      </c>
      <c r="AU168" s="188" t="s">
        <v>306</v>
      </c>
      <c r="AV168" s="234" t="s">
        <v>25</v>
      </c>
      <c r="AW168" s="188" t="s">
        <v>19</v>
      </c>
      <c r="AX168" s="188" t="s">
        <v>19</v>
      </c>
      <c r="AY168" s="234" t="s">
        <v>19</v>
      </c>
      <c r="AZ168" s="188" t="s">
        <v>25</v>
      </c>
      <c r="BA168" s="188" t="s">
        <v>19</v>
      </c>
      <c r="BB168" s="234" t="s">
        <v>25</v>
      </c>
      <c r="BC168" s="235" t="s">
        <v>25</v>
      </c>
      <c r="BD168" s="188"/>
    </row>
    <row r="169" spans="1:56" ht="12.75" customHeight="1" x14ac:dyDescent="0.25">
      <c r="A169" s="238">
        <v>45264.714312673612</v>
      </c>
      <c r="B169" s="233" t="s">
        <v>384</v>
      </c>
      <c r="C169" s="209" t="s">
        <v>587</v>
      </c>
      <c r="D169" s="232" t="s">
        <v>17</v>
      </c>
      <c r="E169" s="232" t="s">
        <v>515</v>
      </c>
      <c r="F169" s="209" t="s">
        <v>762</v>
      </c>
      <c r="G169" s="232" t="s">
        <v>18</v>
      </c>
      <c r="H169" s="232">
        <v>12</v>
      </c>
      <c r="I169" s="209" t="s">
        <v>531</v>
      </c>
      <c r="J169" s="188"/>
      <c r="K169" s="209" t="s">
        <v>539</v>
      </c>
      <c r="L169" s="209" t="s">
        <v>531</v>
      </c>
      <c r="M169" s="188"/>
      <c r="N169" s="188"/>
      <c r="O169" s="188"/>
      <c r="P169" s="188"/>
      <c r="Q169" s="209" t="s">
        <v>306</v>
      </c>
      <c r="R169" s="209" t="s">
        <v>25</v>
      </c>
      <c r="S169" s="234" t="s">
        <v>25</v>
      </c>
      <c r="T169" s="209" t="s">
        <v>25</v>
      </c>
      <c r="U169" s="209" t="s">
        <v>25</v>
      </c>
      <c r="V169" s="234" t="s">
        <v>25</v>
      </c>
      <c r="W169" s="209" t="s">
        <v>19</v>
      </c>
      <c r="X169" s="209" t="s">
        <v>19</v>
      </c>
      <c r="Y169" s="234" t="s">
        <v>19</v>
      </c>
      <c r="Z169" s="209" t="s">
        <v>306</v>
      </c>
      <c r="AA169" s="209" t="s">
        <v>19</v>
      </c>
      <c r="AB169" s="234" t="s">
        <v>306</v>
      </c>
      <c r="AC169" s="235" t="s">
        <v>306</v>
      </c>
      <c r="AD169" s="209" t="s">
        <v>306</v>
      </c>
      <c r="AE169" s="209" t="s">
        <v>306</v>
      </c>
      <c r="AF169" s="234" t="s">
        <v>306</v>
      </c>
      <c r="AG169" s="209" t="s">
        <v>306</v>
      </c>
      <c r="AH169" s="209" t="s">
        <v>19</v>
      </c>
      <c r="AI169" s="234" t="s">
        <v>306</v>
      </c>
      <c r="AJ169" s="209" t="s">
        <v>19</v>
      </c>
      <c r="AK169" s="209" t="s">
        <v>19</v>
      </c>
      <c r="AL169" s="234" t="s">
        <v>19</v>
      </c>
      <c r="AM169" s="209" t="s">
        <v>19</v>
      </c>
      <c r="AN169" s="209" t="s">
        <v>19</v>
      </c>
      <c r="AO169" s="234" t="s">
        <v>19</v>
      </c>
      <c r="AP169" s="235" t="s">
        <v>19</v>
      </c>
      <c r="AQ169" s="209" t="s">
        <v>19</v>
      </c>
      <c r="AR169" s="209" t="s">
        <v>25</v>
      </c>
      <c r="AS169" s="234" t="s">
        <v>306</v>
      </c>
      <c r="AT169" s="209" t="s">
        <v>19</v>
      </c>
      <c r="AU169" s="209" t="s">
        <v>19</v>
      </c>
      <c r="AV169" s="234" t="s">
        <v>19</v>
      </c>
      <c r="AW169" s="209" t="s">
        <v>19</v>
      </c>
      <c r="AX169" s="209" t="s">
        <v>19</v>
      </c>
      <c r="AY169" s="234" t="s">
        <v>19</v>
      </c>
      <c r="AZ169" s="209" t="s">
        <v>19</v>
      </c>
      <c r="BA169" s="209" t="s">
        <v>25</v>
      </c>
      <c r="BB169" s="234" t="s">
        <v>25</v>
      </c>
      <c r="BC169" s="235" t="s">
        <v>306</v>
      </c>
      <c r="BD169" s="188"/>
    </row>
    <row r="170" spans="1:56" ht="12.75" customHeight="1" x14ac:dyDescent="0.25">
      <c r="A170" s="238">
        <v>45264.718045405098</v>
      </c>
      <c r="B170" s="233" t="s">
        <v>384</v>
      </c>
      <c r="C170" s="209" t="s">
        <v>587</v>
      </c>
      <c r="D170" s="232" t="s">
        <v>17</v>
      </c>
      <c r="E170" s="232" t="s">
        <v>515</v>
      </c>
      <c r="F170" s="209" t="s">
        <v>763</v>
      </c>
      <c r="G170" s="232" t="s">
        <v>18</v>
      </c>
      <c r="H170" s="232">
        <v>13</v>
      </c>
      <c r="I170" s="209" t="s">
        <v>531</v>
      </c>
      <c r="J170" s="188"/>
      <c r="K170" s="209" t="s">
        <v>539</v>
      </c>
      <c r="L170" s="209" t="s">
        <v>531</v>
      </c>
      <c r="M170" s="188"/>
      <c r="N170" s="188"/>
      <c r="O170" s="188"/>
      <c r="P170" s="188"/>
      <c r="Q170" s="209" t="s">
        <v>306</v>
      </c>
      <c r="R170" s="209" t="s">
        <v>25</v>
      </c>
      <c r="S170" s="234" t="s">
        <v>25</v>
      </c>
      <c r="T170" s="209" t="s">
        <v>25</v>
      </c>
      <c r="U170" s="209" t="s">
        <v>25</v>
      </c>
      <c r="V170" s="234" t="s">
        <v>25</v>
      </c>
      <c r="W170" s="209" t="s">
        <v>19</v>
      </c>
      <c r="X170" s="209" t="s">
        <v>19</v>
      </c>
      <c r="Y170" s="234" t="s">
        <v>19</v>
      </c>
      <c r="Z170" s="209" t="s">
        <v>25</v>
      </c>
      <c r="AA170" s="209" t="s">
        <v>19</v>
      </c>
      <c r="AB170" s="234" t="s">
        <v>306</v>
      </c>
      <c r="AC170" s="235" t="s">
        <v>306</v>
      </c>
      <c r="AD170" s="209" t="s">
        <v>25</v>
      </c>
      <c r="AE170" s="209" t="s">
        <v>25</v>
      </c>
      <c r="AF170" s="234" t="s">
        <v>25</v>
      </c>
      <c r="AG170" s="209" t="s">
        <v>19</v>
      </c>
      <c r="AH170" s="209" t="s">
        <v>19</v>
      </c>
      <c r="AI170" s="234" t="s">
        <v>19</v>
      </c>
      <c r="AJ170" s="209" t="s">
        <v>19</v>
      </c>
      <c r="AK170" s="209" t="s">
        <v>19</v>
      </c>
      <c r="AL170" s="234" t="s">
        <v>19</v>
      </c>
      <c r="AM170" s="209" t="s">
        <v>19</v>
      </c>
      <c r="AN170" s="209" t="s">
        <v>19</v>
      </c>
      <c r="AO170" s="234" t="s">
        <v>19</v>
      </c>
      <c r="AP170" s="235" t="s">
        <v>306</v>
      </c>
      <c r="AQ170" s="209" t="s">
        <v>19</v>
      </c>
      <c r="AR170" s="209" t="s">
        <v>25</v>
      </c>
      <c r="AS170" s="234" t="s">
        <v>306</v>
      </c>
      <c r="AT170" s="209" t="s">
        <v>19</v>
      </c>
      <c r="AU170" s="209" t="s">
        <v>19</v>
      </c>
      <c r="AV170" s="234" t="s">
        <v>19</v>
      </c>
      <c r="AW170" s="209" t="s">
        <v>19</v>
      </c>
      <c r="AX170" s="209" t="s">
        <v>19</v>
      </c>
      <c r="AY170" s="234" t="s">
        <v>19</v>
      </c>
      <c r="AZ170" s="209" t="s">
        <v>19</v>
      </c>
      <c r="BA170" s="209" t="s">
        <v>25</v>
      </c>
      <c r="BB170" s="234" t="s">
        <v>19</v>
      </c>
      <c r="BC170" s="235" t="s">
        <v>306</v>
      </c>
      <c r="BD170" s="188"/>
    </row>
    <row r="171" spans="1:56" ht="12.75" customHeight="1" x14ac:dyDescent="0.25">
      <c r="A171" s="238">
        <v>45264.722386724534</v>
      </c>
      <c r="B171" s="233" t="s">
        <v>384</v>
      </c>
      <c r="C171" s="209" t="s">
        <v>587</v>
      </c>
      <c r="D171" s="232" t="s">
        <v>17</v>
      </c>
      <c r="E171" s="232" t="s">
        <v>515</v>
      </c>
      <c r="F171" s="209" t="s">
        <v>764</v>
      </c>
      <c r="G171" s="232" t="s">
        <v>18</v>
      </c>
      <c r="H171" s="232">
        <v>11</v>
      </c>
      <c r="I171" s="209" t="s">
        <v>531</v>
      </c>
      <c r="J171" s="188"/>
      <c r="K171" s="209" t="s">
        <v>539</v>
      </c>
      <c r="L171" s="209" t="s">
        <v>531</v>
      </c>
      <c r="M171" s="188"/>
      <c r="N171" s="188"/>
      <c r="O171" s="188"/>
      <c r="P171" s="188"/>
      <c r="Q171" s="209" t="s">
        <v>19</v>
      </c>
      <c r="R171" s="209" t="s">
        <v>25</v>
      </c>
      <c r="S171" s="234" t="s">
        <v>306</v>
      </c>
      <c r="T171" s="209" t="s">
        <v>25</v>
      </c>
      <c r="U171" s="209" t="s">
        <v>25</v>
      </c>
      <c r="V171" s="234" t="s">
        <v>25</v>
      </c>
      <c r="W171" s="209" t="s">
        <v>19</v>
      </c>
      <c r="X171" s="209" t="s">
        <v>19</v>
      </c>
      <c r="Y171" s="234" t="s">
        <v>19</v>
      </c>
      <c r="Z171" s="209" t="s">
        <v>19</v>
      </c>
      <c r="AA171" s="209" t="s">
        <v>25</v>
      </c>
      <c r="AB171" s="234" t="s">
        <v>306</v>
      </c>
      <c r="AC171" s="235" t="s">
        <v>306</v>
      </c>
      <c r="AD171" s="209" t="s">
        <v>19</v>
      </c>
      <c r="AE171" s="209" t="s">
        <v>25</v>
      </c>
      <c r="AF171" s="234" t="s">
        <v>306</v>
      </c>
      <c r="AG171" s="209" t="s">
        <v>19</v>
      </c>
      <c r="AH171" s="209" t="s">
        <v>306</v>
      </c>
      <c r="AI171" s="234" t="s">
        <v>306</v>
      </c>
      <c r="AJ171" s="209" t="s">
        <v>19</v>
      </c>
      <c r="AK171" s="209" t="s">
        <v>25</v>
      </c>
      <c r="AL171" s="234" t="s">
        <v>306</v>
      </c>
      <c r="AM171" s="209" t="s">
        <v>25</v>
      </c>
      <c r="AN171" s="209" t="s">
        <v>25</v>
      </c>
      <c r="AO171" s="234" t="s">
        <v>25</v>
      </c>
      <c r="AP171" s="235" t="s">
        <v>306</v>
      </c>
      <c r="AQ171" s="209" t="s">
        <v>19</v>
      </c>
      <c r="AR171" s="209" t="s">
        <v>25</v>
      </c>
      <c r="AS171" s="234" t="s">
        <v>306</v>
      </c>
      <c r="AT171" s="209" t="s">
        <v>306</v>
      </c>
      <c r="AU171" s="209" t="s">
        <v>19</v>
      </c>
      <c r="AV171" s="234" t="s">
        <v>306</v>
      </c>
      <c r="AW171" s="209" t="s">
        <v>19</v>
      </c>
      <c r="AX171" s="209" t="s">
        <v>306</v>
      </c>
      <c r="AY171" s="234" t="s">
        <v>306</v>
      </c>
      <c r="AZ171" s="209" t="s">
        <v>19</v>
      </c>
      <c r="BA171" s="209" t="s">
        <v>25</v>
      </c>
      <c r="BB171" s="234" t="s">
        <v>25</v>
      </c>
      <c r="BC171" s="235" t="s">
        <v>25</v>
      </c>
      <c r="BD171" s="188"/>
    </row>
    <row r="172" spans="1:56" ht="12.75" customHeight="1" x14ac:dyDescent="0.25">
      <c r="A172" s="238">
        <v>45264.759074907408</v>
      </c>
      <c r="B172" s="233" t="s">
        <v>384</v>
      </c>
      <c r="C172" s="209" t="s">
        <v>587</v>
      </c>
      <c r="D172" s="232" t="s">
        <v>17</v>
      </c>
      <c r="E172" s="232" t="s">
        <v>515</v>
      </c>
      <c r="F172" s="209" t="s">
        <v>765</v>
      </c>
      <c r="G172" s="232" t="s">
        <v>18</v>
      </c>
      <c r="H172" s="232">
        <v>14</v>
      </c>
      <c r="I172" s="209" t="s">
        <v>531</v>
      </c>
      <c r="J172" s="188"/>
      <c r="K172" s="209" t="s">
        <v>539</v>
      </c>
      <c r="L172" s="209" t="s">
        <v>531</v>
      </c>
      <c r="M172" s="188"/>
      <c r="N172" s="188"/>
      <c r="O172" s="188"/>
      <c r="P172" s="188"/>
      <c r="Q172" s="209" t="s">
        <v>19</v>
      </c>
      <c r="R172" s="209" t="s">
        <v>306</v>
      </c>
      <c r="S172" s="234" t="s">
        <v>306</v>
      </c>
      <c r="T172" s="209" t="s">
        <v>25</v>
      </c>
      <c r="U172" s="209" t="s">
        <v>25</v>
      </c>
      <c r="V172" s="234" t="s">
        <v>25</v>
      </c>
      <c r="W172" s="209" t="s">
        <v>25</v>
      </c>
      <c r="X172" s="209" t="s">
        <v>306</v>
      </c>
      <c r="Y172" s="234" t="s">
        <v>25</v>
      </c>
      <c r="Z172" s="209" t="s">
        <v>19</v>
      </c>
      <c r="AA172" s="209" t="s">
        <v>306</v>
      </c>
      <c r="AB172" s="234" t="s">
        <v>306</v>
      </c>
      <c r="AC172" s="235" t="s">
        <v>306</v>
      </c>
      <c r="AD172" s="209" t="s">
        <v>306</v>
      </c>
      <c r="AE172" s="209" t="s">
        <v>19</v>
      </c>
      <c r="AF172" s="234" t="s">
        <v>306</v>
      </c>
      <c r="AG172" s="209" t="s">
        <v>19</v>
      </c>
      <c r="AH172" s="209" t="s">
        <v>25</v>
      </c>
      <c r="AI172" s="234" t="s">
        <v>306</v>
      </c>
      <c r="AJ172" s="209" t="s">
        <v>306</v>
      </c>
      <c r="AK172" s="209" t="s">
        <v>19</v>
      </c>
      <c r="AL172" s="234" t="s">
        <v>306</v>
      </c>
      <c r="AM172" s="209" t="s">
        <v>25</v>
      </c>
      <c r="AN172" s="209" t="s">
        <v>306</v>
      </c>
      <c r="AO172" s="234" t="s">
        <v>25</v>
      </c>
      <c r="AP172" s="235" t="s">
        <v>306</v>
      </c>
      <c r="AQ172" s="209" t="s">
        <v>306</v>
      </c>
      <c r="AR172" s="209" t="s">
        <v>19</v>
      </c>
      <c r="AS172" s="234" t="s">
        <v>306</v>
      </c>
      <c r="AT172" s="209" t="s">
        <v>19</v>
      </c>
      <c r="AU172" s="209" t="s">
        <v>19</v>
      </c>
      <c r="AV172" s="234" t="s">
        <v>19</v>
      </c>
      <c r="AW172" s="209" t="s">
        <v>19</v>
      </c>
      <c r="AX172" s="209" t="s">
        <v>306</v>
      </c>
      <c r="AY172" s="234" t="s">
        <v>306</v>
      </c>
      <c r="AZ172" s="209" t="s">
        <v>306</v>
      </c>
      <c r="BA172" s="209" t="s">
        <v>25</v>
      </c>
      <c r="BB172" s="234" t="s">
        <v>25</v>
      </c>
      <c r="BC172" s="235" t="s">
        <v>25</v>
      </c>
      <c r="BD172" s="188"/>
    </row>
    <row r="173" spans="1:56" ht="12.75" customHeight="1" x14ac:dyDescent="0.25">
      <c r="A173" s="238">
        <v>45264.761939988428</v>
      </c>
      <c r="B173" s="233" t="s">
        <v>384</v>
      </c>
      <c r="C173" s="209" t="s">
        <v>587</v>
      </c>
      <c r="D173" s="232" t="s">
        <v>17</v>
      </c>
      <c r="E173" s="232" t="s">
        <v>515</v>
      </c>
      <c r="F173" s="209" t="s">
        <v>766</v>
      </c>
      <c r="G173" s="232" t="s">
        <v>18</v>
      </c>
      <c r="H173" s="232">
        <v>11</v>
      </c>
      <c r="I173" s="209" t="s">
        <v>531</v>
      </c>
      <c r="J173" s="188"/>
      <c r="K173" s="209" t="s">
        <v>539</v>
      </c>
      <c r="L173" s="209" t="s">
        <v>531</v>
      </c>
      <c r="M173" s="188"/>
      <c r="N173" s="188"/>
      <c r="O173" s="188"/>
      <c r="P173" s="188"/>
      <c r="Q173" s="209" t="s">
        <v>306</v>
      </c>
      <c r="R173" s="209" t="s">
        <v>306</v>
      </c>
      <c r="S173" s="234" t="s">
        <v>306</v>
      </c>
      <c r="T173" s="209" t="s">
        <v>306</v>
      </c>
      <c r="U173" s="209" t="s">
        <v>306</v>
      </c>
      <c r="V173" s="234" t="s">
        <v>306</v>
      </c>
      <c r="W173" s="209" t="s">
        <v>306</v>
      </c>
      <c r="X173" s="209" t="s">
        <v>306</v>
      </c>
      <c r="Y173" s="234" t="s">
        <v>306</v>
      </c>
      <c r="Z173" s="209" t="s">
        <v>306</v>
      </c>
      <c r="AA173" s="209" t="s">
        <v>306</v>
      </c>
      <c r="AB173" s="234" t="s">
        <v>306</v>
      </c>
      <c r="AC173" s="235" t="s">
        <v>306</v>
      </c>
      <c r="AD173" s="209" t="s">
        <v>306</v>
      </c>
      <c r="AE173" s="209" t="s">
        <v>19</v>
      </c>
      <c r="AF173" s="234" t="s">
        <v>306</v>
      </c>
      <c r="AG173" s="209" t="s">
        <v>306</v>
      </c>
      <c r="AH173" s="209" t="s">
        <v>306</v>
      </c>
      <c r="AI173" s="234" t="s">
        <v>306</v>
      </c>
      <c r="AJ173" s="209" t="s">
        <v>25</v>
      </c>
      <c r="AK173" s="209" t="s">
        <v>306</v>
      </c>
      <c r="AL173" s="234" t="s">
        <v>25</v>
      </c>
      <c r="AM173" s="209" t="s">
        <v>306</v>
      </c>
      <c r="AN173" s="209" t="s">
        <v>306</v>
      </c>
      <c r="AO173" s="234" t="s">
        <v>306</v>
      </c>
      <c r="AP173" s="235" t="s">
        <v>306</v>
      </c>
      <c r="AQ173" s="209" t="s">
        <v>306</v>
      </c>
      <c r="AR173" s="209" t="s">
        <v>306</v>
      </c>
      <c r="AS173" s="234" t="s">
        <v>306</v>
      </c>
      <c r="AT173" s="209" t="s">
        <v>306</v>
      </c>
      <c r="AU173" s="209" t="s">
        <v>25</v>
      </c>
      <c r="AV173" s="234" t="s">
        <v>25</v>
      </c>
      <c r="AW173" s="209" t="s">
        <v>306</v>
      </c>
      <c r="AX173" s="209" t="s">
        <v>306</v>
      </c>
      <c r="AY173" s="234" t="s">
        <v>306</v>
      </c>
      <c r="AZ173" s="209" t="s">
        <v>306</v>
      </c>
      <c r="BA173" s="209" t="s">
        <v>306</v>
      </c>
      <c r="BB173" s="234" t="s">
        <v>25</v>
      </c>
      <c r="BC173" s="235" t="s">
        <v>25</v>
      </c>
      <c r="BD173" s="188"/>
    </row>
    <row r="174" spans="1:56" ht="12.75" customHeight="1" x14ac:dyDescent="0.25">
      <c r="A174" s="238">
        <v>45264.930838576387</v>
      </c>
      <c r="B174" s="233" t="s">
        <v>384</v>
      </c>
      <c r="C174" s="209" t="s">
        <v>587</v>
      </c>
      <c r="D174" s="232" t="s">
        <v>17</v>
      </c>
      <c r="E174" s="232" t="s">
        <v>515</v>
      </c>
      <c r="F174" s="209" t="s">
        <v>767</v>
      </c>
      <c r="G174" s="232" t="s">
        <v>18</v>
      </c>
      <c r="H174" s="232">
        <v>11</v>
      </c>
      <c r="I174" s="209" t="s">
        <v>531</v>
      </c>
      <c r="J174" s="188"/>
      <c r="K174" s="209" t="s">
        <v>539</v>
      </c>
      <c r="L174" s="209" t="s">
        <v>531</v>
      </c>
      <c r="M174" s="188"/>
      <c r="N174" s="188"/>
      <c r="O174" s="188"/>
      <c r="P174" s="188"/>
      <c r="Q174" s="209" t="s">
        <v>25</v>
      </c>
      <c r="R174" s="209" t="s">
        <v>19</v>
      </c>
      <c r="S174" s="234" t="s">
        <v>306</v>
      </c>
      <c r="T174" s="209" t="s">
        <v>19</v>
      </c>
      <c r="U174" s="209" t="s">
        <v>19</v>
      </c>
      <c r="V174" s="234" t="s">
        <v>19</v>
      </c>
      <c r="W174" s="209" t="s">
        <v>19</v>
      </c>
      <c r="X174" s="209" t="s">
        <v>19</v>
      </c>
      <c r="Y174" s="234" t="s">
        <v>19</v>
      </c>
      <c r="Z174" s="209" t="s">
        <v>19</v>
      </c>
      <c r="AA174" s="209" t="s">
        <v>19</v>
      </c>
      <c r="AB174" s="234" t="s">
        <v>19</v>
      </c>
      <c r="AC174" s="235" t="s">
        <v>19</v>
      </c>
      <c r="AD174" s="209" t="s">
        <v>19</v>
      </c>
      <c r="AE174" s="209" t="s">
        <v>306</v>
      </c>
      <c r="AF174" s="234" t="s">
        <v>306</v>
      </c>
      <c r="AG174" s="209" t="s">
        <v>19</v>
      </c>
      <c r="AH174" s="209" t="s">
        <v>19</v>
      </c>
      <c r="AI174" s="234" t="s">
        <v>19</v>
      </c>
      <c r="AJ174" s="209" t="s">
        <v>19</v>
      </c>
      <c r="AK174" s="209" t="s">
        <v>19</v>
      </c>
      <c r="AL174" s="234" t="s">
        <v>19</v>
      </c>
      <c r="AM174" s="209" t="s">
        <v>306</v>
      </c>
      <c r="AN174" s="209" t="s">
        <v>19</v>
      </c>
      <c r="AO174" s="234" t="s">
        <v>306</v>
      </c>
      <c r="AP174" s="235" t="s">
        <v>19</v>
      </c>
      <c r="AQ174" s="209" t="s">
        <v>19</v>
      </c>
      <c r="AR174" s="209" t="s">
        <v>306</v>
      </c>
      <c r="AS174" s="234" t="s">
        <v>306</v>
      </c>
      <c r="AT174" s="209" t="s">
        <v>306</v>
      </c>
      <c r="AU174" s="209" t="s">
        <v>25</v>
      </c>
      <c r="AV174" s="234" t="s">
        <v>25</v>
      </c>
      <c r="AW174" s="209" t="s">
        <v>306</v>
      </c>
      <c r="AX174" s="209" t="s">
        <v>25</v>
      </c>
      <c r="AY174" s="234" t="s">
        <v>25</v>
      </c>
      <c r="AZ174" s="209" t="s">
        <v>25</v>
      </c>
      <c r="BA174" s="209" t="s">
        <v>25</v>
      </c>
      <c r="BB174" s="234" t="s">
        <v>306</v>
      </c>
      <c r="BC174" s="235" t="s">
        <v>306</v>
      </c>
      <c r="BD174" s="188"/>
    </row>
    <row r="175" spans="1:56" ht="12.75" customHeight="1" x14ac:dyDescent="0.25">
      <c r="A175" s="238">
        <v>45264.936488541665</v>
      </c>
      <c r="B175" s="233" t="s">
        <v>384</v>
      </c>
      <c r="C175" s="209" t="s">
        <v>587</v>
      </c>
      <c r="D175" s="232" t="s">
        <v>17</v>
      </c>
      <c r="E175" s="232" t="s">
        <v>515</v>
      </c>
      <c r="F175" s="209" t="s">
        <v>768</v>
      </c>
      <c r="G175" s="232" t="s">
        <v>24</v>
      </c>
      <c r="H175" s="232">
        <v>12</v>
      </c>
      <c r="I175" s="209" t="s">
        <v>531</v>
      </c>
      <c r="J175" s="188"/>
      <c r="K175" s="209" t="s">
        <v>539</v>
      </c>
      <c r="L175" s="209" t="s">
        <v>531</v>
      </c>
      <c r="M175" s="188"/>
      <c r="N175" s="188"/>
      <c r="O175" s="188"/>
      <c r="P175" s="188"/>
      <c r="Q175" s="209" t="s">
        <v>306</v>
      </c>
      <c r="R175" s="209" t="s">
        <v>306</v>
      </c>
      <c r="S175" s="234" t="s">
        <v>306</v>
      </c>
      <c r="T175" s="209" t="s">
        <v>306</v>
      </c>
      <c r="U175" s="209" t="s">
        <v>306</v>
      </c>
      <c r="V175" s="234" t="s">
        <v>306</v>
      </c>
      <c r="W175" s="209" t="s">
        <v>306</v>
      </c>
      <c r="X175" s="209" t="s">
        <v>306</v>
      </c>
      <c r="Y175" s="234" t="s">
        <v>306</v>
      </c>
      <c r="Z175" s="209" t="s">
        <v>306</v>
      </c>
      <c r="AA175" s="209" t="s">
        <v>19</v>
      </c>
      <c r="AB175" s="234" t="s">
        <v>306</v>
      </c>
      <c r="AC175" s="235" t="s">
        <v>306</v>
      </c>
      <c r="AD175" s="209" t="s">
        <v>25</v>
      </c>
      <c r="AE175" s="209" t="s">
        <v>306</v>
      </c>
      <c r="AF175" s="234" t="s">
        <v>25</v>
      </c>
      <c r="AG175" s="209" t="s">
        <v>306</v>
      </c>
      <c r="AH175" s="209" t="s">
        <v>306</v>
      </c>
      <c r="AI175" s="234" t="s">
        <v>306</v>
      </c>
      <c r="AJ175" s="209" t="s">
        <v>306</v>
      </c>
      <c r="AK175" s="209" t="s">
        <v>306</v>
      </c>
      <c r="AL175" s="234" t="s">
        <v>306</v>
      </c>
      <c r="AM175" s="209" t="s">
        <v>306</v>
      </c>
      <c r="AN175" s="209" t="s">
        <v>306</v>
      </c>
      <c r="AO175" s="234" t="s">
        <v>306</v>
      </c>
      <c r="AP175" s="235" t="s">
        <v>306</v>
      </c>
      <c r="AQ175" s="209" t="s">
        <v>306</v>
      </c>
      <c r="AR175" s="209" t="s">
        <v>306</v>
      </c>
      <c r="AS175" s="234" t="s">
        <v>306</v>
      </c>
      <c r="AT175" s="209" t="s">
        <v>306</v>
      </c>
      <c r="AU175" s="209" t="s">
        <v>306</v>
      </c>
      <c r="AV175" s="234" t="s">
        <v>306</v>
      </c>
      <c r="AW175" s="209" t="s">
        <v>306</v>
      </c>
      <c r="AX175" s="209" t="s">
        <v>306</v>
      </c>
      <c r="AY175" s="234" t="s">
        <v>306</v>
      </c>
      <c r="AZ175" s="209" t="s">
        <v>25</v>
      </c>
      <c r="BA175" s="209" t="s">
        <v>25</v>
      </c>
      <c r="BB175" s="234" t="s">
        <v>306</v>
      </c>
      <c r="BC175" s="235" t="s">
        <v>306</v>
      </c>
      <c r="BD175" s="188"/>
    </row>
    <row r="176" spans="1:56" ht="12.75" customHeight="1" x14ac:dyDescent="0.25">
      <c r="A176" s="238">
        <v>45264.939096238428</v>
      </c>
      <c r="B176" s="233" t="s">
        <v>384</v>
      </c>
      <c r="C176" s="209" t="s">
        <v>587</v>
      </c>
      <c r="D176" s="232" t="s">
        <v>17</v>
      </c>
      <c r="E176" s="232" t="s">
        <v>515</v>
      </c>
      <c r="F176" s="209" t="s">
        <v>769</v>
      </c>
      <c r="G176" s="232" t="s">
        <v>24</v>
      </c>
      <c r="H176" s="232">
        <v>12</v>
      </c>
      <c r="I176" s="209" t="s">
        <v>531</v>
      </c>
      <c r="J176" s="188"/>
      <c r="K176" s="209" t="s">
        <v>539</v>
      </c>
      <c r="L176" s="209" t="s">
        <v>531</v>
      </c>
      <c r="M176" s="188"/>
      <c r="N176" s="188"/>
      <c r="O176" s="188"/>
      <c r="P176" s="188"/>
      <c r="Q176" s="209" t="s">
        <v>25</v>
      </c>
      <c r="R176" s="209" t="s">
        <v>306</v>
      </c>
      <c r="S176" s="234" t="s">
        <v>25</v>
      </c>
      <c r="T176" s="209" t="s">
        <v>306</v>
      </c>
      <c r="U176" s="209" t="s">
        <v>306</v>
      </c>
      <c r="V176" s="234" t="s">
        <v>306</v>
      </c>
      <c r="W176" s="209" t="s">
        <v>306</v>
      </c>
      <c r="X176" s="209" t="s">
        <v>306</v>
      </c>
      <c r="Y176" s="234" t="s">
        <v>306</v>
      </c>
      <c r="Z176" s="209" t="s">
        <v>306</v>
      </c>
      <c r="AA176" s="209" t="s">
        <v>306</v>
      </c>
      <c r="AB176" s="234" t="s">
        <v>306</v>
      </c>
      <c r="AC176" s="235" t="s">
        <v>306</v>
      </c>
      <c r="AD176" s="209" t="s">
        <v>25</v>
      </c>
      <c r="AE176" s="209" t="s">
        <v>25</v>
      </c>
      <c r="AF176" s="234" t="s">
        <v>25</v>
      </c>
      <c r="AG176" s="209" t="s">
        <v>306</v>
      </c>
      <c r="AH176" s="209" t="s">
        <v>306</v>
      </c>
      <c r="AI176" s="234" t="s">
        <v>306</v>
      </c>
      <c r="AJ176" s="209" t="s">
        <v>19</v>
      </c>
      <c r="AK176" s="209" t="s">
        <v>306</v>
      </c>
      <c r="AL176" s="234" t="s">
        <v>306</v>
      </c>
      <c r="AM176" s="209" t="s">
        <v>306</v>
      </c>
      <c r="AN176" s="209" t="s">
        <v>306</v>
      </c>
      <c r="AO176" s="234" t="s">
        <v>306</v>
      </c>
      <c r="AP176" s="235" t="s">
        <v>306</v>
      </c>
      <c r="AQ176" s="209" t="s">
        <v>306</v>
      </c>
      <c r="AR176" s="209" t="s">
        <v>306</v>
      </c>
      <c r="AS176" s="234" t="s">
        <v>306</v>
      </c>
      <c r="AT176" s="209" t="s">
        <v>306</v>
      </c>
      <c r="AU176" s="209" t="s">
        <v>306</v>
      </c>
      <c r="AV176" s="234" t="s">
        <v>306</v>
      </c>
      <c r="AW176" s="209" t="s">
        <v>306</v>
      </c>
      <c r="AX176" s="209" t="s">
        <v>25</v>
      </c>
      <c r="AY176" s="234" t="s">
        <v>25</v>
      </c>
      <c r="AZ176" s="209" t="s">
        <v>306</v>
      </c>
      <c r="BA176" s="209" t="s">
        <v>306</v>
      </c>
      <c r="BB176" s="234" t="s">
        <v>25</v>
      </c>
      <c r="BC176" s="235" t="s">
        <v>25</v>
      </c>
      <c r="BD176" s="188"/>
    </row>
    <row r="177" spans="1:56" ht="12.75" customHeight="1" x14ac:dyDescent="0.25">
      <c r="A177" s="238">
        <v>45264.941796307874</v>
      </c>
      <c r="B177" s="233" t="s">
        <v>384</v>
      </c>
      <c r="C177" s="209" t="s">
        <v>587</v>
      </c>
      <c r="D177" s="232" t="s">
        <v>17</v>
      </c>
      <c r="E177" s="232" t="s">
        <v>515</v>
      </c>
      <c r="F177" s="209" t="s">
        <v>770</v>
      </c>
      <c r="G177" s="232" t="s">
        <v>18</v>
      </c>
      <c r="H177" s="232">
        <v>13</v>
      </c>
      <c r="I177" s="209" t="s">
        <v>531</v>
      </c>
      <c r="J177" s="188"/>
      <c r="K177" s="209" t="s">
        <v>539</v>
      </c>
      <c r="L177" s="209" t="s">
        <v>531</v>
      </c>
      <c r="M177" s="188"/>
      <c r="N177" s="188"/>
      <c r="O177" s="188"/>
      <c r="P177" s="188"/>
      <c r="Q177" s="209" t="s">
        <v>306</v>
      </c>
      <c r="R177" s="209" t="s">
        <v>306</v>
      </c>
      <c r="S177" s="234" t="s">
        <v>306</v>
      </c>
      <c r="T177" s="209" t="s">
        <v>306</v>
      </c>
      <c r="U177" s="209" t="s">
        <v>306</v>
      </c>
      <c r="V177" s="234" t="s">
        <v>306</v>
      </c>
      <c r="W177" s="209" t="s">
        <v>306</v>
      </c>
      <c r="X177" s="209" t="s">
        <v>306</v>
      </c>
      <c r="Y177" s="234" t="s">
        <v>306</v>
      </c>
      <c r="Z177" s="209" t="s">
        <v>306</v>
      </c>
      <c r="AA177" s="209" t="s">
        <v>306</v>
      </c>
      <c r="AB177" s="234" t="s">
        <v>306</v>
      </c>
      <c r="AC177" s="235" t="s">
        <v>306</v>
      </c>
      <c r="AD177" s="209" t="s">
        <v>25</v>
      </c>
      <c r="AE177" s="209" t="s">
        <v>25</v>
      </c>
      <c r="AF177" s="234" t="s">
        <v>25</v>
      </c>
      <c r="AG177" s="209" t="s">
        <v>306</v>
      </c>
      <c r="AH177" s="209" t="s">
        <v>306</v>
      </c>
      <c r="AI177" s="234" t="s">
        <v>306</v>
      </c>
      <c r="AJ177" s="209" t="s">
        <v>306</v>
      </c>
      <c r="AK177" s="209" t="s">
        <v>25</v>
      </c>
      <c r="AL177" s="234" t="s">
        <v>25</v>
      </c>
      <c r="AM177" s="209" t="s">
        <v>306</v>
      </c>
      <c r="AN177" s="209" t="s">
        <v>306</v>
      </c>
      <c r="AO177" s="234" t="s">
        <v>306</v>
      </c>
      <c r="AP177" s="235" t="s">
        <v>306</v>
      </c>
      <c r="AQ177" s="209" t="s">
        <v>19</v>
      </c>
      <c r="AR177" s="209" t="s">
        <v>25</v>
      </c>
      <c r="AS177" s="234" t="s">
        <v>306</v>
      </c>
      <c r="AT177" s="209" t="s">
        <v>25</v>
      </c>
      <c r="AU177" s="209" t="s">
        <v>306</v>
      </c>
      <c r="AV177" s="234" t="s">
        <v>25</v>
      </c>
      <c r="AW177" s="209" t="s">
        <v>25</v>
      </c>
      <c r="AX177" s="209" t="s">
        <v>25</v>
      </c>
      <c r="AY177" s="234" t="s">
        <v>25</v>
      </c>
      <c r="AZ177" s="209" t="s">
        <v>306</v>
      </c>
      <c r="BA177" s="209" t="s">
        <v>25</v>
      </c>
      <c r="BB177" s="234" t="s">
        <v>25</v>
      </c>
      <c r="BC177" s="235" t="s">
        <v>25</v>
      </c>
      <c r="BD177" s="188"/>
    </row>
    <row r="178" spans="1:56" ht="12.75" customHeight="1" x14ac:dyDescent="0.25">
      <c r="A178" s="238">
        <v>45265.406144502311</v>
      </c>
      <c r="B178" s="233" t="s">
        <v>384</v>
      </c>
      <c r="C178" s="209" t="s">
        <v>587</v>
      </c>
      <c r="D178" s="232" t="s">
        <v>17</v>
      </c>
      <c r="E178" s="232" t="s">
        <v>515</v>
      </c>
      <c r="F178" s="209" t="s">
        <v>771</v>
      </c>
      <c r="G178" s="232" t="s">
        <v>24</v>
      </c>
      <c r="H178" s="232">
        <v>12</v>
      </c>
      <c r="I178" s="209" t="s">
        <v>531</v>
      </c>
      <c r="J178" s="188"/>
      <c r="K178" s="209" t="s">
        <v>539</v>
      </c>
      <c r="L178" s="209" t="s">
        <v>531</v>
      </c>
      <c r="M178" s="188"/>
      <c r="N178" s="188"/>
      <c r="O178" s="188"/>
      <c r="P178" s="188"/>
      <c r="Q178" s="209" t="s">
        <v>25</v>
      </c>
      <c r="R178" s="209" t="s">
        <v>25</v>
      </c>
      <c r="S178" s="234" t="s">
        <v>25</v>
      </c>
      <c r="T178" s="209" t="s">
        <v>25</v>
      </c>
      <c r="U178" s="209" t="s">
        <v>25</v>
      </c>
      <c r="V178" s="234" t="s">
        <v>25</v>
      </c>
      <c r="W178" s="209" t="s">
        <v>25</v>
      </c>
      <c r="X178" s="209" t="s">
        <v>19</v>
      </c>
      <c r="Y178" s="234" t="s">
        <v>306</v>
      </c>
      <c r="Z178" s="209" t="s">
        <v>306</v>
      </c>
      <c r="AA178" s="209" t="s">
        <v>25</v>
      </c>
      <c r="AB178" s="234" t="s">
        <v>25</v>
      </c>
      <c r="AC178" s="235" t="s">
        <v>25</v>
      </c>
      <c r="AD178" s="209" t="s">
        <v>25</v>
      </c>
      <c r="AE178" s="209" t="s">
        <v>25</v>
      </c>
      <c r="AF178" s="234" t="s">
        <v>25</v>
      </c>
      <c r="AG178" s="209" t="s">
        <v>25</v>
      </c>
      <c r="AH178" s="209" t="s">
        <v>25</v>
      </c>
      <c r="AI178" s="234" t="s">
        <v>25</v>
      </c>
      <c r="AJ178" s="209" t="s">
        <v>25</v>
      </c>
      <c r="AK178" s="209" t="s">
        <v>25</v>
      </c>
      <c r="AL178" s="234" t="s">
        <v>25</v>
      </c>
      <c r="AM178" s="209" t="s">
        <v>306</v>
      </c>
      <c r="AN178" s="209" t="s">
        <v>306</v>
      </c>
      <c r="AO178" s="234" t="s">
        <v>306</v>
      </c>
      <c r="AP178" s="235" t="s">
        <v>25</v>
      </c>
      <c r="AQ178" s="209" t="s">
        <v>25</v>
      </c>
      <c r="AR178" s="209" t="s">
        <v>25</v>
      </c>
      <c r="AS178" s="234" t="s">
        <v>25</v>
      </c>
      <c r="AT178" s="209" t="s">
        <v>25</v>
      </c>
      <c r="AU178" s="209" t="s">
        <v>25</v>
      </c>
      <c r="AV178" s="234" t="s">
        <v>25</v>
      </c>
      <c r="AW178" s="209" t="s">
        <v>25</v>
      </c>
      <c r="AX178" s="209" t="s">
        <v>306</v>
      </c>
      <c r="AY178" s="234" t="s">
        <v>25</v>
      </c>
      <c r="AZ178" s="209" t="s">
        <v>25</v>
      </c>
      <c r="BA178" s="209" t="s">
        <v>19</v>
      </c>
      <c r="BB178" s="234" t="s">
        <v>25</v>
      </c>
      <c r="BC178" s="235" t="s">
        <v>25</v>
      </c>
      <c r="BD178" s="188"/>
    </row>
    <row r="179" spans="1:56" ht="12.75" customHeight="1" x14ac:dyDescent="0.25">
      <c r="A179" s="238">
        <v>45265.413298518513</v>
      </c>
      <c r="B179" s="233" t="s">
        <v>384</v>
      </c>
      <c r="C179" s="209" t="s">
        <v>587</v>
      </c>
      <c r="D179" s="232" t="s">
        <v>17</v>
      </c>
      <c r="E179" s="232" t="s">
        <v>515</v>
      </c>
      <c r="F179" s="209" t="s">
        <v>772</v>
      </c>
      <c r="G179" s="232" t="s">
        <v>18</v>
      </c>
      <c r="H179" s="232">
        <v>13</v>
      </c>
      <c r="I179" s="209" t="s">
        <v>531</v>
      </c>
      <c r="J179" s="188"/>
      <c r="K179" s="209" t="s">
        <v>539</v>
      </c>
      <c r="L179" s="209" t="s">
        <v>531</v>
      </c>
      <c r="M179" s="188"/>
      <c r="N179" s="188"/>
      <c r="O179" s="188"/>
      <c r="P179" s="188"/>
      <c r="Q179" s="209" t="s">
        <v>25</v>
      </c>
      <c r="R179" s="209" t="s">
        <v>306</v>
      </c>
      <c r="S179" s="234" t="s">
        <v>25</v>
      </c>
      <c r="T179" s="209" t="s">
        <v>25</v>
      </c>
      <c r="U179" s="209" t="s">
        <v>25</v>
      </c>
      <c r="V179" s="234" t="s">
        <v>25</v>
      </c>
      <c r="W179" s="209" t="s">
        <v>25</v>
      </c>
      <c r="X179" s="209" t="s">
        <v>19</v>
      </c>
      <c r="Y179" s="234" t="s">
        <v>306</v>
      </c>
      <c r="Z179" s="209" t="s">
        <v>306</v>
      </c>
      <c r="AA179" s="209" t="s">
        <v>25</v>
      </c>
      <c r="AB179" s="234" t="s">
        <v>25</v>
      </c>
      <c r="AC179" s="235" t="s">
        <v>25</v>
      </c>
      <c r="AD179" s="209" t="s">
        <v>306</v>
      </c>
      <c r="AE179" s="209" t="s">
        <v>306</v>
      </c>
      <c r="AF179" s="234" t="s">
        <v>306</v>
      </c>
      <c r="AG179" s="209" t="s">
        <v>25</v>
      </c>
      <c r="AH179" s="209" t="s">
        <v>306</v>
      </c>
      <c r="AI179" s="234" t="s">
        <v>25</v>
      </c>
      <c r="AJ179" s="209" t="s">
        <v>19</v>
      </c>
      <c r="AK179" s="209" t="s">
        <v>306</v>
      </c>
      <c r="AL179" s="234" t="s">
        <v>306</v>
      </c>
      <c r="AM179" s="209" t="s">
        <v>19</v>
      </c>
      <c r="AN179" s="209" t="s">
        <v>19</v>
      </c>
      <c r="AO179" s="234" t="s">
        <v>19</v>
      </c>
      <c r="AP179" s="235" t="s">
        <v>306</v>
      </c>
      <c r="AQ179" s="209" t="s">
        <v>19</v>
      </c>
      <c r="AR179" s="209" t="s">
        <v>306</v>
      </c>
      <c r="AS179" s="234" t="s">
        <v>306</v>
      </c>
      <c r="AT179" s="209" t="s">
        <v>25</v>
      </c>
      <c r="AU179" s="209" t="s">
        <v>19</v>
      </c>
      <c r="AV179" s="234" t="s">
        <v>306</v>
      </c>
      <c r="AW179" s="209" t="s">
        <v>306</v>
      </c>
      <c r="AX179" s="209" t="s">
        <v>306</v>
      </c>
      <c r="AY179" s="234" t="s">
        <v>306</v>
      </c>
      <c r="AZ179" s="209" t="s">
        <v>25</v>
      </c>
      <c r="BA179" s="209" t="s">
        <v>25</v>
      </c>
      <c r="BB179" s="234" t="s">
        <v>25</v>
      </c>
      <c r="BC179" s="235" t="s">
        <v>306</v>
      </c>
      <c r="BD179" s="188"/>
    </row>
    <row r="180" spans="1:56" ht="12.75" customHeight="1" x14ac:dyDescent="0.25">
      <c r="A180" s="238">
        <v>45265.420003159721</v>
      </c>
      <c r="B180" s="233" t="s">
        <v>384</v>
      </c>
      <c r="C180" s="209" t="s">
        <v>587</v>
      </c>
      <c r="D180" s="232" t="s">
        <v>17</v>
      </c>
      <c r="E180" s="232" t="s">
        <v>515</v>
      </c>
      <c r="F180" s="209" t="s">
        <v>773</v>
      </c>
      <c r="G180" s="232" t="s">
        <v>18</v>
      </c>
      <c r="H180" s="232">
        <v>14</v>
      </c>
      <c r="I180" s="209" t="s">
        <v>531</v>
      </c>
      <c r="J180" s="188"/>
      <c r="K180" s="209" t="s">
        <v>539</v>
      </c>
      <c r="L180" s="209" t="s">
        <v>531</v>
      </c>
      <c r="M180" s="188"/>
      <c r="N180" s="188"/>
      <c r="O180" s="188"/>
      <c r="P180" s="188"/>
      <c r="Q180" s="209" t="s">
        <v>19</v>
      </c>
      <c r="R180" s="209" t="s">
        <v>19</v>
      </c>
      <c r="S180" s="234" t="s">
        <v>19</v>
      </c>
      <c r="T180" s="209" t="s">
        <v>19</v>
      </c>
      <c r="U180" s="209" t="s">
        <v>19</v>
      </c>
      <c r="V180" s="234" t="s">
        <v>19</v>
      </c>
      <c r="W180" s="209" t="s">
        <v>19</v>
      </c>
      <c r="X180" s="209" t="s">
        <v>19</v>
      </c>
      <c r="Y180" s="234" t="s">
        <v>19</v>
      </c>
      <c r="Z180" s="209" t="s">
        <v>19</v>
      </c>
      <c r="AA180" s="209" t="s">
        <v>19</v>
      </c>
      <c r="AB180" s="234" t="s">
        <v>19</v>
      </c>
      <c r="AC180" s="235" t="s">
        <v>19</v>
      </c>
      <c r="AD180" s="209" t="s">
        <v>19</v>
      </c>
      <c r="AE180" s="209" t="s">
        <v>19</v>
      </c>
      <c r="AF180" s="234" t="s">
        <v>19</v>
      </c>
      <c r="AG180" s="209" t="s">
        <v>19</v>
      </c>
      <c r="AH180" s="209" t="s">
        <v>19</v>
      </c>
      <c r="AI180" s="234" t="s">
        <v>19</v>
      </c>
      <c r="AJ180" s="209" t="s">
        <v>19</v>
      </c>
      <c r="AK180" s="209" t="s">
        <v>19</v>
      </c>
      <c r="AL180" s="234" t="s">
        <v>19</v>
      </c>
      <c r="AM180" s="209" t="s">
        <v>19</v>
      </c>
      <c r="AN180" s="209" t="s">
        <v>19</v>
      </c>
      <c r="AO180" s="234" t="s">
        <v>19</v>
      </c>
      <c r="AP180" s="235" t="s">
        <v>19</v>
      </c>
      <c r="AQ180" s="209" t="s">
        <v>19</v>
      </c>
      <c r="AR180" s="209" t="s">
        <v>19</v>
      </c>
      <c r="AS180" s="234" t="s">
        <v>19</v>
      </c>
      <c r="AT180" s="209" t="s">
        <v>19</v>
      </c>
      <c r="AU180" s="209" t="s">
        <v>19</v>
      </c>
      <c r="AV180" s="234" t="s">
        <v>19</v>
      </c>
      <c r="AW180" s="209" t="s">
        <v>19</v>
      </c>
      <c r="AX180" s="209" t="s">
        <v>19</v>
      </c>
      <c r="AY180" s="234" t="s">
        <v>19</v>
      </c>
      <c r="AZ180" s="209" t="s">
        <v>19</v>
      </c>
      <c r="BA180" s="209" t="s">
        <v>19</v>
      </c>
      <c r="BB180" s="234" t="s">
        <v>306</v>
      </c>
      <c r="BC180" s="235" t="s">
        <v>306</v>
      </c>
      <c r="BD180" s="188"/>
    </row>
    <row r="181" spans="1:56" ht="12.75" customHeight="1" x14ac:dyDescent="0.25">
      <c r="A181" s="238">
        <v>45265.424809895834</v>
      </c>
      <c r="B181" s="233" t="s">
        <v>384</v>
      </c>
      <c r="C181" s="209" t="s">
        <v>587</v>
      </c>
      <c r="D181" s="232" t="s">
        <v>17</v>
      </c>
      <c r="E181" s="232" t="s">
        <v>515</v>
      </c>
      <c r="F181" s="209" t="s">
        <v>774</v>
      </c>
      <c r="G181" s="232" t="s">
        <v>18</v>
      </c>
      <c r="H181" s="232">
        <v>13</v>
      </c>
      <c r="I181" s="209" t="s">
        <v>518</v>
      </c>
      <c r="J181" s="188"/>
      <c r="K181" s="209" t="s">
        <v>539</v>
      </c>
      <c r="L181" s="209" t="s">
        <v>531</v>
      </c>
      <c r="M181" s="188"/>
      <c r="N181" s="188"/>
      <c r="O181" s="188"/>
      <c r="P181" s="188"/>
      <c r="Q181" s="209" t="s">
        <v>25</v>
      </c>
      <c r="R181" s="209" t="s">
        <v>19</v>
      </c>
      <c r="S181" s="234" t="s">
        <v>306</v>
      </c>
      <c r="T181" s="209" t="s">
        <v>19</v>
      </c>
      <c r="U181" s="209" t="s">
        <v>19</v>
      </c>
      <c r="V181" s="234" t="s">
        <v>19</v>
      </c>
      <c r="W181" s="209" t="s">
        <v>19</v>
      </c>
      <c r="X181" s="209" t="s">
        <v>19</v>
      </c>
      <c r="Y181" s="234" t="s">
        <v>19</v>
      </c>
      <c r="Z181" s="209" t="s">
        <v>19</v>
      </c>
      <c r="AA181" s="209" t="s">
        <v>19</v>
      </c>
      <c r="AB181" s="234" t="s">
        <v>19</v>
      </c>
      <c r="AC181" s="235" t="s">
        <v>19</v>
      </c>
      <c r="AD181" s="209" t="s">
        <v>306</v>
      </c>
      <c r="AE181" s="209" t="s">
        <v>306</v>
      </c>
      <c r="AF181" s="234" t="s">
        <v>306</v>
      </c>
      <c r="AG181" s="209" t="s">
        <v>306</v>
      </c>
      <c r="AH181" s="209" t="s">
        <v>19</v>
      </c>
      <c r="AI181" s="234" t="s">
        <v>306</v>
      </c>
      <c r="AJ181" s="209" t="s">
        <v>306</v>
      </c>
      <c r="AK181" s="209" t="s">
        <v>19</v>
      </c>
      <c r="AL181" s="234" t="s">
        <v>306</v>
      </c>
      <c r="AM181" s="209" t="s">
        <v>19</v>
      </c>
      <c r="AN181" s="209" t="s">
        <v>19</v>
      </c>
      <c r="AO181" s="234" t="s">
        <v>19</v>
      </c>
      <c r="AP181" s="235" t="s">
        <v>306</v>
      </c>
      <c r="AQ181" s="209" t="s">
        <v>25</v>
      </c>
      <c r="AR181" s="209" t="s">
        <v>306</v>
      </c>
      <c r="AS181" s="234" t="s">
        <v>25</v>
      </c>
      <c r="AT181" s="209" t="s">
        <v>25</v>
      </c>
      <c r="AU181" s="209" t="s">
        <v>306</v>
      </c>
      <c r="AV181" s="234" t="s">
        <v>25</v>
      </c>
      <c r="AW181" s="209" t="s">
        <v>306</v>
      </c>
      <c r="AX181" s="209" t="s">
        <v>306</v>
      </c>
      <c r="AY181" s="234" t="s">
        <v>306</v>
      </c>
      <c r="AZ181" s="209" t="s">
        <v>25</v>
      </c>
      <c r="BA181" s="209" t="s">
        <v>25</v>
      </c>
      <c r="BB181" s="234" t="s">
        <v>25</v>
      </c>
      <c r="BC181" s="235" t="s">
        <v>25</v>
      </c>
      <c r="BD181" s="188"/>
    </row>
    <row r="182" spans="1:56" ht="12.75" customHeight="1" x14ac:dyDescent="0.25">
      <c r="A182" s="238">
        <v>45265.446931747691</v>
      </c>
      <c r="B182" s="233" t="s">
        <v>384</v>
      </c>
      <c r="C182" s="209" t="s">
        <v>587</v>
      </c>
      <c r="D182" s="232" t="s">
        <v>17</v>
      </c>
      <c r="E182" s="232" t="s">
        <v>515</v>
      </c>
      <c r="F182" s="209" t="s">
        <v>775</v>
      </c>
      <c r="G182" s="232" t="s">
        <v>24</v>
      </c>
      <c r="H182" s="232">
        <v>12</v>
      </c>
      <c r="I182" s="209" t="s">
        <v>531</v>
      </c>
      <c r="J182" s="188"/>
      <c r="K182" s="209" t="s">
        <v>539</v>
      </c>
      <c r="L182" s="209" t="s">
        <v>531</v>
      </c>
      <c r="M182" s="188"/>
      <c r="N182" s="188"/>
      <c r="O182" s="188"/>
      <c r="P182" s="188"/>
      <c r="Q182" s="209" t="s">
        <v>25</v>
      </c>
      <c r="R182" s="209" t="s">
        <v>25</v>
      </c>
      <c r="S182" s="234" t="s">
        <v>25</v>
      </c>
      <c r="T182" s="209" t="s">
        <v>306</v>
      </c>
      <c r="U182" s="209" t="s">
        <v>25</v>
      </c>
      <c r="V182" s="234" t="s">
        <v>25</v>
      </c>
      <c r="W182" s="209" t="s">
        <v>25</v>
      </c>
      <c r="X182" s="209" t="s">
        <v>306</v>
      </c>
      <c r="Y182" s="234" t="s">
        <v>25</v>
      </c>
      <c r="Z182" s="209" t="s">
        <v>306</v>
      </c>
      <c r="AA182" s="209" t="s">
        <v>306</v>
      </c>
      <c r="AB182" s="234" t="s">
        <v>306</v>
      </c>
      <c r="AC182" s="235" t="s">
        <v>25</v>
      </c>
      <c r="AD182" s="209" t="s">
        <v>306</v>
      </c>
      <c r="AE182" s="209" t="s">
        <v>25</v>
      </c>
      <c r="AF182" s="234" t="s">
        <v>25</v>
      </c>
      <c r="AG182" s="209" t="s">
        <v>306</v>
      </c>
      <c r="AH182" s="209" t="s">
        <v>19</v>
      </c>
      <c r="AI182" s="234" t="s">
        <v>306</v>
      </c>
      <c r="AJ182" s="209" t="s">
        <v>306</v>
      </c>
      <c r="AK182" s="209" t="s">
        <v>306</v>
      </c>
      <c r="AL182" s="234" t="s">
        <v>306</v>
      </c>
      <c r="AM182" s="209" t="s">
        <v>19</v>
      </c>
      <c r="AN182" s="209" t="s">
        <v>306</v>
      </c>
      <c r="AO182" s="234" t="s">
        <v>306</v>
      </c>
      <c r="AP182" s="235" t="s">
        <v>306</v>
      </c>
      <c r="AQ182" s="209" t="s">
        <v>25</v>
      </c>
      <c r="AR182" s="209" t="s">
        <v>306</v>
      </c>
      <c r="AS182" s="234" t="s">
        <v>25</v>
      </c>
      <c r="AT182" s="209" t="s">
        <v>25</v>
      </c>
      <c r="AU182" s="209" t="s">
        <v>25</v>
      </c>
      <c r="AV182" s="234" t="s">
        <v>25</v>
      </c>
      <c r="AW182" s="209" t="s">
        <v>306</v>
      </c>
      <c r="AX182" s="209" t="s">
        <v>306</v>
      </c>
      <c r="AY182" s="234" t="s">
        <v>306</v>
      </c>
      <c r="AZ182" s="209" t="s">
        <v>306</v>
      </c>
      <c r="BA182" s="209" t="s">
        <v>25</v>
      </c>
      <c r="BB182" s="234" t="s">
        <v>25</v>
      </c>
      <c r="BC182" s="235" t="s">
        <v>25</v>
      </c>
      <c r="BD182" s="188"/>
    </row>
    <row r="183" spans="1:56" ht="12.75" customHeight="1" x14ac:dyDescent="0.25">
      <c r="A183" s="238">
        <v>45265.449319201391</v>
      </c>
      <c r="B183" s="233" t="s">
        <v>384</v>
      </c>
      <c r="C183" s="209" t="s">
        <v>587</v>
      </c>
      <c r="D183" s="232" t="s">
        <v>17</v>
      </c>
      <c r="E183" s="232" t="s">
        <v>515</v>
      </c>
      <c r="F183" s="209" t="s">
        <v>776</v>
      </c>
      <c r="G183" s="232" t="s">
        <v>24</v>
      </c>
      <c r="H183" s="232">
        <v>12</v>
      </c>
      <c r="I183" s="209" t="s">
        <v>531</v>
      </c>
      <c r="J183" s="188"/>
      <c r="K183" s="209" t="s">
        <v>539</v>
      </c>
      <c r="L183" s="209" t="s">
        <v>518</v>
      </c>
      <c r="M183" s="209" t="s">
        <v>412</v>
      </c>
      <c r="N183" s="209" t="s">
        <v>589</v>
      </c>
      <c r="O183" s="209"/>
      <c r="P183" s="209"/>
      <c r="Q183" s="209" t="s">
        <v>19</v>
      </c>
      <c r="R183" s="209" t="s">
        <v>19</v>
      </c>
      <c r="S183" s="234" t="s">
        <v>19</v>
      </c>
      <c r="T183" s="209" t="s">
        <v>19</v>
      </c>
      <c r="U183" s="209" t="s">
        <v>19</v>
      </c>
      <c r="V183" s="234" t="s">
        <v>19</v>
      </c>
      <c r="W183" s="209" t="s">
        <v>19</v>
      </c>
      <c r="X183" s="209" t="s">
        <v>19</v>
      </c>
      <c r="Y183" s="234" t="s">
        <v>19</v>
      </c>
      <c r="Z183" s="209" t="s">
        <v>19</v>
      </c>
      <c r="AA183" s="209" t="s">
        <v>19</v>
      </c>
      <c r="AB183" s="234" t="s">
        <v>19</v>
      </c>
      <c r="AC183" s="235" t="s">
        <v>19</v>
      </c>
      <c r="AD183" s="209" t="s">
        <v>19</v>
      </c>
      <c r="AE183" s="209" t="s">
        <v>19</v>
      </c>
      <c r="AF183" s="234" t="s">
        <v>19</v>
      </c>
      <c r="AG183" s="209" t="s">
        <v>19</v>
      </c>
      <c r="AH183" s="209" t="s">
        <v>19</v>
      </c>
      <c r="AI183" s="234" t="s">
        <v>19</v>
      </c>
      <c r="AJ183" s="209" t="s">
        <v>19</v>
      </c>
      <c r="AK183" s="209" t="s">
        <v>19</v>
      </c>
      <c r="AL183" s="234" t="s">
        <v>19</v>
      </c>
      <c r="AM183" s="209" t="s">
        <v>19</v>
      </c>
      <c r="AN183" s="209" t="s">
        <v>19</v>
      </c>
      <c r="AO183" s="234" t="s">
        <v>19</v>
      </c>
      <c r="AP183" s="235" t="s">
        <v>19</v>
      </c>
      <c r="AQ183" s="209" t="s">
        <v>19</v>
      </c>
      <c r="AR183" s="209" t="s">
        <v>19</v>
      </c>
      <c r="AS183" s="234" t="s">
        <v>19</v>
      </c>
      <c r="AT183" s="209" t="s">
        <v>19</v>
      </c>
      <c r="AU183" s="209" t="s">
        <v>19</v>
      </c>
      <c r="AV183" s="234" t="s">
        <v>19</v>
      </c>
      <c r="AW183" s="209" t="s">
        <v>19</v>
      </c>
      <c r="AX183" s="209" t="s">
        <v>19</v>
      </c>
      <c r="AY183" s="234" t="s">
        <v>19</v>
      </c>
      <c r="AZ183" s="209" t="s">
        <v>19</v>
      </c>
      <c r="BA183" s="209" t="s">
        <v>19</v>
      </c>
      <c r="BB183" s="234" t="s">
        <v>25</v>
      </c>
      <c r="BC183" s="235" t="s">
        <v>25</v>
      </c>
      <c r="BD183" s="188"/>
    </row>
    <row r="184" spans="1:56" ht="12.75" customHeight="1" x14ac:dyDescent="0.25">
      <c r="A184" s="238">
        <v>45265.452414340281</v>
      </c>
      <c r="B184" s="233" t="s">
        <v>384</v>
      </c>
      <c r="C184" s="209" t="s">
        <v>587</v>
      </c>
      <c r="D184" s="232" t="s">
        <v>17</v>
      </c>
      <c r="E184" s="232" t="s">
        <v>515</v>
      </c>
      <c r="F184" s="209" t="s">
        <v>777</v>
      </c>
      <c r="G184" s="232" t="s">
        <v>18</v>
      </c>
      <c r="H184" s="232">
        <v>11</v>
      </c>
      <c r="I184" s="209" t="s">
        <v>531</v>
      </c>
      <c r="J184" s="188"/>
      <c r="K184" s="209" t="s">
        <v>539</v>
      </c>
      <c r="L184" s="209" t="s">
        <v>518</v>
      </c>
      <c r="M184" s="209" t="s">
        <v>412</v>
      </c>
      <c r="N184" s="209" t="s">
        <v>589</v>
      </c>
      <c r="O184" s="209"/>
      <c r="P184" s="209"/>
      <c r="Q184" s="209" t="s">
        <v>25</v>
      </c>
      <c r="R184" s="209" t="s">
        <v>25</v>
      </c>
      <c r="S184" s="234" t="s">
        <v>25</v>
      </c>
      <c r="T184" s="209" t="s">
        <v>306</v>
      </c>
      <c r="U184" s="209" t="s">
        <v>19</v>
      </c>
      <c r="V184" s="234" t="s">
        <v>306</v>
      </c>
      <c r="W184" s="209" t="s">
        <v>306</v>
      </c>
      <c r="X184" s="209" t="s">
        <v>306</v>
      </c>
      <c r="Y184" s="234" t="s">
        <v>306</v>
      </c>
      <c r="Z184" s="209" t="s">
        <v>306</v>
      </c>
      <c r="AA184" s="209" t="s">
        <v>25</v>
      </c>
      <c r="AB184" s="234" t="s">
        <v>25</v>
      </c>
      <c r="AC184" s="235" t="s">
        <v>306</v>
      </c>
      <c r="AD184" s="209" t="s">
        <v>306</v>
      </c>
      <c r="AE184" s="209" t="s">
        <v>25</v>
      </c>
      <c r="AF184" s="234" t="s">
        <v>25</v>
      </c>
      <c r="AG184" s="209" t="s">
        <v>25</v>
      </c>
      <c r="AH184" s="209" t="s">
        <v>19</v>
      </c>
      <c r="AI184" s="234" t="s">
        <v>306</v>
      </c>
      <c r="AJ184" s="209" t="s">
        <v>306</v>
      </c>
      <c r="AK184" s="209" t="s">
        <v>306</v>
      </c>
      <c r="AL184" s="234" t="s">
        <v>306</v>
      </c>
      <c r="AM184" s="209" t="s">
        <v>306</v>
      </c>
      <c r="AN184" s="209" t="s">
        <v>306</v>
      </c>
      <c r="AO184" s="234" t="s">
        <v>306</v>
      </c>
      <c r="AP184" s="235" t="s">
        <v>306</v>
      </c>
      <c r="AQ184" s="209" t="s">
        <v>25</v>
      </c>
      <c r="AR184" s="209" t="s">
        <v>19</v>
      </c>
      <c r="AS184" s="234" t="s">
        <v>306</v>
      </c>
      <c r="AT184" s="209" t="s">
        <v>25</v>
      </c>
      <c r="AU184" s="209" t="s">
        <v>25</v>
      </c>
      <c r="AV184" s="234" t="s">
        <v>25</v>
      </c>
      <c r="AW184" s="209" t="s">
        <v>306</v>
      </c>
      <c r="AX184" s="209" t="s">
        <v>306</v>
      </c>
      <c r="AY184" s="234" t="s">
        <v>306</v>
      </c>
      <c r="AZ184" s="209" t="s">
        <v>25</v>
      </c>
      <c r="BA184" s="209" t="s">
        <v>25</v>
      </c>
      <c r="BB184" s="234" t="s">
        <v>306</v>
      </c>
      <c r="BC184" s="235" t="s">
        <v>306</v>
      </c>
      <c r="BD184" s="188"/>
    </row>
    <row r="185" spans="1:56" ht="12.75" customHeight="1" x14ac:dyDescent="0.25">
      <c r="A185" s="238">
        <v>45265.454571759255</v>
      </c>
      <c r="B185" s="233" t="s">
        <v>384</v>
      </c>
      <c r="C185" s="209" t="s">
        <v>587</v>
      </c>
      <c r="D185" s="232" t="s">
        <v>17</v>
      </c>
      <c r="E185" s="232" t="s">
        <v>515</v>
      </c>
      <c r="F185" s="209" t="s">
        <v>778</v>
      </c>
      <c r="G185" s="232" t="s">
        <v>24</v>
      </c>
      <c r="H185" s="232">
        <v>11</v>
      </c>
      <c r="I185" s="209" t="s">
        <v>531</v>
      </c>
      <c r="J185" s="188"/>
      <c r="K185" s="209" t="s">
        <v>539</v>
      </c>
      <c r="L185" s="209" t="s">
        <v>518</v>
      </c>
      <c r="M185" s="209" t="s">
        <v>412</v>
      </c>
      <c r="N185" s="209" t="s">
        <v>589</v>
      </c>
      <c r="O185" s="209"/>
      <c r="P185" s="209"/>
      <c r="Q185" s="209" t="s">
        <v>19</v>
      </c>
      <c r="R185" s="209" t="s">
        <v>19</v>
      </c>
      <c r="S185" s="234" t="s">
        <v>19</v>
      </c>
      <c r="T185" s="209" t="s">
        <v>19</v>
      </c>
      <c r="U185" s="209" t="s">
        <v>19</v>
      </c>
      <c r="V185" s="234" t="s">
        <v>19</v>
      </c>
      <c r="W185" s="209" t="s">
        <v>19</v>
      </c>
      <c r="X185" s="209" t="s">
        <v>19</v>
      </c>
      <c r="Y185" s="234" t="s">
        <v>19</v>
      </c>
      <c r="Z185" s="209" t="s">
        <v>19</v>
      </c>
      <c r="AA185" s="209" t="s">
        <v>19</v>
      </c>
      <c r="AB185" s="234" t="s">
        <v>19</v>
      </c>
      <c r="AC185" s="235" t="s">
        <v>19</v>
      </c>
      <c r="AD185" s="209" t="s">
        <v>19</v>
      </c>
      <c r="AE185" s="209" t="s">
        <v>19</v>
      </c>
      <c r="AF185" s="234" t="s">
        <v>19</v>
      </c>
      <c r="AG185" s="209" t="s">
        <v>19</v>
      </c>
      <c r="AH185" s="209" t="s">
        <v>19</v>
      </c>
      <c r="AI185" s="234" t="s">
        <v>19</v>
      </c>
      <c r="AJ185" s="209" t="s">
        <v>19</v>
      </c>
      <c r="AK185" s="209" t="s">
        <v>19</v>
      </c>
      <c r="AL185" s="234" t="s">
        <v>19</v>
      </c>
      <c r="AM185" s="209" t="s">
        <v>19</v>
      </c>
      <c r="AN185" s="209" t="s">
        <v>19</v>
      </c>
      <c r="AO185" s="234" t="s">
        <v>19</v>
      </c>
      <c r="AP185" s="235" t="s">
        <v>19</v>
      </c>
      <c r="AQ185" s="209" t="s">
        <v>19</v>
      </c>
      <c r="AR185" s="209" t="s">
        <v>19</v>
      </c>
      <c r="AS185" s="234" t="s">
        <v>19</v>
      </c>
      <c r="AT185" s="209" t="s">
        <v>19</v>
      </c>
      <c r="AU185" s="209" t="s">
        <v>19</v>
      </c>
      <c r="AV185" s="234" t="s">
        <v>19</v>
      </c>
      <c r="AW185" s="209" t="s">
        <v>19</v>
      </c>
      <c r="AX185" s="209" t="s">
        <v>19</v>
      </c>
      <c r="AY185" s="234" t="s">
        <v>19</v>
      </c>
      <c r="AZ185" s="209" t="s">
        <v>19</v>
      </c>
      <c r="BA185" s="209" t="s">
        <v>19</v>
      </c>
      <c r="BB185" s="234" t="s">
        <v>306</v>
      </c>
      <c r="BC185" s="235" t="s">
        <v>306</v>
      </c>
      <c r="BD185" s="188"/>
    </row>
    <row r="186" spans="1:56" ht="12.75" customHeight="1" x14ac:dyDescent="0.25">
      <c r="A186" s="238">
        <v>45265.456652962966</v>
      </c>
      <c r="B186" s="233" t="s">
        <v>384</v>
      </c>
      <c r="C186" s="209" t="s">
        <v>587</v>
      </c>
      <c r="D186" s="232" t="s">
        <v>17</v>
      </c>
      <c r="E186" s="232" t="s">
        <v>515</v>
      </c>
      <c r="F186" s="209" t="s">
        <v>779</v>
      </c>
      <c r="G186" s="232" t="s">
        <v>24</v>
      </c>
      <c r="H186" s="232">
        <v>12</v>
      </c>
      <c r="I186" s="209" t="s">
        <v>531</v>
      </c>
      <c r="J186" s="188"/>
      <c r="K186" s="209" t="s">
        <v>539</v>
      </c>
      <c r="L186" s="209" t="s">
        <v>518</v>
      </c>
      <c r="M186" s="209" t="s">
        <v>412</v>
      </c>
      <c r="N186" s="209" t="s">
        <v>589</v>
      </c>
      <c r="O186" s="209"/>
      <c r="P186" s="209"/>
      <c r="Q186" s="209" t="s">
        <v>19</v>
      </c>
      <c r="R186" s="209" t="s">
        <v>19</v>
      </c>
      <c r="S186" s="234" t="s">
        <v>19</v>
      </c>
      <c r="T186" s="209" t="s">
        <v>19</v>
      </c>
      <c r="U186" s="209" t="s">
        <v>19</v>
      </c>
      <c r="V186" s="234" t="s">
        <v>19</v>
      </c>
      <c r="W186" s="209" t="s">
        <v>19</v>
      </c>
      <c r="X186" s="209" t="s">
        <v>19</v>
      </c>
      <c r="Y186" s="234" t="s">
        <v>19</v>
      </c>
      <c r="Z186" s="209" t="s">
        <v>19</v>
      </c>
      <c r="AA186" s="209" t="s">
        <v>19</v>
      </c>
      <c r="AB186" s="234" t="s">
        <v>19</v>
      </c>
      <c r="AC186" s="235" t="s">
        <v>19</v>
      </c>
      <c r="AD186" s="209" t="s">
        <v>19</v>
      </c>
      <c r="AE186" s="209" t="s">
        <v>19</v>
      </c>
      <c r="AF186" s="234" t="s">
        <v>19</v>
      </c>
      <c r="AG186" s="209" t="s">
        <v>19</v>
      </c>
      <c r="AH186" s="209" t="s">
        <v>19</v>
      </c>
      <c r="AI186" s="234" t="s">
        <v>19</v>
      </c>
      <c r="AJ186" s="209" t="s">
        <v>19</v>
      </c>
      <c r="AK186" s="209" t="s">
        <v>19</v>
      </c>
      <c r="AL186" s="234" t="s">
        <v>19</v>
      </c>
      <c r="AM186" s="209" t="s">
        <v>19</v>
      </c>
      <c r="AN186" s="209" t="s">
        <v>19</v>
      </c>
      <c r="AO186" s="234" t="s">
        <v>19</v>
      </c>
      <c r="AP186" s="235" t="s">
        <v>19</v>
      </c>
      <c r="AQ186" s="209" t="s">
        <v>19</v>
      </c>
      <c r="AR186" s="209" t="s">
        <v>19</v>
      </c>
      <c r="AS186" s="234" t="s">
        <v>19</v>
      </c>
      <c r="AT186" s="209" t="s">
        <v>19</v>
      </c>
      <c r="AU186" s="209" t="s">
        <v>19</v>
      </c>
      <c r="AV186" s="234" t="s">
        <v>19</v>
      </c>
      <c r="AW186" s="209" t="s">
        <v>19</v>
      </c>
      <c r="AX186" s="209" t="s">
        <v>19</v>
      </c>
      <c r="AY186" s="234" t="s">
        <v>19</v>
      </c>
      <c r="AZ186" s="209" t="s">
        <v>19</v>
      </c>
      <c r="BA186" s="209" t="s">
        <v>19</v>
      </c>
      <c r="BB186" s="234" t="s">
        <v>306</v>
      </c>
      <c r="BC186" s="235" t="s">
        <v>306</v>
      </c>
      <c r="BD186" s="188"/>
    </row>
    <row r="187" spans="1:56" ht="12.75" customHeight="1" x14ac:dyDescent="0.25">
      <c r="A187" s="238">
        <v>45265.466033344906</v>
      </c>
      <c r="B187" s="233" t="s">
        <v>384</v>
      </c>
      <c r="C187" s="209" t="s">
        <v>587</v>
      </c>
      <c r="D187" s="232" t="s">
        <v>17</v>
      </c>
      <c r="E187" s="232" t="s">
        <v>515</v>
      </c>
      <c r="F187" s="209" t="s">
        <v>780</v>
      </c>
      <c r="G187" s="232" t="s">
        <v>24</v>
      </c>
      <c r="H187" s="232">
        <v>12</v>
      </c>
      <c r="I187" s="209" t="s">
        <v>531</v>
      </c>
      <c r="J187" s="188"/>
      <c r="K187" s="209" t="s">
        <v>539</v>
      </c>
      <c r="L187" s="209" t="s">
        <v>518</v>
      </c>
      <c r="M187" s="209" t="s">
        <v>412</v>
      </c>
      <c r="N187" s="209" t="s">
        <v>589</v>
      </c>
      <c r="O187" s="209"/>
      <c r="P187" s="209"/>
      <c r="Q187" s="209" t="s">
        <v>25</v>
      </c>
      <c r="R187" s="209" t="s">
        <v>25</v>
      </c>
      <c r="S187" s="234" t="s">
        <v>25</v>
      </c>
      <c r="T187" s="209" t="s">
        <v>25</v>
      </c>
      <c r="U187" s="209" t="s">
        <v>25</v>
      </c>
      <c r="V187" s="234" t="s">
        <v>25</v>
      </c>
      <c r="W187" s="209" t="s">
        <v>306</v>
      </c>
      <c r="X187" s="209" t="s">
        <v>25</v>
      </c>
      <c r="Y187" s="234" t="s">
        <v>25</v>
      </c>
      <c r="Z187" s="209" t="s">
        <v>25</v>
      </c>
      <c r="AA187" s="209" t="s">
        <v>25</v>
      </c>
      <c r="AB187" s="234" t="s">
        <v>25</v>
      </c>
      <c r="AC187" s="235" t="s">
        <v>25</v>
      </c>
      <c r="AD187" s="209" t="s">
        <v>25</v>
      </c>
      <c r="AE187" s="209" t="s">
        <v>25</v>
      </c>
      <c r="AF187" s="234" t="s">
        <v>25</v>
      </c>
      <c r="AG187" s="209" t="s">
        <v>25</v>
      </c>
      <c r="AH187" s="209" t="s">
        <v>25</v>
      </c>
      <c r="AI187" s="234" t="s">
        <v>25</v>
      </c>
      <c r="AJ187" s="209" t="s">
        <v>25</v>
      </c>
      <c r="AK187" s="209" t="s">
        <v>25</v>
      </c>
      <c r="AL187" s="234" t="s">
        <v>25</v>
      </c>
      <c r="AM187" s="209" t="s">
        <v>25</v>
      </c>
      <c r="AN187" s="209" t="s">
        <v>25</v>
      </c>
      <c r="AO187" s="234" t="s">
        <v>25</v>
      </c>
      <c r="AP187" s="235" t="s">
        <v>25</v>
      </c>
      <c r="AQ187" s="209" t="s">
        <v>25</v>
      </c>
      <c r="AR187" s="209" t="s">
        <v>25</v>
      </c>
      <c r="AS187" s="234" t="s">
        <v>25</v>
      </c>
      <c r="AT187" s="209" t="s">
        <v>25</v>
      </c>
      <c r="AU187" s="209" t="s">
        <v>25</v>
      </c>
      <c r="AV187" s="234" t="s">
        <v>25</v>
      </c>
      <c r="AW187" s="209" t="s">
        <v>25</v>
      </c>
      <c r="AX187" s="209" t="s">
        <v>25</v>
      </c>
      <c r="AY187" s="234" t="s">
        <v>25</v>
      </c>
      <c r="AZ187" s="209" t="s">
        <v>25</v>
      </c>
      <c r="BA187" s="209" t="s">
        <v>25</v>
      </c>
      <c r="BB187" s="234" t="s">
        <v>25</v>
      </c>
      <c r="BC187" s="235" t="s">
        <v>25</v>
      </c>
      <c r="BD187" s="188"/>
    </row>
    <row r="188" spans="1:56" ht="12.75" customHeight="1" x14ac:dyDescent="0.25">
      <c r="A188" s="238">
        <v>45265.468540532413</v>
      </c>
      <c r="B188" s="233" t="s">
        <v>384</v>
      </c>
      <c r="C188" s="209" t="s">
        <v>587</v>
      </c>
      <c r="D188" s="232" t="s">
        <v>17</v>
      </c>
      <c r="E188" s="232" t="s">
        <v>515</v>
      </c>
      <c r="F188" s="209" t="s">
        <v>781</v>
      </c>
      <c r="G188" s="232" t="s">
        <v>18</v>
      </c>
      <c r="H188" s="232">
        <v>12</v>
      </c>
      <c r="I188" s="209" t="s">
        <v>531</v>
      </c>
      <c r="J188" s="188"/>
      <c r="K188" s="209" t="s">
        <v>539</v>
      </c>
      <c r="L188" s="209" t="s">
        <v>518</v>
      </c>
      <c r="M188" s="209" t="s">
        <v>375</v>
      </c>
      <c r="N188" s="209" t="s">
        <v>589</v>
      </c>
      <c r="O188" s="209"/>
      <c r="P188" s="209"/>
      <c r="Q188" s="209" t="s">
        <v>25</v>
      </c>
      <c r="R188" s="209" t="s">
        <v>25</v>
      </c>
      <c r="S188" s="234" t="s">
        <v>25</v>
      </c>
      <c r="T188" s="209" t="s">
        <v>25</v>
      </c>
      <c r="U188" s="209" t="s">
        <v>25</v>
      </c>
      <c r="V188" s="234" t="s">
        <v>25</v>
      </c>
      <c r="W188" s="209" t="s">
        <v>25</v>
      </c>
      <c r="X188" s="209" t="s">
        <v>25</v>
      </c>
      <c r="Y188" s="234" t="s">
        <v>25</v>
      </c>
      <c r="Z188" s="209" t="s">
        <v>25</v>
      </c>
      <c r="AA188" s="209" t="s">
        <v>25</v>
      </c>
      <c r="AB188" s="234" t="s">
        <v>25</v>
      </c>
      <c r="AC188" s="235" t="s">
        <v>25</v>
      </c>
      <c r="AD188" s="209" t="s">
        <v>25</v>
      </c>
      <c r="AE188" s="209" t="s">
        <v>25</v>
      </c>
      <c r="AF188" s="234" t="s">
        <v>25</v>
      </c>
      <c r="AG188" s="209" t="s">
        <v>25</v>
      </c>
      <c r="AH188" s="209" t="s">
        <v>25</v>
      </c>
      <c r="AI188" s="234" t="s">
        <v>25</v>
      </c>
      <c r="AJ188" s="209" t="s">
        <v>25</v>
      </c>
      <c r="AK188" s="209" t="s">
        <v>25</v>
      </c>
      <c r="AL188" s="234" t="s">
        <v>25</v>
      </c>
      <c r="AM188" s="209" t="s">
        <v>25</v>
      </c>
      <c r="AN188" s="209" t="s">
        <v>25</v>
      </c>
      <c r="AO188" s="234" t="s">
        <v>25</v>
      </c>
      <c r="AP188" s="235" t="s">
        <v>25</v>
      </c>
      <c r="AQ188" s="209" t="s">
        <v>25</v>
      </c>
      <c r="AR188" s="209" t="s">
        <v>25</v>
      </c>
      <c r="AS188" s="234" t="s">
        <v>25</v>
      </c>
      <c r="AT188" s="209" t="s">
        <v>25</v>
      </c>
      <c r="AU188" s="209" t="s">
        <v>25</v>
      </c>
      <c r="AV188" s="234" t="s">
        <v>25</v>
      </c>
      <c r="AW188" s="209" t="s">
        <v>25</v>
      </c>
      <c r="AX188" s="209" t="s">
        <v>25</v>
      </c>
      <c r="AY188" s="234" t="s">
        <v>25</v>
      </c>
      <c r="AZ188" s="209" t="s">
        <v>25</v>
      </c>
      <c r="BA188" s="209" t="s">
        <v>25</v>
      </c>
      <c r="BB188" s="234" t="s">
        <v>306</v>
      </c>
      <c r="BC188" s="235" t="s">
        <v>306</v>
      </c>
      <c r="BD188" s="188"/>
    </row>
    <row r="189" spans="1:56" ht="12.75" customHeight="1" x14ac:dyDescent="0.25">
      <c r="A189" s="238">
        <v>45265.471307777778</v>
      </c>
      <c r="B189" s="233" t="s">
        <v>384</v>
      </c>
      <c r="C189" s="209" t="s">
        <v>587</v>
      </c>
      <c r="D189" s="232" t="s">
        <v>17</v>
      </c>
      <c r="E189" s="232" t="s">
        <v>515</v>
      </c>
      <c r="F189" s="209" t="s">
        <v>782</v>
      </c>
      <c r="G189" s="232" t="s">
        <v>18</v>
      </c>
      <c r="H189" s="232">
        <v>11</v>
      </c>
      <c r="I189" s="209" t="s">
        <v>531</v>
      </c>
      <c r="J189" s="188"/>
      <c r="K189" s="209" t="s">
        <v>539</v>
      </c>
      <c r="L189" s="209" t="s">
        <v>518</v>
      </c>
      <c r="M189" s="209" t="s">
        <v>412</v>
      </c>
      <c r="N189" s="209" t="s">
        <v>589</v>
      </c>
      <c r="O189" s="209"/>
      <c r="P189" s="209"/>
      <c r="Q189" s="209" t="s">
        <v>25</v>
      </c>
      <c r="R189" s="209" t="s">
        <v>19</v>
      </c>
      <c r="S189" s="234" t="s">
        <v>306</v>
      </c>
      <c r="T189" s="209" t="s">
        <v>19</v>
      </c>
      <c r="U189" s="209" t="s">
        <v>19</v>
      </c>
      <c r="V189" s="234" t="s">
        <v>19</v>
      </c>
      <c r="W189" s="209" t="s">
        <v>19</v>
      </c>
      <c r="X189" s="209" t="s">
        <v>19</v>
      </c>
      <c r="Y189" s="234" t="s">
        <v>19</v>
      </c>
      <c r="Z189" s="209" t="s">
        <v>25</v>
      </c>
      <c r="AA189" s="209" t="s">
        <v>19</v>
      </c>
      <c r="AB189" s="234" t="s">
        <v>306</v>
      </c>
      <c r="AC189" s="235" t="s">
        <v>306</v>
      </c>
      <c r="AD189" s="209" t="s">
        <v>19</v>
      </c>
      <c r="AE189" s="209" t="s">
        <v>25</v>
      </c>
      <c r="AF189" s="234" t="s">
        <v>306</v>
      </c>
      <c r="AG189" s="209" t="s">
        <v>19</v>
      </c>
      <c r="AH189" s="209" t="s">
        <v>19</v>
      </c>
      <c r="AI189" s="234" t="s">
        <v>19</v>
      </c>
      <c r="AJ189" s="209" t="s">
        <v>25</v>
      </c>
      <c r="AK189" s="209" t="s">
        <v>19</v>
      </c>
      <c r="AL189" s="234" t="s">
        <v>306</v>
      </c>
      <c r="AM189" s="209" t="s">
        <v>19</v>
      </c>
      <c r="AN189" s="209" t="s">
        <v>19</v>
      </c>
      <c r="AO189" s="234" t="s">
        <v>19</v>
      </c>
      <c r="AP189" s="235" t="s">
        <v>306</v>
      </c>
      <c r="AQ189" s="209" t="s">
        <v>19</v>
      </c>
      <c r="AR189" s="209" t="s">
        <v>25</v>
      </c>
      <c r="AS189" s="234" t="s">
        <v>306</v>
      </c>
      <c r="AT189" s="209" t="s">
        <v>19</v>
      </c>
      <c r="AU189" s="209" t="s">
        <v>19</v>
      </c>
      <c r="AV189" s="234" t="s">
        <v>19</v>
      </c>
      <c r="AW189" s="209" t="s">
        <v>19</v>
      </c>
      <c r="AX189" s="209" t="s">
        <v>19</v>
      </c>
      <c r="AY189" s="234" t="s">
        <v>19</v>
      </c>
      <c r="AZ189" s="209" t="s">
        <v>25</v>
      </c>
      <c r="BA189" s="209" t="s">
        <v>19</v>
      </c>
      <c r="BB189" s="234" t="s">
        <v>25</v>
      </c>
      <c r="BC189" s="235" t="s">
        <v>25</v>
      </c>
      <c r="BD189" s="188"/>
    </row>
    <row r="190" spans="1:56" ht="12.75" customHeight="1" x14ac:dyDescent="0.25">
      <c r="A190" s="238">
        <v>45265.496406319449</v>
      </c>
      <c r="B190" s="233" t="s">
        <v>384</v>
      </c>
      <c r="C190" s="209" t="s">
        <v>587</v>
      </c>
      <c r="D190" s="232" t="s">
        <v>17</v>
      </c>
      <c r="E190" s="232" t="s">
        <v>515</v>
      </c>
      <c r="F190" s="209" t="s">
        <v>783</v>
      </c>
      <c r="G190" s="232" t="s">
        <v>24</v>
      </c>
      <c r="H190" s="232">
        <v>11</v>
      </c>
      <c r="I190" s="209" t="s">
        <v>531</v>
      </c>
      <c r="J190" s="188"/>
      <c r="K190" s="209" t="s">
        <v>539</v>
      </c>
      <c r="L190" s="209" t="s">
        <v>531</v>
      </c>
      <c r="M190" s="188"/>
      <c r="N190" s="188"/>
      <c r="O190" s="188"/>
      <c r="P190" s="188"/>
      <c r="Q190" s="209" t="s">
        <v>25</v>
      </c>
      <c r="R190" s="209" t="s">
        <v>25</v>
      </c>
      <c r="S190" s="234" t="s">
        <v>25</v>
      </c>
      <c r="T190" s="209" t="s">
        <v>19</v>
      </c>
      <c r="U190" s="209" t="s">
        <v>19</v>
      </c>
      <c r="V190" s="234" t="s">
        <v>19</v>
      </c>
      <c r="W190" s="209" t="s">
        <v>19</v>
      </c>
      <c r="X190" s="209" t="s">
        <v>19</v>
      </c>
      <c r="Y190" s="234" t="s">
        <v>19</v>
      </c>
      <c r="Z190" s="209" t="s">
        <v>25</v>
      </c>
      <c r="AA190" s="209" t="s">
        <v>19</v>
      </c>
      <c r="AB190" s="234" t="s">
        <v>306</v>
      </c>
      <c r="AC190" s="235" t="s">
        <v>306</v>
      </c>
      <c r="AD190" s="209" t="s">
        <v>25</v>
      </c>
      <c r="AE190" s="209" t="s">
        <v>25</v>
      </c>
      <c r="AF190" s="234" t="s">
        <v>25</v>
      </c>
      <c r="AG190" s="209" t="s">
        <v>19</v>
      </c>
      <c r="AH190" s="209" t="s">
        <v>19</v>
      </c>
      <c r="AI190" s="234" t="s">
        <v>19</v>
      </c>
      <c r="AJ190" s="209" t="s">
        <v>25</v>
      </c>
      <c r="AK190" s="209" t="s">
        <v>19</v>
      </c>
      <c r="AL190" s="234" t="s">
        <v>306</v>
      </c>
      <c r="AM190" s="209" t="s">
        <v>19</v>
      </c>
      <c r="AN190" s="209" t="s">
        <v>19</v>
      </c>
      <c r="AO190" s="234" t="s">
        <v>19</v>
      </c>
      <c r="AP190" s="235" t="s">
        <v>306</v>
      </c>
      <c r="AQ190" s="209" t="s">
        <v>25</v>
      </c>
      <c r="AR190" s="209" t="s">
        <v>25</v>
      </c>
      <c r="AS190" s="234" t="s">
        <v>25</v>
      </c>
      <c r="AT190" s="209" t="s">
        <v>25</v>
      </c>
      <c r="AU190" s="209" t="s">
        <v>25</v>
      </c>
      <c r="AV190" s="234" t="s">
        <v>25</v>
      </c>
      <c r="AW190" s="209" t="s">
        <v>25</v>
      </c>
      <c r="AX190" s="209" t="s">
        <v>25</v>
      </c>
      <c r="AY190" s="234" t="s">
        <v>25</v>
      </c>
      <c r="AZ190" s="209" t="s">
        <v>25</v>
      </c>
      <c r="BA190" s="209" t="s">
        <v>25</v>
      </c>
      <c r="BB190" s="234" t="s">
        <v>25</v>
      </c>
      <c r="BC190" s="235" t="s">
        <v>25</v>
      </c>
      <c r="BD190" s="188"/>
    </row>
    <row r="191" spans="1:56" ht="12.75" customHeight="1" x14ac:dyDescent="0.25">
      <c r="A191" s="238">
        <v>45266.862315370367</v>
      </c>
      <c r="B191" s="233" t="s">
        <v>384</v>
      </c>
      <c r="C191" s="209" t="s">
        <v>587</v>
      </c>
      <c r="D191" s="232" t="s">
        <v>17</v>
      </c>
      <c r="E191" s="232" t="s">
        <v>515</v>
      </c>
      <c r="F191" s="209" t="s">
        <v>784</v>
      </c>
      <c r="G191" s="232" t="s">
        <v>18</v>
      </c>
      <c r="H191" s="232">
        <v>13</v>
      </c>
      <c r="I191" s="209" t="s">
        <v>531</v>
      </c>
      <c r="J191" s="188"/>
      <c r="K191" s="209" t="s">
        <v>539</v>
      </c>
      <c r="L191" s="209" t="s">
        <v>518</v>
      </c>
      <c r="M191" s="209" t="s">
        <v>368</v>
      </c>
      <c r="N191" s="209" t="s">
        <v>375</v>
      </c>
      <c r="O191" s="209"/>
      <c r="P191" s="209"/>
      <c r="Q191" s="209" t="s">
        <v>25</v>
      </c>
      <c r="R191" s="209" t="s">
        <v>25</v>
      </c>
      <c r="S191" s="234" t="s">
        <v>25</v>
      </c>
      <c r="T191" s="209" t="s">
        <v>306</v>
      </c>
      <c r="U191" s="209" t="s">
        <v>25</v>
      </c>
      <c r="V191" s="234" t="s">
        <v>25</v>
      </c>
      <c r="W191" s="209" t="s">
        <v>25</v>
      </c>
      <c r="X191" s="209" t="s">
        <v>25</v>
      </c>
      <c r="Y191" s="234" t="s">
        <v>25</v>
      </c>
      <c r="Z191" s="209" t="s">
        <v>306</v>
      </c>
      <c r="AA191" s="209" t="s">
        <v>306</v>
      </c>
      <c r="AB191" s="234" t="s">
        <v>306</v>
      </c>
      <c r="AC191" s="235" t="s">
        <v>25</v>
      </c>
      <c r="AD191" s="209" t="s">
        <v>25</v>
      </c>
      <c r="AE191" s="209" t="s">
        <v>25</v>
      </c>
      <c r="AF191" s="234" t="s">
        <v>25</v>
      </c>
      <c r="AG191" s="209" t="s">
        <v>25</v>
      </c>
      <c r="AH191" s="209" t="s">
        <v>306</v>
      </c>
      <c r="AI191" s="234" t="s">
        <v>25</v>
      </c>
      <c r="AJ191" s="209" t="s">
        <v>19</v>
      </c>
      <c r="AK191" s="209" t="s">
        <v>306</v>
      </c>
      <c r="AL191" s="234" t="s">
        <v>306</v>
      </c>
      <c r="AM191" s="209" t="s">
        <v>19</v>
      </c>
      <c r="AN191" s="209" t="s">
        <v>306</v>
      </c>
      <c r="AO191" s="234" t="s">
        <v>306</v>
      </c>
      <c r="AP191" s="235" t="s">
        <v>306</v>
      </c>
      <c r="AQ191" s="209" t="s">
        <v>25</v>
      </c>
      <c r="AR191" s="209" t="s">
        <v>25</v>
      </c>
      <c r="AS191" s="234" t="s">
        <v>25</v>
      </c>
      <c r="AT191" s="209" t="s">
        <v>25</v>
      </c>
      <c r="AU191" s="209" t="s">
        <v>25</v>
      </c>
      <c r="AV191" s="234" t="s">
        <v>25</v>
      </c>
      <c r="AW191" s="209" t="s">
        <v>25</v>
      </c>
      <c r="AX191" s="209" t="s">
        <v>306</v>
      </c>
      <c r="AY191" s="234" t="s">
        <v>25</v>
      </c>
      <c r="AZ191" s="209" t="s">
        <v>25</v>
      </c>
      <c r="BA191" s="209" t="s">
        <v>25</v>
      </c>
      <c r="BB191" s="234" t="s">
        <v>306</v>
      </c>
      <c r="BC191" s="235" t="s">
        <v>25</v>
      </c>
      <c r="BD191" s="188"/>
    </row>
    <row r="192" spans="1:56" ht="12.75" customHeight="1" x14ac:dyDescent="0.25">
      <c r="A192" s="238">
        <v>45266.88573144676</v>
      </c>
      <c r="B192" s="233" t="s">
        <v>384</v>
      </c>
      <c r="C192" s="209" t="s">
        <v>587</v>
      </c>
      <c r="D192" s="232" t="s">
        <v>17</v>
      </c>
      <c r="E192" s="232" t="s">
        <v>515</v>
      </c>
      <c r="F192" s="209" t="s">
        <v>785</v>
      </c>
      <c r="G192" s="232" t="s">
        <v>24</v>
      </c>
      <c r="H192" s="232">
        <v>13</v>
      </c>
      <c r="I192" s="209" t="s">
        <v>531</v>
      </c>
      <c r="J192" s="188"/>
      <c r="K192" s="209" t="s">
        <v>539</v>
      </c>
      <c r="L192" s="209" t="s">
        <v>531</v>
      </c>
      <c r="M192" s="188"/>
      <c r="N192" s="188"/>
      <c r="O192" s="188"/>
      <c r="P192" s="188"/>
      <c r="Q192" s="209" t="s">
        <v>25</v>
      </c>
      <c r="R192" s="209" t="s">
        <v>25</v>
      </c>
      <c r="S192" s="234" t="s">
        <v>25</v>
      </c>
      <c r="T192" s="209" t="s">
        <v>25</v>
      </c>
      <c r="U192" s="209" t="s">
        <v>25</v>
      </c>
      <c r="V192" s="234" t="s">
        <v>25</v>
      </c>
      <c r="W192" s="209" t="s">
        <v>19</v>
      </c>
      <c r="X192" s="209" t="s">
        <v>306</v>
      </c>
      <c r="Y192" s="234" t="s">
        <v>306</v>
      </c>
      <c r="Z192" s="209" t="s">
        <v>25</v>
      </c>
      <c r="AA192" s="209" t="s">
        <v>25</v>
      </c>
      <c r="AB192" s="234" t="s">
        <v>25</v>
      </c>
      <c r="AC192" s="235" t="s">
        <v>25</v>
      </c>
      <c r="AD192" s="209" t="s">
        <v>25</v>
      </c>
      <c r="AE192" s="209" t="s">
        <v>306</v>
      </c>
      <c r="AF192" s="234" t="s">
        <v>25</v>
      </c>
      <c r="AG192" s="209" t="s">
        <v>25</v>
      </c>
      <c r="AH192" s="209" t="s">
        <v>25</v>
      </c>
      <c r="AI192" s="234" t="s">
        <v>25</v>
      </c>
      <c r="AJ192" s="209" t="s">
        <v>25</v>
      </c>
      <c r="AK192" s="209" t="s">
        <v>25</v>
      </c>
      <c r="AL192" s="234" t="s">
        <v>25</v>
      </c>
      <c r="AM192" s="209" t="s">
        <v>25</v>
      </c>
      <c r="AN192" s="209" t="s">
        <v>25</v>
      </c>
      <c r="AO192" s="234" t="s">
        <v>25</v>
      </c>
      <c r="AP192" s="235" t="s">
        <v>25</v>
      </c>
      <c r="AQ192" s="209" t="s">
        <v>25</v>
      </c>
      <c r="AR192" s="209" t="s">
        <v>25</v>
      </c>
      <c r="AS192" s="234" t="s">
        <v>25</v>
      </c>
      <c r="AT192" s="209" t="s">
        <v>25</v>
      </c>
      <c r="AU192" s="209" t="s">
        <v>25</v>
      </c>
      <c r="AV192" s="234" t="s">
        <v>25</v>
      </c>
      <c r="AW192" s="209" t="s">
        <v>25</v>
      </c>
      <c r="AX192" s="209" t="s">
        <v>25</v>
      </c>
      <c r="AY192" s="234" t="s">
        <v>25</v>
      </c>
      <c r="AZ192" s="209" t="s">
        <v>25</v>
      </c>
      <c r="BA192" s="209" t="s">
        <v>25</v>
      </c>
      <c r="BB192" s="234" t="s">
        <v>25</v>
      </c>
      <c r="BC192" s="235" t="s">
        <v>25</v>
      </c>
      <c r="BD192" s="188"/>
    </row>
    <row r="193" spans="1:56" ht="12.75" customHeight="1" x14ac:dyDescent="0.25">
      <c r="A193" s="238">
        <v>45266.920112349537</v>
      </c>
      <c r="B193" s="233" t="s">
        <v>384</v>
      </c>
      <c r="C193" s="209" t="s">
        <v>587</v>
      </c>
      <c r="D193" s="232" t="s">
        <v>17</v>
      </c>
      <c r="E193" s="232" t="s">
        <v>515</v>
      </c>
      <c r="F193" s="209" t="s">
        <v>786</v>
      </c>
      <c r="G193" s="232" t="s">
        <v>18</v>
      </c>
      <c r="H193" s="232">
        <v>12</v>
      </c>
      <c r="I193" s="209" t="s">
        <v>531</v>
      </c>
      <c r="J193" s="188"/>
      <c r="K193" s="209" t="s">
        <v>539</v>
      </c>
      <c r="L193" s="209" t="s">
        <v>531</v>
      </c>
      <c r="M193" s="188"/>
      <c r="N193" s="188"/>
      <c r="O193" s="188"/>
      <c r="P193" s="188"/>
      <c r="Q193" s="209" t="s">
        <v>25</v>
      </c>
      <c r="R193" s="209" t="s">
        <v>19</v>
      </c>
      <c r="S193" s="234" t="s">
        <v>306</v>
      </c>
      <c r="T193" s="209" t="s">
        <v>306</v>
      </c>
      <c r="U193" s="209" t="s">
        <v>306</v>
      </c>
      <c r="V193" s="234" t="s">
        <v>306</v>
      </c>
      <c r="W193" s="209" t="s">
        <v>306</v>
      </c>
      <c r="X193" s="209" t="s">
        <v>306</v>
      </c>
      <c r="Y193" s="234" t="s">
        <v>306</v>
      </c>
      <c r="Z193" s="209" t="s">
        <v>306</v>
      </c>
      <c r="AA193" s="209" t="s">
        <v>19</v>
      </c>
      <c r="AB193" s="234" t="s">
        <v>306</v>
      </c>
      <c r="AC193" s="235" t="s">
        <v>306</v>
      </c>
      <c r="AD193" s="209" t="s">
        <v>25</v>
      </c>
      <c r="AE193" s="209" t="s">
        <v>19</v>
      </c>
      <c r="AF193" s="234" t="s">
        <v>306</v>
      </c>
      <c r="AG193" s="209" t="s">
        <v>25</v>
      </c>
      <c r="AH193" s="209" t="s">
        <v>19</v>
      </c>
      <c r="AI193" s="234" t="s">
        <v>306</v>
      </c>
      <c r="AJ193" s="209" t="s">
        <v>25</v>
      </c>
      <c r="AK193" s="209" t="s">
        <v>306</v>
      </c>
      <c r="AL193" s="234" t="s">
        <v>25</v>
      </c>
      <c r="AM193" s="209" t="s">
        <v>19</v>
      </c>
      <c r="AN193" s="209" t="s">
        <v>19</v>
      </c>
      <c r="AO193" s="234" t="s">
        <v>19</v>
      </c>
      <c r="AP193" s="235" t="s">
        <v>306</v>
      </c>
      <c r="AQ193" s="209" t="s">
        <v>306</v>
      </c>
      <c r="AR193" s="209" t="s">
        <v>25</v>
      </c>
      <c r="AS193" s="234" t="s">
        <v>25</v>
      </c>
      <c r="AT193" s="209" t="s">
        <v>19</v>
      </c>
      <c r="AU193" s="209" t="s">
        <v>19</v>
      </c>
      <c r="AV193" s="234" t="s">
        <v>19</v>
      </c>
      <c r="AW193" s="209" t="s">
        <v>25</v>
      </c>
      <c r="AX193" s="209" t="s">
        <v>25</v>
      </c>
      <c r="AY193" s="234" t="s">
        <v>25</v>
      </c>
      <c r="AZ193" s="209" t="s">
        <v>25</v>
      </c>
      <c r="BA193" s="209" t="s">
        <v>19</v>
      </c>
      <c r="BB193" s="234" t="s">
        <v>306</v>
      </c>
      <c r="BC193" s="235" t="s">
        <v>306</v>
      </c>
      <c r="BD193" s="188"/>
    </row>
    <row r="194" spans="1:56" ht="12.75" customHeight="1" x14ac:dyDescent="0.25">
      <c r="A194" s="238">
        <v>45268.145908784718</v>
      </c>
      <c r="B194" s="233" t="s">
        <v>384</v>
      </c>
      <c r="C194" s="209" t="s">
        <v>587</v>
      </c>
      <c r="D194" s="232" t="s">
        <v>17</v>
      </c>
      <c r="E194" s="232" t="s">
        <v>515</v>
      </c>
      <c r="F194" s="209" t="s">
        <v>787</v>
      </c>
      <c r="G194" s="232" t="s">
        <v>18</v>
      </c>
      <c r="H194" s="232">
        <v>12</v>
      </c>
      <c r="I194" s="209" t="s">
        <v>531</v>
      </c>
      <c r="J194" s="188"/>
      <c r="K194" s="209" t="s">
        <v>539</v>
      </c>
      <c r="L194" s="209" t="s">
        <v>531</v>
      </c>
      <c r="M194" s="188"/>
      <c r="N194" s="188"/>
      <c r="O194" s="188"/>
      <c r="P194" s="188"/>
      <c r="Q194" s="209" t="s">
        <v>19</v>
      </c>
      <c r="R194" s="209" t="s">
        <v>25</v>
      </c>
      <c r="S194" s="234" t="s">
        <v>306</v>
      </c>
      <c r="T194" s="209" t="s">
        <v>25</v>
      </c>
      <c r="U194" s="209" t="s">
        <v>25</v>
      </c>
      <c r="V194" s="234" t="s">
        <v>25</v>
      </c>
      <c r="W194" s="209" t="s">
        <v>19</v>
      </c>
      <c r="X194" s="209" t="s">
        <v>19</v>
      </c>
      <c r="Y194" s="234" t="s">
        <v>19</v>
      </c>
      <c r="Z194" s="209" t="s">
        <v>19</v>
      </c>
      <c r="AA194" s="209" t="s">
        <v>25</v>
      </c>
      <c r="AB194" s="234" t="s">
        <v>306</v>
      </c>
      <c r="AC194" s="235" t="s">
        <v>306</v>
      </c>
      <c r="AD194" s="209" t="s">
        <v>306</v>
      </c>
      <c r="AE194" s="209" t="s">
        <v>25</v>
      </c>
      <c r="AF194" s="234" t="s">
        <v>25</v>
      </c>
      <c r="AG194" s="209" t="s">
        <v>306</v>
      </c>
      <c r="AH194" s="209" t="s">
        <v>306</v>
      </c>
      <c r="AI194" s="234" t="s">
        <v>306</v>
      </c>
      <c r="AJ194" s="209" t="s">
        <v>25</v>
      </c>
      <c r="AK194" s="209" t="s">
        <v>19</v>
      </c>
      <c r="AL194" s="234" t="s">
        <v>306</v>
      </c>
      <c r="AM194" s="209" t="s">
        <v>19</v>
      </c>
      <c r="AN194" s="209" t="s">
        <v>19</v>
      </c>
      <c r="AO194" s="234" t="s">
        <v>19</v>
      </c>
      <c r="AP194" s="235" t="s">
        <v>306</v>
      </c>
      <c r="AQ194" s="209" t="s">
        <v>25</v>
      </c>
      <c r="AR194" s="209" t="s">
        <v>19</v>
      </c>
      <c r="AS194" s="234" t="s">
        <v>306</v>
      </c>
      <c r="AT194" s="209" t="s">
        <v>19</v>
      </c>
      <c r="AU194" s="209" t="s">
        <v>306</v>
      </c>
      <c r="AV194" s="234" t="s">
        <v>306</v>
      </c>
      <c r="AW194" s="209" t="s">
        <v>25</v>
      </c>
      <c r="AX194" s="209" t="s">
        <v>25</v>
      </c>
      <c r="AY194" s="234" t="s">
        <v>25</v>
      </c>
      <c r="AZ194" s="209" t="s">
        <v>19</v>
      </c>
      <c r="BA194" s="209" t="s">
        <v>306</v>
      </c>
      <c r="BB194" s="234" t="s">
        <v>25</v>
      </c>
      <c r="BC194" s="235" t="s">
        <v>25</v>
      </c>
      <c r="BD194" s="188"/>
    </row>
    <row r="195" spans="1:56" ht="12.75" customHeight="1" x14ac:dyDescent="0.25">
      <c r="A195" s="238">
        <v>45268.148433750001</v>
      </c>
      <c r="B195" s="233" t="s">
        <v>384</v>
      </c>
      <c r="C195" s="209" t="s">
        <v>587</v>
      </c>
      <c r="D195" s="232" t="s">
        <v>17</v>
      </c>
      <c r="E195" s="232" t="s">
        <v>515</v>
      </c>
      <c r="F195" s="209" t="s">
        <v>788</v>
      </c>
      <c r="G195" s="232" t="s">
        <v>18</v>
      </c>
      <c r="H195" s="232">
        <v>13</v>
      </c>
      <c r="I195" s="209" t="s">
        <v>531</v>
      </c>
      <c r="J195" s="188"/>
      <c r="K195" s="209" t="s">
        <v>539</v>
      </c>
      <c r="L195" s="209" t="s">
        <v>531</v>
      </c>
      <c r="M195" s="188"/>
      <c r="N195" s="188"/>
      <c r="O195" s="188"/>
      <c r="P195" s="188"/>
      <c r="Q195" s="209" t="s">
        <v>25</v>
      </c>
      <c r="R195" s="209" t="s">
        <v>25</v>
      </c>
      <c r="S195" s="234" t="s">
        <v>25</v>
      </c>
      <c r="T195" s="209" t="s">
        <v>25</v>
      </c>
      <c r="U195" s="209" t="s">
        <v>19</v>
      </c>
      <c r="V195" s="234" t="s">
        <v>306</v>
      </c>
      <c r="W195" s="209" t="s">
        <v>19</v>
      </c>
      <c r="X195" s="209" t="s">
        <v>25</v>
      </c>
      <c r="Y195" s="234" t="s">
        <v>306</v>
      </c>
      <c r="Z195" s="209" t="s">
        <v>25</v>
      </c>
      <c r="AA195" s="209" t="s">
        <v>25</v>
      </c>
      <c r="AB195" s="234" t="s">
        <v>25</v>
      </c>
      <c r="AC195" s="235" t="s">
        <v>25</v>
      </c>
      <c r="AD195" s="209" t="s">
        <v>25</v>
      </c>
      <c r="AE195" s="209" t="s">
        <v>25</v>
      </c>
      <c r="AF195" s="234" t="s">
        <v>25</v>
      </c>
      <c r="AG195" s="209" t="s">
        <v>25</v>
      </c>
      <c r="AH195" s="209" t="s">
        <v>19</v>
      </c>
      <c r="AI195" s="234" t="s">
        <v>306</v>
      </c>
      <c r="AJ195" s="209" t="s">
        <v>306</v>
      </c>
      <c r="AK195" s="209" t="s">
        <v>19</v>
      </c>
      <c r="AL195" s="234" t="s">
        <v>306</v>
      </c>
      <c r="AM195" s="209" t="s">
        <v>19</v>
      </c>
      <c r="AN195" s="209" t="s">
        <v>19</v>
      </c>
      <c r="AO195" s="234" t="s">
        <v>19</v>
      </c>
      <c r="AP195" s="235" t="s">
        <v>306</v>
      </c>
      <c r="AQ195" s="209" t="s">
        <v>19</v>
      </c>
      <c r="AR195" s="209" t="s">
        <v>25</v>
      </c>
      <c r="AS195" s="234" t="s">
        <v>306</v>
      </c>
      <c r="AT195" s="209" t="s">
        <v>25</v>
      </c>
      <c r="AU195" s="209" t="s">
        <v>25</v>
      </c>
      <c r="AV195" s="234" t="s">
        <v>25</v>
      </c>
      <c r="AW195" s="209" t="s">
        <v>25</v>
      </c>
      <c r="AX195" s="209" t="s">
        <v>306</v>
      </c>
      <c r="AY195" s="234" t="s">
        <v>25</v>
      </c>
      <c r="AZ195" s="209" t="s">
        <v>19</v>
      </c>
      <c r="BA195" s="209" t="s">
        <v>25</v>
      </c>
      <c r="BB195" s="234" t="s">
        <v>306</v>
      </c>
      <c r="BC195" s="235" t="s">
        <v>306</v>
      </c>
      <c r="BD195" s="188"/>
    </row>
    <row r="196" spans="1:56" ht="12.75" customHeight="1" x14ac:dyDescent="0.25">
      <c r="A196" s="238">
        <v>45268.151185347218</v>
      </c>
      <c r="B196" s="233" t="s">
        <v>384</v>
      </c>
      <c r="C196" s="209" t="s">
        <v>587</v>
      </c>
      <c r="D196" s="232" t="s">
        <v>17</v>
      </c>
      <c r="E196" s="232" t="s">
        <v>515</v>
      </c>
      <c r="F196" s="209" t="s">
        <v>789</v>
      </c>
      <c r="G196" s="232" t="s">
        <v>18</v>
      </c>
      <c r="H196" s="232">
        <v>13</v>
      </c>
      <c r="I196" s="209" t="s">
        <v>531</v>
      </c>
      <c r="J196" s="188"/>
      <c r="K196" s="209" t="s">
        <v>539</v>
      </c>
      <c r="L196" s="209" t="s">
        <v>531</v>
      </c>
      <c r="M196" s="188"/>
      <c r="N196" s="188"/>
      <c r="O196" s="188"/>
      <c r="P196" s="188"/>
      <c r="Q196" s="209" t="s">
        <v>25</v>
      </c>
      <c r="R196" s="209" t="s">
        <v>25</v>
      </c>
      <c r="S196" s="234" t="s">
        <v>25</v>
      </c>
      <c r="T196" s="209" t="s">
        <v>25</v>
      </c>
      <c r="U196" s="209" t="s">
        <v>25</v>
      </c>
      <c r="V196" s="234" t="s">
        <v>25</v>
      </c>
      <c r="W196" s="209" t="s">
        <v>25</v>
      </c>
      <c r="X196" s="209" t="s">
        <v>19</v>
      </c>
      <c r="Y196" s="234" t="s">
        <v>306</v>
      </c>
      <c r="Z196" s="209" t="s">
        <v>25</v>
      </c>
      <c r="AA196" s="209" t="s">
        <v>25</v>
      </c>
      <c r="AB196" s="234" t="s">
        <v>25</v>
      </c>
      <c r="AC196" s="235" t="s">
        <v>25</v>
      </c>
      <c r="AD196" s="209" t="s">
        <v>25</v>
      </c>
      <c r="AE196" s="209" t="s">
        <v>306</v>
      </c>
      <c r="AF196" s="234" t="s">
        <v>25</v>
      </c>
      <c r="AG196" s="209" t="s">
        <v>19</v>
      </c>
      <c r="AH196" s="209" t="s">
        <v>25</v>
      </c>
      <c r="AI196" s="234" t="s">
        <v>306</v>
      </c>
      <c r="AJ196" s="209" t="s">
        <v>25</v>
      </c>
      <c r="AK196" s="209" t="s">
        <v>306</v>
      </c>
      <c r="AL196" s="234" t="s">
        <v>25</v>
      </c>
      <c r="AM196" s="209" t="s">
        <v>306</v>
      </c>
      <c r="AN196" s="209" t="s">
        <v>25</v>
      </c>
      <c r="AO196" s="234" t="s">
        <v>25</v>
      </c>
      <c r="AP196" s="235" t="s">
        <v>306</v>
      </c>
      <c r="AQ196" s="209" t="s">
        <v>25</v>
      </c>
      <c r="AR196" s="209" t="s">
        <v>25</v>
      </c>
      <c r="AS196" s="234" t="s">
        <v>25</v>
      </c>
      <c r="AT196" s="209" t="s">
        <v>25</v>
      </c>
      <c r="AU196" s="209" t="s">
        <v>306</v>
      </c>
      <c r="AV196" s="234" t="s">
        <v>25</v>
      </c>
      <c r="AW196" s="209" t="s">
        <v>25</v>
      </c>
      <c r="AX196" s="209" t="s">
        <v>306</v>
      </c>
      <c r="AY196" s="234" t="s">
        <v>25</v>
      </c>
      <c r="AZ196" s="209" t="s">
        <v>306</v>
      </c>
      <c r="BA196" s="209" t="s">
        <v>306</v>
      </c>
      <c r="BB196" s="234" t="s">
        <v>306</v>
      </c>
      <c r="BC196" s="235" t="s">
        <v>306</v>
      </c>
      <c r="BD196" s="188"/>
    </row>
    <row r="197" spans="1:56" ht="12.75" customHeight="1" x14ac:dyDescent="0.25">
      <c r="A197" s="238">
        <v>45268.15807391204</v>
      </c>
      <c r="B197" s="233" t="s">
        <v>384</v>
      </c>
      <c r="C197" s="209" t="s">
        <v>587</v>
      </c>
      <c r="D197" s="232" t="s">
        <v>17</v>
      </c>
      <c r="E197" s="232" t="s">
        <v>515</v>
      </c>
      <c r="F197" s="209" t="s">
        <v>790</v>
      </c>
      <c r="G197" s="232" t="s">
        <v>18</v>
      </c>
      <c r="H197" s="232">
        <v>12</v>
      </c>
      <c r="I197" s="209" t="s">
        <v>531</v>
      </c>
      <c r="J197" s="188"/>
      <c r="K197" s="209" t="s">
        <v>539</v>
      </c>
      <c r="L197" s="209" t="s">
        <v>531</v>
      </c>
      <c r="M197" s="188"/>
      <c r="N197" s="188"/>
      <c r="O197" s="188"/>
      <c r="P197" s="188"/>
      <c r="Q197" s="209" t="s">
        <v>25</v>
      </c>
      <c r="R197" s="209" t="s">
        <v>25</v>
      </c>
      <c r="S197" s="234" t="s">
        <v>25</v>
      </c>
      <c r="T197" s="209" t="s">
        <v>25</v>
      </c>
      <c r="U197" s="209" t="s">
        <v>25</v>
      </c>
      <c r="V197" s="234" t="s">
        <v>25</v>
      </c>
      <c r="W197" s="209" t="s">
        <v>25</v>
      </c>
      <c r="X197" s="209" t="s">
        <v>25</v>
      </c>
      <c r="Y197" s="234" t="s">
        <v>25</v>
      </c>
      <c r="Z197" s="209" t="s">
        <v>25</v>
      </c>
      <c r="AA197" s="209" t="s">
        <v>25</v>
      </c>
      <c r="AB197" s="234" t="s">
        <v>25</v>
      </c>
      <c r="AC197" s="235" t="s">
        <v>25</v>
      </c>
      <c r="AD197" s="209" t="s">
        <v>25</v>
      </c>
      <c r="AE197" s="209" t="s">
        <v>25</v>
      </c>
      <c r="AF197" s="234" t="s">
        <v>25</v>
      </c>
      <c r="AG197" s="209" t="s">
        <v>25</v>
      </c>
      <c r="AH197" s="209" t="s">
        <v>25</v>
      </c>
      <c r="AI197" s="234" t="s">
        <v>25</v>
      </c>
      <c r="AJ197" s="209" t="s">
        <v>25</v>
      </c>
      <c r="AK197" s="209" t="s">
        <v>25</v>
      </c>
      <c r="AL197" s="234" t="s">
        <v>25</v>
      </c>
      <c r="AM197" s="209" t="s">
        <v>25</v>
      </c>
      <c r="AN197" s="209" t="s">
        <v>25</v>
      </c>
      <c r="AO197" s="234" t="s">
        <v>25</v>
      </c>
      <c r="AP197" s="235" t="s">
        <v>25</v>
      </c>
      <c r="AQ197" s="209" t="s">
        <v>25</v>
      </c>
      <c r="AR197" s="209" t="s">
        <v>25</v>
      </c>
      <c r="AS197" s="234" t="s">
        <v>25</v>
      </c>
      <c r="AT197" s="209" t="s">
        <v>25</v>
      </c>
      <c r="AU197" s="209" t="s">
        <v>25</v>
      </c>
      <c r="AV197" s="234" t="s">
        <v>25</v>
      </c>
      <c r="AW197" s="209" t="s">
        <v>25</v>
      </c>
      <c r="AX197" s="209" t="s">
        <v>25</v>
      </c>
      <c r="AY197" s="234" t="s">
        <v>25</v>
      </c>
      <c r="AZ197" s="209" t="s">
        <v>25</v>
      </c>
      <c r="BA197" s="209" t="s">
        <v>25</v>
      </c>
      <c r="BB197" s="234" t="s">
        <v>306</v>
      </c>
      <c r="BC197" s="235" t="s">
        <v>306</v>
      </c>
      <c r="BD197" s="188"/>
    </row>
    <row r="198" spans="1:56" ht="12.75" customHeight="1" x14ac:dyDescent="0.25">
      <c r="A198" s="238">
        <v>45268.160326979167</v>
      </c>
      <c r="B198" s="233" t="s">
        <v>384</v>
      </c>
      <c r="C198" s="209" t="s">
        <v>587</v>
      </c>
      <c r="D198" s="232" t="s">
        <v>17</v>
      </c>
      <c r="E198" s="232" t="s">
        <v>515</v>
      </c>
      <c r="F198" s="209" t="s">
        <v>791</v>
      </c>
      <c r="G198" s="232" t="s">
        <v>18</v>
      </c>
      <c r="H198" s="232">
        <v>12</v>
      </c>
      <c r="I198" s="209" t="s">
        <v>531</v>
      </c>
      <c r="J198" s="188"/>
      <c r="K198" s="209" t="s">
        <v>539</v>
      </c>
      <c r="L198" s="209" t="s">
        <v>531</v>
      </c>
      <c r="M198" s="188"/>
      <c r="N198" s="188"/>
      <c r="O198" s="188"/>
      <c r="P198" s="188"/>
      <c r="Q198" s="209" t="s">
        <v>19</v>
      </c>
      <c r="R198" s="209" t="s">
        <v>25</v>
      </c>
      <c r="S198" s="234" t="s">
        <v>306</v>
      </c>
      <c r="T198" s="209" t="s">
        <v>19</v>
      </c>
      <c r="U198" s="209" t="s">
        <v>25</v>
      </c>
      <c r="V198" s="234" t="s">
        <v>306</v>
      </c>
      <c r="W198" s="209" t="s">
        <v>25</v>
      </c>
      <c r="X198" s="209" t="s">
        <v>25</v>
      </c>
      <c r="Y198" s="234" t="s">
        <v>25</v>
      </c>
      <c r="Z198" s="209" t="s">
        <v>19</v>
      </c>
      <c r="AA198" s="209" t="s">
        <v>19</v>
      </c>
      <c r="AB198" s="234" t="s">
        <v>19</v>
      </c>
      <c r="AC198" s="235" t="s">
        <v>306</v>
      </c>
      <c r="AD198" s="209" t="s">
        <v>25</v>
      </c>
      <c r="AE198" s="209" t="s">
        <v>25</v>
      </c>
      <c r="AF198" s="234" t="s">
        <v>25</v>
      </c>
      <c r="AG198" s="209" t="s">
        <v>19</v>
      </c>
      <c r="AH198" s="209" t="s">
        <v>19</v>
      </c>
      <c r="AI198" s="234" t="s">
        <v>19</v>
      </c>
      <c r="AJ198" s="209" t="s">
        <v>306</v>
      </c>
      <c r="AK198" s="209" t="s">
        <v>306</v>
      </c>
      <c r="AL198" s="234" t="s">
        <v>306</v>
      </c>
      <c r="AM198" s="209" t="s">
        <v>306</v>
      </c>
      <c r="AN198" s="209" t="s">
        <v>306</v>
      </c>
      <c r="AO198" s="234" t="s">
        <v>306</v>
      </c>
      <c r="AP198" s="235" t="s">
        <v>306</v>
      </c>
      <c r="AQ198" s="209" t="s">
        <v>25</v>
      </c>
      <c r="AR198" s="209" t="s">
        <v>19</v>
      </c>
      <c r="AS198" s="234" t="s">
        <v>306</v>
      </c>
      <c r="AT198" s="209" t="s">
        <v>306</v>
      </c>
      <c r="AU198" s="209" t="s">
        <v>306</v>
      </c>
      <c r="AV198" s="234" t="s">
        <v>306</v>
      </c>
      <c r="AW198" s="209" t="s">
        <v>19</v>
      </c>
      <c r="AX198" s="209" t="s">
        <v>306</v>
      </c>
      <c r="AY198" s="234" t="s">
        <v>306</v>
      </c>
      <c r="AZ198" s="209" t="s">
        <v>19</v>
      </c>
      <c r="BA198" s="209" t="s">
        <v>25</v>
      </c>
      <c r="BB198" s="234" t="s">
        <v>306</v>
      </c>
      <c r="BC198" s="235" t="s">
        <v>25</v>
      </c>
      <c r="BD198" s="188"/>
    </row>
    <row r="199" spans="1:56" ht="12.75" customHeight="1" x14ac:dyDescent="0.25">
      <c r="A199" s="238">
        <v>44789.763320335653</v>
      </c>
      <c r="B199" s="137" t="s">
        <v>384</v>
      </c>
      <c r="C199" s="211" t="s">
        <v>595</v>
      </c>
      <c r="D199" s="211" t="s">
        <v>17</v>
      </c>
      <c r="E199" s="232" t="s">
        <v>515</v>
      </c>
      <c r="F199" s="188" t="s">
        <v>792</v>
      </c>
      <c r="G199" s="211" t="s">
        <v>24</v>
      </c>
      <c r="H199" s="211">
        <v>11</v>
      </c>
      <c r="I199" s="188" t="s">
        <v>531</v>
      </c>
      <c r="J199" s="188" t="s">
        <v>532</v>
      </c>
      <c r="K199" s="209" t="s">
        <v>539</v>
      </c>
      <c r="L199" s="188" t="s">
        <v>518</v>
      </c>
      <c r="M199" s="188" t="s">
        <v>412</v>
      </c>
      <c r="N199" s="188"/>
      <c r="O199" s="188"/>
      <c r="P199" s="188"/>
      <c r="Q199" s="188" t="s">
        <v>25</v>
      </c>
      <c r="R199" s="188" t="s">
        <v>25</v>
      </c>
      <c r="S199" s="234" t="s">
        <v>25</v>
      </c>
      <c r="T199" s="188" t="s">
        <v>25</v>
      </c>
      <c r="U199" s="188" t="s">
        <v>306</v>
      </c>
      <c r="V199" s="234" t="s">
        <v>25</v>
      </c>
      <c r="W199" s="188" t="s">
        <v>25</v>
      </c>
      <c r="X199" s="188" t="s">
        <v>306</v>
      </c>
      <c r="Y199" s="234" t="s">
        <v>25</v>
      </c>
      <c r="Z199" s="188" t="s">
        <v>306</v>
      </c>
      <c r="AA199" s="188" t="s">
        <v>306</v>
      </c>
      <c r="AB199" s="234" t="s">
        <v>306</v>
      </c>
      <c r="AC199" s="235" t="s">
        <v>25</v>
      </c>
      <c r="AD199" s="188" t="s">
        <v>25</v>
      </c>
      <c r="AE199" s="188" t="s">
        <v>25</v>
      </c>
      <c r="AF199" s="234" t="s">
        <v>25</v>
      </c>
      <c r="AG199" s="188" t="s">
        <v>25</v>
      </c>
      <c r="AH199" s="188" t="s">
        <v>306</v>
      </c>
      <c r="AI199" s="234" t="s">
        <v>25</v>
      </c>
      <c r="AJ199" s="188" t="s">
        <v>306</v>
      </c>
      <c r="AK199" s="188" t="s">
        <v>25</v>
      </c>
      <c r="AL199" s="234" t="s">
        <v>25</v>
      </c>
      <c r="AM199" s="188" t="s">
        <v>306</v>
      </c>
      <c r="AN199" s="188" t="s">
        <v>19</v>
      </c>
      <c r="AO199" s="234" t="s">
        <v>306</v>
      </c>
      <c r="AP199" s="235" t="s">
        <v>306</v>
      </c>
      <c r="AQ199" s="188" t="s">
        <v>19</v>
      </c>
      <c r="AR199" s="188" t="s">
        <v>19</v>
      </c>
      <c r="AS199" s="234" t="s">
        <v>19</v>
      </c>
      <c r="AT199" s="188" t="s">
        <v>25</v>
      </c>
      <c r="AU199" s="188" t="s">
        <v>19</v>
      </c>
      <c r="AV199" s="234" t="s">
        <v>306</v>
      </c>
      <c r="AW199" s="188" t="s">
        <v>306</v>
      </c>
      <c r="AX199" s="188" t="s">
        <v>25</v>
      </c>
      <c r="AY199" s="234" t="s">
        <v>25</v>
      </c>
      <c r="AZ199" s="188" t="s">
        <v>306</v>
      </c>
      <c r="BA199" s="188" t="s">
        <v>19</v>
      </c>
      <c r="BB199" s="234" t="s">
        <v>25</v>
      </c>
      <c r="BC199" s="235" t="s">
        <v>25</v>
      </c>
      <c r="BD199" s="188"/>
    </row>
    <row r="200" spans="1:56" ht="12.75" customHeight="1" x14ac:dyDescent="0.25">
      <c r="A200" s="238">
        <v>44789.767604803244</v>
      </c>
      <c r="B200" s="137" t="s">
        <v>384</v>
      </c>
      <c r="C200" s="211" t="s">
        <v>595</v>
      </c>
      <c r="D200" s="211" t="s">
        <v>17</v>
      </c>
      <c r="E200" s="232" t="s">
        <v>515</v>
      </c>
      <c r="F200" s="188" t="s">
        <v>793</v>
      </c>
      <c r="G200" s="211" t="s">
        <v>24</v>
      </c>
      <c r="H200" s="211">
        <v>12</v>
      </c>
      <c r="I200" s="188" t="s">
        <v>531</v>
      </c>
      <c r="J200" s="188" t="s">
        <v>532</v>
      </c>
      <c r="K200" s="209" t="s">
        <v>539</v>
      </c>
      <c r="L200" s="188" t="s">
        <v>518</v>
      </c>
      <c r="M200" s="188" t="s">
        <v>412</v>
      </c>
      <c r="N200" s="188"/>
      <c r="O200" s="188"/>
      <c r="P200" s="188"/>
      <c r="Q200" s="188" t="s">
        <v>25</v>
      </c>
      <c r="R200" s="188" t="s">
        <v>25</v>
      </c>
      <c r="S200" s="234" t="s">
        <v>25</v>
      </c>
      <c r="T200" s="188" t="s">
        <v>25</v>
      </c>
      <c r="U200" s="188" t="s">
        <v>25</v>
      </c>
      <c r="V200" s="234" t="s">
        <v>25</v>
      </c>
      <c r="W200" s="188" t="s">
        <v>25</v>
      </c>
      <c r="X200" s="188" t="s">
        <v>25</v>
      </c>
      <c r="Y200" s="234" t="s">
        <v>25</v>
      </c>
      <c r="Z200" s="188" t="s">
        <v>25</v>
      </c>
      <c r="AA200" s="188" t="s">
        <v>25</v>
      </c>
      <c r="AB200" s="234" t="s">
        <v>25</v>
      </c>
      <c r="AC200" s="235" t="s">
        <v>25</v>
      </c>
      <c r="AD200" s="188" t="s">
        <v>306</v>
      </c>
      <c r="AE200" s="188" t="s">
        <v>25</v>
      </c>
      <c r="AF200" s="234" t="s">
        <v>25</v>
      </c>
      <c r="AG200" s="188" t="s">
        <v>25</v>
      </c>
      <c r="AH200" s="188" t="s">
        <v>25</v>
      </c>
      <c r="AI200" s="234" t="s">
        <v>25</v>
      </c>
      <c r="AJ200" s="188" t="s">
        <v>25</v>
      </c>
      <c r="AK200" s="188" t="s">
        <v>25</v>
      </c>
      <c r="AL200" s="234" t="s">
        <v>25</v>
      </c>
      <c r="AM200" s="188" t="s">
        <v>25</v>
      </c>
      <c r="AN200" s="188" t="s">
        <v>25</v>
      </c>
      <c r="AO200" s="234" t="s">
        <v>25</v>
      </c>
      <c r="AP200" s="235" t="s">
        <v>25</v>
      </c>
      <c r="AQ200" s="188" t="s">
        <v>25</v>
      </c>
      <c r="AR200" s="188" t="s">
        <v>19</v>
      </c>
      <c r="AS200" s="234" t="s">
        <v>306</v>
      </c>
      <c r="AT200" s="188" t="s">
        <v>25</v>
      </c>
      <c r="AU200" s="188" t="s">
        <v>19</v>
      </c>
      <c r="AV200" s="234" t="s">
        <v>306</v>
      </c>
      <c r="AW200" s="188" t="s">
        <v>25</v>
      </c>
      <c r="AX200" s="188" t="s">
        <v>25</v>
      </c>
      <c r="AY200" s="234" t="s">
        <v>25</v>
      </c>
      <c r="AZ200" s="188" t="s">
        <v>25</v>
      </c>
      <c r="BA200" s="188" t="s">
        <v>25</v>
      </c>
      <c r="BB200" s="234" t="s">
        <v>25</v>
      </c>
      <c r="BC200" s="235" t="s">
        <v>306</v>
      </c>
      <c r="BD200" s="188"/>
    </row>
    <row r="201" spans="1:56" ht="12.75" customHeight="1" x14ac:dyDescent="0.25">
      <c r="A201" s="238">
        <v>44789.774645266203</v>
      </c>
      <c r="B201" s="137" t="s">
        <v>384</v>
      </c>
      <c r="C201" s="211" t="s">
        <v>595</v>
      </c>
      <c r="D201" s="211" t="s">
        <v>17</v>
      </c>
      <c r="E201" s="232" t="s">
        <v>515</v>
      </c>
      <c r="F201" s="188" t="s">
        <v>794</v>
      </c>
      <c r="G201" s="211" t="s">
        <v>24</v>
      </c>
      <c r="H201" s="211">
        <v>11</v>
      </c>
      <c r="I201" s="188" t="s">
        <v>531</v>
      </c>
      <c r="J201" s="188" t="s">
        <v>532</v>
      </c>
      <c r="K201" s="209" t="s">
        <v>539</v>
      </c>
      <c r="L201" s="188" t="s">
        <v>531</v>
      </c>
      <c r="M201" s="188" t="s">
        <v>614</v>
      </c>
      <c r="N201" s="188"/>
      <c r="O201" s="188"/>
      <c r="P201" s="188"/>
      <c r="Q201" s="188" t="s">
        <v>19</v>
      </c>
      <c r="R201" s="188" t="s">
        <v>19</v>
      </c>
      <c r="S201" s="234" t="s">
        <v>19</v>
      </c>
      <c r="T201" s="188" t="s">
        <v>19</v>
      </c>
      <c r="U201" s="188" t="s">
        <v>19</v>
      </c>
      <c r="V201" s="234" t="s">
        <v>19</v>
      </c>
      <c r="W201" s="188" t="s">
        <v>19</v>
      </c>
      <c r="X201" s="188" t="s">
        <v>19</v>
      </c>
      <c r="Y201" s="234" t="s">
        <v>19</v>
      </c>
      <c r="Z201" s="188" t="s">
        <v>19</v>
      </c>
      <c r="AA201" s="188" t="s">
        <v>19</v>
      </c>
      <c r="AB201" s="234" t="s">
        <v>19</v>
      </c>
      <c r="AC201" s="235" t="s">
        <v>19</v>
      </c>
      <c r="AD201" s="188" t="s">
        <v>19</v>
      </c>
      <c r="AE201" s="188" t="s">
        <v>19</v>
      </c>
      <c r="AF201" s="234" t="s">
        <v>19</v>
      </c>
      <c r="AG201" s="188" t="s">
        <v>19</v>
      </c>
      <c r="AH201" s="188" t="s">
        <v>19</v>
      </c>
      <c r="AI201" s="234" t="s">
        <v>19</v>
      </c>
      <c r="AJ201" s="188" t="s">
        <v>19</v>
      </c>
      <c r="AK201" s="188" t="s">
        <v>19</v>
      </c>
      <c r="AL201" s="234" t="s">
        <v>19</v>
      </c>
      <c r="AM201" s="188" t="s">
        <v>19</v>
      </c>
      <c r="AN201" s="188" t="s">
        <v>19</v>
      </c>
      <c r="AO201" s="234" t="s">
        <v>19</v>
      </c>
      <c r="AP201" s="235" t="s">
        <v>19</v>
      </c>
      <c r="AQ201" s="188" t="s">
        <v>19</v>
      </c>
      <c r="AR201" s="188" t="s">
        <v>19</v>
      </c>
      <c r="AS201" s="234" t="s">
        <v>19</v>
      </c>
      <c r="AT201" s="188" t="s">
        <v>19</v>
      </c>
      <c r="AU201" s="188" t="s">
        <v>19</v>
      </c>
      <c r="AV201" s="234" t="s">
        <v>19</v>
      </c>
      <c r="AW201" s="188" t="s">
        <v>19</v>
      </c>
      <c r="AX201" s="188" t="s">
        <v>19</v>
      </c>
      <c r="AY201" s="234" t="s">
        <v>19</v>
      </c>
      <c r="AZ201" s="188" t="s">
        <v>19</v>
      </c>
      <c r="BA201" s="188" t="s">
        <v>19</v>
      </c>
      <c r="BB201" s="234" t="s">
        <v>25</v>
      </c>
      <c r="BC201" s="235" t="s">
        <v>25</v>
      </c>
      <c r="BD201" s="188"/>
    </row>
    <row r="202" spans="1:56" ht="12.75" customHeight="1" x14ac:dyDescent="0.25">
      <c r="A202" s="238">
        <v>44789.778701736112</v>
      </c>
      <c r="B202" s="137" t="s">
        <v>384</v>
      </c>
      <c r="C202" s="211" t="s">
        <v>595</v>
      </c>
      <c r="D202" s="211" t="s">
        <v>17</v>
      </c>
      <c r="E202" s="232" t="s">
        <v>515</v>
      </c>
      <c r="F202" s="188" t="s">
        <v>795</v>
      </c>
      <c r="G202" s="211" t="s">
        <v>18</v>
      </c>
      <c r="H202" s="211">
        <v>11</v>
      </c>
      <c r="I202" s="188" t="s">
        <v>531</v>
      </c>
      <c r="J202" s="188" t="s">
        <v>532</v>
      </c>
      <c r="K202" s="209" t="s">
        <v>539</v>
      </c>
      <c r="L202" s="188" t="s">
        <v>531</v>
      </c>
      <c r="M202" s="188" t="s">
        <v>614</v>
      </c>
      <c r="N202" s="188"/>
      <c r="O202" s="188"/>
      <c r="P202" s="188"/>
      <c r="Q202" s="188" t="s">
        <v>19</v>
      </c>
      <c r="R202" s="188" t="s">
        <v>19</v>
      </c>
      <c r="S202" s="234" t="s">
        <v>19</v>
      </c>
      <c r="T202" s="188" t="s">
        <v>19</v>
      </c>
      <c r="U202" s="188" t="s">
        <v>19</v>
      </c>
      <c r="V202" s="234" t="s">
        <v>19</v>
      </c>
      <c r="W202" s="188" t="s">
        <v>19</v>
      </c>
      <c r="X202" s="188" t="s">
        <v>19</v>
      </c>
      <c r="Y202" s="234" t="s">
        <v>19</v>
      </c>
      <c r="Z202" s="188" t="s">
        <v>19</v>
      </c>
      <c r="AA202" s="188" t="s">
        <v>19</v>
      </c>
      <c r="AB202" s="234" t="s">
        <v>19</v>
      </c>
      <c r="AC202" s="235" t="s">
        <v>19</v>
      </c>
      <c r="AD202" s="188" t="s">
        <v>19</v>
      </c>
      <c r="AE202" s="188" t="s">
        <v>19</v>
      </c>
      <c r="AF202" s="234" t="s">
        <v>19</v>
      </c>
      <c r="AG202" s="188" t="s">
        <v>19</v>
      </c>
      <c r="AH202" s="188" t="s">
        <v>19</v>
      </c>
      <c r="AI202" s="234" t="s">
        <v>19</v>
      </c>
      <c r="AJ202" s="188" t="s">
        <v>19</v>
      </c>
      <c r="AK202" s="188" t="s">
        <v>19</v>
      </c>
      <c r="AL202" s="234" t="s">
        <v>19</v>
      </c>
      <c r="AM202" s="188" t="s">
        <v>19</v>
      </c>
      <c r="AN202" s="188" t="s">
        <v>19</v>
      </c>
      <c r="AO202" s="234" t="s">
        <v>19</v>
      </c>
      <c r="AP202" s="235" t="s">
        <v>19</v>
      </c>
      <c r="AQ202" s="188" t="s">
        <v>19</v>
      </c>
      <c r="AR202" s="188" t="s">
        <v>19</v>
      </c>
      <c r="AS202" s="234" t="s">
        <v>19</v>
      </c>
      <c r="AT202" s="188" t="s">
        <v>19</v>
      </c>
      <c r="AU202" s="188" t="s">
        <v>19</v>
      </c>
      <c r="AV202" s="234" t="s">
        <v>19</v>
      </c>
      <c r="AW202" s="188" t="s">
        <v>19</v>
      </c>
      <c r="AX202" s="188" t="s">
        <v>19</v>
      </c>
      <c r="AY202" s="234" t="s">
        <v>19</v>
      </c>
      <c r="AZ202" s="188" t="s">
        <v>25</v>
      </c>
      <c r="BA202" s="188" t="s">
        <v>19</v>
      </c>
      <c r="BB202" s="234" t="s">
        <v>306</v>
      </c>
      <c r="BC202" s="235" t="s">
        <v>306</v>
      </c>
      <c r="BD202" s="188"/>
    </row>
    <row r="203" spans="1:56" ht="12.75" customHeight="1" x14ac:dyDescent="0.25">
      <c r="A203" s="238">
        <v>44792.509453749997</v>
      </c>
      <c r="B203" s="137" t="s">
        <v>384</v>
      </c>
      <c r="C203" s="211" t="s">
        <v>595</v>
      </c>
      <c r="D203" s="211" t="s">
        <v>17</v>
      </c>
      <c r="E203" s="232" t="s">
        <v>515</v>
      </c>
      <c r="F203" s="188" t="s">
        <v>536</v>
      </c>
      <c r="G203" s="211" t="s">
        <v>18</v>
      </c>
      <c r="H203" s="211">
        <v>11</v>
      </c>
      <c r="I203" s="188" t="s">
        <v>531</v>
      </c>
      <c r="J203" s="188" t="s">
        <v>532</v>
      </c>
      <c r="K203" s="209" t="s">
        <v>539</v>
      </c>
      <c r="L203" s="188" t="s">
        <v>518</v>
      </c>
      <c r="M203" s="188" t="s">
        <v>412</v>
      </c>
      <c r="N203" s="188"/>
      <c r="O203" s="188"/>
      <c r="P203" s="188"/>
      <c r="Q203" s="188" t="s">
        <v>306</v>
      </c>
      <c r="R203" s="188" t="s">
        <v>19</v>
      </c>
      <c r="S203" s="234" t="s">
        <v>306</v>
      </c>
      <c r="T203" s="188" t="s">
        <v>19</v>
      </c>
      <c r="U203" s="188" t="s">
        <v>306</v>
      </c>
      <c r="V203" s="234" t="s">
        <v>306</v>
      </c>
      <c r="W203" s="188" t="s">
        <v>19</v>
      </c>
      <c r="X203" s="188" t="s">
        <v>19</v>
      </c>
      <c r="Y203" s="234" t="s">
        <v>19</v>
      </c>
      <c r="Z203" s="188" t="s">
        <v>306</v>
      </c>
      <c r="AA203" s="188" t="s">
        <v>19</v>
      </c>
      <c r="AB203" s="234" t="s">
        <v>306</v>
      </c>
      <c r="AC203" s="235" t="s">
        <v>19</v>
      </c>
      <c r="AD203" s="188" t="s">
        <v>19</v>
      </c>
      <c r="AE203" s="188" t="s">
        <v>19</v>
      </c>
      <c r="AF203" s="234" t="s">
        <v>19</v>
      </c>
      <c r="AG203" s="188" t="s">
        <v>19</v>
      </c>
      <c r="AH203" s="188" t="s">
        <v>19</v>
      </c>
      <c r="AI203" s="234" t="s">
        <v>19</v>
      </c>
      <c r="AJ203" s="188" t="s">
        <v>19</v>
      </c>
      <c r="AK203" s="188" t="s">
        <v>19</v>
      </c>
      <c r="AL203" s="234" t="s">
        <v>19</v>
      </c>
      <c r="AM203" s="188" t="s">
        <v>19</v>
      </c>
      <c r="AN203" s="188" t="s">
        <v>19</v>
      </c>
      <c r="AO203" s="234" t="s">
        <v>19</v>
      </c>
      <c r="AP203" s="235" t="s">
        <v>19</v>
      </c>
      <c r="AQ203" s="188" t="s">
        <v>25</v>
      </c>
      <c r="AR203" s="188" t="s">
        <v>306</v>
      </c>
      <c r="AS203" s="234" t="s">
        <v>25</v>
      </c>
      <c r="AT203" s="188" t="s">
        <v>25</v>
      </c>
      <c r="AU203" s="188" t="s">
        <v>25</v>
      </c>
      <c r="AV203" s="234" t="s">
        <v>25</v>
      </c>
      <c r="AW203" s="188" t="s">
        <v>306</v>
      </c>
      <c r="AX203" s="188" t="s">
        <v>306</v>
      </c>
      <c r="AY203" s="234" t="s">
        <v>306</v>
      </c>
      <c r="AZ203" s="188" t="s">
        <v>19</v>
      </c>
      <c r="BA203" s="188" t="s">
        <v>25</v>
      </c>
      <c r="BB203" s="234" t="s">
        <v>19</v>
      </c>
      <c r="BC203" s="235" t="s">
        <v>306</v>
      </c>
      <c r="BD203" s="188"/>
    </row>
    <row r="204" spans="1:56" ht="12.75" customHeight="1" x14ac:dyDescent="0.25">
      <c r="A204" s="238">
        <v>45266.382556504628</v>
      </c>
      <c r="B204" s="233" t="s">
        <v>384</v>
      </c>
      <c r="C204" s="232" t="s">
        <v>587</v>
      </c>
      <c r="D204" s="232" t="s">
        <v>17</v>
      </c>
      <c r="E204" s="232" t="s">
        <v>605</v>
      </c>
      <c r="F204" s="209" t="s">
        <v>796</v>
      </c>
      <c r="G204" s="232" t="s">
        <v>24</v>
      </c>
      <c r="H204" s="232">
        <v>17</v>
      </c>
      <c r="I204" s="209" t="s">
        <v>531</v>
      </c>
      <c r="J204" s="188"/>
      <c r="K204" s="209" t="s">
        <v>539</v>
      </c>
      <c r="L204" s="209" t="s">
        <v>531</v>
      </c>
      <c r="M204" s="188"/>
      <c r="N204" s="188"/>
      <c r="O204" s="232" t="s">
        <v>531</v>
      </c>
      <c r="P204" s="188"/>
      <c r="Q204" s="209" t="s">
        <v>306</v>
      </c>
      <c r="R204" s="209" t="s">
        <v>306</v>
      </c>
      <c r="S204" s="234" t="s">
        <v>306</v>
      </c>
      <c r="T204" s="209" t="s">
        <v>306</v>
      </c>
      <c r="U204" s="209" t="s">
        <v>306</v>
      </c>
      <c r="V204" s="234" t="s">
        <v>306</v>
      </c>
      <c r="W204" s="209" t="s">
        <v>25</v>
      </c>
      <c r="X204" s="209" t="s">
        <v>306</v>
      </c>
      <c r="Y204" s="234" t="s">
        <v>25</v>
      </c>
      <c r="Z204" s="209" t="s">
        <v>19</v>
      </c>
      <c r="AA204" s="209" t="s">
        <v>306</v>
      </c>
      <c r="AB204" s="234" t="s">
        <v>306</v>
      </c>
      <c r="AC204" s="235" t="s">
        <v>306</v>
      </c>
      <c r="AD204" s="209" t="s">
        <v>306</v>
      </c>
      <c r="AE204" s="209" t="s">
        <v>306</v>
      </c>
      <c r="AF204" s="234" t="s">
        <v>306</v>
      </c>
      <c r="AG204" s="209" t="s">
        <v>306</v>
      </c>
      <c r="AH204" s="209" t="s">
        <v>306</v>
      </c>
      <c r="AI204" s="234" t="s">
        <v>306</v>
      </c>
      <c r="AJ204" s="209" t="s">
        <v>306</v>
      </c>
      <c r="AK204" s="209" t="s">
        <v>306</v>
      </c>
      <c r="AL204" s="234" t="s">
        <v>306</v>
      </c>
      <c r="AM204" s="209" t="s">
        <v>306</v>
      </c>
      <c r="AN204" s="209" t="s">
        <v>306</v>
      </c>
      <c r="AO204" s="234" t="s">
        <v>306</v>
      </c>
      <c r="AP204" s="235" t="s">
        <v>306</v>
      </c>
      <c r="AQ204" s="209" t="s">
        <v>306</v>
      </c>
      <c r="AR204" s="209" t="s">
        <v>306</v>
      </c>
      <c r="AS204" s="234" t="s">
        <v>306</v>
      </c>
      <c r="AT204" s="209" t="s">
        <v>25</v>
      </c>
      <c r="AU204" s="209" t="s">
        <v>306</v>
      </c>
      <c r="AV204" s="234" t="s">
        <v>25</v>
      </c>
      <c r="AW204" s="209" t="s">
        <v>306</v>
      </c>
      <c r="AX204" s="209" t="s">
        <v>306</v>
      </c>
      <c r="AY204" s="234" t="s">
        <v>306</v>
      </c>
      <c r="AZ204" s="209" t="s">
        <v>306</v>
      </c>
      <c r="BA204" s="209" t="s">
        <v>306</v>
      </c>
      <c r="BB204" s="234" t="s">
        <v>306</v>
      </c>
      <c r="BC204" s="235" t="s">
        <v>306</v>
      </c>
      <c r="BD204" s="188"/>
    </row>
    <row r="205" spans="1:56" ht="12.75" customHeight="1" x14ac:dyDescent="0.25">
      <c r="A205" s="238">
        <v>45266.385036099542</v>
      </c>
      <c r="B205" s="233" t="s">
        <v>384</v>
      </c>
      <c r="C205" s="232" t="s">
        <v>587</v>
      </c>
      <c r="D205" s="232" t="s">
        <v>17</v>
      </c>
      <c r="E205" s="232" t="s">
        <v>605</v>
      </c>
      <c r="F205" s="209" t="s">
        <v>797</v>
      </c>
      <c r="G205" s="232" t="s">
        <v>18</v>
      </c>
      <c r="H205" s="232">
        <v>16</v>
      </c>
      <c r="I205" s="209" t="s">
        <v>531</v>
      </c>
      <c r="J205" s="188"/>
      <c r="K205" s="209" t="s">
        <v>539</v>
      </c>
      <c r="L205" s="209" t="s">
        <v>531</v>
      </c>
      <c r="M205" s="188"/>
      <c r="N205" s="188"/>
      <c r="O205" s="232" t="s">
        <v>531</v>
      </c>
      <c r="P205" s="188"/>
      <c r="Q205" s="209" t="s">
        <v>306</v>
      </c>
      <c r="R205" s="209" t="s">
        <v>306</v>
      </c>
      <c r="S205" s="234" t="s">
        <v>306</v>
      </c>
      <c r="T205" s="209" t="s">
        <v>306</v>
      </c>
      <c r="U205" s="209" t="s">
        <v>306</v>
      </c>
      <c r="V205" s="234" t="s">
        <v>306</v>
      </c>
      <c r="W205" s="209" t="s">
        <v>306</v>
      </c>
      <c r="X205" s="209" t="s">
        <v>19</v>
      </c>
      <c r="Y205" s="234" t="s">
        <v>306</v>
      </c>
      <c r="Z205" s="209" t="s">
        <v>19</v>
      </c>
      <c r="AA205" s="209" t="s">
        <v>306</v>
      </c>
      <c r="AB205" s="234" t="s">
        <v>306</v>
      </c>
      <c r="AC205" s="235" t="s">
        <v>306</v>
      </c>
      <c r="AD205" s="209" t="s">
        <v>25</v>
      </c>
      <c r="AE205" s="209" t="s">
        <v>306</v>
      </c>
      <c r="AF205" s="234" t="s">
        <v>25</v>
      </c>
      <c r="AG205" s="209" t="s">
        <v>306</v>
      </c>
      <c r="AH205" s="209" t="s">
        <v>25</v>
      </c>
      <c r="AI205" s="234" t="s">
        <v>25</v>
      </c>
      <c r="AJ205" s="209" t="s">
        <v>25</v>
      </c>
      <c r="AK205" s="209" t="s">
        <v>25</v>
      </c>
      <c r="AL205" s="234" t="s">
        <v>25</v>
      </c>
      <c r="AM205" s="209" t="s">
        <v>25</v>
      </c>
      <c r="AN205" s="209" t="s">
        <v>25</v>
      </c>
      <c r="AO205" s="234" t="s">
        <v>25</v>
      </c>
      <c r="AP205" s="235" t="s">
        <v>25</v>
      </c>
      <c r="AQ205" s="209" t="s">
        <v>25</v>
      </c>
      <c r="AR205" s="209" t="s">
        <v>25</v>
      </c>
      <c r="AS205" s="234" t="s">
        <v>25</v>
      </c>
      <c r="AT205" s="209" t="s">
        <v>25</v>
      </c>
      <c r="AU205" s="209" t="s">
        <v>25</v>
      </c>
      <c r="AV205" s="234" t="s">
        <v>25</v>
      </c>
      <c r="AW205" s="209" t="s">
        <v>306</v>
      </c>
      <c r="AX205" s="209" t="s">
        <v>25</v>
      </c>
      <c r="AY205" s="234" t="s">
        <v>25</v>
      </c>
      <c r="AZ205" s="209" t="s">
        <v>25</v>
      </c>
      <c r="BA205" s="209" t="s">
        <v>25</v>
      </c>
      <c r="BB205" s="234" t="s">
        <v>19</v>
      </c>
      <c r="BC205" s="235" t="s">
        <v>306</v>
      </c>
      <c r="BD205" s="188"/>
    </row>
    <row r="206" spans="1:56" ht="12.75" customHeight="1" x14ac:dyDescent="0.25">
      <c r="A206" s="238">
        <v>45266.387345520838</v>
      </c>
      <c r="B206" s="233" t="s">
        <v>384</v>
      </c>
      <c r="C206" s="232" t="s">
        <v>587</v>
      </c>
      <c r="D206" s="232" t="s">
        <v>17</v>
      </c>
      <c r="E206" s="232" t="s">
        <v>605</v>
      </c>
      <c r="F206" s="209" t="s">
        <v>798</v>
      </c>
      <c r="G206" s="232" t="s">
        <v>18</v>
      </c>
      <c r="H206" s="232">
        <v>17</v>
      </c>
      <c r="I206" s="209" t="s">
        <v>531</v>
      </c>
      <c r="J206" s="188"/>
      <c r="K206" s="209" t="s">
        <v>539</v>
      </c>
      <c r="L206" s="209" t="s">
        <v>531</v>
      </c>
      <c r="M206" s="188"/>
      <c r="N206" s="188"/>
      <c r="O206" s="232" t="s">
        <v>531</v>
      </c>
      <c r="P206" s="188"/>
      <c r="Q206" s="209" t="s">
        <v>306</v>
      </c>
      <c r="R206" s="209" t="s">
        <v>19</v>
      </c>
      <c r="S206" s="234" t="s">
        <v>306</v>
      </c>
      <c r="T206" s="209" t="s">
        <v>306</v>
      </c>
      <c r="U206" s="209" t="s">
        <v>25</v>
      </c>
      <c r="V206" s="234" t="s">
        <v>25</v>
      </c>
      <c r="W206" s="209" t="s">
        <v>25</v>
      </c>
      <c r="X206" s="209" t="s">
        <v>306</v>
      </c>
      <c r="Y206" s="234" t="s">
        <v>25</v>
      </c>
      <c r="Z206" s="209" t="s">
        <v>25</v>
      </c>
      <c r="AA206" s="209" t="s">
        <v>306</v>
      </c>
      <c r="AB206" s="234" t="s">
        <v>25</v>
      </c>
      <c r="AC206" s="235" t="s">
        <v>306</v>
      </c>
      <c r="AD206" s="209" t="s">
        <v>306</v>
      </c>
      <c r="AE206" s="209" t="s">
        <v>306</v>
      </c>
      <c r="AF206" s="234" t="s">
        <v>306</v>
      </c>
      <c r="AG206" s="209" t="s">
        <v>306</v>
      </c>
      <c r="AH206" s="209" t="s">
        <v>25</v>
      </c>
      <c r="AI206" s="234" t="s">
        <v>25</v>
      </c>
      <c r="AJ206" s="209" t="s">
        <v>25</v>
      </c>
      <c r="AK206" s="209" t="s">
        <v>25</v>
      </c>
      <c r="AL206" s="234" t="s">
        <v>25</v>
      </c>
      <c r="AM206" s="209" t="s">
        <v>25</v>
      </c>
      <c r="AN206" s="209" t="s">
        <v>25</v>
      </c>
      <c r="AO206" s="234" t="s">
        <v>25</v>
      </c>
      <c r="AP206" s="235" t="s">
        <v>25</v>
      </c>
      <c r="AQ206" s="209" t="s">
        <v>306</v>
      </c>
      <c r="AR206" s="209" t="s">
        <v>25</v>
      </c>
      <c r="AS206" s="234" t="s">
        <v>25</v>
      </c>
      <c r="AT206" s="209" t="s">
        <v>25</v>
      </c>
      <c r="AU206" s="209" t="s">
        <v>25</v>
      </c>
      <c r="AV206" s="234" t="s">
        <v>25</v>
      </c>
      <c r="AW206" s="209" t="s">
        <v>25</v>
      </c>
      <c r="AX206" s="209" t="s">
        <v>306</v>
      </c>
      <c r="AY206" s="234" t="s">
        <v>25</v>
      </c>
      <c r="AZ206" s="209" t="s">
        <v>25</v>
      </c>
      <c r="BA206" s="209" t="s">
        <v>25</v>
      </c>
      <c r="BB206" s="234" t="s">
        <v>25</v>
      </c>
      <c r="BC206" s="235" t="s">
        <v>25</v>
      </c>
      <c r="BD206" s="188"/>
    </row>
    <row r="207" spans="1:56" ht="12.75" customHeight="1" x14ac:dyDescent="0.25">
      <c r="A207" s="238">
        <v>45266.389333032406</v>
      </c>
      <c r="B207" s="233" t="s">
        <v>384</v>
      </c>
      <c r="C207" s="232" t="s">
        <v>587</v>
      </c>
      <c r="D207" s="232" t="s">
        <v>17</v>
      </c>
      <c r="E207" s="232" t="s">
        <v>605</v>
      </c>
      <c r="F207" s="209" t="s">
        <v>799</v>
      </c>
      <c r="G207" s="232" t="s">
        <v>18</v>
      </c>
      <c r="H207" s="232">
        <v>17</v>
      </c>
      <c r="I207" s="209" t="s">
        <v>531</v>
      </c>
      <c r="J207" s="188"/>
      <c r="K207" s="209" t="s">
        <v>539</v>
      </c>
      <c r="L207" s="209" t="s">
        <v>531</v>
      </c>
      <c r="M207" s="188"/>
      <c r="N207" s="188"/>
      <c r="O207" s="232" t="s">
        <v>531</v>
      </c>
      <c r="P207" s="188"/>
      <c r="Q207" s="209" t="s">
        <v>306</v>
      </c>
      <c r="R207" s="209" t="s">
        <v>25</v>
      </c>
      <c r="S207" s="234" t="s">
        <v>25</v>
      </c>
      <c r="T207" s="209" t="s">
        <v>25</v>
      </c>
      <c r="U207" s="209" t="s">
        <v>25</v>
      </c>
      <c r="V207" s="234" t="s">
        <v>25</v>
      </c>
      <c r="W207" s="209" t="s">
        <v>25</v>
      </c>
      <c r="X207" s="209" t="s">
        <v>25</v>
      </c>
      <c r="Y207" s="234" t="s">
        <v>25</v>
      </c>
      <c r="Z207" s="209" t="s">
        <v>25</v>
      </c>
      <c r="AA207" s="209" t="s">
        <v>25</v>
      </c>
      <c r="AB207" s="234" t="s">
        <v>25</v>
      </c>
      <c r="AC207" s="235" t="s">
        <v>25</v>
      </c>
      <c r="AD207" s="209" t="s">
        <v>25</v>
      </c>
      <c r="AE207" s="209" t="s">
        <v>25</v>
      </c>
      <c r="AF207" s="234" t="s">
        <v>25</v>
      </c>
      <c r="AG207" s="209" t="s">
        <v>25</v>
      </c>
      <c r="AH207" s="209" t="s">
        <v>25</v>
      </c>
      <c r="AI207" s="234" t="s">
        <v>25</v>
      </c>
      <c r="AJ207" s="209" t="s">
        <v>25</v>
      </c>
      <c r="AK207" s="209" t="s">
        <v>25</v>
      </c>
      <c r="AL207" s="234" t="s">
        <v>25</v>
      </c>
      <c r="AM207" s="209" t="s">
        <v>25</v>
      </c>
      <c r="AN207" s="209" t="s">
        <v>25</v>
      </c>
      <c r="AO207" s="234" t="s">
        <v>25</v>
      </c>
      <c r="AP207" s="235" t="s">
        <v>25</v>
      </c>
      <c r="AQ207" s="209" t="s">
        <v>25</v>
      </c>
      <c r="AR207" s="209" t="s">
        <v>25</v>
      </c>
      <c r="AS207" s="234" t="s">
        <v>25</v>
      </c>
      <c r="AT207" s="209" t="s">
        <v>25</v>
      </c>
      <c r="AU207" s="209" t="s">
        <v>25</v>
      </c>
      <c r="AV207" s="234" t="s">
        <v>25</v>
      </c>
      <c r="AW207" s="209" t="s">
        <v>25</v>
      </c>
      <c r="AX207" s="209" t="s">
        <v>25</v>
      </c>
      <c r="AY207" s="234" t="s">
        <v>25</v>
      </c>
      <c r="AZ207" s="209" t="s">
        <v>25</v>
      </c>
      <c r="BA207" s="209" t="s">
        <v>25</v>
      </c>
      <c r="BB207" s="234" t="s">
        <v>306</v>
      </c>
      <c r="BC207" s="235" t="s">
        <v>25</v>
      </c>
      <c r="BD207" s="188"/>
    </row>
    <row r="208" spans="1:56" ht="12.75" customHeight="1" x14ac:dyDescent="0.25">
      <c r="A208" s="238">
        <v>45266.392057453704</v>
      </c>
      <c r="B208" s="233" t="s">
        <v>384</v>
      </c>
      <c r="C208" s="232" t="s">
        <v>587</v>
      </c>
      <c r="D208" s="232" t="s">
        <v>17</v>
      </c>
      <c r="E208" s="232" t="s">
        <v>605</v>
      </c>
      <c r="F208" s="209" t="s">
        <v>800</v>
      </c>
      <c r="G208" s="232" t="s">
        <v>18</v>
      </c>
      <c r="H208" s="232">
        <v>15</v>
      </c>
      <c r="I208" s="209" t="s">
        <v>531</v>
      </c>
      <c r="J208" s="188"/>
      <c r="K208" s="209" t="s">
        <v>539</v>
      </c>
      <c r="L208" s="209" t="s">
        <v>531</v>
      </c>
      <c r="M208" s="188"/>
      <c r="N208" s="188"/>
      <c r="O208" s="232" t="s">
        <v>518</v>
      </c>
      <c r="P208" s="209" t="s">
        <v>801</v>
      </c>
      <c r="Q208" s="209" t="s">
        <v>25</v>
      </c>
      <c r="R208" s="209" t="s">
        <v>25</v>
      </c>
      <c r="S208" s="234" t="s">
        <v>25</v>
      </c>
      <c r="T208" s="209" t="s">
        <v>306</v>
      </c>
      <c r="U208" s="209" t="s">
        <v>25</v>
      </c>
      <c r="V208" s="234" t="s">
        <v>25</v>
      </c>
      <c r="W208" s="209" t="s">
        <v>25</v>
      </c>
      <c r="X208" s="209" t="s">
        <v>306</v>
      </c>
      <c r="Y208" s="234" t="s">
        <v>25</v>
      </c>
      <c r="Z208" s="209" t="s">
        <v>25</v>
      </c>
      <c r="AA208" s="209" t="s">
        <v>25</v>
      </c>
      <c r="AB208" s="234" t="s">
        <v>25</v>
      </c>
      <c r="AC208" s="235" t="s">
        <v>25</v>
      </c>
      <c r="AD208" s="209" t="s">
        <v>306</v>
      </c>
      <c r="AE208" s="209" t="s">
        <v>306</v>
      </c>
      <c r="AF208" s="234" t="s">
        <v>306</v>
      </c>
      <c r="AG208" s="209" t="s">
        <v>306</v>
      </c>
      <c r="AH208" s="209" t="s">
        <v>25</v>
      </c>
      <c r="AI208" s="234" t="s">
        <v>25</v>
      </c>
      <c r="AJ208" s="209" t="s">
        <v>25</v>
      </c>
      <c r="AK208" s="209" t="s">
        <v>25</v>
      </c>
      <c r="AL208" s="234" t="s">
        <v>25</v>
      </c>
      <c r="AM208" s="209" t="s">
        <v>306</v>
      </c>
      <c r="AN208" s="209" t="s">
        <v>306</v>
      </c>
      <c r="AO208" s="234" t="s">
        <v>306</v>
      </c>
      <c r="AP208" s="235" t="s">
        <v>306</v>
      </c>
      <c r="AQ208" s="209" t="s">
        <v>25</v>
      </c>
      <c r="AR208" s="209" t="s">
        <v>25</v>
      </c>
      <c r="AS208" s="234" t="s">
        <v>25</v>
      </c>
      <c r="AT208" s="209" t="s">
        <v>25</v>
      </c>
      <c r="AU208" s="209" t="s">
        <v>25</v>
      </c>
      <c r="AV208" s="234" t="s">
        <v>25</v>
      </c>
      <c r="AW208" s="209" t="s">
        <v>25</v>
      </c>
      <c r="AX208" s="209" t="s">
        <v>306</v>
      </c>
      <c r="AY208" s="234" t="s">
        <v>25</v>
      </c>
      <c r="AZ208" s="209" t="s">
        <v>25</v>
      </c>
      <c r="BA208" s="209" t="s">
        <v>25</v>
      </c>
      <c r="BB208" s="234" t="s">
        <v>25</v>
      </c>
      <c r="BC208" s="235" t="s">
        <v>25</v>
      </c>
      <c r="BD208" s="188"/>
    </row>
    <row r="209" spans="1:56" ht="12.75" customHeight="1" x14ac:dyDescent="0.25">
      <c r="A209" s="238">
        <v>45266.396513495369</v>
      </c>
      <c r="B209" s="233" t="s">
        <v>384</v>
      </c>
      <c r="C209" s="232" t="s">
        <v>587</v>
      </c>
      <c r="D209" s="232" t="s">
        <v>17</v>
      </c>
      <c r="E209" s="232" t="s">
        <v>605</v>
      </c>
      <c r="F209" s="209" t="s">
        <v>802</v>
      </c>
      <c r="G209" s="232" t="s">
        <v>18</v>
      </c>
      <c r="H209" s="232">
        <v>15</v>
      </c>
      <c r="I209" s="209" t="s">
        <v>531</v>
      </c>
      <c r="J209" s="188"/>
      <c r="K209" s="209" t="s">
        <v>539</v>
      </c>
      <c r="L209" s="209" t="s">
        <v>531</v>
      </c>
      <c r="M209" s="188"/>
      <c r="N209" s="188"/>
      <c r="O209" s="232" t="s">
        <v>531</v>
      </c>
      <c r="P209" s="188"/>
      <c r="Q209" s="209" t="s">
        <v>25</v>
      </c>
      <c r="R209" s="209" t="s">
        <v>25</v>
      </c>
      <c r="S209" s="234" t="s">
        <v>25</v>
      </c>
      <c r="T209" s="209" t="s">
        <v>306</v>
      </c>
      <c r="U209" s="209" t="s">
        <v>25</v>
      </c>
      <c r="V209" s="234" t="s">
        <v>25</v>
      </c>
      <c r="W209" s="209" t="s">
        <v>306</v>
      </c>
      <c r="X209" s="209" t="s">
        <v>25</v>
      </c>
      <c r="Y209" s="234" t="s">
        <v>25</v>
      </c>
      <c r="Z209" s="209" t="s">
        <v>25</v>
      </c>
      <c r="AA209" s="209" t="s">
        <v>25</v>
      </c>
      <c r="AB209" s="234" t="s">
        <v>25</v>
      </c>
      <c r="AC209" s="235" t="s">
        <v>25</v>
      </c>
      <c r="AD209" s="209" t="s">
        <v>25</v>
      </c>
      <c r="AE209" s="209" t="s">
        <v>25</v>
      </c>
      <c r="AF209" s="234" t="s">
        <v>25</v>
      </c>
      <c r="AG209" s="209" t="s">
        <v>306</v>
      </c>
      <c r="AH209" s="209" t="s">
        <v>306</v>
      </c>
      <c r="AI209" s="234" t="s">
        <v>306</v>
      </c>
      <c r="AJ209" s="209" t="s">
        <v>306</v>
      </c>
      <c r="AK209" s="209" t="s">
        <v>25</v>
      </c>
      <c r="AL209" s="234" t="s">
        <v>25</v>
      </c>
      <c r="AM209" s="209" t="s">
        <v>25</v>
      </c>
      <c r="AN209" s="209" t="s">
        <v>306</v>
      </c>
      <c r="AO209" s="234" t="s">
        <v>25</v>
      </c>
      <c r="AP209" s="235" t="s">
        <v>25</v>
      </c>
      <c r="AQ209" s="209" t="s">
        <v>306</v>
      </c>
      <c r="AR209" s="209" t="s">
        <v>25</v>
      </c>
      <c r="AS209" s="234" t="s">
        <v>25</v>
      </c>
      <c r="AT209" s="209" t="s">
        <v>25</v>
      </c>
      <c r="AU209" s="209" t="s">
        <v>25</v>
      </c>
      <c r="AV209" s="234" t="s">
        <v>25</v>
      </c>
      <c r="AW209" s="209" t="s">
        <v>25</v>
      </c>
      <c r="AX209" s="209" t="s">
        <v>25</v>
      </c>
      <c r="AY209" s="234" t="s">
        <v>25</v>
      </c>
      <c r="AZ209" s="209" t="s">
        <v>306</v>
      </c>
      <c r="BA209" s="209" t="s">
        <v>25</v>
      </c>
      <c r="BB209" s="234" t="s">
        <v>25</v>
      </c>
      <c r="BC209" s="235" t="s">
        <v>25</v>
      </c>
      <c r="BD209" s="188"/>
    </row>
    <row r="210" spans="1:56" ht="12.75" customHeight="1" x14ac:dyDescent="0.25">
      <c r="A210" s="238">
        <v>45266.398693530093</v>
      </c>
      <c r="B210" s="233" t="s">
        <v>384</v>
      </c>
      <c r="C210" s="232" t="s">
        <v>587</v>
      </c>
      <c r="D210" s="232" t="s">
        <v>17</v>
      </c>
      <c r="E210" s="232" t="s">
        <v>605</v>
      </c>
      <c r="F210" s="209" t="s">
        <v>803</v>
      </c>
      <c r="G210" s="232" t="s">
        <v>24</v>
      </c>
      <c r="H210" s="232">
        <v>16</v>
      </c>
      <c r="I210" s="209" t="s">
        <v>531</v>
      </c>
      <c r="J210" s="188"/>
      <c r="K210" s="209" t="s">
        <v>539</v>
      </c>
      <c r="L210" s="209" t="s">
        <v>531</v>
      </c>
      <c r="M210" s="188"/>
      <c r="N210" s="188"/>
      <c r="O210" s="232" t="s">
        <v>531</v>
      </c>
      <c r="P210" s="188"/>
      <c r="Q210" s="209" t="s">
        <v>306</v>
      </c>
      <c r="R210" s="209" t="s">
        <v>19</v>
      </c>
      <c r="S210" s="234" t="s">
        <v>306</v>
      </c>
      <c r="T210" s="209" t="s">
        <v>19</v>
      </c>
      <c r="U210" s="209" t="s">
        <v>306</v>
      </c>
      <c r="V210" s="234" t="s">
        <v>306</v>
      </c>
      <c r="W210" s="209" t="s">
        <v>19</v>
      </c>
      <c r="X210" s="209" t="s">
        <v>19</v>
      </c>
      <c r="Y210" s="234" t="s">
        <v>19</v>
      </c>
      <c r="Z210" s="209" t="s">
        <v>25</v>
      </c>
      <c r="AA210" s="209" t="s">
        <v>306</v>
      </c>
      <c r="AB210" s="234" t="s">
        <v>25</v>
      </c>
      <c r="AC210" s="235" t="s">
        <v>306</v>
      </c>
      <c r="AD210" s="209" t="s">
        <v>306</v>
      </c>
      <c r="AE210" s="209" t="s">
        <v>25</v>
      </c>
      <c r="AF210" s="234" t="s">
        <v>25</v>
      </c>
      <c r="AG210" s="209" t="s">
        <v>306</v>
      </c>
      <c r="AH210" s="209" t="s">
        <v>306</v>
      </c>
      <c r="AI210" s="234" t="s">
        <v>306</v>
      </c>
      <c r="AJ210" s="209" t="s">
        <v>306</v>
      </c>
      <c r="AK210" s="209" t="s">
        <v>306</v>
      </c>
      <c r="AL210" s="234" t="s">
        <v>306</v>
      </c>
      <c r="AM210" s="209" t="s">
        <v>19</v>
      </c>
      <c r="AN210" s="209" t="s">
        <v>19</v>
      </c>
      <c r="AO210" s="234" t="s">
        <v>19</v>
      </c>
      <c r="AP210" s="235" t="s">
        <v>306</v>
      </c>
      <c r="AQ210" s="209" t="s">
        <v>306</v>
      </c>
      <c r="AR210" s="209" t="s">
        <v>306</v>
      </c>
      <c r="AS210" s="234" t="s">
        <v>306</v>
      </c>
      <c r="AT210" s="209" t="s">
        <v>25</v>
      </c>
      <c r="AU210" s="209" t="s">
        <v>25</v>
      </c>
      <c r="AV210" s="234" t="s">
        <v>25</v>
      </c>
      <c r="AW210" s="209" t="s">
        <v>25</v>
      </c>
      <c r="AX210" s="209" t="s">
        <v>306</v>
      </c>
      <c r="AY210" s="234" t="s">
        <v>25</v>
      </c>
      <c r="AZ210" s="209" t="s">
        <v>25</v>
      </c>
      <c r="BA210" s="209" t="s">
        <v>25</v>
      </c>
      <c r="BB210" s="234" t="s">
        <v>306</v>
      </c>
      <c r="BC210" s="235" t="s">
        <v>25</v>
      </c>
      <c r="BD210" s="188"/>
    </row>
    <row r="211" spans="1:56" ht="12.75" customHeight="1" x14ac:dyDescent="0.25">
      <c r="A211" s="238">
        <v>45266.400888958335</v>
      </c>
      <c r="B211" s="233" t="s">
        <v>384</v>
      </c>
      <c r="C211" s="232" t="s">
        <v>587</v>
      </c>
      <c r="D211" s="232" t="s">
        <v>17</v>
      </c>
      <c r="E211" s="232" t="s">
        <v>605</v>
      </c>
      <c r="F211" s="209" t="s">
        <v>804</v>
      </c>
      <c r="G211" s="232" t="s">
        <v>18</v>
      </c>
      <c r="H211" s="232">
        <v>17</v>
      </c>
      <c r="I211" s="209" t="s">
        <v>531</v>
      </c>
      <c r="J211" s="188"/>
      <c r="K211" s="209" t="s">
        <v>539</v>
      </c>
      <c r="L211" s="209" t="s">
        <v>531</v>
      </c>
      <c r="M211" s="188"/>
      <c r="N211" s="188"/>
      <c r="O211" s="232" t="s">
        <v>531</v>
      </c>
      <c r="P211" s="188"/>
      <c r="Q211" s="209" t="s">
        <v>25</v>
      </c>
      <c r="R211" s="209" t="s">
        <v>306</v>
      </c>
      <c r="S211" s="234" t="s">
        <v>25</v>
      </c>
      <c r="T211" s="209" t="s">
        <v>306</v>
      </c>
      <c r="U211" s="209" t="s">
        <v>25</v>
      </c>
      <c r="V211" s="234" t="s">
        <v>25</v>
      </c>
      <c r="W211" s="209" t="s">
        <v>306</v>
      </c>
      <c r="X211" s="209" t="s">
        <v>306</v>
      </c>
      <c r="Y211" s="234" t="s">
        <v>306</v>
      </c>
      <c r="Z211" s="209" t="s">
        <v>25</v>
      </c>
      <c r="AA211" s="209" t="s">
        <v>25</v>
      </c>
      <c r="AB211" s="234" t="s">
        <v>25</v>
      </c>
      <c r="AC211" s="235" t="s">
        <v>25</v>
      </c>
      <c r="AD211" s="209" t="s">
        <v>306</v>
      </c>
      <c r="AE211" s="209" t="s">
        <v>25</v>
      </c>
      <c r="AF211" s="234" t="s">
        <v>25</v>
      </c>
      <c r="AG211" s="209" t="s">
        <v>306</v>
      </c>
      <c r="AH211" s="209" t="s">
        <v>306</v>
      </c>
      <c r="AI211" s="234" t="s">
        <v>306</v>
      </c>
      <c r="AJ211" s="209" t="s">
        <v>306</v>
      </c>
      <c r="AK211" s="209" t="s">
        <v>306</v>
      </c>
      <c r="AL211" s="234" t="s">
        <v>306</v>
      </c>
      <c r="AM211" s="209" t="s">
        <v>19</v>
      </c>
      <c r="AN211" s="209" t="s">
        <v>19</v>
      </c>
      <c r="AO211" s="234" t="s">
        <v>19</v>
      </c>
      <c r="AP211" s="235" t="s">
        <v>306</v>
      </c>
      <c r="AQ211" s="209" t="s">
        <v>25</v>
      </c>
      <c r="AR211" s="209" t="s">
        <v>25</v>
      </c>
      <c r="AS211" s="234" t="s">
        <v>25</v>
      </c>
      <c r="AT211" s="209" t="s">
        <v>25</v>
      </c>
      <c r="AU211" s="209" t="s">
        <v>25</v>
      </c>
      <c r="AV211" s="234" t="s">
        <v>25</v>
      </c>
      <c r="AW211" s="209" t="s">
        <v>25</v>
      </c>
      <c r="AX211" s="209" t="s">
        <v>306</v>
      </c>
      <c r="AY211" s="234" t="s">
        <v>25</v>
      </c>
      <c r="AZ211" s="209" t="s">
        <v>25</v>
      </c>
      <c r="BA211" s="209" t="s">
        <v>25</v>
      </c>
      <c r="BB211" s="234" t="s">
        <v>306</v>
      </c>
      <c r="BC211" s="235" t="s">
        <v>25</v>
      </c>
      <c r="BD211" s="188"/>
    </row>
    <row r="212" spans="1:56" ht="12.75" customHeight="1" x14ac:dyDescent="0.25">
      <c r="A212" s="238">
        <v>45266.405886805558</v>
      </c>
      <c r="B212" s="233" t="s">
        <v>384</v>
      </c>
      <c r="C212" s="232" t="s">
        <v>587</v>
      </c>
      <c r="D212" s="232" t="s">
        <v>17</v>
      </c>
      <c r="E212" s="232" t="s">
        <v>605</v>
      </c>
      <c r="F212" s="209" t="s">
        <v>805</v>
      </c>
      <c r="G212" s="232" t="s">
        <v>18</v>
      </c>
      <c r="H212" s="232">
        <v>15</v>
      </c>
      <c r="I212" s="209" t="s">
        <v>531</v>
      </c>
      <c r="J212" s="188"/>
      <c r="K212" s="209" t="s">
        <v>539</v>
      </c>
      <c r="L212" s="209" t="s">
        <v>531</v>
      </c>
      <c r="M212" s="188"/>
      <c r="N212" s="188"/>
      <c r="O212" s="232" t="s">
        <v>531</v>
      </c>
      <c r="P212" s="188"/>
      <c r="Q212" s="209" t="s">
        <v>25</v>
      </c>
      <c r="R212" s="209" t="s">
        <v>306</v>
      </c>
      <c r="S212" s="234" t="s">
        <v>25</v>
      </c>
      <c r="T212" s="209" t="s">
        <v>25</v>
      </c>
      <c r="U212" s="209" t="s">
        <v>25</v>
      </c>
      <c r="V212" s="234" t="s">
        <v>25</v>
      </c>
      <c r="W212" s="209" t="s">
        <v>306</v>
      </c>
      <c r="X212" s="209" t="s">
        <v>25</v>
      </c>
      <c r="Y212" s="234" t="s">
        <v>25</v>
      </c>
      <c r="Z212" s="209" t="s">
        <v>306</v>
      </c>
      <c r="AA212" s="209" t="s">
        <v>25</v>
      </c>
      <c r="AB212" s="234" t="s">
        <v>25</v>
      </c>
      <c r="AC212" s="235" t="s">
        <v>25</v>
      </c>
      <c r="AD212" s="209" t="s">
        <v>25</v>
      </c>
      <c r="AE212" s="209" t="s">
        <v>306</v>
      </c>
      <c r="AF212" s="234" t="s">
        <v>25</v>
      </c>
      <c r="AG212" s="209" t="s">
        <v>306</v>
      </c>
      <c r="AH212" s="209" t="s">
        <v>25</v>
      </c>
      <c r="AI212" s="234" t="s">
        <v>25</v>
      </c>
      <c r="AJ212" s="209" t="s">
        <v>25</v>
      </c>
      <c r="AK212" s="209" t="s">
        <v>25</v>
      </c>
      <c r="AL212" s="234" t="s">
        <v>25</v>
      </c>
      <c r="AM212" s="209" t="s">
        <v>306</v>
      </c>
      <c r="AN212" s="209" t="s">
        <v>306</v>
      </c>
      <c r="AO212" s="234" t="s">
        <v>306</v>
      </c>
      <c r="AP212" s="235" t="s">
        <v>25</v>
      </c>
      <c r="AQ212" s="209" t="s">
        <v>25</v>
      </c>
      <c r="AR212" s="209" t="s">
        <v>25</v>
      </c>
      <c r="AS212" s="234" t="s">
        <v>25</v>
      </c>
      <c r="AT212" s="209" t="s">
        <v>25</v>
      </c>
      <c r="AU212" s="209" t="s">
        <v>25</v>
      </c>
      <c r="AV212" s="234" t="s">
        <v>25</v>
      </c>
      <c r="AW212" s="209" t="s">
        <v>306</v>
      </c>
      <c r="AX212" s="209" t="s">
        <v>306</v>
      </c>
      <c r="AY212" s="234" t="s">
        <v>306</v>
      </c>
      <c r="AZ212" s="209" t="s">
        <v>25</v>
      </c>
      <c r="BA212" s="209" t="s">
        <v>306</v>
      </c>
      <c r="BB212" s="234" t="s">
        <v>306</v>
      </c>
      <c r="BC212" s="235" t="s">
        <v>306</v>
      </c>
      <c r="BD212" s="188"/>
    </row>
    <row r="213" spans="1:56" ht="12.75" customHeight="1" x14ac:dyDescent="0.25">
      <c r="A213" s="238">
        <v>45266.407930208334</v>
      </c>
      <c r="B213" s="233" t="s">
        <v>384</v>
      </c>
      <c r="C213" s="232" t="s">
        <v>587</v>
      </c>
      <c r="D213" s="232" t="s">
        <v>17</v>
      </c>
      <c r="E213" s="232" t="s">
        <v>605</v>
      </c>
      <c r="F213" s="209" t="s">
        <v>806</v>
      </c>
      <c r="G213" s="232" t="s">
        <v>18</v>
      </c>
      <c r="H213" s="232">
        <v>16</v>
      </c>
      <c r="I213" s="209" t="s">
        <v>531</v>
      </c>
      <c r="J213" s="188"/>
      <c r="K213" s="209" t="s">
        <v>539</v>
      </c>
      <c r="L213" s="209" t="s">
        <v>531</v>
      </c>
      <c r="M213" s="188"/>
      <c r="N213" s="188"/>
      <c r="O213" s="232" t="s">
        <v>531</v>
      </c>
      <c r="P213" s="188"/>
      <c r="Q213" s="209" t="s">
        <v>25</v>
      </c>
      <c r="R213" s="209" t="s">
        <v>19</v>
      </c>
      <c r="S213" s="234" t="s">
        <v>306</v>
      </c>
      <c r="T213" s="209" t="s">
        <v>19</v>
      </c>
      <c r="U213" s="209" t="s">
        <v>19</v>
      </c>
      <c r="V213" s="234" t="s">
        <v>19</v>
      </c>
      <c r="W213" s="209" t="s">
        <v>19</v>
      </c>
      <c r="X213" s="209" t="s">
        <v>19</v>
      </c>
      <c r="Y213" s="234" t="s">
        <v>19</v>
      </c>
      <c r="Z213" s="209" t="s">
        <v>19</v>
      </c>
      <c r="AA213" s="209" t="s">
        <v>19</v>
      </c>
      <c r="AB213" s="234" t="s">
        <v>19</v>
      </c>
      <c r="AC213" s="235" t="s">
        <v>19</v>
      </c>
      <c r="AD213" s="209" t="s">
        <v>19</v>
      </c>
      <c r="AE213" s="209" t="s">
        <v>19</v>
      </c>
      <c r="AF213" s="234" t="s">
        <v>19</v>
      </c>
      <c r="AG213" s="209" t="s">
        <v>19</v>
      </c>
      <c r="AH213" s="209" t="s">
        <v>19</v>
      </c>
      <c r="AI213" s="234" t="s">
        <v>19</v>
      </c>
      <c r="AJ213" s="209" t="s">
        <v>19</v>
      </c>
      <c r="AK213" s="209" t="s">
        <v>19</v>
      </c>
      <c r="AL213" s="234" t="s">
        <v>19</v>
      </c>
      <c r="AM213" s="209" t="s">
        <v>19</v>
      </c>
      <c r="AN213" s="209" t="s">
        <v>19</v>
      </c>
      <c r="AO213" s="234" t="s">
        <v>19</v>
      </c>
      <c r="AP213" s="235" t="s">
        <v>19</v>
      </c>
      <c r="AQ213" s="209" t="s">
        <v>19</v>
      </c>
      <c r="AR213" s="209" t="s">
        <v>19</v>
      </c>
      <c r="AS213" s="234" t="s">
        <v>19</v>
      </c>
      <c r="AT213" s="209" t="s">
        <v>19</v>
      </c>
      <c r="AU213" s="209" t="s">
        <v>19</v>
      </c>
      <c r="AV213" s="234" t="s">
        <v>19</v>
      </c>
      <c r="AW213" s="209" t="s">
        <v>19</v>
      </c>
      <c r="AX213" s="209" t="s">
        <v>306</v>
      </c>
      <c r="AY213" s="234" t="s">
        <v>306</v>
      </c>
      <c r="AZ213" s="209" t="s">
        <v>25</v>
      </c>
      <c r="BA213" s="209" t="s">
        <v>19</v>
      </c>
      <c r="BB213" s="234" t="s">
        <v>306</v>
      </c>
      <c r="BC213" s="235" t="s">
        <v>306</v>
      </c>
      <c r="BD213" s="188"/>
    </row>
    <row r="214" spans="1:56" ht="12.75" customHeight="1" x14ac:dyDescent="0.25">
      <c r="A214" s="238">
        <v>45266.4123621412</v>
      </c>
      <c r="B214" s="233" t="s">
        <v>384</v>
      </c>
      <c r="C214" s="232" t="s">
        <v>587</v>
      </c>
      <c r="D214" s="232" t="s">
        <v>17</v>
      </c>
      <c r="E214" s="232" t="s">
        <v>605</v>
      </c>
      <c r="F214" s="209" t="s">
        <v>807</v>
      </c>
      <c r="G214" s="232" t="s">
        <v>18</v>
      </c>
      <c r="H214" s="232">
        <v>17</v>
      </c>
      <c r="I214" s="209" t="s">
        <v>531</v>
      </c>
      <c r="J214" s="188"/>
      <c r="K214" s="209" t="s">
        <v>539</v>
      </c>
      <c r="L214" s="209" t="s">
        <v>531</v>
      </c>
      <c r="M214" s="188"/>
      <c r="N214" s="188"/>
      <c r="O214" s="232" t="s">
        <v>531</v>
      </c>
      <c r="P214" s="188"/>
      <c r="Q214" s="209" t="s">
        <v>306</v>
      </c>
      <c r="R214" s="209" t="s">
        <v>306</v>
      </c>
      <c r="S214" s="234" t="s">
        <v>306</v>
      </c>
      <c r="T214" s="209" t="s">
        <v>306</v>
      </c>
      <c r="U214" s="209" t="s">
        <v>25</v>
      </c>
      <c r="V214" s="234" t="s">
        <v>25</v>
      </c>
      <c r="W214" s="209" t="s">
        <v>306</v>
      </c>
      <c r="X214" s="209" t="s">
        <v>306</v>
      </c>
      <c r="Y214" s="234" t="s">
        <v>306</v>
      </c>
      <c r="Z214" s="209" t="s">
        <v>25</v>
      </c>
      <c r="AA214" s="209" t="s">
        <v>306</v>
      </c>
      <c r="AB214" s="234" t="s">
        <v>25</v>
      </c>
      <c r="AC214" s="235" t="s">
        <v>306</v>
      </c>
      <c r="AD214" s="209" t="s">
        <v>306</v>
      </c>
      <c r="AE214" s="209" t="s">
        <v>25</v>
      </c>
      <c r="AF214" s="234" t="s">
        <v>25</v>
      </c>
      <c r="AG214" s="209" t="s">
        <v>306</v>
      </c>
      <c r="AH214" s="209" t="s">
        <v>306</v>
      </c>
      <c r="AI214" s="234" t="s">
        <v>306</v>
      </c>
      <c r="AJ214" s="209" t="s">
        <v>25</v>
      </c>
      <c r="AK214" s="209" t="s">
        <v>306</v>
      </c>
      <c r="AL214" s="234" t="s">
        <v>25</v>
      </c>
      <c r="AM214" s="209" t="s">
        <v>306</v>
      </c>
      <c r="AN214" s="209" t="s">
        <v>306</v>
      </c>
      <c r="AO214" s="234" t="s">
        <v>306</v>
      </c>
      <c r="AP214" s="235" t="s">
        <v>306</v>
      </c>
      <c r="AQ214" s="209" t="s">
        <v>19</v>
      </c>
      <c r="AR214" s="209" t="s">
        <v>306</v>
      </c>
      <c r="AS214" s="234" t="s">
        <v>306</v>
      </c>
      <c r="AT214" s="209" t="s">
        <v>25</v>
      </c>
      <c r="AU214" s="209" t="s">
        <v>19</v>
      </c>
      <c r="AV214" s="234" t="s">
        <v>306</v>
      </c>
      <c r="AW214" s="209" t="s">
        <v>306</v>
      </c>
      <c r="AX214" s="209" t="s">
        <v>19</v>
      </c>
      <c r="AY214" s="234" t="s">
        <v>306</v>
      </c>
      <c r="AZ214" s="209" t="s">
        <v>306</v>
      </c>
      <c r="BA214" s="209" t="s">
        <v>19</v>
      </c>
      <c r="BB214" s="234" t="s">
        <v>306</v>
      </c>
      <c r="BC214" s="235" t="s">
        <v>306</v>
      </c>
      <c r="BD214" s="188"/>
    </row>
    <row r="215" spans="1:56" ht="12.75" customHeight="1" x14ac:dyDescent="0.25">
      <c r="A215" s="238">
        <v>45266.417825625002</v>
      </c>
      <c r="B215" s="233" t="s">
        <v>384</v>
      </c>
      <c r="C215" s="232" t="s">
        <v>587</v>
      </c>
      <c r="D215" s="232" t="s">
        <v>17</v>
      </c>
      <c r="E215" s="232" t="s">
        <v>605</v>
      </c>
      <c r="F215" s="209" t="s">
        <v>808</v>
      </c>
      <c r="G215" s="232" t="s">
        <v>18</v>
      </c>
      <c r="H215" s="232">
        <v>16</v>
      </c>
      <c r="I215" s="209" t="s">
        <v>531</v>
      </c>
      <c r="J215" s="188"/>
      <c r="K215" s="209" t="s">
        <v>539</v>
      </c>
      <c r="L215" s="209" t="s">
        <v>531</v>
      </c>
      <c r="M215" s="188"/>
      <c r="N215" s="188"/>
      <c r="O215" s="232" t="s">
        <v>531</v>
      </c>
      <c r="P215" s="188"/>
      <c r="Q215" s="209" t="s">
        <v>306</v>
      </c>
      <c r="R215" s="209" t="s">
        <v>306</v>
      </c>
      <c r="S215" s="234" t="s">
        <v>306</v>
      </c>
      <c r="T215" s="209" t="s">
        <v>306</v>
      </c>
      <c r="U215" s="209" t="s">
        <v>25</v>
      </c>
      <c r="V215" s="234" t="s">
        <v>25</v>
      </c>
      <c r="W215" s="209" t="s">
        <v>306</v>
      </c>
      <c r="X215" s="209" t="s">
        <v>306</v>
      </c>
      <c r="Y215" s="234" t="s">
        <v>306</v>
      </c>
      <c r="Z215" s="209" t="s">
        <v>306</v>
      </c>
      <c r="AA215" s="209" t="s">
        <v>306</v>
      </c>
      <c r="AB215" s="234" t="s">
        <v>306</v>
      </c>
      <c r="AC215" s="235" t="s">
        <v>306</v>
      </c>
      <c r="AD215" s="209" t="s">
        <v>306</v>
      </c>
      <c r="AE215" s="209" t="s">
        <v>306</v>
      </c>
      <c r="AF215" s="234" t="s">
        <v>306</v>
      </c>
      <c r="AG215" s="209" t="s">
        <v>306</v>
      </c>
      <c r="AH215" s="209" t="s">
        <v>306</v>
      </c>
      <c r="AI215" s="234" t="s">
        <v>306</v>
      </c>
      <c r="AJ215" s="209" t="s">
        <v>306</v>
      </c>
      <c r="AK215" s="209" t="s">
        <v>306</v>
      </c>
      <c r="AL215" s="234" t="s">
        <v>306</v>
      </c>
      <c r="AM215" s="209" t="s">
        <v>306</v>
      </c>
      <c r="AN215" s="209" t="s">
        <v>306</v>
      </c>
      <c r="AO215" s="234" t="s">
        <v>306</v>
      </c>
      <c r="AP215" s="235" t="s">
        <v>306</v>
      </c>
      <c r="AQ215" s="209" t="s">
        <v>306</v>
      </c>
      <c r="AR215" s="209" t="s">
        <v>25</v>
      </c>
      <c r="AS215" s="234" t="s">
        <v>25</v>
      </c>
      <c r="AT215" s="209" t="s">
        <v>25</v>
      </c>
      <c r="AU215" s="209" t="s">
        <v>25</v>
      </c>
      <c r="AV215" s="234" t="s">
        <v>25</v>
      </c>
      <c r="AW215" s="209" t="s">
        <v>306</v>
      </c>
      <c r="AX215" s="209" t="s">
        <v>306</v>
      </c>
      <c r="AY215" s="234" t="s">
        <v>306</v>
      </c>
      <c r="AZ215" s="209" t="s">
        <v>25</v>
      </c>
      <c r="BA215" s="209" t="s">
        <v>25</v>
      </c>
      <c r="BB215" s="234" t="s">
        <v>306</v>
      </c>
      <c r="BC215" s="235" t="s">
        <v>306</v>
      </c>
      <c r="BD215" s="188"/>
    </row>
    <row r="216" spans="1:56" ht="12.75" customHeight="1" x14ac:dyDescent="0.25">
      <c r="A216" s="238">
        <v>45266.422220624998</v>
      </c>
      <c r="B216" s="233" t="s">
        <v>384</v>
      </c>
      <c r="C216" s="232" t="s">
        <v>587</v>
      </c>
      <c r="D216" s="232" t="s">
        <v>17</v>
      </c>
      <c r="E216" s="232" t="s">
        <v>605</v>
      </c>
      <c r="F216" s="209" t="s">
        <v>809</v>
      </c>
      <c r="G216" s="232" t="s">
        <v>18</v>
      </c>
      <c r="H216" s="232">
        <v>16</v>
      </c>
      <c r="I216" s="209" t="s">
        <v>531</v>
      </c>
      <c r="J216" s="188"/>
      <c r="K216" s="209" t="s">
        <v>539</v>
      </c>
      <c r="L216" s="209" t="s">
        <v>531</v>
      </c>
      <c r="M216" s="188"/>
      <c r="N216" s="188"/>
      <c r="O216" s="232" t="s">
        <v>531</v>
      </c>
      <c r="P216" s="188"/>
      <c r="Q216" s="209" t="s">
        <v>25</v>
      </c>
      <c r="R216" s="209" t="s">
        <v>306</v>
      </c>
      <c r="S216" s="234" t="s">
        <v>25</v>
      </c>
      <c r="T216" s="209" t="s">
        <v>306</v>
      </c>
      <c r="U216" s="209" t="s">
        <v>19</v>
      </c>
      <c r="V216" s="234" t="s">
        <v>306</v>
      </c>
      <c r="W216" s="209" t="s">
        <v>306</v>
      </c>
      <c r="X216" s="209" t="s">
        <v>19</v>
      </c>
      <c r="Y216" s="234" t="s">
        <v>306</v>
      </c>
      <c r="Z216" s="209" t="s">
        <v>25</v>
      </c>
      <c r="AA216" s="209" t="s">
        <v>25</v>
      </c>
      <c r="AB216" s="234" t="s">
        <v>25</v>
      </c>
      <c r="AC216" s="235" t="s">
        <v>306</v>
      </c>
      <c r="AD216" s="209" t="s">
        <v>306</v>
      </c>
      <c r="AE216" s="209" t="s">
        <v>25</v>
      </c>
      <c r="AF216" s="234" t="s">
        <v>25</v>
      </c>
      <c r="AG216" s="209" t="s">
        <v>306</v>
      </c>
      <c r="AH216" s="209" t="s">
        <v>19</v>
      </c>
      <c r="AI216" s="234" t="s">
        <v>306</v>
      </c>
      <c r="AJ216" s="209" t="s">
        <v>25</v>
      </c>
      <c r="AK216" s="209" t="s">
        <v>19</v>
      </c>
      <c r="AL216" s="234" t="s">
        <v>306</v>
      </c>
      <c r="AM216" s="209" t="s">
        <v>306</v>
      </c>
      <c r="AN216" s="209" t="s">
        <v>19</v>
      </c>
      <c r="AO216" s="234" t="s">
        <v>306</v>
      </c>
      <c r="AP216" s="235" t="s">
        <v>306</v>
      </c>
      <c r="AQ216" s="209" t="s">
        <v>25</v>
      </c>
      <c r="AR216" s="209" t="s">
        <v>25</v>
      </c>
      <c r="AS216" s="234" t="s">
        <v>25</v>
      </c>
      <c r="AT216" s="209" t="s">
        <v>25</v>
      </c>
      <c r="AU216" s="209" t="s">
        <v>25</v>
      </c>
      <c r="AV216" s="234" t="s">
        <v>25</v>
      </c>
      <c r="AW216" s="209" t="s">
        <v>25</v>
      </c>
      <c r="AX216" s="209" t="s">
        <v>25</v>
      </c>
      <c r="AY216" s="234" t="s">
        <v>25</v>
      </c>
      <c r="AZ216" s="209" t="s">
        <v>25</v>
      </c>
      <c r="BA216" s="209" t="s">
        <v>25</v>
      </c>
      <c r="BB216" s="234" t="s">
        <v>25</v>
      </c>
      <c r="BC216" s="235" t="s">
        <v>25</v>
      </c>
      <c r="BD216" s="188"/>
    </row>
    <row r="217" spans="1:56" ht="12.75" customHeight="1" x14ac:dyDescent="0.25">
      <c r="A217" s="238">
        <v>45266.435435162042</v>
      </c>
      <c r="B217" s="233" t="s">
        <v>384</v>
      </c>
      <c r="C217" s="232" t="s">
        <v>587</v>
      </c>
      <c r="D217" s="232" t="s">
        <v>17</v>
      </c>
      <c r="E217" s="232" t="s">
        <v>605</v>
      </c>
      <c r="F217" s="209" t="s">
        <v>810</v>
      </c>
      <c r="G217" s="232" t="s">
        <v>24</v>
      </c>
      <c r="H217" s="232">
        <v>16</v>
      </c>
      <c r="I217" s="209" t="s">
        <v>531</v>
      </c>
      <c r="J217" s="188"/>
      <c r="K217" s="209" t="s">
        <v>539</v>
      </c>
      <c r="L217" s="209" t="s">
        <v>531</v>
      </c>
      <c r="M217" s="188"/>
      <c r="N217" s="188"/>
      <c r="O217" s="232" t="s">
        <v>531</v>
      </c>
      <c r="P217" s="188"/>
      <c r="Q217" s="209" t="s">
        <v>19</v>
      </c>
      <c r="R217" s="209" t="s">
        <v>19</v>
      </c>
      <c r="S217" s="234" t="s">
        <v>19</v>
      </c>
      <c r="T217" s="209" t="s">
        <v>25</v>
      </c>
      <c r="U217" s="209" t="s">
        <v>25</v>
      </c>
      <c r="V217" s="234" t="s">
        <v>25</v>
      </c>
      <c r="W217" s="209" t="s">
        <v>25</v>
      </c>
      <c r="X217" s="209" t="s">
        <v>19</v>
      </c>
      <c r="Y217" s="234" t="s">
        <v>306</v>
      </c>
      <c r="Z217" s="209" t="s">
        <v>25</v>
      </c>
      <c r="AA217" s="209" t="s">
        <v>19</v>
      </c>
      <c r="AB217" s="234" t="s">
        <v>306</v>
      </c>
      <c r="AC217" s="235" t="s">
        <v>306</v>
      </c>
      <c r="AD217" s="209" t="s">
        <v>25</v>
      </c>
      <c r="AE217" s="209" t="s">
        <v>306</v>
      </c>
      <c r="AF217" s="234" t="s">
        <v>25</v>
      </c>
      <c r="AG217" s="209" t="s">
        <v>306</v>
      </c>
      <c r="AH217" s="209" t="s">
        <v>19</v>
      </c>
      <c r="AI217" s="234" t="s">
        <v>306</v>
      </c>
      <c r="AJ217" s="209" t="s">
        <v>25</v>
      </c>
      <c r="AK217" s="209" t="s">
        <v>25</v>
      </c>
      <c r="AL217" s="234" t="s">
        <v>25</v>
      </c>
      <c r="AM217" s="209" t="s">
        <v>19</v>
      </c>
      <c r="AN217" s="209" t="s">
        <v>19</v>
      </c>
      <c r="AO217" s="234" t="s">
        <v>19</v>
      </c>
      <c r="AP217" s="235" t="s">
        <v>306</v>
      </c>
      <c r="AQ217" s="209" t="s">
        <v>25</v>
      </c>
      <c r="AR217" s="209" t="s">
        <v>25</v>
      </c>
      <c r="AS217" s="234" t="s">
        <v>25</v>
      </c>
      <c r="AT217" s="209" t="s">
        <v>25</v>
      </c>
      <c r="AU217" s="209" t="s">
        <v>25</v>
      </c>
      <c r="AV217" s="234" t="s">
        <v>25</v>
      </c>
      <c r="AW217" s="209" t="s">
        <v>306</v>
      </c>
      <c r="AX217" s="209" t="s">
        <v>25</v>
      </c>
      <c r="AY217" s="234" t="s">
        <v>25</v>
      </c>
      <c r="AZ217" s="209" t="s">
        <v>25</v>
      </c>
      <c r="BA217" s="209" t="s">
        <v>25</v>
      </c>
      <c r="BB217" s="234" t="s">
        <v>25</v>
      </c>
      <c r="BC217" s="235" t="s">
        <v>306</v>
      </c>
      <c r="BD217" s="188"/>
    </row>
    <row r="218" spans="1:56" ht="12.75" customHeight="1" x14ac:dyDescent="0.25">
      <c r="A218" s="238">
        <v>45266.462160960647</v>
      </c>
      <c r="B218" s="233" t="s">
        <v>384</v>
      </c>
      <c r="C218" s="232" t="s">
        <v>587</v>
      </c>
      <c r="D218" s="232" t="s">
        <v>17</v>
      </c>
      <c r="E218" s="232" t="s">
        <v>605</v>
      </c>
      <c r="F218" s="209" t="s">
        <v>811</v>
      </c>
      <c r="G218" s="232" t="s">
        <v>18</v>
      </c>
      <c r="H218" s="232">
        <v>16</v>
      </c>
      <c r="I218" s="209" t="s">
        <v>531</v>
      </c>
      <c r="J218" s="188"/>
      <c r="K218" s="209" t="s">
        <v>539</v>
      </c>
      <c r="L218" s="209" t="s">
        <v>531</v>
      </c>
      <c r="M218" s="188"/>
      <c r="N218" s="188"/>
      <c r="O218" s="232" t="s">
        <v>531</v>
      </c>
      <c r="P218" s="188"/>
      <c r="Q218" s="209" t="s">
        <v>25</v>
      </c>
      <c r="R218" s="209" t="s">
        <v>25</v>
      </c>
      <c r="S218" s="234" t="s">
        <v>25</v>
      </c>
      <c r="T218" s="209" t="s">
        <v>25</v>
      </c>
      <c r="U218" s="209" t="s">
        <v>25</v>
      </c>
      <c r="V218" s="234" t="s">
        <v>25</v>
      </c>
      <c r="W218" s="209" t="s">
        <v>306</v>
      </c>
      <c r="X218" s="209" t="s">
        <v>25</v>
      </c>
      <c r="Y218" s="234" t="s">
        <v>25</v>
      </c>
      <c r="Z218" s="209" t="s">
        <v>25</v>
      </c>
      <c r="AA218" s="209" t="s">
        <v>25</v>
      </c>
      <c r="AB218" s="234" t="s">
        <v>25</v>
      </c>
      <c r="AC218" s="235" t="s">
        <v>25</v>
      </c>
      <c r="AD218" s="209" t="s">
        <v>306</v>
      </c>
      <c r="AE218" s="209" t="s">
        <v>19</v>
      </c>
      <c r="AF218" s="234" t="s">
        <v>306</v>
      </c>
      <c r="AG218" s="209" t="s">
        <v>306</v>
      </c>
      <c r="AH218" s="209" t="s">
        <v>19</v>
      </c>
      <c r="AI218" s="234" t="s">
        <v>306</v>
      </c>
      <c r="AJ218" s="209" t="s">
        <v>25</v>
      </c>
      <c r="AK218" s="209" t="s">
        <v>306</v>
      </c>
      <c r="AL218" s="234" t="s">
        <v>25</v>
      </c>
      <c r="AM218" s="209" t="s">
        <v>306</v>
      </c>
      <c r="AN218" s="209" t="s">
        <v>306</v>
      </c>
      <c r="AO218" s="234" t="s">
        <v>306</v>
      </c>
      <c r="AP218" s="235" t="s">
        <v>306</v>
      </c>
      <c r="AQ218" s="209" t="s">
        <v>25</v>
      </c>
      <c r="AR218" s="209" t="s">
        <v>25</v>
      </c>
      <c r="AS218" s="234" t="s">
        <v>25</v>
      </c>
      <c r="AT218" s="209" t="s">
        <v>25</v>
      </c>
      <c r="AU218" s="209" t="s">
        <v>25</v>
      </c>
      <c r="AV218" s="234" t="s">
        <v>25</v>
      </c>
      <c r="AW218" s="209" t="s">
        <v>25</v>
      </c>
      <c r="AX218" s="209" t="s">
        <v>306</v>
      </c>
      <c r="AY218" s="234" t="s">
        <v>25</v>
      </c>
      <c r="AZ218" s="209" t="s">
        <v>25</v>
      </c>
      <c r="BA218" s="209" t="s">
        <v>25</v>
      </c>
      <c r="BB218" s="234" t="s">
        <v>306</v>
      </c>
      <c r="BC218" s="235" t="s">
        <v>306</v>
      </c>
      <c r="BD218" s="188"/>
    </row>
    <row r="219" spans="1:56" ht="12.75" customHeight="1" x14ac:dyDescent="0.25">
      <c r="A219" s="238">
        <v>45266.46507038195</v>
      </c>
      <c r="B219" s="233" t="s">
        <v>384</v>
      </c>
      <c r="C219" s="232" t="s">
        <v>587</v>
      </c>
      <c r="D219" s="232" t="s">
        <v>17</v>
      </c>
      <c r="E219" s="232" t="s">
        <v>605</v>
      </c>
      <c r="F219" s="209" t="s">
        <v>812</v>
      </c>
      <c r="G219" s="232" t="s">
        <v>18</v>
      </c>
      <c r="H219" s="232">
        <v>15</v>
      </c>
      <c r="I219" s="209" t="s">
        <v>531</v>
      </c>
      <c r="J219" s="188"/>
      <c r="K219" s="209" t="s">
        <v>539</v>
      </c>
      <c r="L219" s="209" t="s">
        <v>531</v>
      </c>
      <c r="M219" s="188"/>
      <c r="N219" s="188"/>
      <c r="O219" s="232" t="s">
        <v>531</v>
      </c>
      <c r="P219" s="188"/>
      <c r="Q219" s="209" t="s">
        <v>25</v>
      </c>
      <c r="R219" s="209" t="s">
        <v>25</v>
      </c>
      <c r="S219" s="234" t="s">
        <v>25</v>
      </c>
      <c r="T219" s="209" t="s">
        <v>19</v>
      </c>
      <c r="U219" s="209" t="s">
        <v>19</v>
      </c>
      <c r="V219" s="234" t="s">
        <v>19</v>
      </c>
      <c r="W219" s="209" t="s">
        <v>19</v>
      </c>
      <c r="X219" s="209" t="s">
        <v>25</v>
      </c>
      <c r="Y219" s="234" t="s">
        <v>306</v>
      </c>
      <c r="Z219" s="209" t="s">
        <v>25</v>
      </c>
      <c r="AA219" s="209" t="s">
        <v>19</v>
      </c>
      <c r="AB219" s="234" t="s">
        <v>306</v>
      </c>
      <c r="AC219" s="235" t="s">
        <v>306</v>
      </c>
      <c r="AD219" s="209" t="s">
        <v>19</v>
      </c>
      <c r="AE219" s="209" t="s">
        <v>306</v>
      </c>
      <c r="AF219" s="234" t="s">
        <v>306</v>
      </c>
      <c r="AG219" s="209" t="s">
        <v>306</v>
      </c>
      <c r="AH219" s="209" t="s">
        <v>19</v>
      </c>
      <c r="AI219" s="234" t="s">
        <v>306</v>
      </c>
      <c r="AJ219" s="209" t="s">
        <v>306</v>
      </c>
      <c r="AK219" s="209" t="s">
        <v>19</v>
      </c>
      <c r="AL219" s="234" t="s">
        <v>306</v>
      </c>
      <c r="AM219" s="209" t="s">
        <v>19</v>
      </c>
      <c r="AN219" s="209" t="s">
        <v>19</v>
      </c>
      <c r="AO219" s="234" t="s">
        <v>19</v>
      </c>
      <c r="AP219" s="235" t="s">
        <v>19</v>
      </c>
      <c r="AQ219" s="209" t="s">
        <v>19</v>
      </c>
      <c r="AR219" s="209" t="s">
        <v>25</v>
      </c>
      <c r="AS219" s="234" t="s">
        <v>306</v>
      </c>
      <c r="AT219" s="209" t="s">
        <v>25</v>
      </c>
      <c r="AU219" s="209" t="s">
        <v>25</v>
      </c>
      <c r="AV219" s="234" t="s">
        <v>25</v>
      </c>
      <c r="AW219" s="209" t="s">
        <v>25</v>
      </c>
      <c r="AX219" s="209" t="s">
        <v>25</v>
      </c>
      <c r="AY219" s="234" t="s">
        <v>25</v>
      </c>
      <c r="AZ219" s="209" t="s">
        <v>25</v>
      </c>
      <c r="BA219" s="209" t="s">
        <v>25</v>
      </c>
      <c r="BB219" s="234" t="s">
        <v>306</v>
      </c>
      <c r="BC219" s="235" t="s">
        <v>306</v>
      </c>
      <c r="BD219" s="188"/>
    </row>
    <row r="220" spans="1:56" ht="12.75" customHeight="1" x14ac:dyDescent="0.25">
      <c r="A220" s="238">
        <v>45266.471951446758</v>
      </c>
      <c r="B220" s="233" t="s">
        <v>384</v>
      </c>
      <c r="C220" s="232" t="s">
        <v>587</v>
      </c>
      <c r="D220" s="232" t="s">
        <v>17</v>
      </c>
      <c r="E220" s="232" t="s">
        <v>605</v>
      </c>
      <c r="F220" s="209" t="s">
        <v>813</v>
      </c>
      <c r="G220" s="232" t="s">
        <v>24</v>
      </c>
      <c r="H220" s="232">
        <v>16</v>
      </c>
      <c r="I220" s="209" t="s">
        <v>531</v>
      </c>
      <c r="J220" s="188"/>
      <c r="K220" s="209" t="s">
        <v>539</v>
      </c>
      <c r="L220" s="209" t="s">
        <v>531</v>
      </c>
      <c r="M220" s="188"/>
      <c r="N220" s="188"/>
      <c r="O220" s="232" t="s">
        <v>531</v>
      </c>
      <c r="P220" s="188"/>
      <c r="Q220" s="209" t="s">
        <v>25</v>
      </c>
      <c r="R220" s="209" t="s">
        <v>19</v>
      </c>
      <c r="S220" s="234" t="s">
        <v>306</v>
      </c>
      <c r="T220" s="209" t="s">
        <v>306</v>
      </c>
      <c r="U220" s="209" t="s">
        <v>306</v>
      </c>
      <c r="V220" s="234" t="s">
        <v>306</v>
      </c>
      <c r="W220" s="209" t="s">
        <v>306</v>
      </c>
      <c r="X220" s="209" t="s">
        <v>306</v>
      </c>
      <c r="Y220" s="234" t="s">
        <v>306</v>
      </c>
      <c r="Z220" s="209" t="s">
        <v>25</v>
      </c>
      <c r="AA220" s="209" t="s">
        <v>306</v>
      </c>
      <c r="AB220" s="234" t="s">
        <v>25</v>
      </c>
      <c r="AC220" s="235" t="s">
        <v>306</v>
      </c>
      <c r="AD220" s="209" t="s">
        <v>306</v>
      </c>
      <c r="AE220" s="209" t="s">
        <v>25</v>
      </c>
      <c r="AF220" s="234" t="s">
        <v>25</v>
      </c>
      <c r="AG220" s="209" t="s">
        <v>306</v>
      </c>
      <c r="AH220" s="209" t="s">
        <v>306</v>
      </c>
      <c r="AI220" s="234" t="s">
        <v>306</v>
      </c>
      <c r="AJ220" s="209" t="s">
        <v>25</v>
      </c>
      <c r="AK220" s="209" t="s">
        <v>25</v>
      </c>
      <c r="AL220" s="234" t="s">
        <v>25</v>
      </c>
      <c r="AM220" s="209" t="s">
        <v>19</v>
      </c>
      <c r="AN220" s="209" t="s">
        <v>19</v>
      </c>
      <c r="AO220" s="234" t="s">
        <v>19</v>
      </c>
      <c r="AP220" s="235" t="s">
        <v>306</v>
      </c>
      <c r="AQ220" s="209" t="s">
        <v>25</v>
      </c>
      <c r="AR220" s="209" t="s">
        <v>25</v>
      </c>
      <c r="AS220" s="234" t="s">
        <v>25</v>
      </c>
      <c r="AT220" s="209" t="s">
        <v>25</v>
      </c>
      <c r="AU220" s="209" t="s">
        <v>25</v>
      </c>
      <c r="AV220" s="234" t="s">
        <v>25</v>
      </c>
      <c r="AW220" s="209" t="s">
        <v>306</v>
      </c>
      <c r="AX220" s="209" t="s">
        <v>25</v>
      </c>
      <c r="AY220" s="234" t="s">
        <v>25</v>
      </c>
      <c r="AZ220" s="209" t="s">
        <v>25</v>
      </c>
      <c r="BA220" s="209" t="s">
        <v>25</v>
      </c>
      <c r="BB220" s="234" t="s">
        <v>306</v>
      </c>
      <c r="BC220" s="235" t="s">
        <v>306</v>
      </c>
      <c r="BD220" s="188"/>
    </row>
    <row r="221" spans="1:56" ht="12.75" customHeight="1" x14ac:dyDescent="0.25">
      <c r="A221" s="238">
        <v>45267.746971157409</v>
      </c>
      <c r="B221" s="233" t="s">
        <v>384</v>
      </c>
      <c r="C221" s="232" t="s">
        <v>587</v>
      </c>
      <c r="D221" s="232" t="s">
        <v>17</v>
      </c>
      <c r="E221" s="232" t="s">
        <v>605</v>
      </c>
      <c r="F221" s="209" t="s">
        <v>814</v>
      </c>
      <c r="G221" s="232" t="s">
        <v>24</v>
      </c>
      <c r="H221" s="232">
        <v>15</v>
      </c>
      <c r="I221" s="209" t="s">
        <v>531</v>
      </c>
      <c r="J221" s="188"/>
      <c r="K221" s="209" t="s">
        <v>539</v>
      </c>
      <c r="L221" s="209" t="s">
        <v>531</v>
      </c>
      <c r="M221" s="188"/>
      <c r="N221" s="188"/>
      <c r="O221" s="232" t="s">
        <v>531</v>
      </c>
      <c r="P221" s="188"/>
      <c r="Q221" s="209" t="s">
        <v>306</v>
      </c>
      <c r="R221" s="209" t="s">
        <v>25</v>
      </c>
      <c r="S221" s="234" t="s">
        <v>25</v>
      </c>
      <c r="T221" s="209" t="s">
        <v>19</v>
      </c>
      <c r="U221" s="209" t="s">
        <v>25</v>
      </c>
      <c r="V221" s="234" t="s">
        <v>306</v>
      </c>
      <c r="W221" s="209" t="s">
        <v>19</v>
      </c>
      <c r="X221" s="209" t="s">
        <v>25</v>
      </c>
      <c r="Y221" s="234" t="s">
        <v>306</v>
      </c>
      <c r="Z221" s="209" t="s">
        <v>306</v>
      </c>
      <c r="AA221" s="209" t="s">
        <v>25</v>
      </c>
      <c r="AB221" s="234" t="s">
        <v>25</v>
      </c>
      <c r="AC221" s="235" t="s">
        <v>306</v>
      </c>
      <c r="AD221" s="209" t="s">
        <v>306</v>
      </c>
      <c r="AE221" s="209" t="s">
        <v>306</v>
      </c>
      <c r="AF221" s="234" t="s">
        <v>306</v>
      </c>
      <c r="AG221" s="209" t="s">
        <v>306</v>
      </c>
      <c r="AH221" s="209" t="s">
        <v>306</v>
      </c>
      <c r="AI221" s="234" t="s">
        <v>306</v>
      </c>
      <c r="AJ221" s="209" t="s">
        <v>25</v>
      </c>
      <c r="AK221" s="209" t="s">
        <v>306</v>
      </c>
      <c r="AL221" s="234" t="s">
        <v>25</v>
      </c>
      <c r="AM221" s="209" t="s">
        <v>306</v>
      </c>
      <c r="AN221" s="209" t="s">
        <v>306</v>
      </c>
      <c r="AO221" s="234" t="s">
        <v>306</v>
      </c>
      <c r="AP221" s="235" t="s">
        <v>306</v>
      </c>
      <c r="AQ221" s="209" t="s">
        <v>306</v>
      </c>
      <c r="AR221" s="209" t="s">
        <v>25</v>
      </c>
      <c r="AS221" s="234" t="s">
        <v>25</v>
      </c>
      <c r="AT221" s="209" t="s">
        <v>306</v>
      </c>
      <c r="AU221" s="209" t="s">
        <v>306</v>
      </c>
      <c r="AV221" s="234" t="s">
        <v>306</v>
      </c>
      <c r="AW221" s="209" t="s">
        <v>306</v>
      </c>
      <c r="AX221" s="209" t="s">
        <v>306</v>
      </c>
      <c r="AY221" s="234" t="s">
        <v>306</v>
      </c>
      <c r="AZ221" s="209" t="s">
        <v>25</v>
      </c>
      <c r="BA221" s="209" t="s">
        <v>25</v>
      </c>
      <c r="BB221" s="234" t="s">
        <v>306</v>
      </c>
      <c r="BC221" s="235" t="s">
        <v>25</v>
      </c>
      <c r="BD221" s="188"/>
    </row>
    <row r="222" spans="1:56" ht="12.75" customHeight="1" x14ac:dyDescent="0.25">
      <c r="A222" s="238">
        <v>45267.762551157408</v>
      </c>
      <c r="B222" s="233" t="s">
        <v>384</v>
      </c>
      <c r="C222" s="232" t="s">
        <v>587</v>
      </c>
      <c r="D222" s="232" t="s">
        <v>17</v>
      </c>
      <c r="E222" s="232" t="s">
        <v>605</v>
      </c>
      <c r="F222" s="209" t="s">
        <v>815</v>
      </c>
      <c r="G222" s="232" t="s">
        <v>24</v>
      </c>
      <c r="H222" s="232">
        <v>17</v>
      </c>
      <c r="I222" s="209" t="s">
        <v>531</v>
      </c>
      <c r="J222" s="188"/>
      <c r="K222" s="209" t="s">
        <v>539</v>
      </c>
      <c r="L222" s="209" t="s">
        <v>531</v>
      </c>
      <c r="M222" s="188"/>
      <c r="N222" s="188"/>
      <c r="O222" s="232" t="s">
        <v>518</v>
      </c>
      <c r="P222" s="209" t="s">
        <v>816</v>
      </c>
      <c r="Q222" s="209" t="s">
        <v>306</v>
      </c>
      <c r="R222" s="209" t="s">
        <v>25</v>
      </c>
      <c r="S222" s="234" t="s">
        <v>25</v>
      </c>
      <c r="T222" s="209" t="s">
        <v>306</v>
      </c>
      <c r="U222" s="209" t="s">
        <v>25</v>
      </c>
      <c r="V222" s="234" t="s">
        <v>25</v>
      </c>
      <c r="W222" s="209" t="s">
        <v>306</v>
      </c>
      <c r="X222" s="209" t="s">
        <v>25</v>
      </c>
      <c r="Y222" s="234" t="s">
        <v>25</v>
      </c>
      <c r="Z222" s="209" t="s">
        <v>25</v>
      </c>
      <c r="AA222" s="209" t="s">
        <v>25</v>
      </c>
      <c r="AB222" s="234" t="s">
        <v>25</v>
      </c>
      <c r="AC222" s="235" t="s">
        <v>25</v>
      </c>
      <c r="AD222" s="209" t="s">
        <v>306</v>
      </c>
      <c r="AE222" s="209" t="s">
        <v>25</v>
      </c>
      <c r="AF222" s="234" t="s">
        <v>25</v>
      </c>
      <c r="AG222" s="209" t="s">
        <v>306</v>
      </c>
      <c r="AH222" s="209" t="s">
        <v>25</v>
      </c>
      <c r="AI222" s="234" t="s">
        <v>25</v>
      </c>
      <c r="AJ222" s="209" t="s">
        <v>306</v>
      </c>
      <c r="AK222" s="209" t="s">
        <v>306</v>
      </c>
      <c r="AL222" s="234" t="s">
        <v>306</v>
      </c>
      <c r="AM222" s="209" t="s">
        <v>306</v>
      </c>
      <c r="AN222" s="209" t="s">
        <v>306</v>
      </c>
      <c r="AO222" s="234" t="s">
        <v>306</v>
      </c>
      <c r="AP222" s="235" t="s">
        <v>306</v>
      </c>
      <c r="AQ222" s="209" t="s">
        <v>25</v>
      </c>
      <c r="AR222" s="209" t="s">
        <v>25</v>
      </c>
      <c r="AS222" s="234" t="s">
        <v>25</v>
      </c>
      <c r="AT222" s="209" t="s">
        <v>25</v>
      </c>
      <c r="AU222" s="209" t="s">
        <v>25</v>
      </c>
      <c r="AV222" s="234" t="s">
        <v>25</v>
      </c>
      <c r="AW222" s="209" t="s">
        <v>306</v>
      </c>
      <c r="AX222" s="209" t="s">
        <v>25</v>
      </c>
      <c r="AY222" s="234" t="s">
        <v>25</v>
      </c>
      <c r="AZ222" s="209" t="s">
        <v>25</v>
      </c>
      <c r="BA222" s="209" t="s">
        <v>25</v>
      </c>
      <c r="BB222" s="234" t="s">
        <v>25</v>
      </c>
      <c r="BC222" s="235" t="s">
        <v>25</v>
      </c>
      <c r="BD222" s="188"/>
    </row>
    <row r="223" spans="1:56" ht="12.75" customHeight="1" x14ac:dyDescent="0.25">
      <c r="A223" s="238">
        <v>45281.877726365739</v>
      </c>
      <c r="B223" s="233" t="s">
        <v>384</v>
      </c>
      <c r="C223" s="232" t="s">
        <v>587</v>
      </c>
      <c r="D223" s="232" t="s">
        <v>17</v>
      </c>
      <c r="E223" s="232" t="s">
        <v>605</v>
      </c>
      <c r="F223" s="209" t="s">
        <v>817</v>
      </c>
      <c r="G223" s="232" t="s">
        <v>18</v>
      </c>
      <c r="H223" s="232">
        <v>16</v>
      </c>
      <c r="I223" s="209" t="s">
        <v>531</v>
      </c>
      <c r="J223" s="188"/>
      <c r="K223" s="209" t="s">
        <v>539</v>
      </c>
      <c r="L223" s="209" t="s">
        <v>518</v>
      </c>
      <c r="M223" s="209" t="s">
        <v>368</v>
      </c>
      <c r="N223" s="209" t="s">
        <v>375</v>
      </c>
      <c r="O223" s="232" t="s">
        <v>531</v>
      </c>
      <c r="P223" s="188"/>
      <c r="Q223" s="209" t="s">
        <v>25</v>
      </c>
      <c r="R223" s="209" t="s">
        <v>25</v>
      </c>
      <c r="S223" s="234" t="s">
        <v>25</v>
      </c>
      <c r="T223" s="209" t="s">
        <v>306</v>
      </c>
      <c r="U223" s="209" t="s">
        <v>25</v>
      </c>
      <c r="V223" s="234" t="s">
        <v>25</v>
      </c>
      <c r="W223" s="209" t="s">
        <v>306</v>
      </c>
      <c r="X223" s="209" t="s">
        <v>19</v>
      </c>
      <c r="Y223" s="234" t="s">
        <v>306</v>
      </c>
      <c r="Z223" s="209" t="s">
        <v>306</v>
      </c>
      <c r="AA223" s="209" t="s">
        <v>25</v>
      </c>
      <c r="AB223" s="234" t="s">
        <v>25</v>
      </c>
      <c r="AC223" s="235" t="s">
        <v>306</v>
      </c>
      <c r="AD223" s="209" t="s">
        <v>306</v>
      </c>
      <c r="AE223" s="209" t="s">
        <v>25</v>
      </c>
      <c r="AF223" s="234" t="s">
        <v>25</v>
      </c>
      <c r="AG223" s="209" t="s">
        <v>306</v>
      </c>
      <c r="AH223" s="209" t="s">
        <v>25</v>
      </c>
      <c r="AI223" s="234" t="s">
        <v>25</v>
      </c>
      <c r="AJ223" s="209" t="s">
        <v>25</v>
      </c>
      <c r="AK223" s="209" t="s">
        <v>25</v>
      </c>
      <c r="AL223" s="234" t="s">
        <v>25</v>
      </c>
      <c r="AM223" s="209" t="s">
        <v>19</v>
      </c>
      <c r="AN223" s="209" t="s">
        <v>306</v>
      </c>
      <c r="AO223" s="234" t="s">
        <v>306</v>
      </c>
      <c r="AP223" s="235" t="s">
        <v>306</v>
      </c>
      <c r="AQ223" s="209" t="s">
        <v>25</v>
      </c>
      <c r="AR223" s="209" t="s">
        <v>25</v>
      </c>
      <c r="AS223" s="234" t="s">
        <v>25</v>
      </c>
      <c r="AT223" s="209" t="s">
        <v>25</v>
      </c>
      <c r="AU223" s="209" t="s">
        <v>25</v>
      </c>
      <c r="AV223" s="234" t="s">
        <v>25</v>
      </c>
      <c r="AW223" s="209" t="s">
        <v>25</v>
      </c>
      <c r="AX223" s="209" t="s">
        <v>25</v>
      </c>
      <c r="AY223" s="234" t="s">
        <v>25</v>
      </c>
      <c r="AZ223" s="209" t="s">
        <v>25</v>
      </c>
      <c r="BA223" s="209" t="s">
        <v>25</v>
      </c>
      <c r="BB223" s="234" t="s">
        <v>25</v>
      </c>
      <c r="BC223" s="235" t="s">
        <v>25</v>
      </c>
      <c r="BD223" s="188"/>
    </row>
    <row r="224" spans="1:56" ht="12.75" customHeight="1" x14ac:dyDescent="0.25">
      <c r="A224" s="238">
        <v>45281.880328472223</v>
      </c>
      <c r="B224" s="233" t="s">
        <v>384</v>
      </c>
      <c r="C224" s="232" t="s">
        <v>587</v>
      </c>
      <c r="D224" s="232" t="s">
        <v>17</v>
      </c>
      <c r="E224" s="232" t="s">
        <v>605</v>
      </c>
      <c r="F224" s="209" t="s">
        <v>818</v>
      </c>
      <c r="G224" s="232" t="s">
        <v>18</v>
      </c>
      <c r="H224" s="232">
        <v>17</v>
      </c>
      <c r="I224" s="209" t="s">
        <v>531</v>
      </c>
      <c r="J224" s="188"/>
      <c r="K224" s="209" t="s">
        <v>539</v>
      </c>
      <c r="L224" s="209" t="s">
        <v>531</v>
      </c>
      <c r="M224" s="188"/>
      <c r="N224" s="188"/>
      <c r="O224" s="232" t="s">
        <v>531</v>
      </c>
      <c r="P224" s="188"/>
      <c r="Q224" s="209" t="s">
        <v>25</v>
      </c>
      <c r="R224" s="209" t="s">
        <v>25</v>
      </c>
      <c r="S224" s="234" t="s">
        <v>25</v>
      </c>
      <c r="T224" s="209" t="s">
        <v>25</v>
      </c>
      <c r="U224" s="209" t="s">
        <v>25</v>
      </c>
      <c r="V224" s="234" t="s">
        <v>25</v>
      </c>
      <c r="W224" s="209" t="s">
        <v>25</v>
      </c>
      <c r="X224" s="209" t="s">
        <v>25</v>
      </c>
      <c r="Y224" s="234" t="s">
        <v>25</v>
      </c>
      <c r="Z224" s="209" t="s">
        <v>25</v>
      </c>
      <c r="AA224" s="209" t="s">
        <v>25</v>
      </c>
      <c r="AB224" s="234" t="s">
        <v>25</v>
      </c>
      <c r="AC224" s="235" t="s">
        <v>25</v>
      </c>
      <c r="AD224" s="209" t="s">
        <v>25</v>
      </c>
      <c r="AE224" s="209" t="s">
        <v>25</v>
      </c>
      <c r="AF224" s="234" t="s">
        <v>25</v>
      </c>
      <c r="AG224" s="209" t="s">
        <v>25</v>
      </c>
      <c r="AH224" s="209" t="s">
        <v>25</v>
      </c>
      <c r="AI224" s="234" t="s">
        <v>25</v>
      </c>
      <c r="AJ224" s="209" t="s">
        <v>25</v>
      </c>
      <c r="AK224" s="209" t="s">
        <v>25</v>
      </c>
      <c r="AL224" s="234" t="s">
        <v>25</v>
      </c>
      <c r="AM224" s="209" t="s">
        <v>25</v>
      </c>
      <c r="AN224" s="209" t="s">
        <v>25</v>
      </c>
      <c r="AO224" s="234" t="s">
        <v>25</v>
      </c>
      <c r="AP224" s="235" t="s">
        <v>25</v>
      </c>
      <c r="AQ224" s="209" t="s">
        <v>25</v>
      </c>
      <c r="AR224" s="209" t="s">
        <v>25</v>
      </c>
      <c r="AS224" s="234" t="s">
        <v>25</v>
      </c>
      <c r="AT224" s="209" t="s">
        <v>25</v>
      </c>
      <c r="AU224" s="209" t="s">
        <v>25</v>
      </c>
      <c r="AV224" s="234" t="s">
        <v>25</v>
      </c>
      <c r="AW224" s="209" t="s">
        <v>25</v>
      </c>
      <c r="AX224" s="209" t="s">
        <v>25</v>
      </c>
      <c r="AY224" s="234" t="s">
        <v>25</v>
      </c>
      <c r="AZ224" s="209" t="s">
        <v>25</v>
      </c>
      <c r="BA224" s="209" t="s">
        <v>25</v>
      </c>
      <c r="BB224" s="234" t="s">
        <v>25</v>
      </c>
      <c r="BC224" s="235" t="s">
        <v>25</v>
      </c>
      <c r="BD224" s="188"/>
    </row>
    <row r="225" spans="1:56" ht="12.75" customHeight="1" x14ac:dyDescent="0.25">
      <c r="A225" s="238">
        <v>45281.884076250004</v>
      </c>
      <c r="B225" s="233" t="s">
        <v>384</v>
      </c>
      <c r="C225" s="232" t="s">
        <v>587</v>
      </c>
      <c r="D225" s="232" t="s">
        <v>17</v>
      </c>
      <c r="E225" s="232" t="s">
        <v>605</v>
      </c>
      <c r="F225" s="209" t="s">
        <v>819</v>
      </c>
      <c r="G225" s="232" t="s">
        <v>18</v>
      </c>
      <c r="H225" s="232">
        <v>17</v>
      </c>
      <c r="I225" s="209" t="s">
        <v>531</v>
      </c>
      <c r="J225" s="188"/>
      <c r="K225" s="209" t="s">
        <v>539</v>
      </c>
      <c r="L225" s="209" t="s">
        <v>518</v>
      </c>
      <c r="M225" s="209" t="s">
        <v>368</v>
      </c>
      <c r="N225" s="209" t="s">
        <v>375</v>
      </c>
      <c r="O225" s="232" t="s">
        <v>518</v>
      </c>
      <c r="P225" s="209" t="s">
        <v>820</v>
      </c>
      <c r="Q225" s="209" t="s">
        <v>25</v>
      </c>
      <c r="R225" s="209" t="s">
        <v>306</v>
      </c>
      <c r="S225" s="234" t="s">
        <v>25</v>
      </c>
      <c r="T225" s="209" t="s">
        <v>306</v>
      </c>
      <c r="U225" s="209" t="s">
        <v>25</v>
      </c>
      <c r="V225" s="234" t="s">
        <v>25</v>
      </c>
      <c r="W225" s="209" t="s">
        <v>306</v>
      </c>
      <c r="X225" s="209" t="s">
        <v>19</v>
      </c>
      <c r="Y225" s="234" t="s">
        <v>306</v>
      </c>
      <c r="Z225" s="209" t="s">
        <v>306</v>
      </c>
      <c r="AA225" s="209" t="s">
        <v>25</v>
      </c>
      <c r="AB225" s="234" t="s">
        <v>25</v>
      </c>
      <c r="AC225" s="235" t="s">
        <v>306</v>
      </c>
      <c r="AD225" s="209" t="s">
        <v>306</v>
      </c>
      <c r="AE225" s="209" t="s">
        <v>306</v>
      </c>
      <c r="AF225" s="234" t="s">
        <v>306</v>
      </c>
      <c r="AG225" s="209" t="s">
        <v>306</v>
      </c>
      <c r="AH225" s="209" t="s">
        <v>306</v>
      </c>
      <c r="AI225" s="234" t="s">
        <v>306</v>
      </c>
      <c r="AJ225" s="209" t="s">
        <v>25</v>
      </c>
      <c r="AK225" s="209" t="s">
        <v>25</v>
      </c>
      <c r="AL225" s="234" t="s">
        <v>25</v>
      </c>
      <c r="AM225" s="209" t="s">
        <v>306</v>
      </c>
      <c r="AN225" s="209" t="s">
        <v>306</v>
      </c>
      <c r="AO225" s="234" t="s">
        <v>306</v>
      </c>
      <c r="AP225" s="235" t="s">
        <v>306</v>
      </c>
      <c r="AQ225" s="209" t="s">
        <v>306</v>
      </c>
      <c r="AR225" s="209" t="s">
        <v>25</v>
      </c>
      <c r="AS225" s="234" t="s">
        <v>25</v>
      </c>
      <c r="AT225" s="209" t="s">
        <v>25</v>
      </c>
      <c r="AU225" s="209" t="s">
        <v>25</v>
      </c>
      <c r="AV225" s="234" t="s">
        <v>25</v>
      </c>
      <c r="AW225" s="209" t="s">
        <v>306</v>
      </c>
      <c r="AX225" s="209" t="s">
        <v>306</v>
      </c>
      <c r="AY225" s="234" t="s">
        <v>306</v>
      </c>
      <c r="AZ225" s="209" t="s">
        <v>25</v>
      </c>
      <c r="BA225" s="209" t="s">
        <v>25</v>
      </c>
      <c r="BB225" s="234" t="s">
        <v>25</v>
      </c>
      <c r="BC225" s="235" t="s">
        <v>25</v>
      </c>
      <c r="BD225" s="188"/>
    </row>
    <row r="226" spans="1:56" ht="12.75" customHeight="1" x14ac:dyDescent="0.25">
      <c r="A226" s="238">
        <v>45281.887532025459</v>
      </c>
      <c r="B226" s="233" t="s">
        <v>384</v>
      </c>
      <c r="C226" s="232" t="s">
        <v>587</v>
      </c>
      <c r="D226" s="232" t="s">
        <v>17</v>
      </c>
      <c r="E226" s="232" t="s">
        <v>605</v>
      </c>
      <c r="F226" s="209" t="s">
        <v>821</v>
      </c>
      <c r="G226" s="232" t="s">
        <v>24</v>
      </c>
      <c r="H226" s="232">
        <v>16</v>
      </c>
      <c r="I226" s="209" t="s">
        <v>531</v>
      </c>
      <c r="J226" s="188"/>
      <c r="K226" s="209" t="s">
        <v>539</v>
      </c>
      <c r="L226" s="209" t="s">
        <v>518</v>
      </c>
      <c r="M226" s="209" t="s">
        <v>368</v>
      </c>
      <c r="N226" s="209" t="s">
        <v>375</v>
      </c>
      <c r="O226" s="232" t="s">
        <v>518</v>
      </c>
      <c r="P226" s="209" t="s">
        <v>822</v>
      </c>
      <c r="Q226" s="209" t="s">
        <v>25</v>
      </c>
      <c r="R226" s="209" t="s">
        <v>306</v>
      </c>
      <c r="S226" s="234" t="s">
        <v>25</v>
      </c>
      <c r="T226" s="209" t="s">
        <v>25</v>
      </c>
      <c r="U226" s="209" t="s">
        <v>19</v>
      </c>
      <c r="V226" s="234" t="s">
        <v>306</v>
      </c>
      <c r="W226" s="209" t="s">
        <v>19</v>
      </c>
      <c r="X226" s="209" t="s">
        <v>19</v>
      </c>
      <c r="Y226" s="234" t="s">
        <v>19</v>
      </c>
      <c r="Z226" s="209" t="s">
        <v>25</v>
      </c>
      <c r="AA226" s="209" t="s">
        <v>25</v>
      </c>
      <c r="AB226" s="234" t="s">
        <v>25</v>
      </c>
      <c r="AC226" s="235" t="s">
        <v>306</v>
      </c>
      <c r="AD226" s="209" t="s">
        <v>306</v>
      </c>
      <c r="AE226" s="209" t="s">
        <v>19</v>
      </c>
      <c r="AF226" s="234" t="s">
        <v>306</v>
      </c>
      <c r="AG226" s="209" t="s">
        <v>306</v>
      </c>
      <c r="AH226" s="209" t="s">
        <v>306</v>
      </c>
      <c r="AI226" s="234" t="s">
        <v>306</v>
      </c>
      <c r="AJ226" s="209" t="s">
        <v>19</v>
      </c>
      <c r="AK226" s="209" t="s">
        <v>19</v>
      </c>
      <c r="AL226" s="234" t="s">
        <v>19</v>
      </c>
      <c r="AM226" s="209" t="s">
        <v>19</v>
      </c>
      <c r="AN226" s="209" t="s">
        <v>19</v>
      </c>
      <c r="AO226" s="234" t="s">
        <v>19</v>
      </c>
      <c r="AP226" s="235" t="s">
        <v>19</v>
      </c>
      <c r="AQ226" s="209" t="s">
        <v>25</v>
      </c>
      <c r="AR226" s="209" t="s">
        <v>25</v>
      </c>
      <c r="AS226" s="234" t="s">
        <v>25</v>
      </c>
      <c r="AT226" s="209" t="s">
        <v>25</v>
      </c>
      <c r="AU226" s="209" t="s">
        <v>25</v>
      </c>
      <c r="AV226" s="234" t="s">
        <v>25</v>
      </c>
      <c r="AW226" s="209" t="s">
        <v>25</v>
      </c>
      <c r="AX226" s="209" t="s">
        <v>25</v>
      </c>
      <c r="AY226" s="234" t="s">
        <v>25</v>
      </c>
      <c r="AZ226" s="209" t="s">
        <v>25</v>
      </c>
      <c r="BA226" s="209" t="s">
        <v>25</v>
      </c>
      <c r="BB226" s="234" t="s">
        <v>306</v>
      </c>
      <c r="BC226" s="235" t="s">
        <v>306</v>
      </c>
      <c r="BD226" s="188"/>
    </row>
    <row r="227" spans="1:56" ht="12.75" customHeight="1" x14ac:dyDescent="0.25">
      <c r="A227" s="238">
        <v>45281.891603807875</v>
      </c>
      <c r="B227" s="233" t="s">
        <v>384</v>
      </c>
      <c r="C227" s="232" t="s">
        <v>587</v>
      </c>
      <c r="D227" s="232" t="s">
        <v>17</v>
      </c>
      <c r="E227" s="232" t="s">
        <v>605</v>
      </c>
      <c r="F227" s="209" t="s">
        <v>823</v>
      </c>
      <c r="G227" s="232" t="s">
        <v>24</v>
      </c>
      <c r="H227" s="232">
        <v>17</v>
      </c>
      <c r="I227" s="209" t="s">
        <v>531</v>
      </c>
      <c r="J227" s="188"/>
      <c r="K227" s="209" t="s">
        <v>539</v>
      </c>
      <c r="L227" s="209" t="s">
        <v>518</v>
      </c>
      <c r="M227" s="209" t="s">
        <v>401</v>
      </c>
      <c r="N227" s="209" t="s">
        <v>589</v>
      </c>
      <c r="O227" s="232" t="s">
        <v>518</v>
      </c>
      <c r="P227" s="209" t="s">
        <v>824</v>
      </c>
      <c r="Q227" s="209" t="s">
        <v>25</v>
      </c>
      <c r="R227" s="209" t="s">
        <v>19</v>
      </c>
      <c r="S227" s="234" t="s">
        <v>306</v>
      </c>
      <c r="T227" s="209" t="s">
        <v>19</v>
      </c>
      <c r="U227" s="209" t="s">
        <v>19</v>
      </c>
      <c r="V227" s="234" t="s">
        <v>19</v>
      </c>
      <c r="W227" s="209" t="s">
        <v>19</v>
      </c>
      <c r="X227" s="209" t="s">
        <v>19</v>
      </c>
      <c r="Y227" s="234" t="s">
        <v>19</v>
      </c>
      <c r="Z227" s="209" t="s">
        <v>25</v>
      </c>
      <c r="AA227" s="209" t="s">
        <v>19</v>
      </c>
      <c r="AB227" s="234" t="s">
        <v>306</v>
      </c>
      <c r="AC227" s="235" t="s">
        <v>306</v>
      </c>
      <c r="AD227" s="209" t="s">
        <v>19</v>
      </c>
      <c r="AE227" s="209" t="s">
        <v>19</v>
      </c>
      <c r="AF227" s="234" t="s">
        <v>19</v>
      </c>
      <c r="AG227" s="209" t="s">
        <v>19</v>
      </c>
      <c r="AH227" s="209" t="s">
        <v>19</v>
      </c>
      <c r="AI227" s="234" t="s">
        <v>19</v>
      </c>
      <c r="AJ227" s="209" t="s">
        <v>19</v>
      </c>
      <c r="AK227" s="209" t="s">
        <v>19</v>
      </c>
      <c r="AL227" s="234" t="s">
        <v>19</v>
      </c>
      <c r="AM227" s="209" t="s">
        <v>19</v>
      </c>
      <c r="AN227" s="209" t="s">
        <v>19</v>
      </c>
      <c r="AO227" s="234" t="s">
        <v>19</v>
      </c>
      <c r="AP227" s="235" t="s">
        <v>19</v>
      </c>
      <c r="AQ227" s="209" t="s">
        <v>25</v>
      </c>
      <c r="AR227" s="209" t="s">
        <v>25</v>
      </c>
      <c r="AS227" s="234" t="s">
        <v>25</v>
      </c>
      <c r="AT227" s="209" t="s">
        <v>25</v>
      </c>
      <c r="AU227" s="209" t="s">
        <v>25</v>
      </c>
      <c r="AV227" s="234" t="s">
        <v>25</v>
      </c>
      <c r="AW227" s="209" t="s">
        <v>25</v>
      </c>
      <c r="AX227" s="209" t="s">
        <v>19</v>
      </c>
      <c r="AY227" s="234" t="s">
        <v>306</v>
      </c>
      <c r="AZ227" s="209" t="s">
        <v>25</v>
      </c>
      <c r="BA227" s="209" t="s">
        <v>25</v>
      </c>
      <c r="BB227" s="234" t="s">
        <v>25</v>
      </c>
      <c r="BC227" s="235" t="s">
        <v>306</v>
      </c>
      <c r="BD227" s="188"/>
    </row>
    <row r="228" spans="1:56" ht="12.75" customHeight="1" x14ac:dyDescent="0.25">
      <c r="A228" s="238">
        <v>45281.917857152774</v>
      </c>
      <c r="B228" s="233" t="s">
        <v>384</v>
      </c>
      <c r="C228" s="232" t="s">
        <v>587</v>
      </c>
      <c r="D228" s="232" t="s">
        <v>17</v>
      </c>
      <c r="E228" s="232" t="s">
        <v>605</v>
      </c>
      <c r="F228" s="209" t="s">
        <v>825</v>
      </c>
      <c r="G228" s="232" t="s">
        <v>18</v>
      </c>
      <c r="H228" s="232">
        <v>16</v>
      </c>
      <c r="I228" s="209" t="s">
        <v>531</v>
      </c>
      <c r="J228" s="188"/>
      <c r="K228" s="209" t="s">
        <v>539</v>
      </c>
      <c r="L228" s="209" t="s">
        <v>531</v>
      </c>
      <c r="M228" s="188"/>
      <c r="N228" s="188"/>
      <c r="O228" s="232" t="s">
        <v>531</v>
      </c>
      <c r="P228" s="188"/>
      <c r="Q228" s="209" t="s">
        <v>19</v>
      </c>
      <c r="R228" s="209" t="s">
        <v>19</v>
      </c>
      <c r="S228" s="234" t="s">
        <v>19</v>
      </c>
      <c r="T228" s="209" t="s">
        <v>19</v>
      </c>
      <c r="U228" s="209" t="s">
        <v>306</v>
      </c>
      <c r="V228" s="234" t="s">
        <v>306</v>
      </c>
      <c r="W228" s="209" t="s">
        <v>19</v>
      </c>
      <c r="X228" s="209" t="s">
        <v>19</v>
      </c>
      <c r="Y228" s="234" t="s">
        <v>19</v>
      </c>
      <c r="Z228" s="209" t="s">
        <v>306</v>
      </c>
      <c r="AA228" s="209" t="s">
        <v>25</v>
      </c>
      <c r="AB228" s="234" t="s">
        <v>25</v>
      </c>
      <c r="AC228" s="235" t="s">
        <v>306</v>
      </c>
      <c r="AD228" s="209" t="s">
        <v>19</v>
      </c>
      <c r="AE228" s="209" t="s">
        <v>19</v>
      </c>
      <c r="AF228" s="234" t="s">
        <v>19</v>
      </c>
      <c r="AG228" s="209" t="s">
        <v>19</v>
      </c>
      <c r="AH228" s="209" t="s">
        <v>25</v>
      </c>
      <c r="AI228" s="234" t="s">
        <v>306</v>
      </c>
      <c r="AJ228" s="209" t="s">
        <v>19</v>
      </c>
      <c r="AK228" s="209" t="s">
        <v>25</v>
      </c>
      <c r="AL228" s="234" t="s">
        <v>306</v>
      </c>
      <c r="AM228" s="209" t="s">
        <v>19</v>
      </c>
      <c r="AN228" s="209" t="s">
        <v>19</v>
      </c>
      <c r="AO228" s="234" t="s">
        <v>19</v>
      </c>
      <c r="AP228" s="235" t="s">
        <v>306</v>
      </c>
      <c r="AQ228" s="209" t="s">
        <v>19</v>
      </c>
      <c r="AR228" s="209" t="s">
        <v>19</v>
      </c>
      <c r="AS228" s="234" t="s">
        <v>19</v>
      </c>
      <c r="AT228" s="209" t="s">
        <v>25</v>
      </c>
      <c r="AU228" s="209" t="s">
        <v>25</v>
      </c>
      <c r="AV228" s="234" t="s">
        <v>25</v>
      </c>
      <c r="AW228" s="209" t="s">
        <v>25</v>
      </c>
      <c r="AX228" s="209" t="s">
        <v>19</v>
      </c>
      <c r="AY228" s="234" t="s">
        <v>306</v>
      </c>
      <c r="AZ228" s="209" t="s">
        <v>19</v>
      </c>
      <c r="BA228" s="209" t="s">
        <v>25</v>
      </c>
      <c r="BB228" s="234" t="s">
        <v>306</v>
      </c>
      <c r="BC228" s="235" t="s">
        <v>306</v>
      </c>
      <c r="BD228" s="188"/>
    </row>
    <row r="229" spans="1:56" ht="12.75" customHeight="1" x14ac:dyDescent="0.25">
      <c r="A229" s="238">
        <v>45281.921169710651</v>
      </c>
      <c r="B229" s="233" t="s">
        <v>384</v>
      </c>
      <c r="C229" s="232" t="s">
        <v>587</v>
      </c>
      <c r="D229" s="232" t="s">
        <v>17</v>
      </c>
      <c r="E229" s="232" t="s">
        <v>605</v>
      </c>
      <c r="F229" s="209" t="s">
        <v>826</v>
      </c>
      <c r="G229" s="232" t="s">
        <v>18</v>
      </c>
      <c r="H229" s="232">
        <v>16</v>
      </c>
      <c r="I229" s="209" t="s">
        <v>531</v>
      </c>
      <c r="J229" s="188"/>
      <c r="K229" s="209" t="s">
        <v>539</v>
      </c>
      <c r="L229" s="209" t="s">
        <v>531</v>
      </c>
      <c r="M229" s="188"/>
      <c r="N229" s="188"/>
      <c r="O229" s="232" t="s">
        <v>518</v>
      </c>
      <c r="P229" s="209" t="s">
        <v>655</v>
      </c>
      <c r="Q229" s="209" t="s">
        <v>306</v>
      </c>
      <c r="R229" s="209" t="s">
        <v>19</v>
      </c>
      <c r="S229" s="234" t="s">
        <v>306</v>
      </c>
      <c r="T229" s="209" t="s">
        <v>25</v>
      </c>
      <c r="U229" s="209" t="s">
        <v>25</v>
      </c>
      <c r="V229" s="234" t="s">
        <v>25</v>
      </c>
      <c r="W229" s="209" t="s">
        <v>25</v>
      </c>
      <c r="X229" s="209" t="s">
        <v>25</v>
      </c>
      <c r="Y229" s="234" t="s">
        <v>25</v>
      </c>
      <c r="Z229" s="209" t="s">
        <v>306</v>
      </c>
      <c r="AA229" s="209" t="s">
        <v>25</v>
      </c>
      <c r="AB229" s="234" t="s">
        <v>25</v>
      </c>
      <c r="AC229" s="235" t="s">
        <v>25</v>
      </c>
      <c r="AD229" s="209" t="s">
        <v>306</v>
      </c>
      <c r="AE229" s="209" t="s">
        <v>306</v>
      </c>
      <c r="AF229" s="234" t="s">
        <v>306</v>
      </c>
      <c r="AG229" s="209" t="s">
        <v>19</v>
      </c>
      <c r="AH229" s="209" t="s">
        <v>25</v>
      </c>
      <c r="AI229" s="234" t="s">
        <v>306</v>
      </c>
      <c r="AJ229" s="209" t="s">
        <v>25</v>
      </c>
      <c r="AK229" s="209" t="s">
        <v>25</v>
      </c>
      <c r="AL229" s="234" t="s">
        <v>25</v>
      </c>
      <c r="AM229" s="209" t="s">
        <v>19</v>
      </c>
      <c r="AN229" s="209" t="s">
        <v>19</v>
      </c>
      <c r="AO229" s="234" t="s">
        <v>19</v>
      </c>
      <c r="AP229" s="235" t="s">
        <v>306</v>
      </c>
      <c r="AQ229" s="209" t="s">
        <v>25</v>
      </c>
      <c r="AR229" s="209" t="s">
        <v>25</v>
      </c>
      <c r="AS229" s="234" t="s">
        <v>25</v>
      </c>
      <c r="AT229" s="209" t="s">
        <v>25</v>
      </c>
      <c r="AU229" s="209" t="s">
        <v>25</v>
      </c>
      <c r="AV229" s="234" t="s">
        <v>25</v>
      </c>
      <c r="AW229" s="209" t="s">
        <v>25</v>
      </c>
      <c r="AX229" s="209" t="s">
        <v>25</v>
      </c>
      <c r="AY229" s="234" t="s">
        <v>25</v>
      </c>
      <c r="AZ229" s="209" t="s">
        <v>25</v>
      </c>
      <c r="BA229" s="209" t="s">
        <v>25</v>
      </c>
      <c r="BB229" s="234" t="s">
        <v>306</v>
      </c>
      <c r="BC229" s="235" t="s">
        <v>306</v>
      </c>
      <c r="BD229" s="188"/>
    </row>
    <row r="230" spans="1:56" ht="12.75" customHeight="1" x14ac:dyDescent="0.25">
      <c r="A230" s="238">
        <v>45281.934045532413</v>
      </c>
      <c r="B230" s="233" t="s">
        <v>384</v>
      </c>
      <c r="C230" s="232" t="s">
        <v>587</v>
      </c>
      <c r="D230" s="232" t="s">
        <v>17</v>
      </c>
      <c r="E230" s="232" t="s">
        <v>605</v>
      </c>
      <c r="F230" s="209" t="s">
        <v>827</v>
      </c>
      <c r="G230" s="232" t="s">
        <v>18</v>
      </c>
      <c r="H230" s="232">
        <v>17</v>
      </c>
      <c r="I230" s="209" t="s">
        <v>531</v>
      </c>
      <c r="J230" s="188"/>
      <c r="K230" s="209" t="s">
        <v>539</v>
      </c>
      <c r="L230" s="209" t="s">
        <v>518</v>
      </c>
      <c r="M230" s="209" t="s">
        <v>412</v>
      </c>
      <c r="N230" s="209" t="s">
        <v>589</v>
      </c>
      <c r="O230" s="232" t="s">
        <v>531</v>
      </c>
      <c r="P230" s="188"/>
      <c r="Q230" s="209" t="s">
        <v>25</v>
      </c>
      <c r="R230" s="209" t="s">
        <v>25</v>
      </c>
      <c r="S230" s="234" t="s">
        <v>25</v>
      </c>
      <c r="T230" s="209" t="s">
        <v>306</v>
      </c>
      <c r="U230" s="209" t="s">
        <v>25</v>
      </c>
      <c r="V230" s="234" t="s">
        <v>25</v>
      </c>
      <c r="W230" s="209" t="s">
        <v>306</v>
      </c>
      <c r="X230" s="209" t="s">
        <v>306</v>
      </c>
      <c r="Y230" s="234" t="s">
        <v>306</v>
      </c>
      <c r="Z230" s="209" t="s">
        <v>306</v>
      </c>
      <c r="AA230" s="209" t="s">
        <v>306</v>
      </c>
      <c r="AB230" s="234" t="s">
        <v>306</v>
      </c>
      <c r="AC230" s="235" t="s">
        <v>306</v>
      </c>
      <c r="AD230" s="209" t="s">
        <v>306</v>
      </c>
      <c r="AE230" s="209" t="s">
        <v>306</v>
      </c>
      <c r="AF230" s="234" t="s">
        <v>306</v>
      </c>
      <c r="AG230" s="209" t="s">
        <v>306</v>
      </c>
      <c r="AH230" s="209" t="s">
        <v>25</v>
      </c>
      <c r="AI230" s="234" t="s">
        <v>25</v>
      </c>
      <c r="AJ230" s="209" t="s">
        <v>25</v>
      </c>
      <c r="AK230" s="209" t="s">
        <v>25</v>
      </c>
      <c r="AL230" s="234" t="s">
        <v>25</v>
      </c>
      <c r="AM230" s="209" t="s">
        <v>306</v>
      </c>
      <c r="AN230" s="209" t="s">
        <v>306</v>
      </c>
      <c r="AO230" s="234" t="s">
        <v>306</v>
      </c>
      <c r="AP230" s="235" t="s">
        <v>306</v>
      </c>
      <c r="AQ230" s="209" t="s">
        <v>25</v>
      </c>
      <c r="AR230" s="209" t="s">
        <v>306</v>
      </c>
      <c r="AS230" s="234" t="s">
        <v>25</v>
      </c>
      <c r="AT230" s="209" t="s">
        <v>25</v>
      </c>
      <c r="AU230" s="209" t="s">
        <v>25</v>
      </c>
      <c r="AV230" s="234" t="s">
        <v>25</v>
      </c>
      <c r="AW230" s="209" t="s">
        <v>306</v>
      </c>
      <c r="AX230" s="209" t="s">
        <v>25</v>
      </c>
      <c r="AY230" s="234" t="s">
        <v>25</v>
      </c>
      <c r="AZ230" s="209" t="s">
        <v>25</v>
      </c>
      <c r="BA230" s="209" t="s">
        <v>25</v>
      </c>
      <c r="BB230" s="234" t="s">
        <v>25</v>
      </c>
      <c r="BC230" s="235" t="s">
        <v>306</v>
      </c>
      <c r="BD230" s="188"/>
    </row>
    <row r="231" spans="1:56" ht="12.75" customHeight="1" x14ac:dyDescent="0.25">
      <c r="A231" s="211">
        <v>1</v>
      </c>
      <c r="B231" s="137" t="s">
        <v>384</v>
      </c>
      <c r="C231" s="211" t="s">
        <v>595</v>
      </c>
      <c r="D231" s="211" t="s">
        <v>17</v>
      </c>
      <c r="E231" s="232" t="s">
        <v>605</v>
      </c>
      <c r="F231" s="188" t="s">
        <v>828</v>
      </c>
      <c r="G231" s="211" t="s">
        <v>18</v>
      </c>
      <c r="H231" s="211">
        <v>15</v>
      </c>
      <c r="I231" s="188" t="s">
        <v>531</v>
      </c>
      <c r="J231" s="188" t="s">
        <v>532</v>
      </c>
      <c r="K231" s="209" t="s">
        <v>539</v>
      </c>
      <c r="L231" s="188" t="s">
        <v>531</v>
      </c>
      <c r="M231" s="188" t="s">
        <v>666</v>
      </c>
      <c r="N231" s="188"/>
      <c r="O231" s="211" t="s">
        <v>531</v>
      </c>
      <c r="P231" s="188" t="s">
        <v>640</v>
      </c>
      <c r="Q231" s="188" t="s">
        <v>25</v>
      </c>
      <c r="R231" s="188" t="s">
        <v>25</v>
      </c>
      <c r="S231" s="234" t="s">
        <v>25</v>
      </c>
      <c r="T231" s="188" t="s">
        <v>306</v>
      </c>
      <c r="U231" s="188" t="s">
        <v>25</v>
      </c>
      <c r="V231" s="234" t="s">
        <v>25</v>
      </c>
      <c r="W231" s="188" t="s">
        <v>25</v>
      </c>
      <c r="X231" s="188" t="s">
        <v>306</v>
      </c>
      <c r="Y231" s="234" t="s">
        <v>25</v>
      </c>
      <c r="Z231" s="188" t="s">
        <v>25</v>
      </c>
      <c r="AA231" s="188" t="s">
        <v>25</v>
      </c>
      <c r="AB231" s="234" t="s">
        <v>25</v>
      </c>
      <c r="AC231" s="235" t="s">
        <v>25</v>
      </c>
      <c r="AD231" s="188" t="s">
        <v>306</v>
      </c>
      <c r="AE231" s="188" t="s">
        <v>25</v>
      </c>
      <c r="AF231" s="234" t="s">
        <v>25</v>
      </c>
      <c r="AG231" s="188" t="s">
        <v>25</v>
      </c>
      <c r="AH231" s="188" t="s">
        <v>25</v>
      </c>
      <c r="AI231" s="234" t="s">
        <v>25</v>
      </c>
      <c r="AJ231" s="188" t="s">
        <v>25</v>
      </c>
      <c r="AK231" s="188" t="s">
        <v>25</v>
      </c>
      <c r="AL231" s="234" t="s">
        <v>25</v>
      </c>
      <c r="AM231" s="188" t="s">
        <v>25</v>
      </c>
      <c r="AN231" s="188" t="s">
        <v>306</v>
      </c>
      <c r="AO231" s="234" t="s">
        <v>25</v>
      </c>
      <c r="AP231" s="235" t="s">
        <v>25</v>
      </c>
      <c r="AQ231" s="188" t="s">
        <v>25</v>
      </c>
      <c r="AR231" s="188" t="s">
        <v>25</v>
      </c>
      <c r="AS231" s="234" t="s">
        <v>25</v>
      </c>
      <c r="AT231" s="188" t="s">
        <v>25</v>
      </c>
      <c r="AU231" s="188" t="s">
        <v>25</v>
      </c>
      <c r="AV231" s="234" t="s">
        <v>25</v>
      </c>
      <c r="AW231" s="188" t="s">
        <v>25</v>
      </c>
      <c r="AX231" s="188" t="s">
        <v>25</v>
      </c>
      <c r="AY231" s="234" t="s">
        <v>25</v>
      </c>
      <c r="AZ231" s="188" t="s">
        <v>306</v>
      </c>
      <c r="BA231" s="188" t="s">
        <v>25</v>
      </c>
      <c r="BB231" s="234" t="s">
        <v>19</v>
      </c>
      <c r="BC231" s="235" t="s">
        <v>19</v>
      </c>
      <c r="BD231" s="188"/>
    </row>
    <row r="232" spans="1:56" ht="12.75" customHeight="1" x14ac:dyDescent="0.25">
      <c r="A232" s="211">
        <v>2</v>
      </c>
      <c r="B232" s="137" t="s">
        <v>384</v>
      </c>
      <c r="C232" s="211" t="s">
        <v>595</v>
      </c>
      <c r="D232" s="211" t="s">
        <v>17</v>
      </c>
      <c r="E232" s="232" t="s">
        <v>605</v>
      </c>
      <c r="F232" s="188" t="s">
        <v>829</v>
      </c>
      <c r="G232" s="211" t="s">
        <v>18</v>
      </c>
      <c r="H232" s="211">
        <v>15</v>
      </c>
      <c r="I232" s="188" t="s">
        <v>531</v>
      </c>
      <c r="J232" s="188" t="s">
        <v>532</v>
      </c>
      <c r="K232" s="209" t="s">
        <v>539</v>
      </c>
      <c r="L232" s="188" t="s">
        <v>531</v>
      </c>
      <c r="M232" s="188" t="s">
        <v>666</v>
      </c>
      <c r="N232" s="188"/>
      <c r="O232" s="211" t="s">
        <v>531</v>
      </c>
      <c r="P232" s="188" t="s">
        <v>640</v>
      </c>
      <c r="Q232" s="188" t="s">
        <v>25</v>
      </c>
      <c r="R232" s="188" t="s">
        <v>306</v>
      </c>
      <c r="S232" s="234" t="s">
        <v>25</v>
      </c>
      <c r="T232" s="188" t="s">
        <v>25</v>
      </c>
      <c r="U232" s="188" t="s">
        <v>25</v>
      </c>
      <c r="V232" s="234" t="s">
        <v>25</v>
      </c>
      <c r="W232" s="188" t="s">
        <v>25</v>
      </c>
      <c r="X232" s="188" t="s">
        <v>25</v>
      </c>
      <c r="Y232" s="234" t="s">
        <v>25</v>
      </c>
      <c r="Z232" s="188" t="s">
        <v>25</v>
      </c>
      <c r="AA232" s="188" t="s">
        <v>25</v>
      </c>
      <c r="AB232" s="234" t="s">
        <v>25</v>
      </c>
      <c r="AC232" s="235" t="s">
        <v>25</v>
      </c>
      <c r="AD232" s="188" t="s">
        <v>19</v>
      </c>
      <c r="AE232" s="188" t="s">
        <v>19</v>
      </c>
      <c r="AF232" s="234" t="s">
        <v>19</v>
      </c>
      <c r="AG232" s="188" t="s">
        <v>306</v>
      </c>
      <c r="AH232" s="188" t="s">
        <v>306</v>
      </c>
      <c r="AI232" s="234" t="s">
        <v>306</v>
      </c>
      <c r="AJ232" s="188" t="s">
        <v>25</v>
      </c>
      <c r="AK232" s="188" t="s">
        <v>306</v>
      </c>
      <c r="AL232" s="234" t="s">
        <v>25</v>
      </c>
      <c r="AM232" s="188" t="s">
        <v>306</v>
      </c>
      <c r="AN232" s="188" t="s">
        <v>306</v>
      </c>
      <c r="AO232" s="234" t="s">
        <v>306</v>
      </c>
      <c r="AP232" s="235" t="s">
        <v>306</v>
      </c>
      <c r="AQ232" s="188" t="s">
        <v>306</v>
      </c>
      <c r="AR232" s="188" t="s">
        <v>25</v>
      </c>
      <c r="AS232" s="234" t="s">
        <v>25</v>
      </c>
      <c r="AT232" s="188" t="s">
        <v>306</v>
      </c>
      <c r="AU232" s="188" t="s">
        <v>25</v>
      </c>
      <c r="AV232" s="234" t="s">
        <v>25</v>
      </c>
      <c r="AW232" s="188" t="s">
        <v>306</v>
      </c>
      <c r="AX232" s="188" t="s">
        <v>306</v>
      </c>
      <c r="AY232" s="234" t="s">
        <v>306</v>
      </c>
      <c r="AZ232" s="188" t="s">
        <v>19</v>
      </c>
      <c r="BA232" s="188" t="s">
        <v>25</v>
      </c>
      <c r="BB232" s="234" t="s">
        <v>25</v>
      </c>
      <c r="BC232" s="235" t="s">
        <v>306</v>
      </c>
      <c r="BD232" s="188"/>
    </row>
    <row r="233" spans="1:56" ht="12.75" customHeight="1" x14ac:dyDescent="0.25">
      <c r="A233" s="211">
        <v>5</v>
      </c>
      <c r="B233" s="137" t="s">
        <v>384</v>
      </c>
      <c r="C233" s="211" t="s">
        <v>595</v>
      </c>
      <c r="D233" s="211" t="s">
        <v>17</v>
      </c>
      <c r="E233" s="232" t="s">
        <v>605</v>
      </c>
      <c r="F233" s="188" t="s">
        <v>830</v>
      </c>
      <c r="G233" s="211" t="s">
        <v>18</v>
      </c>
      <c r="H233" s="211">
        <v>15</v>
      </c>
      <c r="I233" s="188" t="s">
        <v>531</v>
      </c>
      <c r="J233" s="188" t="s">
        <v>532</v>
      </c>
      <c r="K233" s="209" t="s">
        <v>539</v>
      </c>
      <c r="L233" s="188" t="s">
        <v>531</v>
      </c>
      <c r="M233" s="188" t="s">
        <v>666</v>
      </c>
      <c r="N233" s="188"/>
      <c r="O233" s="211" t="s">
        <v>531</v>
      </c>
      <c r="P233" s="188" t="s">
        <v>640</v>
      </c>
      <c r="Q233" s="188" t="s">
        <v>25</v>
      </c>
      <c r="R233" s="188" t="s">
        <v>19</v>
      </c>
      <c r="S233" s="234" t="s">
        <v>306</v>
      </c>
      <c r="T233" s="188" t="s">
        <v>306</v>
      </c>
      <c r="U233" s="188" t="s">
        <v>25</v>
      </c>
      <c r="V233" s="234" t="s">
        <v>25</v>
      </c>
      <c r="W233" s="188" t="s">
        <v>19</v>
      </c>
      <c r="X233" s="188" t="s">
        <v>19</v>
      </c>
      <c r="Y233" s="234" t="s">
        <v>19</v>
      </c>
      <c r="Z233" s="188" t="s">
        <v>25</v>
      </c>
      <c r="AA233" s="188" t="s">
        <v>19</v>
      </c>
      <c r="AB233" s="234" t="s">
        <v>306</v>
      </c>
      <c r="AC233" s="235" t="s">
        <v>306</v>
      </c>
      <c r="AD233" s="188" t="s">
        <v>306</v>
      </c>
      <c r="AE233" s="188" t="s">
        <v>19</v>
      </c>
      <c r="AF233" s="234" t="s">
        <v>306</v>
      </c>
      <c r="AG233" s="188" t="s">
        <v>25</v>
      </c>
      <c r="AH233" s="188" t="s">
        <v>19</v>
      </c>
      <c r="AI233" s="234" t="s">
        <v>306</v>
      </c>
      <c r="AJ233" s="188" t="s">
        <v>306</v>
      </c>
      <c r="AK233" s="188" t="s">
        <v>306</v>
      </c>
      <c r="AL233" s="234" t="s">
        <v>306</v>
      </c>
      <c r="AM233" s="188" t="s">
        <v>19</v>
      </c>
      <c r="AN233" s="188" t="s">
        <v>19</v>
      </c>
      <c r="AO233" s="234" t="s">
        <v>19</v>
      </c>
      <c r="AP233" s="235" t="s">
        <v>306</v>
      </c>
      <c r="AQ233" s="188" t="s">
        <v>25</v>
      </c>
      <c r="AR233" s="188" t="s">
        <v>25</v>
      </c>
      <c r="AS233" s="234" t="s">
        <v>25</v>
      </c>
      <c r="AT233" s="188" t="s">
        <v>25</v>
      </c>
      <c r="AU233" s="188" t="s">
        <v>25</v>
      </c>
      <c r="AV233" s="234" t="s">
        <v>25</v>
      </c>
      <c r="AW233" s="188" t="s">
        <v>25</v>
      </c>
      <c r="AX233" s="188" t="s">
        <v>19</v>
      </c>
      <c r="AY233" s="234" t="s">
        <v>306</v>
      </c>
      <c r="AZ233" s="188" t="s">
        <v>306</v>
      </c>
      <c r="BA233" s="188" t="s">
        <v>25</v>
      </c>
      <c r="BB233" s="234" t="s">
        <v>19</v>
      </c>
      <c r="BC233" s="235" t="s">
        <v>306</v>
      </c>
      <c r="BD233" s="188"/>
    </row>
    <row r="234" spans="1:56" ht="12.75" customHeight="1" x14ac:dyDescent="0.25">
      <c r="A234" s="211">
        <v>6</v>
      </c>
      <c r="B234" s="137" t="s">
        <v>384</v>
      </c>
      <c r="C234" s="211" t="s">
        <v>595</v>
      </c>
      <c r="D234" s="211" t="s">
        <v>17</v>
      </c>
      <c r="E234" s="232" t="s">
        <v>605</v>
      </c>
      <c r="F234" s="188" t="s">
        <v>831</v>
      </c>
      <c r="G234" s="211" t="s">
        <v>24</v>
      </c>
      <c r="H234" s="211">
        <v>18</v>
      </c>
      <c r="I234" s="188" t="s">
        <v>531</v>
      </c>
      <c r="J234" s="188" t="s">
        <v>532</v>
      </c>
      <c r="K234" s="209" t="s">
        <v>539</v>
      </c>
      <c r="L234" s="188" t="s">
        <v>531</v>
      </c>
      <c r="M234" s="188" t="s">
        <v>666</v>
      </c>
      <c r="N234" s="188"/>
      <c r="O234" s="211" t="s">
        <v>531</v>
      </c>
      <c r="P234" s="188" t="s">
        <v>640</v>
      </c>
      <c r="Q234" s="188" t="s">
        <v>306</v>
      </c>
      <c r="R234" s="188" t="s">
        <v>306</v>
      </c>
      <c r="S234" s="234" t="s">
        <v>306</v>
      </c>
      <c r="T234" s="188" t="s">
        <v>306</v>
      </c>
      <c r="U234" s="188" t="s">
        <v>25</v>
      </c>
      <c r="V234" s="234" t="s">
        <v>25</v>
      </c>
      <c r="W234" s="188" t="s">
        <v>306</v>
      </c>
      <c r="X234" s="188" t="s">
        <v>306</v>
      </c>
      <c r="Y234" s="234" t="s">
        <v>306</v>
      </c>
      <c r="Z234" s="188" t="s">
        <v>306</v>
      </c>
      <c r="AA234" s="188" t="s">
        <v>306</v>
      </c>
      <c r="AB234" s="234" t="s">
        <v>306</v>
      </c>
      <c r="AC234" s="235" t="s">
        <v>306</v>
      </c>
      <c r="AD234" s="188" t="s">
        <v>306</v>
      </c>
      <c r="AE234" s="188" t="s">
        <v>306</v>
      </c>
      <c r="AF234" s="234" t="s">
        <v>306</v>
      </c>
      <c r="AG234" s="188" t="s">
        <v>306</v>
      </c>
      <c r="AH234" s="188" t="s">
        <v>306</v>
      </c>
      <c r="AI234" s="234" t="s">
        <v>306</v>
      </c>
      <c r="AJ234" s="188" t="s">
        <v>25</v>
      </c>
      <c r="AK234" s="188" t="s">
        <v>25</v>
      </c>
      <c r="AL234" s="234" t="s">
        <v>25</v>
      </c>
      <c r="AM234" s="188" t="s">
        <v>306</v>
      </c>
      <c r="AN234" s="188" t="s">
        <v>306</v>
      </c>
      <c r="AO234" s="234" t="s">
        <v>306</v>
      </c>
      <c r="AP234" s="235" t="s">
        <v>306</v>
      </c>
      <c r="AQ234" s="188" t="s">
        <v>25</v>
      </c>
      <c r="AR234" s="188" t="s">
        <v>25</v>
      </c>
      <c r="AS234" s="234" t="s">
        <v>25</v>
      </c>
      <c r="AT234" s="188" t="s">
        <v>25</v>
      </c>
      <c r="AU234" s="188" t="s">
        <v>25</v>
      </c>
      <c r="AV234" s="234" t="s">
        <v>25</v>
      </c>
      <c r="AW234" s="188" t="s">
        <v>306</v>
      </c>
      <c r="AX234" s="188" t="s">
        <v>306</v>
      </c>
      <c r="AY234" s="234" t="s">
        <v>306</v>
      </c>
      <c r="AZ234" s="188" t="s">
        <v>25</v>
      </c>
      <c r="BA234" s="188" t="s">
        <v>25</v>
      </c>
      <c r="BB234" s="234" t="s">
        <v>19</v>
      </c>
      <c r="BC234" s="235" t="s">
        <v>306</v>
      </c>
      <c r="BD234" s="188"/>
    </row>
    <row r="235" spans="1:56" ht="12.75" customHeight="1" x14ac:dyDescent="0.25">
      <c r="A235" s="211">
        <v>9</v>
      </c>
      <c r="B235" s="137" t="s">
        <v>384</v>
      </c>
      <c r="C235" s="211" t="s">
        <v>595</v>
      </c>
      <c r="D235" s="211" t="s">
        <v>17</v>
      </c>
      <c r="E235" s="232" t="s">
        <v>605</v>
      </c>
      <c r="F235" s="188" t="s">
        <v>832</v>
      </c>
      <c r="G235" s="211" t="s">
        <v>18</v>
      </c>
      <c r="H235" s="211">
        <v>16</v>
      </c>
      <c r="I235" s="188" t="s">
        <v>531</v>
      </c>
      <c r="J235" s="188" t="s">
        <v>532</v>
      </c>
      <c r="K235" s="209" t="s">
        <v>539</v>
      </c>
      <c r="L235" s="188" t="s">
        <v>531</v>
      </c>
      <c r="M235" s="188" t="s">
        <v>666</v>
      </c>
      <c r="N235" s="188"/>
      <c r="O235" s="211" t="s">
        <v>531</v>
      </c>
      <c r="P235" s="188" t="s">
        <v>640</v>
      </c>
      <c r="Q235" s="188" t="s">
        <v>306</v>
      </c>
      <c r="R235" s="188" t="s">
        <v>306</v>
      </c>
      <c r="S235" s="234" t="s">
        <v>306</v>
      </c>
      <c r="T235" s="188" t="s">
        <v>25</v>
      </c>
      <c r="U235" s="188" t="s">
        <v>25</v>
      </c>
      <c r="V235" s="234" t="s">
        <v>25</v>
      </c>
      <c r="W235" s="188" t="s">
        <v>25</v>
      </c>
      <c r="X235" s="188" t="s">
        <v>19</v>
      </c>
      <c r="Y235" s="234" t="s">
        <v>306</v>
      </c>
      <c r="Z235" s="188" t="s">
        <v>19</v>
      </c>
      <c r="AA235" s="188" t="s">
        <v>19</v>
      </c>
      <c r="AB235" s="234" t="s">
        <v>19</v>
      </c>
      <c r="AC235" s="235" t="s">
        <v>306</v>
      </c>
      <c r="AD235" s="188" t="s">
        <v>306</v>
      </c>
      <c r="AE235" s="188" t="s">
        <v>306</v>
      </c>
      <c r="AF235" s="234" t="s">
        <v>306</v>
      </c>
      <c r="AG235" s="188" t="s">
        <v>306</v>
      </c>
      <c r="AH235" s="188" t="s">
        <v>25</v>
      </c>
      <c r="AI235" s="234" t="s">
        <v>25</v>
      </c>
      <c r="AJ235" s="188" t="s">
        <v>25</v>
      </c>
      <c r="AK235" s="188" t="s">
        <v>306</v>
      </c>
      <c r="AL235" s="234" t="s">
        <v>25</v>
      </c>
      <c r="AM235" s="188" t="s">
        <v>306</v>
      </c>
      <c r="AN235" s="188" t="s">
        <v>306</v>
      </c>
      <c r="AO235" s="234" t="s">
        <v>306</v>
      </c>
      <c r="AP235" s="235" t="s">
        <v>306</v>
      </c>
      <c r="AQ235" s="188" t="s">
        <v>25</v>
      </c>
      <c r="AR235" s="188" t="s">
        <v>25</v>
      </c>
      <c r="AS235" s="234" t="s">
        <v>25</v>
      </c>
      <c r="AT235" s="188" t="s">
        <v>25</v>
      </c>
      <c r="AU235" s="188" t="s">
        <v>25</v>
      </c>
      <c r="AV235" s="234" t="s">
        <v>25</v>
      </c>
      <c r="AW235" s="188" t="s">
        <v>306</v>
      </c>
      <c r="AX235" s="188" t="s">
        <v>306</v>
      </c>
      <c r="AY235" s="234" t="s">
        <v>306</v>
      </c>
      <c r="AZ235" s="188" t="s">
        <v>25</v>
      </c>
      <c r="BA235" s="188" t="s">
        <v>25</v>
      </c>
      <c r="BB235" s="234" t="s">
        <v>306</v>
      </c>
      <c r="BC235" s="235" t="s">
        <v>306</v>
      </c>
      <c r="BD235" s="188"/>
    </row>
    <row r="236" spans="1:56" ht="12.75" customHeight="1" x14ac:dyDescent="0.25">
      <c r="A236" s="211">
        <v>12</v>
      </c>
      <c r="B236" s="137" t="s">
        <v>384</v>
      </c>
      <c r="C236" s="211" t="s">
        <v>595</v>
      </c>
      <c r="D236" s="211" t="s">
        <v>17</v>
      </c>
      <c r="E236" s="232" t="s">
        <v>605</v>
      </c>
      <c r="F236" s="188" t="s">
        <v>833</v>
      </c>
      <c r="G236" s="211" t="s">
        <v>24</v>
      </c>
      <c r="H236" s="211">
        <v>18</v>
      </c>
      <c r="I236" s="188" t="s">
        <v>531</v>
      </c>
      <c r="J236" s="188" t="s">
        <v>532</v>
      </c>
      <c r="K236" s="209" t="s">
        <v>539</v>
      </c>
      <c r="L236" s="188" t="s">
        <v>518</v>
      </c>
      <c r="M236" s="188" t="s">
        <v>368</v>
      </c>
      <c r="N236" s="188"/>
      <c r="O236" s="211" t="s">
        <v>518</v>
      </c>
      <c r="P236" s="188" t="s">
        <v>824</v>
      </c>
      <c r="Q236" s="188" t="s">
        <v>306</v>
      </c>
      <c r="R236" s="188" t="s">
        <v>19</v>
      </c>
      <c r="S236" s="234" t="s">
        <v>306</v>
      </c>
      <c r="T236" s="188" t="s">
        <v>306</v>
      </c>
      <c r="U236" s="188" t="s">
        <v>306</v>
      </c>
      <c r="V236" s="234" t="s">
        <v>306</v>
      </c>
      <c r="W236" s="188" t="s">
        <v>306</v>
      </c>
      <c r="X236" s="188" t="s">
        <v>306</v>
      </c>
      <c r="Y236" s="234" t="s">
        <v>306</v>
      </c>
      <c r="Z236" s="188" t="s">
        <v>306</v>
      </c>
      <c r="AA236" s="188" t="s">
        <v>306</v>
      </c>
      <c r="AB236" s="234" t="s">
        <v>306</v>
      </c>
      <c r="AC236" s="235" t="s">
        <v>306</v>
      </c>
      <c r="AD236" s="188" t="s">
        <v>306</v>
      </c>
      <c r="AE236" s="188" t="s">
        <v>306</v>
      </c>
      <c r="AF236" s="234" t="s">
        <v>306</v>
      </c>
      <c r="AG236" s="188" t="s">
        <v>306</v>
      </c>
      <c r="AH236" s="188" t="s">
        <v>306</v>
      </c>
      <c r="AI236" s="234" t="s">
        <v>306</v>
      </c>
      <c r="AJ236" s="188" t="s">
        <v>306</v>
      </c>
      <c r="AK236" s="188" t="s">
        <v>306</v>
      </c>
      <c r="AL236" s="234" t="s">
        <v>306</v>
      </c>
      <c r="AM236" s="188" t="s">
        <v>306</v>
      </c>
      <c r="AN236" s="188" t="s">
        <v>306</v>
      </c>
      <c r="AO236" s="234" t="s">
        <v>306</v>
      </c>
      <c r="AP236" s="235" t="s">
        <v>306</v>
      </c>
      <c r="AQ236" s="188" t="s">
        <v>25</v>
      </c>
      <c r="AR236" s="188" t="s">
        <v>25</v>
      </c>
      <c r="AS236" s="234" t="s">
        <v>25</v>
      </c>
      <c r="AT236" s="188" t="s">
        <v>25</v>
      </c>
      <c r="AU236" s="188" t="s">
        <v>25</v>
      </c>
      <c r="AV236" s="234" t="s">
        <v>25</v>
      </c>
      <c r="AW236" s="188" t="s">
        <v>25</v>
      </c>
      <c r="AX236" s="188" t="s">
        <v>306</v>
      </c>
      <c r="AY236" s="234" t="s">
        <v>25</v>
      </c>
      <c r="AZ236" s="188" t="s">
        <v>25</v>
      </c>
      <c r="BA236" s="188" t="s">
        <v>25</v>
      </c>
      <c r="BB236" s="234" t="s">
        <v>306</v>
      </c>
      <c r="BC236" s="235" t="s">
        <v>25</v>
      </c>
      <c r="BD236" s="188"/>
    </row>
    <row r="237" spans="1:56" ht="12.75" customHeight="1" x14ac:dyDescent="0.25">
      <c r="A237" s="211">
        <v>14</v>
      </c>
      <c r="B237" s="137" t="s">
        <v>384</v>
      </c>
      <c r="C237" s="211" t="s">
        <v>595</v>
      </c>
      <c r="D237" s="211" t="s">
        <v>17</v>
      </c>
      <c r="E237" s="232" t="s">
        <v>605</v>
      </c>
      <c r="F237" s="188" t="s">
        <v>834</v>
      </c>
      <c r="G237" s="211" t="s">
        <v>18</v>
      </c>
      <c r="H237" s="211">
        <v>17</v>
      </c>
      <c r="I237" s="188" t="s">
        <v>531</v>
      </c>
      <c r="J237" s="188" t="s">
        <v>532</v>
      </c>
      <c r="K237" s="209" t="s">
        <v>539</v>
      </c>
      <c r="L237" s="188" t="s">
        <v>518</v>
      </c>
      <c r="M237" s="188" t="s">
        <v>412</v>
      </c>
      <c r="N237" s="188"/>
      <c r="O237" s="211" t="s">
        <v>531</v>
      </c>
      <c r="P237" s="188" t="s">
        <v>640</v>
      </c>
      <c r="Q237" s="188" t="s">
        <v>19</v>
      </c>
      <c r="R237" s="188" t="s">
        <v>19</v>
      </c>
      <c r="S237" s="234" t="s">
        <v>19</v>
      </c>
      <c r="T237" s="188" t="s">
        <v>19</v>
      </c>
      <c r="U237" s="188" t="s">
        <v>19</v>
      </c>
      <c r="V237" s="234" t="s">
        <v>19</v>
      </c>
      <c r="W237" s="188" t="s">
        <v>19</v>
      </c>
      <c r="X237" s="188" t="s">
        <v>19</v>
      </c>
      <c r="Y237" s="234" t="s">
        <v>19</v>
      </c>
      <c r="Z237" s="188" t="s">
        <v>19</v>
      </c>
      <c r="AA237" s="188" t="s">
        <v>19</v>
      </c>
      <c r="AB237" s="234" t="s">
        <v>19</v>
      </c>
      <c r="AC237" s="235" t="s">
        <v>19</v>
      </c>
      <c r="AD237" s="188" t="s">
        <v>306</v>
      </c>
      <c r="AE237" s="188" t="s">
        <v>19</v>
      </c>
      <c r="AF237" s="234" t="s">
        <v>306</v>
      </c>
      <c r="AG237" s="188" t="s">
        <v>19</v>
      </c>
      <c r="AH237" s="188" t="s">
        <v>19</v>
      </c>
      <c r="AI237" s="234" t="s">
        <v>19</v>
      </c>
      <c r="AJ237" s="188" t="s">
        <v>19</v>
      </c>
      <c r="AK237" s="188" t="s">
        <v>19</v>
      </c>
      <c r="AL237" s="234" t="s">
        <v>19</v>
      </c>
      <c r="AM237" s="188" t="s">
        <v>19</v>
      </c>
      <c r="AN237" s="188" t="s">
        <v>19</v>
      </c>
      <c r="AO237" s="234" t="s">
        <v>19</v>
      </c>
      <c r="AP237" s="235" t="s">
        <v>19</v>
      </c>
      <c r="AQ237" s="188" t="s">
        <v>19</v>
      </c>
      <c r="AR237" s="188" t="s">
        <v>19</v>
      </c>
      <c r="AS237" s="234" t="s">
        <v>19</v>
      </c>
      <c r="AT237" s="188" t="s">
        <v>25</v>
      </c>
      <c r="AU237" s="188" t="s">
        <v>25</v>
      </c>
      <c r="AV237" s="234" t="s">
        <v>25</v>
      </c>
      <c r="AW237" s="188" t="s">
        <v>19</v>
      </c>
      <c r="AX237" s="188" t="s">
        <v>19</v>
      </c>
      <c r="AY237" s="234" t="s">
        <v>19</v>
      </c>
      <c r="AZ237" s="188" t="s">
        <v>306</v>
      </c>
      <c r="BA237" s="188" t="s">
        <v>306</v>
      </c>
      <c r="BB237" s="234" t="s">
        <v>306</v>
      </c>
      <c r="BC237" s="235" t="s">
        <v>306</v>
      </c>
      <c r="BD237" s="188"/>
    </row>
    <row r="238" spans="1:56" ht="12.75" customHeight="1" x14ac:dyDescent="0.25">
      <c r="A238" s="211">
        <v>22</v>
      </c>
      <c r="B238" s="137" t="s">
        <v>384</v>
      </c>
      <c r="C238" s="211" t="s">
        <v>595</v>
      </c>
      <c r="D238" s="211" t="s">
        <v>17</v>
      </c>
      <c r="E238" s="232" t="s">
        <v>605</v>
      </c>
      <c r="F238" s="188" t="s">
        <v>835</v>
      </c>
      <c r="G238" s="211" t="s">
        <v>18</v>
      </c>
      <c r="H238" s="211">
        <v>17</v>
      </c>
      <c r="I238" s="188" t="s">
        <v>531</v>
      </c>
      <c r="J238" s="188" t="s">
        <v>532</v>
      </c>
      <c r="K238" s="209" t="s">
        <v>539</v>
      </c>
      <c r="L238" s="188" t="s">
        <v>518</v>
      </c>
      <c r="M238" s="188" t="s">
        <v>368</v>
      </c>
      <c r="N238" s="188"/>
      <c r="O238" s="211" t="s">
        <v>518</v>
      </c>
      <c r="P238" s="188" t="s">
        <v>816</v>
      </c>
      <c r="Q238" s="188" t="s">
        <v>25</v>
      </c>
      <c r="R238" s="188" t="s">
        <v>306</v>
      </c>
      <c r="S238" s="234" t="s">
        <v>25</v>
      </c>
      <c r="T238" s="188" t="s">
        <v>306</v>
      </c>
      <c r="U238" s="188" t="s">
        <v>25</v>
      </c>
      <c r="V238" s="234" t="s">
        <v>25</v>
      </c>
      <c r="W238" s="188" t="s">
        <v>306</v>
      </c>
      <c r="X238" s="188" t="s">
        <v>306</v>
      </c>
      <c r="Y238" s="234" t="s">
        <v>306</v>
      </c>
      <c r="Z238" s="188" t="s">
        <v>25</v>
      </c>
      <c r="AA238" s="188" t="s">
        <v>25</v>
      </c>
      <c r="AB238" s="234" t="s">
        <v>25</v>
      </c>
      <c r="AC238" s="235" t="s">
        <v>25</v>
      </c>
      <c r="AD238" s="188" t="s">
        <v>306</v>
      </c>
      <c r="AE238" s="188" t="s">
        <v>306</v>
      </c>
      <c r="AF238" s="234" t="s">
        <v>306</v>
      </c>
      <c r="AG238" s="188" t="s">
        <v>306</v>
      </c>
      <c r="AH238" s="188" t="s">
        <v>306</v>
      </c>
      <c r="AI238" s="234" t="s">
        <v>306</v>
      </c>
      <c r="AJ238" s="188" t="s">
        <v>25</v>
      </c>
      <c r="AK238" s="188" t="s">
        <v>19</v>
      </c>
      <c r="AL238" s="234" t="s">
        <v>306</v>
      </c>
      <c r="AM238" s="188" t="s">
        <v>19</v>
      </c>
      <c r="AN238" s="188" t="s">
        <v>19</v>
      </c>
      <c r="AO238" s="234" t="s">
        <v>19</v>
      </c>
      <c r="AP238" s="235" t="s">
        <v>306</v>
      </c>
      <c r="AQ238" s="188" t="s">
        <v>306</v>
      </c>
      <c r="AR238" s="188" t="s">
        <v>306</v>
      </c>
      <c r="AS238" s="234" t="s">
        <v>306</v>
      </c>
      <c r="AT238" s="188" t="s">
        <v>306</v>
      </c>
      <c r="AU238" s="188" t="s">
        <v>19</v>
      </c>
      <c r="AV238" s="234" t="s">
        <v>306</v>
      </c>
      <c r="AW238" s="188" t="s">
        <v>25</v>
      </c>
      <c r="AX238" s="188" t="s">
        <v>306</v>
      </c>
      <c r="AY238" s="234" t="s">
        <v>25</v>
      </c>
      <c r="AZ238" s="188" t="s">
        <v>306</v>
      </c>
      <c r="BA238" s="188" t="s">
        <v>25</v>
      </c>
      <c r="BB238" s="234" t="s">
        <v>306</v>
      </c>
      <c r="BC238" s="235" t="s">
        <v>306</v>
      </c>
      <c r="BD238" s="188"/>
    </row>
    <row r="239" spans="1:56" ht="12.75" customHeight="1" x14ac:dyDescent="0.25">
      <c r="A239" s="211">
        <v>24</v>
      </c>
      <c r="B239" s="137" t="s">
        <v>384</v>
      </c>
      <c r="C239" s="211" t="s">
        <v>595</v>
      </c>
      <c r="D239" s="211" t="s">
        <v>17</v>
      </c>
      <c r="E239" s="232" t="s">
        <v>605</v>
      </c>
      <c r="F239" s="188" t="s">
        <v>836</v>
      </c>
      <c r="G239" s="211" t="s">
        <v>24</v>
      </c>
      <c r="H239" s="211">
        <v>15</v>
      </c>
      <c r="I239" s="188" t="s">
        <v>531</v>
      </c>
      <c r="J239" s="188" t="s">
        <v>532</v>
      </c>
      <c r="K239" s="209" t="s">
        <v>539</v>
      </c>
      <c r="L239" s="188" t="s">
        <v>518</v>
      </c>
      <c r="M239" s="188" t="s">
        <v>368</v>
      </c>
      <c r="N239" s="188"/>
      <c r="O239" s="211" t="s">
        <v>531</v>
      </c>
      <c r="P239" s="188" t="s">
        <v>640</v>
      </c>
      <c r="Q239" s="188" t="s">
        <v>19</v>
      </c>
      <c r="R239" s="188" t="s">
        <v>306</v>
      </c>
      <c r="S239" s="234" t="s">
        <v>306</v>
      </c>
      <c r="T239" s="188" t="s">
        <v>306</v>
      </c>
      <c r="U239" s="188" t="s">
        <v>306</v>
      </c>
      <c r="V239" s="234" t="s">
        <v>306</v>
      </c>
      <c r="W239" s="188" t="s">
        <v>306</v>
      </c>
      <c r="X239" s="188" t="s">
        <v>306</v>
      </c>
      <c r="Y239" s="234" t="s">
        <v>306</v>
      </c>
      <c r="Z239" s="188" t="s">
        <v>25</v>
      </c>
      <c r="AA239" s="188" t="s">
        <v>306</v>
      </c>
      <c r="AB239" s="234" t="s">
        <v>25</v>
      </c>
      <c r="AC239" s="235" t="s">
        <v>306</v>
      </c>
      <c r="AD239" s="188" t="s">
        <v>306</v>
      </c>
      <c r="AE239" s="188" t="s">
        <v>306</v>
      </c>
      <c r="AF239" s="234" t="s">
        <v>306</v>
      </c>
      <c r="AG239" s="188" t="s">
        <v>19</v>
      </c>
      <c r="AH239" s="188" t="s">
        <v>306</v>
      </c>
      <c r="AI239" s="234" t="s">
        <v>306</v>
      </c>
      <c r="AJ239" s="188" t="s">
        <v>306</v>
      </c>
      <c r="AK239" s="188" t="s">
        <v>306</v>
      </c>
      <c r="AL239" s="234" t="s">
        <v>306</v>
      </c>
      <c r="AM239" s="188" t="s">
        <v>19</v>
      </c>
      <c r="AN239" s="188" t="s">
        <v>19</v>
      </c>
      <c r="AO239" s="234" t="s">
        <v>19</v>
      </c>
      <c r="AP239" s="235" t="s">
        <v>306</v>
      </c>
      <c r="AQ239" s="188" t="s">
        <v>25</v>
      </c>
      <c r="AR239" s="188" t="s">
        <v>25</v>
      </c>
      <c r="AS239" s="234" t="s">
        <v>25</v>
      </c>
      <c r="AT239" s="188" t="s">
        <v>25</v>
      </c>
      <c r="AU239" s="188" t="s">
        <v>25</v>
      </c>
      <c r="AV239" s="234" t="s">
        <v>25</v>
      </c>
      <c r="AW239" s="188" t="s">
        <v>306</v>
      </c>
      <c r="AX239" s="188" t="s">
        <v>19</v>
      </c>
      <c r="AY239" s="234" t="s">
        <v>306</v>
      </c>
      <c r="AZ239" s="188" t="s">
        <v>25</v>
      </c>
      <c r="BA239" s="188" t="s">
        <v>25</v>
      </c>
      <c r="BB239" s="234" t="s">
        <v>306</v>
      </c>
      <c r="BC239" s="235" t="s">
        <v>306</v>
      </c>
      <c r="BD239" s="188"/>
    </row>
    <row r="240" spans="1:56" ht="12.75" customHeight="1" x14ac:dyDescent="0.25">
      <c r="A240" s="211">
        <v>26</v>
      </c>
      <c r="B240" s="137" t="s">
        <v>384</v>
      </c>
      <c r="C240" s="211" t="s">
        <v>595</v>
      </c>
      <c r="D240" s="211" t="s">
        <v>17</v>
      </c>
      <c r="E240" s="232" t="s">
        <v>605</v>
      </c>
      <c r="F240" s="188" t="s">
        <v>837</v>
      </c>
      <c r="G240" s="211" t="s">
        <v>18</v>
      </c>
      <c r="H240" s="211">
        <v>17</v>
      </c>
      <c r="I240" s="188" t="s">
        <v>531</v>
      </c>
      <c r="J240" s="188" t="s">
        <v>532</v>
      </c>
      <c r="K240" s="209" t="s">
        <v>539</v>
      </c>
      <c r="L240" s="188" t="s">
        <v>518</v>
      </c>
      <c r="M240" s="188" t="s">
        <v>368</v>
      </c>
      <c r="N240" s="188"/>
      <c r="O240" s="211" t="s">
        <v>531</v>
      </c>
      <c r="P240" s="188" t="s">
        <v>640</v>
      </c>
      <c r="Q240" s="188" t="s">
        <v>25</v>
      </c>
      <c r="R240" s="188" t="s">
        <v>25</v>
      </c>
      <c r="S240" s="234" t="s">
        <v>25</v>
      </c>
      <c r="T240" s="188" t="s">
        <v>306</v>
      </c>
      <c r="U240" s="188" t="s">
        <v>25</v>
      </c>
      <c r="V240" s="234" t="s">
        <v>25</v>
      </c>
      <c r="W240" s="188" t="s">
        <v>306</v>
      </c>
      <c r="X240" s="188" t="s">
        <v>306</v>
      </c>
      <c r="Y240" s="234" t="s">
        <v>306</v>
      </c>
      <c r="Z240" s="188" t="s">
        <v>25</v>
      </c>
      <c r="AA240" s="188" t="s">
        <v>19</v>
      </c>
      <c r="AB240" s="234" t="s">
        <v>306</v>
      </c>
      <c r="AC240" s="235" t="s">
        <v>306</v>
      </c>
      <c r="AD240" s="188" t="s">
        <v>306</v>
      </c>
      <c r="AE240" s="188" t="s">
        <v>306</v>
      </c>
      <c r="AF240" s="234" t="s">
        <v>306</v>
      </c>
      <c r="AG240" s="188" t="s">
        <v>306</v>
      </c>
      <c r="AH240" s="188" t="s">
        <v>19</v>
      </c>
      <c r="AI240" s="234" t="s">
        <v>306</v>
      </c>
      <c r="AJ240" s="188" t="s">
        <v>25</v>
      </c>
      <c r="AK240" s="188" t="s">
        <v>306</v>
      </c>
      <c r="AL240" s="234" t="s">
        <v>25</v>
      </c>
      <c r="AM240" s="188" t="s">
        <v>306</v>
      </c>
      <c r="AN240" s="188" t="s">
        <v>306</v>
      </c>
      <c r="AO240" s="234" t="s">
        <v>306</v>
      </c>
      <c r="AP240" s="235" t="s">
        <v>306</v>
      </c>
      <c r="AQ240" s="188" t="s">
        <v>25</v>
      </c>
      <c r="AR240" s="188" t="s">
        <v>306</v>
      </c>
      <c r="AS240" s="234" t="s">
        <v>25</v>
      </c>
      <c r="AT240" s="188" t="s">
        <v>25</v>
      </c>
      <c r="AU240" s="188" t="s">
        <v>25</v>
      </c>
      <c r="AV240" s="234" t="s">
        <v>25</v>
      </c>
      <c r="AW240" s="188" t="s">
        <v>306</v>
      </c>
      <c r="AX240" s="188" t="s">
        <v>306</v>
      </c>
      <c r="AY240" s="234" t="s">
        <v>306</v>
      </c>
      <c r="AZ240" s="188" t="s">
        <v>25</v>
      </c>
      <c r="BA240" s="188" t="s">
        <v>306</v>
      </c>
      <c r="BB240" s="234" t="s">
        <v>19</v>
      </c>
      <c r="BC240" s="235" t="s">
        <v>19</v>
      </c>
      <c r="BD240" s="188"/>
    </row>
    <row r="241" spans="1:56" ht="12.75" customHeight="1" x14ac:dyDescent="0.25">
      <c r="A241" s="211">
        <v>28</v>
      </c>
      <c r="B241" s="137" t="s">
        <v>384</v>
      </c>
      <c r="C241" s="211" t="s">
        <v>595</v>
      </c>
      <c r="D241" s="211" t="s">
        <v>17</v>
      </c>
      <c r="E241" s="232" t="s">
        <v>605</v>
      </c>
      <c r="F241" s="188" t="s">
        <v>838</v>
      </c>
      <c r="G241" s="211" t="s">
        <v>18</v>
      </c>
      <c r="H241" s="211">
        <v>14</v>
      </c>
      <c r="I241" s="188" t="s">
        <v>531</v>
      </c>
      <c r="J241" s="188" t="s">
        <v>532</v>
      </c>
      <c r="K241" s="209" t="s">
        <v>539</v>
      </c>
      <c r="L241" s="188" t="s">
        <v>518</v>
      </c>
      <c r="M241" s="188" t="s">
        <v>375</v>
      </c>
      <c r="N241" s="188"/>
      <c r="O241" s="211" t="s">
        <v>518</v>
      </c>
      <c r="P241" s="188" t="s">
        <v>655</v>
      </c>
      <c r="Q241" s="188" t="s">
        <v>306</v>
      </c>
      <c r="R241" s="188" t="s">
        <v>306</v>
      </c>
      <c r="S241" s="234" t="s">
        <v>306</v>
      </c>
      <c r="T241" s="188" t="s">
        <v>306</v>
      </c>
      <c r="U241" s="188" t="s">
        <v>306</v>
      </c>
      <c r="V241" s="234" t="s">
        <v>306</v>
      </c>
      <c r="W241" s="188" t="s">
        <v>306</v>
      </c>
      <c r="X241" s="188" t="s">
        <v>25</v>
      </c>
      <c r="Y241" s="234" t="s">
        <v>25</v>
      </c>
      <c r="Z241" s="188" t="s">
        <v>306</v>
      </c>
      <c r="AA241" s="188" t="s">
        <v>19</v>
      </c>
      <c r="AB241" s="234" t="s">
        <v>306</v>
      </c>
      <c r="AC241" s="235" t="s">
        <v>306</v>
      </c>
      <c r="AD241" s="188" t="s">
        <v>306</v>
      </c>
      <c r="AE241" s="188" t="s">
        <v>306</v>
      </c>
      <c r="AF241" s="234" t="s">
        <v>306</v>
      </c>
      <c r="AG241" s="188" t="s">
        <v>306</v>
      </c>
      <c r="AH241" s="188" t="s">
        <v>306</v>
      </c>
      <c r="AI241" s="234" t="s">
        <v>306</v>
      </c>
      <c r="AJ241" s="188" t="s">
        <v>306</v>
      </c>
      <c r="AK241" s="188" t="s">
        <v>306</v>
      </c>
      <c r="AL241" s="234" t="s">
        <v>306</v>
      </c>
      <c r="AM241" s="188" t="s">
        <v>19</v>
      </c>
      <c r="AN241" s="188" t="s">
        <v>306</v>
      </c>
      <c r="AO241" s="234" t="s">
        <v>306</v>
      </c>
      <c r="AP241" s="235" t="s">
        <v>306</v>
      </c>
      <c r="AQ241" s="188" t="s">
        <v>306</v>
      </c>
      <c r="AR241" s="188" t="s">
        <v>25</v>
      </c>
      <c r="AS241" s="234" t="s">
        <v>25</v>
      </c>
      <c r="AT241" s="188" t="s">
        <v>306</v>
      </c>
      <c r="AU241" s="188" t="s">
        <v>306</v>
      </c>
      <c r="AV241" s="234" t="s">
        <v>306</v>
      </c>
      <c r="AW241" s="188" t="s">
        <v>306</v>
      </c>
      <c r="AX241" s="188" t="s">
        <v>306</v>
      </c>
      <c r="AY241" s="234" t="s">
        <v>306</v>
      </c>
      <c r="AZ241" s="188" t="s">
        <v>306</v>
      </c>
      <c r="BA241" s="188" t="s">
        <v>306</v>
      </c>
      <c r="BB241" s="234" t="s">
        <v>306</v>
      </c>
      <c r="BC241" s="235" t="s">
        <v>306</v>
      </c>
      <c r="BD241" s="188"/>
    </row>
    <row r="242" spans="1:56" ht="12.75" customHeight="1" x14ac:dyDescent="0.25">
      <c r="A242" s="211">
        <v>33</v>
      </c>
      <c r="B242" s="137" t="s">
        <v>384</v>
      </c>
      <c r="C242" s="211" t="s">
        <v>595</v>
      </c>
      <c r="D242" s="211" t="s">
        <v>17</v>
      </c>
      <c r="E242" s="232" t="s">
        <v>605</v>
      </c>
      <c r="F242" s="188" t="s">
        <v>839</v>
      </c>
      <c r="G242" s="211" t="s">
        <v>24</v>
      </c>
      <c r="H242" s="211">
        <v>16</v>
      </c>
      <c r="I242" s="188" t="s">
        <v>531</v>
      </c>
      <c r="J242" s="188" t="s">
        <v>532</v>
      </c>
      <c r="K242" s="209" t="s">
        <v>539</v>
      </c>
      <c r="L242" s="188" t="s">
        <v>531</v>
      </c>
      <c r="M242" s="188" t="s">
        <v>666</v>
      </c>
      <c r="N242" s="188"/>
      <c r="O242" s="211" t="s">
        <v>531</v>
      </c>
      <c r="P242" s="188" t="s">
        <v>640</v>
      </c>
      <c r="Q242" s="188" t="s">
        <v>25</v>
      </c>
      <c r="R242" s="188" t="s">
        <v>25</v>
      </c>
      <c r="S242" s="234" t="s">
        <v>25</v>
      </c>
      <c r="T242" s="188" t="s">
        <v>306</v>
      </c>
      <c r="U242" s="188" t="s">
        <v>25</v>
      </c>
      <c r="V242" s="234" t="s">
        <v>25</v>
      </c>
      <c r="W242" s="188" t="s">
        <v>306</v>
      </c>
      <c r="X242" s="188" t="s">
        <v>25</v>
      </c>
      <c r="Y242" s="234" t="s">
        <v>25</v>
      </c>
      <c r="Z242" s="188" t="s">
        <v>25</v>
      </c>
      <c r="AA242" s="188" t="s">
        <v>25</v>
      </c>
      <c r="AB242" s="234" t="s">
        <v>25</v>
      </c>
      <c r="AC242" s="235" t="s">
        <v>25</v>
      </c>
      <c r="AD242" s="188" t="s">
        <v>25</v>
      </c>
      <c r="AE242" s="188" t="s">
        <v>306</v>
      </c>
      <c r="AF242" s="234" t="s">
        <v>25</v>
      </c>
      <c r="AG242" s="188" t="s">
        <v>306</v>
      </c>
      <c r="AH242" s="188" t="s">
        <v>306</v>
      </c>
      <c r="AI242" s="234" t="s">
        <v>306</v>
      </c>
      <c r="AJ242" s="188" t="s">
        <v>25</v>
      </c>
      <c r="AK242" s="188" t="s">
        <v>306</v>
      </c>
      <c r="AL242" s="234" t="s">
        <v>25</v>
      </c>
      <c r="AM242" s="188" t="s">
        <v>306</v>
      </c>
      <c r="AN242" s="188" t="s">
        <v>306</v>
      </c>
      <c r="AO242" s="234" t="s">
        <v>306</v>
      </c>
      <c r="AP242" s="235" t="s">
        <v>306</v>
      </c>
      <c r="AQ242" s="188" t="s">
        <v>25</v>
      </c>
      <c r="AR242" s="188" t="s">
        <v>25</v>
      </c>
      <c r="AS242" s="234" t="s">
        <v>25</v>
      </c>
      <c r="AT242" s="188" t="s">
        <v>25</v>
      </c>
      <c r="AU242" s="188" t="s">
        <v>25</v>
      </c>
      <c r="AV242" s="234" t="s">
        <v>25</v>
      </c>
      <c r="AW242" s="188" t="s">
        <v>25</v>
      </c>
      <c r="AX242" s="188" t="s">
        <v>306</v>
      </c>
      <c r="AY242" s="234" t="s">
        <v>25</v>
      </c>
      <c r="AZ242" s="188" t="s">
        <v>25</v>
      </c>
      <c r="BA242" s="188" t="s">
        <v>25</v>
      </c>
      <c r="BB242" s="234" t="s">
        <v>25</v>
      </c>
      <c r="BC242" s="235" t="s">
        <v>25</v>
      </c>
      <c r="BD242" s="188"/>
    </row>
    <row r="243" spans="1:56" ht="12.75" customHeight="1" x14ac:dyDescent="0.25">
      <c r="A243" s="211">
        <v>34</v>
      </c>
      <c r="B243" s="137" t="s">
        <v>384</v>
      </c>
      <c r="C243" s="211" t="s">
        <v>595</v>
      </c>
      <c r="D243" s="211" t="s">
        <v>17</v>
      </c>
      <c r="E243" s="232" t="s">
        <v>605</v>
      </c>
      <c r="F243" s="188" t="s">
        <v>840</v>
      </c>
      <c r="G243" s="211" t="s">
        <v>24</v>
      </c>
      <c r="H243" s="211">
        <v>15</v>
      </c>
      <c r="I243" s="188" t="s">
        <v>531</v>
      </c>
      <c r="J243" s="188" t="s">
        <v>532</v>
      </c>
      <c r="K243" s="209" t="s">
        <v>539</v>
      </c>
      <c r="L243" s="188" t="s">
        <v>531</v>
      </c>
      <c r="M243" s="188" t="s">
        <v>666</v>
      </c>
      <c r="N243" s="188"/>
      <c r="O243" s="211" t="s">
        <v>518</v>
      </c>
      <c r="P243" s="188" t="s">
        <v>841</v>
      </c>
      <c r="Q243" s="188" t="s">
        <v>306</v>
      </c>
      <c r="R243" s="188" t="s">
        <v>306</v>
      </c>
      <c r="S243" s="234" t="s">
        <v>306</v>
      </c>
      <c r="T243" s="188" t="s">
        <v>25</v>
      </c>
      <c r="U243" s="188" t="s">
        <v>25</v>
      </c>
      <c r="V243" s="234" t="s">
        <v>25</v>
      </c>
      <c r="W243" s="188" t="s">
        <v>25</v>
      </c>
      <c r="X243" s="188" t="s">
        <v>25</v>
      </c>
      <c r="Y243" s="234" t="s">
        <v>25</v>
      </c>
      <c r="Z243" s="188" t="s">
        <v>25</v>
      </c>
      <c r="AA243" s="188" t="s">
        <v>25</v>
      </c>
      <c r="AB243" s="234" t="s">
        <v>25</v>
      </c>
      <c r="AC243" s="235" t="s">
        <v>25</v>
      </c>
      <c r="AD243" s="188" t="s">
        <v>306</v>
      </c>
      <c r="AE243" s="188" t="s">
        <v>25</v>
      </c>
      <c r="AF243" s="234" t="s">
        <v>25</v>
      </c>
      <c r="AG243" s="188" t="s">
        <v>306</v>
      </c>
      <c r="AH243" s="188" t="s">
        <v>306</v>
      </c>
      <c r="AI243" s="234" t="s">
        <v>306</v>
      </c>
      <c r="AJ243" s="188" t="s">
        <v>25</v>
      </c>
      <c r="AK243" s="188" t="s">
        <v>25</v>
      </c>
      <c r="AL243" s="234" t="s">
        <v>25</v>
      </c>
      <c r="AM243" s="188" t="s">
        <v>306</v>
      </c>
      <c r="AN243" s="188" t="s">
        <v>306</v>
      </c>
      <c r="AO243" s="234" t="s">
        <v>306</v>
      </c>
      <c r="AP243" s="235" t="s">
        <v>306</v>
      </c>
      <c r="AQ243" s="188" t="s">
        <v>25</v>
      </c>
      <c r="AR243" s="188" t="s">
        <v>306</v>
      </c>
      <c r="AS243" s="234" t="s">
        <v>25</v>
      </c>
      <c r="AT243" s="188" t="s">
        <v>25</v>
      </c>
      <c r="AU243" s="188" t="s">
        <v>25</v>
      </c>
      <c r="AV243" s="234" t="s">
        <v>25</v>
      </c>
      <c r="AW243" s="188" t="s">
        <v>25</v>
      </c>
      <c r="AX243" s="188" t="s">
        <v>25</v>
      </c>
      <c r="AY243" s="234" t="s">
        <v>25</v>
      </c>
      <c r="AZ243" s="188" t="s">
        <v>25</v>
      </c>
      <c r="BA243" s="188" t="s">
        <v>25</v>
      </c>
      <c r="BB243" s="234" t="s">
        <v>306</v>
      </c>
      <c r="BC243" s="235" t="s">
        <v>306</v>
      </c>
      <c r="BD243" s="188"/>
    </row>
    <row r="244" spans="1:56" ht="12.75" customHeight="1" x14ac:dyDescent="0.25">
      <c r="A244" s="211">
        <v>35</v>
      </c>
      <c r="B244" s="137" t="s">
        <v>384</v>
      </c>
      <c r="C244" s="211" t="s">
        <v>595</v>
      </c>
      <c r="D244" s="211" t="s">
        <v>17</v>
      </c>
      <c r="E244" s="232" t="s">
        <v>605</v>
      </c>
      <c r="F244" s="188" t="s">
        <v>842</v>
      </c>
      <c r="G244" s="211" t="s">
        <v>18</v>
      </c>
      <c r="H244" s="211">
        <v>15</v>
      </c>
      <c r="I244" s="188" t="s">
        <v>531</v>
      </c>
      <c r="J244" s="188" t="s">
        <v>532</v>
      </c>
      <c r="K244" s="209" t="s">
        <v>539</v>
      </c>
      <c r="L244" s="188" t="s">
        <v>531</v>
      </c>
      <c r="M244" s="188" t="s">
        <v>666</v>
      </c>
      <c r="N244" s="188"/>
      <c r="O244" s="211" t="s">
        <v>531</v>
      </c>
      <c r="P244" s="188" t="s">
        <v>640</v>
      </c>
      <c r="Q244" s="188" t="s">
        <v>25</v>
      </c>
      <c r="R244" s="188" t="s">
        <v>306</v>
      </c>
      <c r="S244" s="234" t="s">
        <v>25</v>
      </c>
      <c r="T244" s="188" t="s">
        <v>25</v>
      </c>
      <c r="U244" s="188" t="s">
        <v>25</v>
      </c>
      <c r="V244" s="234" t="s">
        <v>25</v>
      </c>
      <c r="W244" s="188" t="s">
        <v>306</v>
      </c>
      <c r="X244" s="188" t="s">
        <v>306</v>
      </c>
      <c r="Y244" s="234" t="s">
        <v>306</v>
      </c>
      <c r="Z244" s="188" t="s">
        <v>306</v>
      </c>
      <c r="AA244" s="188" t="s">
        <v>25</v>
      </c>
      <c r="AB244" s="234" t="s">
        <v>25</v>
      </c>
      <c r="AC244" s="235" t="s">
        <v>25</v>
      </c>
      <c r="AD244" s="188" t="s">
        <v>306</v>
      </c>
      <c r="AE244" s="188" t="s">
        <v>306</v>
      </c>
      <c r="AF244" s="234" t="s">
        <v>306</v>
      </c>
      <c r="AG244" s="188" t="s">
        <v>306</v>
      </c>
      <c r="AH244" s="188" t="s">
        <v>306</v>
      </c>
      <c r="AI244" s="234" t="s">
        <v>306</v>
      </c>
      <c r="AJ244" s="188" t="s">
        <v>306</v>
      </c>
      <c r="AK244" s="188" t="s">
        <v>306</v>
      </c>
      <c r="AL244" s="234" t="s">
        <v>306</v>
      </c>
      <c r="AM244" s="188" t="s">
        <v>19</v>
      </c>
      <c r="AN244" s="188" t="s">
        <v>306</v>
      </c>
      <c r="AO244" s="234" t="s">
        <v>306</v>
      </c>
      <c r="AP244" s="235" t="s">
        <v>306</v>
      </c>
      <c r="AQ244" s="188" t="s">
        <v>25</v>
      </c>
      <c r="AR244" s="188" t="s">
        <v>25</v>
      </c>
      <c r="AS244" s="234" t="s">
        <v>25</v>
      </c>
      <c r="AT244" s="188" t="s">
        <v>25</v>
      </c>
      <c r="AU244" s="188" t="s">
        <v>25</v>
      </c>
      <c r="AV244" s="234" t="s">
        <v>25</v>
      </c>
      <c r="AW244" s="188" t="s">
        <v>25</v>
      </c>
      <c r="AX244" s="188" t="s">
        <v>25</v>
      </c>
      <c r="AY244" s="234" t="s">
        <v>25</v>
      </c>
      <c r="AZ244" s="188" t="s">
        <v>25</v>
      </c>
      <c r="BA244" s="188" t="s">
        <v>25</v>
      </c>
      <c r="BB244" s="234" t="s">
        <v>306</v>
      </c>
      <c r="BC244" s="235" t="s">
        <v>25</v>
      </c>
      <c r="BD244" s="188"/>
    </row>
    <row r="245" spans="1:56" ht="12.75" customHeight="1" x14ac:dyDescent="0.25">
      <c r="A245" s="211">
        <v>41</v>
      </c>
      <c r="B245" s="137" t="s">
        <v>384</v>
      </c>
      <c r="C245" s="211" t="s">
        <v>595</v>
      </c>
      <c r="D245" s="211" t="s">
        <v>17</v>
      </c>
      <c r="E245" s="232" t="s">
        <v>605</v>
      </c>
      <c r="F245" s="188" t="s">
        <v>843</v>
      </c>
      <c r="G245" s="211" t="s">
        <v>18</v>
      </c>
      <c r="H245" s="211">
        <v>15</v>
      </c>
      <c r="I245" s="188" t="s">
        <v>531</v>
      </c>
      <c r="J245" s="188" t="s">
        <v>532</v>
      </c>
      <c r="K245" s="209" t="s">
        <v>539</v>
      </c>
      <c r="L245" s="188" t="s">
        <v>531</v>
      </c>
      <c r="M245" s="188" t="s">
        <v>666</v>
      </c>
      <c r="N245" s="188"/>
      <c r="O245" s="211" t="s">
        <v>531</v>
      </c>
      <c r="P245" s="188" t="s">
        <v>640</v>
      </c>
      <c r="Q245" s="188" t="s">
        <v>19</v>
      </c>
      <c r="R245" s="188" t="s">
        <v>19</v>
      </c>
      <c r="S245" s="234" t="s">
        <v>19</v>
      </c>
      <c r="T245" s="188" t="s">
        <v>306</v>
      </c>
      <c r="U245" s="188" t="s">
        <v>19</v>
      </c>
      <c r="V245" s="234" t="s">
        <v>306</v>
      </c>
      <c r="W245" s="188" t="s">
        <v>19</v>
      </c>
      <c r="X245" s="188" t="s">
        <v>306</v>
      </c>
      <c r="Y245" s="234" t="s">
        <v>306</v>
      </c>
      <c r="Z245" s="188" t="s">
        <v>25</v>
      </c>
      <c r="AA245" s="188" t="s">
        <v>306</v>
      </c>
      <c r="AB245" s="234" t="s">
        <v>25</v>
      </c>
      <c r="AC245" s="235" t="s">
        <v>306</v>
      </c>
      <c r="AD245" s="188" t="s">
        <v>306</v>
      </c>
      <c r="AE245" s="188" t="s">
        <v>306</v>
      </c>
      <c r="AF245" s="234" t="s">
        <v>306</v>
      </c>
      <c r="AG245" s="188" t="s">
        <v>306</v>
      </c>
      <c r="AH245" s="188" t="s">
        <v>19</v>
      </c>
      <c r="AI245" s="234" t="s">
        <v>306</v>
      </c>
      <c r="AJ245" s="188" t="s">
        <v>306</v>
      </c>
      <c r="AK245" s="188" t="s">
        <v>19</v>
      </c>
      <c r="AL245" s="234" t="s">
        <v>306</v>
      </c>
      <c r="AM245" s="188" t="s">
        <v>19</v>
      </c>
      <c r="AN245" s="188" t="s">
        <v>19</v>
      </c>
      <c r="AO245" s="234" t="s">
        <v>19</v>
      </c>
      <c r="AP245" s="235" t="s">
        <v>306</v>
      </c>
      <c r="AQ245" s="188" t="s">
        <v>19</v>
      </c>
      <c r="AR245" s="188" t="s">
        <v>25</v>
      </c>
      <c r="AS245" s="234" t="s">
        <v>306</v>
      </c>
      <c r="AT245" s="188" t="s">
        <v>25</v>
      </c>
      <c r="AU245" s="188" t="s">
        <v>25</v>
      </c>
      <c r="AV245" s="234" t="s">
        <v>25</v>
      </c>
      <c r="AW245" s="188" t="s">
        <v>306</v>
      </c>
      <c r="AX245" s="188" t="s">
        <v>19</v>
      </c>
      <c r="AY245" s="234" t="s">
        <v>306</v>
      </c>
      <c r="AZ245" s="188" t="s">
        <v>306</v>
      </c>
      <c r="BA245" s="188" t="s">
        <v>25</v>
      </c>
      <c r="BB245" s="234" t="s">
        <v>306</v>
      </c>
      <c r="BC245" s="235" t="s">
        <v>25</v>
      </c>
      <c r="BD245" s="188"/>
    </row>
    <row r="246" spans="1:56" ht="12.75" customHeight="1" x14ac:dyDescent="0.25">
      <c r="A246" s="211">
        <v>42</v>
      </c>
      <c r="B246" s="137" t="s">
        <v>384</v>
      </c>
      <c r="C246" s="211" t="s">
        <v>595</v>
      </c>
      <c r="D246" s="211" t="s">
        <v>17</v>
      </c>
      <c r="E246" s="232" t="s">
        <v>605</v>
      </c>
      <c r="F246" s="188" t="s">
        <v>844</v>
      </c>
      <c r="G246" s="211" t="s">
        <v>24</v>
      </c>
      <c r="H246" s="211">
        <v>15</v>
      </c>
      <c r="I246" s="188" t="s">
        <v>531</v>
      </c>
      <c r="J246" s="188" t="s">
        <v>532</v>
      </c>
      <c r="K246" s="209" t="s">
        <v>539</v>
      </c>
      <c r="L246" s="188" t="s">
        <v>518</v>
      </c>
      <c r="M246" s="188" t="s">
        <v>412</v>
      </c>
      <c r="N246" s="188"/>
      <c r="O246" s="211" t="s">
        <v>531</v>
      </c>
      <c r="P246" s="188" t="s">
        <v>640</v>
      </c>
      <c r="Q246" s="188" t="s">
        <v>25</v>
      </c>
      <c r="R246" s="188" t="s">
        <v>306</v>
      </c>
      <c r="S246" s="234" t="s">
        <v>25</v>
      </c>
      <c r="T246" s="188" t="s">
        <v>25</v>
      </c>
      <c r="U246" s="188" t="s">
        <v>25</v>
      </c>
      <c r="V246" s="234" t="s">
        <v>25</v>
      </c>
      <c r="W246" s="188" t="s">
        <v>306</v>
      </c>
      <c r="X246" s="188" t="s">
        <v>306</v>
      </c>
      <c r="Y246" s="234" t="s">
        <v>306</v>
      </c>
      <c r="Z246" s="188" t="s">
        <v>19</v>
      </c>
      <c r="AA246" s="188" t="s">
        <v>19</v>
      </c>
      <c r="AB246" s="234" t="s">
        <v>19</v>
      </c>
      <c r="AC246" s="235" t="s">
        <v>306</v>
      </c>
      <c r="AD246" s="188" t="s">
        <v>306</v>
      </c>
      <c r="AE246" s="188" t="s">
        <v>19</v>
      </c>
      <c r="AF246" s="234" t="s">
        <v>306</v>
      </c>
      <c r="AG246" s="188" t="s">
        <v>19</v>
      </c>
      <c r="AH246" s="188" t="s">
        <v>19</v>
      </c>
      <c r="AI246" s="234" t="s">
        <v>19</v>
      </c>
      <c r="AJ246" s="188" t="s">
        <v>25</v>
      </c>
      <c r="AK246" s="188" t="s">
        <v>306</v>
      </c>
      <c r="AL246" s="234" t="s">
        <v>25</v>
      </c>
      <c r="AM246" s="188" t="s">
        <v>306</v>
      </c>
      <c r="AN246" s="188" t="s">
        <v>19</v>
      </c>
      <c r="AO246" s="234" t="s">
        <v>306</v>
      </c>
      <c r="AP246" s="235" t="s">
        <v>306</v>
      </c>
      <c r="AQ246" s="188" t="s">
        <v>306</v>
      </c>
      <c r="AR246" s="188" t="s">
        <v>306</v>
      </c>
      <c r="AS246" s="234" t="s">
        <v>306</v>
      </c>
      <c r="AT246" s="188" t="s">
        <v>25</v>
      </c>
      <c r="AU246" s="188" t="s">
        <v>25</v>
      </c>
      <c r="AV246" s="234" t="s">
        <v>25</v>
      </c>
      <c r="AW246" s="188" t="s">
        <v>306</v>
      </c>
      <c r="AX246" s="188" t="s">
        <v>306</v>
      </c>
      <c r="AY246" s="234" t="s">
        <v>306</v>
      </c>
      <c r="AZ246" s="188" t="s">
        <v>25</v>
      </c>
      <c r="BA246" s="188" t="s">
        <v>306</v>
      </c>
      <c r="BB246" s="234" t="s">
        <v>306</v>
      </c>
      <c r="BC246" s="235" t="s">
        <v>25</v>
      </c>
      <c r="BD246" s="188"/>
    </row>
    <row r="247" spans="1:56" ht="12.75" customHeight="1" x14ac:dyDescent="0.25">
      <c r="A247" s="211">
        <v>44</v>
      </c>
      <c r="B247" s="137" t="s">
        <v>384</v>
      </c>
      <c r="C247" s="211" t="s">
        <v>595</v>
      </c>
      <c r="D247" s="211" t="s">
        <v>17</v>
      </c>
      <c r="E247" s="232" t="s">
        <v>605</v>
      </c>
      <c r="F247" s="188" t="s">
        <v>845</v>
      </c>
      <c r="G247" s="211" t="s">
        <v>18</v>
      </c>
      <c r="H247" s="211">
        <v>15</v>
      </c>
      <c r="I247" s="188" t="s">
        <v>531</v>
      </c>
      <c r="J247" s="188" t="s">
        <v>532</v>
      </c>
      <c r="K247" s="209" t="s">
        <v>539</v>
      </c>
      <c r="L247" s="188" t="s">
        <v>531</v>
      </c>
      <c r="M247" s="188" t="s">
        <v>666</v>
      </c>
      <c r="N247" s="188"/>
      <c r="O247" s="211" t="s">
        <v>518</v>
      </c>
      <c r="P247" s="188" t="s">
        <v>841</v>
      </c>
      <c r="Q247" s="188" t="s">
        <v>306</v>
      </c>
      <c r="R247" s="188" t="s">
        <v>19</v>
      </c>
      <c r="S247" s="234" t="s">
        <v>306</v>
      </c>
      <c r="T247" s="188" t="s">
        <v>306</v>
      </c>
      <c r="U247" s="188" t="s">
        <v>306</v>
      </c>
      <c r="V247" s="234" t="s">
        <v>306</v>
      </c>
      <c r="W247" s="188" t="s">
        <v>306</v>
      </c>
      <c r="X247" s="188" t="s">
        <v>19</v>
      </c>
      <c r="Y247" s="234" t="s">
        <v>306</v>
      </c>
      <c r="Z247" s="188" t="s">
        <v>19</v>
      </c>
      <c r="AA247" s="188" t="s">
        <v>306</v>
      </c>
      <c r="AB247" s="234" t="s">
        <v>306</v>
      </c>
      <c r="AC247" s="235" t="s">
        <v>306</v>
      </c>
      <c r="AD247" s="188" t="s">
        <v>306</v>
      </c>
      <c r="AE247" s="188" t="s">
        <v>306</v>
      </c>
      <c r="AF247" s="234" t="s">
        <v>306</v>
      </c>
      <c r="AG247" s="188" t="s">
        <v>306</v>
      </c>
      <c r="AH247" s="188" t="s">
        <v>306</v>
      </c>
      <c r="AI247" s="234" t="s">
        <v>306</v>
      </c>
      <c r="AJ247" s="188" t="s">
        <v>25</v>
      </c>
      <c r="AK247" s="188" t="s">
        <v>306</v>
      </c>
      <c r="AL247" s="234" t="s">
        <v>25</v>
      </c>
      <c r="AM247" s="188" t="s">
        <v>25</v>
      </c>
      <c r="AN247" s="188" t="s">
        <v>306</v>
      </c>
      <c r="AO247" s="234" t="s">
        <v>25</v>
      </c>
      <c r="AP247" s="235" t="s">
        <v>306</v>
      </c>
      <c r="AQ247" s="188" t="s">
        <v>25</v>
      </c>
      <c r="AR247" s="188" t="s">
        <v>19</v>
      </c>
      <c r="AS247" s="234" t="s">
        <v>306</v>
      </c>
      <c r="AT247" s="188" t="s">
        <v>25</v>
      </c>
      <c r="AU247" s="188" t="s">
        <v>25</v>
      </c>
      <c r="AV247" s="234" t="s">
        <v>25</v>
      </c>
      <c r="AW247" s="188" t="s">
        <v>306</v>
      </c>
      <c r="AX247" s="188" t="s">
        <v>306</v>
      </c>
      <c r="AY247" s="234" t="s">
        <v>306</v>
      </c>
      <c r="AZ247" s="188" t="s">
        <v>19</v>
      </c>
      <c r="BA247" s="188" t="s">
        <v>306</v>
      </c>
      <c r="BB247" s="234" t="s">
        <v>25</v>
      </c>
      <c r="BC247" s="235" t="s">
        <v>25</v>
      </c>
      <c r="BD247" s="188"/>
    </row>
    <row r="248" spans="1:56" ht="12.75" customHeight="1" x14ac:dyDescent="0.25">
      <c r="A248" s="211">
        <v>45</v>
      </c>
      <c r="B248" s="137" t="s">
        <v>384</v>
      </c>
      <c r="C248" s="211" t="s">
        <v>595</v>
      </c>
      <c r="D248" s="211" t="s">
        <v>17</v>
      </c>
      <c r="E248" s="232" t="s">
        <v>605</v>
      </c>
      <c r="F248" s="188" t="s">
        <v>846</v>
      </c>
      <c r="G248" s="211" t="s">
        <v>18</v>
      </c>
      <c r="H248" s="211">
        <v>16</v>
      </c>
      <c r="I248" s="188" t="s">
        <v>531</v>
      </c>
      <c r="J248" s="188" t="s">
        <v>532</v>
      </c>
      <c r="K248" s="209" t="s">
        <v>539</v>
      </c>
      <c r="L248" s="188" t="s">
        <v>518</v>
      </c>
      <c r="M248" s="188" t="s">
        <v>412</v>
      </c>
      <c r="N248" s="188"/>
      <c r="O248" s="211" t="s">
        <v>531</v>
      </c>
      <c r="P248" s="188" t="s">
        <v>640</v>
      </c>
      <c r="Q248" s="188" t="s">
        <v>306</v>
      </c>
      <c r="R248" s="188" t="s">
        <v>306</v>
      </c>
      <c r="S248" s="234" t="s">
        <v>306</v>
      </c>
      <c r="T248" s="188" t="s">
        <v>306</v>
      </c>
      <c r="U248" s="188" t="s">
        <v>25</v>
      </c>
      <c r="V248" s="234" t="s">
        <v>25</v>
      </c>
      <c r="W248" s="188" t="s">
        <v>306</v>
      </c>
      <c r="X248" s="188" t="s">
        <v>19</v>
      </c>
      <c r="Y248" s="234" t="s">
        <v>306</v>
      </c>
      <c r="Z248" s="188" t="s">
        <v>25</v>
      </c>
      <c r="AA248" s="188" t="s">
        <v>306</v>
      </c>
      <c r="AB248" s="234" t="s">
        <v>25</v>
      </c>
      <c r="AC248" s="235" t="s">
        <v>306</v>
      </c>
      <c r="AD248" s="188" t="s">
        <v>25</v>
      </c>
      <c r="AE248" s="188" t="s">
        <v>25</v>
      </c>
      <c r="AF248" s="234" t="s">
        <v>25</v>
      </c>
      <c r="AG248" s="188" t="s">
        <v>306</v>
      </c>
      <c r="AH248" s="188" t="s">
        <v>25</v>
      </c>
      <c r="AI248" s="234" t="s">
        <v>25</v>
      </c>
      <c r="AJ248" s="188" t="s">
        <v>25</v>
      </c>
      <c r="AK248" s="188" t="s">
        <v>25</v>
      </c>
      <c r="AL248" s="234" t="s">
        <v>25</v>
      </c>
      <c r="AM248" s="188" t="s">
        <v>306</v>
      </c>
      <c r="AN248" s="188" t="s">
        <v>306</v>
      </c>
      <c r="AO248" s="234" t="s">
        <v>306</v>
      </c>
      <c r="AP248" s="235" t="s">
        <v>25</v>
      </c>
      <c r="AQ248" s="188" t="s">
        <v>306</v>
      </c>
      <c r="AR248" s="188" t="s">
        <v>25</v>
      </c>
      <c r="AS248" s="234" t="s">
        <v>25</v>
      </c>
      <c r="AT248" s="188" t="s">
        <v>25</v>
      </c>
      <c r="AU248" s="188" t="s">
        <v>25</v>
      </c>
      <c r="AV248" s="234" t="s">
        <v>25</v>
      </c>
      <c r="AW248" s="188" t="s">
        <v>306</v>
      </c>
      <c r="AX248" s="188" t="s">
        <v>306</v>
      </c>
      <c r="AY248" s="234" t="s">
        <v>306</v>
      </c>
      <c r="AZ248" s="188" t="s">
        <v>25</v>
      </c>
      <c r="BA248" s="188" t="s">
        <v>25</v>
      </c>
      <c r="BB248" s="234" t="s">
        <v>306</v>
      </c>
      <c r="BC248" s="235" t="s">
        <v>306</v>
      </c>
      <c r="BD248" s="188"/>
    </row>
    <row r="249" spans="1:56" ht="12.75" customHeight="1" x14ac:dyDescent="0.25">
      <c r="A249" s="211">
        <v>46</v>
      </c>
      <c r="B249" s="137" t="s">
        <v>384</v>
      </c>
      <c r="C249" s="211" t="s">
        <v>595</v>
      </c>
      <c r="D249" s="211" t="s">
        <v>17</v>
      </c>
      <c r="E249" s="232" t="s">
        <v>605</v>
      </c>
      <c r="F249" s="188" t="s">
        <v>847</v>
      </c>
      <c r="G249" s="211" t="s">
        <v>18</v>
      </c>
      <c r="H249" s="211">
        <v>16</v>
      </c>
      <c r="I249" s="188" t="s">
        <v>531</v>
      </c>
      <c r="J249" s="188" t="s">
        <v>532</v>
      </c>
      <c r="K249" s="209" t="s">
        <v>539</v>
      </c>
      <c r="L249" s="188" t="s">
        <v>518</v>
      </c>
      <c r="M249" s="188" t="s">
        <v>412</v>
      </c>
      <c r="N249" s="188"/>
      <c r="O249" s="211" t="s">
        <v>531</v>
      </c>
      <c r="P249" s="188" t="s">
        <v>640</v>
      </c>
      <c r="Q249" s="188" t="s">
        <v>25</v>
      </c>
      <c r="R249" s="188" t="s">
        <v>306</v>
      </c>
      <c r="S249" s="234" t="s">
        <v>25</v>
      </c>
      <c r="T249" s="188" t="s">
        <v>306</v>
      </c>
      <c r="U249" s="188" t="s">
        <v>306</v>
      </c>
      <c r="V249" s="234" t="s">
        <v>306</v>
      </c>
      <c r="W249" s="188" t="s">
        <v>306</v>
      </c>
      <c r="X249" s="188" t="s">
        <v>306</v>
      </c>
      <c r="Y249" s="234" t="s">
        <v>306</v>
      </c>
      <c r="Z249" s="188" t="s">
        <v>306</v>
      </c>
      <c r="AA249" s="188" t="s">
        <v>306</v>
      </c>
      <c r="AB249" s="234" t="s">
        <v>306</v>
      </c>
      <c r="AC249" s="235" t="s">
        <v>306</v>
      </c>
      <c r="AD249" s="188" t="s">
        <v>19</v>
      </c>
      <c r="AE249" s="188" t="s">
        <v>25</v>
      </c>
      <c r="AF249" s="234" t="s">
        <v>306</v>
      </c>
      <c r="AG249" s="188" t="s">
        <v>306</v>
      </c>
      <c r="AH249" s="188" t="s">
        <v>306</v>
      </c>
      <c r="AI249" s="234" t="s">
        <v>306</v>
      </c>
      <c r="AJ249" s="188" t="s">
        <v>306</v>
      </c>
      <c r="AK249" s="188" t="s">
        <v>306</v>
      </c>
      <c r="AL249" s="234" t="s">
        <v>306</v>
      </c>
      <c r="AM249" s="188" t="s">
        <v>19</v>
      </c>
      <c r="AN249" s="188" t="s">
        <v>19</v>
      </c>
      <c r="AO249" s="234" t="s">
        <v>19</v>
      </c>
      <c r="AP249" s="235" t="s">
        <v>306</v>
      </c>
      <c r="AQ249" s="188" t="s">
        <v>25</v>
      </c>
      <c r="AR249" s="188" t="s">
        <v>25</v>
      </c>
      <c r="AS249" s="234" t="s">
        <v>25</v>
      </c>
      <c r="AT249" s="188" t="s">
        <v>25</v>
      </c>
      <c r="AU249" s="188" t="s">
        <v>25</v>
      </c>
      <c r="AV249" s="234" t="s">
        <v>25</v>
      </c>
      <c r="AW249" s="188" t="s">
        <v>306</v>
      </c>
      <c r="AX249" s="188" t="s">
        <v>306</v>
      </c>
      <c r="AY249" s="234" t="s">
        <v>306</v>
      </c>
      <c r="AZ249" s="188" t="s">
        <v>25</v>
      </c>
      <c r="BA249" s="188" t="s">
        <v>25</v>
      </c>
      <c r="BB249" s="234" t="s">
        <v>306</v>
      </c>
      <c r="BC249" s="235" t="s">
        <v>25</v>
      </c>
      <c r="BD249" s="188"/>
    </row>
    <row r="250" spans="1:56" ht="12.75" customHeight="1" x14ac:dyDescent="0.25">
      <c r="A250" s="211">
        <v>50</v>
      </c>
      <c r="B250" s="137" t="s">
        <v>384</v>
      </c>
      <c r="C250" s="211" t="s">
        <v>595</v>
      </c>
      <c r="D250" s="211" t="s">
        <v>17</v>
      </c>
      <c r="E250" s="232" t="s">
        <v>605</v>
      </c>
      <c r="F250" s="188" t="s">
        <v>848</v>
      </c>
      <c r="G250" s="211" t="s">
        <v>18</v>
      </c>
      <c r="H250" s="211">
        <v>17</v>
      </c>
      <c r="I250" s="188" t="s">
        <v>531</v>
      </c>
      <c r="J250" s="188" t="s">
        <v>532</v>
      </c>
      <c r="K250" s="209" t="s">
        <v>539</v>
      </c>
      <c r="L250" s="188" t="s">
        <v>518</v>
      </c>
      <c r="M250" s="188" t="s">
        <v>412</v>
      </c>
      <c r="N250" s="188"/>
      <c r="O250" s="211" t="s">
        <v>531</v>
      </c>
      <c r="P250" s="188" t="s">
        <v>640</v>
      </c>
      <c r="Q250" s="188" t="s">
        <v>306</v>
      </c>
      <c r="R250" s="188" t="s">
        <v>306</v>
      </c>
      <c r="S250" s="234" t="s">
        <v>306</v>
      </c>
      <c r="T250" s="188" t="s">
        <v>25</v>
      </c>
      <c r="U250" s="188" t="s">
        <v>25</v>
      </c>
      <c r="V250" s="234" t="s">
        <v>25</v>
      </c>
      <c r="W250" s="188" t="s">
        <v>19</v>
      </c>
      <c r="X250" s="188" t="s">
        <v>306</v>
      </c>
      <c r="Y250" s="234" t="s">
        <v>306</v>
      </c>
      <c r="Z250" s="188" t="s">
        <v>306</v>
      </c>
      <c r="AA250" s="188" t="s">
        <v>306</v>
      </c>
      <c r="AB250" s="234" t="s">
        <v>306</v>
      </c>
      <c r="AC250" s="235" t="s">
        <v>306</v>
      </c>
      <c r="AD250" s="188" t="s">
        <v>306</v>
      </c>
      <c r="AE250" s="188" t="s">
        <v>306</v>
      </c>
      <c r="AF250" s="234" t="s">
        <v>306</v>
      </c>
      <c r="AG250" s="188" t="s">
        <v>306</v>
      </c>
      <c r="AH250" s="188" t="s">
        <v>306</v>
      </c>
      <c r="AI250" s="234" t="s">
        <v>306</v>
      </c>
      <c r="AJ250" s="188" t="s">
        <v>25</v>
      </c>
      <c r="AK250" s="188" t="s">
        <v>306</v>
      </c>
      <c r="AL250" s="234" t="s">
        <v>25</v>
      </c>
      <c r="AM250" s="188" t="s">
        <v>306</v>
      </c>
      <c r="AN250" s="188" t="s">
        <v>306</v>
      </c>
      <c r="AO250" s="234" t="s">
        <v>306</v>
      </c>
      <c r="AP250" s="235" t="s">
        <v>306</v>
      </c>
      <c r="AQ250" s="188" t="s">
        <v>25</v>
      </c>
      <c r="AR250" s="188" t="s">
        <v>25</v>
      </c>
      <c r="AS250" s="234" t="s">
        <v>25</v>
      </c>
      <c r="AT250" s="188" t="s">
        <v>25</v>
      </c>
      <c r="AU250" s="188" t="s">
        <v>25</v>
      </c>
      <c r="AV250" s="234" t="s">
        <v>25</v>
      </c>
      <c r="AW250" s="188" t="s">
        <v>306</v>
      </c>
      <c r="AX250" s="188" t="s">
        <v>306</v>
      </c>
      <c r="AY250" s="234" t="s">
        <v>306</v>
      </c>
      <c r="AZ250" s="188" t="s">
        <v>25</v>
      </c>
      <c r="BA250" s="188" t="s">
        <v>25</v>
      </c>
      <c r="BB250" s="234" t="s">
        <v>306</v>
      </c>
      <c r="BC250" s="235" t="s">
        <v>306</v>
      </c>
      <c r="BD250" s="188"/>
    </row>
    <row r="251" spans="1:56" ht="12.75" customHeight="1" x14ac:dyDescent="0.25">
      <c r="A251" s="211">
        <v>52</v>
      </c>
      <c r="B251" s="137" t="s">
        <v>384</v>
      </c>
      <c r="C251" s="211" t="s">
        <v>595</v>
      </c>
      <c r="D251" s="211" t="s">
        <v>17</v>
      </c>
      <c r="E251" s="232" t="s">
        <v>605</v>
      </c>
      <c r="F251" s="188" t="s">
        <v>849</v>
      </c>
      <c r="G251" s="211" t="s">
        <v>18</v>
      </c>
      <c r="H251" s="211">
        <v>15</v>
      </c>
      <c r="I251" s="188" t="s">
        <v>531</v>
      </c>
      <c r="J251" s="188" t="s">
        <v>532</v>
      </c>
      <c r="K251" s="209" t="s">
        <v>539</v>
      </c>
      <c r="L251" s="188" t="s">
        <v>518</v>
      </c>
      <c r="M251" s="188" t="s">
        <v>412</v>
      </c>
      <c r="N251" s="188"/>
      <c r="O251" s="211" t="s">
        <v>531</v>
      </c>
      <c r="P251" s="188" t="s">
        <v>640</v>
      </c>
      <c r="Q251" s="188" t="s">
        <v>25</v>
      </c>
      <c r="R251" s="188" t="s">
        <v>25</v>
      </c>
      <c r="S251" s="234" t="s">
        <v>25</v>
      </c>
      <c r="T251" s="188" t="s">
        <v>25</v>
      </c>
      <c r="U251" s="188" t="s">
        <v>25</v>
      </c>
      <c r="V251" s="234" t="s">
        <v>25</v>
      </c>
      <c r="W251" s="188" t="s">
        <v>25</v>
      </c>
      <c r="X251" s="188" t="s">
        <v>25</v>
      </c>
      <c r="Y251" s="234" t="s">
        <v>25</v>
      </c>
      <c r="Z251" s="188" t="s">
        <v>25</v>
      </c>
      <c r="AA251" s="188" t="s">
        <v>25</v>
      </c>
      <c r="AB251" s="234" t="s">
        <v>25</v>
      </c>
      <c r="AC251" s="235" t="s">
        <v>25</v>
      </c>
      <c r="AD251" s="188" t="s">
        <v>306</v>
      </c>
      <c r="AE251" s="188" t="s">
        <v>306</v>
      </c>
      <c r="AF251" s="234" t="s">
        <v>306</v>
      </c>
      <c r="AG251" s="188" t="s">
        <v>306</v>
      </c>
      <c r="AH251" s="188" t="s">
        <v>306</v>
      </c>
      <c r="AI251" s="234" t="s">
        <v>306</v>
      </c>
      <c r="AJ251" s="188" t="s">
        <v>306</v>
      </c>
      <c r="AK251" s="188" t="s">
        <v>306</v>
      </c>
      <c r="AL251" s="234" t="s">
        <v>306</v>
      </c>
      <c r="AM251" s="188" t="s">
        <v>306</v>
      </c>
      <c r="AN251" s="188" t="s">
        <v>306</v>
      </c>
      <c r="AO251" s="234" t="s">
        <v>306</v>
      </c>
      <c r="AP251" s="235" t="s">
        <v>306</v>
      </c>
      <c r="AQ251" s="188" t="s">
        <v>25</v>
      </c>
      <c r="AR251" s="188" t="s">
        <v>25</v>
      </c>
      <c r="AS251" s="234" t="s">
        <v>25</v>
      </c>
      <c r="AT251" s="188" t="s">
        <v>25</v>
      </c>
      <c r="AU251" s="188" t="s">
        <v>25</v>
      </c>
      <c r="AV251" s="234" t="s">
        <v>25</v>
      </c>
      <c r="AW251" s="188" t="s">
        <v>306</v>
      </c>
      <c r="AX251" s="188" t="s">
        <v>306</v>
      </c>
      <c r="AY251" s="234" t="s">
        <v>306</v>
      </c>
      <c r="AZ251" s="188" t="s">
        <v>25</v>
      </c>
      <c r="BA251" s="188" t="s">
        <v>25</v>
      </c>
      <c r="BB251" s="234" t="s">
        <v>19</v>
      </c>
      <c r="BC251" s="235" t="s">
        <v>306</v>
      </c>
      <c r="BD251" s="188"/>
    </row>
    <row r="252" spans="1:56" ht="12.75" customHeight="1" x14ac:dyDescent="0.25">
      <c r="A252" s="211">
        <v>53</v>
      </c>
      <c r="B252" s="137" t="s">
        <v>384</v>
      </c>
      <c r="C252" s="211" t="s">
        <v>595</v>
      </c>
      <c r="D252" s="211" t="s">
        <v>17</v>
      </c>
      <c r="E252" s="232" t="s">
        <v>605</v>
      </c>
      <c r="F252" s="188" t="s">
        <v>850</v>
      </c>
      <c r="G252" s="211" t="s">
        <v>18</v>
      </c>
      <c r="H252" s="211">
        <v>17</v>
      </c>
      <c r="I252" s="188" t="s">
        <v>531</v>
      </c>
      <c r="J252" s="188" t="s">
        <v>532</v>
      </c>
      <c r="K252" s="209" t="s">
        <v>539</v>
      </c>
      <c r="L252" s="188" t="s">
        <v>518</v>
      </c>
      <c r="M252" s="188" t="s">
        <v>412</v>
      </c>
      <c r="N252" s="188"/>
      <c r="O252" s="211" t="s">
        <v>531</v>
      </c>
      <c r="P252" s="188" t="s">
        <v>640</v>
      </c>
      <c r="Q252" s="188" t="s">
        <v>306</v>
      </c>
      <c r="R252" s="188" t="s">
        <v>306</v>
      </c>
      <c r="S252" s="234" t="s">
        <v>306</v>
      </c>
      <c r="T252" s="188" t="s">
        <v>306</v>
      </c>
      <c r="U252" s="188" t="s">
        <v>306</v>
      </c>
      <c r="V252" s="234" t="s">
        <v>306</v>
      </c>
      <c r="W252" s="188" t="s">
        <v>306</v>
      </c>
      <c r="X252" s="188" t="s">
        <v>306</v>
      </c>
      <c r="Y252" s="234" t="s">
        <v>306</v>
      </c>
      <c r="Z252" s="188" t="s">
        <v>306</v>
      </c>
      <c r="AA252" s="188" t="s">
        <v>306</v>
      </c>
      <c r="AB252" s="234" t="s">
        <v>306</v>
      </c>
      <c r="AC252" s="235" t="s">
        <v>306</v>
      </c>
      <c r="AD252" s="188" t="s">
        <v>306</v>
      </c>
      <c r="AE252" s="188" t="s">
        <v>306</v>
      </c>
      <c r="AF252" s="234" t="s">
        <v>306</v>
      </c>
      <c r="AG252" s="188" t="s">
        <v>306</v>
      </c>
      <c r="AH252" s="188" t="s">
        <v>306</v>
      </c>
      <c r="AI252" s="234" t="s">
        <v>306</v>
      </c>
      <c r="AJ252" s="188" t="s">
        <v>306</v>
      </c>
      <c r="AK252" s="188" t="s">
        <v>306</v>
      </c>
      <c r="AL252" s="234" t="s">
        <v>306</v>
      </c>
      <c r="AM252" s="188" t="s">
        <v>306</v>
      </c>
      <c r="AN252" s="188" t="s">
        <v>306</v>
      </c>
      <c r="AO252" s="234" t="s">
        <v>306</v>
      </c>
      <c r="AP252" s="235" t="s">
        <v>306</v>
      </c>
      <c r="AQ252" s="188" t="s">
        <v>306</v>
      </c>
      <c r="AR252" s="188" t="s">
        <v>25</v>
      </c>
      <c r="AS252" s="234" t="s">
        <v>25</v>
      </c>
      <c r="AT252" s="188" t="s">
        <v>25</v>
      </c>
      <c r="AU252" s="188" t="s">
        <v>25</v>
      </c>
      <c r="AV252" s="234" t="s">
        <v>25</v>
      </c>
      <c r="AW252" s="188" t="s">
        <v>25</v>
      </c>
      <c r="AX252" s="188" t="s">
        <v>306</v>
      </c>
      <c r="AY252" s="234" t="s">
        <v>25</v>
      </c>
      <c r="AZ252" s="188" t="s">
        <v>306</v>
      </c>
      <c r="BA252" s="188" t="s">
        <v>306</v>
      </c>
      <c r="BB252" s="234" t="s">
        <v>306</v>
      </c>
      <c r="BC252" s="235" t="s">
        <v>306</v>
      </c>
      <c r="BD252" s="188"/>
    </row>
    <row r="253" spans="1:56" ht="12.75" customHeight="1" x14ac:dyDescent="0.25">
      <c r="A253" s="211">
        <v>58</v>
      </c>
      <c r="B253" s="137" t="s">
        <v>384</v>
      </c>
      <c r="C253" s="211" t="s">
        <v>595</v>
      </c>
      <c r="D253" s="211" t="s">
        <v>17</v>
      </c>
      <c r="E253" s="232" t="s">
        <v>605</v>
      </c>
      <c r="F253" s="188" t="s">
        <v>851</v>
      </c>
      <c r="G253" s="211" t="s">
        <v>18</v>
      </c>
      <c r="H253" s="211">
        <v>16</v>
      </c>
      <c r="I253" s="188" t="s">
        <v>531</v>
      </c>
      <c r="J253" s="188" t="s">
        <v>532</v>
      </c>
      <c r="K253" s="209" t="s">
        <v>539</v>
      </c>
      <c r="L253" s="188" t="s">
        <v>531</v>
      </c>
      <c r="M253" s="188" t="s">
        <v>666</v>
      </c>
      <c r="N253" s="188"/>
      <c r="O253" s="211" t="s">
        <v>531</v>
      </c>
      <c r="P253" s="188" t="s">
        <v>640</v>
      </c>
      <c r="Q253" s="188" t="s">
        <v>306</v>
      </c>
      <c r="R253" s="188" t="s">
        <v>19</v>
      </c>
      <c r="S253" s="234" t="s">
        <v>306</v>
      </c>
      <c r="T253" s="188" t="s">
        <v>19</v>
      </c>
      <c r="U253" s="188" t="s">
        <v>19</v>
      </c>
      <c r="V253" s="234" t="s">
        <v>19</v>
      </c>
      <c r="W253" s="188" t="s">
        <v>19</v>
      </c>
      <c r="X253" s="188" t="s">
        <v>19</v>
      </c>
      <c r="Y253" s="234" t="s">
        <v>19</v>
      </c>
      <c r="Z253" s="188" t="s">
        <v>25</v>
      </c>
      <c r="AA253" s="188" t="s">
        <v>25</v>
      </c>
      <c r="AB253" s="234" t="s">
        <v>25</v>
      </c>
      <c r="AC253" s="235" t="s">
        <v>306</v>
      </c>
      <c r="AD253" s="188" t="s">
        <v>306</v>
      </c>
      <c r="AE253" s="188" t="s">
        <v>306</v>
      </c>
      <c r="AF253" s="234" t="s">
        <v>306</v>
      </c>
      <c r="AG253" s="188" t="s">
        <v>19</v>
      </c>
      <c r="AH253" s="188" t="s">
        <v>19</v>
      </c>
      <c r="AI253" s="234" t="s">
        <v>19</v>
      </c>
      <c r="AJ253" s="188" t="s">
        <v>25</v>
      </c>
      <c r="AK253" s="188" t="s">
        <v>19</v>
      </c>
      <c r="AL253" s="234" t="s">
        <v>306</v>
      </c>
      <c r="AM253" s="188" t="s">
        <v>19</v>
      </c>
      <c r="AN253" s="188" t="s">
        <v>306</v>
      </c>
      <c r="AO253" s="234" t="s">
        <v>306</v>
      </c>
      <c r="AP253" s="235" t="s">
        <v>306</v>
      </c>
      <c r="AQ253" s="188" t="s">
        <v>306</v>
      </c>
      <c r="AR253" s="188" t="s">
        <v>19</v>
      </c>
      <c r="AS253" s="234" t="s">
        <v>306</v>
      </c>
      <c r="AT253" s="188" t="s">
        <v>25</v>
      </c>
      <c r="AU253" s="188" t="s">
        <v>25</v>
      </c>
      <c r="AV253" s="234" t="s">
        <v>25</v>
      </c>
      <c r="AW253" s="188" t="s">
        <v>306</v>
      </c>
      <c r="AX253" s="188" t="s">
        <v>306</v>
      </c>
      <c r="AY253" s="234" t="s">
        <v>306</v>
      </c>
      <c r="AZ253" s="188" t="s">
        <v>19</v>
      </c>
      <c r="BA253" s="188" t="s">
        <v>19</v>
      </c>
      <c r="BB253" s="234" t="s">
        <v>19</v>
      </c>
      <c r="BC253" s="235" t="s">
        <v>306</v>
      </c>
      <c r="BD253" s="188"/>
    </row>
    <row r="254" spans="1:56" ht="12.75" customHeight="1" x14ac:dyDescent="0.25">
      <c r="A254" s="238">
        <v>45260.37401890046</v>
      </c>
      <c r="B254" s="233" t="s">
        <v>395</v>
      </c>
      <c r="C254" s="209" t="s">
        <v>587</v>
      </c>
      <c r="D254" s="232" t="s">
        <v>17</v>
      </c>
      <c r="E254" s="232" t="s">
        <v>515</v>
      </c>
      <c r="F254" s="209" t="s">
        <v>852</v>
      </c>
      <c r="G254" s="232" t="s">
        <v>24</v>
      </c>
      <c r="H254" s="232">
        <v>11</v>
      </c>
      <c r="I254" s="209" t="s">
        <v>531</v>
      </c>
      <c r="J254" s="188"/>
      <c r="K254" s="209" t="s">
        <v>539</v>
      </c>
      <c r="L254" s="209" t="s">
        <v>531</v>
      </c>
      <c r="M254" s="188"/>
      <c r="N254" s="188"/>
      <c r="O254" s="188"/>
      <c r="P254" s="188"/>
      <c r="Q254" s="209" t="s">
        <v>19</v>
      </c>
      <c r="R254" s="209" t="s">
        <v>19</v>
      </c>
      <c r="S254" s="234" t="s">
        <v>19</v>
      </c>
      <c r="T254" s="209" t="s">
        <v>19</v>
      </c>
      <c r="U254" s="209" t="s">
        <v>25</v>
      </c>
      <c r="V254" s="234" t="s">
        <v>306</v>
      </c>
      <c r="W254" s="209" t="s">
        <v>19</v>
      </c>
      <c r="X254" s="209" t="s">
        <v>19</v>
      </c>
      <c r="Y254" s="234" t="s">
        <v>19</v>
      </c>
      <c r="Z254" s="209" t="s">
        <v>19</v>
      </c>
      <c r="AA254" s="209" t="s">
        <v>19</v>
      </c>
      <c r="AB254" s="234" t="s">
        <v>19</v>
      </c>
      <c r="AC254" s="235" t="s">
        <v>19</v>
      </c>
      <c r="AD254" s="209" t="s">
        <v>19</v>
      </c>
      <c r="AE254" s="209" t="s">
        <v>25</v>
      </c>
      <c r="AF254" s="234" t="s">
        <v>306</v>
      </c>
      <c r="AG254" s="209" t="s">
        <v>19</v>
      </c>
      <c r="AH254" s="209" t="s">
        <v>19</v>
      </c>
      <c r="AI254" s="234" t="s">
        <v>19</v>
      </c>
      <c r="AJ254" s="209" t="s">
        <v>19</v>
      </c>
      <c r="AK254" s="209" t="s">
        <v>19</v>
      </c>
      <c r="AL254" s="234" t="s">
        <v>19</v>
      </c>
      <c r="AM254" s="209" t="s">
        <v>19</v>
      </c>
      <c r="AN254" s="209" t="s">
        <v>19</v>
      </c>
      <c r="AO254" s="234" t="s">
        <v>19</v>
      </c>
      <c r="AP254" s="235" t="s">
        <v>19</v>
      </c>
      <c r="AQ254" s="209" t="s">
        <v>25</v>
      </c>
      <c r="AR254" s="209" t="s">
        <v>19</v>
      </c>
      <c r="AS254" s="234" t="s">
        <v>306</v>
      </c>
      <c r="AT254" s="209" t="s">
        <v>25</v>
      </c>
      <c r="AU254" s="209" t="s">
        <v>25</v>
      </c>
      <c r="AV254" s="234" t="s">
        <v>25</v>
      </c>
      <c r="AW254" s="209" t="s">
        <v>19</v>
      </c>
      <c r="AX254" s="209" t="s">
        <v>25</v>
      </c>
      <c r="AY254" s="234" t="s">
        <v>306</v>
      </c>
      <c r="AZ254" s="209" t="s">
        <v>19</v>
      </c>
      <c r="BA254" s="209" t="s">
        <v>25</v>
      </c>
      <c r="BB254" s="234" t="s">
        <v>19</v>
      </c>
      <c r="BC254" s="235" t="s">
        <v>306</v>
      </c>
      <c r="BD254" s="188"/>
    </row>
    <row r="255" spans="1:56" ht="12.75" customHeight="1" x14ac:dyDescent="0.25">
      <c r="A255" s="238">
        <v>45260.378613391207</v>
      </c>
      <c r="B255" s="233" t="s">
        <v>395</v>
      </c>
      <c r="C255" s="209" t="s">
        <v>587</v>
      </c>
      <c r="D255" s="232" t="s">
        <v>17</v>
      </c>
      <c r="E255" s="232" t="s">
        <v>515</v>
      </c>
      <c r="F255" s="209" t="s">
        <v>853</v>
      </c>
      <c r="G255" s="232" t="s">
        <v>18</v>
      </c>
      <c r="H255" s="232">
        <v>11</v>
      </c>
      <c r="I255" s="209" t="s">
        <v>531</v>
      </c>
      <c r="J255" s="188"/>
      <c r="K255" s="209" t="s">
        <v>539</v>
      </c>
      <c r="L255" s="209" t="s">
        <v>531</v>
      </c>
      <c r="M255" s="188"/>
      <c r="N255" s="188"/>
      <c r="O255" s="188"/>
      <c r="P255" s="188"/>
      <c r="Q255" s="209" t="s">
        <v>306</v>
      </c>
      <c r="R255" s="209" t="s">
        <v>19</v>
      </c>
      <c r="S255" s="234" t="s">
        <v>306</v>
      </c>
      <c r="T255" s="209" t="s">
        <v>19</v>
      </c>
      <c r="U255" s="209" t="s">
        <v>25</v>
      </c>
      <c r="V255" s="234" t="s">
        <v>306</v>
      </c>
      <c r="W255" s="209" t="s">
        <v>19</v>
      </c>
      <c r="X255" s="209" t="s">
        <v>306</v>
      </c>
      <c r="Y255" s="234" t="s">
        <v>306</v>
      </c>
      <c r="Z255" s="209" t="s">
        <v>25</v>
      </c>
      <c r="AA255" s="209" t="s">
        <v>19</v>
      </c>
      <c r="AB255" s="234" t="s">
        <v>306</v>
      </c>
      <c r="AC255" s="235" t="s">
        <v>306</v>
      </c>
      <c r="AD255" s="209" t="s">
        <v>25</v>
      </c>
      <c r="AE255" s="209" t="s">
        <v>25</v>
      </c>
      <c r="AF255" s="234" t="s">
        <v>25</v>
      </c>
      <c r="AG255" s="209" t="s">
        <v>19</v>
      </c>
      <c r="AH255" s="209" t="s">
        <v>19</v>
      </c>
      <c r="AI255" s="234" t="s">
        <v>19</v>
      </c>
      <c r="AJ255" s="209" t="s">
        <v>19</v>
      </c>
      <c r="AK255" s="209" t="s">
        <v>19</v>
      </c>
      <c r="AL255" s="234" t="s">
        <v>19</v>
      </c>
      <c r="AM255" s="209" t="s">
        <v>19</v>
      </c>
      <c r="AN255" s="209" t="s">
        <v>19</v>
      </c>
      <c r="AO255" s="234" t="s">
        <v>19</v>
      </c>
      <c r="AP255" s="235" t="s">
        <v>306</v>
      </c>
      <c r="AQ255" s="209" t="s">
        <v>25</v>
      </c>
      <c r="AR255" s="209" t="s">
        <v>19</v>
      </c>
      <c r="AS255" s="234" t="s">
        <v>306</v>
      </c>
      <c r="AT255" s="209" t="s">
        <v>25</v>
      </c>
      <c r="AU255" s="209" t="s">
        <v>25</v>
      </c>
      <c r="AV255" s="234" t="s">
        <v>25</v>
      </c>
      <c r="AW255" s="209" t="s">
        <v>25</v>
      </c>
      <c r="AX255" s="209" t="s">
        <v>25</v>
      </c>
      <c r="AY255" s="234" t="s">
        <v>25</v>
      </c>
      <c r="AZ255" s="209" t="s">
        <v>19</v>
      </c>
      <c r="BA255" s="209" t="s">
        <v>19</v>
      </c>
      <c r="BB255" s="234" t="s">
        <v>306</v>
      </c>
      <c r="BC255" s="235" t="s">
        <v>25</v>
      </c>
      <c r="BD255" s="188"/>
    </row>
    <row r="256" spans="1:56" ht="12.75" customHeight="1" x14ac:dyDescent="0.25">
      <c r="A256" s="238">
        <v>45260.383247349542</v>
      </c>
      <c r="B256" s="233" t="s">
        <v>395</v>
      </c>
      <c r="C256" s="209" t="s">
        <v>587</v>
      </c>
      <c r="D256" s="232" t="s">
        <v>17</v>
      </c>
      <c r="E256" s="232" t="s">
        <v>515</v>
      </c>
      <c r="F256" s="209" t="s">
        <v>854</v>
      </c>
      <c r="G256" s="232" t="s">
        <v>18</v>
      </c>
      <c r="H256" s="232">
        <v>12</v>
      </c>
      <c r="I256" s="209" t="s">
        <v>531</v>
      </c>
      <c r="J256" s="188"/>
      <c r="K256" s="209" t="s">
        <v>539</v>
      </c>
      <c r="L256" s="209" t="s">
        <v>531</v>
      </c>
      <c r="M256" s="188"/>
      <c r="N256" s="188"/>
      <c r="O256" s="188"/>
      <c r="P256" s="188"/>
      <c r="Q256" s="209" t="s">
        <v>306</v>
      </c>
      <c r="R256" s="209" t="s">
        <v>25</v>
      </c>
      <c r="S256" s="234" t="s">
        <v>25</v>
      </c>
      <c r="T256" s="209" t="s">
        <v>25</v>
      </c>
      <c r="U256" s="209" t="s">
        <v>25</v>
      </c>
      <c r="V256" s="234" t="s">
        <v>25</v>
      </c>
      <c r="W256" s="209" t="s">
        <v>306</v>
      </c>
      <c r="X256" s="209" t="s">
        <v>306</v>
      </c>
      <c r="Y256" s="234" t="s">
        <v>306</v>
      </c>
      <c r="Z256" s="209" t="s">
        <v>25</v>
      </c>
      <c r="AA256" s="209" t="s">
        <v>19</v>
      </c>
      <c r="AB256" s="234" t="s">
        <v>306</v>
      </c>
      <c r="AC256" s="235" t="s">
        <v>306</v>
      </c>
      <c r="AD256" s="209" t="s">
        <v>25</v>
      </c>
      <c r="AE256" s="209" t="s">
        <v>25</v>
      </c>
      <c r="AF256" s="234" t="s">
        <v>25</v>
      </c>
      <c r="AG256" s="209" t="s">
        <v>19</v>
      </c>
      <c r="AH256" s="209" t="s">
        <v>19</v>
      </c>
      <c r="AI256" s="234" t="s">
        <v>19</v>
      </c>
      <c r="AJ256" s="209" t="s">
        <v>19</v>
      </c>
      <c r="AK256" s="209" t="s">
        <v>19</v>
      </c>
      <c r="AL256" s="234" t="s">
        <v>19</v>
      </c>
      <c r="AM256" s="209" t="s">
        <v>19</v>
      </c>
      <c r="AN256" s="209" t="s">
        <v>19</v>
      </c>
      <c r="AO256" s="234" t="s">
        <v>19</v>
      </c>
      <c r="AP256" s="235" t="s">
        <v>306</v>
      </c>
      <c r="AQ256" s="209" t="s">
        <v>25</v>
      </c>
      <c r="AR256" s="209" t="s">
        <v>306</v>
      </c>
      <c r="AS256" s="234" t="s">
        <v>25</v>
      </c>
      <c r="AT256" s="209" t="s">
        <v>25</v>
      </c>
      <c r="AU256" s="209" t="s">
        <v>25</v>
      </c>
      <c r="AV256" s="234" t="s">
        <v>25</v>
      </c>
      <c r="AW256" s="209" t="s">
        <v>19</v>
      </c>
      <c r="AX256" s="209" t="s">
        <v>25</v>
      </c>
      <c r="AY256" s="234" t="s">
        <v>306</v>
      </c>
      <c r="AZ256" s="209" t="s">
        <v>25</v>
      </c>
      <c r="BA256" s="209" t="s">
        <v>25</v>
      </c>
      <c r="BB256" s="234" t="s">
        <v>19</v>
      </c>
      <c r="BC256" s="235" t="s">
        <v>306</v>
      </c>
      <c r="BD256" s="188"/>
    </row>
    <row r="257" spans="1:56" ht="12.75" customHeight="1" x14ac:dyDescent="0.25">
      <c r="A257" s="238">
        <v>45260.386751354163</v>
      </c>
      <c r="B257" s="233" t="s">
        <v>395</v>
      </c>
      <c r="C257" s="209" t="s">
        <v>587</v>
      </c>
      <c r="D257" s="232" t="s">
        <v>17</v>
      </c>
      <c r="E257" s="232" t="s">
        <v>515</v>
      </c>
      <c r="F257" s="209" t="s">
        <v>855</v>
      </c>
      <c r="G257" s="232" t="s">
        <v>18</v>
      </c>
      <c r="H257" s="232">
        <v>11</v>
      </c>
      <c r="I257" s="209" t="s">
        <v>531</v>
      </c>
      <c r="J257" s="188"/>
      <c r="K257" s="209" t="s">
        <v>539</v>
      </c>
      <c r="L257" s="209" t="s">
        <v>531</v>
      </c>
      <c r="M257" s="188"/>
      <c r="N257" s="188"/>
      <c r="O257" s="188"/>
      <c r="P257" s="188"/>
      <c r="Q257" s="209" t="s">
        <v>306</v>
      </c>
      <c r="R257" s="209" t="s">
        <v>19</v>
      </c>
      <c r="S257" s="234" t="s">
        <v>306</v>
      </c>
      <c r="T257" s="209" t="s">
        <v>19</v>
      </c>
      <c r="U257" s="209" t="s">
        <v>25</v>
      </c>
      <c r="V257" s="234" t="s">
        <v>306</v>
      </c>
      <c r="W257" s="209" t="s">
        <v>19</v>
      </c>
      <c r="X257" s="209" t="s">
        <v>25</v>
      </c>
      <c r="Y257" s="234" t="s">
        <v>306</v>
      </c>
      <c r="Z257" s="209" t="s">
        <v>19</v>
      </c>
      <c r="AA257" s="209" t="s">
        <v>19</v>
      </c>
      <c r="AB257" s="234" t="s">
        <v>19</v>
      </c>
      <c r="AC257" s="235" t="s">
        <v>306</v>
      </c>
      <c r="AD257" s="209" t="s">
        <v>25</v>
      </c>
      <c r="AE257" s="209" t="s">
        <v>25</v>
      </c>
      <c r="AF257" s="234" t="s">
        <v>25</v>
      </c>
      <c r="AG257" s="209" t="s">
        <v>19</v>
      </c>
      <c r="AH257" s="209" t="s">
        <v>19</v>
      </c>
      <c r="AI257" s="234" t="s">
        <v>19</v>
      </c>
      <c r="AJ257" s="209" t="s">
        <v>19</v>
      </c>
      <c r="AK257" s="209" t="s">
        <v>19</v>
      </c>
      <c r="AL257" s="234" t="s">
        <v>19</v>
      </c>
      <c r="AM257" s="209" t="s">
        <v>19</v>
      </c>
      <c r="AN257" s="209" t="s">
        <v>19</v>
      </c>
      <c r="AO257" s="234" t="s">
        <v>19</v>
      </c>
      <c r="AP257" s="235" t="s">
        <v>306</v>
      </c>
      <c r="AQ257" s="209" t="s">
        <v>25</v>
      </c>
      <c r="AR257" s="209" t="s">
        <v>19</v>
      </c>
      <c r="AS257" s="234" t="s">
        <v>306</v>
      </c>
      <c r="AT257" s="209" t="s">
        <v>25</v>
      </c>
      <c r="AU257" s="209" t="s">
        <v>25</v>
      </c>
      <c r="AV257" s="234" t="s">
        <v>25</v>
      </c>
      <c r="AW257" s="209" t="s">
        <v>25</v>
      </c>
      <c r="AX257" s="209" t="s">
        <v>25</v>
      </c>
      <c r="AY257" s="234" t="s">
        <v>25</v>
      </c>
      <c r="AZ257" s="209" t="s">
        <v>19</v>
      </c>
      <c r="BA257" s="209" t="s">
        <v>25</v>
      </c>
      <c r="BB257" s="234" t="s">
        <v>306</v>
      </c>
      <c r="BC257" s="235" t="s">
        <v>25</v>
      </c>
      <c r="BD257" s="188"/>
    </row>
    <row r="258" spans="1:56" ht="12.75" customHeight="1" x14ac:dyDescent="0.25">
      <c r="A258" s="238">
        <v>45260.400464513892</v>
      </c>
      <c r="B258" s="233" t="s">
        <v>395</v>
      </c>
      <c r="C258" s="209" t="s">
        <v>587</v>
      </c>
      <c r="D258" s="232" t="s">
        <v>17</v>
      </c>
      <c r="E258" s="232" t="s">
        <v>515</v>
      </c>
      <c r="F258" s="209" t="s">
        <v>856</v>
      </c>
      <c r="G258" s="232" t="s">
        <v>18</v>
      </c>
      <c r="H258" s="232">
        <v>12</v>
      </c>
      <c r="I258" s="209" t="s">
        <v>531</v>
      </c>
      <c r="J258" s="188"/>
      <c r="K258" s="209" t="s">
        <v>539</v>
      </c>
      <c r="L258" s="209" t="s">
        <v>531</v>
      </c>
      <c r="M258" s="188"/>
      <c r="N258" s="188"/>
      <c r="O258" s="188"/>
      <c r="P258" s="188"/>
      <c r="Q258" s="209" t="s">
        <v>306</v>
      </c>
      <c r="R258" s="209" t="s">
        <v>19</v>
      </c>
      <c r="S258" s="234" t="s">
        <v>306</v>
      </c>
      <c r="T258" s="209" t="s">
        <v>19</v>
      </c>
      <c r="U258" s="209" t="s">
        <v>25</v>
      </c>
      <c r="V258" s="234" t="s">
        <v>306</v>
      </c>
      <c r="W258" s="209" t="s">
        <v>19</v>
      </c>
      <c r="X258" s="209" t="s">
        <v>25</v>
      </c>
      <c r="Y258" s="234" t="s">
        <v>306</v>
      </c>
      <c r="Z258" s="209" t="s">
        <v>19</v>
      </c>
      <c r="AA258" s="209" t="s">
        <v>19</v>
      </c>
      <c r="AB258" s="234" t="s">
        <v>19</v>
      </c>
      <c r="AC258" s="235" t="s">
        <v>306</v>
      </c>
      <c r="AD258" s="209" t="s">
        <v>25</v>
      </c>
      <c r="AE258" s="209" t="s">
        <v>25</v>
      </c>
      <c r="AF258" s="234" t="s">
        <v>25</v>
      </c>
      <c r="AG258" s="209" t="s">
        <v>19</v>
      </c>
      <c r="AH258" s="209" t="s">
        <v>19</v>
      </c>
      <c r="AI258" s="234" t="s">
        <v>19</v>
      </c>
      <c r="AJ258" s="209" t="s">
        <v>19</v>
      </c>
      <c r="AK258" s="209" t="s">
        <v>19</v>
      </c>
      <c r="AL258" s="234" t="s">
        <v>19</v>
      </c>
      <c r="AM258" s="209" t="s">
        <v>19</v>
      </c>
      <c r="AN258" s="209" t="s">
        <v>19</v>
      </c>
      <c r="AO258" s="234" t="s">
        <v>19</v>
      </c>
      <c r="AP258" s="235" t="s">
        <v>306</v>
      </c>
      <c r="AQ258" s="209" t="s">
        <v>25</v>
      </c>
      <c r="AR258" s="209" t="s">
        <v>19</v>
      </c>
      <c r="AS258" s="234" t="s">
        <v>306</v>
      </c>
      <c r="AT258" s="209" t="s">
        <v>25</v>
      </c>
      <c r="AU258" s="209" t="s">
        <v>25</v>
      </c>
      <c r="AV258" s="234" t="s">
        <v>25</v>
      </c>
      <c r="AW258" s="209" t="s">
        <v>25</v>
      </c>
      <c r="AX258" s="209" t="s">
        <v>25</v>
      </c>
      <c r="AY258" s="234" t="s">
        <v>25</v>
      </c>
      <c r="AZ258" s="209" t="s">
        <v>25</v>
      </c>
      <c r="BA258" s="209" t="s">
        <v>25</v>
      </c>
      <c r="BB258" s="234" t="s">
        <v>306</v>
      </c>
      <c r="BC258" s="235" t="s">
        <v>306</v>
      </c>
      <c r="BD258" s="188"/>
    </row>
    <row r="259" spans="1:56" ht="12.75" customHeight="1" x14ac:dyDescent="0.25">
      <c r="A259" s="238">
        <v>45260.412146967588</v>
      </c>
      <c r="B259" s="233" t="s">
        <v>395</v>
      </c>
      <c r="C259" s="209" t="s">
        <v>587</v>
      </c>
      <c r="D259" s="232" t="s">
        <v>17</v>
      </c>
      <c r="E259" s="232" t="s">
        <v>515</v>
      </c>
      <c r="F259" s="209" t="s">
        <v>857</v>
      </c>
      <c r="G259" s="232" t="s">
        <v>18</v>
      </c>
      <c r="H259" s="232">
        <v>12</v>
      </c>
      <c r="I259" s="209" t="s">
        <v>531</v>
      </c>
      <c r="J259" s="188"/>
      <c r="K259" s="209" t="s">
        <v>539</v>
      </c>
      <c r="L259" s="209" t="s">
        <v>531</v>
      </c>
      <c r="M259" s="188"/>
      <c r="N259" s="188"/>
      <c r="O259" s="188"/>
      <c r="P259" s="188"/>
      <c r="Q259" s="209" t="s">
        <v>19</v>
      </c>
      <c r="R259" s="209" t="s">
        <v>19</v>
      </c>
      <c r="S259" s="234" t="s">
        <v>19</v>
      </c>
      <c r="T259" s="209" t="s">
        <v>19</v>
      </c>
      <c r="U259" s="209" t="s">
        <v>25</v>
      </c>
      <c r="V259" s="234" t="s">
        <v>306</v>
      </c>
      <c r="W259" s="209" t="s">
        <v>19</v>
      </c>
      <c r="X259" s="209" t="s">
        <v>19</v>
      </c>
      <c r="Y259" s="234" t="s">
        <v>19</v>
      </c>
      <c r="Z259" s="209" t="s">
        <v>19</v>
      </c>
      <c r="AA259" s="209" t="s">
        <v>19</v>
      </c>
      <c r="AB259" s="234" t="s">
        <v>19</v>
      </c>
      <c r="AC259" s="235" t="s">
        <v>19</v>
      </c>
      <c r="AD259" s="209" t="s">
        <v>25</v>
      </c>
      <c r="AE259" s="209" t="s">
        <v>25</v>
      </c>
      <c r="AF259" s="234" t="s">
        <v>25</v>
      </c>
      <c r="AG259" s="209" t="s">
        <v>19</v>
      </c>
      <c r="AH259" s="209" t="s">
        <v>19</v>
      </c>
      <c r="AI259" s="234" t="s">
        <v>19</v>
      </c>
      <c r="AJ259" s="209" t="s">
        <v>19</v>
      </c>
      <c r="AK259" s="209" t="s">
        <v>19</v>
      </c>
      <c r="AL259" s="234" t="s">
        <v>19</v>
      </c>
      <c r="AM259" s="209" t="s">
        <v>19</v>
      </c>
      <c r="AN259" s="209" t="s">
        <v>19</v>
      </c>
      <c r="AO259" s="234" t="s">
        <v>19</v>
      </c>
      <c r="AP259" s="235" t="s">
        <v>306</v>
      </c>
      <c r="AQ259" s="209" t="s">
        <v>25</v>
      </c>
      <c r="AR259" s="209" t="s">
        <v>19</v>
      </c>
      <c r="AS259" s="234" t="s">
        <v>306</v>
      </c>
      <c r="AT259" s="209" t="s">
        <v>25</v>
      </c>
      <c r="AU259" s="209" t="s">
        <v>25</v>
      </c>
      <c r="AV259" s="234" t="s">
        <v>25</v>
      </c>
      <c r="AW259" s="209" t="s">
        <v>19</v>
      </c>
      <c r="AX259" s="209" t="s">
        <v>25</v>
      </c>
      <c r="AY259" s="234" t="s">
        <v>306</v>
      </c>
      <c r="AZ259" s="209" t="s">
        <v>19</v>
      </c>
      <c r="BA259" s="209" t="s">
        <v>25</v>
      </c>
      <c r="BB259" s="234" t="s">
        <v>306</v>
      </c>
      <c r="BC259" s="235" t="s">
        <v>306</v>
      </c>
      <c r="BD259" s="188"/>
    </row>
    <row r="260" spans="1:56" ht="12.75" customHeight="1" x14ac:dyDescent="0.25">
      <c r="A260" s="238">
        <v>45260.416730671292</v>
      </c>
      <c r="B260" s="233" t="s">
        <v>395</v>
      </c>
      <c r="C260" s="209" t="s">
        <v>587</v>
      </c>
      <c r="D260" s="232" t="s">
        <v>17</v>
      </c>
      <c r="E260" s="232" t="s">
        <v>515</v>
      </c>
      <c r="F260" s="209" t="s">
        <v>858</v>
      </c>
      <c r="G260" s="232" t="s">
        <v>24</v>
      </c>
      <c r="H260" s="232">
        <v>12</v>
      </c>
      <c r="I260" s="209" t="s">
        <v>531</v>
      </c>
      <c r="J260" s="188"/>
      <c r="K260" s="209" t="s">
        <v>539</v>
      </c>
      <c r="L260" s="209" t="s">
        <v>531</v>
      </c>
      <c r="M260" s="188"/>
      <c r="N260" s="188"/>
      <c r="O260" s="188"/>
      <c r="P260" s="188"/>
      <c r="Q260" s="209" t="s">
        <v>19</v>
      </c>
      <c r="R260" s="209" t="s">
        <v>19</v>
      </c>
      <c r="S260" s="234" t="s">
        <v>19</v>
      </c>
      <c r="T260" s="209" t="s">
        <v>19</v>
      </c>
      <c r="U260" s="209" t="s">
        <v>25</v>
      </c>
      <c r="V260" s="234" t="s">
        <v>306</v>
      </c>
      <c r="W260" s="209" t="s">
        <v>19</v>
      </c>
      <c r="X260" s="209" t="s">
        <v>19</v>
      </c>
      <c r="Y260" s="234" t="s">
        <v>19</v>
      </c>
      <c r="Z260" s="209" t="s">
        <v>19</v>
      </c>
      <c r="AA260" s="209" t="s">
        <v>19</v>
      </c>
      <c r="AB260" s="234" t="s">
        <v>19</v>
      </c>
      <c r="AC260" s="235" t="s">
        <v>19</v>
      </c>
      <c r="AD260" s="209" t="s">
        <v>25</v>
      </c>
      <c r="AE260" s="209" t="s">
        <v>25</v>
      </c>
      <c r="AF260" s="234" t="s">
        <v>25</v>
      </c>
      <c r="AG260" s="209" t="s">
        <v>19</v>
      </c>
      <c r="AH260" s="209" t="s">
        <v>19</v>
      </c>
      <c r="AI260" s="234" t="s">
        <v>19</v>
      </c>
      <c r="AJ260" s="209" t="s">
        <v>19</v>
      </c>
      <c r="AK260" s="209" t="s">
        <v>19</v>
      </c>
      <c r="AL260" s="234" t="s">
        <v>19</v>
      </c>
      <c r="AM260" s="209" t="s">
        <v>19</v>
      </c>
      <c r="AN260" s="209" t="s">
        <v>19</v>
      </c>
      <c r="AO260" s="234" t="s">
        <v>19</v>
      </c>
      <c r="AP260" s="235" t="s">
        <v>306</v>
      </c>
      <c r="AQ260" s="209" t="s">
        <v>25</v>
      </c>
      <c r="AR260" s="209" t="s">
        <v>19</v>
      </c>
      <c r="AS260" s="234" t="s">
        <v>306</v>
      </c>
      <c r="AT260" s="209" t="s">
        <v>25</v>
      </c>
      <c r="AU260" s="209" t="s">
        <v>25</v>
      </c>
      <c r="AV260" s="234" t="s">
        <v>25</v>
      </c>
      <c r="AW260" s="209" t="s">
        <v>19</v>
      </c>
      <c r="AX260" s="209" t="s">
        <v>25</v>
      </c>
      <c r="AY260" s="234" t="s">
        <v>306</v>
      </c>
      <c r="AZ260" s="209" t="s">
        <v>19</v>
      </c>
      <c r="BA260" s="209" t="s">
        <v>25</v>
      </c>
      <c r="BB260" s="234" t="s">
        <v>19</v>
      </c>
      <c r="BC260" s="235" t="s">
        <v>19</v>
      </c>
      <c r="BD260" s="188"/>
    </row>
    <row r="261" spans="1:56" ht="12.75" customHeight="1" x14ac:dyDescent="0.25">
      <c r="A261" s="238">
        <v>45260.464231226855</v>
      </c>
      <c r="B261" s="233" t="s">
        <v>395</v>
      </c>
      <c r="C261" s="209" t="s">
        <v>587</v>
      </c>
      <c r="D261" s="232" t="s">
        <v>17</v>
      </c>
      <c r="E261" s="232" t="s">
        <v>515</v>
      </c>
      <c r="F261" s="209" t="s">
        <v>859</v>
      </c>
      <c r="G261" s="232" t="s">
        <v>24</v>
      </c>
      <c r="H261" s="232">
        <v>12</v>
      </c>
      <c r="I261" s="209" t="s">
        <v>531</v>
      </c>
      <c r="J261" s="188"/>
      <c r="K261" s="209" t="s">
        <v>539</v>
      </c>
      <c r="L261" s="209" t="s">
        <v>531</v>
      </c>
      <c r="M261" s="188"/>
      <c r="N261" s="188"/>
      <c r="O261" s="188"/>
      <c r="P261" s="188"/>
      <c r="Q261" s="209" t="s">
        <v>306</v>
      </c>
      <c r="R261" s="209" t="s">
        <v>306</v>
      </c>
      <c r="S261" s="234" t="s">
        <v>306</v>
      </c>
      <c r="T261" s="209" t="s">
        <v>25</v>
      </c>
      <c r="U261" s="209" t="s">
        <v>25</v>
      </c>
      <c r="V261" s="234" t="s">
        <v>25</v>
      </c>
      <c r="W261" s="209" t="s">
        <v>19</v>
      </c>
      <c r="X261" s="209" t="s">
        <v>19</v>
      </c>
      <c r="Y261" s="234" t="s">
        <v>19</v>
      </c>
      <c r="Z261" s="209" t="s">
        <v>25</v>
      </c>
      <c r="AA261" s="209" t="s">
        <v>19</v>
      </c>
      <c r="AB261" s="234" t="s">
        <v>306</v>
      </c>
      <c r="AC261" s="235" t="s">
        <v>306</v>
      </c>
      <c r="AD261" s="209" t="s">
        <v>25</v>
      </c>
      <c r="AE261" s="209" t="s">
        <v>25</v>
      </c>
      <c r="AF261" s="234" t="s">
        <v>25</v>
      </c>
      <c r="AG261" s="209" t="s">
        <v>19</v>
      </c>
      <c r="AH261" s="209" t="s">
        <v>19</v>
      </c>
      <c r="AI261" s="234" t="s">
        <v>19</v>
      </c>
      <c r="AJ261" s="209" t="s">
        <v>19</v>
      </c>
      <c r="AK261" s="209" t="s">
        <v>19</v>
      </c>
      <c r="AL261" s="234" t="s">
        <v>19</v>
      </c>
      <c r="AM261" s="209" t="s">
        <v>19</v>
      </c>
      <c r="AN261" s="209" t="s">
        <v>19</v>
      </c>
      <c r="AO261" s="234" t="s">
        <v>19</v>
      </c>
      <c r="AP261" s="235" t="s">
        <v>306</v>
      </c>
      <c r="AQ261" s="209" t="s">
        <v>25</v>
      </c>
      <c r="AR261" s="209" t="s">
        <v>19</v>
      </c>
      <c r="AS261" s="234" t="s">
        <v>306</v>
      </c>
      <c r="AT261" s="209" t="s">
        <v>25</v>
      </c>
      <c r="AU261" s="209" t="s">
        <v>25</v>
      </c>
      <c r="AV261" s="234" t="s">
        <v>25</v>
      </c>
      <c r="AW261" s="209" t="s">
        <v>19</v>
      </c>
      <c r="AX261" s="209" t="s">
        <v>25</v>
      </c>
      <c r="AY261" s="234" t="s">
        <v>306</v>
      </c>
      <c r="AZ261" s="209" t="s">
        <v>19</v>
      </c>
      <c r="BA261" s="209" t="s">
        <v>25</v>
      </c>
      <c r="BB261" s="234" t="s">
        <v>306</v>
      </c>
      <c r="BC261" s="235" t="s">
        <v>306</v>
      </c>
      <c r="BD261" s="188"/>
    </row>
    <row r="262" spans="1:56" ht="12.75" customHeight="1" x14ac:dyDescent="0.25">
      <c r="A262" s="238">
        <v>45260.47356982639</v>
      </c>
      <c r="B262" s="233" t="s">
        <v>395</v>
      </c>
      <c r="C262" s="209" t="s">
        <v>587</v>
      </c>
      <c r="D262" s="232" t="s">
        <v>17</v>
      </c>
      <c r="E262" s="232" t="s">
        <v>515</v>
      </c>
      <c r="F262" s="209" t="s">
        <v>860</v>
      </c>
      <c r="G262" s="232" t="s">
        <v>24</v>
      </c>
      <c r="H262" s="232">
        <v>11</v>
      </c>
      <c r="I262" s="209" t="s">
        <v>531</v>
      </c>
      <c r="J262" s="188"/>
      <c r="K262" s="209" t="s">
        <v>539</v>
      </c>
      <c r="L262" s="209" t="s">
        <v>531</v>
      </c>
      <c r="M262" s="188"/>
      <c r="N262" s="188"/>
      <c r="O262" s="188"/>
      <c r="P262" s="188"/>
      <c r="Q262" s="209" t="s">
        <v>19</v>
      </c>
      <c r="R262" s="209" t="s">
        <v>19</v>
      </c>
      <c r="S262" s="234" t="s">
        <v>19</v>
      </c>
      <c r="T262" s="209" t="s">
        <v>19</v>
      </c>
      <c r="U262" s="209" t="s">
        <v>25</v>
      </c>
      <c r="V262" s="234" t="s">
        <v>306</v>
      </c>
      <c r="W262" s="209" t="s">
        <v>19</v>
      </c>
      <c r="X262" s="209" t="s">
        <v>19</v>
      </c>
      <c r="Y262" s="234" t="s">
        <v>19</v>
      </c>
      <c r="Z262" s="209" t="s">
        <v>19</v>
      </c>
      <c r="AA262" s="209" t="s">
        <v>19</v>
      </c>
      <c r="AB262" s="234" t="s">
        <v>19</v>
      </c>
      <c r="AC262" s="235" t="s">
        <v>19</v>
      </c>
      <c r="AD262" s="209" t="s">
        <v>306</v>
      </c>
      <c r="AE262" s="209" t="s">
        <v>25</v>
      </c>
      <c r="AF262" s="234" t="s">
        <v>25</v>
      </c>
      <c r="AG262" s="209" t="s">
        <v>19</v>
      </c>
      <c r="AH262" s="209" t="s">
        <v>19</v>
      </c>
      <c r="AI262" s="234" t="s">
        <v>19</v>
      </c>
      <c r="AJ262" s="209" t="s">
        <v>19</v>
      </c>
      <c r="AK262" s="209" t="s">
        <v>19</v>
      </c>
      <c r="AL262" s="234" t="s">
        <v>19</v>
      </c>
      <c r="AM262" s="209" t="s">
        <v>19</v>
      </c>
      <c r="AN262" s="209" t="s">
        <v>19</v>
      </c>
      <c r="AO262" s="234" t="s">
        <v>19</v>
      </c>
      <c r="AP262" s="235" t="s">
        <v>19</v>
      </c>
      <c r="AQ262" s="209" t="s">
        <v>25</v>
      </c>
      <c r="AR262" s="209" t="s">
        <v>19</v>
      </c>
      <c r="AS262" s="234" t="s">
        <v>306</v>
      </c>
      <c r="AT262" s="209" t="s">
        <v>25</v>
      </c>
      <c r="AU262" s="209" t="s">
        <v>25</v>
      </c>
      <c r="AV262" s="234" t="s">
        <v>25</v>
      </c>
      <c r="AW262" s="209" t="s">
        <v>19</v>
      </c>
      <c r="AX262" s="209" t="s">
        <v>25</v>
      </c>
      <c r="AY262" s="234" t="s">
        <v>306</v>
      </c>
      <c r="AZ262" s="209" t="s">
        <v>19</v>
      </c>
      <c r="BA262" s="209" t="s">
        <v>25</v>
      </c>
      <c r="BB262" s="234" t="s">
        <v>19</v>
      </c>
      <c r="BC262" s="235" t="s">
        <v>19</v>
      </c>
      <c r="BD262" s="188"/>
    </row>
    <row r="263" spans="1:56" ht="12.75" customHeight="1" x14ac:dyDescent="0.25">
      <c r="A263" s="238">
        <v>45260.498987569445</v>
      </c>
      <c r="B263" s="233" t="s">
        <v>395</v>
      </c>
      <c r="C263" s="209" t="s">
        <v>587</v>
      </c>
      <c r="D263" s="232" t="s">
        <v>17</v>
      </c>
      <c r="E263" s="232" t="s">
        <v>515</v>
      </c>
      <c r="F263" s="209" t="s">
        <v>861</v>
      </c>
      <c r="G263" s="232" t="s">
        <v>18</v>
      </c>
      <c r="H263" s="232">
        <v>13</v>
      </c>
      <c r="I263" s="209" t="s">
        <v>531</v>
      </c>
      <c r="J263" s="188"/>
      <c r="K263" s="209" t="s">
        <v>539</v>
      </c>
      <c r="L263" s="209" t="s">
        <v>531</v>
      </c>
      <c r="M263" s="188"/>
      <c r="N263" s="188"/>
      <c r="O263" s="188"/>
      <c r="P263" s="188"/>
      <c r="Q263" s="209" t="s">
        <v>19</v>
      </c>
      <c r="R263" s="209" t="s">
        <v>19</v>
      </c>
      <c r="S263" s="234" t="s">
        <v>19</v>
      </c>
      <c r="T263" s="209" t="s">
        <v>306</v>
      </c>
      <c r="U263" s="209" t="s">
        <v>25</v>
      </c>
      <c r="V263" s="234" t="s">
        <v>25</v>
      </c>
      <c r="W263" s="209" t="s">
        <v>19</v>
      </c>
      <c r="X263" s="209" t="s">
        <v>19</v>
      </c>
      <c r="Y263" s="234" t="s">
        <v>19</v>
      </c>
      <c r="Z263" s="209" t="s">
        <v>19</v>
      </c>
      <c r="AA263" s="209" t="s">
        <v>19</v>
      </c>
      <c r="AB263" s="234" t="s">
        <v>19</v>
      </c>
      <c r="AC263" s="235" t="s">
        <v>19</v>
      </c>
      <c r="AD263" s="209" t="s">
        <v>306</v>
      </c>
      <c r="AE263" s="209" t="s">
        <v>25</v>
      </c>
      <c r="AF263" s="234" t="s">
        <v>25</v>
      </c>
      <c r="AG263" s="209" t="s">
        <v>19</v>
      </c>
      <c r="AH263" s="209" t="s">
        <v>19</v>
      </c>
      <c r="AI263" s="234" t="s">
        <v>19</v>
      </c>
      <c r="AJ263" s="209" t="s">
        <v>19</v>
      </c>
      <c r="AK263" s="209" t="s">
        <v>19</v>
      </c>
      <c r="AL263" s="234" t="s">
        <v>19</v>
      </c>
      <c r="AM263" s="209" t="s">
        <v>19</v>
      </c>
      <c r="AN263" s="209" t="s">
        <v>19</v>
      </c>
      <c r="AO263" s="234" t="s">
        <v>19</v>
      </c>
      <c r="AP263" s="235" t="s">
        <v>19</v>
      </c>
      <c r="AQ263" s="209" t="s">
        <v>25</v>
      </c>
      <c r="AR263" s="209" t="s">
        <v>19</v>
      </c>
      <c r="AS263" s="234" t="s">
        <v>306</v>
      </c>
      <c r="AT263" s="209" t="s">
        <v>25</v>
      </c>
      <c r="AU263" s="209" t="s">
        <v>25</v>
      </c>
      <c r="AV263" s="234" t="s">
        <v>25</v>
      </c>
      <c r="AW263" s="209" t="s">
        <v>19</v>
      </c>
      <c r="AX263" s="209" t="s">
        <v>19</v>
      </c>
      <c r="AY263" s="234" t="s">
        <v>19</v>
      </c>
      <c r="AZ263" s="209" t="s">
        <v>25</v>
      </c>
      <c r="BA263" s="209" t="s">
        <v>25</v>
      </c>
      <c r="BB263" s="234" t="s">
        <v>306</v>
      </c>
      <c r="BC263" s="235" t="s">
        <v>306</v>
      </c>
      <c r="BD263" s="188"/>
    </row>
    <row r="264" spans="1:56" ht="12.75" customHeight="1" x14ac:dyDescent="0.25">
      <c r="A264" s="238">
        <v>45260.502945983797</v>
      </c>
      <c r="B264" s="233" t="s">
        <v>395</v>
      </c>
      <c r="C264" s="209" t="s">
        <v>587</v>
      </c>
      <c r="D264" s="232" t="s">
        <v>17</v>
      </c>
      <c r="E264" s="232" t="s">
        <v>515</v>
      </c>
      <c r="F264" s="209" t="s">
        <v>862</v>
      </c>
      <c r="G264" s="232" t="s">
        <v>24</v>
      </c>
      <c r="H264" s="232">
        <v>11</v>
      </c>
      <c r="I264" s="209" t="s">
        <v>531</v>
      </c>
      <c r="J264" s="188"/>
      <c r="K264" s="209" t="s">
        <v>539</v>
      </c>
      <c r="L264" s="209" t="s">
        <v>531</v>
      </c>
      <c r="M264" s="188"/>
      <c r="N264" s="188"/>
      <c r="O264" s="188"/>
      <c r="P264" s="188"/>
      <c r="Q264" s="209" t="s">
        <v>306</v>
      </c>
      <c r="R264" s="209" t="s">
        <v>306</v>
      </c>
      <c r="S264" s="234" t="s">
        <v>306</v>
      </c>
      <c r="T264" s="209" t="s">
        <v>19</v>
      </c>
      <c r="U264" s="209" t="s">
        <v>25</v>
      </c>
      <c r="V264" s="234" t="s">
        <v>306</v>
      </c>
      <c r="W264" s="209" t="s">
        <v>306</v>
      </c>
      <c r="X264" s="209" t="s">
        <v>19</v>
      </c>
      <c r="Y264" s="234" t="s">
        <v>306</v>
      </c>
      <c r="Z264" s="209" t="s">
        <v>19</v>
      </c>
      <c r="AA264" s="209" t="s">
        <v>19</v>
      </c>
      <c r="AB264" s="234" t="s">
        <v>19</v>
      </c>
      <c r="AC264" s="235" t="s">
        <v>306</v>
      </c>
      <c r="AD264" s="209" t="s">
        <v>306</v>
      </c>
      <c r="AE264" s="209" t="s">
        <v>25</v>
      </c>
      <c r="AF264" s="234" t="s">
        <v>25</v>
      </c>
      <c r="AG264" s="209" t="s">
        <v>19</v>
      </c>
      <c r="AH264" s="209" t="s">
        <v>19</v>
      </c>
      <c r="AI264" s="234" t="s">
        <v>19</v>
      </c>
      <c r="AJ264" s="209" t="s">
        <v>19</v>
      </c>
      <c r="AK264" s="209" t="s">
        <v>19</v>
      </c>
      <c r="AL264" s="234" t="s">
        <v>19</v>
      </c>
      <c r="AM264" s="209" t="s">
        <v>19</v>
      </c>
      <c r="AN264" s="209" t="s">
        <v>19</v>
      </c>
      <c r="AO264" s="234" t="s">
        <v>19</v>
      </c>
      <c r="AP264" s="235" t="s">
        <v>19</v>
      </c>
      <c r="AQ264" s="209" t="s">
        <v>25</v>
      </c>
      <c r="AR264" s="209" t="s">
        <v>19</v>
      </c>
      <c r="AS264" s="234" t="s">
        <v>306</v>
      </c>
      <c r="AT264" s="209" t="s">
        <v>25</v>
      </c>
      <c r="AU264" s="209" t="s">
        <v>19</v>
      </c>
      <c r="AV264" s="234" t="s">
        <v>306</v>
      </c>
      <c r="AW264" s="209" t="s">
        <v>19</v>
      </c>
      <c r="AX264" s="209" t="s">
        <v>19</v>
      </c>
      <c r="AY264" s="234" t="s">
        <v>19</v>
      </c>
      <c r="AZ264" s="209" t="s">
        <v>19</v>
      </c>
      <c r="BA264" s="209" t="s">
        <v>25</v>
      </c>
      <c r="BB264" s="234" t="s">
        <v>19</v>
      </c>
      <c r="BC264" s="235" t="s">
        <v>306</v>
      </c>
      <c r="BD264" s="188"/>
    </row>
    <row r="265" spans="1:56" ht="12.75" customHeight="1" x14ac:dyDescent="0.25">
      <c r="A265" s="238">
        <v>45260.507706747681</v>
      </c>
      <c r="B265" s="233" t="s">
        <v>395</v>
      </c>
      <c r="C265" s="209" t="s">
        <v>587</v>
      </c>
      <c r="D265" s="232" t="s">
        <v>17</v>
      </c>
      <c r="E265" s="232" t="s">
        <v>515</v>
      </c>
      <c r="F265" s="209" t="s">
        <v>863</v>
      </c>
      <c r="G265" s="232" t="s">
        <v>18</v>
      </c>
      <c r="H265" s="232">
        <v>12</v>
      </c>
      <c r="I265" s="209" t="s">
        <v>531</v>
      </c>
      <c r="J265" s="188"/>
      <c r="K265" s="209" t="s">
        <v>539</v>
      </c>
      <c r="L265" s="209" t="s">
        <v>531</v>
      </c>
      <c r="M265" s="188"/>
      <c r="N265" s="188"/>
      <c r="O265" s="188"/>
      <c r="P265" s="188"/>
      <c r="Q265" s="209" t="s">
        <v>19</v>
      </c>
      <c r="R265" s="209" t="s">
        <v>19</v>
      </c>
      <c r="S265" s="234" t="s">
        <v>19</v>
      </c>
      <c r="T265" s="209" t="s">
        <v>306</v>
      </c>
      <c r="U265" s="209" t="s">
        <v>25</v>
      </c>
      <c r="V265" s="234" t="s">
        <v>25</v>
      </c>
      <c r="W265" s="209" t="s">
        <v>19</v>
      </c>
      <c r="X265" s="209" t="s">
        <v>19</v>
      </c>
      <c r="Y265" s="234" t="s">
        <v>19</v>
      </c>
      <c r="Z265" s="209" t="s">
        <v>19</v>
      </c>
      <c r="AA265" s="209" t="s">
        <v>19</v>
      </c>
      <c r="AB265" s="234" t="s">
        <v>19</v>
      </c>
      <c r="AC265" s="235" t="s">
        <v>19</v>
      </c>
      <c r="AD265" s="209" t="s">
        <v>306</v>
      </c>
      <c r="AE265" s="209" t="s">
        <v>25</v>
      </c>
      <c r="AF265" s="234" t="s">
        <v>25</v>
      </c>
      <c r="AG265" s="209" t="s">
        <v>19</v>
      </c>
      <c r="AH265" s="209" t="s">
        <v>19</v>
      </c>
      <c r="AI265" s="234" t="s">
        <v>19</v>
      </c>
      <c r="AJ265" s="209" t="s">
        <v>19</v>
      </c>
      <c r="AK265" s="209" t="s">
        <v>19</v>
      </c>
      <c r="AL265" s="234" t="s">
        <v>19</v>
      </c>
      <c r="AM265" s="209" t="s">
        <v>19</v>
      </c>
      <c r="AN265" s="209" t="s">
        <v>19</v>
      </c>
      <c r="AO265" s="234" t="s">
        <v>19</v>
      </c>
      <c r="AP265" s="235" t="s">
        <v>19</v>
      </c>
      <c r="AQ265" s="209" t="s">
        <v>25</v>
      </c>
      <c r="AR265" s="209" t="s">
        <v>19</v>
      </c>
      <c r="AS265" s="234" t="s">
        <v>306</v>
      </c>
      <c r="AT265" s="209" t="s">
        <v>25</v>
      </c>
      <c r="AU265" s="209" t="s">
        <v>25</v>
      </c>
      <c r="AV265" s="234" t="s">
        <v>25</v>
      </c>
      <c r="AW265" s="209" t="s">
        <v>19</v>
      </c>
      <c r="AX265" s="209" t="s">
        <v>25</v>
      </c>
      <c r="AY265" s="234" t="s">
        <v>306</v>
      </c>
      <c r="AZ265" s="209" t="s">
        <v>19</v>
      </c>
      <c r="BA265" s="209" t="s">
        <v>25</v>
      </c>
      <c r="BB265" s="234" t="s">
        <v>306</v>
      </c>
      <c r="BC265" s="235" t="s">
        <v>306</v>
      </c>
      <c r="BD265" s="188"/>
    </row>
    <row r="266" spans="1:56" ht="12.75" customHeight="1" x14ac:dyDescent="0.25">
      <c r="A266" s="238">
        <v>45260.510864560187</v>
      </c>
      <c r="B266" s="233" t="s">
        <v>395</v>
      </c>
      <c r="C266" s="209" t="s">
        <v>587</v>
      </c>
      <c r="D266" s="232" t="s">
        <v>17</v>
      </c>
      <c r="E266" s="232" t="s">
        <v>515</v>
      </c>
      <c r="F266" s="209" t="s">
        <v>864</v>
      </c>
      <c r="G266" s="232" t="s">
        <v>24</v>
      </c>
      <c r="H266" s="232">
        <v>12</v>
      </c>
      <c r="I266" s="209" t="s">
        <v>531</v>
      </c>
      <c r="J266" s="188"/>
      <c r="K266" s="209" t="s">
        <v>539</v>
      </c>
      <c r="L266" s="209" t="s">
        <v>531</v>
      </c>
      <c r="M266" s="188"/>
      <c r="N266" s="188"/>
      <c r="O266" s="188"/>
      <c r="P266" s="188"/>
      <c r="Q266" s="209" t="s">
        <v>19</v>
      </c>
      <c r="R266" s="209" t="s">
        <v>19</v>
      </c>
      <c r="S266" s="234" t="s">
        <v>19</v>
      </c>
      <c r="T266" s="209" t="s">
        <v>19</v>
      </c>
      <c r="U266" s="209" t="s">
        <v>25</v>
      </c>
      <c r="V266" s="234" t="s">
        <v>306</v>
      </c>
      <c r="W266" s="209" t="s">
        <v>19</v>
      </c>
      <c r="X266" s="209" t="s">
        <v>19</v>
      </c>
      <c r="Y266" s="234" t="s">
        <v>19</v>
      </c>
      <c r="Z266" s="209" t="s">
        <v>19</v>
      </c>
      <c r="AA266" s="209" t="s">
        <v>19</v>
      </c>
      <c r="AB266" s="234" t="s">
        <v>19</v>
      </c>
      <c r="AC266" s="235" t="s">
        <v>19</v>
      </c>
      <c r="AD266" s="209" t="s">
        <v>306</v>
      </c>
      <c r="AE266" s="209" t="s">
        <v>25</v>
      </c>
      <c r="AF266" s="234" t="s">
        <v>25</v>
      </c>
      <c r="AG266" s="209" t="s">
        <v>19</v>
      </c>
      <c r="AH266" s="209" t="s">
        <v>19</v>
      </c>
      <c r="AI266" s="234" t="s">
        <v>19</v>
      </c>
      <c r="AJ266" s="209" t="s">
        <v>19</v>
      </c>
      <c r="AK266" s="209" t="s">
        <v>19</v>
      </c>
      <c r="AL266" s="234" t="s">
        <v>19</v>
      </c>
      <c r="AM266" s="209" t="s">
        <v>19</v>
      </c>
      <c r="AN266" s="209" t="s">
        <v>19</v>
      </c>
      <c r="AO266" s="234" t="s">
        <v>19</v>
      </c>
      <c r="AP266" s="235" t="s">
        <v>19</v>
      </c>
      <c r="AQ266" s="209" t="s">
        <v>25</v>
      </c>
      <c r="AR266" s="209" t="s">
        <v>19</v>
      </c>
      <c r="AS266" s="234" t="s">
        <v>306</v>
      </c>
      <c r="AT266" s="209" t="s">
        <v>25</v>
      </c>
      <c r="AU266" s="209" t="s">
        <v>25</v>
      </c>
      <c r="AV266" s="234" t="s">
        <v>25</v>
      </c>
      <c r="AW266" s="209" t="s">
        <v>306</v>
      </c>
      <c r="AX266" s="209" t="s">
        <v>25</v>
      </c>
      <c r="AY266" s="234" t="s">
        <v>25</v>
      </c>
      <c r="AZ266" s="209" t="s">
        <v>19</v>
      </c>
      <c r="BA266" s="209" t="s">
        <v>25</v>
      </c>
      <c r="BB266" s="234" t="s">
        <v>306</v>
      </c>
      <c r="BC266" s="235" t="s">
        <v>306</v>
      </c>
      <c r="BD266" s="188"/>
    </row>
    <row r="267" spans="1:56" ht="12.75" customHeight="1" x14ac:dyDescent="0.25">
      <c r="A267" s="238">
        <v>45260.51492332176</v>
      </c>
      <c r="B267" s="233" t="s">
        <v>395</v>
      </c>
      <c r="C267" s="209" t="s">
        <v>587</v>
      </c>
      <c r="D267" s="232" t="s">
        <v>17</v>
      </c>
      <c r="E267" s="232" t="s">
        <v>515</v>
      </c>
      <c r="F267" s="209" t="s">
        <v>865</v>
      </c>
      <c r="G267" s="232" t="s">
        <v>24</v>
      </c>
      <c r="H267" s="232">
        <v>11</v>
      </c>
      <c r="I267" s="209" t="s">
        <v>531</v>
      </c>
      <c r="J267" s="188"/>
      <c r="K267" s="209" t="s">
        <v>539</v>
      </c>
      <c r="L267" s="209" t="s">
        <v>531</v>
      </c>
      <c r="M267" s="188"/>
      <c r="N267" s="188"/>
      <c r="O267" s="188"/>
      <c r="P267" s="188"/>
      <c r="Q267" s="209" t="s">
        <v>306</v>
      </c>
      <c r="R267" s="209" t="s">
        <v>19</v>
      </c>
      <c r="S267" s="234" t="s">
        <v>306</v>
      </c>
      <c r="T267" s="209" t="s">
        <v>19</v>
      </c>
      <c r="U267" s="209" t="s">
        <v>25</v>
      </c>
      <c r="V267" s="234" t="s">
        <v>306</v>
      </c>
      <c r="W267" s="209" t="s">
        <v>19</v>
      </c>
      <c r="X267" s="209" t="s">
        <v>19</v>
      </c>
      <c r="Y267" s="234" t="s">
        <v>19</v>
      </c>
      <c r="Z267" s="209" t="s">
        <v>19</v>
      </c>
      <c r="AA267" s="209" t="s">
        <v>19</v>
      </c>
      <c r="AB267" s="234" t="s">
        <v>19</v>
      </c>
      <c r="AC267" s="235" t="s">
        <v>19</v>
      </c>
      <c r="AD267" s="209" t="s">
        <v>306</v>
      </c>
      <c r="AE267" s="209" t="s">
        <v>25</v>
      </c>
      <c r="AF267" s="234" t="s">
        <v>25</v>
      </c>
      <c r="AG267" s="209" t="s">
        <v>19</v>
      </c>
      <c r="AH267" s="209" t="s">
        <v>19</v>
      </c>
      <c r="AI267" s="234" t="s">
        <v>19</v>
      </c>
      <c r="AJ267" s="209" t="s">
        <v>19</v>
      </c>
      <c r="AK267" s="209" t="s">
        <v>19</v>
      </c>
      <c r="AL267" s="234" t="s">
        <v>19</v>
      </c>
      <c r="AM267" s="209" t="s">
        <v>19</v>
      </c>
      <c r="AN267" s="209" t="s">
        <v>19</v>
      </c>
      <c r="AO267" s="234" t="s">
        <v>19</v>
      </c>
      <c r="AP267" s="235" t="s">
        <v>19</v>
      </c>
      <c r="AQ267" s="209" t="s">
        <v>25</v>
      </c>
      <c r="AR267" s="209" t="s">
        <v>19</v>
      </c>
      <c r="AS267" s="234" t="s">
        <v>306</v>
      </c>
      <c r="AT267" s="209" t="s">
        <v>25</v>
      </c>
      <c r="AU267" s="209" t="s">
        <v>25</v>
      </c>
      <c r="AV267" s="234" t="s">
        <v>25</v>
      </c>
      <c r="AW267" s="209" t="s">
        <v>25</v>
      </c>
      <c r="AX267" s="209" t="s">
        <v>25</v>
      </c>
      <c r="AY267" s="234" t="s">
        <v>25</v>
      </c>
      <c r="AZ267" s="209" t="s">
        <v>19</v>
      </c>
      <c r="BA267" s="209" t="s">
        <v>25</v>
      </c>
      <c r="BB267" s="234" t="s">
        <v>19</v>
      </c>
      <c r="BC267" s="235" t="s">
        <v>306</v>
      </c>
      <c r="BD267" s="188"/>
    </row>
    <row r="268" spans="1:56" ht="12.75" customHeight="1" x14ac:dyDescent="0.25">
      <c r="A268" s="238">
        <v>45271.739746932872</v>
      </c>
      <c r="B268" s="233" t="s">
        <v>395</v>
      </c>
      <c r="C268" s="209" t="s">
        <v>587</v>
      </c>
      <c r="D268" s="232" t="s">
        <v>17</v>
      </c>
      <c r="E268" s="232" t="s">
        <v>515</v>
      </c>
      <c r="F268" s="209" t="s">
        <v>866</v>
      </c>
      <c r="G268" s="232" t="s">
        <v>24</v>
      </c>
      <c r="H268" s="232">
        <v>12</v>
      </c>
      <c r="I268" s="209" t="s">
        <v>531</v>
      </c>
      <c r="J268" s="188"/>
      <c r="K268" s="209" t="s">
        <v>539</v>
      </c>
      <c r="L268" s="209" t="s">
        <v>531</v>
      </c>
      <c r="M268" s="188"/>
      <c r="N268" s="188"/>
      <c r="O268" s="188"/>
      <c r="P268" s="188"/>
      <c r="Q268" s="209" t="s">
        <v>306</v>
      </c>
      <c r="R268" s="209" t="s">
        <v>25</v>
      </c>
      <c r="S268" s="234" t="s">
        <v>25</v>
      </c>
      <c r="T268" s="209" t="s">
        <v>25</v>
      </c>
      <c r="U268" s="209" t="s">
        <v>25</v>
      </c>
      <c r="V268" s="234" t="s">
        <v>25</v>
      </c>
      <c r="W268" s="209" t="s">
        <v>19</v>
      </c>
      <c r="X268" s="209" t="s">
        <v>19</v>
      </c>
      <c r="Y268" s="234" t="s">
        <v>19</v>
      </c>
      <c r="Z268" s="209" t="s">
        <v>19</v>
      </c>
      <c r="AA268" s="209" t="s">
        <v>19</v>
      </c>
      <c r="AB268" s="234" t="s">
        <v>19</v>
      </c>
      <c r="AC268" s="235" t="s">
        <v>306</v>
      </c>
      <c r="AD268" s="209" t="s">
        <v>306</v>
      </c>
      <c r="AE268" s="209" t="s">
        <v>306</v>
      </c>
      <c r="AF268" s="234" t="s">
        <v>306</v>
      </c>
      <c r="AG268" s="209" t="s">
        <v>19</v>
      </c>
      <c r="AH268" s="209" t="s">
        <v>19</v>
      </c>
      <c r="AI268" s="234" t="s">
        <v>19</v>
      </c>
      <c r="AJ268" s="209" t="s">
        <v>19</v>
      </c>
      <c r="AK268" s="209" t="s">
        <v>19</v>
      </c>
      <c r="AL268" s="234" t="s">
        <v>19</v>
      </c>
      <c r="AM268" s="209" t="s">
        <v>19</v>
      </c>
      <c r="AN268" s="209" t="s">
        <v>19</v>
      </c>
      <c r="AO268" s="234" t="s">
        <v>19</v>
      </c>
      <c r="AP268" s="235" t="s">
        <v>19</v>
      </c>
      <c r="AQ268" s="209" t="s">
        <v>19</v>
      </c>
      <c r="AR268" s="209" t="s">
        <v>19</v>
      </c>
      <c r="AS268" s="234" t="s">
        <v>19</v>
      </c>
      <c r="AT268" s="209" t="s">
        <v>19</v>
      </c>
      <c r="AU268" s="209" t="s">
        <v>19</v>
      </c>
      <c r="AV268" s="234" t="s">
        <v>19</v>
      </c>
      <c r="AW268" s="209" t="s">
        <v>19</v>
      </c>
      <c r="AX268" s="209" t="s">
        <v>19</v>
      </c>
      <c r="AY268" s="234" t="s">
        <v>19</v>
      </c>
      <c r="AZ268" s="209" t="s">
        <v>19</v>
      </c>
      <c r="BA268" s="209" t="s">
        <v>19</v>
      </c>
      <c r="BB268" s="234" t="s">
        <v>306</v>
      </c>
      <c r="BC268" s="235" t="s">
        <v>306</v>
      </c>
      <c r="BD268" s="188"/>
    </row>
    <row r="269" spans="1:56" ht="12.75" customHeight="1" x14ac:dyDescent="0.25">
      <c r="A269" s="238">
        <v>45271.761774293976</v>
      </c>
      <c r="B269" s="233" t="s">
        <v>395</v>
      </c>
      <c r="C269" s="209" t="s">
        <v>587</v>
      </c>
      <c r="D269" s="232" t="s">
        <v>17</v>
      </c>
      <c r="E269" s="232" t="s">
        <v>515</v>
      </c>
      <c r="F269" s="209" t="s">
        <v>867</v>
      </c>
      <c r="G269" s="232" t="s">
        <v>24</v>
      </c>
      <c r="H269" s="232">
        <v>12</v>
      </c>
      <c r="I269" s="209" t="s">
        <v>531</v>
      </c>
      <c r="J269" s="188"/>
      <c r="K269" s="209" t="s">
        <v>539</v>
      </c>
      <c r="L269" s="209" t="s">
        <v>531</v>
      </c>
      <c r="M269" s="188"/>
      <c r="N269" s="188"/>
      <c r="O269" s="188"/>
      <c r="P269" s="188"/>
      <c r="Q269" s="209" t="s">
        <v>25</v>
      </c>
      <c r="R269" s="209" t="s">
        <v>306</v>
      </c>
      <c r="S269" s="234" t="s">
        <v>25</v>
      </c>
      <c r="T269" s="209" t="s">
        <v>25</v>
      </c>
      <c r="U269" s="209" t="s">
        <v>25</v>
      </c>
      <c r="V269" s="234" t="s">
        <v>25</v>
      </c>
      <c r="W269" s="209" t="s">
        <v>306</v>
      </c>
      <c r="X269" s="209" t="s">
        <v>19</v>
      </c>
      <c r="Y269" s="234" t="s">
        <v>306</v>
      </c>
      <c r="Z269" s="209" t="s">
        <v>306</v>
      </c>
      <c r="AA269" s="209" t="s">
        <v>25</v>
      </c>
      <c r="AB269" s="234" t="s">
        <v>25</v>
      </c>
      <c r="AC269" s="235" t="s">
        <v>306</v>
      </c>
      <c r="AD269" s="209" t="s">
        <v>25</v>
      </c>
      <c r="AE269" s="209" t="s">
        <v>25</v>
      </c>
      <c r="AF269" s="234" t="s">
        <v>25</v>
      </c>
      <c r="AG269" s="209" t="s">
        <v>19</v>
      </c>
      <c r="AH269" s="209" t="s">
        <v>19</v>
      </c>
      <c r="AI269" s="234" t="s">
        <v>19</v>
      </c>
      <c r="AJ269" s="209" t="s">
        <v>19</v>
      </c>
      <c r="AK269" s="209" t="s">
        <v>25</v>
      </c>
      <c r="AL269" s="234" t="s">
        <v>306</v>
      </c>
      <c r="AM269" s="209" t="s">
        <v>19</v>
      </c>
      <c r="AN269" s="209" t="s">
        <v>19</v>
      </c>
      <c r="AO269" s="234" t="s">
        <v>19</v>
      </c>
      <c r="AP269" s="235" t="s">
        <v>306</v>
      </c>
      <c r="AQ269" s="209" t="s">
        <v>19</v>
      </c>
      <c r="AR269" s="209" t="s">
        <v>19</v>
      </c>
      <c r="AS269" s="234" t="s">
        <v>19</v>
      </c>
      <c r="AT269" s="209" t="s">
        <v>306</v>
      </c>
      <c r="AU269" s="209" t="s">
        <v>25</v>
      </c>
      <c r="AV269" s="234" t="s">
        <v>25</v>
      </c>
      <c r="AW269" s="209" t="s">
        <v>25</v>
      </c>
      <c r="AX269" s="209" t="s">
        <v>25</v>
      </c>
      <c r="AY269" s="234" t="s">
        <v>25</v>
      </c>
      <c r="AZ269" s="209" t="s">
        <v>25</v>
      </c>
      <c r="BA269" s="209" t="s">
        <v>25</v>
      </c>
      <c r="BB269" s="234" t="s">
        <v>19</v>
      </c>
      <c r="BC269" s="235" t="s">
        <v>306</v>
      </c>
      <c r="BD269" s="188"/>
    </row>
    <row r="270" spans="1:56" ht="12.75" customHeight="1" x14ac:dyDescent="0.25">
      <c r="A270" s="238">
        <v>45271.764810219909</v>
      </c>
      <c r="B270" s="233" t="s">
        <v>395</v>
      </c>
      <c r="C270" s="209" t="s">
        <v>587</v>
      </c>
      <c r="D270" s="232" t="s">
        <v>17</v>
      </c>
      <c r="E270" s="232" t="s">
        <v>515</v>
      </c>
      <c r="F270" s="209" t="s">
        <v>868</v>
      </c>
      <c r="G270" s="232" t="s">
        <v>18</v>
      </c>
      <c r="H270" s="232">
        <v>12</v>
      </c>
      <c r="I270" s="209" t="s">
        <v>531</v>
      </c>
      <c r="J270" s="188"/>
      <c r="K270" s="209" t="s">
        <v>539</v>
      </c>
      <c r="L270" s="209" t="s">
        <v>531</v>
      </c>
      <c r="M270" s="188"/>
      <c r="N270" s="188"/>
      <c r="O270" s="188"/>
      <c r="P270" s="188"/>
      <c r="Q270" s="209" t="s">
        <v>25</v>
      </c>
      <c r="R270" s="209" t="s">
        <v>25</v>
      </c>
      <c r="S270" s="234" t="s">
        <v>25</v>
      </c>
      <c r="T270" s="209" t="s">
        <v>25</v>
      </c>
      <c r="U270" s="209" t="s">
        <v>25</v>
      </c>
      <c r="V270" s="234" t="s">
        <v>25</v>
      </c>
      <c r="W270" s="209" t="s">
        <v>306</v>
      </c>
      <c r="X270" s="209" t="s">
        <v>19</v>
      </c>
      <c r="Y270" s="234" t="s">
        <v>306</v>
      </c>
      <c r="Z270" s="209" t="s">
        <v>19</v>
      </c>
      <c r="AA270" s="209" t="s">
        <v>306</v>
      </c>
      <c r="AB270" s="234" t="s">
        <v>306</v>
      </c>
      <c r="AC270" s="235" t="s">
        <v>306</v>
      </c>
      <c r="AD270" s="209" t="s">
        <v>19</v>
      </c>
      <c r="AE270" s="209" t="s">
        <v>25</v>
      </c>
      <c r="AF270" s="234" t="s">
        <v>306</v>
      </c>
      <c r="AG270" s="209" t="s">
        <v>19</v>
      </c>
      <c r="AH270" s="209" t="s">
        <v>19</v>
      </c>
      <c r="AI270" s="234" t="s">
        <v>19</v>
      </c>
      <c r="AJ270" s="209" t="s">
        <v>19</v>
      </c>
      <c r="AK270" s="209" t="s">
        <v>19</v>
      </c>
      <c r="AL270" s="234" t="s">
        <v>19</v>
      </c>
      <c r="AM270" s="209" t="s">
        <v>19</v>
      </c>
      <c r="AN270" s="209" t="s">
        <v>19</v>
      </c>
      <c r="AO270" s="234" t="s">
        <v>19</v>
      </c>
      <c r="AP270" s="235" t="s">
        <v>19</v>
      </c>
      <c r="AQ270" s="209" t="s">
        <v>306</v>
      </c>
      <c r="AR270" s="209" t="s">
        <v>25</v>
      </c>
      <c r="AS270" s="234" t="s">
        <v>25</v>
      </c>
      <c r="AT270" s="209" t="s">
        <v>25</v>
      </c>
      <c r="AU270" s="209" t="s">
        <v>25</v>
      </c>
      <c r="AV270" s="234" t="s">
        <v>25</v>
      </c>
      <c r="AW270" s="209" t="s">
        <v>19</v>
      </c>
      <c r="AX270" s="209" t="s">
        <v>25</v>
      </c>
      <c r="AY270" s="234" t="s">
        <v>306</v>
      </c>
      <c r="AZ270" s="209" t="s">
        <v>19</v>
      </c>
      <c r="BA270" s="209" t="s">
        <v>19</v>
      </c>
      <c r="BB270" s="234" t="s">
        <v>306</v>
      </c>
      <c r="BC270" s="235" t="s">
        <v>25</v>
      </c>
      <c r="BD270" s="188"/>
    </row>
    <row r="271" spans="1:56" ht="12.75" customHeight="1" x14ac:dyDescent="0.25">
      <c r="A271" s="238">
        <v>45271.767239247682</v>
      </c>
      <c r="B271" s="233" t="s">
        <v>395</v>
      </c>
      <c r="C271" s="209" t="s">
        <v>587</v>
      </c>
      <c r="D271" s="232" t="s">
        <v>17</v>
      </c>
      <c r="E271" s="232" t="s">
        <v>515</v>
      </c>
      <c r="F271" s="209" t="s">
        <v>869</v>
      </c>
      <c r="G271" s="232" t="s">
        <v>18</v>
      </c>
      <c r="H271" s="232">
        <v>12</v>
      </c>
      <c r="I271" s="209" t="s">
        <v>531</v>
      </c>
      <c r="J271" s="188"/>
      <c r="K271" s="209" t="s">
        <v>539</v>
      </c>
      <c r="L271" s="209" t="s">
        <v>531</v>
      </c>
      <c r="M271" s="188"/>
      <c r="N271" s="188"/>
      <c r="O271" s="188"/>
      <c r="P271" s="188"/>
      <c r="Q271" s="209" t="s">
        <v>25</v>
      </c>
      <c r="R271" s="209" t="s">
        <v>19</v>
      </c>
      <c r="S271" s="234" t="s">
        <v>306</v>
      </c>
      <c r="T271" s="209" t="s">
        <v>306</v>
      </c>
      <c r="U271" s="209" t="s">
        <v>25</v>
      </c>
      <c r="V271" s="234" t="s">
        <v>25</v>
      </c>
      <c r="W271" s="209" t="s">
        <v>306</v>
      </c>
      <c r="X271" s="209" t="s">
        <v>19</v>
      </c>
      <c r="Y271" s="234" t="s">
        <v>306</v>
      </c>
      <c r="Z271" s="209" t="s">
        <v>19</v>
      </c>
      <c r="AA271" s="209" t="s">
        <v>25</v>
      </c>
      <c r="AB271" s="234" t="s">
        <v>306</v>
      </c>
      <c r="AC271" s="235" t="s">
        <v>306</v>
      </c>
      <c r="AD271" s="209" t="s">
        <v>19</v>
      </c>
      <c r="AE271" s="209" t="s">
        <v>25</v>
      </c>
      <c r="AF271" s="234" t="s">
        <v>306</v>
      </c>
      <c r="AG271" s="209" t="s">
        <v>19</v>
      </c>
      <c r="AH271" s="209" t="s">
        <v>19</v>
      </c>
      <c r="AI271" s="234" t="s">
        <v>19</v>
      </c>
      <c r="AJ271" s="209" t="s">
        <v>19</v>
      </c>
      <c r="AK271" s="209" t="s">
        <v>19</v>
      </c>
      <c r="AL271" s="234" t="s">
        <v>19</v>
      </c>
      <c r="AM271" s="209" t="s">
        <v>19</v>
      </c>
      <c r="AN271" s="209" t="s">
        <v>19</v>
      </c>
      <c r="AO271" s="234" t="s">
        <v>19</v>
      </c>
      <c r="AP271" s="235" t="s">
        <v>19</v>
      </c>
      <c r="AQ271" s="209" t="s">
        <v>306</v>
      </c>
      <c r="AR271" s="209" t="s">
        <v>19</v>
      </c>
      <c r="AS271" s="234" t="s">
        <v>306</v>
      </c>
      <c r="AT271" s="209" t="s">
        <v>25</v>
      </c>
      <c r="AU271" s="209" t="s">
        <v>25</v>
      </c>
      <c r="AV271" s="234" t="s">
        <v>25</v>
      </c>
      <c r="AW271" s="209" t="s">
        <v>19</v>
      </c>
      <c r="AX271" s="209" t="s">
        <v>25</v>
      </c>
      <c r="AY271" s="234" t="s">
        <v>306</v>
      </c>
      <c r="AZ271" s="209" t="s">
        <v>19</v>
      </c>
      <c r="BA271" s="209" t="s">
        <v>19</v>
      </c>
      <c r="BB271" s="234" t="s">
        <v>19</v>
      </c>
      <c r="BC271" s="235" t="s">
        <v>19</v>
      </c>
      <c r="BD271" s="188"/>
    </row>
    <row r="272" spans="1:56" ht="12.75" customHeight="1" x14ac:dyDescent="0.25">
      <c r="A272" s="238">
        <v>45271.770097615736</v>
      </c>
      <c r="B272" s="233" t="s">
        <v>395</v>
      </c>
      <c r="C272" s="209" t="s">
        <v>587</v>
      </c>
      <c r="D272" s="232" t="s">
        <v>17</v>
      </c>
      <c r="E272" s="232" t="s">
        <v>515</v>
      </c>
      <c r="F272" s="209" t="s">
        <v>870</v>
      </c>
      <c r="G272" s="232" t="s">
        <v>18</v>
      </c>
      <c r="H272" s="232">
        <v>12</v>
      </c>
      <c r="I272" s="209" t="s">
        <v>531</v>
      </c>
      <c r="J272" s="188"/>
      <c r="K272" s="209" t="s">
        <v>539</v>
      </c>
      <c r="L272" s="209" t="s">
        <v>531</v>
      </c>
      <c r="M272" s="188"/>
      <c r="N272" s="188"/>
      <c r="O272" s="188"/>
      <c r="P272" s="188"/>
      <c r="Q272" s="209" t="s">
        <v>25</v>
      </c>
      <c r="R272" s="209" t="s">
        <v>19</v>
      </c>
      <c r="S272" s="234" t="s">
        <v>306</v>
      </c>
      <c r="T272" s="209" t="s">
        <v>19</v>
      </c>
      <c r="U272" s="209" t="s">
        <v>25</v>
      </c>
      <c r="V272" s="234" t="s">
        <v>306</v>
      </c>
      <c r="W272" s="209" t="s">
        <v>306</v>
      </c>
      <c r="X272" s="209" t="s">
        <v>306</v>
      </c>
      <c r="Y272" s="234" t="s">
        <v>306</v>
      </c>
      <c r="Z272" s="209" t="s">
        <v>19</v>
      </c>
      <c r="AA272" s="209" t="s">
        <v>19</v>
      </c>
      <c r="AB272" s="234" t="s">
        <v>19</v>
      </c>
      <c r="AC272" s="235" t="s">
        <v>306</v>
      </c>
      <c r="AD272" s="209" t="s">
        <v>25</v>
      </c>
      <c r="AE272" s="209" t="s">
        <v>25</v>
      </c>
      <c r="AF272" s="234" t="s">
        <v>25</v>
      </c>
      <c r="AG272" s="209" t="s">
        <v>19</v>
      </c>
      <c r="AH272" s="209" t="s">
        <v>306</v>
      </c>
      <c r="AI272" s="234" t="s">
        <v>306</v>
      </c>
      <c r="AJ272" s="209" t="s">
        <v>25</v>
      </c>
      <c r="AK272" s="209" t="s">
        <v>19</v>
      </c>
      <c r="AL272" s="234" t="s">
        <v>306</v>
      </c>
      <c r="AM272" s="209" t="s">
        <v>19</v>
      </c>
      <c r="AN272" s="209" t="s">
        <v>19</v>
      </c>
      <c r="AO272" s="234" t="s">
        <v>19</v>
      </c>
      <c r="AP272" s="235" t="s">
        <v>306</v>
      </c>
      <c r="AQ272" s="209" t="s">
        <v>25</v>
      </c>
      <c r="AR272" s="209" t="s">
        <v>25</v>
      </c>
      <c r="AS272" s="234" t="s">
        <v>25</v>
      </c>
      <c r="AT272" s="209" t="s">
        <v>25</v>
      </c>
      <c r="AU272" s="209" t="s">
        <v>19</v>
      </c>
      <c r="AV272" s="234" t="s">
        <v>306</v>
      </c>
      <c r="AW272" s="209" t="s">
        <v>25</v>
      </c>
      <c r="AX272" s="209" t="s">
        <v>306</v>
      </c>
      <c r="AY272" s="234" t="s">
        <v>25</v>
      </c>
      <c r="AZ272" s="209" t="s">
        <v>19</v>
      </c>
      <c r="BA272" s="209" t="s">
        <v>25</v>
      </c>
      <c r="BB272" s="234" t="s">
        <v>306</v>
      </c>
      <c r="BC272" s="235" t="s">
        <v>306</v>
      </c>
      <c r="BD272" s="188"/>
    </row>
    <row r="273" spans="1:56" ht="12.75" customHeight="1" x14ac:dyDescent="0.25">
      <c r="A273" s="238">
        <v>45271.774955810186</v>
      </c>
      <c r="B273" s="233" t="s">
        <v>395</v>
      </c>
      <c r="C273" s="209" t="s">
        <v>587</v>
      </c>
      <c r="D273" s="232" t="s">
        <v>17</v>
      </c>
      <c r="E273" s="232" t="s">
        <v>515</v>
      </c>
      <c r="F273" s="209" t="s">
        <v>871</v>
      </c>
      <c r="G273" s="232" t="s">
        <v>18</v>
      </c>
      <c r="H273" s="232">
        <v>12</v>
      </c>
      <c r="I273" s="209" t="s">
        <v>531</v>
      </c>
      <c r="J273" s="188"/>
      <c r="K273" s="209" t="s">
        <v>539</v>
      </c>
      <c r="L273" s="209" t="s">
        <v>531</v>
      </c>
      <c r="M273" s="188"/>
      <c r="N273" s="188"/>
      <c r="O273" s="188"/>
      <c r="P273" s="188"/>
      <c r="Q273" s="209" t="s">
        <v>25</v>
      </c>
      <c r="R273" s="209" t="s">
        <v>19</v>
      </c>
      <c r="S273" s="234" t="s">
        <v>306</v>
      </c>
      <c r="T273" s="209" t="s">
        <v>19</v>
      </c>
      <c r="U273" s="209" t="s">
        <v>25</v>
      </c>
      <c r="V273" s="234" t="s">
        <v>306</v>
      </c>
      <c r="W273" s="209" t="s">
        <v>19</v>
      </c>
      <c r="X273" s="209" t="s">
        <v>19</v>
      </c>
      <c r="Y273" s="234" t="s">
        <v>19</v>
      </c>
      <c r="Z273" s="209" t="s">
        <v>19</v>
      </c>
      <c r="AA273" s="209" t="s">
        <v>19</v>
      </c>
      <c r="AB273" s="234" t="s">
        <v>19</v>
      </c>
      <c r="AC273" s="235" t="s">
        <v>306</v>
      </c>
      <c r="AD273" s="209" t="s">
        <v>25</v>
      </c>
      <c r="AE273" s="209" t="s">
        <v>19</v>
      </c>
      <c r="AF273" s="234" t="s">
        <v>306</v>
      </c>
      <c r="AG273" s="209" t="s">
        <v>19</v>
      </c>
      <c r="AH273" s="209" t="s">
        <v>19</v>
      </c>
      <c r="AI273" s="234" t="s">
        <v>19</v>
      </c>
      <c r="AJ273" s="209" t="s">
        <v>25</v>
      </c>
      <c r="AK273" s="209" t="s">
        <v>19</v>
      </c>
      <c r="AL273" s="234" t="s">
        <v>306</v>
      </c>
      <c r="AM273" s="209" t="s">
        <v>19</v>
      </c>
      <c r="AN273" s="209" t="s">
        <v>306</v>
      </c>
      <c r="AO273" s="234" t="s">
        <v>306</v>
      </c>
      <c r="AP273" s="235" t="s">
        <v>306</v>
      </c>
      <c r="AQ273" s="209" t="s">
        <v>25</v>
      </c>
      <c r="AR273" s="209" t="s">
        <v>306</v>
      </c>
      <c r="AS273" s="234" t="s">
        <v>25</v>
      </c>
      <c r="AT273" s="209" t="s">
        <v>25</v>
      </c>
      <c r="AU273" s="209" t="s">
        <v>25</v>
      </c>
      <c r="AV273" s="234" t="s">
        <v>25</v>
      </c>
      <c r="AW273" s="209" t="s">
        <v>306</v>
      </c>
      <c r="AX273" s="209" t="s">
        <v>25</v>
      </c>
      <c r="AY273" s="234" t="s">
        <v>25</v>
      </c>
      <c r="AZ273" s="209" t="s">
        <v>25</v>
      </c>
      <c r="BA273" s="209" t="s">
        <v>19</v>
      </c>
      <c r="BB273" s="234" t="s">
        <v>19</v>
      </c>
      <c r="BC273" s="235" t="s">
        <v>306</v>
      </c>
      <c r="BD273" s="188"/>
    </row>
    <row r="274" spans="1:56" ht="12.75" customHeight="1" x14ac:dyDescent="0.25">
      <c r="A274" s="238">
        <v>45271.788153078705</v>
      </c>
      <c r="B274" s="233" t="s">
        <v>395</v>
      </c>
      <c r="C274" s="209" t="s">
        <v>587</v>
      </c>
      <c r="D274" s="232" t="s">
        <v>17</v>
      </c>
      <c r="E274" s="232" t="s">
        <v>515</v>
      </c>
      <c r="F274" s="209" t="s">
        <v>872</v>
      </c>
      <c r="G274" s="232" t="s">
        <v>24</v>
      </c>
      <c r="H274" s="232">
        <v>11</v>
      </c>
      <c r="I274" s="209" t="s">
        <v>531</v>
      </c>
      <c r="J274" s="188"/>
      <c r="K274" s="209" t="s">
        <v>539</v>
      </c>
      <c r="L274" s="209" t="s">
        <v>531</v>
      </c>
      <c r="M274" s="188"/>
      <c r="N274" s="188"/>
      <c r="O274" s="188"/>
      <c r="P274" s="188"/>
      <c r="Q274" s="209" t="s">
        <v>306</v>
      </c>
      <c r="R274" s="209" t="s">
        <v>19</v>
      </c>
      <c r="S274" s="234" t="s">
        <v>306</v>
      </c>
      <c r="T274" s="209" t="s">
        <v>19</v>
      </c>
      <c r="U274" s="209" t="s">
        <v>19</v>
      </c>
      <c r="V274" s="234" t="s">
        <v>19</v>
      </c>
      <c r="W274" s="209" t="s">
        <v>19</v>
      </c>
      <c r="X274" s="209" t="s">
        <v>19</v>
      </c>
      <c r="Y274" s="234" t="s">
        <v>19</v>
      </c>
      <c r="Z274" s="209" t="s">
        <v>19</v>
      </c>
      <c r="AA274" s="209" t="s">
        <v>19</v>
      </c>
      <c r="AB274" s="234" t="s">
        <v>19</v>
      </c>
      <c r="AC274" s="235" t="s">
        <v>19</v>
      </c>
      <c r="AD274" s="209" t="s">
        <v>25</v>
      </c>
      <c r="AE274" s="209" t="s">
        <v>25</v>
      </c>
      <c r="AF274" s="234" t="s">
        <v>25</v>
      </c>
      <c r="AG274" s="209" t="s">
        <v>306</v>
      </c>
      <c r="AH274" s="209" t="s">
        <v>19</v>
      </c>
      <c r="AI274" s="234" t="s">
        <v>306</v>
      </c>
      <c r="AJ274" s="209" t="s">
        <v>19</v>
      </c>
      <c r="AK274" s="209" t="s">
        <v>19</v>
      </c>
      <c r="AL274" s="234" t="s">
        <v>19</v>
      </c>
      <c r="AM274" s="209" t="s">
        <v>19</v>
      </c>
      <c r="AN274" s="209" t="s">
        <v>19</v>
      </c>
      <c r="AO274" s="234" t="s">
        <v>19</v>
      </c>
      <c r="AP274" s="235" t="s">
        <v>306</v>
      </c>
      <c r="AQ274" s="209" t="s">
        <v>306</v>
      </c>
      <c r="AR274" s="209" t="s">
        <v>306</v>
      </c>
      <c r="AS274" s="234" t="s">
        <v>306</v>
      </c>
      <c r="AT274" s="209" t="s">
        <v>25</v>
      </c>
      <c r="AU274" s="209" t="s">
        <v>25</v>
      </c>
      <c r="AV274" s="234" t="s">
        <v>25</v>
      </c>
      <c r="AW274" s="209" t="s">
        <v>25</v>
      </c>
      <c r="AX274" s="209" t="s">
        <v>25</v>
      </c>
      <c r="AY274" s="234" t="s">
        <v>25</v>
      </c>
      <c r="AZ274" s="209" t="s">
        <v>19</v>
      </c>
      <c r="BA274" s="209" t="s">
        <v>306</v>
      </c>
      <c r="BB274" s="234" t="s">
        <v>25</v>
      </c>
      <c r="BC274" s="235" t="s">
        <v>25</v>
      </c>
      <c r="BD274" s="188"/>
    </row>
    <row r="275" spans="1:56" ht="12.75" customHeight="1" x14ac:dyDescent="0.25">
      <c r="A275" s="238">
        <v>45271.790436701383</v>
      </c>
      <c r="B275" s="233" t="s">
        <v>395</v>
      </c>
      <c r="C275" s="209" t="s">
        <v>587</v>
      </c>
      <c r="D275" s="232" t="s">
        <v>17</v>
      </c>
      <c r="E275" s="232" t="s">
        <v>515</v>
      </c>
      <c r="F275" s="209" t="s">
        <v>873</v>
      </c>
      <c r="G275" s="232" t="s">
        <v>24</v>
      </c>
      <c r="H275" s="232">
        <v>11</v>
      </c>
      <c r="I275" s="209" t="s">
        <v>531</v>
      </c>
      <c r="J275" s="188"/>
      <c r="K275" s="209" t="s">
        <v>539</v>
      </c>
      <c r="L275" s="209" t="s">
        <v>531</v>
      </c>
      <c r="M275" s="188"/>
      <c r="N275" s="188"/>
      <c r="O275" s="188"/>
      <c r="P275" s="188"/>
      <c r="Q275" s="209" t="s">
        <v>25</v>
      </c>
      <c r="R275" s="209" t="s">
        <v>19</v>
      </c>
      <c r="S275" s="234" t="s">
        <v>306</v>
      </c>
      <c r="T275" s="209" t="s">
        <v>25</v>
      </c>
      <c r="U275" s="209" t="s">
        <v>25</v>
      </c>
      <c r="V275" s="234" t="s">
        <v>25</v>
      </c>
      <c r="W275" s="209" t="s">
        <v>306</v>
      </c>
      <c r="X275" s="209" t="s">
        <v>19</v>
      </c>
      <c r="Y275" s="234" t="s">
        <v>306</v>
      </c>
      <c r="Z275" s="209" t="s">
        <v>306</v>
      </c>
      <c r="AA275" s="209" t="s">
        <v>25</v>
      </c>
      <c r="AB275" s="234" t="s">
        <v>25</v>
      </c>
      <c r="AC275" s="235" t="s">
        <v>306</v>
      </c>
      <c r="AD275" s="209" t="s">
        <v>306</v>
      </c>
      <c r="AE275" s="209" t="s">
        <v>25</v>
      </c>
      <c r="AF275" s="234" t="s">
        <v>25</v>
      </c>
      <c r="AG275" s="209" t="s">
        <v>19</v>
      </c>
      <c r="AH275" s="209" t="s">
        <v>19</v>
      </c>
      <c r="AI275" s="234" t="s">
        <v>19</v>
      </c>
      <c r="AJ275" s="209" t="s">
        <v>19</v>
      </c>
      <c r="AK275" s="209" t="s">
        <v>25</v>
      </c>
      <c r="AL275" s="234" t="s">
        <v>306</v>
      </c>
      <c r="AM275" s="209" t="s">
        <v>19</v>
      </c>
      <c r="AN275" s="209" t="s">
        <v>19</v>
      </c>
      <c r="AO275" s="234" t="s">
        <v>19</v>
      </c>
      <c r="AP275" s="235" t="s">
        <v>306</v>
      </c>
      <c r="AQ275" s="209" t="s">
        <v>19</v>
      </c>
      <c r="AR275" s="209" t="s">
        <v>19</v>
      </c>
      <c r="AS275" s="234" t="s">
        <v>19</v>
      </c>
      <c r="AT275" s="209" t="s">
        <v>306</v>
      </c>
      <c r="AU275" s="209" t="s">
        <v>306</v>
      </c>
      <c r="AV275" s="234" t="s">
        <v>306</v>
      </c>
      <c r="AW275" s="209" t="s">
        <v>25</v>
      </c>
      <c r="AX275" s="209" t="s">
        <v>25</v>
      </c>
      <c r="AY275" s="234" t="s">
        <v>25</v>
      </c>
      <c r="AZ275" s="209" t="s">
        <v>19</v>
      </c>
      <c r="BA275" s="209" t="s">
        <v>25</v>
      </c>
      <c r="BB275" s="234" t="s">
        <v>19</v>
      </c>
      <c r="BC275" s="235" t="s">
        <v>306</v>
      </c>
      <c r="BD275" s="188"/>
    </row>
    <row r="276" spans="1:56" ht="12.75" customHeight="1" x14ac:dyDescent="0.25">
      <c r="A276" s="238">
        <v>45271.792439560188</v>
      </c>
      <c r="B276" s="233" t="s">
        <v>395</v>
      </c>
      <c r="C276" s="209" t="s">
        <v>587</v>
      </c>
      <c r="D276" s="232" t="s">
        <v>17</v>
      </c>
      <c r="E276" s="232" t="s">
        <v>515</v>
      </c>
      <c r="F276" s="209" t="s">
        <v>874</v>
      </c>
      <c r="G276" s="232" t="s">
        <v>24</v>
      </c>
      <c r="H276" s="232">
        <v>13</v>
      </c>
      <c r="I276" s="209" t="s">
        <v>531</v>
      </c>
      <c r="J276" s="188"/>
      <c r="K276" s="209" t="s">
        <v>539</v>
      </c>
      <c r="L276" s="209" t="s">
        <v>531</v>
      </c>
      <c r="M276" s="188"/>
      <c r="N276" s="188"/>
      <c r="O276" s="188"/>
      <c r="P276" s="188"/>
      <c r="Q276" s="209" t="s">
        <v>25</v>
      </c>
      <c r="R276" s="209" t="s">
        <v>19</v>
      </c>
      <c r="S276" s="234" t="s">
        <v>306</v>
      </c>
      <c r="T276" s="209" t="s">
        <v>19</v>
      </c>
      <c r="U276" s="209" t="s">
        <v>19</v>
      </c>
      <c r="V276" s="234" t="s">
        <v>19</v>
      </c>
      <c r="W276" s="209" t="s">
        <v>19</v>
      </c>
      <c r="X276" s="209" t="s">
        <v>19</v>
      </c>
      <c r="Y276" s="234" t="s">
        <v>19</v>
      </c>
      <c r="Z276" s="209" t="s">
        <v>306</v>
      </c>
      <c r="AA276" s="209" t="s">
        <v>19</v>
      </c>
      <c r="AB276" s="234" t="s">
        <v>306</v>
      </c>
      <c r="AC276" s="235" t="s">
        <v>19</v>
      </c>
      <c r="AD276" s="209" t="s">
        <v>306</v>
      </c>
      <c r="AE276" s="209" t="s">
        <v>25</v>
      </c>
      <c r="AF276" s="234" t="s">
        <v>25</v>
      </c>
      <c r="AG276" s="209" t="s">
        <v>306</v>
      </c>
      <c r="AH276" s="209" t="s">
        <v>19</v>
      </c>
      <c r="AI276" s="234" t="s">
        <v>306</v>
      </c>
      <c r="AJ276" s="209" t="s">
        <v>19</v>
      </c>
      <c r="AK276" s="209" t="s">
        <v>19</v>
      </c>
      <c r="AL276" s="234" t="s">
        <v>19</v>
      </c>
      <c r="AM276" s="209" t="s">
        <v>19</v>
      </c>
      <c r="AN276" s="209" t="s">
        <v>19</v>
      </c>
      <c r="AO276" s="234" t="s">
        <v>19</v>
      </c>
      <c r="AP276" s="235" t="s">
        <v>306</v>
      </c>
      <c r="AQ276" s="209" t="s">
        <v>306</v>
      </c>
      <c r="AR276" s="209" t="s">
        <v>306</v>
      </c>
      <c r="AS276" s="234" t="s">
        <v>306</v>
      </c>
      <c r="AT276" s="209" t="s">
        <v>25</v>
      </c>
      <c r="AU276" s="209" t="s">
        <v>25</v>
      </c>
      <c r="AV276" s="234" t="s">
        <v>25</v>
      </c>
      <c r="AW276" s="209" t="s">
        <v>25</v>
      </c>
      <c r="AX276" s="209" t="s">
        <v>25</v>
      </c>
      <c r="AY276" s="234" t="s">
        <v>25</v>
      </c>
      <c r="AZ276" s="209" t="s">
        <v>19</v>
      </c>
      <c r="BA276" s="209" t="s">
        <v>306</v>
      </c>
      <c r="BB276" s="234" t="s">
        <v>19</v>
      </c>
      <c r="BC276" s="235" t="s">
        <v>19</v>
      </c>
      <c r="BD276" s="188"/>
    </row>
    <row r="277" spans="1:56" ht="12.75" customHeight="1" x14ac:dyDescent="0.25">
      <c r="A277" s="238">
        <v>45271.794133888892</v>
      </c>
      <c r="B277" s="233" t="s">
        <v>395</v>
      </c>
      <c r="C277" s="209" t="s">
        <v>587</v>
      </c>
      <c r="D277" s="232" t="s">
        <v>17</v>
      </c>
      <c r="E277" s="232" t="s">
        <v>515</v>
      </c>
      <c r="F277" s="209" t="s">
        <v>875</v>
      </c>
      <c r="G277" s="232" t="s">
        <v>18</v>
      </c>
      <c r="H277" s="232">
        <v>13</v>
      </c>
      <c r="I277" s="209" t="s">
        <v>531</v>
      </c>
      <c r="J277" s="188"/>
      <c r="K277" s="209" t="s">
        <v>539</v>
      </c>
      <c r="L277" s="209" t="s">
        <v>531</v>
      </c>
      <c r="M277" s="188"/>
      <c r="N277" s="188"/>
      <c r="O277" s="188"/>
      <c r="P277" s="188"/>
      <c r="Q277" s="209" t="s">
        <v>25</v>
      </c>
      <c r="R277" s="209" t="s">
        <v>19</v>
      </c>
      <c r="S277" s="234" t="s">
        <v>306</v>
      </c>
      <c r="T277" s="209" t="s">
        <v>19</v>
      </c>
      <c r="U277" s="209" t="s">
        <v>25</v>
      </c>
      <c r="V277" s="234" t="s">
        <v>306</v>
      </c>
      <c r="W277" s="209" t="s">
        <v>19</v>
      </c>
      <c r="X277" s="209" t="s">
        <v>306</v>
      </c>
      <c r="Y277" s="234" t="s">
        <v>306</v>
      </c>
      <c r="Z277" s="209" t="s">
        <v>19</v>
      </c>
      <c r="AA277" s="209" t="s">
        <v>19</v>
      </c>
      <c r="AB277" s="234" t="s">
        <v>19</v>
      </c>
      <c r="AC277" s="235" t="s">
        <v>306</v>
      </c>
      <c r="AD277" s="209" t="s">
        <v>306</v>
      </c>
      <c r="AE277" s="209" t="s">
        <v>306</v>
      </c>
      <c r="AF277" s="234" t="s">
        <v>306</v>
      </c>
      <c r="AG277" s="209" t="s">
        <v>19</v>
      </c>
      <c r="AH277" s="209" t="s">
        <v>19</v>
      </c>
      <c r="AI277" s="234" t="s">
        <v>19</v>
      </c>
      <c r="AJ277" s="209" t="s">
        <v>19</v>
      </c>
      <c r="AK277" s="209" t="s">
        <v>19</v>
      </c>
      <c r="AL277" s="234" t="s">
        <v>19</v>
      </c>
      <c r="AM277" s="209" t="s">
        <v>19</v>
      </c>
      <c r="AN277" s="209" t="s">
        <v>19</v>
      </c>
      <c r="AO277" s="234" t="s">
        <v>19</v>
      </c>
      <c r="AP277" s="235" t="s">
        <v>19</v>
      </c>
      <c r="AQ277" s="209" t="s">
        <v>19</v>
      </c>
      <c r="AR277" s="209" t="s">
        <v>19</v>
      </c>
      <c r="AS277" s="234" t="s">
        <v>19</v>
      </c>
      <c r="AT277" s="209" t="s">
        <v>19</v>
      </c>
      <c r="AU277" s="209" t="s">
        <v>19</v>
      </c>
      <c r="AV277" s="234" t="s">
        <v>19</v>
      </c>
      <c r="AW277" s="209" t="s">
        <v>306</v>
      </c>
      <c r="AX277" s="209" t="s">
        <v>19</v>
      </c>
      <c r="AY277" s="234" t="s">
        <v>306</v>
      </c>
      <c r="AZ277" s="209" t="s">
        <v>19</v>
      </c>
      <c r="BA277" s="209" t="s">
        <v>19</v>
      </c>
      <c r="BB277" s="234" t="s">
        <v>306</v>
      </c>
      <c r="BC277" s="235" t="s">
        <v>306</v>
      </c>
      <c r="BD277" s="188"/>
    </row>
    <row r="278" spans="1:56" ht="12.75" customHeight="1" x14ac:dyDescent="0.25">
      <c r="A278" s="238">
        <v>45271.796704652777</v>
      </c>
      <c r="B278" s="233" t="s">
        <v>395</v>
      </c>
      <c r="C278" s="209" t="s">
        <v>587</v>
      </c>
      <c r="D278" s="232" t="s">
        <v>17</v>
      </c>
      <c r="E278" s="232" t="s">
        <v>515</v>
      </c>
      <c r="F278" s="209" t="s">
        <v>876</v>
      </c>
      <c r="G278" s="232" t="s">
        <v>24</v>
      </c>
      <c r="H278" s="232">
        <v>11</v>
      </c>
      <c r="I278" s="209" t="s">
        <v>531</v>
      </c>
      <c r="J278" s="188"/>
      <c r="K278" s="209" t="s">
        <v>539</v>
      </c>
      <c r="L278" s="209" t="s">
        <v>531</v>
      </c>
      <c r="M278" s="188"/>
      <c r="N278" s="188"/>
      <c r="O278" s="188"/>
      <c r="P278" s="188"/>
      <c r="Q278" s="209" t="s">
        <v>25</v>
      </c>
      <c r="R278" s="209" t="s">
        <v>306</v>
      </c>
      <c r="S278" s="234" t="s">
        <v>25</v>
      </c>
      <c r="T278" s="209" t="s">
        <v>25</v>
      </c>
      <c r="U278" s="209" t="s">
        <v>25</v>
      </c>
      <c r="V278" s="234" t="s">
        <v>25</v>
      </c>
      <c r="W278" s="209" t="s">
        <v>19</v>
      </c>
      <c r="X278" s="209" t="s">
        <v>19</v>
      </c>
      <c r="Y278" s="234" t="s">
        <v>19</v>
      </c>
      <c r="Z278" s="209" t="s">
        <v>306</v>
      </c>
      <c r="AA278" s="209" t="s">
        <v>25</v>
      </c>
      <c r="AB278" s="234" t="s">
        <v>25</v>
      </c>
      <c r="AC278" s="235" t="s">
        <v>306</v>
      </c>
      <c r="AD278" s="209" t="s">
        <v>306</v>
      </c>
      <c r="AE278" s="209" t="s">
        <v>306</v>
      </c>
      <c r="AF278" s="234" t="s">
        <v>306</v>
      </c>
      <c r="AG278" s="209" t="s">
        <v>19</v>
      </c>
      <c r="AH278" s="209" t="s">
        <v>19</v>
      </c>
      <c r="AI278" s="234" t="s">
        <v>19</v>
      </c>
      <c r="AJ278" s="209" t="s">
        <v>19</v>
      </c>
      <c r="AK278" s="209" t="s">
        <v>19</v>
      </c>
      <c r="AL278" s="234" t="s">
        <v>19</v>
      </c>
      <c r="AM278" s="209" t="s">
        <v>19</v>
      </c>
      <c r="AN278" s="209" t="s">
        <v>19</v>
      </c>
      <c r="AO278" s="234" t="s">
        <v>19</v>
      </c>
      <c r="AP278" s="235" t="s">
        <v>19</v>
      </c>
      <c r="AQ278" s="209" t="s">
        <v>19</v>
      </c>
      <c r="AR278" s="209" t="s">
        <v>19</v>
      </c>
      <c r="AS278" s="234" t="s">
        <v>19</v>
      </c>
      <c r="AT278" s="209" t="s">
        <v>25</v>
      </c>
      <c r="AU278" s="209" t="s">
        <v>25</v>
      </c>
      <c r="AV278" s="234" t="s">
        <v>25</v>
      </c>
      <c r="AW278" s="209" t="s">
        <v>306</v>
      </c>
      <c r="AX278" s="209" t="s">
        <v>306</v>
      </c>
      <c r="AY278" s="234" t="s">
        <v>306</v>
      </c>
      <c r="AZ278" s="209" t="s">
        <v>19</v>
      </c>
      <c r="BA278" s="209" t="s">
        <v>25</v>
      </c>
      <c r="BB278" s="234" t="s">
        <v>306</v>
      </c>
      <c r="BC278" s="235" t="s">
        <v>306</v>
      </c>
      <c r="BD278" s="188"/>
    </row>
    <row r="279" spans="1:56" ht="12.75" customHeight="1" x14ac:dyDescent="0.25">
      <c r="A279" s="238">
        <v>45271.802232280097</v>
      </c>
      <c r="B279" s="233" t="s">
        <v>395</v>
      </c>
      <c r="C279" s="209" t="s">
        <v>587</v>
      </c>
      <c r="D279" s="232" t="s">
        <v>17</v>
      </c>
      <c r="E279" s="232" t="s">
        <v>515</v>
      </c>
      <c r="F279" s="209" t="s">
        <v>877</v>
      </c>
      <c r="G279" s="232" t="s">
        <v>18</v>
      </c>
      <c r="H279" s="232">
        <v>11</v>
      </c>
      <c r="I279" s="209" t="s">
        <v>531</v>
      </c>
      <c r="J279" s="188"/>
      <c r="K279" s="209" t="s">
        <v>539</v>
      </c>
      <c r="L279" s="209" t="s">
        <v>531</v>
      </c>
      <c r="M279" s="188"/>
      <c r="N279" s="188"/>
      <c r="O279" s="188"/>
      <c r="P279" s="188"/>
      <c r="Q279" s="209" t="s">
        <v>306</v>
      </c>
      <c r="R279" s="209" t="s">
        <v>25</v>
      </c>
      <c r="S279" s="234" t="s">
        <v>25</v>
      </c>
      <c r="T279" s="209" t="s">
        <v>25</v>
      </c>
      <c r="U279" s="209" t="s">
        <v>25</v>
      </c>
      <c r="V279" s="234" t="s">
        <v>25</v>
      </c>
      <c r="W279" s="209" t="s">
        <v>306</v>
      </c>
      <c r="X279" s="209" t="s">
        <v>306</v>
      </c>
      <c r="Y279" s="234" t="s">
        <v>306</v>
      </c>
      <c r="Z279" s="209" t="s">
        <v>25</v>
      </c>
      <c r="AA279" s="209" t="s">
        <v>25</v>
      </c>
      <c r="AB279" s="234" t="s">
        <v>25</v>
      </c>
      <c r="AC279" s="235" t="s">
        <v>25</v>
      </c>
      <c r="AD279" s="209" t="s">
        <v>25</v>
      </c>
      <c r="AE279" s="209" t="s">
        <v>25</v>
      </c>
      <c r="AF279" s="234" t="s">
        <v>25</v>
      </c>
      <c r="AG279" s="209" t="s">
        <v>306</v>
      </c>
      <c r="AH279" s="209" t="s">
        <v>306</v>
      </c>
      <c r="AI279" s="234" t="s">
        <v>306</v>
      </c>
      <c r="AJ279" s="209" t="s">
        <v>306</v>
      </c>
      <c r="AK279" s="209" t="s">
        <v>306</v>
      </c>
      <c r="AL279" s="234" t="s">
        <v>306</v>
      </c>
      <c r="AM279" s="209" t="s">
        <v>25</v>
      </c>
      <c r="AN279" s="209" t="s">
        <v>306</v>
      </c>
      <c r="AO279" s="234" t="s">
        <v>25</v>
      </c>
      <c r="AP279" s="235" t="s">
        <v>306</v>
      </c>
      <c r="AQ279" s="209" t="s">
        <v>25</v>
      </c>
      <c r="AR279" s="209" t="s">
        <v>25</v>
      </c>
      <c r="AS279" s="234" t="s">
        <v>25</v>
      </c>
      <c r="AT279" s="209" t="s">
        <v>25</v>
      </c>
      <c r="AU279" s="209" t="s">
        <v>25</v>
      </c>
      <c r="AV279" s="234" t="s">
        <v>25</v>
      </c>
      <c r="AW279" s="209" t="s">
        <v>306</v>
      </c>
      <c r="AX279" s="209" t="s">
        <v>306</v>
      </c>
      <c r="AY279" s="234" t="s">
        <v>306</v>
      </c>
      <c r="AZ279" s="209" t="s">
        <v>25</v>
      </c>
      <c r="BA279" s="209" t="s">
        <v>25</v>
      </c>
      <c r="BB279" s="234" t="s">
        <v>19</v>
      </c>
      <c r="BC279" s="235" t="s">
        <v>306</v>
      </c>
      <c r="BD279" s="188"/>
    </row>
    <row r="280" spans="1:56" ht="12.75" customHeight="1" x14ac:dyDescent="0.25">
      <c r="A280" s="238">
        <v>45271.84361030093</v>
      </c>
      <c r="B280" s="233" t="s">
        <v>395</v>
      </c>
      <c r="C280" s="209" t="s">
        <v>587</v>
      </c>
      <c r="D280" s="232" t="s">
        <v>17</v>
      </c>
      <c r="E280" s="232" t="s">
        <v>515</v>
      </c>
      <c r="F280" s="209" t="s">
        <v>878</v>
      </c>
      <c r="G280" s="232" t="s">
        <v>18</v>
      </c>
      <c r="H280" s="232">
        <v>12</v>
      </c>
      <c r="I280" s="209" t="s">
        <v>531</v>
      </c>
      <c r="J280" s="188"/>
      <c r="K280" s="209" t="s">
        <v>539</v>
      </c>
      <c r="L280" s="209" t="s">
        <v>531</v>
      </c>
      <c r="M280" s="188"/>
      <c r="N280" s="188"/>
      <c r="O280" s="188"/>
      <c r="P280" s="188"/>
      <c r="Q280" s="209" t="s">
        <v>19</v>
      </c>
      <c r="R280" s="209" t="s">
        <v>19</v>
      </c>
      <c r="S280" s="234" t="s">
        <v>19</v>
      </c>
      <c r="T280" s="209" t="s">
        <v>19</v>
      </c>
      <c r="U280" s="209" t="s">
        <v>25</v>
      </c>
      <c r="V280" s="234" t="s">
        <v>306</v>
      </c>
      <c r="W280" s="209" t="s">
        <v>19</v>
      </c>
      <c r="X280" s="209" t="s">
        <v>19</v>
      </c>
      <c r="Y280" s="234" t="s">
        <v>19</v>
      </c>
      <c r="Z280" s="209" t="s">
        <v>19</v>
      </c>
      <c r="AA280" s="209" t="s">
        <v>25</v>
      </c>
      <c r="AB280" s="234" t="s">
        <v>306</v>
      </c>
      <c r="AC280" s="235" t="s">
        <v>306</v>
      </c>
      <c r="AD280" s="209" t="s">
        <v>25</v>
      </c>
      <c r="AE280" s="209" t="s">
        <v>25</v>
      </c>
      <c r="AF280" s="234" t="s">
        <v>25</v>
      </c>
      <c r="AG280" s="209" t="s">
        <v>19</v>
      </c>
      <c r="AH280" s="209" t="s">
        <v>19</v>
      </c>
      <c r="AI280" s="234" t="s">
        <v>19</v>
      </c>
      <c r="AJ280" s="209" t="s">
        <v>19</v>
      </c>
      <c r="AK280" s="209" t="s">
        <v>19</v>
      </c>
      <c r="AL280" s="234" t="s">
        <v>19</v>
      </c>
      <c r="AM280" s="209" t="s">
        <v>19</v>
      </c>
      <c r="AN280" s="209" t="s">
        <v>19</v>
      </c>
      <c r="AO280" s="234" t="s">
        <v>19</v>
      </c>
      <c r="AP280" s="235" t="s">
        <v>306</v>
      </c>
      <c r="AQ280" s="209" t="s">
        <v>25</v>
      </c>
      <c r="AR280" s="209" t="s">
        <v>19</v>
      </c>
      <c r="AS280" s="234" t="s">
        <v>306</v>
      </c>
      <c r="AT280" s="209" t="s">
        <v>25</v>
      </c>
      <c r="AU280" s="209" t="s">
        <v>19</v>
      </c>
      <c r="AV280" s="234" t="s">
        <v>306</v>
      </c>
      <c r="AW280" s="209" t="s">
        <v>19</v>
      </c>
      <c r="AX280" s="209" t="s">
        <v>19</v>
      </c>
      <c r="AY280" s="234" t="s">
        <v>19</v>
      </c>
      <c r="AZ280" s="209" t="s">
        <v>19</v>
      </c>
      <c r="BA280" s="209" t="s">
        <v>25</v>
      </c>
      <c r="BB280" s="234" t="s">
        <v>19</v>
      </c>
      <c r="BC280" s="235" t="s">
        <v>306</v>
      </c>
      <c r="BD280" s="188"/>
    </row>
    <row r="281" spans="1:56" ht="12.75" customHeight="1" x14ac:dyDescent="0.25">
      <c r="A281" s="238">
        <v>45271.845955509256</v>
      </c>
      <c r="B281" s="233" t="s">
        <v>395</v>
      </c>
      <c r="C281" s="209" t="s">
        <v>587</v>
      </c>
      <c r="D281" s="232" t="s">
        <v>17</v>
      </c>
      <c r="E281" s="232" t="s">
        <v>515</v>
      </c>
      <c r="F281" s="209" t="s">
        <v>879</v>
      </c>
      <c r="G281" s="232" t="s">
        <v>24</v>
      </c>
      <c r="H281" s="232">
        <v>11</v>
      </c>
      <c r="I281" s="209" t="s">
        <v>531</v>
      </c>
      <c r="J281" s="188"/>
      <c r="K281" s="209" t="s">
        <v>539</v>
      </c>
      <c r="L281" s="209" t="s">
        <v>531</v>
      </c>
      <c r="M281" s="188"/>
      <c r="N281" s="188"/>
      <c r="O281" s="188"/>
      <c r="P281" s="188"/>
      <c r="Q281" s="209" t="s">
        <v>25</v>
      </c>
      <c r="R281" s="209" t="s">
        <v>19</v>
      </c>
      <c r="S281" s="234" t="s">
        <v>306</v>
      </c>
      <c r="T281" s="209" t="s">
        <v>19</v>
      </c>
      <c r="U281" s="209" t="s">
        <v>25</v>
      </c>
      <c r="V281" s="234" t="s">
        <v>306</v>
      </c>
      <c r="W281" s="209" t="s">
        <v>19</v>
      </c>
      <c r="X281" s="209" t="s">
        <v>306</v>
      </c>
      <c r="Y281" s="234" t="s">
        <v>306</v>
      </c>
      <c r="Z281" s="209" t="s">
        <v>306</v>
      </c>
      <c r="AA281" s="209" t="s">
        <v>19</v>
      </c>
      <c r="AB281" s="234" t="s">
        <v>306</v>
      </c>
      <c r="AC281" s="235" t="s">
        <v>306</v>
      </c>
      <c r="AD281" s="209" t="s">
        <v>19</v>
      </c>
      <c r="AE281" s="209" t="s">
        <v>306</v>
      </c>
      <c r="AF281" s="234" t="s">
        <v>306</v>
      </c>
      <c r="AG281" s="209" t="s">
        <v>19</v>
      </c>
      <c r="AH281" s="209" t="s">
        <v>19</v>
      </c>
      <c r="AI281" s="234" t="s">
        <v>19</v>
      </c>
      <c r="AJ281" s="209" t="s">
        <v>306</v>
      </c>
      <c r="AK281" s="209" t="s">
        <v>19</v>
      </c>
      <c r="AL281" s="234" t="s">
        <v>306</v>
      </c>
      <c r="AM281" s="209" t="s">
        <v>19</v>
      </c>
      <c r="AN281" s="209" t="s">
        <v>19</v>
      </c>
      <c r="AO281" s="234" t="s">
        <v>19</v>
      </c>
      <c r="AP281" s="235" t="s">
        <v>19</v>
      </c>
      <c r="AQ281" s="209" t="s">
        <v>25</v>
      </c>
      <c r="AR281" s="209" t="s">
        <v>25</v>
      </c>
      <c r="AS281" s="234" t="s">
        <v>25</v>
      </c>
      <c r="AT281" s="209" t="s">
        <v>25</v>
      </c>
      <c r="AU281" s="209" t="s">
        <v>25</v>
      </c>
      <c r="AV281" s="234" t="s">
        <v>25</v>
      </c>
      <c r="AW281" s="209" t="s">
        <v>25</v>
      </c>
      <c r="AX281" s="209" t="s">
        <v>306</v>
      </c>
      <c r="AY281" s="234" t="s">
        <v>25</v>
      </c>
      <c r="AZ281" s="209" t="s">
        <v>19</v>
      </c>
      <c r="BA281" s="209" t="s">
        <v>25</v>
      </c>
      <c r="BB281" s="234" t="s">
        <v>25</v>
      </c>
      <c r="BC281" s="235" t="s">
        <v>25</v>
      </c>
      <c r="BD281" s="188"/>
    </row>
    <row r="282" spans="1:56" ht="12.75" customHeight="1" x14ac:dyDescent="0.25">
      <c r="A282" s="238">
        <v>45271.879485034719</v>
      </c>
      <c r="B282" s="233" t="s">
        <v>395</v>
      </c>
      <c r="C282" s="209" t="s">
        <v>587</v>
      </c>
      <c r="D282" s="232" t="s">
        <v>17</v>
      </c>
      <c r="E282" s="232" t="s">
        <v>515</v>
      </c>
      <c r="F282" s="209" t="s">
        <v>880</v>
      </c>
      <c r="G282" s="232" t="s">
        <v>24</v>
      </c>
      <c r="H282" s="232">
        <v>12</v>
      </c>
      <c r="I282" s="209" t="s">
        <v>531</v>
      </c>
      <c r="J282" s="188"/>
      <c r="K282" s="209" t="s">
        <v>539</v>
      </c>
      <c r="L282" s="209" t="s">
        <v>531</v>
      </c>
      <c r="M282" s="188"/>
      <c r="N282" s="188"/>
      <c r="O282" s="188"/>
      <c r="P282" s="188"/>
      <c r="Q282" s="209" t="s">
        <v>25</v>
      </c>
      <c r="R282" s="209" t="s">
        <v>19</v>
      </c>
      <c r="S282" s="234" t="s">
        <v>306</v>
      </c>
      <c r="T282" s="209" t="s">
        <v>25</v>
      </c>
      <c r="U282" s="209" t="s">
        <v>25</v>
      </c>
      <c r="V282" s="234" t="s">
        <v>25</v>
      </c>
      <c r="W282" s="209" t="s">
        <v>306</v>
      </c>
      <c r="X282" s="209" t="s">
        <v>19</v>
      </c>
      <c r="Y282" s="234" t="s">
        <v>306</v>
      </c>
      <c r="Z282" s="209" t="s">
        <v>25</v>
      </c>
      <c r="AA282" s="209" t="s">
        <v>19</v>
      </c>
      <c r="AB282" s="234" t="s">
        <v>306</v>
      </c>
      <c r="AC282" s="235" t="s">
        <v>306</v>
      </c>
      <c r="AD282" s="209" t="s">
        <v>306</v>
      </c>
      <c r="AE282" s="209" t="s">
        <v>306</v>
      </c>
      <c r="AF282" s="234" t="s">
        <v>306</v>
      </c>
      <c r="AG282" s="209" t="s">
        <v>19</v>
      </c>
      <c r="AH282" s="209" t="s">
        <v>19</v>
      </c>
      <c r="AI282" s="234" t="s">
        <v>19</v>
      </c>
      <c r="AJ282" s="209" t="s">
        <v>19</v>
      </c>
      <c r="AK282" s="209" t="s">
        <v>19</v>
      </c>
      <c r="AL282" s="234" t="s">
        <v>19</v>
      </c>
      <c r="AM282" s="209" t="s">
        <v>19</v>
      </c>
      <c r="AN282" s="209" t="s">
        <v>19</v>
      </c>
      <c r="AO282" s="234" t="s">
        <v>19</v>
      </c>
      <c r="AP282" s="235" t="s">
        <v>19</v>
      </c>
      <c r="AQ282" s="209" t="s">
        <v>25</v>
      </c>
      <c r="AR282" s="209" t="s">
        <v>25</v>
      </c>
      <c r="AS282" s="234" t="s">
        <v>25</v>
      </c>
      <c r="AT282" s="209" t="s">
        <v>25</v>
      </c>
      <c r="AU282" s="209" t="s">
        <v>19</v>
      </c>
      <c r="AV282" s="234" t="s">
        <v>306</v>
      </c>
      <c r="AW282" s="209" t="s">
        <v>19</v>
      </c>
      <c r="AX282" s="209" t="s">
        <v>19</v>
      </c>
      <c r="AY282" s="234" t="s">
        <v>19</v>
      </c>
      <c r="AZ282" s="209" t="s">
        <v>19</v>
      </c>
      <c r="BA282" s="209" t="s">
        <v>25</v>
      </c>
      <c r="BB282" s="234" t="s">
        <v>19</v>
      </c>
      <c r="BC282" s="235" t="s">
        <v>306</v>
      </c>
      <c r="BD282" s="188"/>
    </row>
    <row r="283" spans="1:56" ht="12.75" customHeight="1" x14ac:dyDescent="0.25">
      <c r="A283" s="238">
        <v>45271.882021527781</v>
      </c>
      <c r="B283" s="233" t="s">
        <v>395</v>
      </c>
      <c r="C283" s="209" t="s">
        <v>587</v>
      </c>
      <c r="D283" s="232" t="s">
        <v>17</v>
      </c>
      <c r="E283" s="232" t="s">
        <v>515</v>
      </c>
      <c r="F283" s="209" t="s">
        <v>881</v>
      </c>
      <c r="G283" s="232" t="s">
        <v>18</v>
      </c>
      <c r="H283" s="232">
        <v>12</v>
      </c>
      <c r="I283" s="209" t="s">
        <v>531</v>
      </c>
      <c r="J283" s="188"/>
      <c r="K283" s="209" t="s">
        <v>539</v>
      </c>
      <c r="L283" s="209" t="s">
        <v>531</v>
      </c>
      <c r="M283" s="188"/>
      <c r="N283" s="188"/>
      <c r="O283" s="188"/>
      <c r="P283" s="188"/>
      <c r="Q283" s="209" t="s">
        <v>25</v>
      </c>
      <c r="R283" s="209" t="s">
        <v>306</v>
      </c>
      <c r="S283" s="234" t="s">
        <v>25</v>
      </c>
      <c r="T283" s="209" t="s">
        <v>19</v>
      </c>
      <c r="U283" s="209" t="s">
        <v>25</v>
      </c>
      <c r="V283" s="234" t="s">
        <v>306</v>
      </c>
      <c r="W283" s="209" t="s">
        <v>306</v>
      </c>
      <c r="X283" s="209" t="s">
        <v>19</v>
      </c>
      <c r="Y283" s="234" t="s">
        <v>306</v>
      </c>
      <c r="Z283" s="209" t="s">
        <v>25</v>
      </c>
      <c r="AA283" s="209" t="s">
        <v>19</v>
      </c>
      <c r="AB283" s="234" t="s">
        <v>306</v>
      </c>
      <c r="AC283" s="235" t="s">
        <v>306</v>
      </c>
      <c r="AD283" s="209" t="s">
        <v>19</v>
      </c>
      <c r="AE283" s="209" t="s">
        <v>25</v>
      </c>
      <c r="AF283" s="234" t="s">
        <v>306</v>
      </c>
      <c r="AG283" s="209" t="s">
        <v>19</v>
      </c>
      <c r="AH283" s="209" t="s">
        <v>19</v>
      </c>
      <c r="AI283" s="234" t="s">
        <v>19</v>
      </c>
      <c r="AJ283" s="209" t="s">
        <v>19</v>
      </c>
      <c r="AK283" s="209" t="s">
        <v>19</v>
      </c>
      <c r="AL283" s="234" t="s">
        <v>19</v>
      </c>
      <c r="AM283" s="209" t="s">
        <v>19</v>
      </c>
      <c r="AN283" s="209" t="s">
        <v>19</v>
      </c>
      <c r="AO283" s="234" t="s">
        <v>19</v>
      </c>
      <c r="AP283" s="235" t="s">
        <v>19</v>
      </c>
      <c r="AQ283" s="209" t="s">
        <v>25</v>
      </c>
      <c r="AR283" s="209" t="s">
        <v>25</v>
      </c>
      <c r="AS283" s="234" t="s">
        <v>25</v>
      </c>
      <c r="AT283" s="209" t="s">
        <v>25</v>
      </c>
      <c r="AU283" s="209" t="s">
        <v>306</v>
      </c>
      <c r="AV283" s="234" t="s">
        <v>25</v>
      </c>
      <c r="AW283" s="209" t="s">
        <v>25</v>
      </c>
      <c r="AX283" s="209" t="s">
        <v>306</v>
      </c>
      <c r="AY283" s="234" t="s">
        <v>25</v>
      </c>
      <c r="AZ283" s="209" t="s">
        <v>19</v>
      </c>
      <c r="BA283" s="209" t="s">
        <v>25</v>
      </c>
      <c r="BB283" s="234" t="s">
        <v>306</v>
      </c>
      <c r="BC283" s="235" t="s">
        <v>25</v>
      </c>
      <c r="BD283" s="188"/>
    </row>
    <row r="284" spans="1:56" ht="12.75" customHeight="1" x14ac:dyDescent="0.25">
      <c r="A284" s="238">
        <v>45271.882024965278</v>
      </c>
      <c r="B284" s="233" t="s">
        <v>395</v>
      </c>
      <c r="C284" s="209" t="s">
        <v>587</v>
      </c>
      <c r="D284" s="232" t="s">
        <v>17</v>
      </c>
      <c r="E284" s="232" t="s">
        <v>515</v>
      </c>
      <c r="F284" s="209" t="s">
        <v>882</v>
      </c>
      <c r="G284" s="232" t="s">
        <v>24</v>
      </c>
      <c r="H284" s="232">
        <v>12</v>
      </c>
      <c r="I284" s="209" t="s">
        <v>531</v>
      </c>
      <c r="J284" s="188"/>
      <c r="K284" s="209" t="s">
        <v>539</v>
      </c>
      <c r="L284" s="209" t="s">
        <v>531</v>
      </c>
      <c r="M284" s="188"/>
      <c r="N284" s="188"/>
      <c r="O284" s="188"/>
      <c r="P284" s="188"/>
      <c r="Q284" s="209" t="s">
        <v>25</v>
      </c>
      <c r="R284" s="209" t="s">
        <v>306</v>
      </c>
      <c r="S284" s="234" t="s">
        <v>25</v>
      </c>
      <c r="T284" s="209" t="s">
        <v>25</v>
      </c>
      <c r="U284" s="209" t="s">
        <v>25</v>
      </c>
      <c r="V284" s="234" t="s">
        <v>25</v>
      </c>
      <c r="W284" s="209" t="s">
        <v>19</v>
      </c>
      <c r="X284" s="209" t="s">
        <v>19</v>
      </c>
      <c r="Y284" s="234" t="s">
        <v>19</v>
      </c>
      <c r="Z284" s="209" t="s">
        <v>306</v>
      </c>
      <c r="AA284" s="209" t="s">
        <v>19</v>
      </c>
      <c r="AB284" s="234" t="s">
        <v>306</v>
      </c>
      <c r="AC284" s="235" t="s">
        <v>306</v>
      </c>
      <c r="AD284" s="209" t="s">
        <v>306</v>
      </c>
      <c r="AE284" s="209" t="s">
        <v>306</v>
      </c>
      <c r="AF284" s="234" t="s">
        <v>306</v>
      </c>
      <c r="AG284" s="209" t="s">
        <v>19</v>
      </c>
      <c r="AH284" s="209" t="s">
        <v>19</v>
      </c>
      <c r="AI284" s="234" t="s">
        <v>19</v>
      </c>
      <c r="AJ284" s="209" t="s">
        <v>19</v>
      </c>
      <c r="AK284" s="209" t="s">
        <v>19</v>
      </c>
      <c r="AL284" s="234" t="s">
        <v>19</v>
      </c>
      <c r="AM284" s="209" t="s">
        <v>19</v>
      </c>
      <c r="AN284" s="209" t="s">
        <v>19</v>
      </c>
      <c r="AO284" s="234" t="s">
        <v>19</v>
      </c>
      <c r="AP284" s="235" t="s">
        <v>19</v>
      </c>
      <c r="AQ284" s="209" t="s">
        <v>306</v>
      </c>
      <c r="AR284" s="209" t="s">
        <v>306</v>
      </c>
      <c r="AS284" s="234" t="s">
        <v>306</v>
      </c>
      <c r="AT284" s="209" t="s">
        <v>25</v>
      </c>
      <c r="AU284" s="209" t="s">
        <v>25</v>
      </c>
      <c r="AV284" s="234" t="s">
        <v>25</v>
      </c>
      <c r="AW284" s="209" t="s">
        <v>19</v>
      </c>
      <c r="AX284" s="209" t="s">
        <v>306</v>
      </c>
      <c r="AY284" s="234" t="s">
        <v>306</v>
      </c>
      <c r="AZ284" s="209" t="s">
        <v>19</v>
      </c>
      <c r="BA284" s="209" t="s">
        <v>25</v>
      </c>
      <c r="BB284" s="234" t="s">
        <v>25</v>
      </c>
      <c r="BC284" s="235" t="s">
        <v>25</v>
      </c>
      <c r="BD284" s="188"/>
    </row>
    <row r="285" spans="1:56" ht="12.75" customHeight="1" x14ac:dyDescent="0.25">
      <c r="A285" s="238">
        <v>45271.884875902775</v>
      </c>
      <c r="B285" s="233" t="s">
        <v>395</v>
      </c>
      <c r="C285" s="209" t="s">
        <v>587</v>
      </c>
      <c r="D285" s="232" t="s">
        <v>17</v>
      </c>
      <c r="E285" s="232" t="s">
        <v>515</v>
      </c>
      <c r="F285" s="209" t="s">
        <v>883</v>
      </c>
      <c r="G285" s="232" t="s">
        <v>24</v>
      </c>
      <c r="H285" s="232">
        <v>12</v>
      </c>
      <c r="I285" s="209" t="s">
        <v>531</v>
      </c>
      <c r="J285" s="188"/>
      <c r="K285" s="209" t="s">
        <v>539</v>
      </c>
      <c r="L285" s="209" t="s">
        <v>531</v>
      </c>
      <c r="M285" s="188"/>
      <c r="N285" s="188"/>
      <c r="O285" s="188"/>
      <c r="P285" s="188"/>
      <c r="Q285" s="209" t="s">
        <v>25</v>
      </c>
      <c r="R285" s="209" t="s">
        <v>19</v>
      </c>
      <c r="S285" s="234" t="s">
        <v>306</v>
      </c>
      <c r="T285" s="209" t="s">
        <v>306</v>
      </c>
      <c r="U285" s="209" t="s">
        <v>19</v>
      </c>
      <c r="V285" s="234" t="s">
        <v>306</v>
      </c>
      <c r="W285" s="209" t="s">
        <v>19</v>
      </c>
      <c r="X285" s="209" t="s">
        <v>306</v>
      </c>
      <c r="Y285" s="234" t="s">
        <v>306</v>
      </c>
      <c r="Z285" s="209" t="s">
        <v>19</v>
      </c>
      <c r="AA285" s="209" t="s">
        <v>19</v>
      </c>
      <c r="AB285" s="234" t="s">
        <v>19</v>
      </c>
      <c r="AC285" s="235" t="s">
        <v>306</v>
      </c>
      <c r="AD285" s="209" t="s">
        <v>306</v>
      </c>
      <c r="AE285" s="209" t="s">
        <v>306</v>
      </c>
      <c r="AF285" s="234" t="s">
        <v>306</v>
      </c>
      <c r="AG285" s="209" t="s">
        <v>19</v>
      </c>
      <c r="AH285" s="209" t="s">
        <v>306</v>
      </c>
      <c r="AI285" s="234" t="s">
        <v>306</v>
      </c>
      <c r="AJ285" s="209" t="s">
        <v>306</v>
      </c>
      <c r="AK285" s="209" t="s">
        <v>306</v>
      </c>
      <c r="AL285" s="234" t="s">
        <v>306</v>
      </c>
      <c r="AM285" s="209" t="s">
        <v>19</v>
      </c>
      <c r="AN285" s="209" t="s">
        <v>19</v>
      </c>
      <c r="AO285" s="234" t="s">
        <v>19</v>
      </c>
      <c r="AP285" s="235" t="s">
        <v>306</v>
      </c>
      <c r="AQ285" s="209" t="s">
        <v>306</v>
      </c>
      <c r="AR285" s="209" t="s">
        <v>306</v>
      </c>
      <c r="AS285" s="234" t="s">
        <v>306</v>
      </c>
      <c r="AT285" s="209" t="s">
        <v>19</v>
      </c>
      <c r="AU285" s="209" t="s">
        <v>19</v>
      </c>
      <c r="AV285" s="234" t="s">
        <v>19</v>
      </c>
      <c r="AW285" s="209" t="s">
        <v>306</v>
      </c>
      <c r="AX285" s="209" t="s">
        <v>19</v>
      </c>
      <c r="AY285" s="234" t="s">
        <v>306</v>
      </c>
      <c r="AZ285" s="209" t="s">
        <v>306</v>
      </c>
      <c r="BA285" s="209" t="s">
        <v>306</v>
      </c>
      <c r="BB285" s="234" t="s">
        <v>25</v>
      </c>
      <c r="BC285" s="235" t="s">
        <v>25</v>
      </c>
      <c r="BD285" s="188"/>
    </row>
    <row r="286" spans="1:56" ht="12.75" customHeight="1" x14ac:dyDescent="0.25">
      <c r="A286" s="238">
        <v>45271.89065021991</v>
      </c>
      <c r="B286" s="233" t="s">
        <v>395</v>
      </c>
      <c r="C286" s="209" t="s">
        <v>587</v>
      </c>
      <c r="D286" s="232" t="s">
        <v>17</v>
      </c>
      <c r="E286" s="232" t="s">
        <v>515</v>
      </c>
      <c r="F286" s="209" t="s">
        <v>884</v>
      </c>
      <c r="G286" s="232" t="s">
        <v>18</v>
      </c>
      <c r="H286" s="232">
        <v>12</v>
      </c>
      <c r="I286" s="209" t="s">
        <v>531</v>
      </c>
      <c r="J286" s="188"/>
      <c r="K286" s="209" t="s">
        <v>539</v>
      </c>
      <c r="L286" s="209" t="s">
        <v>531</v>
      </c>
      <c r="M286" s="188"/>
      <c r="N286" s="188"/>
      <c r="O286" s="188"/>
      <c r="P286" s="188"/>
      <c r="Q286" s="209" t="s">
        <v>25</v>
      </c>
      <c r="R286" s="209" t="s">
        <v>19</v>
      </c>
      <c r="S286" s="234" t="s">
        <v>306</v>
      </c>
      <c r="T286" s="209" t="s">
        <v>25</v>
      </c>
      <c r="U286" s="209" t="s">
        <v>25</v>
      </c>
      <c r="V286" s="234" t="s">
        <v>25</v>
      </c>
      <c r="W286" s="209" t="s">
        <v>19</v>
      </c>
      <c r="X286" s="209" t="s">
        <v>19</v>
      </c>
      <c r="Y286" s="234" t="s">
        <v>19</v>
      </c>
      <c r="Z286" s="209" t="s">
        <v>306</v>
      </c>
      <c r="AA286" s="209" t="s">
        <v>25</v>
      </c>
      <c r="AB286" s="234" t="s">
        <v>25</v>
      </c>
      <c r="AC286" s="235" t="s">
        <v>306</v>
      </c>
      <c r="AD286" s="209" t="s">
        <v>306</v>
      </c>
      <c r="AE286" s="209" t="s">
        <v>25</v>
      </c>
      <c r="AF286" s="234" t="s">
        <v>25</v>
      </c>
      <c r="AG286" s="209" t="s">
        <v>19</v>
      </c>
      <c r="AH286" s="209" t="s">
        <v>19</v>
      </c>
      <c r="AI286" s="234" t="s">
        <v>19</v>
      </c>
      <c r="AJ286" s="209" t="s">
        <v>19</v>
      </c>
      <c r="AK286" s="209" t="s">
        <v>19</v>
      </c>
      <c r="AL286" s="234" t="s">
        <v>19</v>
      </c>
      <c r="AM286" s="209" t="s">
        <v>306</v>
      </c>
      <c r="AN286" s="209" t="s">
        <v>19</v>
      </c>
      <c r="AO286" s="234" t="s">
        <v>306</v>
      </c>
      <c r="AP286" s="235" t="s">
        <v>306</v>
      </c>
      <c r="AQ286" s="209" t="s">
        <v>19</v>
      </c>
      <c r="AR286" s="209" t="s">
        <v>306</v>
      </c>
      <c r="AS286" s="234" t="s">
        <v>306</v>
      </c>
      <c r="AT286" s="209" t="s">
        <v>25</v>
      </c>
      <c r="AU286" s="209" t="s">
        <v>25</v>
      </c>
      <c r="AV286" s="234" t="s">
        <v>25</v>
      </c>
      <c r="AW286" s="209" t="s">
        <v>306</v>
      </c>
      <c r="AX286" s="209" t="s">
        <v>25</v>
      </c>
      <c r="AY286" s="234" t="s">
        <v>25</v>
      </c>
      <c r="AZ286" s="209" t="s">
        <v>19</v>
      </c>
      <c r="BA286" s="209" t="s">
        <v>19</v>
      </c>
      <c r="BB286" s="234" t="s">
        <v>19</v>
      </c>
      <c r="BC286" s="235" t="s">
        <v>306</v>
      </c>
      <c r="BD286" s="188"/>
    </row>
    <row r="287" spans="1:56" ht="12.75" customHeight="1" x14ac:dyDescent="0.25">
      <c r="A287" s="238">
        <v>45271.891196539349</v>
      </c>
      <c r="B287" s="233" t="s">
        <v>395</v>
      </c>
      <c r="C287" s="209" t="s">
        <v>587</v>
      </c>
      <c r="D287" s="232" t="s">
        <v>17</v>
      </c>
      <c r="E287" s="232" t="s">
        <v>515</v>
      </c>
      <c r="F287" s="209" t="s">
        <v>885</v>
      </c>
      <c r="G287" s="232" t="s">
        <v>24</v>
      </c>
      <c r="H287" s="232">
        <v>12</v>
      </c>
      <c r="I287" s="209" t="s">
        <v>531</v>
      </c>
      <c r="J287" s="188"/>
      <c r="K287" s="209" t="s">
        <v>539</v>
      </c>
      <c r="L287" s="209" t="s">
        <v>518</v>
      </c>
      <c r="M287" s="209" t="s">
        <v>368</v>
      </c>
      <c r="N287" s="209" t="s">
        <v>589</v>
      </c>
      <c r="O287" s="209"/>
      <c r="P287" s="209"/>
      <c r="Q287" s="209" t="s">
        <v>306</v>
      </c>
      <c r="R287" s="209" t="s">
        <v>19</v>
      </c>
      <c r="S287" s="234" t="s">
        <v>306</v>
      </c>
      <c r="T287" s="209" t="s">
        <v>19</v>
      </c>
      <c r="U287" s="209" t="s">
        <v>25</v>
      </c>
      <c r="V287" s="234" t="s">
        <v>306</v>
      </c>
      <c r="W287" s="209" t="s">
        <v>19</v>
      </c>
      <c r="X287" s="209" t="s">
        <v>19</v>
      </c>
      <c r="Y287" s="234" t="s">
        <v>19</v>
      </c>
      <c r="Z287" s="209" t="s">
        <v>306</v>
      </c>
      <c r="AA287" s="209" t="s">
        <v>19</v>
      </c>
      <c r="AB287" s="234" t="s">
        <v>306</v>
      </c>
      <c r="AC287" s="235" t="s">
        <v>306</v>
      </c>
      <c r="AD287" s="209" t="s">
        <v>306</v>
      </c>
      <c r="AE287" s="209" t="s">
        <v>306</v>
      </c>
      <c r="AF287" s="234" t="s">
        <v>306</v>
      </c>
      <c r="AG287" s="209" t="s">
        <v>19</v>
      </c>
      <c r="AH287" s="209" t="s">
        <v>19</v>
      </c>
      <c r="AI287" s="234" t="s">
        <v>19</v>
      </c>
      <c r="AJ287" s="209" t="s">
        <v>19</v>
      </c>
      <c r="AK287" s="209" t="s">
        <v>19</v>
      </c>
      <c r="AL287" s="234" t="s">
        <v>19</v>
      </c>
      <c r="AM287" s="209" t="s">
        <v>19</v>
      </c>
      <c r="AN287" s="209" t="s">
        <v>19</v>
      </c>
      <c r="AO287" s="234" t="s">
        <v>19</v>
      </c>
      <c r="AP287" s="235" t="s">
        <v>19</v>
      </c>
      <c r="AQ287" s="209" t="s">
        <v>25</v>
      </c>
      <c r="AR287" s="209" t="s">
        <v>19</v>
      </c>
      <c r="AS287" s="234" t="s">
        <v>306</v>
      </c>
      <c r="AT287" s="209" t="s">
        <v>25</v>
      </c>
      <c r="AU287" s="209" t="s">
        <v>306</v>
      </c>
      <c r="AV287" s="234" t="s">
        <v>25</v>
      </c>
      <c r="AW287" s="209" t="s">
        <v>19</v>
      </c>
      <c r="AX287" s="209" t="s">
        <v>306</v>
      </c>
      <c r="AY287" s="234" t="s">
        <v>306</v>
      </c>
      <c r="AZ287" s="209" t="s">
        <v>19</v>
      </c>
      <c r="BA287" s="209" t="s">
        <v>19</v>
      </c>
      <c r="BB287" s="234" t="s">
        <v>25</v>
      </c>
      <c r="BC287" s="235" t="s">
        <v>25</v>
      </c>
      <c r="BD287" s="188"/>
    </row>
    <row r="288" spans="1:56" ht="12.75" customHeight="1" x14ac:dyDescent="0.25">
      <c r="A288" s="238">
        <v>45271.892045787041</v>
      </c>
      <c r="B288" s="233" t="s">
        <v>395</v>
      </c>
      <c r="C288" s="209" t="s">
        <v>587</v>
      </c>
      <c r="D288" s="232" t="s">
        <v>17</v>
      </c>
      <c r="E288" s="232" t="s">
        <v>515</v>
      </c>
      <c r="F288" s="209" t="s">
        <v>886</v>
      </c>
      <c r="G288" s="232" t="s">
        <v>18</v>
      </c>
      <c r="H288" s="232">
        <v>11</v>
      </c>
      <c r="I288" s="209" t="s">
        <v>531</v>
      </c>
      <c r="J288" s="188"/>
      <c r="K288" s="209" t="s">
        <v>539</v>
      </c>
      <c r="L288" s="209" t="s">
        <v>531</v>
      </c>
      <c r="M288" s="188"/>
      <c r="N288" s="188"/>
      <c r="O288" s="188"/>
      <c r="P288" s="188"/>
      <c r="Q288" s="209" t="s">
        <v>25</v>
      </c>
      <c r="R288" s="209" t="s">
        <v>19</v>
      </c>
      <c r="S288" s="234" t="s">
        <v>306</v>
      </c>
      <c r="T288" s="209" t="s">
        <v>19</v>
      </c>
      <c r="U288" s="209" t="s">
        <v>25</v>
      </c>
      <c r="V288" s="234" t="s">
        <v>306</v>
      </c>
      <c r="W288" s="209" t="s">
        <v>19</v>
      </c>
      <c r="X288" s="209" t="s">
        <v>19</v>
      </c>
      <c r="Y288" s="234" t="s">
        <v>19</v>
      </c>
      <c r="Z288" s="209" t="s">
        <v>25</v>
      </c>
      <c r="AA288" s="209" t="s">
        <v>19</v>
      </c>
      <c r="AB288" s="234" t="s">
        <v>306</v>
      </c>
      <c r="AC288" s="235" t="s">
        <v>306</v>
      </c>
      <c r="AD288" s="209" t="s">
        <v>25</v>
      </c>
      <c r="AE288" s="209" t="s">
        <v>306</v>
      </c>
      <c r="AF288" s="234" t="s">
        <v>25</v>
      </c>
      <c r="AG288" s="209" t="s">
        <v>19</v>
      </c>
      <c r="AH288" s="209" t="s">
        <v>19</v>
      </c>
      <c r="AI288" s="234" t="s">
        <v>19</v>
      </c>
      <c r="AJ288" s="209" t="s">
        <v>19</v>
      </c>
      <c r="AK288" s="209" t="s">
        <v>19</v>
      </c>
      <c r="AL288" s="234" t="s">
        <v>19</v>
      </c>
      <c r="AM288" s="209" t="s">
        <v>19</v>
      </c>
      <c r="AN288" s="209" t="s">
        <v>19</v>
      </c>
      <c r="AO288" s="234" t="s">
        <v>19</v>
      </c>
      <c r="AP288" s="235" t="s">
        <v>19</v>
      </c>
      <c r="AQ288" s="209" t="s">
        <v>25</v>
      </c>
      <c r="AR288" s="209" t="s">
        <v>25</v>
      </c>
      <c r="AS288" s="234" t="s">
        <v>25</v>
      </c>
      <c r="AT288" s="209" t="s">
        <v>25</v>
      </c>
      <c r="AU288" s="209" t="s">
        <v>25</v>
      </c>
      <c r="AV288" s="234" t="s">
        <v>25</v>
      </c>
      <c r="AW288" s="209" t="s">
        <v>25</v>
      </c>
      <c r="AX288" s="209" t="s">
        <v>25</v>
      </c>
      <c r="AY288" s="234" t="s">
        <v>25</v>
      </c>
      <c r="AZ288" s="209" t="s">
        <v>19</v>
      </c>
      <c r="BA288" s="209" t="s">
        <v>25</v>
      </c>
      <c r="BB288" s="234" t="s">
        <v>306</v>
      </c>
      <c r="BC288" s="235" t="s">
        <v>25</v>
      </c>
      <c r="BD288" s="188"/>
    </row>
    <row r="289" spans="1:56" ht="12.75" customHeight="1" x14ac:dyDescent="0.25">
      <c r="A289" s="238">
        <v>45271.893596620372</v>
      </c>
      <c r="B289" s="233" t="s">
        <v>395</v>
      </c>
      <c r="C289" s="209" t="s">
        <v>587</v>
      </c>
      <c r="D289" s="232" t="s">
        <v>17</v>
      </c>
      <c r="E289" s="232" t="s">
        <v>515</v>
      </c>
      <c r="F289" s="209" t="s">
        <v>887</v>
      </c>
      <c r="G289" s="232" t="s">
        <v>18</v>
      </c>
      <c r="H289" s="232">
        <v>13</v>
      </c>
      <c r="I289" s="209" t="s">
        <v>531</v>
      </c>
      <c r="J289" s="188"/>
      <c r="K289" s="209" t="s">
        <v>539</v>
      </c>
      <c r="L289" s="209" t="s">
        <v>518</v>
      </c>
      <c r="M289" s="209" t="s">
        <v>412</v>
      </c>
      <c r="N289" s="209" t="s">
        <v>589</v>
      </c>
      <c r="O289" s="209"/>
      <c r="P289" s="209"/>
      <c r="Q289" s="209" t="s">
        <v>25</v>
      </c>
      <c r="R289" s="209" t="s">
        <v>19</v>
      </c>
      <c r="S289" s="234" t="s">
        <v>306</v>
      </c>
      <c r="T289" s="209" t="s">
        <v>19</v>
      </c>
      <c r="U289" s="209" t="s">
        <v>25</v>
      </c>
      <c r="V289" s="234" t="s">
        <v>306</v>
      </c>
      <c r="W289" s="209" t="s">
        <v>19</v>
      </c>
      <c r="X289" s="209" t="s">
        <v>19</v>
      </c>
      <c r="Y289" s="234" t="s">
        <v>19</v>
      </c>
      <c r="Z289" s="209" t="s">
        <v>306</v>
      </c>
      <c r="AA289" s="209" t="s">
        <v>19</v>
      </c>
      <c r="AB289" s="234" t="s">
        <v>306</v>
      </c>
      <c r="AC289" s="235" t="s">
        <v>306</v>
      </c>
      <c r="AD289" s="209" t="s">
        <v>306</v>
      </c>
      <c r="AE289" s="209" t="s">
        <v>306</v>
      </c>
      <c r="AF289" s="234" t="s">
        <v>306</v>
      </c>
      <c r="AG289" s="209" t="s">
        <v>19</v>
      </c>
      <c r="AH289" s="209" t="s">
        <v>19</v>
      </c>
      <c r="AI289" s="234" t="s">
        <v>19</v>
      </c>
      <c r="AJ289" s="209" t="s">
        <v>19</v>
      </c>
      <c r="AK289" s="209" t="s">
        <v>19</v>
      </c>
      <c r="AL289" s="234" t="s">
        <v>19</v>
      </c>
      <c r="AM289" s="209" t="s">
        <v>19</v>
      </c>
      <c r="AN289" s="209" t="s">
        <v>19</v>
      </c>
      <c r="AO289" s="234" t="s">
        <v>19</v>
      </c>
      <c r="AP289" s="235" t="s">
        <v>19</v>
      </c>
      <c r="AQ289" s="209" t="s">
        <v>25</v>
      </c>
      <c r="AR289" s="209" t="s">
        <v>19</v>
      </c>
      <c r="AS289" s="234" t="s">
        <v>306</v>
      </c>
      <c r="AT289" s="209" t="s">
        <v>25</v>
      </c>
      <c r="AU289" s="209" t="s">
        <v>306</v>
      </c>
      <c r="AV289" s="234" t="s">
        <v>25</v>
      </c>
      <c r="AW289" s="209" t="s">
        <v>19</v>
      </c>
      <c r="AX289" s="209" t="s">
        <v>306</v>
      </c>
      <c r="AY289" s="234" t="s">
        <v>306</v>
      </c>
      <c r="AZ289" s="209" t="s">
        <v>19</v>
      </c>
      <c r="BA289" s="209" t="s">
        <v>19</v>
      </c>
      <c r="BB289" s="234" t="s">
        <v>19</v>
      </c>
      <c r="BC289" s="235" t="s">
        <v>306</v>
      </c>
      <c r="BD289" s="188"/>
    </row>
    <row r="290" spans="1:56" ht="12.75" customHeight="1" x14ac:dyDescent="0.25">
      <c r="A290" s="238">
        <v>45271.893726724535</v>
      </c>
      <c r="B290" s="233" t="s">
        <v>395</v>
      </c>
      <c r="C290" s="209" t="s">
        <v>587</v>
      </c>
      <c r="D290" s="232" t="s">
        <v>17</v>
      </c>
      <c r="E290" s="232" t="s">
        <v>515</v>
      </c>
      <c r="F290" s="209" t="s">
        <v>888</v>
      </c>
      <c r="G290" s="232" t="s">
        <v>18</v>
      </c>
      <c r="H290" s="232">
        <v>12</v>
      </c>
      <c r="I290" s="209" t="s">
        <v>531</v>
      </c>
      <c r="J290" s="188"/>
      <c r="K290" s="209" t="s">
        <v>539</v>
      </c>
      <c r="L290" s="209" t="s">
        <v>531</v>
      </c>
      <c r="M290" s="188"/>
      <c r="N290" s="188"/>
      <c r="O290" s="188"/>
      <c r="P290" s="188"/>
      <c r="Q290" s="209" t="s">
        <v>25</v>
      </c>
      <c r="R290" s="209" t="s">
        <v>19</v>
      </c>
      <c r="S290" s="234" t="s">
        <v>306</v>
      </c>
      <c r="T290" s="209" t="s">
        <v>306</v>
      </c>
      <c r="U290" s="209" t="s">
        <v>25</v>
      </c>
      <c r="V290" s="234" t="s">
        <v>25</v>
      </c>
      <c r="W290" s="209" t="s">
        <v>19</v>
      </c>
      <c r="X290" s="209" t="s">
        <v>306</v>
      </c>
      <c r="Y290" s="234" t="s">
        <v>306</v>
      </c>
      <c r="Z290" s="209" t="s">
        <v>25</v>
      </c>
      <c r="AA290" s="209" t="s">
        <v>19</v>
      </c>
      <c r="AB290" s="234" t="s">
        <v>306</v>
      </c>
      <c r="AC290" s="235" t="s">
        <v>306</v>
      </c>
      <c r="AD290" s="209" t="s">
        <v>306</v>
      </c>
      <c r="AE290" s="209" t="s">
        <v>306</v>
      </c>
      <c r="AF290" s="234" t="s">
        <v>306</v>
      </c>
      <c r="AG290" s="209" t="s">
        <v>19</v>
      </c>
      <c r="AH290" s="209" t="s">
        <v>19</v>
      </c>
      <c r="AI290" s="234" t="s">
        <v>19</v>
      </c>
      <c r="AJ290" s="209" t="s">
        <v>19</v>
      </c>
      <c r="AK290" s="209" t="s">
        <v>306</v>
      </c>
      <c r="AL290" s="234" t="s">
        <v>306</v>
      </c>
      <c r="AM290" s="209" t="s">
        <v>19</v>
      </c>
      <c r="AN290" s="209" t="s">
        <v>19</v>
      </c>
      <c r="AO290" s="234" t="s">
        <v>19</v>
      </c>
      <c r="AP290" s="235" t="s">
        <v>19</v>
      </c>
      <c r="AQ290" s="209" t="s">
        <v>25</v>
      </c>
      <c r="AR290" s="209" t="s">
        <v>25</v>
      </c>
      <c r="AS290" s="234" t="s">
        <v>25</v>
      </c>
      <c r="AT290" s="209" t="s">
        <v>25</v>
      </c>
      <c r="AU290" s="209" t="s">
        <v>25</v>
      </c>
      <c r="AV290" s="234" t="s">
        <v>25</v>
      </c>
      <c r="AW290" s="209" t="s">
        <v>25</v>
      </c>
      <c r="AX290" s="209" t="s">
        <v>19</v>
      </c>
      <c r="AY290" s="234" t="s">
        <v>306</v>
      </c>
      <c r="AZ290" s="209" t="s">
        <v>19</v>
      </c>
      <c r="BA290" s="209" t="s">
        <v>25</v>
      </c>
      <c r="BB290" s="234" t="s">
        <v>306</v>
      </c>
      <c r="BC290" s="235" t="s">
        <v>306</v>
      </c>
      <c r="BD290" s="188"/>
    </row>
    <row r="291" spans="1:56" ht="12.75" customHeight="1" x14ac:dyDescent="0.25">
      <c r="A291" s="238">
        <v>45271.894390972222</v>
      </c>
      <c r="B291" s="233" t="s">
        <v>395</v>
      </c>
      <c r="C291" s="209" t="s">
        <v>587</v>
      </c>
      <c r="D291" s="232" t="s">
        <v>17</v>
      </c>
      <c r="E291" s="232" t="s">
        <v>515</v>
      </c>
      <c r="F291" s="209" t="s">
        <v>889</v>
      </c>
      <c r="G291" s="232" t="s">
        <v>24</v>
      </c>
      <c r="H291" s="232">
        <v>12</v>
      </c>
      <c r="I291" s="209" t="s">
        <v>531</v>
      </c>
      <c r="J291" s="188"/>
      <c r="K291" s="209" t="s">
        <v>539</v>
      </c>
      <c r="L291" s="209" t="s">
        <v>531</v>
      </c>
      <c r="M291" s="188"/>
      <c r="N291" s="188"/>
      <c r="O291" s="188"/>
      <c r="P291" s="188"/>
      <c r="Q291" s="209" t="s">
        <v>25</v>
      </c>
      <c r="R291" s="209" t="s">
        <v>19</v>
      </c>
      <c r="S291" s="234" t="s">
        <v>306</v>
      </c>
      <c r="T291" s="209" t="s">
        <v>306</v>
      </c>
      <c r="U291" s="209" t="s">
        <v>25</v>
      </c>
      <c r="V291" s="234" t="s">
        <v>25</v>
      </c>
      <c r="W291" s="209" t="s">
        <v>19</v>
      </c>
      <c r="X291" s="209" t="s">
        <v>19</v>
      </c>
      <c r="Y291" s="234" t="s">
        <v>19</v>
      </c>
      <c r="Z291" s="209" t="s">
        <v>306</v>
      </c>
      <c r="AA291" s="209" t="s">
        <v>25</v>
      </c>
      <c r="AB291" s="234" t="s">
        <v>25</v>
      </c>
      <c r="AC291" s="235" t="s">
        <v>306</v>
      </c>
      <c r="AD291" s="209" t="s">
        <v>306</v>
      </c>
      <c r="AE291" s="209" t="s">
        <v>25</v>
      </c>
      <c r="AF291" s="234" t="s">
        <v>25</v>
      </c>
      <c r="AG291" s="209" t="s">
        <v>19</v>
      </c>
      <c r="AH291" s="209" t="s">
        <v>19</v>
      </c>
      <c r="AI291" s="234" t="s">
        <v>19</v>
      </c>
      <c r="AJ291" s="209" t="s">
        <v>19</v>
      </c>
      <c r="AK291" s="209" t="s">
        <v>19</v>
      </c>
      <c r="AL291" s="234" t="s">
        <v>19</v>
      </c>
      <c r="AM291" s="209" t="s">
        <v>19</v>
      </c>
      <c r="AN291" s="209" t="s">
        <v>19</v>
      </c>
      <c r="AO291" s="234" t="s">
        <v>19</v>
      </c>
      <c r="AP291" s="235" t="s">
        <v>19</v>
      </c>
      <c r="AQ291" s="209" t="s">
        <v>306</v>
      </c>
      <c r="AR291" s="209" t="s">
        <v>19</v>
      </c>
      <c r="AS291" s="234" t="s">
        <v>306</v>
      </c>
      <c r="AT291" s="209" t="s">
        <v>25</v>
      </c>
      <c r="AU291" s="209" t="s">
        <v>19</v>
      </c>
      <c r="AV291" s="234" t="s">
        <v>306</v>
      </c>
      <c r="AW291" s="209" t="s">
        <v>306</v>
      </c>
      <c r="AX291" s="209" t="s">
        <v>25</v>
      </c>
      <c r="AY291" s="234" t="s">
        <v>25</v>
      </c>
      <c r="AZ291" s="209" t="s">
        <v>19</v>
      </c>
      <c r="BA291" s="209" t="s">
        <v>25</v>
      </c>
      <c r="BB291" s="234" t="s">
        <v>19</v>
      </c>
      <c r="BC291" s="235" t="s">
        <v>306</v>
      </c>
      <c r="BD291" s="188"/>
    </row>
    <row r="292" spans="1:56" ht="12.75" customHeight="1" x14ac:dyDescent="0.25">
      <c r="A292" s="238">
        <v>45271.895489652779</v>
      </c>
      <c r="B292" s="233" t="s">
        <v>395</v>
      </c>
      <c r="C292" s="209" t="s">
        <v>587</v>
      </c>
      <c r="D292" s="232" t="s">
        <v>17</v>
      </c>
      <c r="E292" s="232" t="s">
        <v>515</v>
      </c>
      <c r="F292" s="209" t="s">
        <v>890</v>
      </c>
      <c r="G292" s="232" t="s">
        <v>24</v>
      </c>
      <c r="H292" s="232">
        <v>12</v>
      </c>
      <c r="I292" s="209" t="s">
        <v>531</v>
      </c>
      <c r="J292" s="188"/>
      <c r="K292" s="209" t="s">
        <v>539</v>
      </c>
      <c r="L292" s="209" t="s">
        <v>531</v>
      </c>
      <c r="M292" s="188"/>
      <c r="N292" s="188"/>
      <c r="O292" s="188"/>
      <c r="P292" s="188"/>
      <c r="Q292" s="209" t="s">
        <v>25</v>
      </c>
      <c r="R292" s="209" t="s">
        <v>19</v>
      </c>
      <c r="S292" s="234" t="s">
        <v>306</v>
      </c>
      <c r="T292" s="209" t="s">
        <v>19</v>
      </c>
      <c r="U292" s="209" t="s">
        <v>25</v>
      </c>
      <c r="V292" s="234" t="s">
        <v>306</v>
      </c>
      <c r="W292" s="209" t="s">
        <v>19</v>
      </c>
      <c r="X292" s="209" t="s">
        <v>19</v>
      </c>
      <c r="Y292" s="234" t="s">
        <v>19</v>
      </c>
      <c r="Z292" s="209" t="s">
        <v>306</v>
      </c>
      <c r="AA292" s="209" t="s">
        <v>19</v>
      </c>
      <c r="AB292" s="234" t="s">
        <v>306</v>
      </c>
      <c r="AC292" s="235" t="s">
        <v>306</v>
      </c>
      <c r="AD292" s="209" t="s">
        <v>19</v>
      </c>
      <c r="AE292" s="209" t="s">
        <v>306</v>
      </c>
      <c r="AF292" s="234" t="s">
        <v>306</v>
      </c>
      <c r="AG292" s="209" t="s">
        <v>19</v>
      </c>
      <c r="AH292" s="209" t="s">
        <v>19</v>
      </c>
      <c r="AI292" s="234" t="s">
        <v>19</v>
      </c>
      <c r="AJ292" s="209" t="s">
        <v>19</v>
      </c>
      <c r="AK292" s="209" t="s">
        <v>19</v>
      </c>
      <c r="AL292" s="234" t="s">
        <v>19</v>
      </c>
      <c r="AM292" s="209" t="s">
        <v>19</v>
      </c>
      <c r="AN292" s="209" t="s">
        <v>19</v>
      </c>
      <c r="AO292" s="234" t="s">
        <v>19</v>
      </c>
      <c r="AP292" s="235" t="s">
        <v>19</v>
      </c>
      <c r="AQ292" s="209" t="s">
        <v>25</v>
      </c>
      <c r="AR292" s="209" t="s">
        <v>306</v>
      </c>
      <c r="AS292" s="234" t="s">
        <v>25</v>
      </c>
      <c r="AT292" s="209" t="s">
        <v>25</v>
      </c>
      <c r="AU292" s="209" t="s">
        <v>306</v>
      </c>
      <c r="AV292" s="234" t="s">
        <v>25</v>
      </c>
      <c r="AW292" s="209" t="s">
        <v>25</v>
      </c>
      <c r="AX292" s="209" t="s">
        <v>306</v>
      </c>
      <c r="AY292" s="234" t="s">
        <v>25</v>
      </c>
      <c r="AZ292" s="209" t="s">
        <v>19</v>
      </c>
      <c r="BA292" s="209" t="s">
        <v>25</v>
      </c>
      <c r="BB292" s="234" t="s">
        <v>19</v>
      </c>
      <c r="BC292" s="235" t="s">
        <v>19</v>
      </c>
      <c r="BD292" s="188"/>
    </row>
    <row r="293" spans="1:56" ht="12.75" customHeight="1" x14ac:dyDescent="0.25">
      <c r="A293" s="238">
        <v>45271.895685914351</v>
      </c>
      <c r="B293" s="233" t="s">
        <v>395</v>
      </c>
      <c r="C293" s="209" t="s">
        <v>587</v>
      </c>
      <c r="D293" s="232" t="s">
        <v>17</v>
      </c>
      <c r="E293" s="232" t="s">
        <v>515</v>
      </c>
      <c r="F293" s="209" t="s">
        <v>891</v>
      </c>
      <c r="G293" s="232" t="s">
        <v>24</v>
      </c>
      <c r="H293" s="232">
        <v>12</v>
      </c>
      <c r="I293" s="209" t="s">
        <v>531</v>
      </c>
      <c r="J293" s="188"/>
      <c r="K293" s="209" t="s">
        <v>539</v>
      </c>
      <c r="L293" s="209" t="s">
        <v>518</v>
      </c>
      <c r="M293" s="209" t="s">
        <v>412</v>
      </c>
      <c r="N293" s="209" t="s">
        <v>589</v>
      </c>
      <c r="O293" s="209"/>
      <c r="P293" s="209"/>
      <c r="Q293" s="209" t="s">
        <v>25</v>
      </c>
      <c r="R293" s="209" t="s">
        <v>19</v>
      </c>
      <c r="S293" s="234" t="s">
        <v>306</v>
      </c>
      <c r="T293" s="209" t="s">
        <v>19</v>
      </c>
      <c r="U293" s="209" t="s">
        <v>25</v>
      </c>
      <c r="V293" s="234" t="s">
        <v>306</v>
      </c>
      <c r="W293" s="209" t="s">
        <v>19</v>
      </c>
      <c r="X293" s="209" t="s">
        <v>19</v>
      </c>
      <c r="Y293" s="234" t="s">
        <v>19</v>
      </c>
      <c r="Z293" s="209" t="s">
        <v>306</v>
      </c>
      <c r="AA293" s="209" t="s">
        <v>19</v>
      </c>
      <c r="AB293" s="234" t="s">
        <v>306</v>
      </c>
      <c r="AC293" s="235" t="s">
        <v>306</v>
      </c>
      <c r="AD293" s="209" t="s">
        <v>19</v>
      </c>
      <c r="AE293" s="209" t="s">
        <v>306</v>
      </c>
      <c r="AF293" s="234" t="s">
        <v>306</v>
      </c>
      <c r="AG293" s="209" t="s">
        <v>19</v>
      </c>
      <c r="AH293" s="209" t="s">
        <v>19</v>
      </c>
      <c r="AI293" s="234" t="s">
        <v>19</v>
      </c>
      <c r="AJ293" s="209" t="s">
        <v>19</v>
      </c>
      <c r="AK293" s="209" t="s">
        <v>19</v>
      </c>
      <c r="AL293" s="234" t="s">
        <v>19</v>
      </c>
      <c r="AM293" s="209" t="s">
        <v>19</v>
      </c>
      <c r="AN293" s="209" t="s">
        <v>19</v>
      </c>
      <c r="AO293" s="234" t="s">
        <v>19</v>
      </c>
      <c r="AP293" s="235" t="s">
        <v>19</v>
      </c>
      <c r="AQ293" s="209" t="s">
        <v>19</v>
      </c>
      <c r="AR293" s="209" t="s">
        <v>19</v>
      </c>
      <c r="AS293" s="234" t="s">
        <v>19</v>
      </c>
      <c r="AT293" s="209" t="s">
        <v>25</v>
      </c>
      <c r="AU293" s="209" t="s">
        <v>19</v>
      </c>
      <c r="AV293" s="234" t="s">
        <v>306</v>
      </c>
      <c r="AW293" s="209" t="s">
        <v>19</v>
      </c>
      <c r="AX293" s="209" t="s">
        <v>306</v>
      </c>
      <c r="AY293" s="234" t="s">
        <v>306</v>
      </c>
      <c r="AZ293" s="209" t="s">
        <v>19</v>
      </c>
      <c r="BA293" s="209" t="s">
        <v>19</v>
      </c>
      <c r="BB293" s="234" t="s">
        <v>306</v>
      </c>
      <c r="BC293" s="235" t="s">
        <v>306</v>
      </c>
      <c r="BD293" s="188"/>
    </row>
    <row r="294" spans="1:56" ht="12.75" customHeight="1" x14ac:dyDescent="0.25">
      <c r="A294" s="238">
        <v>45271.896585416667</v>
      </c>
      <c r="B294" s="233" t="s">
        <v>395</v>
      </c>
      <c r="C294" s="209" t="s">
        <v>587</v>
      </c>
      <c r="D294" s="232" t="s">
        <v>17</v>
      </c>
      <c r="E294" s="232" t="s">
        <v>515</v>
      </c>
      <c r="F294" s="209" t="s">
        <v>892</v>
      </c>
      <c r="G294" s="232" t="s">
        <v>18</v>
      </c>
      <c r="H294" s="232">
        <v>12</v>
      </c>
      <c r="I294" s="209" t="s">
        <v>531</v>
      </c>
      <c r="J294" s="188"/>
      <c r="K294" s="209" t="s">
        <v>539</v>
      </c>
      <c r="L294" s="209" t="s">
        <v>531</v>
      </c>
      <c r="M294" s="188"/>
      <c r="N294" s="188"/>
      <c r="O294" s="188"/>
      <c r="P294" s="188"/>
      <c r="Q294" s="209" t="s">
        <v>25</v>
      </c>
      <c r="R294" s="209" t="s">
        <v>19</v>
      </c>
      <c r="S294" s="234" t="s">
        <v>306</v>
      </c>
      <c r="T294" s="209" t="s">
        <v>25</v>
      </c>
      <c r="U294" s="209" t="s">
        <v>25</v>
      </c>
      <c r="V294" s="234" t="s">
        <v>25</v>
      </c>
      <c r="W294" s="209" t="s">
        <v>19</v>
      </c>
      <c r="X294" s="209" t="s">
        <v>19</v>
      </c>
      <c r="Y294" s="234" t="s">
        <v>19</v>
      </c>
      <c r="Z294" s="209" t="s">
        <v>306</v>
      </c>
      <c r="AA294" s="209" t="s">
        <v>25</v>
      </c>
      <c r="AB294" s="234" t="s">
        <v>25</v>
      </c>
      <c r="AC294" s="235" t="s">
        <v>306</v>
      </c>
      <c r="AD294" s="209" t="s">
        <v>306</v>
      </c>
      <c r="AE294" s="209" t="s">
        <v>25</v>
      </c>
      <c r="AF294" s="234" t="s">
        <v>25</v>
      </c>
      <c r="AG294" s="209" t="s">
        <v>19</v>
      </c>
      <c r="AH294" s="209" t="s">
        <v>19</v>
      </c>
      <c r="AI294" s="234" t="s">
        <v>19</v>
      </c>
      <c r="AJ294" s="209" t="s">
        <v>19</v>
      </c>
      <c r="AK294" s="209" t="s">
        <v>306</v>
      </c>
      <c r="AL294" s="234" t="s">
        <v>306</v>
      </c>
      <c r="AM294" s="209" t="s">
        <v>19</v>
      </c>
      <c r="AN294" s="209" t="s">
        <v>19</v>
      </c>
      <c r="AO294" s="234" t="s">
        <v>19</v>
      </c>
      <c r="AP294" s="235" t="s">
        <v>306</v>
      </c>
      <c r="AQ294" s="209" t="s">
        <v>25</v>
      </c>
      <c r="AR294" s="209" t="s">
        <v>19</v>
      </c>
      <c r="AS294" s="234" t="s">
        <v>306</v>
      </c>
      <c r="AT294" s="209" t="s">
        <v>25</v>
      </c>
      <c r="AU294" s="209" t="s">
        <v>25</v>
      </c>
      <c r="AV294" s="234" t="s">
        <v>25</v>
      </c>
      <c r="AW294" s="209" t="s">
        <v>306</v>
      </c>
      <c r="AX294" s="209" t="s">
        <v>25</v>
      </c>
      <c r="AY294" s="234" t="s">
        <v>25</v>
      </c>
      <c r="AZ294" s="209" t="s">
        <v>19</v>
      </c>
      <c r="BA294" s="209" t="s">
        <v>25</v>
      </c>
      <c r="BB294" s="234" t="s">
        <v>19</v>
      </c>
      <c r="BC294" s="235" t="s">
        <v>306</v>
      </c>
      <c r="BD294" s="188"/>
    </row>
    <row r="295" spans="1:56" ht="12.75" customHeight="1" x14ac:dyDescent="0.25">
      <c r="A295" s="238">
        <v>45271.898237546295</v>
      </c>
      <c r="B295" s="233" t="s">
        <v>395</v>
      </c>
      <c r="C295" s="209" t="s">
        <v>587</v>
      </c>
      <c r="D295" s="232" t="s">
        <v>17</v>
      </c>
      <c r="E295" s="232" t="s">
        <v>515</v>
      </c>
      <c r="F295" s="209" t="s">
        <v>893</v>
      </c>
      <c r="G295" s="232" t="s">
        <v>24</v>
      </c>
      <c r="H295" s="232">
        <v>11</v>
      </c>
      <c r="I295" s="209" t="s">
        <v>531</v>
      </c>
      <c r="J295" s="188"/>
      <c r="K295" s="209" t="s">
        <v>539</v>
      </c>
      <c r="L295" s="209" t="s">
        <v>518</v>
      </c>
      <c r="M295" s="209" t="s">
        <v>412</v>
      </c>
      <c r="N295" s="209" t="s">
        <v>589</v>
      </c>
      <c r="O295" s="209"/>
      <c r="P295" s="209"/>
      <c r="Q295" s="209" t="s">
        <v>306</v>
      </c>
      <c r="R295" s="209" t="s">
        <v>19</v>
      </c>
      <c r="S295" s="234" t="s">
        <v>306</v>
      </c>
      <c r="T295" s="209" t="s">
        <v>19</v>
      </c>
      <c r="U295" s="209" t="s">
        <v>306</v>
      </c>
      <c r="V295" s="234" t="s">
        <v>306</v>
      </c>
      <c r="W295" s="209" t="s">
        <v>19</v>
      </c>
      <c r="X295" s="209" t="s">
        <v>19</v>
      </c>
      <c r="Y295" s="234" t="s">
        <v>19</v>
      </c>
      <c r="Z295" s="209" t="s">
        <v>19</v>
      </c>
      <c r="AA295" s="209" t="s">
        <v>19</v>
      </c>
      <c r="AB295" s="234" t="s">
        <v>19</v>
      </c>
      <c r="AC295" s="235" t="s">
        <v>19</v>
      </c>
      <c r="AD295" s="209" t="s">
        <v>306</v>
      </c>
      <c r="AE295" s="209" t="s">
        <v>19</v>
      </c>
      <c r="AF295" s="234" t="s">
        <v>306</v>
      </c>
      <c r="AG295" s="209" t="s">
        <v>19</v>
      </c>
      <c r="AH295" s="209" t="s">
        <v>19</v>
      </c>
      <c r="AI295" s="234" t="s">
        <v>19</v>
      </c>
      <c r="AJ295" s="209" t="s">
        <v>19</v>
      </c>
      <c r="AK295" s="209" t="s">
        <v>19</v>
      </c>
      <c r="AL295" s="234" t="s">
        <v>19</v>
      </c>
      <c r="AM295" s="209" t="s">
        <v>19</v>
      </c>
      <c r="AN295" s="209" t="s">
        <v>19</v>
      </c>
      <c r="AO295" s="234" t="s">
        <v>19</v>
      </c>
      <c r="AP295" s="235" t="s">
        <v>19</v>
      </c>
      <c r="AQ295" s="209" t="s">
        <v>19</v>
      </c>
      <c r="AR295" s="209" t="s">
        <v>19</v>
      </c>
      <c r="AS295" s="234" t="s">
        <v>19</v>
      </c>
      <c r="AT295" s="209" t="s">
        <v>25</v>
      </c>
      <c r="AU295" s="209" t="s">
        <v>306</v>
      </c>
      <c r="AV295" s="234" t="s">
        <v>25</v>
      </c>
      <c r="AW295" s="209" t="s">
        <v>19</v>
      </c>
      <c r="AX295" s="209" t="s">
        <v>19</v>
      </c>
      <c r="AY295" s="234" t="s">
        <v>19</v>
      </c>
      <c r="AZ295" s="209" t="s">
        <v>19</v>
      </c>
      <c r="BA295" s="209" t="s">
        <v>19</v>
      </c>
      <c r="BB295" s="234" t="s">
        <v>19</v>
      </c>
      <c r="BC295" s="235" t="s">
        <v>306</v>
      </c>
      <c r="BD295" s="188"/>
    </row>
    <row r="296" spans="1:56" ht="12.75" customHeight="1" x14ac:dyDescent="0.25">
      <c r="A296" s="238">
        <v>45271.899208576389</v>
      </c>
      <c r="B296" s="233" t="s">
        <v>395</v>
      </c>
      <c r="C296" s="209" t="s">
        <v>587</v>
      </c>
      <c r="D296" s="232" t="s">
        <v>17</v>
      </c>
      <c r="E296" s="232" t="s">
        <v>515</v>
      </c>
      <c r="F296" s="209" t="s">
        <v>894</v>
      </c>
      <c r="G296" s="232" t="s">
        <v>18</v>
      </c>
      <c r="H296" s="232">
        <v>12</v>
      </c>
      <c r="I296" s="209" t="s">
        <v>531</v>
      </c>
      <c r="J296" s="188"/>
      <c r="K296" s="209" t="s">
        <v>539</v>
      </c>
      <c r="L296" s="209" t="s">
        <v>531</v>
      </c>
      <c r="M296" s="188"/>
      <c r="N296" s="188"/>
      <c r="O296" s="188"/>
      <c r="P296" s="188"/>
      <c r="Q296" s="209" t="s">
        <v>25</v>
      </c>
      <c r="R296" s="209" t="s">
        <v>306</v>
      </c>
      <c r="S296" s="234" t="s">
        <v>25</v>
      </c>
      <c r="T296" s="209" t="s">
        <v>25</v>
      </c>
      <c r="U296" s="209" t="s">
        <v>25</v>
      </c>
      <c r="V296" s="234" t="s">
        <v>25</v>
      </c>
      <c r="W296" s="209" t="s">
        <v>19</v>
      </c>
      <c r="X296" s="209" t="s">
        <v>19</v>
      </c>
      <c r="Y296" s="234" t="s">
        <v>19</v>
      </c>
      <c r="Z296" s="209" t="s">
        <v>306</v>
      </c>
      <c r="AA296" s="209" t="s">
        <v>25</v>
      </c>
      <c r="AB296" s="234" t="s">
        <v>25</v>
      </c>
      <c r="AC296" s="235" t="s">
        <v>306</v>
      </c>
      <c r="AD296" s="209" t="s">
        <v>306</v>
      </c>
      <c r="AE296" s="209" t="s">
        <v>25</v>
      </c>
      <c r="AF296" s="234" t="s">
        <v>25</v>
      </c>
      <c r="AG296" s="209" t="s">
        <v>19</v>
      </c>
      <c r="AH296" s="209" t="s">
        <v>19</v>
      </c>
      <c r="AI296" s="234" t="s">
        <v>19</v>
      </c>
      <c r="AJ296" s="209" t="s">
        <v>19</v>
      </c>
      <c r="AK296" s="209" t="s">
        <v>306</v>
      </c>
      <c r="AL296" s="234" t="s">
        <v>306</v>
      </c>
      <c r="AM296" s="209" t="s">
        <v>19</v>
      </c>
      <c r="AN296" s="209" t="s">
        <v>19</v>
      </c>
      <c r="AO296" s="234" t="s">
        <v>19</v>
      </c>
      <c r="AP296" s="235" t="s">
        <v>306</v>
      </c>
      <c r="AQ296" s="209" t="s">
        <v>306</v>
      </c>
      <c r="AR296" s="209" t="s">
        <v>306</v>
      </c>
      <c r="AS296" s="234" t="s">
        <v>306</v>
      </c>
      <c r="AT296" s="209" t="s">
        <v>25</v>
      </c>
      <c r="AU296" s="209" t="s">
        <v>25</v>
      </c>
      <c r="AV296" s="234" t="s">
        <v>25</v>
      </c>
      <c r="AW296" s="209" t="s">
        <v>306</v>
      </c>
      <c r="AX296" s="209" t="s">
        <v>25</v>
      </c>
      <c r="AY296" s="234" t="s">
        <v>25</v>
      </c>
      <c r="AZ296" s="209" t="s">
        <v>19</v>
      </c>
      <c r="BA296" s="209" t="s">
        <v>25</v>
      </c>
      <c r="BB296" s="234" t="s">
        <v>19</v>
      </c>
      <c r="BC296" s="235" t="s">
        <v>19</v>
      </c>
      <c r="BD296" s="188"/>
    </row>
    <row r="297" spans="1:56" ht="12.75" customHeight="1" x14ac:dyDescent="0.25">
      <c r="A297" s="238">
        <v>45271.903326805557</v>
      </c>
      <c r="B297" s="233" t="s">
        <v>395</v>
      </c>
      <c r="C297" s="209" t="s">
        <v>587</v>
      </c>
      <c r="D297" s="232" t="s">
        <v>17</v>
      </c>
      <c r="E297" s="232" t="s">
        <v>515</v>
      </c>
      <c r="F297" s="209" t="s">
        <v>895</v>
      </c>
      <c r="G297" s="232" t="s">
        <v>18</v>
      </c>
      <c r="H297" s="232">
        <v>12</v>
      </c>
      <c r="I297" s="209" t="s">
        <v>531</v>
      </c>
      <c r="J297" s="188"/>
      <c r="K297" s="209" t="s">
        <v>539</v>
      </c>
      <c r="L297" s="209" t="s">
        <v>518</v>
      </c>
      <c r="M297" s="209" t="s">
        <v>412</v>
      </c>
      <c r="N297" s="209" t="s">
        <v>589</v>
      </c>
      <c r="O297" s="209"/>
      <c r="P297" s="209"/>
      <c r="Q297" s="209" t="s">
        <v>306</v>
      </c>
      <c r="R297" s="209" t="s">
        <v>19</v>
      </c>
      <c r="S297" s="234" t="s">
        <v>306</v>
      </c>
      <c r="T297" s="209" t="s">
        <v>19</v>
      </c>
      <c r="U297" s="209" t="s">
        <v>25</v>
      </c>
      <c r="V297" s="234" t="s">
        <v>306</v>
      </c>
      <c r="W297" s="209" t="s">
        <v>19</v>
      </c>
      <c r="X297" s="209" t="s">
        <v>19</v>
      </c>
      <c r="Y297" s="234" t="s">
        <v>19</v>
      </c>
      <c r="Z297" s="209" t="s">
        <v>306</v>
      </c>
      <c r="AA297" s="209" t="s">
        <v>19</v>
      </c>
      <c r="AB297" s="234" t="s">
        <v>306</v>
      </c>
      <c r="AC297" s="235" t="s">
        <v>306</v>
      </c>
      <c r="AD297" s="209" t="s">
        <v>306</v>
      </c>
      <c r="AE297" s="209" t="s">
        <v>306</v>
      </c>
      <c r="AF297" s="234" t="s">
        <v>306</v>
      </c>
      <c r="AG297" s="209" t="s">
        <v>19</v>
      </c>
      <c r="AH297" s="209" t="s">
        <v>19</v>
      </c>
      <c r="AI297" s="234" t="s">
        <v>19</v>
      </c>
      <c r="AJ297" s="209" t="s">
        <v>19</v>
      </c>
      <c r="AK297" s="209" t="s">
        <v>19</v>
      </c>
      <c r="AL297" s="234" t="s">
        <v>19</v>
      </c>
      <c r="AM297" s="209" t="s">
        <v>19</v>
      </c>
      <c r="AN297" s="209" t="s">
        <v>19</v>
      </c>
      <c r="AO297" s="234" t="s">
        <v>19</v>
      </c>
      <c r="AP297" s="235" t="s">
        <v>19</v>
      </c>
      <c r="AQ297" s="209" t="s">
        <v>25</v>
      </c>
      <c r="AR297" s="209" t="s">
        <v>306</v>
      </c>
      <c r="AS297" s="234" t="s">
        <v>25</v>
      </c>
      <c r="AT297" s="209" t="s">
        <v>25</v>
      </c>
      <c r="AU297" s="209" t="s">
        <v>25</v>
      </c>
      <c r="AV297" s="234" t="s">
        <v>25</v>
      </c>
      <c r="AW297" s="209" t="s">
        <v>306</v>
      </c>
      <c r="AX297" s="209" t="s">
        <v>19</v>
      </c>
      <c r="AY297" s="234" t="s">
        <v>306</v>
      </c>
      <c r="AZ297" s="209" t="s">
        <v>25</v>
      </c>
      <c r="BA297" s="209" t="s">
        <v>19</v>
      </c>
      <c r="BB297" s="234" t="s">
        <v>19</v>
      </c>
      <c r="BC297" s="235" t="s">
        <v>19</v>
      </c>
      <c r="BD297" s="188"/>
    </row>
    <row r="298" spans="1:56" ht="12.75" customHeight="1" x14ac:dyDescent="0.25">
      <c r="A298" s="238">
        <v>45271.906168449073</v>
      </c>
      <c r="B298" s="233" t="s">
        <v>395</v>
      </c>
      <c r="C298" s="209" t="s">
        <v>587</v>
      </c>
      <c r="D298" s="232" t="s">
        <v>17</v>
      </c>
      <c r="E298" s="232" t="s">
        <v>515</v>
      </c>
      <c r="F298" s="209" t="s">
        <v>896</v>
      </c>
      <c r="G298" s="232" t="s">
        <v>24</v>
      </c>
      <c r="H298" s="232">
        <v>12</v>
      </c>
      <c r="I298" s="209" t="s">
        <v>531</v>
      </c>
      <c r="J298" s="188"/>
      <c r="K298" s="209" t="s">
        <v>539</v>
      </c>
      <c r="L298" s="209" t="s">
        <v>518</v>
      </c>
      <c r="M298" s="209" t="s">
        <v>412</v>
      </c>
      <c r="N298" s="209" t="s">
        <v>589</v>
      </c>
      <c r="O298" s="209"/>
      <c r="P298" s="209"/>
      <c r="Q298" s="209" t="s">
        <v>25</v>
      </c>
      <c r="R298" s="209" t="s">
        <v>19</v>
      </c>
      <c r="S298" s="234" t="s">
        <v>306</v>
      </c>
      <c r="T298" s="209" t="s">
        <v>19</v>
      </c>
      <c r="U298" s="209" t="s">
        <v>25</v>
      </c>
      <c r="V298" s="234" t="s">
        <v>306</v>
      </c>
      <c r="W298" s="209" t="s">
        <v>19</v>
      </c>
      <c r="X298" s="209" t="s">
        <v>19</v>
      </c>
      <c r="Y298" s="234" t="s">
        <v>19</v>
      </c>
      <c r="Z298" s="209" t="s">
        <v>306</v>
      </c>
      <c r="AA298" s="209" t="s">
        <v>19</v>
      </c>
      <c r="AB298" s="234" t="s">
        <v>306</v>
      </c>
      <c r="AC298" s="235" t="s">
        <v>306</v>
      </c>
      <c r="AD298" s="209" t="s">
        <v>306</v>
      </c>
      <c r="AE298" s="209" t="s">
        <v>25</v>
      </c>
      <c r="AF298" s="234" t="s">
        <v>25</v>
      </c>
      <c r="AG298" s="209" t="s">
        <v>19</v>
      </c>
      <c r="AH298" s="209" t="s">
        <v>19</v>
      </c>
      <c r="AI298" s="234" t="s">
        <v>19</v>
      </c>
      <c r="AJ298" s="209" t="s">
        <v>19</v>
      </c>
      <c r="AK298" s="209" t="s">
        <v>19</v>
      </c>
      <c r="AL298" s="234" t="s">
        <v>19</v>
      </c>
      <c r="AM298" s="209" t="s">
        <v>19</v>
      </c>
      <c r="AN298" s="209" t="s">
        <v>19</v>
      </c>
      <c r="AO298" s="234" t="s">
        <v>19</v>
      </c>
      <c r="AP298" s="235" t="s">
        <v>19</v>
      </c>
      <c r="AQ298" s="209" t="s">
        <v>19</v>
      </c>
      <c r="AR298" s="209" t="s">
        <v>306</v>
      </c>
      <c r="AS298" s="234" t="s">
        <v>306</v>
      </c>
      <c r="AT298" s="209" t="s">
        <v>25</v>
      </c>
      <c r="AU298" s="209" t="s">
        <v>306</v>
      </c>
      <c r="AV298" s="234" t="s">
        <v>25</v>
      </c>
      <c r="AW298" s="209" t="s">
        <v>19</v>
      </c>
      <c r="AX298" s="209" t="s">
        <v>19</v>
      </c>
      <c r="AY298" s="234" t="s">
        <v>19</v>
      </c>
      <c r="AZ298" s="209" t="s">
        <v>19</v>
      </c>
      <c r="BA298" s="209" t="s">
        <v>19</v>
      </c>
      <c r="BB298" s="234" t="s">
        <v>306</v>
      </c>
      <c r="BC298" s="235" t="s">
        <v>306</v>
      </c>
      <c r="BD298" s="188"/>
    </row>
    <row r="299" spans="1:56" ht="12.75" customHeight="1" x14ac:dyDescent="0.25">
      <c r="A299" s="238">
        <v>45271.907720798612</v>
      </c>
      <c r="B299" s="233" t="s">
        <v>395</v>
      </c>
      <c r="C299" s="209" t="s">
        <v>587</v>
      </c>
      <c r="D299" s="232" t="s">
        <v>17</v>
      </c>
      <c r="E299" s="232" t="s">
        <v>515</v>
      </c>
      <c r="F299" s="209" t="s">
        <v>897</v>
      </c>
      <c r="G299" s="232" t="s">
        <v>18</v>
      </c>
      <c r="H299" s="232">
        <v>12</v>
      </c>
      <c r="I299" s="209" t="s">
        <v>531</v>
      </c>
      <c r="J299" s="188"/>
      <c r="K299" s="209" t="s">
        <v>539</v>
      </c>
      <c r="L299" s="209" t="s">
        <v>531</v>
      </c>
      <c r="M299" s="188"/>
      <c r="N299" s="188"/>
      <c r="O299" s="188"/>
      <c r="P299" s="188"/>
      <c r="Q299" s="209" t="s">
        <v>25</v>
      </c>
      <c r="R299" s="209" t="s">
        <v>19</v>
      </c>
      <c r="S299" s="234" t="s">
        <v>306</v>
      </c>
      <c r="T299" s="209" t="s">
        <v>19</v>
      </c>
      <c r="U299" s="209" t="s">
        <v>25</v>
      </c>
      <c r="V299" s="234" t="s">
        <v>306</v>
      </c>
      <c r="W299" s="209" t="s">
        <v>19</v>
      </c>
      <c r="X299" s="209" t="s">
        <v>19</v>
      </c>
      <c r="Y299" s="234" t="s">
        <v>19</v>
      </c>
      <c r="Z299" s="209" t="s">
        <v>306</v>
      </c>
      <c r="AA299" s="209" t="s">
        <v>19</v>
      </c>
      <c r="AB299" s="234" t="s">
        <v>306</v>
      </c>
      <c r="AC299" s="235" t="s">
        <v>306</v>
      </c>
      <c r="AD299" s="209" t="s">
        <v>19</v>
      </c>
      <c r="AE299" s="209" t="s">
        <v>306</v>
      </c>
      <c r="AF299" s="234" t="s">
        <v>306</v>
      </c>
      <c r="AG299" s="209" t="s">
        <v>19</v>
      </c>
      <c r="AH299" s="209" t="s">
        <v>19</v>
      </c>
      <c r="AI299" s="234" t="s">
        <v>19</v>
      </c>
      <c r="AJ299" s="209" t="s">
        <v>19</v>
      </c>
      <c r="AK299" s="209" t="s">
        <v>19</v>
      </c>
      <c r="AL299" s="234" t="s">
        <v>19</v>
      </c>
      <c r="AM299" s="209" t="s">
        <v>19</v>
      </c>
      <c r="AN299" s="209" t="s">
        <v>19</v>
      </c>
      <c r="AO299" s="234" t="s">
        <v>19</v>
      </c>
      <c r="AP299" s="235" t="s">
        <v>19</v>
      </c>
      <c r="AQ299" s="209" t="s">
        <v>25</v>
      </c>
      <c r="AR299" s="209" t="s">
        <v>306</v>
      </c>
      <c r="AS299" s="234" t="s">
        <v>25</v>
      </c>
      <c r="AT299" s="209" t="s">
        <v>19</v>
      </c>
      <c r="AU299" s="209" t="s">
        <v>25</v>
      </c>
      <c r="AV299" s="234" t="s">
        <v>306</v>
      </c>
      <c r="AW299" s="209" t="s">
        <v>25</v>
      </c>
      <c r="AX299" s="209" t="s">
        <v>19</v>
      </c>
      <c r="AY299" s="234" t="s">
        <v>306</v>
      </c>
      <c r="AZ299" s="209" t="s">
        <v>19</v>
      </c>
      <c r="BA299" s="209" t="s">
        <v>25</v>
      </c>
      <c r="BB299" s="234" t="s">
        <v>306</v>
      </c>
      <c r="BC299" s="235" t="s">
        <v>306</v>
      </c>
      <c r="BD299" s="188"/>
    </row>
    <row r="300" spans="1:56" ht="12.75" customHeight="1" x14ac:dyDescent="0.25">
      <c r="A300" s="238">
        <v>45271.90776746528</v>
      </c>
      <c r="B300" s="233" t="s">
        <v>395</v>
      </c>
      <c r="C300" s="209" t="s">
        <v>587</v>
      </c>
      <c r="D300" s="232" t="s">
        <v>17</v>
      </c>
      <c r="E300" s="232" t="s">
        <v>515</v>
      </c>
      <c r="F300" s="209" t="s">
        <v>898</v>
      </c>
      <c r="G300" s="232" t="s">
        <v>24</v>
      </c>
      <c r="H300" s="232">
        <v>11</v>
      </c>
      <c r="I300" s="209" t="s">
        <v>531</v>
      </c>
      <c r="J300" s="188"/>
      <c r="K300" s="209" t="s">
        <v>539</v>
      </c>
      <c r="L300" s="209" t="s">
        <v>518</v>
      </c>
      <c r="M300" s="209" t="s">
        <v>412</v>
      </c>
      <c r="N300" s="209" t="s">
        <v>589</v>
      </c>
      <c r="O300" s="209"/>
      <c r="P300" s="209"/>
      <c r="Q300" s="209" t="s">
        <v>25</v>
      </c>
      <c r="R300" s="209" t="s">
        <v>19</v>
      </c>
      <c r="S300" s="234" t="s">
        <v>306</v>
      </c>
      <c r="T300" s="209" t="s">
        <v>19</v>
      </c>
      <c r="U300" s="209" t="s">
        <v>25</v>
      </c>
      <c r="V300" s="234" t="s">
        <v>306</v>
      </c>
      <c r="W300" s="209" t="s">
        <v>19</v>
      </c>
      <c r="X300" s="209" t="s">
        <v>19</v>
      </c>
      <c r="Y300" s="234" t="s">
        <v>19</v>
      </c>
      <c r="Z300" s="209" t="s">
        <v>306</v>
      </c>
      <c r="AA300" s="209" t="s">
        <v>25</v>
      </c>
      <c r="AB300" s="234" t="s">
        <v>25</v>
      </c>
      <c r="AC300" s="235" t="s">
        <v>306</v>
      </c>
      <c r="AD300" s="209" t="s">
        <v>25</v>
      </c>
      <c r="AE300" s="209" t="s">
        <v>19</v>
      </c>
      <c r="AF300" s="234" t="s">
        <v>306</v>
      </c>
      <c r="AG300" s="209" t="s">
        <v>19</v>
      </c>
      <c r="AH300" s="209" t="s">
        <v>19</v>
      </c>
      <c r="AI300" s="234" t="s">
        <v>19</v>
      </c>
      <c r="AJ300" s="209" t="s">
        <v>19</v>
      </c>
      <c r="AK300" s="209" t="s">
        <v>19</v>
      </c>
      <c r="AL300" s="234" t="s">
        <v>19</v>
      </c>
      <c r="AM300" s="209" t="s">
        <v>19</v>
      </c>
      <c r="AN300" s="209" t="s">
        <v>19</v>
      </c>
      <c r="AO300" s="234" t="s">
        <v>19</v>
      </c>
      <c r="AP300" s="235" t="s">
        <v>19</v>
      </c>
      <c r="AQ300" s="209" t="s">
        <v>19</v>
      </c>
      <c r="AR300" s="209" t="s">
        <v>19</v>
      </c>
      <c r="AS300" s="234" t="s">
        <v>19</v>
      </c>
      <c r="AT300" s="209" t="s">
        <v>25</v>
      </c>
      <c r="AU300" s="209" t="s">
        <v>25</v>
      </c>
      <c r="AV300" s="234" t="s">
        <v>25</v>
      </c>
      <c r="AW300" s="209" t="s">
        <v>19</v>
      </c>
      <c r="AX300" s="209" t="s">
        <v>19</v>
      </c>
      <c r="AY300" s="234" t="s">
        <v>19</v>
      </c>
      <c r="AZ300" s="209" t="s">
        <v>19</v>
      </c>
      <c r="BA300" s="209" t="s">
        <v>19</v>
      </c>
      <c r="BB300" s="234" t="s">
        <v>25</v>
      </c>
      <c r="BC300" s="235" t="s">
        <v>25</v>
      </c>
      <c r="BD300" s="188"/>
    </row>
    <row r="301" spans="1:56" ht="12.75" customHeight="1" x14ac:dyDescent="0.25">
      <c r="A301" s="238">
        <v>45271.908771921298</v>
      </c>
      <c r="B301" s="233" t="s">
        <v>395</v>
      </c>
      <c r="C301" s="209" t="s">
        <v>587</v>
      </c>
      <c r="D301" s="232" t="s">
        <v>17</v>
      </c>
      <c r="E301" s="232" t="s">
        <v>515</v>
      </c>
      <c r="F301" s="209" t="s">
        <v>899</v>
      </c>
      <c r="G301" s="232" t="s">
        <v>18</v>
      </c>
      <c r="H301" s="232">
        <v>12</v>
      </c>
      <c r="I301" s="209" t="s">
        <v>531</v>
      </c>
      <c r="J301" s="188"/>
      <c r="K301" s="209" t="s">
        <v>539</v>
      </c>
      <c r="L301" s="209" t="s">
        <v>531</v>
      </c>
      <c r="M301" s="188"/>
      <c r="N301" s="188"/>
      <c r="O301" s="188"/>
      <c r="P301" s="188"/>
      <c r="Q301" s="209" t="s">
        <v>25</v>
      </c>
      <c r="R301" s="209" t="s">
        <v>19</v>
      </c>
      <c r="S301" s="234" t="s">
        <v>306</v>
      </c>
      <c r="T301" s="209" t="s">
        <v>306</v>
      </c>
      <c r="U301" s="209" t="s">
        <v>25</v>
      </c>
      <c r="V301" s="234" t="s">
        <v>25</v>
      </c>
      <c r="W301" s="209" t="s">
        <v>25</v>
      </c>
      <c r="X301" s="209" t="s">
        <v>306</v>
      </c>
      <c r="Y301" s="234" t="s">
        <v>25</v>
      </c>
      <c r="Z301" s="209" t="s">
        <v>19</v>
      </c>
      <c r="AA301" s="209" t="s">
        <v>19</v>
      </c>
      <c r="AB301" s="234" t="s">
        <v>19</v>
      </c>
      <c r="AC301" s="235" t="s">
        <v>306</v>
      </c>
      <c r="AD301" s="209" t="s">
        <v>19</v>
      </c>
      <c r="AE301" s="209" t="s">
        <v>25</v>
      </c>
      <c r="AF301" s="234" t="s">
        <v>306</v>
      </c>
      <c r="AG301" s="209" t="s">
        <v>19</v>
      </c>
      <c r="AH301" s="209" t="s">
        <v>19</v>
      </c>
      <c r="AI301" s="234" t="s">
        <v>19</v>
      </c>
      <c r="AJ301" s="209" t="s">
        <v>19</v>
      </c>
      <c r="AK301" s="209" t="s">
        <v>19</v>
      </c>
      <c r="AL301" s="234" t="s">
        <v>19</v>
      </c>
      <c r="AM301" s="209" t="s">
        <v>19</v>
      </c>
      <c r="AN301" s="209" t="s">
        <v>19</v>
      </c>
      <c r="AO301" s="234" t="s">
        <v>19</v>
      </c>
      <c r="AP301" s="235" t="s">
        <v>19</v>
      </c>
      <c r="AQ301" s="209" t="s">
        <v>25</v>
      </c>
      <c r="AR301" s="209" t="s">
        <v>306</v>
      </c>
      <c r="AS301" s="234" t="s">
        <v>25</v>
      </c>
      <c r="AT301" s="209" t="s">
        <v>25</v>
      </c>
      <c r="AU301" s="209" t="s">
        <v>25</v>
      </c>
      <c r="AV301" s="234" t="s">
        <v>25</v>
      </c>
      <c r="AW301" s="209" t="s">
        <v>25</v>
      </c>
      <c r="AX301" s="209" t="s">
        <v>25</v>
      </c>
      <c r="AY301" s="234" t="s">
        <v>25</v>
      </c>
      <c r="AZ301" s="209" t="s">
        <v>19</v>
      </c>
      <c r="BA301" s="209" t="s">
        <v>25</v>
      </c>
      <c r="BB301" s="234" t="s">
        <v>306</v>
      </c>
      <c r="BC301" s="235" t="s">
        <v>306</v>
      </c>
      <c r="BD301" s="188"/>
    </row>
    <row r="302" spans="1:56" ht="12.75" customHeight="1" x14ac:dyDescent="0.25">
      <c r="A302" s="238">
        <v>45271.90932013889</v>
      </c>
      <c r="B302" s="233" t="s">
        <v>395</v>
      </c>
      <c r="C302" s="209" t="s">
        <v>587</v>
      </c>
      <c r="D302" s="232" t="s">
        <v>17</v>
      </c>
      <c r="E302" s="232" t="s">
        <v>515</v>
      </c>
      <c r="F302" s="209" t="s">
        <v>900</v>
      </c>
      <c r="G302" s="232" t="s">
        <v>18</v>
      </c>
      <c r="H302" s="232">
        <v>12</v>
      </c>
      <c r="I302" s="209" t="s">
        <v>531</v>
      </c>
      <c r="J302" s="188"/>
      <c r="K302" s="209" t="s">
        <v>539</v>
      </c>
      <c r="L302" s="209" t="s">
        <v>518</v>
      </c>
      <c r="M302" s="209" t="s">
        <v>412</v>
      </c>
      <c r="N302" s="209" t="s">
        <v>589</v>
      </c>
      <c r="O302" s="209"/>
      <c r="P302" s="209"/>
      <c r="Q302" s="209" t="s">
        <v>19</v>
      </c>
      <c r="R302" s="209" t="s">
        <v>19</v>
      </c>
      <c r="S302" s="234" t="s">
        <v>19</v>
      </c>
      <c r="T302" s="209" t="s">
        <v>19</v>
      </c>
      <c r="U302" s="209" t="s">
        <v>19</v>
      </c>
      <c r="V302" s="234" t="s">
        <v>19</v>
      </c>
      <c r="W302" s="209" t="s">
        <v>19</v>
      </c>
      <c r="X302" s="209" t="s">
        <v>19</v>
      </c>
      <c r="Y302" s="234" t="s">
        <v>19</v>
      </c>
      <c r="Z302" s="209" t="s">
        <v>19</v>
      </c>
      <c r="AA302" s="209" t="s">
        <v>19</v>
      </c>
      <c r="AB302" s="234" t="s">
        <v>19</v>
      </c>
      <c r="AC302" s="235" t="s">
        <v>19</v>
      </c>
      <c r="AD302" s="209" t="s">
        <v>19</v>
      </c>
      <c r="AE302" s="209" t="s">
        <v>19</v>
      </c>
      <c r="AF302" s="234" t="s">
        <v>19</v>
      </c>
      <c r="AG302" s="209" t="s">
        <v>19</v>
      </c>
      <c r="AH302" s="209" t="s">
        <v>19</v>
      </c>
      <c r="AI302" s="234" t="s">
        <v>19</v>
      </c>
      <c r="AJ302" s="209" t="s">
        <v>19</v>
      </c>
      <c r="AK302" s="209" t="s">
        <v>19</v>
      </c>
      <c r="AL302" s="234" t="s">
        <v>19</v>
      </c>
      <c r="AM302" s="209" t="s">
        <v>19</v>
      </c>
      <c r="AN302" s="209" t="s">
        <v>19</v>
      </c>
      <c r="AO302" s="234" t="s">
        <v>19</v>
      </c>
      <c r="AP302" s="235" t="s">
        <v>19</v>
      </c>
      <c r="AQ302" s="209" t="s">
        <v>19</v>
      </c>
      <c r="AR302" s="209" t="s">
        <v>19</v>
      </c>
      <c r="AS302" s="234" t="s">
        <v>19</v>
      </c>
      <c r="AT302" s="209" t="s">
        <v>19</v>
      </c>
      <c r="AU302" s="209" t="s">
        <v>19</v>
      </c>
      <c r="AV302" s="234" t="s">
        <v>19</v>
      </c>
      <c r="AW302" s="209" t="s">
        <v>19</v>
      </c>
      <c r="AX302" s="209" t="s">
        <v>19</v>
      </c>
      <c r="AY302" s="234" t="s">
        <v>19</v>
      </c>
      <c r="AZ302" s="209" t="s">
        <v>19</v>
      </c>
      <c r="BA302" s="209" t="s">
        <v>19</v>
      </c>
      <c r="BB302" s="234" t="s">
        <v>25</v>
      </c>
      <c r="BC302" s="235" t="s">
        <v>25</v>
      </c>
      <c r="BD302" s="188"/>
    </row>
    <row r="303" spans="1:56" ht="12.75" customHeight="1" x14ac:dyDescent="0.25">
      <c r="A303" s="238">
        <v>45271.909869583338</v>
      </c>
      <c r="B303" s="233" t="s">
        <v>395</v>
      </c>
      <c r="C303" s="209" t="s">
        <v>587</v>
      </c>
      <c r="D303" s="232" t="s">
        <v>17</v>
      </c>
      <c r="E303" s="232" t="s">
        <v>515</v>
      </c>
      <c r="F303" s="209" t="s">
        <v>901</v>
      </c>
      <c r="G303" s="232" t="s">
        <v>24</v>
      </c>
      <c r="H303" s="232">
        <v>12</v>
      </c>
      <c r="I303" s="209" t="s">
        <v>531</v>
      </c>
      <c r="J303" s="188"/>
      <c r="K303" s="209" t="s">
        <v>539</v>
      </c>
      <c r="L303" s="209" t="s">
        <v>531</v>
      </c>
      <c r="M303" s="188"/>
      <c r="N303" s="188"/>
      <c r="O303" s="188"/>
      <c r="P303" s="188"/>
      <c r="Q303" s="209" t="s">
        <v>25</v>
      </c>
      <c r="R303" s="209" t="s">
        <v>19</v>
      </c>
      <c r="S303" s="234" t="s">
        <v>306</v>
      </c>
      <c r="T303" s="209" t="s">
        <v>19</v>
      </c>
      <c r="U303" s="209" t="s">
        <v>25</v>
      </c>
      <c r="V303" s="234" t="s">
        <v>306</v>
      </c>
      <c r="W303" s="209" t="s">
        <v>19</v>
      </c>
      <c r="X303" s="209" t="s">
        <v>19</v>
      </c>
      <c r="Y303" s="234" t="s">
        <v>19</v>
      </c>
      <c r="Z303" s="209" t="s">
        <v>25</v>
      </c>
      <c r="AA303" s="209" t="s">
        <v>19</v>
      </c>
      <c r="AB303" s="234" t="s">
        <v>306</v>
      </c>
      <c r="AC303" s="235" t="s">
        <v>306</v>
      </c>
      <c r="AD303" s="209" t="s">
        <v>25</v>
      </c>
      <c r="AE303" s="209" t="s">
        <v>25</v>
      </c>
      <c r="AF303" s="234" t="s">
        <v>25</v>
      </c>
      <c r="AG303" s="209" t="s">
        <v>19</v>
      </c>
      <c r="AH303" s="209" t="s">
        <v>19</v>
      </c>
      <c r="AI303" s="234" t="s">
        <v>19</v>
      </c>
      <c r="AJ303" s="209" t="s">
        <v>19</v>
      </c>
      <c r="AK303" s="209" t="s">
        <v>19</v>
      </c>
      <c r="AL303" s="234" t="s">
        <v>19</v>
      </c>
      <c r="AM303" s="209" t="s">
        <v>19</v>
      </c>
      <c r="AN303" s="209" t="s">
        <v>19</v>
      </c>
      <c r="AO303" s="234" t="s">
        <v>19</v>
      </c>
      <c r="AP303" s="235" t="s">
        <v>306</v>
      </c>
      <c r="AQ303" s="209" t="s">
        <v>19</v>
      </c>
      <c r="AR303" s="209" t="s">
        <v>25</v>
      </c>
      <c r="AS303" s="234" t="s">
        <v>306</v>
      </c>
      <c r="AT303" s="209" t="s">
        <v>25</v>
      </c>
      <c r="AU303" s="209" t="s">
        <v>25</v>
      </c>
      <c r="AV303" s="234" t="s">
        <v>25</v>
      </c>
      <c r="AW303" s="209" t="s">
        <v>25</v>
      </c>
      <c r="AX303" s="209" t="s">
        <v>19</v>
      </c>
      <c r="AY303" s="234" t="s">
        <v>306</v>
      </c>
      <c r="AZ303" s="209" t="s">
        <v>19</v>
      </c>
      <c r="BA303" s="209" t="s">
        <v>25</v>
      </c>
      <c r="BB303" s="234" t="s">
        <v>25</v>
      </c>
      <c r="BC303" s="235" t="s">
        <v>25</v>
      </c>
      <c r="BD303" s="188"/>
    </row>
    <row r="304" spans="1:56" ht="12.75" customHeight="1" x14ac:dyDescent="0.25">
      <c r="A304" s="238">
        <v>45271.91111976852</v>
      </c>
      <c r="B304" s="233" t="s">
        <v>395</v>
      </c>
      <c r="C304" s="209" t="s">
        <v>587</v>
      </c>
      <c r="D304" s="232" t="s">
        <v>17</v>
      </c>
      <c r="E304" s="232" t="s">
        <v>515</v>
      </c>
      <c r="F304" s="209" t="s">
        <v>902</v>
      </c>
      <c r="G304" s="232" t="s">
        <v>18</v>
      </c>
      <c r="H304" s="232">
        <v>12</v>
      </c>
      <c r="I304" s="209" t="s">
        <v>531</v>
      </c>
      <c r="J304" s="188"/>
      <c r="K304" s="209" t="s">
        <v>539</v>
      </c>
      <c r="L304" s="209" t="s">
        <v>518</v>
      </c>
      <c r="M304" s="209" t="s">
        <v>412</v>
      </c>
      <c r="N304" s="209" t="s">
        <v>589</v>
      </c>
      <c r="O304" s="209"/>
      <c r="P304" s="209"/>
      <c r="Q304" s="209" t="s">
        <v>25</v>
      </c>
      <c r="R304" s="209" t="s">
        <v>19</v>
      </c>
      <c r="S304" s="234" t="s">
        <v>306</v>
      </c>
      <c r="T304" s="209" t="s">
        <v>19</v>
      </c>
      <c r="U304" s="209" t="s">
        <v>25</v>
      </c>
      <c r="V304" s="234" t="s">
        <v>306</v>
      </c>
      <c r="W304" s="209" t="s">
        <v>19</v>
      </c>
      <c r="X304" s="209" t="s">
        <v>19</v>
      </c>
      <c r="Y304" s="234" t="s">
        <v>19</v>
      </c>
      <c r="Z304" s="209" t="s">
        <v>306</v>
      </c>
      <c r="AA304" s="209" t="s">
        <v>19</v>
      </c>
      <c r="AB304" s="234" t="s">
        <v>306</v>
      </c>
      <c r="AC304" s="235" t="s">
        <v>306</v>
      </c>
      <c r="AD304" s="209" t="s">
        <v>306</v>
      </c>
      <c r="AE304" s="209" t="s">
        <v>19</v>
      </c>
      <c r="AF304" s="234" t="s">
        <v>306</v>
      </c>
      <c r="AG304" s="209" t="s">
        <v>19</v>
      </c>
      <c r="AH304" s="209" t="s">
        <v>19</v>
      </c>
      <c r="AI304" s="234" t="s">
        <v>19</v>
      </c>
      <c r="AJ304" s="209" t="s">
        <v>19</v>
      </c>
      <c r="AK304" s="209" t="s">
        <v>19</v>
      </c>
      <c r="AL304" s="234" t="s">
        <v>19</v>
      </c>
      <c r="AM304" s="209" t="s">
        <v>19</v>
      </c>
      <c r="AN304" s="209" t="s">
        <v>19</v>
      </c>
      <c r="AO304" s="234" t="s">
        <v>19</v>
      </c>
      <c r="AP304" s="235" t="s">
        <v>19</v>
      </c>
      <c r="AQ304" s="209" t="s">
        <v>25</v>
      </c>
      <c r="AR304" s="209" t="s">
        <v>19</v>
      </c>
      <c r="AS304" s="234" t="s">
        <v>306</v>
      </c>
      <c r="AT304" s="209" t="s">
        <v>25</v>
      </c>
      <c r="AU304" s="209" t="s">
        <v>25</v>
      </c>
      <c r="AV304" s="234" t="s">
        <v>25</v>
      </c>
      <c r="AW304" s="209" t="s">
        <v>19</v>
      </c>
      <c r="AX304" s="209" t="s">
        <v>19</v>
      </c>
      <c r="AY304" s="234" t="s">
        <v>19</v>
      </c>
      <c r="AZ304" s="209" t="s">
        <v>19</v>
      </c>
      <c r="BA304" s="209" t="s">
        <v>19</v>
      </c>
      <c r="BB304" s="234" t="s">
        <v>25</v>
      </c>
      <c r="BC304" s="235" t="s">
        <v>25</v>
      </c>
      <c r="BD304" s="188"/>
    </row>
    <row r="305" spans="1:56" ht="12.75" customHeight="1" x14ac:dyDescent="0.25">
      <c r="A305" s="238">
        <v>45271.91288783565</v>
      </c>
      <c r="B305" s="233" t="s">
        <v>395</v>
      </c>
      <c r="C305" s="209" t="s">
        <v>587</v>
      </c>
      <c r="D305" s="232" t="s">
        <v>17</v>
      </c>
      <c r="E305" s="232" t="s">
        <v>515</v>
      </c>
      <c r="F305" s="209" t="s">
        <v>903</v>
      </c>
      <c r="G305" s="232" t="s">
        <v>24</v>
      </c>
      <c r="H305" s="232">
        <v>12</v>
      </c>
      <c r="I305" s="209" t="s">
        <v>531</v>
      </c>
      <c r="J305" s="188"/>
      <c r="K305" s="209" t="s">
        <v>539</v>
      </c>
      <c r="L305" s="209" t="s">
        <v>531</v>
      </c>
      <c r="M305" s="188"/>
      <c r="N305" s="188"/>
      <c r="O305" s="188"/>
      <c r="P305" s="188"/>
      <c r="Q305" s="209" t="s">
        <v>25</v>
      </c>
      <c r="R305" s="209" t="s">
        <v>306</v>
      </c>
      <c r="S305" s="234" t="s">
        <v>25</v>
      </c>
      <c r="T305" s="209" t="s">
        <v>306</v>
      </c>
      <c r="U305" s="209" t="s">
        <v>25</v>
      </c>
      <c r="V305" s="234" t="s">
        <v>25</v>
      </c>
      <c r="W305" s="209" t="s">
        <v>306</v>
      </c>
      <c r="X305" s="209" t="s">
        <v>306</v>
      </c>
      <c r="Y305" s="234" t="s">
        <v>306</v>
      </c>
      <c r="Z305" s="209" t="s">
        <v>25</v>
      </c>
      <c r="AA305" s="209" t="s">
        <v>25</v>
      </c>
      <c r="AB305" s="234" t="s">
        <v>25</v>
      </c>
      <c r="AC305" s="235" t="s">
        <v>25</v>
      </c>
      <c r="AD305" s="209" t="s">
        <v>306</v>
      </c>
      <c r="AE305" s="209" t="s">
        <v>306</v>
      </c>
      <c r="AF305" s="234" t="s">
        <v>306</v>
      </c>
      <c r="AG305" s="209" t="s">
        <v>306</v>
      </c>
      <c r="AH305" s="209" t="s">
        <v>19</v>
      </c>
      <c r="AI305" s="234" t="s">
        <v>306</v>
      </c>
      <c r="AJ305" s="209" t="s">
        <v>306</v>
      </c>
      <c r="AK305" s="209" t="s">
        <v>306</v>
      </c>
      <c r="AL305" s="234" t="s">
        <v>306</v>
      </c>
      <c r="AM305" s="209" t="s">
        <v>19</v>
      </c>
      <c r="AN305" s="209" t="s">
        <v>19</v>
      </c>
      <c r="AO305" s="234" t="s">
        <v>19</v>
      </c>
      <c r="AP305" s="235" t="s">
        <v>306</v>
      </c>
      <c r="AQ305" s="209" t="s">
        <v>25</v>
      </c>
      <c r="AR305" s="209" t="s">
        <v>25</v>
      </c>
      <c r="AS305" s="234" t="s">
        <v>25</v>
      </c>
      <c r="AT305" s="209" t="s">
        <v>25</v>
      </c>
      <c r="AU305" s="209" t="s">
        <v>25</v>
      </c>
      <c r="AV305" s="234" t="s">
        <v>25</v>
      </c>
      <c r="AW305" s="209" t="s">
        <v>25</v>
      </c>
      <c r="AX305" s="209" t="s">
        <v>306</v>
      </c>
      <c r="AY305" s="234" t="s">
        <v>25</v>
      </c>
      <c r="AZ305" s="209" t="s">
        <v>25</v>
      </c>
      <c r="BA305" s="209" t="s">
        <v>25</v>
      </c>
      <c r="BB305" s="234" t="s">
        <v>306</v>
      </c>
      <c r="BC305" s="235" t="s">
        <v>306</v>
      </c>
      <c r="BD305" s="188"/>
    </row>
    <row r="306" spans="1:56" ht="12.75" customHeight="1" x14ac:dyDescent="0.25">
      <c r="A306" s="238">
        <v>45271.912970324076</v>
      </c>
      <c r="B306" s="233" t="s">
        <v>395</v>
      </c>
      <c r="C306" s="209" t="s">
        <v>587</v>
      </c>
      <c r="D306" s="232" t="s">
        <v>17</v>
      </c>
      <c r="E306" s="232" t="s">
        <v>515</v>
      </c>
      <c r="F306" s="209" t="s">
        <v>904</v>
      </c>
      <c r="G306" s="232" t="s">
        <v>24</v>
      </c>
      <c r="H306" s="232">
        <v>12</v>
      </c>
      <c r="I306" s="209" t="s">
        <v>531</v>
      </c>
      <c r="J306" s="188"/>
      <c r="K306" s="209" t="s">
        <v>539</v>
      </c>
      <c r="L306" s="209" t="s">
        <v>518</v>
      </c>
      <c r="M306" s="209" t="s">
        <v>412</v>
      </c>
      <c r="N306" s="209" t="s">
        <v>589</v>
      </c>
      <c r="O306" s="209"/>
      <c r="P306" s="209"/>
      <c r="Q306" s="209" t="s">
        <v>25</v>
      </c>
      <c r="R306" s="209" t="s">
        <v>19</v>
      </c>
      <c r="S306" s="234" t="s">
        <v>306</v>
      </c>
      <c r="T306" s="209" t="s">
        <v>19</v>
      </c>
      <c r="U306" s="209" t="s">
        <v>25</v>
      </c>
      <c r="V306" s="234" t="s">
        <v>306</v>
      </c>
      <c r="W306" s="209" t="s">
        <v>19</v>
      </c>
      <c r="X306" s="209" t="s">
        <v>19</v>
      </c>
      <c r="Y306" s="234" t="s">
        <v>19</v>
      </c>
      <c r="Z306" s="209" t="s">
        <v>306</v>
      </c>
      <c r="AA306" s="209" t="s">
        <v>19</v>
      </c>
      <c r="AB306" s="234" t="s">
        <v>306</v>
      </c>
      <c r="AC306" s="235" t="s">
        <v>306</v>
      </c>
      <c r="AD306" s="209" t="s">
        <v>306</v>
      </c>
      <c r="AE306" s="209" t="s">
        <v>306</v>
      </c>
      <c r="AF306" s="234" t="s">
        <v>306</v>
      </c>
      <c r="AG306" s="209" t="s">
        <v>19</v>
      </c>
      <c r="AH306" s="209" t="s">
        <v>19</v>
      </c>
      <c r="AI306" s="234" t="s">
        <v>19</v>
      </c>
      <c r="AJ306" s="209" t="s">
        <v>19</v>
      </c>
      <c r="AK306" s="209" t="s">
        <v>19</v>
      </c>
      <c r="AL306" s="234" t="s">
        <v>19</v>
      </c>
      <c r="AM306" s="209" t="s">
        <v>19</v>
      </c>
      <c r="AN306" s="209" t="s">
        <v>19</v>
      </c>
      <c r="AO306" s="234" t="s">
        <v>19</v>
      </c>
      <c r="AP306" s="235" t="s">
        <v>19</v>
      </c>
      <c r="AQ306" s="209" t="s">
        <v>19</v>
      </c>
      <c r="AR306" s="209" t="s">
        <v>19</v>
      </c>
      <c r="AS306" s="234" t="s">
        <v>19</v>
      </c>
      <c r="AT306" s="209" t="s">
        <v>25</v>
      </c>
      <c r="AU306" s="209" t="s">
        <v>306</v>
      </c>
      <c r="AV306" s="234" t="s">
        <v>25</v>
      </c>
      <c r="AW306" s="209" t="s">
        <v>19</v>
      </c>
      <c r="AX306" s="209" t="s">
        <v>306</v>
      </c>
      <c r="AY306" s="234" t="s">
        <v>306</v>
      </c>
      <c r="AZ306" s="209" t="s">
        <v>19</v>
      </c>
      <c r="BA306" s="209" t="s">
        <v>19</v>
      </c>
      <c r="BB306" s="234" t="s">
        <v>306</v>
      </c>
      <c r="BC306" s="235" t="s">
        <v>306</v>
      </c>
      <c r="BD306" s="188"/>
    </row>
    <row r="307" spans="1:56" ht="12.75" customHeight="1" x14ac:dyDescent="0.25">
      <c r="A307" s="238">
        <v>45271.914949664351</v>
      </c>
      <c r="B307" s="233" t="s">
        <v>395</v>
      </c>
      <c r="C307" s="209" t="s">
        <v>587</v>
      </c>
      <c r="D307" s="232" t="s">
        <v>17</v>
      </c>
      <c r="E307" s="232" t="s">
        <v>515</v>
      </c>
      <c r="F307" s="209" t="s">
        <v>905</v>
      </c>
      <c r="G307" s="232" t="s">
        <v>24</v>
      </c>
      <c r="H307" s="232">
        <v>12</v>
      </c>
      <c r="I307" s="209" t="s">
        <v>531</v>
      </c>
      <c r="J307" s="188"/>
      <c r="K307" s="209" t="s">
        <v>539</v>
      </c>
      <c r="L307" s="209" t="s">
        <v>518</v>
      </c>
      <c r="M307" s="209" t="s">
        <v>412</v>
      </c>
      <c r="N307" s="209" t="s">
        <v>589</v>
      </c>
      <c r="O307" s="209"/>
      <c r="P307" s="209"/>
      <c r="Q307" s="209" t="s">
        <v>25</v>
      </c>
      <c r="R307" s="209" t="s">
        <v>19</v>
      </c>
      <c r="S307" s="234" t="s">
        <v>306</v>
      </c>
      <c r="T307" s="209" t="s">
        <v>19</v>
      </c>
      <c r="U307" s="209" t="s">
        <v>25</v>
      </c>
      <c r="V307" s="234" t="s">
        <v>306</v>
      </c>
      <c r="W307" s="209" t="s">
        <v>19</v>
      </c>
      <c r="X307" s="209" t="s">
        <v>19</v>
      </c>
      <c r="Y307" s="234" t="s">
        <v>19</v>
      </c>
      <c r="Z307" s="209" t="s">
        <v>306</v>
      </c>
      <c r="AA307" s="209" t="s">
        <v>19</v>
      </c>
      <c r="AB307" s="234" t="s">
        <v>306</v>
      </c>
      <c r="AC307" s="235" t="s">
        <v>306</v>
      </c>
      <c r="AD307" s="209" t="s">
        <v>306</v>
      </c>
      <c r="AE307" s="209" t="s">
        <v>306</v>
      </c>
      <c r="AF307" s="234" t="s">
        <v>306</v>
      </c>
      <c r="AG307" s="209" t="s">
        <v>19</v>
      </c>
      <c r="AH307" s="209" t="s">
        <v>19</v>
      </c>
      <c r="AI307" s="234" t="s">
        <v>19</v>
      </c>
      <c r="AJ307" s="209" t="s">
        <v>19</v>
      </c>
      <c r="AK307" s="209" t="s">
        <v>19</v>
      </c>
      <c r="AL307" s="234" t="s">
        <v>19</v>
      </c>
      <c r="AM307" s="209" t="s">
        <v>19</v>
      </c>
      <c r="AN307" s="209" t="s">
        <v>19</v>
      </c>
      <c r="AO307" s="234" t="s">
        <v>19</v>
      </c>
      <c r="AP307" s="235" t="s">
        <v>19</v>
      </c>
      <c r="AQ307" s="209" t="s">
        <v>19</v>
      </c>
      <c r="AR307" s="209" t="s">
        <v>19</v>
      </c>
      <c r="AS307" s="234" t="s">
        <v>19</v>
      </c>
      <c r="AT307" s="209" t="s">
        <v>25</v>
      </c>
      <c r="AU307" s="209" t="s">
        <v>306</v>
      </c>
      <c r="AV307" s="234" t="s">
        <v>25</v>
      </c>
      <c r="AW307" s="209" t="s">
        <v>19</v>
      </c>
      <c r="AX307" s="209" t="s">
        <v>19</v>
      </c>
      <c r="AY307" s="234" t="s">
        <v>19</v>
      </c>
      <c r="AZ307" s="209" t="s">
        <v>19</v>
      </c>
      <c r="BA307" s="209" t="s">
        <v>19</v>
      </c>
      <c r="BB307" s="234" t="s">
        <v>25</v>
      </c>
      <c r="BC307" s="235" t="s">
        <v>25</v>
      </c>
      <c r="BD307" s="188"/>
    </row>
    <row r="308" spans="1:56" ht="12.75" customHeight="1" x14ac:dyDescent="0.25">
      <c r="A308" s="238">
        <v>45271.915523159725</v>
      </c>
      <c r="B308" s="233" t="s">
        <v>395</v>
      </c>
      <c r="C308" s="209" t="s">
        <v>587</v>
      </c>
      <c r="D308" s="232" t="s">
        <v>17</v>
      </c>
      <c r="E308" s="232" t="s">
        <v>515</v>
      </c>
      <c r="F308" s="209" t="s">
        <v>906</v>
      </c>
      <c r="G308" s="232" t="s">
        <v>18</v>
      </c>
      <c r="H308" s="232">
        <v>12</v>
      </c>
      <c r="I308" s="209" t="s">
        <v>531</v>
      </c>
      <c r="J308" s="188"/>
      <c r="K308" s="209" t="s">
        <v>539</v>
      </c>
      <c r="L308" s="209" t="s">
        <v>531</v>
      </c>
      <c r="M308" s="188"/>
      <c r="N308" s="188"/>
      <c r="O308" s="188"/>
      <c r="P308" s="188"/>
      <c r="Q308" s="209" t="s">
        <v>25</v>
      </c>
      <c r="R308" s="209" t="s">
        <v>306</v>
      </c>
      <c r="S308" s="234" t="s">
        <v>25</v>
      </c>
      <c r="T308" s="209" t="s">
        <v>306</v>
      </c>
      <c r="U308" s="209" t="s">
        <v>25</v>
      </c>
      <c r="V308" s="234" t="s">
        <v>25</v>
      </c>
      <c r="W308" s="209" t="s">
        <v>25</v>
      </c>
      <c r="X308" s="209" t="s">
        <v>306</v>
      </c>
      <c r="Y308" s="234" t="s">
        <v>25</v>
      </c>
      <c r="Z308" s="209" t="s">
        <v>25</v>
      </c>
      <c r="AA308" s="209" t="s">
        <v>19</v>
      </c>
      <c r="AB308" s="234" t="s">
        <v>306</v>
      </c>
      <c r="AC308" s="235" t="s">
        <v>306</v>
      </c>
      <c r="AD308" s="209" t="s">
        <v>306</v>
      </c>
      <c r="AE308" s="209" t="s">
        <v>25</v>
      </c>
      <c r="AF308" s="234" t="s">
        <v>25</v>
      </c>
      <c r="AG308" s="209" t="s">
        <v>19</v>
      </c>
      <c r="AH308" s="209" t="s">
        <v>19</v>
      </c>
      <c r="AI308" s="234" t="s">
        <v>19</v>
      </c>
      <c r="AJ308" s="209" t="s">
        <v>19</v>
      </c>
      <c r="AK308" s="209" t="s">
        <v>19</v>
      </c>
      <c r="AL308" s="234" t="s">
        <v>19</v>
      </c>
      <c r="AM308" s="209" t="s">
        <v>19</v>
      </c>
      <c r="AN308" s="209" t="s">
        <v>19</v>
      </c>
      <c r="AO308" s="234" t="s">
        <v>19</v>
      </c>
      <c r="AP308" s="235" t="s">
        <v>19</v>
      </c>
      <c r="AQ308" s="209" t="s">
        <v>25</v>
      </c>
      <c r="AR308" s="209" t="s">
        <v>306</v>
      </c>
      <c r="AS308" s="234" t="s">
        <v>25</v>
      </c>
      <c r="AT308" s="209" t="s">
        <v>25</v>
      </c>
      <c r="AU308" s="209" t="s">
        <v>25</v>
      </c>
      <c r="AV308" s="234" t="s">
        <v>25</v>
      </c>
      <c r="AW308" s="209" t="s">
        <v>306</v>
      </c>
      <c r="AX308" s="209" t="s">
        <v>306</v>
      </c>
      <c r="AY308" s="234" t="s">
        <v>306</v>
      </c>
      <c r="AZ308" s="209" t="s">
        <v>306</v>
      </c>
      <c r="BA308" s="209" t="s">
        <v>306</v>
      </c>
      <c r="BB308" s="234" t="s">
        <v>25</v>
      </c>
      <c r="BC308" s="235" t="s">
        <v>306</v>
      </c>
      <c r="BD308" s="188"/>
    </row>
    <row r="309" spans="1:56" ht="12.75" customHeight="1" x14ac:dyDescent="0.25">
      <c r="A309" s="238">
        <v>45271.916889722226</v>
      </c>
      <c r="B309" s="233" t="s">
        <v>395</v>
      </c>
      <c r="C309" s="209" t="s">
        <v>587</v>
      </c>
      <c r="D309" s="232" t="s">
        <v>17</v>
      </c>
      <c r="E309" s="232" t="s">
        <v>515</v>
      </c>
      <c r="F309" s="209" t="s">
        <v>907</v>
      </c>
      <c r="G309" s="232" t="s">
        <v>24</v>
      </c>
      <c r="H309" s="232">
        <v>12</v>
      </c>
      <c r="I309" s="209" t="s">
        <v>531</v>
      </c>
      <c r="J309" s="188"/>
      <c r="K309" s="209" t="s">
        <v>539</v>
      </c>
      <c r="L309" s="209" t="s">
        <v>518</v>
      </c>
      <c r="M309" s="209" t="s">
        <v>412</v>
      </c>
      <c r="N309" s="209" t="s">
        <v>589</v>
      </c>
      <c r="O309" s="209"/>
      <c r="P309" s="209"/>
      <c r="Q309" s="209" t="s">
        <v>25</v>
      </c>
      <c r="R309" s="209" t="s">
        <v>19</v>
      </c>
      <c r="S309" s="234" t="s">
        <v>306</v>
      </c>
      <c r="T309" s="209" t="s">
        <v>19</v>
      </c>
      <c r="U309" s="209" t="s">
        <v>25</v>
      </c>
      <c r="V309" s="234" t="s">
        <v>306</v>
      </c>
      <c r="W309" s="209" t="s">
        <v>19</v>
      </c>
      <c r="X309" s="209" t="s">
        <v>19</v>
      </c>
      <c r="Y309" s="234" t="s">
        <v>19</v>
      </c>
      <c r="Z309" s="209" t="s">
        <v>306</v>
      </c>
      <c r="AA309" s="209" t="s">
        <v>19</v>
      </c>
      <c r="AB309" s="234" t="s">
        <v>306</v>
      </c>
      <c r="AC309" s="235" t="s">
        <v>306</v>
      </c>
      <c r="AD309" s="209" t="s">
        <v>306</v>
      </c>
      <c r="AE309" s="209" t="s">
        <v>306</v>
      </c>
      <c r="AF309" s="234" t="s">
        <v>306</v>
      </c>
      <c r="AG309" s="209" t="s">
        <v>19</v>
      </c>
      <c r="AH309" s="209" t="s">
        <v>19</v>
      </c>
      <c r="AI309" s="234" t="s">
        <v>19</v>
      </c>
      <c r="AJ309" s="209" t="s">
        <v>19</v>
      </c>
      <c r="AK309" s="209" t="s">
        <v>19</v>
      </c>
      <c r="AL309" s="234" t="s">
        <v>19</v>
      </c>
      <c r="AM309" s="209" t="s">
        <v>19</v>
      </c>
      <c r="AN309" s="209" t="s">
        <v>19</v>
      </c>
      <c r="AO309" s="234" t="s">
        <v>19</v>
      </c>
      <c r="AP309" s="235" t="s">
        <v>19</v>
      </c>
      <c r="AQ309" s="209" t="s">
        <v>19</v>
      </c>
      <c r="AR309" s="209" t="s">
        <v>19</v>
      </c>
      <c r="AS309" s="234" t="s">
        <v>19</v>
      </c>
      <c r="AT309" s="209" t="s">
        <v>25</v>
      </c>
      <c r="AU309" s="209" t="s">
        <v>306</v>
      </c>
      <c r="AV309" s="234" t="s">
        <v>25</v>
      </c>
      <c r="AW309" s="209" t="s">
        <v>19</v>
      </c>
      <c r="AX309" s="209" t="s">
        <v>306</v>
      </c>
      <c r="AY309" s="234" t="s">
        <v>306</v>
      </c>
      <c r="AZ309" s="209" t="s">
        <v>19</v>
      </c>
      <c r="BA309" s="209" t="s">
        <v>19</v>
      </c>
      <c r="BB309" s="234" t="s">
        <v>25</v>
      </c>
      <c r="BC309" s="235" t="s">
        <v>25</v>
      </c>
      <c r="BD309" s="188"/>
    </row>
    <row r="310" spans="1:56" ht="12.75" customHeight="1" x14ac:dyDescent="0.25">
      <c r="A310" s="238">
        <v>45271.918150254627</v>
      </c>
      <c r="B310" s="233" t="s">
        <v>395</v>
      </c>
      <c r="C310" s="209" t="s">
        <v>587</v>
      </c>
      <c r="D310" s="232" t="s">
        <v>17</v>
      </c>
      <c r="E310" s="232" t="s">
        <v>515</v>
      </c>
      <c r="F310" s="209" t="s">
        <v>908</v>
      </c>
      <c r="G310" s="232" t="s">
        <v>24</v>
      </c>
      <c r="H310" s="232">
        <v>12</v>
      </c>
      <c r="I310" s="209" t="s">
        <v>531</v>
      </c>
      <c r="J310" s="188"/>
      <c r="K310" s="209" t="s">
        <v>539</v>
      </c>
      <c r="L310" s="209" t="s">
        <v>531</v>
      </c>
      <c r="M310" s="188"/>
      <c r="N310" s="188"/>
      <c r="O310" s="188"/>
      <c r="P310" s="188"/>
      <c r="Q310" s="209" t="s">
        <v>25</v>
      </c>
      <c r="R310" s="209" t="s">
        <v>306</v>
      </c>
      <c r="S310" s="234" t="s">
        <v>25</v>
      </c>
      <c r="T310" s="209" t="s">
        <v>25</v>
      </c>
      <c r="U310" s="209" t="s">
        <v>25</v>
      </c>
      <c r="V310" s="234" t="s">
        <v>25</v>
      </c>
      <c r="W310" s="209" t="s">
        <v>25</v>
      </c>
      <c r="X310" s="209" t="s">
        <v>306</v>
      </c>
      <c r="Y310" s="234" t="s">
        <v>25</v>
      </c>
      <c r="Z310" s="209" t="s">
        <v>25</v>
      </c>
      <c r="AA310" s="209" t="s">
        <v>25</v>
      </c>
      <c r="AB310" s="234" t="s">
        <v>25</v>
      </c>
      <c r="AC310" s="235" t="s">
        <v>25</v>
      </c>
      <c r="AD310" s="209" t="s">
        <v>25</v>
      </c>
      <c r="AE310" s="209" t="s">
        <v>25</v>
      </c>
      <c r="AF310" s="234" t="s">
        <v>25</v>
      </c>
      <c r="AG310" s="209" t="s">
        <v>19</v>
      </c>
      <c r="AH310" s="209" t="s">
        <v>19</v>
      </c>
      <c r="AI310" s="234" t="s">
        <v>19</v>
      </c>
      <c r="AJ310" s="209" t="s">
        <v>19</v>
      </c>
      <c r="AK310" s="209" t="s">
        <v>306</v>
      </c>
      <c r="AL310" s="234" t="s">
        <v>306</v>
      </c>
      <c r="AM310" s="209" t="s">
        <v>19</v>
      </c>
      <c r="AN310" s="209" t="s">
        <v>19</v>
      </c>
      <c r="AO310" s="234" t="s">
        <v>19</v>
      </c>
      <c r="AP310" s="235" t="s">
        <v>306</v>
      </c>
      <c r="AQ310" s="209" t="s">
        <v>25</v>
      </c>
      <c r="AR310" s="209" t="s">
        <v>306</v>
      </c>
      <c r="AS310" s="234" t="s">
        <v>25</v>
      </c>
      <c r="AT310" s="209" t="s">
        <v>25</v>
      </c>
      <c r="AU310" s="209" t="s">
        <v>25</v>
      </c>
      <c r="AV310" s="234" t="s">
        <v>25</v>
      </c>
      <c r="AW310" s="209" t="s">
        <v>25</v>
      </c>
      <c r="AX310" s="209" t="s">
        <v>25</v>
      </c>
      <c r="AY310" s="234" t="s">
        <v>25</v>
      </c>
      <c r="AZ310" s="209" t="s">
        <v>25</v>
      </c>
      <c r="BA310" s="209" t="s">
        <v>25</v>
      </c>
      <c r="BB310" s="234" t="s">
        <v>306</v>
      </c>
      <c r="BC310" s="235" t="s">
        <v>306</v>
      </c>
      <c r="BD310" s="188"/>
    </row>
    <row r="311" spans="1:56" ht="12.75" customHeight="1" x14ac:dyDescent="0.25">
      <c r="A311" s="238">
        <v>45271.91893388889</v>
      </c>
      <c r="B311" s="233" t="s">
        <v>395</v>
      </c>
      <c r="C311" s="209" t="s">
        <v>587</v>
      </c>
      <c r="D311" s="232" t="s">
        <v>17</v>
      </c>
      <c r="E311" s="232" t="s">
        <v>515</v>
      </c>
      <c r="F311" s="209" t="s">
        <v>909</v>
      </c>
      <c r="G311" s="232" t="s">
        <v>24</v>
      </c>
      <c r="H311" s="232">
        <v>12</v>
      </c>
      <c r="I311" s="209" t="s">
        <v>531</v>
      </c>
      <c r="J311" s="188"/>
      <c r="K311" s="209" t="s">
        <v>539</v>
      </c>
      <c r="L311" s="209" t="s">
        <v>518</v>
      </c>
      <c r="M311" s="209" t="s">
        <v>412</v>
      </c>
      <c r="N311" s="209" t="s">
        <v>589</v>
      </c>
      <c r="O311" s="209"/>
      <c r="P311" s="209"/>
      <c r="Q311" s="209" t="s">
        <v>25</v>
      </c>
      <c r="R311" s="209" t="s">
        <v>19</v>
      </c>
      <c r="S311" s="234" t="s">
        <v>306</v>
      </c>
      <c r="T311" s="209" t="s">
        <v>19</v>
      </c>
      <c r="U311" s="209" t="s">
        <v>25</v>
      </c>
      <c r="V311" s="234" t="s">
        <v>306</v>
      </c>
      <c r="W311" s="209" t="s">
        <v>19</v>
      </c>
      <c r="X311" s="209" t="s">
        <v>19</v>
      </c>
      <c r="Y311" s="234" t="s">
        <v>19</v>
      </c>
      <c r="Z311" s="209" t="s">
        <v>306</v>
      </c>
      <c r="AA311" s="209" t="s">
        <v>19</v>
      </c>
      <c r="AB311" s="234" t="s">
        <v>306</v>
      </c>
      <c r="AC311" s="235" t="s">
        <v>306</v>
      </c>
      <c r="AD311" s="209" t="s">
        <v>306</v>
      </c>
      <c r="AE311" s="209" t="s">
        <v>306</v>
      </c>
      <c r="AF311" s="234" t="s">
        <v>306</v>
      </c>
      <c r="AG311" s="209" t="s">
        <v>19</v>
      </c>
      <c r="AH311" s="209" t="s">
        <v>19</v>
      </c>
      <c r="AI311" s="234" t="s">
        <v>19</v>
      </c>
      <c r="AJ311" s="209" t="s">
        <v>19</v>
      </c>
      <c r="AK311" s="209" t="s">
        <v>19</v>
      </c>
      <c r="AL311" s="234" t="s">
        <v>19</v>
      </c>
      <c r="AM311" s="209" t="s">
        <v>19</v>
      </c>
      <c r="AN311" s="209" t="s">
        <v>19</v>
      </c>
      <c r="AO311" s="234" t="s">
        <v>19</v>
      </c>
      <c r="AP311" s="235" t="s">
        <v>19</v>
      </c>
      <c r="AQ311" s="209" t="s">
        <v>19</v>
      </c>
      <c r="AR311" s="209" t="s">
        <v>19</v>
      </c>
      <c r="AS311" s="234" t="s">
        <v>19</v>
      </c>
      <c r="AT311" s="209" t="s">
        <v>25</v>
      </c>
      <c r="AU311" s="209" t="s">
        <v>306</v>
      </c>
      <c r="AV311" s="234" t="s">
        <v>25</v>
      </c>
      <c r="AW311" s="209" t="s">
        <v>19</v>
      </c>
      <c r="AX311" s="209" t="s">
        <v>306</v>
      </c>
      <c r="AY311" s="234" t="s">
        <v>306</v>
      </c>
      <c r="AZ311" s="209" t="s">
        <v>19</v>
      </c>
      <c r="BA311" s="209" t="s">
        <v>19</v>
      </c>
      <c r="BB311" s="234" t="s">
        <v>306</v>
      </c>
      <c r="BC311" s="235" t="s">
        <v>25</v>
      </c>
      <c r="BD311" s="188"/>
    </row>
    <row r="312" spans="1:56" ht="12.75" customHeight="1" x14ac:dyDescent="0.25">
      <c r="A312" s="238">
        <v>45271.91942568287</v>
      </c>
      <c r="B312" s="233" t="s">
        <v>395</v>
      </c>
      <c r="C312" s="209" t="s">
        <v>587</v>
      </c>
      <c r="D312" s="232" t="s">
        <v>17</v>
      </c>
      <c r="E312" s="232" t="s">
        <v>515</v>
      </c>
      <c r="F312" s="209" t="s">
        <v>910</v>
      </c>
      <c r="G312" s="232" t="s">
        <v>18</v>
      </c>
      <c r="H312" s="232">
        <v>12</v>
      </c>
      <c r="I312" s="209" t="s">
        <v>531</v>
      </c>
      <c r="J312" s="188"/>
      <c r="K312" s="209" t="s">
        <v>539</v>
      </c>
      <c r="L312" s="209" t="s">
        <v>531</v>
      </c>
      <c r="M312" s="188"/>
      <c r="N312" s="188"/>
      <c r="O312" s="188"/>
      <c r="P312" s="188"/>
      <c r="Q312" s="209" t="s">
        <v>25</v>
      </c>
      <c r="R312" s="209" t="s">
        <v>19</v>
      </c>
      <c r="S312" s="234" t="s">
        <v>306</v>
      </c>
      <c r="T312" s="209" t="s">
        <v>306</v>
      </c>
      <c r="U312" s="209" t="s">
        <v>25</v>
      </c>
      <c r="V312" s="234" t="s">
        <v>25</v>
      </c>
      <c r="W312" s="209" t="s">
        <v>306</v>
      </c>
      <c r="X312" s="209" t="s">
        <v>19</v>
      </c>
      <c r="Y312" s="234" t="s">
        <v>306</v>
      </c>
      <c r="Z312" s="209" t="s">
        <v>25</v>
      </c>
      <c r="AA312" s="209" t="s">
        <v>306</v>
      </c>
      <c r="AB312" s="234" t="s">
        <v>25</v>
      </c>
      <c r="AC312" s="235" t="s">
        <v>306</v>
      </c>
      <c r="AD312" s="209" t="s">
        <v>306</v>
      </c>
      <c r="AE312" s="209" t="s">
        <v>306</v>
      </c>
      <c r="AF312" s="234" t="s">
        <v>306</v>
      </c>
      <c r="AG312" s="209" t="s">
        <v>19</v>
      </c>
      <c r="AH312" s="209" t="s">
        <v>19</v>
      </c>
      <c r="AI312" s="234" t="s">
        <v>19</v>
      </c>
      <c r="AJ312" s="209" t="s">
        <v>19</v>
      </c>
      <c r="AK312" s="209" t="s">
        <v>19</v>
      </c>
      <c r="AL312" s="234" t="s">
        <v>19</v>
      </c>
      <c r="AM312" s="209" t="s">
        <v>19</v>
      </c>
      <c r="AN312" s="209" t="s">
        <v>19</v>
      </c>
      <c r="AO312" s="234" t="s">
        <v>19</v>
      </c>
      <c r="AP312" s="235" t="s">
        <v>19</v>
      </c>
      <c r="AQ312" s="209" t="s">
        <v>25</v>
      </c>
      <c r="AR312" s="209" t="s">
        <v>25</v>
      </c>
      <c r="AS312" s="234" t="s">
        <v>25</v>
      </c>
      <c r="AT312" s="209" t="s">
        <v>25</v>
      </c>
      <c r="AU312" s="209" t="s">
        <v>25</v>
      </c>
      <c r="AV312" s="234" t="s">
        <v>25</v>
      </c>
      <c r="AW312" s="209" t="s">
        <v>25</v>
      </c>
      <c r="AX312" s="209" t="s">
        <v>19</v>
      </c>
      <c r="AY312" s="234" t="s">
        <v>306</v>
      </c>
      <c r="AZ312" s="209" t="s">
        <v>19</v>
      </c>
      <c r="BA312" s="209" t="s">
        <v>25</v>
      </c>
      <c r="BB312" s="234" t="s">
        <v>25</v>
      </c>
      <c r="BC312" s="235" t="s">
        <v>306</v>
      </c>
      <c r="BD312" s="188"/>
    </row>
    <row r="313" spans="1:56" ht="12.75" customHeight="1" x14ac:dyDescent="0.25">
      <c r="A313" s="238">
        <v>45271.921292256942</v>
      </c>
      <c r="B313" s="233" t="s">
        <v>395</v>
      </c>
      <c r="C313" s="209" t="s">
        <v>587</v>
      </c>
      <c r="D313" s="232" t="s">
        <v>17</v>
      </c>
      <c r="E313" s="232" t="s">
        <v>515</v>
      </c>
      <c r="F313" s="209" t="s">
        <v>911</v>
      </c>
      <c r="G313" s="232" t="s">
        <v>24</v>
      </c>
      <c r="H313" s="232">
        <v>12</v>
      </c>
      <c r="I313" s="209" t="s">
        <v>531</v>
      </c>
      <c r="J313" s="188"/>
      <c r="K313" s="209" t="s">
        <v>539</v>
      </c>
      <c r="L313" s="209" t="s">
        <v>531</v>
      </c>
      <c r="M313" s="188"/>
      <c r="N313" s="188"/>
      <c r="O313" s="188"/>
      <c r="P313" s="188"/>
      <c r="Q313" s="209" t="s">
        <v>25</v>
      </c>
      <c r="R313" s="209" t="s">
        <v>306</v>
      </c>
      <c r="S313" s="234" t="s">
        <v>25</v>
      </c>
      <c r="T313" s="209" t="s">
        <v>306</v>
      </c>
      <c r="U313" s="209" t="s">
        <v>25</v>
      </c>
      <c r="V313" s="234" t="s">
        <v>25</v>
      </c>
      <c r="W313" s="209" t="s">
        <v>306</v>
      </c>
      <c r="X313" s="209" t="s">
        <v>19</v>
      </c>
      <c r="Y313" s="234" t="s">
        <v>306</v>
      </c>
      <c r="Z313" s="209" t="s">
        <v>306</v>
      </c>
      <c r="AA313" s="209" t="s">
        <v>25</v>
      </c>
      <c r="AB313" s="234" t="s">
        <v>25</v>
      </c>
      <c r="AC313" s="235" t="s">
        <v>306</v>
      </c>
      <c r="AD313" s="209" t="s">
        <v>306</v>
      </c>
      <c r="AE313" s="209" t="s">
        <v>306</v>
      </c>
      <c r="AF313" s="234" t="s">
        <v>306</v>
      </c>
      <c r="AG313" s="209" t="s">
        <v>19</v>
      </c>
      <c r="AH313" s="209" t="s">
        <v>19</v>
      </c>
      <c r="AI313" s="234" t="s">
        <v>19</v>
      </c>
      <c r="AJ313" s="209" t="s">
        <v>19</v>
      </c>
      <c r="AK313" s="209" t="s">
        <v>19</v>
      </c>
      <c r="AL313" s="234" t="s">
        <v>19</v>
      </c>
      <c r="AM313" s="209" t="s">
        <v>19</v>
      </c>
      <c r="AN313" s="209" t="s">
        <v>19</v>
      </c>
      <c r="AO313" s="234" t="s">
        <v>19</v>
      </c>
      <c r="AP313" s="235" t="s">
        <v>19</v>
      </c>
      <c r="AQ313" s="209" t="s">
        <v>25</v>
      </c>
      <c r="AR313" s="209" t="s">
        <v>25</v>
      </c>
      <c r="AS313" s="234" t="s">
        <v>25</v>
      </c>
      <c r="AT313" s="209" t="s">
        <v>25</v>
      </c>
      <c r="AU313" s="209" t="s">
        <v>25</v>
      </c>
      <c r="AV313" s="234" t="s">
        <v>25</v>
      </c>
      <c r="AW313" s="209" t="s">
        <v>25</v>
      </c>
      <c r="AX313" s="209" t="s">
        <v>19</v>
      </c>
      <c r="AY313" s="234" t="s">
        <v>306</v>
      </c>
      <c r="AZ313" s="209" t="s">
        <v>25</v>
      </c>
      <c r="BA313" s="209" t="s">
        <v>25</v>
      </c>
      <c r="BB313" s="234" t="s">
        <v>306</v>
      </c>
      <c r="BC313" s="235" t="s">
        <v>306</v>
      </c>
      <c r="BD313" s="188"/>
    </row>
    <row r="314" spans="1:56" ht="12.75" customHeight="1" x14ac:dyDescent="0.25">
      <c r="A314" s="238">
        <v>45271.923529629625</v>
      </c>
      <c r="B314" s="233" t="s">
        <v>395</v>
      </c>
      <c r="C314" s="209" t="s">
        <v>587</v>
      </c>
      <c r="D314" s="232" t="s">
        <v>17</v>
      </c>
      <c r="E314" s="232" t="s">
        <v>515</v>
      </c>
      <c r="F314" s="209" t="s">
        <v>912</v>
      </c>
      <c r="G314" s="232" t="s">
        <v>18</v>
      </c>
      <c r="H314" s="232">
        <v>12</v>
      </c>
      <c r="I314" s="209" t="s">
        <v>531</v>
      </c>
      <c r="J314" s="188"/>
      <c r="K314" s="209" t="s">
        <v>539</v>
      </c>
      <c r="L314" s="209" t="s">
        <v>531</v>
      </c>
      <c r="M314" s="188"/>
      <c r="N314" s="188"/>
      <c r="O314" s="188"/>
      <c r="P314" s="188"/>
      <c r="Q314" s="209" t="s">
        <v>25</v>
      </c>
      <c r="R314" s="209" t="s">
        <v>306</v>
      </c>
      <c r="S314" s="234" t="s">
        <v>25</v>
      </c>
      <c r="T314" s="209" t="s">
        <v>306</v>
      </c>
      <c r="U314" s="209" t="s">
        <v>25</v>
      </c>
      <c r="V314" s="234" t="s">
        <v>25</v>
      </c>
      <c r="W314" s="209" t="s">
        <v>25</v>
      </c>
      <c r="X314" s="209" t="s">
        <v>25</v>
      </c>
      <c r="Y314" s="234" t="s">
        <v>25</v>
      </c>
      <c r="Z314" s="209" t="s">
        <v>25</v>
      </c>
      <c r="AA314" s="209" t="s">
        <v>25</v>
      </c>
      <c r="AB314" s="234" t="s">
        <v>25</v>
      </c>
      <c r="AC314" s="235" t="s">
        <v>25</v>
      </c>
      <c r="AD314" s="209" t="s">
        <v>306</v>
      </c>
      <c r="AE314" s="209" t="s">
        <v>25</v>
      </c>
      <c r="AF314" s="234" t="s">
        <v>25</v>
      </c>
      <c r="AG314" s="209" t="s">
        <v>306</v>
      </c>
      <c r="AH314" s="209" t="s">
        <v>19</v>
      </c>
      <c r="AI314" s="234" t="s">
        <v>306</v>
      </c>
      <c r="AJ314" s="209" t="s">
        <v>306</v>
      </c>
      <c r="AK314" s="209" t="s">
        <v>306</v>
      </c>
      <c r="AL314" s="234" t="s">
        <v>306</v>
      </c>
      <c r="AM314" s="209" t="s">
        <v>306</v>
      </c>
      <c r="AN314" s="209" t="s">
        <v>306</v>
      </c>
      <c r="AO314" s="234" t="s">
        <v>306</v>
      </c>
      <c r="AP314" s="235" t="s">
        <v>306</v>
      </c>
      <c r="AQ314" s="209" t="s">
        <v>25</v>
      </c>
      <c r="AR314" s="209" t="s">
        <v>25</v>
      </c>
      <c r="AS314" s="234" t="s">
        <v>25</v>
      </c>
      <c r="AT314" s="209" t="s">
        <v>25</v>
      </c>
      <c r="AU314" s="209" t="s">
        <v>25</v>
      </c>
      <c r="AV314" s="234" t="s">
        <v>25</v>
      </c>
      <c r="AW314" s="209" t="s">
        <v>25</v>
      </c>
      <c r="AX314" s="209" t="s">
        <v>25</v>
      </c>
      <c r="AY314" s="234" t="s">
        <v>25</v>
      </c>
      <c r="AZ314" s="209" t="s">
        <v>25</v>
      </c>
      <c r="BA314" s="209" t="s">
        <v>25</v>
      </c>
      <c r="BB314" s="234" t="s">
        <v>306</v>
      </c>
      <c r="BC314" s="235" t="s">
        <v>306</v>
      </c>
      <c r="BD314" s="188"/>
    </row>
    <row r="315" spans="1:56" ht="12.75" customHeight="1" x14ac:dyDescent="0.25">
      <c r="A315" s="238">
        <v>45271.925464872686</v>
      </c>
      <c r="B315" s="233" t="s">
        <v>395</v>
      </c>
      <c r="C315" s="209" t="s">
        <v>587</v>
      </c>
      <c r="D315" s="232" t="s">
        <v>17</v>
      </c>
      <c r="E315" s="232" t="s">
        <v>515</v>
      </c>
      <c r="F315" s="209" t="s">
        <v>913</v>
      </c>
      <c r="G315" s="232" t="s">
        <v>18</v>
      </c>
      <c r="H315" s="232">
        <v>12</v>
      </c>
      <c r="I315" s="209" t="s">
        <v>531</v>
      </c>
      <c r="J315" s="188"/>
      <c r="K315" s="209" t="s">
        <v>539</v>
      </c>
      <c r="L315" s="209" t="s">
        <v>531</v>
      </c>
      <c r="M315" s="188"/>
      <c r="N315" s="188"/>
      <c r="O315" s="188"/>
      <c r="P315" s="188"/>
      <c r="Q315" s="209" t="s">
        <v>306</v>
      </c>
      <c r="R315" s="209" t="s">
        <v>19</v>
      </c>
      <c r="S315" s="234" t="s">
        <v>306</v>
      </c>
      <c r="T315" s="209" t="s">
        <v>19</v>
      </c>
      <c r="U315" s="209" t="s">
        <v>25</v>
      </c>
      <c r="V315" s="234" t="s">
        <v>306</v>
      </c>
      <c r="W315" s="209" t="s">
        <v>19</v>
      </c>
      <c r="X315" s="209" t="s">
        <v>19</v>
      </c>
      <c r="Y315" s="234" t="s">
        <v>19</v>
      </c>
      <c r="Z315" s="209" t="s">
        <v>306</v>
      </c>
      <c r="AA315" s="209" t="s">
        <v>19</v>
      </c>
      <c r="AB315" s="234" t="s">
        <v>306</v>
      </c>
      <c r="AC315" s="235" t="s">
        <v>306</v>
      </c>
      <c r="AD315" s="209" t="s">
        <v>19</v>
      </c>
      <c r="AE315" s="209" t="s">
        <v>25</v>
      </c>
      <c r="AF315" s="234" t="s">
        <v>306</v>
      </c>
      <c r="AG315" s="209" t="s">
        <v>19</v>
      </c>
      <c r="AH315" s="209" t="s">
        <v>19</v>
      </c>
      <c r="AI315" s="234" t="s">
        <v>19</v>
      </c>
      <c r="AJ315" s="209" t="s">
        <v>19</v>
      </c>
      <c r="AK315" s="209" t="s">
        <v>19</v>
      </c>
      <c r="AL315" s="234" t="s">
        <v>19</v>
      </c>
      <c r="AM315" s="209" t="s">
        <v>19</v>
      </c>
      <c r="AN315" s="209" t="s">
        <v>19</v>
      </c>
      <c r="AO315" s="234" t="s">
        <v>19</v>
      </c>
      <c r="AP315" s="235" t="s">
        <v>19</v>
      </c>
      <c r="AQ315" s="209" t="s">
        <v>19</v>
      </c>
      <c r="AR315" s="209" t="s">
        <v>306</v>
      </c>
      <c r="AS315" s="234" t="s">
        <v>306</v>
      </c>
      <c r="AT315" s="209" t="s">
        <v>25</v>
      </c>
      <c r="AU315" s="209" t="s">
        <v>25</v>
      </c>
      <c r="AV315" s="234" t="s">
        <v>25</v>
      </c>
      <c r="AW315" s="209" t="s">
        <v>306</v>
      </c>
      <c r="AX315" s="209" t="s">
        <v>19</v>
      </c>
      <c r="AY315" s="234" t="s">
        <v>306</v>
      </c>
      <c r="AZ315" s="209" t="s">
        <v>19</v>
      </c>
      <c r="BA315" s="209" t="s">
        <v>19</v>
      </c>
      <c r="BB315" s="234" t="s">
        <v>25</v>
      </c>
      <c r="BC315" s="235" t="s">
        <v>25</v>
      </c>
      <c r="BD315" s="188"/>
    </row>
    <row r="316" spans="1:56" ht="12.75" customHeight="1" x14ac:dyDescent="0.25">
      <c r="A316" s="238">
        <v>45271.925635659718</v>
      </c>
      <c r="B316" s="233" t="s">
        <v>395</v>
      </c>
      <c r="C316" s="209" t="s">
        <v>587</v>
      </c>
      <c r="D316" s="232" t="s">
        <v>17</v>
      </c>
      <c r="E316" s="232" t="s">
        <v>515</v>
      </c>
      <c r="F316" s="209" t="s">
        <v>914</v>
      </c>
      <c r="G316" s="232" t="s">
        <v>24</v>
      </c>
      <c r="H316" s="232">
        <v>12</v>
      </c>
      <c r="I316" s="209" t="s">
        <v>531</v>
      </c>
      <c r="J316" s="188"/>
      <c r="K316" s="209" t="s">
        <v>539</v>
      </c>
      <c r="L316" s="209" t="s">
        <v>531</v>
      </c>
      <c r="M316" s="188"/>
      <c r="N316" s="188"/>
      <c r="O316" s="188"/>
      <c r="P316" s="188"/>
      <c r="Q316" s="209" t="s">
        <v>25</v>
      </c>
      <c r="R316" s="209" t="s">
        <v>306</v>
      </c>
      <c r="S316" s="234" t="s">
        <v>25</v>
      </c>
      <c r="T316" s="209" t="s">
        <v>19</v>
      </c>
      <c r="U316" s="209" t="s">
        <v>25</v>
      </c>
      <c r="V316" s="234" t="s">
        <v>306</v>
      </c>
      <c r="W316" s="209" t="s">
        <v>19</v>
      </c>
      <c r="X316" s="209" t="s">
        <v>19</v>
      </c>
      <c r="Y316" s="234" t="s">
        <v>19</v>
      </c>
      <c r="Z316" s="209" t="s">
        <v>306</v>
      </c>
      <c r="AA316" s="209" t="s">
        <v>306</v>
      </c>
      <c r="AB316" s="234" t="s">
        <v>306</v>
      </c>
      <c r="AC316" s="235" t="s">
        <v>306</v>
      </c>
      <c r="AD316" s="209" t="s">
        <v>19</v>
      </c>
      <c r="AE316" s="209" t="s">
        <v>306</v>
      </c>
      <c r="AF316" s="234" t="s">
        <v>306</v>
      </c>
      <c r="AG316" s="209" t="s">
        <v>19</v>
      </c>
      <c r="AH316" s="209" t="s">
        <v>19</v>
      </c>
      <c r="AI316" s="234" t="s">
        <v>19</v>
      </c>
      <c r="AJ316" s="209" t="s">
        <v>19</v>
      </c>
      <c r="AK316" s="209" t="s">
        <v>19</v>
      </c>
      <c r="AL316" s="234" t="s">
        <v>19</v>
      </c>
      <c r="AM316" s="209" t="s">
        <v>19</v>
      </c>
      <c r="AN316" s="209" t="s">
        <v>19</v>
      </c>
      <c r="AO316" s="234" t="s">
        <v>19</v>
      </c>
      <c r="AP316" s="235" t="s">
        <v>19</v>
      </c>
      <c r="AQ316" s="209" t="s">
        <v>25</v>
      </c>
      <c r="AR316" s="209" t="s">
        <v>25</v>
      </c>
      <c r="AS316" s="234" t="s">
        <v>25</v>
      </c>
      <c r="AT316" s="209" t="s">
        <v>25</v>
      </c>
      <c r="AU316" s="209" t="s">
        <v>25</v>
      </c>
      <c r="AV316" s="234" t="s">
        <v>25</v>
      </c>
      <c r="AW316" s="209" t="s">
        <v>25</v>
      </c>
      <c r="AX316" s="209" t="s">
        <v>306</v>
      </c>
      <c r="AY316" s="234" t="s">
        <v>25</v>
      </c>
      <c r="AZ316" s="209" t="s">
        <v>306</v>
      </c>
      <c r="BA316" s="209" t="s">
        <v>25</v>
      </c>
      <c r="BB316" s="234" t="s">
        <v>25</v>
      </c>
      <c r="BC316" s="235" t="s">
        <v>25</v>
      </c>
      <c r="BD316" s="188"/>
    </row>
    <row r="317" spans="1:56" ht="12.75" customHeight="1" x14ac:dyDescent="0.25">
      <c r="A317" s="238">
        <v>45271.927368460645</v>
      </c>
      <c r="B317" s="233" t="s">
        <v>395</v>
      </c>
      <c r="C317" s="209" t="s">
        <v>587</v>
      </c>
      <c r="D317" s="232" t="s">
        <v>17</v>
      </c>
      <c r="E317" s="232" t="s">
        <v>515</v>
      </c>
      <c r="F317" s="209" t="s">
        <v>915</v>
      </c>
      <c r="G317" s="232" t="s">
        <v>24</v>
      </c>
      <c r="H317" s="232">
        <v>11</v>
      </c>
      <c r="I317" s="209" t="s">
        <v>531</v>
      </c>
      <c r="J317" s="188"/>
      <c r="K317" s="209" t="s">
        <v>539</v>
      </c>
      <c r="L317" s="209" t="s">
        <v>531</v>
      </c>
      <c r="M317" s="188"/>
      <c r="N317" s="188"/>
      <c r="O317" s="188"/>
      <c r="P317" s="188"/>
      <c r="Q317" s="209" t="s">
        <v>25</v>
      </c>
      <c r="R317" s="209" t="s">
        <v>306</v>
      </c>
      <c r="S317" s="234" t="s">
        <v>25</v>
      </c>
      <c r="T317" s="209" t="s">
        <v>19</v>
      </c>
      <c r="U317" s="209" t="s">
        <v>25</v>
      </c>
      <c r="V317" s="234" t="s">
        <v>306</v>
      </c>
      <c r="W317" s="209" t="s">
        <v>19</v>
      </c>
      <c r="X317" s="209" t="s">
        <v>19</v>
      </c>
      <c r="Y317" s="234" t="s">
        <v>19</v>
      </c>
      <c r="Z317" s="209" t="s">
        <v>25</v>
      </c>
      <c r="AA317" s="209" t="s">
        <v>306</v>
      </c>
      <c r="AB317" s="234" t="s">
        <v>25</v>
      </c>
      <c r="AC317" s="235" t="s">
        <v>306</v>
      </c>
      <c r="AD317" s="209" t="s">
        <v>306</v>
      </c>
      <c r="AE317" s="209" t="s">
        <v>25</v>
      </c>
      <c r="AF317" s="234" t="s">
        <v>25</v>
      </c>
      <c r="AG317" s="209" t="s">
        <v>19</v>
      </c>
      <c r="AH317" s="209" t="s">
        <v>19</v>
      </c>
      <c r="AI317" s="234" t="s">
        <v>19</v>
      </c>
      <c r="AJ317" s="209" t="s">
        <v>19</v>
      </c>
      <c r="AK317" s="209" t="s">
        <v>19</v>
      </c>
      <c r="AL317" s="234" t="s">
        <v>19</v>
      </c>
      <c r="AM317" s="209" t="s">
        <v>19</v>
      </c>
      <c r="AN317" s="209" t="s">
        <v>19</v>
      </c>
      <c r="AO317" s="234" t="s">
        <v>19</v>
      </c>
      <c r="AP317" s="235" t="s">
        <v>19</v>
      </c>
      <c r="AQ317" s="209" t="s">
        <v>25</v>
      </c>
      <c r="AR317" s="209" t="s">
        <v>25</v>
      </c>
      <c r="AS317" s="234" t="s">
        <v>25</v>
      </c>
      <c r="AT317" s="209" t="s">
        <v>25</v>
      </c>
      <c r="AU317" s="209" t="s">
        <v>25</v>
      </c>
      <c r="AV317" s="234" t="s">
        <v>25</v>
      </c>
      <c r="AW317" s="209" t="s">
        <v>25</v>
      </c>
      <c r="AX317" s="209" t="s">
        <v>19</v>
      </c>
      <c r="AY317" s="234" t="s">
        <v>306</v>
      </c>
      <c r="AZ317" s="209" t="s">
        <v>19</v>
      </c>
      <c r="BA317" s="209" t="s">
        <v>25</v>
      </c>
      <c r="BB317" s="234" t="s">
        <v>25</v>
      </c>
      <c r="BC317" s="235" t="s">
        <v>306</v>
      </c>
      <c r="BD317" s="188"/>
    </row>
    <row r="318" spans="1:56" ht="12.75" customHeight="1" x14ac:dyDescent="0.25">
      <c r="A318" s="238">
        <v>45271.928455613423</v>
      </c>
      <c r="B318" s="233" t="s">
        <v>395</v>
      </c>
      <c r="C318" s="209" t="s">
        <v>587</v>
      </c>
      <c r="D318" s="232" t="s">
        <v>17</v>
      </c>
      <c r="E318" s="232" t="s">
        <v>515</v>
      </c>
      <c r="F318" s="209" t="s">
        <v>916</v>
      </c>
      <c r="G318" s="232" t="s">
        <v>18</v>
      </c>
      <c r="H318" s="232">
        <v>11</v>
      </c>
      <c r="I318" s="209" t="s">
        <v>531</v>
      </c>
      <c r="J318" s="188"/>
      <c r="K318" s="209" t="s">
        <v>539</v>
      </c>
      <c r="L318" s="209" t="s">
        <v>518</v>
      </c>
      <c r="M318" s="209" t="s">
        <v>412</v>
      </c>
      <c r="N318" s="209" t="s">
        <v>589</v>
      </c>
      <c r="O318" s="209"/>
      <c r="P318" s="209"/>
      <c r="Q318" s="209" t="s">
        <v>25</v>
      </c>
      <c r="R318" s="209" t="s">
        <v>19</v>
      </c>
      <c r="S318" s="234" t="s">
        <v>306</v>
      </c>
      <c r="T318" s="209" t="s">
        <v>19</v>
      </c>
      <c r="U318" s="209" t="s">
        <v>25</v>
      </c>
      <c r="V318" s="234" t="s">
        <v>306</v>
      </c>
      <c r="W318" s="209" t="s">
        <v>19</v>
      </c>
      <c r="X318" s="209" t="s">
        <v>19</v>
      </c>
      <c r="Y318" s="234" t="s">
        <v>19</v>
      </c>
      <c r="Z318" s="209" t="s">
        <v>306</v>
      </c>
      <c r="AA318" s="209" t="s">
        <v>19</v>
      </c>
      <c r="AB318" s="234" t="s">
        <v>306</v>
      </c>
      <c r="AC318" s="235" t="s">
        <v>306</v>
      </c>
      <c r="AD318" s="209" t="s">
        <v>306</v>
      </c>
      <c r="AE318" s="209" t="s">
        <v>306</v>
      </c>
      <c r="AF318" s="234" t="s">
        <v>306</v>
      </c>
      <c r="AG318" s="209" t="s">
        <v>19</v>
      </c>
      <c r="AH318" s="209" t="s">
        <v>19</v>
      </c>
      <c r="AI318" s="234" t="s">
        <v>19</v>
      </c>
      <c r="AJ318" s="209" t="s">
        <v>19</v>
      </c>
      <c r="AK318" s="209" t="s">
        <v>19</v>
      </c>
      <c r="AL318" s="234" t="s">
        <v>19</v>
      </c>
      <c r="AM318" s="209" t="s">
        <v>19</v>
      </c>
      <c r="AN318" s="209" t="s">
        <v>19</v>
      </c>
      <c r="AO318" s="234" t="s">
        <v>19</v>
      </c>
      <c r="AP318" s="235" t="s">
        <v>19</v>
      </c>
      <c r="AQ318" s="209" t="s">
        <v>25</v>
      </c>
      <c r="AR318" s="209" t="s">
        <v>19</v>
      </c>
      <c r="AS318" s="234" t="s">
        <v>306</v>
      </c>
      <c r="AT318" s="209" t="s">
        <v>25</v>
      </c>
      <c r="AU318" s="209" t="s">
        <v>25</v>
      </c>
      <c r="AV318" s="234" t="s">
        <v>25</v>
      </c>
      <c r="AW318" s="209" t="s">
        <v>19</v>
      </c>
      <c r="AX318" s="209" t="s">
        <v>306</v>
      </c>
      <c r="AY318" s="234" t="s">
        <v>306</v>
      </c>
      <c r="AZ318" s="209" t="s">
        <v>19</v>
      </c>
      <c r="BA318" s="209" t="s">
        <v>19</v>
      </c>
      <c r="BB318" s="234" t="s">
        <v>25</v>
      </c>
      <c r="BC318" s="235" t="s">
        <v>25</v>
      </c>
      <c r="BD318" s="188"/>
    </row>
    <row r="319" spans="1:56" ht="12.75" customHeight="1" x14ac:dyDescent="0.25">
      <c r="A319" s="238">
        <v>45271.930422303238</v>
      </c>
      <c r="B319" s="233" t="s">
        <v>395</v>
      </c>
      <c r="C319" s="209" t="s">
        <v>587</v>
      </c>
      <c r="D319" s="232" t="s">
        <v>17</v>
      </c>
      <c r="E319" s="232" t="s">
        <v>515</v>
      </c>
      <c r="F319" s="209" t="s">
        <v>917</v>
      </c>
      <c r="G319" s="232" t="s">
        <v>24</v>
      </c>
      <c r="H319" s="232">
        <v>11</v>
      </c>
      <c r="I319" s="209" t="s">
        <v>531</v>
      </c>
      <c r="J319" s="188"/>
      <c r="K319" s="209" t="s">
        <v>539</v>
      </c>
      <c r="L319" s="209" t="s">
        <v>531</v>
      </c>
      <c r="M319" s="188"/>
      <c r="N319" s="188"/>
      <c r="O319" s="188"/>
      <c r="P319" s="188"/>
      <c r="Q319" s="209" t="s">
        <v>25</v>
      </c>
      <c r="R319" s="209" t="s">
        <v>19</v>
      </c>
      <c r="S319" s="234" t="s">
        <v>306</v>
      </c>
      <c r="T319" s="209" t="s">
        <v>25</v>
      </c>
      <c r="U319" s="209" t="s">
        <v>25</v>
      </c>
      <c r="V319" s="234" t="s">
        <v>25</v>
      </c>
      <c r="W319" s="209" t="s">
        <v>19</v>
      </c>
      <c r="X319" s="209" t="s">
        <v>19</v>
      </c>
      <c r="Y319" s="234" t="s">
        <v>19</v>
      </c>
      <c r="Z319" s="209" t="s">
        <v>19</v>
      </c>
      <c r="AA319" s="209" t="s">
        <v>19</v>
      </c>
      <c r="AB319" s="234" t="s">
        <v>19</v>
      </c>
      <c r="AC319" s="235" t="s">
        <v>306</v>
      </c>
      <c r="AD319" s="209" t="s">
        <v>19</v>
      </c>
      <c r="AE319" s="209" t="s">
        <v>306</v>
      </c>
      <c r="AF319" s="234" t="s">
        <v>306</v>
      </c>
      <c r="AG319" s="209" t="s">
        <v>19</v>
      </c>
      <c r="AH319" s="209" t="s">
        <v>19</v>
      </c>
      <c r="AI319" s="234" t="s">
        <v>19</v>
      </c>
      <c r="AJ319" s="209" t="s">
        <v>19</v>
      </c>
      <c r="AK319" s="209" t="s">
        <v>19</v>
      </c>
      <c r="AL319" s="234" t="s">
        <v>19</v>
      </c>
      <c r="AM319" s="209" t="s">
        <v>19</v>
      </c>
      <c r="AN319" s="209" t="s">
        <v>19</v>
      </c>
      <c r="AO319" s="234" t="s">
        <v>19</v>
      </c>
      <c r="AP319" s="235" t="s">
        <v>19</v>
      </c>
      <c r="AQ319" s="209" t="s">
        <v>19</v>
      </c>
      <c r="AR319" s="209" t="s">
        <v>306</v>
      </c>
      <c r="AS319" s="234" t="s">
        <v>306</v>
      </c>
      <c r="AT319" s="209" t="s">
        <v>25</v>
      </c>
      <c r="AU319" s="209" t="s">
        <v>25</v>
      </c>
      <c r="AV319" s="234" t="s">
        <v>25</v>
      </c>
      <c r="AW319" s="209" t="s">
        <v>19</v>
      </c>
      <c r="AX319" s="209" t="s">
        <v>25</v>
      </c>
      <c r="AY319" s="234" t="s">
        <v>306</v>
      </c>
      <c r="AZ319" s="209" t="s">
        <v>19</v>
      </c>
      <c r="BA319" s="209" t="s">
        <v>25</v>
      </c>
      <c r="BB319" s="234" t="s">
        <v>306</v>
      </c>
      <c r="BC319" s="235" t="s">
        <v>306</v>
      </c>
      <c r="BD319" s="188"/>
    </row>
    <row r="320" spans="1:56" ht="12.75" customHeight="1" x14ac:dyDescent="0.25">
      <c r="A320" s="238">
        <v>45271.930465219906</v>
      </c>
      <c r="B320" s="233" t="s">
        <v>395</v>
      </c>
      <c r="C320" s="209" t="s">
        <v>587</v>
      </c>
      <c r="D320" s="232" t="s">
        <v>17</v>
      </c>
      <c r="E320" s="232" t="s">
        <v>515</v>
      </c>
      <c r="F320" s="209" t="s">
        <v>918</v>
      </c>
      <c r="G320" s="232" t="s">
        <v>18</v>
      </c>
      <c r="H320" s="232">
        <v>123</v>
      </c>
      <c r="I320" s="209" t="s">
        <v>531</v>
      </c>
      <c r="J320" s="188"/>
      <c r="K320" s="209" t="s">
        <v>539</v>
      </c>
      <c r="L320" s="209" t="s">
        <v>518</v>
      </c>
      <c r="M320" s="209" t="s">
        <v>412</v>
      </c>
      <c r="N320" s="209" t="s">
        <v>589</v>
      </c>
      <c r="O320" s="209"/>
      <c r="P320" s="209"/>
      <c r="Q320" s="209" t="s">
        <v>25</v>
      </c>
      <c r="R320" s="209" t="s">
        <v>19</v>
      </c>
      <c r="S320" s="234" t="s">
        <v>306</v>
      </c>
      <c r="T320" s="209" t="s">
        <v>19</v>
      </c>
      <c r="U320" s="209" t="s">
        <v>25</v>
      </c>
      <c r="V320" s="234" t="s">
        <v>306</v>
      </c>
      <c r="W320" s="209" t="s">
        <v>19</v>
      </c>
      <c r="X320" s="209" t="s">
        <v>19</v>
      </c>
      <c r="Y320" s="234" t="s">
        <v>19</v>
      </c>
      <c r="Z320" s="209" t="s">
        <v>19</v>
      </c>
      <c r="AA320" s="209" t="s">
        <v>19</v>
      </c>
      <c r="AB320" s="234" t="s">
        <v>19</v>
      </c>
      <c r="AC320" s="235" t="s">
        <v>306</v>
      </c>
      <c r="AD320" s="209" t="s">
        <v>25</v>
      </c>
      <c r="AE320" s="209" t="s">
        <v>25</v>
      </c>
      <c r="AF320" s="234" t="s">
        <v>25</v>
      </c>
      <c r="AG320" s="209" t="s">
        <v>19</v>
      </c>
      <c r="AH320" s="209" t="s">
        <v>19</v>
      </c>
      <c r="AI320" s="234" t="s">
        <v>19</v>
      </c>
      <c r="AJ320" s="209" t="s">
        <v>19</v>
      </c>
      <c r="AK320" s="209" t="s">
        <v>19</v>
      </c>
      <c r="AL320" s="234" t="s">
        <v>19</v>
      </c>
      <c r="AM320" s="209" t="s">
        <v>19</v>
      </c>
      <c r="AN320" s="209" t="s">
        <v>19</v>
      </c>
      <c r="AO320" s="234" t="s">
        <v>19</v>
      </c>
      <c r="AP320" s="235" t="s">
        <v>306</v>
      </c>
      <c r="AQ320" s="209" t="s">
        <v>19</v>
      </c>
      <c r="AR320" s="209" t="s">
        <v>19</v>
      </c>
      <c r="AS320" s="234" t="s">
        <v>19</v>
      </c>
      <c r="AT320" s="209" t="s">
        <v>25</v>
      </c>
      <c r="AU320" s="209" t="s">
        <v>25</v>
      </c>
      <c r="AV320" s="234" t="s">
        <v>25</v>
      </c>
      <c r="AW320" s="209" t="s">
        <v>19</v>
      </c>
      <c r="AX320" s="209" t="s">
        <v>19</v>
      </c>
      <c r="AY320" s="234" t="s">
        <v>19</v>
      </c>
      <c r="AZ320" s="209" t="s">
        <v>19</v>
      </c>
      <c r="BA320" s="209" t="s">
        <v>19</v>
      </c>
      <c r="BB320" s="234" t="s">
        <v>19</v>
      </c>
      <c r="BC320" s="235" t="s">
        <v>306</v>
      </c>
      <c r="BD320" s="188"/>
    </row>
    <row r="321" spans="1:56" ht="12.75" customHeight="1" x14ac:dyDescent="0.25">
      <c r="A321" s="238">
        <v>45271.932447349536</v>
      </c>
      <c r="B321" s="233" t="s">
        <v>395</v>
      </c>
      <c r="C321" s="209" t="s">
        <v>587</v>
      </c>
      <c r="D321" s="232" t="s">
        <v>17</v>
      </c>
      <c r="E321" s="232" t="s">
        <v>515</v>
      </c>
      <c r="F321" s="209" t="s">
        <v>919</v>
      </c>
      <c r="G321" s="232" t="s">
        <v>18</v>
      </c>
      <c r="H321" s="232">
        <v>12</v>
      </c>
      <c r="I321" s="209" t="s">
        <v>531</v>
      </c>
      <c r="J321" s="188"/>
      <c r="K321" s="209" t="s">
        <v>539</v>
      </c>
      <c r="L321" s="209" t="s">
        <v>518</v>
      </c>
      <c r="M321" s="209" t="s">
        <v>412</v>
      </c>
      <c r="N321" s="209" t="s">
        <v>589</v>
      </c>
      <c r="O321" s="209"/>
      <c r="P321" s="209"/>
      <c r="Q321" s="209" t="s">
        <v>306</v>
      </c>
      <c r="R321" s="209" t="s">
        <v>19</v>
      </c>
      <c r="S321" s="234" t="s">
        <v>306</v>
      </c>
      <c r="T321" s="209" t="s">
        <v>19</v>
      </c>
      <c r="U321" s="209" t="s">
        <v>306</v>
      </c>
      <c r="V321" s="234" t="s">
        <v>306</v>
      </c>
      <c r="W321" s="209" t="s">
        <v>19</v>
      </c>
      <c r="X321" s="209" t="s">
        <v>19</v>
      </c>
      <c r="Y321" s="234" t="s">
        <v>19</v>
      </c>
      <c r="Z321" s="209" t="s">
        <v>306</v>
      </c>
      <c r="AA321" s="209" t="s">
        <v>19</v>
      </c>
      <c r="AB321" s="234" t="s">
        <v>306</v>
      </c>
      <c r="AC321" s="235" t="s">
        <v>19</v>
      </c>
      <c r="AD321" s="209" t="s">
        <v>306</v>
      </c>
      <c r="AE321" s="209" t="s">
        <v>19</v>
      </c>
      <c r="AF321" s="234" t="s">
        <v>306</v>
      </c>
      <c r="AG321" s="209" t="s">
        <v>19</v>
      </c>
      <c r="AH321" s="209" t="s">
        <v>19</v>
      </c>
      <c r="AI321" s="234" t="s">
        <v>19</v>
      </c>
      <c r="AJ321" s="209" t="s">
        <v>19</v>
      </c>
      <c r="AK321" s="209" t="s">
        <v>19</v>
      </c>
      <c r="AL321" s="234" t="s">
        <v>19</v>
      </c>
      <c r="AM321" s="209" t="s">
        <v>19</v>
      </c>
      <c r="AN321" s="209" t="s">
        <v>19</v>
      </c>
      <c r="AO321" s="234" t="s">
        <v>19</v>
      </c>
      <c r="AP321" s="235" t="s">
        <v>19</v>
      </c>
      <c r="AQ321" s="209" t="s">
        <v>19</v>
      </c>
      <c r="AR321" s="209" t="s">
        <v>19</v>
      </c>
      <c r="AS321" s="234" t="s">
        <v>19</v>
      </c>
      <c r="AT321" s="209" t="s">
        <v>19</v>
      </c>
      <c r="AU321" s="209" t="s">
        <v>19</v>
      </c>
      <c r="AV321" s="234" t="s">
        <v>19</v>
      </c>
      <c r="AW321" s="209" t="s">
        <v>19</v>
      </c>
      <c r="AX321" s="209" t="s">
        <v>19</v>
      </c>
      <c r="AY321" s="234" t="s">
        <v>19</v>
      </c>
      <c r="AZ321" s="209" t="s">
        <v>19</v>
      </c>
      <c r="BA321" s="209" t="s">
        <v>19</v>
      </c>
      <c r="BB321" s="234" t="s">
        <v>25</v>
      </c>
      <c r="BC321" s="235" t="s">
        <v>25</v>
      </c>
      <c r="BD321" s="188"/>
    </row>
    <row r="322" spans="1:56" ht="12.75" customHeight="1" x14ac:dyDescent="0.25">
      <c r="A322" s="238">
        <v>45271.934002499998</v>
      </c>
      <c r="B322" s="233" t="s">
        <v>395</v>
      </c>
      <c r="C322" s="209" t="s">
        <v>587</v>
      </c>
      <c r="D322" s="232" t="s">
        <v>17</v>
      </c>
      <c r="E322" s="232" t="s">
        <v>515</v>
      </c>
      <c r="F322" s="209" t="s">
        <v>920</v>
      </c>
      <c r="G322" s="232" t="s">
        <v>24</v>
      </c>
      <c r="H322" s="232">
        <v>12</v>
      </c>
      <c r="I322" s="209" t="s">
        <v>531</v>
      </c>
      <c r="J322" s="188"/>
      <c r="K322" s="209" t="s">
        <v>539</v>
      </c>
      <c r="L322" s="209" t="s">
        <v>531</v>
      </c>
      <c r="M322" s="188"/>
      <c r="N322" s="188"/>
      <c r="O322" s="188"/>
      <c r="P322" s="188"/>
      <c r="Q322" s="209" t="s">
        <v>25</v>
      </c>
      <c r="R322" s="209" t="s">
        <v>19</v>
      </c>
      <c r="S322" s="234" t="s">
        <v>306</v>
      </c>
      <c r="T322" s="209" t="s">
        <v>25</v>
      </c>
      <c r="U322" s="209" t="s">
        <v>25</v>
      </c>
      <c r="V322" s="234" t="s">
        <v>25</v>
      </c>
      <c r="W322" s="209" t="s">
        <v>19</v>
      </c>
      <c r="X322" s="209" t="s">
        <v>19</v>
      </c>
      <c r="Y322" s="234" t="s">
        <v>19</v>
      </c>
      <c r="Z322" s="209" t="s">
        <v>25</v>
      </c>
      <c r="AA322" s="209" t="s">
        <v>306</v>
      </c>
      <c r="AB322" s="234" t="s">
        <v>25</v>
      </c>
      <c r="AC322" s="235" t="s">
        <v>306</v>
      </c>
      <c r="AD322" s="209" t="s">
        <v>19</v>
      </c>
      <c r="AE322" s="209" t="s">
        <v>306</v>
      </c>
      <c r="AF322" s="234" t="s">
        <v>306</v>
      </c>
      <c r="AG322" s="209" t="s">
        <v>19</v>
      </c>
      <c r="AH322" s="209" t="s">
        <v>19</v>
      </c>
      <c r="AI322" s="234" t="s">
        <v>19</v>
      </c>
      <c r="AJ322" s="209" t="s">
        <v>19</v>
      </c>
      <c r="AK322" s="209" t="s">
        <v>19</v>
      </c>
      <c r="AL322" s="234" t="s">
        <v>19</v>
      </c>
      <c r="AM322" s="209" t="s">
        <v>19</v>
      </c>
      <c r="AN322" s="209" t="s">
        <v>19</v>
      </c>
      <c r="AO322" s="234" t="s">
        <v>19</v>
      </c>
      <c r="AP322" s="235" t="s">
        <v>19</v>
      </c>
      <c r="AQ322" s="209" t="s">
        <v>19</v>
      </c>
      <c r="AR322" s="209" t="s">
        <v>25</v>
      </c>
      <c r="AS322" s="234" t="s">
        <v>306</v>
      </c>
      <c r="AT322" s="209" t="s">
        <v>306</v>
      </c>
      <c r="AU322" s="209" t="s">
        <v>25</v>
      </c>
      <c r="AV322" s="234" t="s">
        <v>25</v>
      </c>
      <c r="AW322" s="209" t="s">
        <v>306</v>
      </c>
      <c r="AX322" s="209" t="s">
        <v>25</v>
      </c>
      <c r="AY322" s="234" t="s">
        <v>25</v>
      </c>
      <c r="AZ322" s="209" t="s">
        <v>19</v>
      </c>
      <c r="BA322" s="209" t="s">
        <v>25</v>
      </c>
      <c r="BB322" s="234" t="s">
        <v>25</v>
      </c>
      <c r="BC322" s="235" t="s">
        <v>25</v>
      </c>
      <c r="BD322" s="188"/>
    </row>
    <row r="323" spans="1:56" ht="12.75" customHeight="1" x14ac:dyDescent="0.25">
      <c r="A323" s="238">
        <v>45271.934319641208</v>
      </c>
      <c r="B323" s="233" t="s">
        <v>395</v>
      </c>
      <c r="C323" s="209" t="s">
        <v>587</v>
      </c>
      <c r="D323" s="232" t="s">
        <v>17</v>
      </c>
      <c r="E323" s="232" t="s">
        <v>515</v>
      </c>
      <c r="F323" s="209" t="s">
        <v>921</v>
      </c>
      <c r="G323" s="232" t="s">
        <v>18</v>
      </c>
      <c r="H323" s="232">
        <v>11</v>
      </c>
      <c r="I323" s="209" t="s">
        <v>531</v>
      </c>
      <c r="J323" s="188"/>
      <c r="K323" s="209" t="s">
        <v>539</v>
      </c>
      <c r="L323" s="209" t="s">
        <v>518</v>
      </c>
      <c r="M323" s="209" t="s">
        <v>412</v>
      </c>
      <c r="N323" s="209" t="s">
        <v>589</v>
      </c>
      <c r="O323" s="209"/>
      <c r="P323" s="209"/>
      <c r="Q323" s="209" t="s">
        <v>25</v>
      </c>
      <c r="R323" s="209" t="s">
        <v>19</v>
      </c>
      <c r="S323" s="234" t="s">
        <v>306</v>
      </c>
      <c r="T323" s="209" t="s">
        <v>25</v>
      </c>
      <c r="U323" s="209" t="s">
        <v>25</v>
      </c>
      <c r="V323" s="234" t="s">
        <v>25</v>
      </c>
      <c r="W323" s="209" t="s">
        <v>19</v>
      </c>
      <c r="X323" s="209" t="s">
        <v>19</v>
      </c>
      <c r="Y323" s="234" t="s">
        <v>19</v>
      </c>
      <c r="Z323" s="209" t="s">
        <v>306</v>
      </c>
      <c r="AA323" s="209" t="s">
        <v>19</v>
      </c>
      <c r="AB323" s="234" t="s">
        <v>306</v>
      </c>
      <c r="AC323" s="235" t="s">
        <v>306</v>
      </c>
      <c r="AD323" s="209" t="s">
        <v>19</v>
      </c>
      <c r="AE323" s="209" t="s">
        <v>306</v>
      </c>
      <c r="AF323" s="234" t="s">
        <v>306</v>
      </c>
      <c r="AG323" s="209" t="s">
        <v>19</v>
      </c>
      <c r="AH323" s="209" t="s">
        <v>19</v>
      </c>
      <c r="AI323" s="234" t="s">
        <v>19</v>
      </c>
      <c r="AJ323" s="209" t="s">
        <v>19</v>
      </c>
      <c r="AK323" s="209" t="s">
        <v>19</v>
      </c>
      <c r="AL323" s="234" t="s">
        <v>19</v>
      </c>
      <c r="AM323" s="209" t="s">
        <v>19</v>
      </c>
      <c r="AN323" s="209" t="s">
        <v>19</v>
      </c>
      <c r="AO323" s="234" t="s">
        <v>19</v>
      </c>
      <c r="AP323" s="235" t="s">
        <v>19</v>
      </c>
      <c r="AQ323" s="209" t="s">
        <v>25</v>
      </c>
      <c r="AR323" s="209" t="s">
        <v>19</v>
      </c>
      <c r="AS323" s="234" t="s">
        <v>306</v>
      </c>
      <c r="AT323" s="209" t="s">
        <v>25</v>
      </c>
      <c r="AU323" s="209" t="s">
        <v>25</v>
      </c>
      <c r="AV323" s="234" t="s">
        <v>25</v>
      </c>
      <c r="AW323" s="209" t="s">
        <v>25</v>
      </c>
      <c r="AX323" s="209" t="s">
        <v>306</v>
      </c>
      <c r="AY323" s="234" t="s">
        <v>25</v>
      </c>
      <c r="AZ323" s="209" t="s">
        <v>19</v>
      </c>
      <c r="BA323" s="209" t="s">
        <v>19</v>
      </c>
      <c r="BB323" s="234" t="s">
        <v>25</v>
      </c>
      <c r="BC323" s="235" t="s">
        <v>25</v>
      </c>
      <c r="BD323" s="188"/>
    </row>
    <row r="324" spans="1:56" ht="12.75" customHeight="1" x14ac:dyDescent="0.25">
      <c r="A324" s="238">
        <v>45271.93606255787</v>
      </c>
      <c r="B324" s="233" t="s">
        <v>395</v>
      </c>
      <c r="C324" s="209" t="s">
        <v>587</v>
      </c>
      <c r="D324" s="232" t="s">
        <v>17</v>
      </c>
      <c r="E324" s="232" t="s">
        <v>515</v>
      </c>
      <c r="F324" s="209" t="s">
        <v>922</v>
      </c>
      <c r="G324" s="232" t="s">
        <v>18</v>
      </c>
      <c r="H324" s="232">
        <v>11</v>
      </c>
      <c r="I324" s="209" t="s">
        <v>531</v>
      </c>
      <c r="J324" s="188"/>
      <c r="K324" s="209" t="s">
        <v>539</v>
      </c>
      <c r="L324" s="209" t="s">
        <v>518</v>
      </c>
      <c r="M324" s="209" t="s">
        <v>412</v>
      </c>
      <c r="N324" s="209" t="s">
        <v>589</v>
      </c>
      <c r="O324" s="209"/>
      <c r="P324" s="209"/>
      <c r="Q324" s="209" t="s">
        <v>19</v>
      </c>
      <c r="R324" s="209" t="s">
        <v>19</v>
      </c>
      <c r="S324" s="234" t="s">
        <v>19</v>
      </c>
      <c r="T324" s="209" t="s">
        <v>19</v>
      </c>
      <c r="U324" s="209" t="s">
        <v>25</v>
      </c>
      <c r="V324" s="234" t="s">
        <v>306</v>
      </c>
      <c r="W324" s="209" t="s">
        <v>19</v>
      </c>
      <c r="X324" s="209" t="s">
        <v>19</v>
      </c>
      <c r="Y324" s="234" t="s">
        <v>19</v>
      </c>
      <c r="Z324" s="209" t="s">
        <v>306</v>
      </c>
      <c r="AA324" s="209" t="s">
        <v>19</v>
      </c>
      <c r="AB324" s="234" t="s">
        <v>306</v>
      </c>
      <c r="AC324" s="235" t="s">
        <v>19</v>
      </c>
      <c r="AD324" s="209" t="s">
        <v>25</v>
      </c>
      <c r="AE324" s="209" t="s">
        <v>306</v>
      </c>
      <c r="AF324" s="234" t="s">
        <v>25</v>
      </c>
      <c r="AG324" s="209" t="s">
        <v>19</v>
      </c>
      <c r="AH324" s="209" t="s">
        <v>19</v>
      </c>
      <c r="AI324" s="234" t="s">
        <v>19</v>
      </c>
      <c r="AJ324" s="209" t="s">
        <v>19</v>
      </c>
      <c r="AK324" s="209" t="s">
        <v>19</v>
      </c>
      <c r="AL324" s="234" t="s">
        <v>19</v>
      </c>
      <c r="AM324" s="209" t="s">
        <v>19</v>
      </c>
      <c r="AN324" s="209" t="s">
        <v>19</v>
      </c>
      <c r="AO324" s="234" t="s">
        <v>19</v>
      </c>
      <c r="AP324" s="235" t="s">
        <v>19</v>
      </c>
      <c r="AQ324" s="209" t="s">
        <v>25</v>
      </c>
      <c r="AR324" s="209" t="s">
        <v>19</v>
      </c>
      <c r="AS324" s="234" t="s">
        <v>306</v>
      </c>
      <c r="AT324" s="209" t="s">
        <v>25</v>
      </c>
      <c r="AU324" s="209" t="s">
        <v>25</v>
      </c>
      <c r="AV324" s="234" t="s">
        <v>25</v>
      </c>
      <c r="AW324" s="209" t="s">
        <v>25</v>
      </c>
      <c r="AX324" s="209" t="s">
        <v>19</v>
      </c>
      <c r="AY324" s="234" t="s">
        <v>306</v>
      </c>
      <c r="AZ324" s="209" t="s">
        <v>19</v>
      </c>
      <c r="BA324" s="209" t="s">
        <v>19</v>
      </c>
      <c r="BB324" s="234" t="s">
        <v>25</v>
      </c>
      <c r="BC324" s="235" t="s">
        <v>306</v>
      </c>
      <c r="BD324" s="188"/>
    </row>
    <row r="325" spans="1:56" ht="12.75" customHeight="1" x14ac:dyDescent="0.25">
      <c r="A325" s="238">
        <v>45271.938022546296</v>
      </c>
      <c r="B325" s="233" t="s">
        <v>395</v>
      </c>
      <c r="C325" s="209" t="s">
        <v>587</v>
      </c>
      <c r="D325" s="232" t="s">
        <v>17</v>
      </c>
      <c r="E325" s="232" t="s">
        <v>515</v>
      </c>
      <c r="F325" s="209" t="s">
        <v>923</v>
      </c>
      <c r="G325" s="232" t="s">
        <v>18</v>
      </c>
      <c r="H325" s="232">
        <v>12</v>
      </c>
      <c r="I325" s="209" t="s">
        <v>531</v>
      </c>
      <c r="J325" s="188"/>
      <c r="K325" s="209" t="s">
        <v>539</v>
      </c>
      <c r="L325" s="209" t="s">
        <v>518</v>
      </c>
      <c r="M325" s="209" t="s">
        <v>412</v>
      </c>
      <c r="N325" s="209" t="s">
        <v>589</v>
      </c>
      <c r="O325" s="209"/>
      <c r="P325" s="209"/>
      <c r="Q325" s="209" t="s">
        <v>19</v>
      </c>
      <c r="R325" s="209" t="s">
        <v>19</v>
      </c>
      <c r="S325" s="234" t="s">
        <v>19</v>
      </c>
      <c r="T325" s="209" t="s">
        <v>19</v>
      </c>
      <c r="U325" s="209" t="s">
        <v>306</v>
      </c>
      <c r="V325" s="234" t="s">
        <v>306</v>
      </c>
      <c r="W325" s="209" t="s">
        <v>19</v>
      </c>
      <c r="X325" s="209" t="s">
        <v>19</v>
      </c>
      <c r="Y325" s="234" t="s">
        <v>19</v>
      </c>
      <c r="Z325" s="209" t="s">
        <v>306</v>
      </c>
      <c r="AA325" s="209" t="s">
        <v>19</v>
      </c>
      <c r="AB325" s="234" t="s">
        <v>306</v>
      </c>
      <c r="AC325" s="235" t="s">
        <v>19</v>
      </c>
      <c r="AD325" s="209" t="s">
        <v>306</v>
      </c>
      <c r="AE325" s="209" t="s">
        <v>19</v>
      </c>
      <c r="AF325" s="234" t="s">
        <v>306</v>
      </c>
      <c r="AG325" s="209" t="s">
        <v>19</v>
      </c>
      <c r="AH325" s="209" t="s">
        <v>19</v>
      </c>
      <c r="AI325" s="234" t="s">
        <v>19</v>
      </c>
      <c r="AJ325" s="209" t="s">
        <v>19</v>
      </c>
      <c r="AK325" s="209" t="s">
        <v>19</v>
      </c>
      <c r="AL325" s="234" t="s">
        <v>19</v>
      </c>
      <c r="AM325" s="209" t="s">
        <v>19</v>
      </c>
      <c r="AN325" s="209" t="s">
        <v>19</v>
      </c>
      <c r="AO325" s="234" t="s">
        <v>19</v>
      </c>
      <c r="AP325" s="235" t="s">
        <v>19</v>
      </c>
      <c r="AQ325" s="209" t="s">
        <v>306</v>
      </c>
      <c r="AR325" s="209" t="s">
        <v>19</v>
      </c>
      <c r="AS325" s="234" t="s">
        <v>306</v>
      </c>
      <c r="AT325" s="209" t="s">
        <v>25</v>
      </c>
      <c r="AU325" s="209" t="s">
        <v>19</v>
      </c>
      <c r="AV325" s="234" t="s">
        <v>306</v>
      </c>
      <c r="AW325" s="209" t="s">
        <v>19</v>
      </c>
      <c r="AX325" s="209" t="s">
        <v>19</v>
      </c>
      <c r="AY325" s="234" t="s">
        <v>19</v>
      </c>
      <c r="AZ325" s="209" t="s">
        <v>19</v>
      </c>
      <c r="BA325" s="209" t="s">
        <v>19</v>
      </c>
      <c r="BB325" s="234" t="s">
        <v>25</v>
      </c>
      <c r="BC325" s="235" t="s">
        <v>25</v>
      </c>
      <c r="BD325" s="188"/>
    </row>
    <row r="326" spans="1:56" ht="12.75" customHeight="1" x14ac:dyDescent="0.25">
      <c r="A326" s="238">
        <v>45271.940011458333</v>
      </c>
      <c r="B326" s="233" t="s">
        <v>395</v>
      </c>
      <c r="C326" s="209" t="s">
        <v>587</v>
      </c>
      <c r="D326" s="232" t="s">
        <v>17</v>
      </c>
      <c r="E326" s="232" t="s">
        <v>515</v>
      </c>
      <c r="F326" s="209" t="s">
        <v>924</v>
      </c>
      <c r="G326" s="232" t="s">
        <v>24</v>
      </c>
      <c r="H326" s="232">
        <v>12</v>
      </c>
      <c r="I326" s="209" t="s">
        <v>531</v>
      </c>
      <c r="J326" s="188"/>
      <c r="K326" s="209" t="s">
        <v>539</v>
      </c>
      <c r="L326" s="209" t="s">
        <v>518</v>
      </c>
      <c r="M326" s="209" t="s">
        <v>412</v>
      </c>
      <c r="N326" s="209" t="s">
        <v>589</v>
      </c>
      <c r="O326" s="209"/>
      <c r="P326" s="209"/>
      <c r="Q326" s="209" t="s">
        <v>25</v>
      </c>
      <c r="R326" s="209" t="s">
        <v>19</v>
      </c>
      <c r="S326" s="234" t="s">
        <v>306</v>
      </c>
      <c r="T326" s="209" t="s">
        <v>25</v>
      </c>
      <c r="U326" s="209" t="s">
        <v>25</v>
      </c>
      <c r="V326" s="234" t="s">
        <v>25</v>
      </c>
      <c r="W326" s="209" t="s">
        <v>19</v>
      </c>
      <c r="X326" s="209" t="s">
        <v>19</v>
      </c>
      <c r="Y326" s="234" t="s">
        <v>19</v>
      </c>
      <c r="Z326" s="209" t="s">
        <v>306</v>
      </c>
      <c r="AA326" s="209" t="s">
        <v>19</v>
      </c>
      <c r="AB326" s="234" t="s">
        <v>306</v>
      </c>
      <c r="AC326" s="235" t="s">
        <v>306</v>
      </c>
      <c r="AD326" s="209" t="s">
        <v>19</v>
      </c>
      <c r="AE326" s="209" t="s">
        <v>306</v>
      </c>
      <c r="AF326" s="234" t="s">
        <v>306</v>
      </c>
      <c r="AG326" s="209" t="s">
        <v>19</v>
      </c>
      <c r="AH326" s="209" t="s">
        <v>19</v>
      </c>
      <c r="AI326" s="234" t="s">
        <v>19</v>
      </c>
      <c r="AJ326" s="209" t="s">
        <v>19</v>
      </c>
      <c r="AK326" s="209" t="s">
        <v>19</v>
      </c>
      <c r="AL326" s="234" t="s">
        <v>19</v>
      </c>
      <c r="AM326" s="209" t="s">
        <v>19</v>
      </c>
      <c r="AN326" s="209" t="s">
        <v>19</v>
      </c>
      <c r="AO326" s="234" t="s">
        <v>19</v>
      </c>
      <c r="AP326" s="235" t="s">
        <v>19</v>
      </c>
      <c r="AQ326" s="209" t="s">
        <v>19</v>
      </c>
      <c r="AR326" s="209" t="s">
        <v>19</v>
      </c>
      <c r="AS326" s="234" t="s">
        <v>19</v>
      </c>
      <c r="AT326" s="209" t="s">
        <v>25</v>
      </c>
      <c r="AU326" s="209" t="s">
        <v>19</v>
      </c>
      <c r="AV326" s="234" t="s">
        <v>306</v>
      </c>
      <c r="AW326" s="209" t="s">
        <v>19</v>
      </c>
      <c r="AX326" s="209" t="s">
        <v>306</v>
      </c>
      <c r="AY326" s="234" t="s">
        <v>306</v>
      </c>
      <c r="AZ326" s="209" t="s">
        <v>19</v>
      </c>
      <c r="BA326" s="209" t="s">
        <v>19</v>
      </c>
      <c r="BB326" s="234" t="s">
        <v>19</v>
      </c>
      <c r="BC326" s="235" t="s">
        <v>306</v>
      </c>
      <c r="BD326" s="188"/>
    </row>
    <row r="327" spans="1:56" ht="12.75" customHeight="1" x14ac:dyDescent="0.25">
      <c r="A327" s="238">
        <v>45271.942607418983</v>
      </c>
      <c r="B327" s="233" t="s">
        <v>395</v>
      </c>
      <c r="C327" s="209" t="s">
        <v>587</v>
      </c>
      <c r="D327" s="232" t="s">
        <v>17</v>
      </c>
      <c r="E327" s="232" t="s">
        <v>515</v>
      </c>
      <c r="F327" s="209" t="s">
        <v>925</v>
      </c>
      <c r="G327" s="232" t="s">
        <v>24</v>
      </c>
      <c r="H327" s="232">
        <v>12</v>
      </c>
      <c r="I327" s="209" t="s">
        <v>531</v>
      </c>
      <c r="J327" s="188"/>
      <c r="K327" s="209" t="s">
        <v>539</v>
      </c>
      <c r="L327" s="209" t="s">
        <v>518</v>
      </c>
      <c r="M327" s="209" t="s">
        <v>412</v>
      </c>
      <c r="N327" s="209" t="s">
        <v>589</v>
      </c>
      <c r="O327" s="209"/>
      <c r="P327" s="209"/>
      <c r="Q327" s="209" t="s">
        <v>25</v>
      </c>
      <c r="R327" s="209" t="s">
        <v>19</v>
      </c>
      <c r="S327" s="234" t="s">
        <v>306</v>
      </c>
      <c r="T327" s="209" t="s">
        <v>19</v>
      </c>
      <c r="U327" s="209" t="s">
        <v>25</v>
      </c>
      <c r="V327" s="234" t="s">
        <v>306</v>
      </c>
      <c r="W327" s="209" t="s">
        <v>19</v>
      </c>
      <c r="X327" s="209" t="s">
        <v>19</v>
      </c>
      <c r="Y327" s="234" t="s">
        <v>19</v>
      </c>
      <c r="Z327" s="209" t="s">
        <v>306</v>
      </c>
      <c r="AA327" s="209" t="s">
        <v>19</v>
      </c>
      <c r="AB327" s="234" t="s">
        <v>306</v>
      </c>
      <c r="AC327" s="235" t="s">
        <v>306</v>
      </c>
      <c r="AD327" s="209" t="s">
        <v>25</v>
      </c>
      <c r="AE327" s="209" t="s">
        <v>306</v>
      </c>
      <c r="AF327" s="234" t="s">
        <v>25</v>
      </c>
      <c r="AG327" s="209" t="s">
        <v>19</v>
      </c>
      <c r="AH327" s="209" t="s">
        <v>19</v>
      </c>
      <c r="AI327" s="234" t="s">
        <v>19</v>
      </c>
      <c r="AJ327" s="209" t="s">
        <v>19</v>
      </c>
      <c r="AK327" s="209" t="s">
        <v>19</v>
      </c>
      <c r="AL327" s="234" t="s">
        <v>19</v>
      </c>
      <c r="AM327" s="209" t="s">
        <v>19</v>
      </c>
      <c r="AN327" s="209" t="s">
        <v>19</v>
      </c>
      <c r="AO327" s="234" t="s">
        <v>19</v>
      </c>
      <c r="AP327" s="235" t="s">
        <v>19</v>
      </c>
      <c r="AQ327" s="209" t="s">
        <v>19</v>
      </c>
      <c r="AR327" s="209" t="s">
        <v>25</v>
      </c>
      <c r="AS327" s="234" t="s">
        <v>306</v>
      </c>
      <c r="AT327" s="209" t="s">
        <v>25</v>
      </c>
      <c r="AU327" s="209" t="s">
        <v>25</v>
      </c>
      <c r="AV327" s="234" t="s">
        <v>25</v>
      </c>
      <c r="AW327" s="209" t="s">
        <v>19</v>
      </c>
      <c r="AX327" s="209" t="s">
        <v>306</v>
      </c>
      <c r="AY327" s="234" t="s">
        <v>306</v>
      </c>
      <c r="AZ327" s="209" t="s">
        <v>306</v>
      </c>
      <c r="BA327" s="209" t="s">
        <v>19</v>
      </c>
      <c r="BB327" s="234" t="s">
        <v>306</v>
      </c>
      <c r="BC327" s="235" t="s">
        <v>306</v>
      </c>
      <c r="BD327" s="188"/>
    </row>
    <row r="328" spans="1:56" ht="12.75" customHeight="1" x14ac:dyDescent="0.25">
      <c r="A328" s="238">
        <v>45271.95844206019</v>
      </c>
      <c r="B328" s="233" t="s">
        <v>395</v>
      </c>
      <c r="C328" s="209" t="s">
        <v>587</v>
      </c>
      <c r="D328" s="232" t="s">
        <v>17</v>
      </c>
      <c r="E328" s="232" t="s">
        <v>515</v>
      </c>
      <c r="F328" s="209" t="s">
        <v>926</v>
      </c>
      <c r="G328" s="232" t="s">
        <v>24</v>
      </c>
      <c r="H328" s="232">
        <v>12</v>
      </c>
      <c r="I328" s="209" t="s">
        <v>531</v>
      </c>
      <c r="J328" s="188"/>
      <c r="K328" s="209" t="s">
        <v>539</v>
      </c>
      <c r="L328" s="209" t="s">
        <v>531</v>
      </c>
      <c r="M328" s="188"/>
      <c r="N328" s="188"/>
      <c r="O328" s="188"/>
      <c r="P328" s="188"/>
      <c r="Q328" s="209" t="s">
        <v>25</v>
      </c>
      <c r="R328" s="209" t="s">
        <v>19</v>
      </c>
      <c r="S328" s="234" t="s">
        <v>306</v>
      </c>
      <c r="T328" s="209" t="s">
        <v>25</v>
      </c>
      <c r="U328" s="209" t="s">
        <v>25</v>
      </c>
      <c r="V328" s="234" t="s">
        <v>25</v>
      </c>
      <c r="W328" s="209" t="s">
        <v>19</v>
      </c>
      <c r="X328" s="209" t="s">
        <v>306</v>
      </c>
      <c r="Y328" s="234" t="s">
        <v>306</v>
      </c>
      <c r="Z328" s="209" t="s">
        <v>306</v>
      </c>
      <c r="AA328" s="209" t="s">
        <v>306</v>
      </c>
      <c r="AB328" s="234" t="s">
        <v>306</v>
      </c>
      <c r="AC328" s="235" t="s">
        <v>306</v>
      </c>
      <c r="AD328" s="209" t="s">
        <v>19</v>
      </c>
      <c r="AE328" s="209" t="s">
        <v>25</v>
      </c>
      <c r="AF328" s="234" t="s">
        <v>306</v>
      </c>
      <c r="AG328" s="209" t="s">
        <v>19</v>
      </c>
      <c r="AH328" s="209" t="s">
        <v>19</v>
      </c>
      <c r="AI328" s="234" t="s">
        <v>19</v>
      </c>
      <c r="AJ328" s="209" t="s">
        <v>19</v>
      </c>
      <c r="AK328" s="209" t="s">
        <v>19</v>
      </c>
      <c r="AL328" s="234" t="s">
        <v>19</v>
      </c>
      <c r="AM328" s="209" t="s">
        <v>19</v>
      </c>
      <c r="AN328" s="209" t="s">
        <v>19</v>
      </c>
      <c r="AO328" s="234" t="s">
        <v>19</v>
      </c>
      <c r="AP328" s="235" t="s">
        <v>19</v>
      </c>
      <c r="AQ328" s="209" t="s">
        <v>19</v>
      </c>
      <c r="AR328" s="209" t="s">
        <v>19</v>
      </c>
      <c r="AS328" s="234" t="s">
        <v>19</v>
      </c>
      <c r="AT328" s="209" t="s">
        <v>25</v>
      </c>
      <c r="AU328" s="209" t="s">
        <v>25</v>
      </c>
      <c r="AV328" s="234" t="s">
        <v>25</v>
      </c>
      <c r="AW328" s="209" t="s">
        <v>19</v>
      </c>
      <c r="AX328" s="209" t="s">
        <v>306</v>
      </c>
      <c r="AY328" s="234" t="s">
        <v>306</v>
      </c>
      <c r="AZ328" s="209" t="s">
        <v>19</v>
      </c>
      <c r="BA328" s="209" t="s">
        <v>25</v>
      </c>
      <c r="BB328" s="234" t="s">
        <v>25</v>
      </c>
      <c r="BC328" s="235" t="s">
        <v>25</v>
      </c>
      <c r="BD328" s="188"/>
    </row>
    <row r="329" spans="1:56" ht="12.75" customHeight="1" x14ac:dyDescent="0.25">
      <c r="A329" s="238">
        <v>45271.960980798613</v>
      </c>
      <c r="B329" s="233" t="s">
        <v>395</v>
      </c>
      <c r="C329" s="209" t="s">
        <v>587</v>
      </c>
      <c r="D329" s="232" t="s">
        <v>17</v>
      </c>
      <c r="E329" s="232" t="s">
        <v>515</v>
      </c>
      <c r="F329" s="209" t="s">
        <v>927</v>
      </c>
      <c r="G329" s="232" t="s">
        <v>24</v>
      </c>
      <c r="H329" s="232">
        <v>12</v>
      </c>
      <c r="I329" s="209" t="s">
        <v>531</v>
      </c>
      <c r="J329" s="188"/>
      <c r="K329" s="209" t="s">
        <v>539</v>
      </c>
      <c r="L329" s="209" t="s">
        <v>531</v>
      </c>
      <c r="M329" s="188"/>
      <c r="N329" s="188"/>
      <c r="O329" s="188"/>
      <c r="P329" s="188"/>
      <c r="Q329" s="209" t="s">
        <v>25</v>
      </c>
      <c r="R329" s="209" t="s">
        <v>19</v>
      </c>
      <c r="S329" s="234" t="s">
        <v>306</v>
      </c>
      <c r="T329" s="209" t="s">
        <v>25</v>
      </c>
      <c r="U329" s="209" t="s">
        <v>25</v>
      </c>
      <c r="V329" s="234" t="s">
        <v>25</v>
      </c>
      <c r="W329" s="209" t="s">
        <v>19</v>
      </c>
      <c r="X329" s="209" t="s">
        <v>306</v>
      </c>
      <c r="Y329" s="234" t="s">
        <v>306</v>
      </c>
      <c r="Z329" s="209" t="s">
        <v>306</v>
      </c>
      <c r="AA329" s="209" t="s">
        <v>306</v>
      </c>
      <c r="AB329" s="234" t="s">
        <v>306</v>
      </c>
      <c r="AC329" s="235" t="s">
        <v>306</v>
      </c>
      <c r="AD329" s="209" t="s">
        <v>19</v>
      </c>
      <c r="AE329" s="209" t="s">
        <v>306</v>
      </c>
      <c r="AF329" s="234" t="s">
        <v>306</v>
      </c>
      <c r="AG329" s="209" t="s">
        <v>19</v>
      </c>
      <c r="AH329" s="209" t="s">
        <v>19</v>
      </c>
      <c r="AI329" s="234" t="s">
        <v>19</v>
      </c>
      <c r="AJ329" s="209" t="s">
        <v>19</v>
      </c>
      <c r="AK329" s="209" t="s">
        <v>19</v>
      </c>
      <c r="AL329" s="234" t="s">
        <v>19</v>
      </c>
      <c r="AM329" s="209" t="s">
        <v>19</v>
      </c>
      <c r="AN329" s="209" t="s">
        <v>19</v>
      </c>
      <c r="AO329" s="234" t="s">
        <v>19</v>
      </c>
      <c r="AP329" s="235" t="s">
        <v>19</v>
      </c>
      <c r="AQ329" s="209" t="s">
        <v>19</v>
      </c>
      <c r="AR329" s="209" t="s">
        <v>19</v>
      </c>
      <c r="AS329" s="234" t="s">
        <v>19</v>
      </c>
      <c r="AT329" s="209" t="s">
        <v>306</v>
      </c>
      <c r="AU329" s="209" t="s">
        <v>25</v>
      </c>
      <c r="AV329" s="234" t="s">
        <v>25</v>
      </c>
      <c r="AW329" s="209" t="s">
        <v>19</v>
      </c>
      <c r="AX329" s="209" t="s">
        <v>19</v>
      </c>
      <c r="AY329" s="234" t="s">
        <v>19</v>
      </c>
      <c r="AZ329" s="209" t="s">
        <v>19</v>
      </c>
      <c r="BA329" s="209" t="s">
        <v>25</v>
      </c>
      <c r="BB329" s="234" t="s">
        <v>25</v>
      </c>
      <c r="BC329" s="235" t="s">
        <v>25</v>
      </c>
      <c r="BD329" s="188"/>
    </row>
    <row r="330" spans="1:56" ht="12.75" customHeight="1" x14ac:dyDescent="0.25">
      <c r="A330" s="238">
        <v>45271.965891342596</v>
      </c>
      <c r="B330" s="233" t="s">
        <v>395</v>
      </c>
      <c r="C330" s="209" t="s">
        <v>587</v>
      </c>
      <c r="D330" s="232" t="s">
        <v>17</v>
      </c>
      <c r="E330" s="232" t="s">
        <v>515</v>
      </c>
      <c r="F330" s="209" t="s">
        <v>928</v>
      </c>
      <c r="G330" s="232" t="s">
        <v>18</v>
      </c>
      <c r="H330" s="232">
        <v>11</v>
      </c>
      <c r="I330" s="209" t="s">
        <v>531</v>
      </c>
      <c r="J330" s="188"/>
      <c r="K330" s="209" t="s">
        <v>539</v>
      </c>
      <c r="L330" s="209" t="s">
        <v>531</v>
      </c>
      <c r="M330" s="188"/>
      <c r="N330" s="188"/>
      <c r="O330" s="188"/>
      <c r="P330" s="188"/>
      <c r="Q330" s="209" t="s">
        <v>25</v>
      </c>
      <c r="R330" s="209" t="s">
        <v>25</v>
      </c>
      <c r="S330" s="234" t="s">
        <v>25</v>
      </c>
      <c r="T330" s="209" t="s">
        <v>25</v>
      </c>
      <c r="U330" s="209" t="s">
        <v>25</v>
      </c>
      <c r="V330" s="234" t="s">
        <v>25</v>
      </c>
      <c r="W330" s="209" t="s">
        <v>306</v>
      </c>
      <c r="X330" s="209" t="s">
        <v>306</v>
      </c>
      <c r="Y330" s="234" t="s">
        <v>306</v>
      </c>
      <c r="Z330" s="209" t="s">
        <v>19</v>
      </c>
      <c r="AA330" s="209" t="s">
        <v>25</v>
      </c>
      <c r="AB330" s="234" t="s">
        <v>306</v>
      </c>
      <c r="AC330" s="235" t="s">
        <v>25</v>
      </c>
      <c r="AD330" s="209" t="s">
        <v>306</v>
      </c>
      <c r="AE330" s="209" t="s">
        <v>25</v>
      </c>
      <c r="AF330" s="234" t="s">
        <v>25</v>
      </c>
      <c r="AG330" s="209" t="s">
        <v>19</v>
      </c>
      <c r="AH330" s="209" t="s">
        <v>19</v>
      </c>
      <c r="AI330" s="234" t="s">
        <v>19</v>
      </c>
      <c r="AJ330" s="209" t="s">
        <v>19</v>
      </c>
      <c r="AK330" s="209" t="s">
        <v>19</v>
      </c>
      <c r="AL330" s="234" t="s">
        <v>19</v>
      </c>
      <c r="AM330" s="209" t="s">
        <v>19</v>
      </c>
      <c r="AN330" s="209" t="s">
        <v>306</v>
      </c>
      <c r="AO330" s="234" t="s">
        <v>306</v>
      </c>
      <c r="AP330" s="235" t="s">
        <v>306</v>
      </c>
      <c r="AQ330" s="209" t="s">
        <v>306</v>
      </c>
      <c r="AR330" s="209" t="s">
        <v>306</v>
      </c>
      <c r="AS330" s="234" t="s">
        <v>306</v>
      </c>
      <c r="AT330" s="209" t="s">
        <v>25</v>
      </c>
      <c r="AU330" s="209" t="s">
        <v>25</v>
      </c>
      <c r="AV330" s="234" t="s">
        <v>25</v>
      </c>
      <c r="AW330" s="209" t="s">
        <v>306</v>
      </c>
      <c r="AX330" s="209" t="s">
        <v>306</v>
      </c>
      <c r="AY330" s="234" t="s">
        <v>306</v>
      </c>
      <c r="AZ330" s="209" t="s">
        <v>25</v>
      </c>
      <c r="BA330" s="209" t="s">
        <v>19</v>
      </c>
      <c r="BB330" s="234" t="s">
        <v>306</v>
      </c>
      <c r="BC330" s="235" t="s">
        <v>25</v>
      </c>
      <c r="BD330" s="188"/>
    </row>
    <row r="331" spans="1:56" ht="12.75" customHeight="1" x14ac:dyDescent="0.25">
      <c r="A331" s="238">
        <v>45271.966847881944</v>
      </c>
      <c r="B331" s="233" t="s">
        <v>395</v>
      </c>
      <c r="C331" s="209" t="s">
        <v>587</v>
      </c>
      <c r="D331" s="232" t="s">
        <v>17</v>
      </c>
      <c r="E331" s="232" t="s">
        <v>515</v>
      </c>
      <c r="F331" s="209" t="s">
        <v>929</v>
      </c>
      <c r="G331" s="232" t="s">
        <v>24</v>
      </c>
      <c r="H331" s="232">
        <v>12</v>
      </c>
      <c r="I331" s="209" t="s">
        <v>531</v>
      </c>
      <c r="J331" s="188"/>
      <c r="K331" s="209" t="s">
        <v>539</v>
      </c>
      <c r="L331" s="209" t="s">
        <v>531</v>
      </c>
      <c r="M331" s="188"/>
      <c r="N331" s="188"/>
      <c r="O331" s="188"/>
      <c r="P331" s="188"/>
      <c r="Q331" s="209" t="s">
        <v>25</v>
      </c>
      <c r="R331" s="209" t="s">
        <v>306</v>
      </c>
      <c r="S331" s="234" t="s">
        <v>25</v>
      </c>
      <c r="T331" s="209" t="s">
        <v>25</v>
      </c>
      <c r="U331" s="209" t="s">
        <v>25</v>
      </c>
      <c r="V331" s="234" t="s">
        <v>25</v>
      </c>
      <c r="W331" s="209" t="s">
        <v>306</v>
      </c>
      <c r="X331" s="209" t="s">
        <v>25</v>
      </c>
      <c r="Y331" s="234" t="s">
        <v>25</v>
      </c>
      <c r="Z331" s="209" t="s">
        <v>25</v>
      </c>
      <c r="AA331" s="209" t="s">
        <v>25</v>
      </c>
      <c r="AB331" s="234" t="s">
        <v>25</v>
      </c>
      <c r="AC331" s="235" t="s">
        <v>25</v>
      </c>
      <c r="AD331" s="209" t="s">
        <v>306</v>
      </c>
      <c r="AE331" s="209" t="s">
        <v>25</v>
      </c>
      <c r="AF331" s="234" t="s">
        <v>25</v>
      </c>
      <c r="AG331" s="209" t="s">
        <v>306</v>
      </c>
      <c r="AH331" s="209" t="s">
        <v>306</v>
      </c>
      <c r="AI331" s="234" t="s">
        <v>306</v>
      </c>
      <c r="AJ331" s="209" t="s">
        <v>25</v>
      </c>
      <c r="AK331" s="209" t="s">
        <v>306</v>
      </c>
      <c r="AL331" s="234" t="s">
        <v>25</v>
      </c>
      <c r="AM331" s="209" t="s">
        <v>306</v>
      </c>
      <c r="AN331" s="209" t="s">
        <v>306</v>
      </c>
      <c r="AO331" s="234" t="s">
        <v>306</v>
      </c>
      <c r="AP331" s="235" t="s">
        <v>306</v>
      </c>
      <c r="AQ331" s="209" t="s">
        <v>25</v>
      </c>
      <c r="AR331" s="209" t="s">
        <v>25</v>
      </c>
      <c r="AS331" s="234" t="s">
        <v>25</v>
      </c>
      <c r="AT331" s="209" t="s">
        <v>25</v>
      </c>
      <c r="AU331" s="209" t="s">
        <v>25</v>
      </c>
      <c r="AV331" s="234" t="s">
        <v>25</v>
      </c>
      <c r="AW331" s="209" t="s">
        <v>25</v>
      </c>
      <c r="AX331" s="209" t="s">
        <v>25</v>
      </c>
      <c r="AY331" s="234" t="s">
        <v>25</v>
      </c>
      <c r="AZ331" s="209" t="s">
        <v>306</v>
      </c>
      <c r="BA331" s="209" t="s">
        <v>25</v>
      </c>
      <c r="BB331" s="234" t="s">
        <v>306</v>
      </c>
      <c r="BC331" s="235" t="s">
        <v>306</v>
      </c>
      <c r="BD331" s="188"/>
    </row>
    <row r="332" spans="1:56" ht="12.75" customHeight="1" x14ac:dyDescent="0.25">
      <c r="A332" s="238">
        <v>45271.967909571758</v>
      </c>
      <c r="B332" s="233" t="s">
        <v>395</v>
      </c>
      <c r="C332" s="209" t="s">
        <v>587</v>
      </c>
      <c r="D332" s="232" t="s">
        <v>17</v>
      </c>
      <c r="E332" s="232" t="s">
        <v>515</v>
      </c>
      <c r="F332" s="209" t="s">
        <v>930</v>
      </c>
      <c r="G332" s="232" t="s">
        <v>24</v>
      </c>
      <c r="H332" s="232">
        <v>12</v>
      </c>
      <c r="I332" s="209" t="s">
        <v>531</v>
      </c>
      <c r="J332" s="188"/>
      <c r="K332" s="209" t="s">
        <v>539</v>
      </c>
      <c r="L332" s="209" t="s">
        <v>531</v>
      </c>
      <c r="M332" s="188"/>
      <c r="N332" s="188"/>
      <c r="O332" s="188"/>
      <c r="P332" s="188"/>
      <c r="Q332" s="209" t="s">
        <v>25</v>
      </c>
      <c r="R332" s="209" t="s">
        <v>25</v>
      </c>
      <c r="S332" s="234" t="s">
        <v>25</v>
      </c>
      <c r="T332" s="209" t="s">
        <v>25</v>
      </c>
      <c r="U332" s="209" t="s">
        <v>25</v>
      </c>
      <c r="V332" s="234" t="s">
        <v>25</v>
      </c>
      <c r="W332" s="209" t="s">
        <v>306</v>
      </c>
      <c r="X332" s="209" t="s">
        <v>19</v>
      </c>
      <c r="Y332" s="234" t="s">
        <v>306</v>
      </c>
      <c r="Z332" s="209" t="s">
        <v>306</v>
      </c>
      <c r="AA332" s="209" t="s">
        <v>25</v>
      </c>
      <c r="AB332" s="234" t="s">
        <v>25</v>
      </c>
      <c r="AC332" s="235" t="s">
        <v>25</v>
      </c>
      <c r="AD332" s="209" t="s">
        <v>306</v>
      </c>
      <c r="AE332" s="209" t="s">
        <v>25</v>
      </c>
      <c r="AF332" s="234" t="s">
        <v>25</v>
      </c>
      <c r="AG332" s="209" t="s">
        <v>19</v>
      </c>
      <c r="AH332" s="209" t="s">
        <v>19</v>
      </c>
      <c r="AI332" s="234" t="s">
        <v>19</v>
      </c>
      <c r="AJ332" s="209" t="s">
        <v>19</v>
      </c>
      <c r="AK332" s="209" t="s">
        <v>19</v>
      </c>
      <c r="AL332" s="234" t="s">
        <v>19</v>
      </c>
      <c r="AM332" s="209" t="s">
        <v>19</v>
      </c>
      <c r="AN332" s="209" t="s">
        <v>19</v>
      </c>
      <c r="AO332" s="234" t="s">
        <v>19</v>
      </c>
      <c r="AP332" s="235" t="s">
        <v>19</v>
      </c>
      <c r="AQ332" s="209" t="s">
        <v>306</v>
      </c>
      <c r="AR332" s="209" t="s">
        <v>306</v>
      </c>
      <c r="AS332" s="234" t="s">
        <v>306</v>
      </c>
      <c r="AT332" s="209" t="s">
        <v>25</v>
      </c>
      <c r="AU332" s="209" t="s">
        <v>25</v>
      </c>
      <c r="AV332" s="234" t="s">
        <v>25</v>
      </c>
      <c r="AW332" s="209" t="s">
        <v>306</v>
      </c>
      <c r="AX332" s="209" t="s">
        <v>306</v>
      </c>
      <c r="AY332" s="234" t="s">
        <v>306</v>
      </c>
      <c r="AZ332" s="209" t="s">
        <v>306</v>
      </c>
      <c r="BA332" s="209" t="s">
        <v>25</v>
      </c>
      <c r="BB332" s="234" t="s">
        <v>306</v>
      </c>
      <c r="BC332" s="235" t="s">
        <v>306</v>
      </c>
      <c r="BD332" s="188"/>
    </row>
    <row r="333" spans="1:56" ht="12.75" customHeight="1" x14ac:dyDescent="0.25">
      <c r="A333" s="238">
        <v>45271.968472835651</v>
      </c>
      <c r="B333" s="233" t="s">
        <v>395</v>
      </c>
      <c r="C333" s="209" t="s">
        <v>587</v>
      </c>
      <c r="D333" s="232" t="s">
        <v>17</v>
      </c>
      <c r="E333" s="232" t="s">
        <v>515</v>
      </c>
      <c r="F333" s="209" t="s">
        <v>931</v>
      </c>
      <c r="G333" s="232" t="s">
        <v>24</v>
      </c>
      <c r="H333" s="232">
        <v>12</v>
      </c>
      <c r="I333" s="209" t="s">
        <v>531</v>
      </c>
      <c r="J333" s="188"/>
      <c r="K333" s="209" t="s">
        <v>539</v>
      </c>
      <c r="L333" s="209" t="s">
        <v>531</v>
      </c>
      <c r="M333" s="188"/>
      <c r="N333" s="188"/>
      <c r="O333" s="188"/>
      <c r="P333" s="188"/>
      <c r="Q333" s="209" t="s">
        <v>25</v>
      </c>
      <c r="R333" s="209" t="s">
        <v>25</v>
      </c>
      <c r="S333" s="234" t="s">
        <v>25</v>
      </c>
      <c r="T333" s="209" t="s">
        <v>25</v>
      </c>
      <c r="U333" s="209" t="s">
        <v>25</v>
      </c>
      <c r="V333" s="234" t="s">
        <v>25</v>
      </c>
      <c r="W333" s="209" t="s">
        <v>25</v>
      </c>
      <c r="X333" s="209" t="s">
        <v>306</v>
      </c>
      <c r="Y333" s="234" t="s">
        <v>25</v>
      </c>
      <c r="Z333" s="209" t="s">
        <v>25</v>
      </c>
      <c r="AA333" s="209" t="s">
        <v>306</v>
      </c>
      <c r="AB333" s="234" t="s">
        <v>25</v>
      </c>
      <c r="AC333" s="235" t="s">
        <v>25</v>
      </c>
      <c r="AD333" s="209" t="s">
        <v>306</v>
      </c>
      <c r="AE333" s="209" t="s">
        <v>25</v>
      </c>
      <c r="AF333" s="234" t="s">
        <v>25</v>
      </c>
      <c r="AG333" s="209" t="s">
        <v>25</v>
      </c>
      <c r="AH333" s="209" t="s">
        <v>306</v>
      </c>
      <c r="AI333" s="234" t="s">
        <v>25</v>
      </c>
      <c r="AJ333" s="209" t="s">
        <v>25</v>
      </c>
      <c r="AK333" s="209" t="s">
        <v>306</v>
      </c>
      <c r="AL333" s="234" t="s">
        <v>25</v>
      </c>
      <c r="AM333" s="209" t="s">
        <v>25</v>
      </c>
      <c r="AN333" s="209" t="s">
        <v>306</v>
      </c>
      <c r="AO333" s="234" t="s">
        <v>25</v>
      </c>
      <c r="AP333" s="235" t="s">
        <v>25</v>
      </c>
      <c r="AQ333" s="209" t="s">
        <v>19</v>
      </c>
      <c r="AR333" s="209" t="s">
        <v>25</v>
      </c>
      <c r="AS333" s="234" t="s">
        <v>306</v>
      </c>
      <c r="AT333" s="209" t="s">
        <v>25</v>
      </c>
      <c r="AU333" s="209" t="s">
        <v>306</v>
      </c>
      <c r="AV333" s="234" t="s">
        <v>25</v>
      </c>
      <c r="AW333" s="209" t="s">
        <v>25</v>
      </c>
      <c r="AX333" s="209" t="s">
        <v>25</v>
      </c>
      <c r="AY333" s="234" t="s">
        <v>25</v>
      </c>
      <c r="AZ333" s="209" t="s">
        <v>306</v>
      </c>
      <c r="BA333" s="209" t="s">
        <v>25</v>
      </c>
      <c r="BB333" s="234" t="s">
        <v>306</v>
      </c>
      <c r="BC333" s="235" t="s">
        <v>306</v>
      </c>
      <c r="BD333" s="188"/>
    </row>
    <row r="334" spans="1:56" ht="12.75" customHeight="1" x14ac:dyDescent="0.25">
      <c r="A334" s="238">
        <v>45271.970222870368</v>
      </c>
      <c r="B334" s="233" t="s">
        <v>395</v>
      </c>
      <c r="C334" s="209" t="s">
        <v>587</v>
      </c>
      <c r="D334" s="232" t="s">
        <v>17</v>
      </c>
      <c r="E334" s="232" t="s">
        <v>515</v>
      </c>
      <c r="F334" s="209" t="s">
        <v>932</v>
      </c>
      <c r="G334" s="232" t="s">
        <v>18</v>
      </c>
      <c r="H334" s="232">
        <v>12</v>
      </c>
      <c r="I334" s="209" t="s">
        <v>531</v>
      </c>
      <c r="J334" s="188"/>
      <c r="K334" s="209" t="s">
        <v>539</v>
      </c>
      <c r="L334" s="209" t="s">
        <v>531</v>
      </c>
      <c r="M334" s="188"/>
      <c r="N334" s="188"/>
      <c r="O334" s="188"/>
      <c r="P334" s="188"/>
      <c r="Q334" s="209" t="s">
        <v>25</v>
      </c>
      <c r="R334" s="209" t="s">
        <v>306</v>
      </c>
      <c r="S334" s="234" t="s">
        <v>25</v>
      </c>
      <c r="T334" s="209" t="s">
        <v>25</v>
      </c>
      <c r="U334" s="209" t="s">
        <v>25</v>
      </c>
      <c r="V334" s="234" t="s">
        <v>25</v>
      </c>
      <c r="W334" s="209" t="s">
        <v>306</v>
      </c>
      <c r="X334" s="209" t="s">
        <v>306</v>
      </c>
      <c r="Y334" s="234" t="s">
        <v>306</v>
      </c>
      <c r="Z334" s="209" t="s">
        <v>306</v>
      </c>
      <c r="AA334" s="209" t="s">
        <v>25</v>
      </c>
      <c r="AB334" s="234" t="s">
        <v>25</v>
      </c>
      <c r="AC334" s="235" t="s">
        <v>25</v>
      </c>
      <c r="AD334" s="209" t="s">
        <v>25</v>
      </c>
      <c r="AE334" s="209" t="s">
        <v>25</v>
      </c>
      <c r="AF334" s="234" t="s">
        <v>25</v>
      </c>
      <c r="AG334" s="209" t="s">
        <v>19</v>
      </c>
      <c r="AH334" s="209" t="s">
        <v>19</v>
      </c>
      <c r="AI334" s="234" t="s">
        <v>19</v>
      </c>
      <c r="AJ334" s="209" t="s">
        <v>19</v>
      </c>
      <c r="AK334" s="209" t="s">
        <v>25</v>
      </c>
      <c r="AL334" s="234" t="s">
        <v>306</v>
      </c>
      <c r="AM334" s="209" t="s">
        <v>19</v>
      </c>
      <c r="AN334" s="209" t="s">
        <v>19</v>
      </c>
      <c r="AO334" s="234" t="s">
        <v>19</v>
      </c>
      <c r="AP334" s="235" t="s">
        <v>306</v>
      </c>
      <c r="AQ334" s="209" t="s">
        <v>19</v>
      </c>
      <c r="AR334" s="209" t="s">
        <v>19</v>
      </c>
      <c r="AS334" s="234" t="s">
        <v>19</v>
      </c>
      <c r="AT334" s="209" t="s">
        <v>25</v>
      </c>
      <c r="AU334" s="209" t="s">
        <v>25</v>
      </c>
      <c r="AV334" s="234" t="s">
        <v>25</v>
      </c>
      <c r="AW334" s="209" t="s">
        <v>306</v>
      </c>
      <c r="AX334" s="209" t="s">
        <v>25</v>
      </c>
      <c r="AY334" s="234" t="s">
        <v>25</v>
      </c>
      <c r="AZ334" s="209" t="s">
        <v>306</v>
      </c>
      <c r="BA334" s="209" t="s">
        <v>19</v>
      </c>
      <c r="BB334" s="234" t="s">
        <v>25</v>
      </c>
      <c r="BC334" s="235" t="s">
        <v>25</v>
      </c>
      <c r="BD334" s="188"/>
    </row>
    <row r="335" spans="1:56" ht="12.75" customHeight="1" x14ac:dyDescent="0.25">
      <c r="A335" s="238">
        <v>45271.972187395833</v>
      </c>
      <c r="B335" s="233" t="s">
        <v>395</v>
      </c>
      <c r="C335" s="209" t="s">
        <v>587</v>
      </c>
      <c r="D335" s="232" t="s">
        <v>17</v>
      </c>
      <c r="E335" s="232" t="s">
        <v>515</v>
      </c>
      <c r="F335" s="209" t="s">
        <v>933</v>
      </c>
      <c r="G335" s="232" t="s">
        <v>24</v>
      </c>
      <c r="H335" s="232">
        <v>13</v>
      </c>
      <c r="I335" s="209" t="s">
        <v>531</v>
      </c>
      <c r="J335" s="188"/>
      <c r="K335" s="209" t="s">
        <v>539</v>
      </c>
      <c r="L335" s="209" t="s">
        <v>531</v>
      </c>
      <c r="M335" s="188"/>
      <c r="N335" s="188"/>
      <c r="O335" s="188"/>
      <c r="P335" s="188"/>
      <c r="Q335" s="209" t="s">
        <v>25</v>
      </c>
      <c r="R335" s="209" t="s">
        <v>306</v>
      </c>
      <c r="S335" s="234" t="s">
        <v>25</v>
      </c>
      <c r="T335" s="209" t="s">
        <v>306</v>
      </c>
      <c r="U335" s="209" t="s">
        <v>25</v>
      </c>
      <c r="V335" s="234" t="s">
        <v>25</v>
      </c>
      <c r="W335" s="209" t="s">
        <v>19</v>
      </c>
      <c r="X335" s="209" t="s">
        <v>306</v>
      </c>
      <c r="Y335" s="234" t="s">
        <v>306</v>
      </c>
      <c r="Z335" s="209" t="s">
        <v>25</v>
      </c>
      <c r="AA335" s="209" t="s">
        <v>306</v>
      </c>
      <c r="AB335" s="234" t="s">
        <v>25</v>
      </c>
      <c r="AC335" s="235" t="s">
        <v>306</v>
      </c>
      <c r="AD335" s="209" t="s">
        <v>306</v>
      </c>
      <c r="AE335" s="209" t="s">
        <v>25</v>
      </c>
      <c r="AF335" s="234" t="s">
        <v>25</v>
      </c>
      <c r="AG335" s="209" t="s">
        <v>306</v>
      </c>
      <c r="AH335" s="209" t="s">
        <v>306</v>
      </c>
      <c r="AI335" s="234" t="s">
        <v>306</v>
      </c>
      <c r="AJ335" s="209" t="s">
        <v>306</v>
      </c>
      <c r="AK335" s="209" t="s">
        <v>306</v>
      </c>
      <c r="AL335" s="234" t="s">
        <v>306</v>
      </c>
      <c r="AM335" s="209" t="s">
        <v>306</v>
      </c>
      <c r="AN335" s="209" t="s">
        <v>306</v>
      </c>
      <c r="AO335" s="234" t="s">
        <v>306</v>
      </c>
      <c r="AP335" s="235" t="s">
        <v>306</v>
      </c>
      <c r="AQ335" s="209" t="s">
        <v>25</v>
      </c>
      <c r="AR335" s="209" t="s">
        <v>306</v>
      </c>
      <c r="AS335" s="234" t="s">
        <v>25</v>
      </c>
      <c r="AT335" s="209" t="s">
        <v>306</v>
      </c>
      <c r="AU335" s="209" t="s">
        <v>25</v>
      </c>
      <c r="AV335" s="234" t="s">
        <v>25</v>
      </c>
      <c r="AW335" s="209" t="s">
        <v>25</v>
      </c>
      <c r="AX335" s="209" t="s">
        <v>25</v>
      </c>
      <c r="AY335" s="234" t="s">
        <v>25</v>
      </c>
      <c r="AZ335" s="209" t="s">
        <v>306</v>
      </c>
      <c r="BA335" s="209" t="s">
        <v>306</v>
      </c>
      <c r="BB335" s="234" t="s">
        <v>25</v>
      </c>
      <c r="BC335" s="235" t="s">
        <v>306</v>
      </c>
      <c r="BD335" s="188"/>
    </row>
    <row r="336" spans="1:56" ht="12.75" customHeight="1" x14ac:dyDescent="0.25">
      <c r="A336" s="238">
        <v>45271.972661736116</v>
      </c>
      <c r="B336" s="233" t="s">
        <v>395</v>
      </c>
      <c r="C336" s="209" t="s">
        <v>587</v>
      </c>
      <c r="D336" s="232" t="s">
        <v>17</v>
      </c>
      <c r="E336" s="232" t="s">
        <v>515</v>
      </c>
      <c r="F336" s="209" t="s">
        <v>934</v>
      </c>
      <c r="G336" s="232" t="s">
        <v>18</v>
      </c>
      <c r="H336" s="232">
        <v>11</v>
      </c>
      <c r="I336" s="209" t="s">
        <v>531</v>
      </c>
      <c r="J336" s="188"/>
      <c r="K336" s="209" t="s">
        <v>539</v>
      </c>
      <c r="L336" s="209" t="s">
        <v>531</v>
      </c>
      <c r="M336" s="188"/>
      <c r="N336" s="188"/>
      <c r="O336" s="188"/>
      <c r="P336" s="188"/>
      <c r="Q336" s="209" t="s">
        <v>25</v>
      </c>
      <c r="R336" s="209" t="s">
        <v>306</v>
      </c>
      <c r="S336" s="234" t="s">
        <v>25</v>
      </c>
      <c r="T336" s="209" t="s">
        <v>25</v>
      </c>
      <c r="U336" s="209" t="s">
        <v>25</v>
      </c>
      <c r="V336" s="234" t="s">
        <v>25</v>
      </c>
      <c r="W336" s="209" t="s">
        <v>19</v>
      </c>
      <c r="X336" s="209" t="s">
        <v>306</v>
      </c>
      <c r="Y336" s="234" t="s">
        <v>306</v>
      </c>
      <c r="Z336" s="209" t="s">
        <v>25</v>
      </c>
      <c r="AA336" s="209" t="s">
        <v>306</v>
      </c>
      <c r="AB336" s="234" t="s">
        <v>25</v>
      </c>
      <c r="AC336" s="235" t="s">
        <v>306</v>
      </c>
      <c r="AD336" s="209" t="s">
        <v>19</v>
      </c>
      <c r="AE336" s="209" t="s">
        <v>25</v>
      </c>
      <c r="AF336" s="234" t="s">
        <v>306</v>
      </c>
      <c r="AG336" s="209" t="s">
        <v>19</v>
      </c>
      <c r="AH336" s="209" t="s">
        <v>19</v>
      </c>
      <c r="AI336" s="234" t="s">
        <v>19</v>
      </c>
      <c r="AJ336" s="209" t="s">
        <v>19</v>
      </c>
      <c r="AK336" s="209" t="s">
        <v>19</v>
      </c>
      <c r="AL336" s="234" t="s">
        <v>19</v>
      </c>
      <c r="AM336" s="209" t="s">
        <v>19</v>
      </c>
      <c r="AN336" s="209" t="s">
        <v>19</v>
      </c>
      <c r="AO336" s="234" t="s">
        <v>19</v>
      </c>
      <c r="AP336" s="235" t="s">
        <v>19</v>
      </c>
      <c r="AQ336" s="209" t="s">
        <v>19</v>
      </c>
      <c r="AR336" s="209" t="s">
        <v>19</v>
      </c>
      <c r="AS336" s="234" t="s">
        <v>19</v>
      </c>
      <c r="AT336" s="209" t="s">
        <v>19</v>
      </c>
      <c r="AU336" s="209" t="s">
        <v>25</v>
      </c>
      <c r="AV336" s="234" t="s">
        <v>306</v>
      </c>
      <c r="AW336" s="209" t="s">
        <v>25</v>
      </c>
      <c r="AX336" s="209" t="s">
        <v>25</v>
      </c>
      <c r="AY336" s="234" t="s">
        <v>25</v>
      </c>
      <c r="AZ336" s="209" t="s">
        <v>25</v>
      </c>
      <c r="BA336" s="209" t="s">
        <v>25</v>
      </c>
      <c r="BB336" s="234" t="s">
        <v>25</v>
      </c>
      <c r="BC336" s="235" t="s">
        <v>25</v>
      </c>
      <c r="BD336" s="188"/>
    </row>
    <row r="337" spans="1:56" ht="12.75" customHeight="1" x14ac:dyDescent="0.25">
      <c r="A337" s="238">
        <v>45271.974345023147</v>
      </c>
      <c r="B337" s="233" t="s">
        <v>395</v>
      </c>
      <c r="C337" s="209" t="s">
        <v>587</v>
      </c>
      <c r="D337" s="232" t="s">
        <v>17</v>
      </c>
      <c r="E337" s="232" t="s">
        <v>515</v>
      </c>
      <c r="F337" s="209" t="s">
        <v>935</v>
      </c>
      <c r="G337" s="232" t="s">
        <v>24</v>
      </c>
      <c r="H337" s="232">
        <v>12</v>
      </c>
      <c r="I337" s="209" t="s">
        <v>531</v>
      </c>
      <c r="J337" s="188"/>
      <c r="K337" s="209" t="s">
        <v>539</v>
      </c>
      <c r="L337" s="209" t="s">
        <v>531</v>
      </c>
      <c r="M337" s="188"/>
      <c r="N337" s="188"/>
      <c r="O337" s="188"/>
      <c r="P337" s="188"/>
      <c r="Q337" s="209" t="s">
        <v>306</v>
      </c>
      <c r="R337" s="209" t="s">
        <v>19</v>
      </c>
      <c r="S337" s="234" t="s">
        <v>306</v>
      </c>
      <c r="T337" s="209" t="s">
        <v>25</v>
      </c>
      <c r="U337" s="209" t="s">
        <v>25</v>
      </c>
      <c r="V337" s="234" t="s">
        <v>25</v>
      </c>
      <c r="W337" s="209" t="s">
        <v>19</v>
      </c>
      <c r="X337" s="209" t="s">
        <v>19</v>
      </c>
      <c r="Y337" s="234" t="s">
        <v>19</v>
      </c>
      <c r="Z337" s="209" t="s">
        <v>306</v>
      </c>
      <c r="AA337" s="209" t="s">
        <v>19</v>
      </c>
      <c r="AB337" s="234" t="s">
        <v>306</v>
      </c>
      <c r="AC337" s="235" t="s">
        <v>306</v>
      </c>
      <c r="AD337" s="209" t="s">
        <v>306</v>
      </c>
      <c r="AE337" s="209" t="s">
        <v>306</v>
      </c>
      <c r="AF337" s="234" t="s">
        <v>306</v>
      </c>
      <c r="AG337" s="209" t="s">
        <v>25</v>
      </c>
      <c r="AH337" s="209" t="s">
        <v>306</v>
      </c>
      <c r="AI337" s="234" t="s">
        <v>25</v>
      </c>
      <c r="AJ337" s="209" t="s">
        <v>25</v>
      </c>
      <c r="AK337" s="209" t="s">
        <v>306</v>
      </c>
      <c r="AL337" s="234" t="s">
        <v>25</v>
      </c>
      <c r="AM337" s="209" t="s">
        <v>19</v>
      </c>
      <c r="AN337" s="209" t="s">
        <v>19</v>
      </c>
      <c r="AO337" s="234" t="s">
        <v>19</v>
      </c>
      <c r="AP337" s="235" t="s">
        <v>306</v>
      </c>
      <c r="AQ337" s="209" t="s">
        <v>19</v>
      </c>
      <c r="AR337" s="209" t="s">
        <v>25</v>
      </c>
      <c r="AS337" s="234" t="s">
        <v>306</v>
      </c>
      <c r="AT337" s="209" t="s">
        <v>25</v>
      </c>
      <c r="AU337" s="209" t="s">
        <v>306</v>
      </c>
      <c r="AV337" s="234" t="s">
        <v>25</v>
      </c>
      <c r="AW337" s="209" t="s">
        <v>306</v>
      </c>
      <c r="AX337" s="209" t="s">
        <v>306</v>
      </c>
      <c r="AY337" s="234" t="s">
        <v>306</v>
      </c>
      <c r="AZ337" s="209" t="s">
        <v>306</v>
      </c>
      <c r="BA337" s="209" t="s">
        <v>306</v>
      </c>
      <c r="BB337" s="234" t="s">
        <v>306</v>
      </c>
      <c r="BC337" s="235" t="s">
        <v>306</v>
      </c>
      <c r="BD337" s="188"/>
    </row>
    <row r="338" spans="1:56" ht="12.75" customHeight="1" x14ac:dyDescent="0.25">
      <c r="A338" s="238">
        <v>45271.975452175924</v>
      </c>
      <c r="B338" s="233" t="s">
        <v>395</v>
      </c>
      <c r="C338" s="209" t="s">
        <v>587</v>
      </c>
      <c r="D338" s="232" t="s">
        <v>17</v>
      </c>
      <c r="E338" s="232" t="s">
        <v>515</v>
      </c>
      <c r="F338" s="209" t="s">
        <v>936</v>
      </c>
      <c r="G338" s="232" t="s">
        <v>18</v>
      </c>
      <c r="H338" s="232">
        <v>11</v>
      </c>
      <c r="I338" s="209" t="s">
        <v>531</v>
      </c>
      <c r="J338" s="188"/>
      <c r="K338" s="209" t="s">
        <v>539</v>
      </c>
      <c r="L338" s="209" t="s">
        <v>531</v>
      </c>
      <c r="M338" s="188"/>
      <c r="N338" s="188"/>
      <c r="O338" s="188"/>
      <c r="P338" s="188"/>
      <c r="Q338" s="209" t="s">
        <v>25</v>
      </c>
      <c r="R338" s="209" t="s">
        <v>306</v>
      </c>
      <c r="S338" s="234" t="s">
        <v>25</v>
      </c>
      <c r="T338" s="209" t="s">
        <v>306</v>
      </c>
      <c r="U338" s="209" t="s">
        <v>25</v>
      </c>
      <c r="V338" s="234" t="s">
        <v>25</v>
      </c>
      <c r="W338" s="209" t="s">
        <v>19</v>
      </c>
      <c r="X338" s="209" t="s">
        <v>19</v>
      </c>
      <c r="Y338" s="234" t="s">
        <v>19</v>
      </c>
      <c r="Z338" s="209" t="s">
        <v>25</v>
      </c>
      <c r="AA338" s="209" t="s">
        <v>19</v>
      </c>
      <c r="AB338" s="234" t="s">
        <v>306</v>
      </c>
      <c r="AC338" s="235" t="s">
        <v>306</v>
      </c>
      <c r="AD338" s="209" t="s">
        <v>19</v>
      </c>
      <c r="AE338" s="209" t="s">
        <v>25</v>
      </c>
      <c r="AF338" s="234" t="s">
        <v>306</v>
      </c>
      <c r="AG338" s="209" t="s">
        <v>19</v>
      </c>
      <c r="AH338" s="209" t="s">
        <v>19</v>
      </c>
      <c r="AI338" s="234" t="s">
        <v>19</v>
      </c>
      <c r="AJ338" s="209" t="s">
        <v>19</v>
      </c>
      <c r="AK338" s="209" t="s">
        <v>19</v>
      </c>
      <c r="AL338" s="234" t="s">
        <v>19</v>
      </c>
      <c r="AM338" s="209" t="s">
        <v>19</v>
      </c>
      <c r="AN338" s="209" t="s">
        <v>19</v>
      </c>
      <c r="AO338" s="234" t="s">
        <v>19</v>
      </c>
      <c r="AP338" s="235" t="s">
        <v>19</v>
      </c>
      <c r="AQ338" s="209" t="s">
        <v>19</v>
      </c>
      <c r="AR338" s="209" t="s">
        <v>19</v>
      </c>
      <c r="AS338" s="234" t="s">
        <v>19</v>
      </c>
      <c r="AT338" s="209" t="s">
        <v>25</v>
      </c>
      <c r="AU338" s="209" t="s">
        <v>25</v>
      </c>
      <c r="AV338" s="234" t="s">
        <v>25</v>
      </c>
      <c r="AW338" s="209" t="s">
        <v>25</v>
      </c>
      <c r="AX338" s="209" t="s">
        <v>19</v>
      </c>
      <c r="AY338" s="234" t="s">
        <v>306</v>
      </c>
      <c r="AZ338" s="209" t="s">
        <v>19</v>
      </c>
      <c r="BA338" s="209" t="s">
        <v>25</v>
      </c>
      <c r="BB338" s="234" t="s">
        <v>306</v>
      </c>
      <c r="BC338" s="235" t="s">
        <v>306</v>
      </c>
      <c r="BD338" s="188"/>
    </row>
    <row r="339" spans="1:56" ht="12.75" customHeight="1" x14ac:dyDescent="0.25">
      <c r="A339" s="238">
        <v>45271.976454884258</v>
      </c>
      <c r="B339" s="233" t="s">
        <v>395</v>
      </c>
      <c r="C339" s="209" t="s">
        <v>587</v>
      </c>
      <c r="D339" s="232" t="s">
        <v>17</v>
      </c>
      <c r="E339" s="232" t="s">
        <v>515</v>
      </c>
      <c r="F339" s="209" t="s">
        <v>937</v>
      </c>
      <c r="G339" s="232" t="s">
        <v>24</v>
      </c>
      <c r="H339" s="232">
        <v>12</v>
      </c>
      <c r="I339" s="209" t="s">
        <v>531</v>
      </c>
      <c r="J339" s="188"/>
      <c r="K339" s="209" t="s">
        <v>539</v>
      </c>
      <c r="L339" s="209" t="s">
        <v>531</v>
      </c>
      <c r="M339" s="188"/>
      <c r="N339" s="188"/>
      <c r="O339" s="188"/>
      <c r="P339" s="188"/>
      <c r="Q339" s="209" t="s">
        <v>25</v>
      </c>
      <c r="R339" s="209" t="s">
        <v>25</v>
      </c>
      <c r="S339" s="234" t="s">
        <v>25</v>
      </c>
      <c r="T339" s="209" t="s">
        <v>19</v>
      </c>
      <c r="U339" s="209" t="s">
        <v>19</v>
      </c>
      <c r="V339" s="234" t="s">
        <v>19</v>
      </c>
      <c r="W339" s="209" t="s">
        <v>25</v>
      </c>
      <c r="X339" s="209" t="s">
        <v>25</v>
      </c>
      <c r="Y339" s="234" t="s">
        <v>25</v>
      </c>
      <c r="Z339" s="209" t="s">
        <v>25</v>
      </c>
      <c r="AA339" s="209" t="s">
        <v>25</v>
      </c>
      <c r="AB339" s="234" t="s">
        <v>25</v>
      </c>
      <c r="AC339" s="235" t="s">
        <v>25</v>
      </c>
      <c r="AD339" s="209" t="s">
        <v>25</v>
      </c>
      <c r="AE339" s="209" t="s">
        <v>25</v>
      </c>
      <c r="AF339" s="234" t="s">
        <v>25</v>
      </c>
      <c r="AG339" s="209" t="s">
        <v>25</v>
      </c>
      <c r="AH339" s="209" t="s">
        <v>19</v>
      </c>
      <c r="AI339" s="234" t="s">
        <v>306</v>
      </c>
      <c r="AJ339" s="209" t="s">
        <v>25</v>
      </c>
      <c r="AK339" s="209" t="s">
        <v>25</v>
      </c>
      <c r="AL339" s="234" t="s">
        <v>25</v>
      </c>
      <c r="AM339" s="209" t="s">
        <v>19</v>
      </c>
      <c r="AN339" s="209" t="s">
        <v>19</v>
      </c>
      <c r="AO339" s="234" t="s">
        <v>19</v>
      </c>
      <c r="AP339" s="235" t="s">
        <v>306</v>
      </c>
      <c r="AQ339" s="209" t="s">
        <v>25</v>
      </c>
      <c r="AR339" s="209" t="s">
        <v>25</v>
      </c>
      <c r="AS339" s="234" t="s">
        <v>25</v>
      </c>
      <c r="AT339" s="209" t="s">
        <v>25</v>
      </c>
      <c r="AU339" s="209" t="s">
        <v>25</v>
      </c>
      <c r="AV339" s="234" t="s">
        <v>25</v>
      </c>
      <c r="AW339" s="209" t="s">
        <v>25</v>
      </c>
      <c r="AX339" s="209" t="s">
        <v>25</v>
      </c>
      <c r="AY339" s="234" t="s">
        <v>25</v>
      </c>
      <c r="AZ339" s="209" t="s">
        <v>25</v>
      </c>
      <c r="BA339" s="209" t="s">
        <v>25</v>
      </c>
      <c r="BB339" s="234" t="s">
        <v>25</v>
      </c>
      <c r="BC339" s="235" t="s">
        <v>306</v>
      </c>
      <c r="BD339" s="188"/>
    </row>
    <row r="340" spans="1:56" ht="12.75" customHeight="1" x14ac:dyDescent="0.25">
      <c r="A340" s="238">
        <v>45271.978237847223</v>
      </c>
      <c r="B340" s="233" t="s">
        <v>395</v>
      </c>
      <c r="C340" s="209" t="s">
        <v>587</v>
      </c>
      <c r="D340" s="232" t="s">
        <v>17</v>
      </c>
      <c r="E340" s="232" t="s">
        <v>515</v>
      </c>
      <c r="F340" s="209" t="s">
        <v>938</v>
      </c>
      <c r="G340" s="232" t="s">
        <v>18</v>
      </c>
      <c r="H340" s="232">
        <v>11</v>
      </c>
      <c r="I340" s="209" t="s">
        <v>531</v>
      </c>
      <c r="J340" s="188"/>
      <c r="K340" s="209" t="s">
        <v>539</v>
      </c>
      <c r="L340" s="209" t="s">
        <v>531</v>
      </c>
      <c r="M340" s="188"/>
      <c r="N340" s="188"/>
      <c r="O340" s="188"/>
      <c r="P340" s="188"/>
      <c r="Q340" s="209" t="s">
        <v>25</v>
      </c>
      <c r="R340" s="209" t="s">
        <v>306</v>
      </c>
      <c r="S340" s="234" t="s">
        <v>25</v>
      </c>
      <c r="T340" s="209" t="s">
        <v>306</v>
      </c>
      <c r="U340" s="209" t="s">
        <v>25</v>
      </c>
      <c r="V340" s="234" t="s">
        <v>25</v>
      </c>
      <c r="W340" s="209" t="s">
        <v>19</v>
      </c>
      <c r="X340" s="209" t="s">
        <v>19</v>
      </c>
      <c r="Y340" s="234" t="s">
        <v>19</v>
      </c>
      <c r="Z340" s="209" t="s">
        <v>306</v>
      </c>
      <c r="AA340" s="209" t="s">
        <v>25</v>
      </c>
      <c r="AB340" s="234" t="s">
        <v>25</v>
      </c>
      <c r="AC340" s="235" t="s">
        <v>306</v>
      </c>
      <c r="AD340" s="209" t="s">
        <v>306</v>
      </c>
      <c r="AE340" s="209" t="s">
        <v>25</v>
      </c>
      <c r="AF340" s="234" t="s">
        <v>25</v>
      </c>
      <c r="AG340" s="209" t="s">
        <v>306</v>
      </c>
      <c r="AH340" s="209" t="s">
        <v>306</v>
      </c>
      <c r="AI340" s="234" t="s">
        <v>306</v>
      </c>
      <c r="AJ340" s="209" t="s">
        <v>25</v>
      </c>
      <c r="AK340" s="209" t="s">
        <v>306</v>
      </c>
      <c r="AL340" s="234" t="s">
        <v>25</v>
      </c>
      <c r="AM340" s="209" t="s">
        <v>19</v>
      </c>
      <c r="AN340" s="209" t="s">
        <v>19</v>
      </c>
      <c r="AO340" s="234" t="s">
        <v>19</v>
      </c>
      <c r="AP340" s="235" t="s">
        <v>306</v>
      </c>
      <c r="AQ340" s="209" t="s">
        <v>25</v>
      </c>
      <c r="AR340" s="209" t="s">
        <v>306</v>
      </c>
      <c r="AS340" s="234" t="s">
        <v>25</v>
      </c>
      <c r="AT340" s="209" t="s">
        <v>25</v>
      </c>
      <c r="AU340" s="209" t="s">
        <v>306</v>
      </c>
      <c r="AV340" s="234" t="s">
        <v>25</v>
      </c>
      <c r="AW340" s="209" t="s">
        <v>306</v>
      </c>
      <c r="AX340" s="209" t="s">
        <v>306</v>
      </c>
      <c r="AY340" s="234" t="s">
        <v>306</v>
      </c>
      <c r="AZ340" s="209" t="s">
        <v>25</v>
      </c>
      <c r="BA340" s="209" t="s">
        <v>25</v>
      </c>
      <c r="BB340" s="234" t="s">
        <v>19</v>
      </c>
      <c r="BC340" s="235" t="s">
        <v>19</v>
      </c>
      <c r="BD340" s="188"/>
    </row>
    <row r="341" spans="1:56" ht="12.75" customHeight="1" x14ac:dyDescent="0.25">
      <c r="A341" s="238">
        <v>45271.978607094905</v>
      </c>
      <c r="B341" s="233" t="s">
        <v>395</v>
      </c>
      <c r="C341" s="209" t="s">
        <v>587</v>
      </c>
      <c r="D341" s="232" t="s">
        <v>17</v>
      </c>
      <c r="E341" s="232" t="s">
        <v>515</v>
      </c>
      <c r="F341" s="209" t="s">
        <v>939</v>
      </c>
      <c r="G341" s="232" t="s">
        <v>18</v>
      </c>
      <c r="H341" s="232">
        <v>12</v>
      </c>
      <c r="I341" s="209" t="s">
        <v>531</v>
      </c>
      <c r="J341" s="188"/>
      <c r="K341" s="209" t="s">
        <v>539</v>
      </c>
      <c r="L341" s="209" t="s">
        <v>531</v>
      </c>
      <c r="M341" s="188"/>
      <c r="N341" s="188"/>
      <c r="O341" s="188"/>
      <c r="P341" s="188"/>
      <c r="Q341" s="209" t="s">
        <v>25</v>
      </c>
      <c r="R341" s="209" t="s">
        <v>306</v>
      </c>
      <c r="S341" s="234" t="s">
        <v>25</v>
      </c>
      <c r="T341" s="209" t="s">
        <v>25</v>
      </c>
      <c r="U341" s="209" t="s">
        <v>25</v>
      </c>
      <c r="V341" s="234" t="s">
        <v>25</v>
      </c>
      <c r="W341" s="209" t="s">
        <v>19</v>
      </c>
      <c r="X341" s="209" t="s">
        <v>19</v>
      </c>
      <c r="Y341" s="234" t="s">
        <v>19</v>
      </c>
      <c r="Z341" s="209" t="s">
        <v>25</v>
      </c>
      <c r="AA341" s="209" t="s">
        <v>306</v>
      </c>
      <c r="AB341" s="234" t="s">
        <v>25</v>
      </c>
      <c r="AC341" s="235" t="s">
        <v>306</v>
      </c>
      <c r="AD341" s="209" t="s">
        <v>306</v>
      </c>
      <c r="AE341" s="209" t="s">
        <v>306</v>
      </c>
      <c r="AF341" s="234" t="s">
        <v>306</v>
      </c>
      <c r="AG341" s="209" t="s">
        <v>19</v>
      </c>
      <c r="AH341" s="209" t="s">
        <v>306</v>
      </c>
      <c r="AI341" s="234" t="s">
        <v>306</v>
      </c>
      <c r="AJ341" s="209" t="s">
        <v>19</v>
      </c>
      <c r="AK341" s="209" t="s">
        <v>306</v>
      </c>
      <c r="AL341" s="234" t="s">
        <v>306</v>
      </c>
      <c r="AM341" s="209" t="s">
        <v>19</v>
      </c>
      <c r="AN341" s="209" t="s">
        <v>19</v>
      </c>
      <c r="AO341" s="234" t="s">
        <v>19</v>
      </c>
      <c r="AP341" s="235" t="s">
        <v>306</v>
      </c>
      <c r="AQ341" s="209" t="s">
        <v>19</v>
      </c>
      <c r="AR341" s="209" t="s">
        <v>306</v>
      </c>
      <c r="AS341" s="234" t="s">
        <v>306</v>
      </c>
      <c r="AT341" s="209" t="s">
        <v>19</v>
      </c>
      <c r="AU341" s="209" t="s">
        <v>25</v>
      </c>
      <c r="AV341" s="234" t="s">
        <v>306</v>
      </c>
      <c r="AW341" s="209" t="s">
        <v>25</v>
      </c>
      <c r="AX341" s="209" t="s">
        <v>306</v>
      </c>
      <c r="AY341" s="234" t="s">
        <v>25</v>
      </c>
      <c r="AZ341" s="209" t="s">
        <v>306</v>
      </c>
      <c r="BA341" s="209" t="s">
        <v>25</v>
      </c>
      <c r="BB341" s="234" t="s">
        <v>19</v>
      </c>
      <c r="BC341" s="235" t="s">
        <v>19</v>
      </c>
      <c r="BD341" s="188"/>
    </row>
    <row r="342" spans="1:56" ht="12.75" customHeight="1" x14ac:dyDescent="0.25">
      <c r="A342" s="238">
        <v>45271.979789074074</v>
      </c>
      <c r="B342" s="233" t="s">
        <v>395</v>
      </c>
      <c r="C342" s="209" t="s">
        <v>587</v>
      </c>
      <c r="D342" s="232" t="s">
        <v>17</v>
      </c>
      <c r="E342" s="232" t="s">
        <v>515</v>
      </c>
      <c r="F342" s="209" t="s">
        <v>940</v>
      </c>
      <c r="G342" s="232" t="s">
        <v>18</v>
      </c>
      <c r="H342" s="232">
        <v>13</v>
      </c>
      <c r="I342" s="209" t="s">
        <v>531</v>
      </c>
      <c r="J342" s="188"/>
      <c r="K342" s="209" t="s">
        <v>539</v>
      </c>
      <c r="L342" s="209" t="s">
        <v>531</v>
      </c>
      <c r="M342" s="188"/>
      <c r="N342" s="188"/>
      <c r="O342" s="188"/>
      <c r="P342" s="188"/>
      <c r="Q342" s="209" t="s">
        <v>306</v>
      </c>
      <c r="R342" s="209" t="s">
        <v>25</v>
      </c>
      <c r="S342" s="234" t="s">
        <v>25</v>
      </c>
      <c r="T342" s="209" t="s">
        <v>19</v>
      </c>
      <c r="U342" s="209" t="s">
        <v>19</v>
      </c>
      <c r="V342" s="234" t="s">
        <v>19</v>
      </c>
      <c r="W342" s="209" t="s">
        <v>19</v>
      </c>
      <c r="X342" s="209" t="s">
        <v>19</v>
      </c>
      <c r="Y342" s="234" t="s">
        <v>19</v>
      </c>
      <c r="Z342" s="209" t="s">
        <v>306</v>
      </c>
      <c r="AA342" s="209" t="s">
        <v>19</v>
      </c>
      <c r="AB342" s="234" t="s">
        <v>306</v>
      </c>
      <c r="AC342" s="235" t="s">
        <v>306</v>
      </c>
      <c r="AD342" s="209" t="s">
        <v>25</v>
      </c>
      <c r="AE342" s="209" t="s">
        <v>306</v>
      </c>
      <c r="AF342" s="234" t="s">
        <v>25</v>
      </c>
      <c r="AG342" s="209" t="s">
        <v>25</v>
      </c>
      <c r="AH342" s="209" t="s">
        <v>19</v>
      </c>
      <c r="AI342" s="234" t="s">
        <v>306</v>
      </c>
      <c r="AJ342" s="209" t="s">
        <v>19</v>
      </c>
      <c r="AK342" s="209" t="s">
        <v>19</v>
      </c>
      <c r="AL342" s="234" t="s">
        <v>19</v>
      </c>
      <c r="AM342" s="209" t="s">
        <v>19</v>
      </c>
      <c r="AN342" s="209" t="s">
        <v>19</v>
      </c>
      <c r="AO342" s="234" t="s">
        <v>19</v>
      </c>
      <c r="AP342" s="235" t="s">
        <v>306</v>
      </c>
      <c r="AQ342" s="209" t="s">
        <v>25</v>
      </c>
      <c r="AR342" s="209" t="s">
        <v>25</v>
      </c>
      <c r="AS342" s="234" t="s">
        <v>25</v>
      </c>
      <c r="AT342" s="209" t="s">
        <v>25</v>
      </c>
      <c r="AU342" s="209" t="s">
        <v>25</v>
      </c>
      <c r="AV342" s="234" t="s">
        <v>25</v>
      </c>
      <c r="AW342" s="209" t="s">
        <v>19</v>
      </c>
      <c r="AX342" s="209" t="s">
        <v>25</v>
      </c>
      <c r="AY342" s="234" t="s">
        <v>306</v>
      </c>
      <c r="AZ342" s="209" t="s">
        <v>25</v>
      </c>
      <c r="BA342" s="209" t="s">
        <v>25</v>
      </c>
      <c r="BB342" s="234" t="s">
        <v>19</v>
      </c>
      <c r="BC342" s="235" t="s">
        <v>19</v>
      </c>
      <c r="BD342" s="188"/>
    </row>
    <row r="343" spans="1:56" ht="12.75" customHeight="1" x14ac:dyDescent="0.25">
      <c r="A343" s="238">
        <v>45271.98041956019</v>
      </c>
      <c r="B343" s="233" t="s">
        <v>395</v>
      </c>
      <c r="C343" s="209" t="s">
        <v>587</v>
      </c>
      <c r="D343" s="232" t="s">
        <v>17</v>
      </c>
      <c r="E343" s="232" t="s">
        <v>515</v>
      </c>
      <c r="F343" s="209" t="s">
        <v>941</v>
      </c>
      <c r="G343" s="232" t="s">
        <v>18</v>
      </c>
      <c r="H343" s="232">
        <v>12</v>
      </c>
      <c r="I343" s="209" t="s">
        <v>531</v>
      </c>
      <c r="J343" s="188"/>
      <c r="K343" s="209" t="s">
        <v>539</v>
      </c>
      <c r="L343" s="209" t="s">
        <v>531</v>
      </c>
      <c r="M343" s="188"/>
      <c r="N343" s="188"/>
      <c r="O343" s="188"/>
      <c r="P343" s="188"/>
      <c r="Q343" s="209" t="s">
        <v>25</v>
      </c>
      <c r="R343" s="209" t="s">
        <v>19</v>
      </c>
      <c r="S343" s="234" t="s">
        <v>306</v>
      </c>
      <c r="T343" s="209" t="s">
        <v>25</v>
      </c>
      <c r="U343" s="209" t="s">
        <v>25</v>
      </c>
      <c r="V343" s="234" t="s">
        <v>25</v>
      </c>
      <c r="W343" s="209" t="s">
        <v>19</v>
      </c>
      <c r="X343" s="209" t="s">
        <v>19</v>
      </c>
      <c r="Y343" s="234" t="s">
        <v>19</v>
      </c>
      <c r="Z343" s="209" t="s">
        <v>25</v>
      </c>
      <c r="AA343" s="209" t="s">
        <v>19</v>
      </c>
      <c r="AB343" s="234" t="s">
        <v>306</v>
      </c>
      <c r="AC343" s="235" t="s">
        <v>306</v>
      </c>
      <c r="AD343" s="209" t="s">
        <v>25</v>
      </c>
      <c r="AE343" s="209" t="s">
        <v>25</v>
      </c>
      <c r="AF343" s="234" t="s">
        <v>25</v>
      </c>
      <c r="AG343" s="209" t="s">
        <v>19</v>
      </c>
      <c r="AH343" s="209" t="s">
        <v>19</v>
      </c>
      <c r="AI343" s="234" t="s">
        <v>19</v>
      </c>
      <c r="AJ343" s="209" t="s">
        <v>19</v>
      </c>
      <c r="AK343" s="209" t="s">
        <v>19</v>
      </c>
      <c r="AL343" s="234" t="s">
        <v>19</v>
      </c>
      <c r="AM343" s="209" t="s">
        <v>19</v>
      </c>
      <c r="AN343" s="209" t="s">
        <v>19</v>
      </c>
      <c r="AO343" s="234" t="s">
        <v>19</v>
      </c>
      <c r="AP343" s="235" t="s">
        <v>306</v>
      </c>
      <c r="AQ343" s="209" t="s">
        <v>19</v>
      </c>
      <c r="AR343" s="209" t="s">
        <v>19</v>
      </c>
      <c r="AS343" s="234" t="s">
        <v>19</v>
      </c>
      <c r="AT343" s="209" t="s">
        <v>25</v>
      </c>
      <c r="AU343" s="209" t="s">
        <v>25</v>
      </c>
      <c r="AV343" s="234" t="s">
        <v>25</v>
      </c>
      <c r="AW343" s="209" t="s">
        <v>25</v>
      </c>
      <c r="AX343" s="209" t="s">
        <v>19</v>
      </c>
      <c r="AY343" s="234" t="s">
        <v>306</v>
      </c>
      <c r="AZ343" s="209" t="s">
        <v>19</v>
      </c>
      <c r="BA343" s="209" t="s">
        <v>25</v>
      </c>
      <c r="BB343" s="234" t="s">
        <v>25</v>
      </c>
      <c r="BC343" s="235" t="s">
        <v>25</v>
      </c>
      <c r="BD343" s="188"/>
    </row>
    <row r="344" spans="1:56" ht="12.75" customHeight="1" x14ac:dyDescent="0.25">
      <c r="A344" s="238">
        <v>45271.983604606481</v>
      </c>
      <c r="B344" s="233" t="s">
        <v>395</v>
      </c>
      <c r="C344" s="209" t="s">
        <v>587</v>
      </c>
      <c r="D344" s="232" t="s">
        <v>17</v>
      </c>
      <c r="E344" s="232" t="s">
        <v>515</v>
      </c>
      <c r="F344" s="209" t="s">
        <v>942</v>
      </c>
      <c r="G344" s="232" t="s">
        <v>18</v>
      </c>
      <c r="H344" s="232">
        <v>12</v>
      </c>
      <c r="I344" s="209" t="s">
        <v>531</v>
      </c>
      <c r="J344" s="188"/>
      <c r="K344" s="209" t="s">
        <v>539</v>
      </c>
      <c r="L344" s="209" t="s">
        <v>531</v>
      </c>
      <c r="M344" s="188"/>
      <c r="N344" s="188"/>
      <c r="O344" s="188"/>
      <c r="P344" s="188"/>
      <c r="Q344" s="209" t="s">
        <v>306</v>
      </c>
      <c r="R344" s="209" t="s">
        <v>306</v>
      </c>
      <c r="S344" s="234" t="s">
        <v>306</v>
      </c>
      <c r="T344" s="209" t="s">
        <v>306</v>
      </c>
      <c r="U344" s="209" t="s">
        <v>25</v>
      </c>
      <c r="V344" s="234" t="s">
        <v>25</v>
      </c>
      <c r="W344" s="209" t="s">
        <v>19</v>
      </c>
      <c r="X344" s="209" t="s">
        <v>306</v>
      </c>
      <c r="Y344" s="234" t="s">
        <v>306</v>
      </c>
      <c r="Z344" s="209" t="s">
        <v>306</v>
      </c>
      <c r="AA344" s="209" t="s">
        <v>306</v>
      </c>
      <c r="AB344" s="234" t="s">
        <v>306</v>
      </c>
      <c r="AC344" s="235" t="s">
        <v>306</v>
      </c>
      <c r="AD344" s="209" t="s">
        <v>306</v>
      </c>
      <c r="AE344" s="209" t="s">
        <v>25</v>
      </c>
      <c r="AF344" s="234" t="s">
        <v>25</v>
      </c>
      <c r="AG344" s="209" t="s">
        <v>306</v>
      </c>
      <c r="AH344" s="209" t="s">
        <v>306</v>
      </c>
      <c r="AI344" s="234" t="s">
        <v>306</v>
      </c>
      <c r="AJ344" s="209" t="s">
        <v>306</v>
      </c>
      <c r="AK344" s="209" t="s">
        <v>306</v>
      </c>
      <c r="AL344" s="234" t="s">
        <v>306</v>
      </c>
      <c r="AM344" s="209" t="s">
        <v>19</v>
      </c>
      <c r="AN344" s="209" t="s">
        <v>19</v>
      </c>
      <c r="AO344" s="234" t="s">
        <v>19</v>
      </c>
      <c r="AP344" s="235" t="s">
        <v>306</v>
      </c>
      <c r="AQ344" s="209" t="s">
        <v>19</v>
      </c>
      <c r="AR344" s="209" t="s">
        <v>306</v>
      </c>
      <c r="AS344" s="234" t="s">
        <v>306</v>
      </c>
      <c r="AT344" s="209" t="s">
        <v>19</v>
      </c>
      <c r="AU344" s="209" t="s">
        <v>25</v>
      </c>
      <c r="AV344" s="234" t="s">
        <v>306</v>
      </c>
      <c r="AW344" s="209" t="s">
        <v>25</v>
      </c>
      <c r="AX344" s="209" t="s">
        <v>25</v>
      </c>
      <c r="AY344" s="234" t="s">
        <v>25</v>
      </c>
      <c r="AZ344" s="209" t="s">
        <v>19</v>
      </c>
      <c r="BA344" s="209" t="s">
        <v>19</v>
      </c>
      <c r="BB344" s="234" t="s">
        <v>25</v>
      </c>
      <c r="BC344" s="235" t="s">
        <v>25</v>
      </c>
      <c r="BD344" s="188"/>
    </row>
    <row r="345" spans="1:56" ht="12.75" customHeight="1" x14ac:dyDescent="0.25">
      <c r="A345" s="238">
        <v>45271.985410173613</v>
      </c>
      <c r="B345" s="233" t="s">
        <v>395</v>
      </c>
      <c r="C345" s="209" t="s">
        <v>587</v>
      </c>
      <c r="D345" s="232" t="s">
        <v>17</v>
      </c>
      <c r="E345" s="232" t="s">
        <v>515</v>
      </c>
      <c r="F345" s="209" t="s">
        <v>943</v>
      </c>
      <c r="G345" s="232" t="s">
        <v>18</v>
      </c>
      <c r="H345" s="232">
        <v>12</v>
      </c>
      <c r="I345" s="209" t="s">
        <v>531</v>
      </c>
      <c r="J345" s="188"/>
      <c r="K345" s="209" t="s">
        <v>539</v>
      </c>
      <c r="L345" s="209" t="s">
        <v>518</v>
      </c>
      <c r="M345" s="209" t="s">
        <v>389</v>
      </c>
      <c r="N345" s="209" t="s">
        <v>389</v>
      </c>
      <c r="O345" s="209"/>
      <c r="P345" s="209"/>
      <c r="Q345" s="209" t="s">
        <v>25</v>
      </c>
      <c r="R345" s="209" t="s">
        <v>25</v>
      </c>
      <c r="S345" s="234" t="s">
        <v>25</v>
      </c>
      <c r="T345" s="209" t="s">
        <v>25</v>
      </c>
      <c r="U345" s="209" t="s">
        <v>25</v>
      </c>
      <c r="V345" s="234" t="s">
        <v>25</v>
      </c>
      <c r="W345" s="209" t="s">
        <v>25</v>
      </c>
      <c r="X345" s="209" t="s">
        <v>306</v>
      </c>
      <c r="Y345" s="234" t="s">
        <v>25</v>
      </c>
      <c r="Z345" s="209" t="s">
        <v>25</v>
      </c>
      <c r="AA345" s="209" t="s">
        <v>306</v>
      </c>
      <c r="AB345" s="234" t="s">
        <v>25</v>
      </c>
      <c r="AC345" s="235" t="s">
        <v>25</v>
      </c>
      <c r="AD345" s="209" t="s">
        <v>306</v>
      </c>
      <c r="AE345" s="209" t="s">
        <v>25</v>
      </c>
      <c r="AF345" s="234" t="s">
        <v>25</v>
      </c>
      <c r="AG345" s="209" t="s">
        <v>306</v>
      </c>
      <c r="AH345" s="209" t="s">
        <v>19</v>
      </c>
      <c r="AI345" s="234" t="s">
        <v>306</v>
      </c>
      <c r="AJ345" s="209" t="s">
        <v>306</v>
      </c>
      <c r="AK345" s="209" t="s">
        <v>306</v>
      </c>
      <c r="AL345" s="234" t="s">
        <v>306</v>
      </c>
      <c r="AM345" s="209" t="s">
        <v>19</v>
      </c>
      <c r="AN345" s="209" t="s">
        <v>19</v>
      </c>
      <c r="AO345" s="234" t="s">
        <v>19</v>
      </c>
      <c r="AP345" s="235" t="s">
        <v>306</v>
      </c>
      <c r="AQ345" s="209" t="s">
        <v>25</v>
      </c>
      <c r="AR345" s="209" t="s">
        <v>306</v>
      </c>
      <c r="AS345" s="234" t="s">
        <v>25</v>
      </c>
      <c r="AT345" s="209" t="s">
        <v>25</v>
      </c>
      <c r="AU345" s="209" t="s">
        <v>25</v>
      </c>
      <c r="AV345" s="234" t="s">
        <v>25</v>
      </c>
      <c r="AW345" s="209" t="s">
        <v>306</v>
      </c>
      <c r="AX345" s="209" t="s">
        <v>306</v>
      </c>
      <c r="AY345" s="234" t="s">
        <v>306</v>
      </c>
      <c r="AZ345" s="209" t="s">
        <v>25</v>
      </c>
      <c r="BA345" s="209" t="s">
        <v>25</v>
      </c>
      <c r="BB345" s="234" t="s">
        <v>25</v>
      </c>
      <c r="BC345" s="235" t="s">
        <v>25</v>
      </c>
      <c r="BD345" s="188"/>
    </row>
    <row r="346" spans="1:56" ht="12.75" customHeight="1" x14ac:dyDescent="0.25">
      <c r="A346" s="238">
        <v>45271.985439942131</v>
      </c>
      <c r="B346" s="233" t="s">
        <v>395</v>
      </c>
      <c r="C346" s="209" t="s">
        <v>587</v>
      </c>
      <c r="D346" s="232" t="s">
        <v>17</v>
      </c>
      <c r="E346" s="232" t="s">
        <v>515</v>
      </c>
      <c r="F346" s="209" t="s">
        <v>944</v>
      </c>
      <c r="G346" s="232" t="s">
        <v>18</v>
      </c>
      <c r="H346" s="232">
        <v>12</v>
      </c>
      <c r="I346" s="209" t="s">
        <v>531</v>
      </c>
      <c r="J346" s="188"/>
      <c r="K346" s="209" t="s">
        <v>539</v>
      </c>
      <c r="L346" s="209" t="s">
        <v>531</v>
      </c>
      <c r="M346" s="188"/>
      <c r="N346" s="188"/>
      <c r="O346" s="188"/>
      <c r="P346" s="188"/>
      <c r="Q346" s="209" t="s">
        <v>25</v>
      </c>
      <c r="R346" s="209" t="s">
        <v>25</v>
      </c>
      <c r="S346" s="234" t="s">
        <v>25</v>
      </c>
      <c r="T346" s="209" t="s">
        <v>19</v>
      </c>
      <c r="U346" s="209" t="s">
        <v>25</v>
      </c>
      <c r="V346" s="234" t="s">
        <v>306</v>
      </c>
      <c r="W346" s="209" t="s">
        <v>306</v>
      </c>
      <c r="X346" s="209" t="s">
        <v>25</v>
      </c>
      <c r="Y346" s="234" t="s">
        <v>25</v>
      </c>
      <c r="Z346" s="209" t="s">
        <v>19</v>
      </c>
      <c r="AA346" s="209" t="s">
        <v>306</v>
      </c>
      <c r="AB346" s="234" t="s">
        <v>306</v>
      </c>
      <c r="AC346" s="235" t="s">
        <v>306</v>
      </c>
      <c r="AD346" s="209" t="s">
        <v>306</v>
      </c>
      <c r="AE346" s="209" t="s">
        <v>25</v>
      </c>
      <c r="AF346" s="234" t="s">
        <v>25</v>
      </c>
      <c r="AG346" s="209" t="s">
        <v>306</v>
      </c>
      <c r="AH346" s="209" t="s">
        <v>19</v>
      </c>
      <c r="AI346" s="234" t="s">
        <v>306</v>
      </c>
      <c r="AJ346" s="209" t="s">
        <v>19</v>
      </c>
      <c r="AK346" s="209" t="s">
        <v>306</v>
      </c>
      <c r="AL346" s="234" t="s">
        <v>306</v>
      </c>
      <c r="AM346" s="209" t="s">
        <v>19</v>
      </c>
      <c r="AN346" s="209" t="s">
        <v>19</v>
      </c>
      <c r="AO346" s="234" t="s">
        <v>19</v>
      </c>
      <c r="AP346" s="235" t="s">
        <v>306</v>
      </c>
      <c r="AQ346" s="209" t="s">
        <v>25</v>
      </c>
      <c r="AR346" s="209" t="s">
        <v>306</v>
      </c>
      <c r="AS346" s="234" t="s">
        <v>25</v>
      </c>
      <c r="AT346" s="209" t="s">
        <v>306</v>
      </c>
      <c r="AU346" s="209" t="s">
        <v>306</v>
      </c>
      <c r="AV346" s="234" t="s">
        <v>306</v>
      </c>
      <c r="AW346" s="209" t="s">
        <v>25</v>
      </c>
      <c r="AX346" s="209" t="s">
        <v>306</v>
      </c>
      <c r="AY346" s="234" t="s">
        <v>25</v>
      </c>
      <c r="AZ346" s="209" t="s">
        <v>25</v>
      </c>
      <c r="BA346" s="209" t="s">
        <v>25</v>
      </c>
      <c r="BB346" s="234" t="s">
        <v>25</v>
      </c>
      <c r="BC346" s="235" t="s">
        <v>25</v>
      </c>
      <c r="BD346" s="188"/>
    </row>
    <row r="347" spans="1:56" ht="12.75" customHeight="1" x14ac:dyDescent="0.25">
      <c r="A347" s="238">
        <v>45271.987007326388</v>
      </c>
      <c r="B347" s="233" t="s">
        <v>395</v>
      </c>
      <c r="C347" s="209" t="s">
        <v>587</v>
      </c>
      <c r="D347" s="232" t="s">
        <v>17</v>
      </c>
      <c r="E347" s="232" t="s">
        <v>515</v>
      </c>
      <c r="F347" s="209" t="s">
        <v>945</v>
      </c>
      <c r="G347" s="232" t="s">
        <v>24</v>
      </c>
      <c r="H347" s="232">
        <v>12</v>
      </c>
      <c r="I347" s="209" t="s">
        <v>531</v>
      </c>
      <c r="J347" s="188"/>
      <c r="K347" s="209" t="s">
        <v>539</v>
      </c>
      <c r="L347" s="209" t="s">
        <v>531</v>
      </c>
      <c r="M347" s="188"/>
      <c r="N347" s="188"/>
      <c r="O347" s="188"/>
      <c r="P347" s="188"/>
      <c r="Q347" s="209" t="s">
        <v>25</v>
      </c>
      <c r="R347" s="209" t="s">
        <v>25</v>
      </c>
      <c r="S347" s="234" t="s">
        <v>25</v>
      </c>
      <c r="T347" s="209" t="s">
        <v>25</v>
      </c>
      <c r="U347" s="209" t="s">
        <v>25</v>
      </c>
      <c r="V347" s="234" t="s">
        <v>25</v>
      </c>
      <c r="W347" s="209" t="s">
        <v>25</v>
      </c>
      <c r="X347" s="209" t="s">
        <v>306</v>
      </c>
      <c r="Y347" s="234" t="s">
        <v>25</v>
      </c>
      <c r="Z347" s="209" t="s">
        <v>25</v>
      </c>
      <c r="AA347" s="209" t="s">
        <v>25</v>
      </c>
      <c r="AB347" s="234" t="s">
        <v>25</v>
      </c>
      <c r="AC347" s="235" t="s">
        <v>25</v>
      </c>
      <c r="AD347" s="209" t="s">
        <v>25</v>
      </c>
      <c r="AE347" s="209" t="s">
        <v>25</v>
      </c>
      <c r="AF347" s="234" t="s">
        <v>25</v>
      </c>
      <c r="AG347" s="209" t="s">
        <v>25</v>
      </c>
      <c r="AH347" s="209" t="s">
        <v>306</v>
      </c>
      <c r="AI347" s="234" t="s">
        <v>25</v>
      </c>
      <c r="AJ347" s="209" t="s">
        <v>25</v>
      </c>
      <c r="AK347" s="209" t="s">
        <v>25</v>
      </c>
      <c r="AL347" s="234" t="s">
        <v>25</v>
      </c>
      <c r="AM347" s="209" t="s">
        <v>306</v>
      </c>
      <c r="AN347" s="209" t="s">
        <v>306</v>
      </c>
      <c r="AO347" s="234" t="s">
        <v>306</v>
      </c>
      <c r="AP347" s="235" t="s">
        <v>25</v>
      </c>
      <c r="AQ347" s="209" t="s">
        <v>25</v>
      </c>
      <c r="AR347" s="209" t="s">
        <v>25</v>
      </c>
      <c r="AS347" s="234" t="s">
        <v>25</v>
      </c>
      <c r="AT347" s="209" t="s">
        <v>25</v>
      </c>
      <c r="AU347" s="209" t="s">
        <v>25</v>
      </c>
      <c r="AV347" s="234" t="s">
        <v>25</v>
      </c>
      <c r="AW347" s="209" t="s">
        <v>25</v>
      </c>
      <c r="AX347" s="209" t="s">
        <v>25</v>
      </c>
      <c r="AY347" s="234" t="s">
        <v>25</v>
      </c>
      <c r="AZ347" s="209" t="s">
        <v>25</v>
      </c>
      <c r="BA347" s="209" t="s">
        <v>25</v>
      </c>
      <c r="BB347" s="234" t="s">
        <v>25</v>
      </c>
      <c r="BC347" s="235" t="s">
        <v>25</v>
      </c>
      <c r="BD347" s="188"/>
    </row>
    <row r="348" spans="1:56" ht="12.75" customHeight="1" x14ac:dyDescent="0.25">
      <c r="A348" s="238">
        <v>45271.992317326389</v>
      </c>
      <c r="B348" s="233" t="s">
        <v>395</v>
      </c>
      <c r="C348" s="209" t="s">
        <v>587</v>
      </c>
      <c r="D348" s="232" t="s">
        <v>17</v>
      </c>
      <c r="E348" s="232" t="s">
        <v>515</v>
      </c>
      <c r="F348" s="209" t="s">
        <v>946</v>
      </c>
      <c r="G348" s="232" t="s">
        <v>18</v>
      </c>
      <c r="H348" s="232">
        <v>11</v>
      </c>
      <c r="I348" s="209" t="s">
        <v>531</v>
      </c>
      <c r="J348" s="188"/>
      <c r="K348" s="209" t="s">
        <v>539</v>
      </c>
      <c r="L348" s="209" t="s">
        <v>518</v>
      </c>
      <c r="M348" s="209" t="s">
        <v>389</v>
      </c>
      <c r="N348" s="209" t="s">
        <v>389</v>
      </c>
      <c r="O348" s="209"/>
      <c r="P348" s="209"/>
      <c r="Q348" s="209" t="s">
        <v>25</v>
      </c>
      <c r="R348" s="209" t="s">
        <v>19</v>
      </c>
      <c r="S348" s="234" t="s">
        <v>306</v>
      </c>
      <c r="T348" s="209" t="s">
        <v>25</v>
      </c>
      <c r="U348" s="209" t="s">
        <v>25</v>
      </c>
      <c r="V348" s="234" t="s">
        <v>25</v>
      </c>
      <c r="W348" s="209" t="s">
        <v>25</v>
      </c>
      <c r="X348" s="209" t="s">
        <v>306</v>
      </c>
      <c r="Y348" s="234" t="s">
        <v>25</v>
      </c>
      <c r="Z348" s="209" t="s">
        <v>25</v>
      </c>
      <c r="AA348" s="209" t="s">
        <v>306</v>
      </c>
      <c r="AB348" s="234" t="s">
        <v>25</v>
      </c>
      <c r="AC348" s="235" t="s">
        <v>25</v>
      </c>
      <c r="AD348" s="209" t="s">
        <v>25</v>
      </c>
      <c r="AE348" s="209" t="s">
        <v>25</v>
      </c>
      <c r="AF348" s="234" t="s">
        <v>25</v>
      </c>
      <c r="AG348" s="209" t="s">
        <v>19</v>
      </c>
      <c r="AH348" s="209" t="s">
        <v>306</v>
      </c>
      <c r="AI348" s="234" t="s">
        <v>306</v>
      </c>
      <c r="AJ348" s="209" t="s">
        <v>25</v>
      </c>
      <c r="AK348" s="209" t="s">
        <v>19</v>
      </c>
      <c r="AL348" s="234" t="s">
        <v>306</v>
      </c>
      <c r="AM348" s="209" t="s">
        <v>19</v>
      </c>
      <c r="AN348" s="209" t="s">
        <v>19</v>
      </c>
      <c r="AO348" s="234" t="s">
        <v>19</v>
      </c>
      <c r="AP348" s="235" t="s">
        <v>306</v>
      </c>
      <c r="AQ348" s="209" t="s">
        <v>25</v>
      </c>
      <c r="AR348" s="209" t="s">
        <v>19</v>
      </c>
      <c r="AS348" s="234" t="s">
        <v>306</v>
      </c>
      <c r="AT348" s="209" t="s">
        <v>306</v>
      </c>
      <c r="AU348" s="209" t="s">
        <v>306</v>
      </c>
      <c r="AV348" s="234" t="s">
        <v>306</v>
      </c>
      <c r="AW348" s="209" t="s">
        <v>19</v>
      </c>
      <c r="AX348" s="209" t="s">
        <v>25</v>
      </c>
      <c r="AY348" s="234" t="s">
        <v>306</v>
      </c>
      <c r="AZ348" s="209" t="s">
        <v>25</v>
      </c>
      <c r="BA348" s="209" t="s">
        <v>25</v>
      </c>
      <c r="BB348" s="234" t="s">
        <v>25</v>
      </c>
      <c r="BC348" s="235" t="s">
        <v>306</v>
      </c>
      <c r="BD348" s="188"/>
    </row>
    <row r="349" spans="1:56" ht="12.75" customHeight="1" x14ac:dyDescent="0.25">
      <c r="A349" s="238">
        <v>45271.997069340279</v>
      </c>
      <c r="B349" s="233" t="s">
        <v>395</v>
      </c>
      <c r="C349" s="209" t="s">
        <v>587</v>
      </c>
      <c r="D349" s="232" t="s">
        <v>17</v>
      </c>
      <c r="E349" s="232" t="s">
        <v>515</v>
      </c>
      <c r="F349" s="209" t="s">
        <v>947</v>
      </c>
      <c r="G349" s="232" t="s">
        <v>18</v>
      </c>
      <c r="H349" s="232">
        <v>12</v>
      </c>
      <c r="I349" s="209" t="s">
        <v>531</v>
      </c>
      <c r="J349" s="188"/>
      <c r="K349" s="209" t="s">
        <v>539</v>
      </c>
      <c r="L349" s="209" t="s">
        <v>518</v>
      </c>
      <c r="M349" s="209" t="s">
        <v>389</v>
      </c>
      <c r="N349" s="209" t="s">
        <v>389</v>
      </c>
      <c r="O349" s="209"/>
      <c r="P349" s="209"/>
      <c r="Q349" s="209" t="s">
        <v>25</v>
      </c>
      <c r="R349" s="209" t="s">
        <v>25</v>
      </c>
      <c r="S349" s="234" t="s">
        <v>25</v>
      </c>
      <c r="T349" s="209" t="s">
        <v>25</v>
      </c>
      <c r="U349" s="209" t="s">
        <v>25</v>
      </c>
      <c r="V349" s="234" t="s">
        <v>25</v>
      </c>
      <c r="W349" s="209" t="s">
        <v>25</v>
      </c>
      <c r="X349" s="209" t="s">
        <v>19</v>
      </c>
      <c r="Y349" s="234" t="s">
        <v>306</v>
      </c>
      <c r="Z349" s="209" t="s">
        <v>19</v>
      </c>
      <c r="AA349" s="209" t="s">
        <v>19</v>
      </c>
      <c r="AB349" s="234" t="s">
        <v>19</v>
      </c>
      <c r="AC349" s="235" t="s">
        <v>306</v>
      </c>
      <c r="AD349" s="209" t="s">
        <v>25</v>
      </c>
      <c r="AE349" s="209" t="s">
        <v>306</v>
      </c>
      <c r="AF349" s="234" t="s">
        <v>25</v>
      </c>
      <c r="AG349" s="209" t="s">
        <v>306</v>
      </c>
      <c r="AH349" s="209" t="s">
        <v>19</v>
      </c>
      <c r="AI349" s="234" t="s">
        <v>306</v>
      </c>
      <c r="AJ349" s="209" t="s">
        <v>306</v>
      </c>
      <c r="AK349" s="209" t="s">
        <v>306</v>
      </c>
      <c r="AL349" s="234" t="s">
        <v>306</v>
      </c>
      <c r="AM349" s="209" t="s">
        <v>19</v>
      </c>
      <c r="AN349" s="209" t="s">
        <v>19</v>
      </c>
      <c r="AO349" s="234" t="s">
        <v>19</v>
      </c>
      <c r="AP349" s="235" t="s">
        <v>306</v>
      </c>
      <c r="AQ349" s="209" t="s">
        <v>19</v>
      </c>
      <c r="AR349" s="209" t="s">
        <v>25</v>
      </c>
      <c r="AS349" s="234" t="s">
        <v>306</v>
      </c>
      <c r="AT349" s="209" t="s">
        <v>25</v>
      </c>
      <c r="AU349" s="209" t="s">
        <v>25</v>
      </c>
      <c r="AV349" s="234" t="s">
        <v>25</v>
      </c>
      <c r="AW349" s="209" t="s">
        <v>25</v>
      </c>
      <c r="AX349" s="209" t="s">
        <v>25</v>
      </c>
      <c r="AY349" s="234" t="s">
        <v>25</v>
      </c>
      <c r="AZ349" s="209" t="s">
        <v>19</v>
      </c>
      <c r="BA349" s="209" t="s">
        <v>19</v>
      </c>
      <c r="BB349" s="234" t="s">
        <v>306</v>
      </c>
      <c r="BC349" s="235" t="s">
        <v>306</v>
      </c>
      <c r="BD349" s="188"/>
    </row>
    <row r="350" spans="1:56" ht="12.75" customHeight="1" x14ac:dyDescent="0.25">
      <c r="A350" s="238">
        <v>45271.998908877315</v>
      </c>
      <c r="B350" s="233" t="s">
        <v>395</v>
      </c>
      <c r="C350" s="209" t="s">
        <v>587</v>
      </c>
      <c r="D350" s="232" t="s">
        <v>17</v>
      </c>
      <c r="E350" s="232" t="s">
        <v>515</v>
      </c>
      <c r="F350" s="209" t="s">
        <v>948</v>
      </c>
      <c r="G350" s="232" t="s">
        <v>18</v>
      </c>
      <c r="H350" s="232">
        <v>11</v>
      </c>
      <c r="I350" s="209" t="s">
        <v>531</v>
      </c>
      <c r="J350" s="188"/>
      <c r="K350" s="209" t="s">
        <v>539</v>
      </c>
      <c r="L350" s="209" t="s">
        <v>518</v>
      </c>
      <c r="M350" s="209" t="s">
        <v>389</v>
      </c>
      <c r="N350" s="209" t="s">
        <v>389</v>
      </c>
      <c r="O350" s="209"/>
      <c r="P350" s="209"/>
      <c r="Q350" s="209" t="s">
        <v>306</v>
      </c>
      <c r="R350" s="209" t="s">
        <v>19</v>
      </c>
      <c r="S350" s="234" t="s">
        <v>306</v>
      </c>
      <c r="T350" s="209" t="s">
        <v>306</v>
      </c>
      <c r="U350" s="209" t="s">
        <v>306</v>
      </c>
      <c r="V350" s="234" t="s">
        <v>306</v>
      </c>
      <c r="W350" s="209" t="s">
        <v>19</v>
      </c>
      <c r="X350" s="209" t="s">
        <v>19</v>
      </c>
      <c r="Y350" s="234" t="s">
        <v>19</v>
      </c>
      <c r="Z350" s="209" t="s">
        <v>25</v>
      </c>
      <c r="AA350" s="209" t="s">
        <v>306</v>
      </c>
      <c r="AB350" s="234" t="s">
        <v>25</v>
      </c>
      <c r="AC350" s="235" t="s">
        <v>306</v>
      </c>
      <c r="AD350" s="209" t="s">
        <v>25</v>
      </c>
      <c r="AE350" s="209" t="s">
        <v>306</v>
      </c>
      <c r="AF350" s="234" t="s">
        <v>25</v>
      </c>
      <c r="AG350" s="209" t="s">
        <v>306</v>
      </c>
      <c r="AH350" s="209" t="s">
        <v>306</v>
      </c>
      <c r="AI350" s="234" t="s">
        <v>306</v>
      </c>
      <c r="AJ350" s="209" t="s">
        <v>306</v>
      </c>
      <c r="AK350" s="209" t="s">
        <v>25</v>
      </c>
      <c r="AL350" s="234" t="s">
        <v>25</v>
      </c>
      <c r="AM350" s="209" t="s">
        <v>19</v>
      </c>
      <c r="AN350" s="209" t="s">
        <v>306</v>
      </c>
      <c r="AO350" s="234" t="s">
        <v>306</v>
      </c>
      <c r="AP350" s="235" t="s">
        <v>306</v>
      </c>
      <c r="AQ350" s="209" t="s">
        <v>306</v>
      </c>
      <c r="AR350" s="209" t="s">
        <v>19</v>
      </c>
      <c r="AS350" s="234" t="s">
        <v>306</v>
      </c>
      <c r="AT350" s="209" t="s">
        <v>19</v>
      </c>
      <c r="AU350" s="209" t="s">
        <v>25</v>
      </c>
      <c r="AV350" s="234" t="s">
        <v>306</v>
      </c>
      <c r="AW350" s="209" t="s">
        <v>306</v>
      </c>
      <c r="AX350" s="209" t="s">
        <v>19</v>
      </c>
      <c r="AY350" s="234" t="s">
        <v>306</v>
      </c>
      <c r="AZ350" s="209" t="s">
        <v>306</v>
      </c>
      <c r="BA350" s="209" t="s">
        <v>306</v>
      </c>
      <c r="BB350" s="234" t="s">
        <v>19</v>
      </c>
      <c r="BC350" s="235" t="s">
        <v>19</v>
      </c>
      <c r="BD350" s="188"/>
    </row>
    <row r="351" spans="1:56" ht="12.75" customHeight="1" x14ac:dyDescent="0.25">
      <c r="A351" s="238">
        <v>45275.873199513888</v>
      </c>
      <c r="B351" s="233" t="s">
        <v>395</v>
      </c>
      <c r="C351" s="209" t="s">
        <v>587</v>
      </c>
      <c r="D351" s="232" t="s">
        <v>17</v>
      </c>
      <c r="E351" s="232" t="s">
        <v>515</v>
      </c>
      <c r="F351" s="209" t="s">
        <v>949</v>
      </c>
      <c r="G351" s="232" t="s">
        <v>24</v>
      </c>
      <c r="H351" s="232">
        <v>11</v>
      </c>
      <c r="I351" s="209" t="s">
        <v>531</v>
      </c>
      <c r="J351" s="188"/>
      <c r="K351" s="209" t="s">
        <v>539</v>
      </c>
      <c r="L351" s="209" t="s">
        <v>531</v>
      </c>
      <c r="M351" s="188"/>
      <c r="N351" s="188"/>
      <c r="O351" s="188"/>
      <c r="P351" s="188"/>
      <c r="Q351" s="209" t="s">
        <v>25</v>
      </c>
      <c r="R351" s="209" t="s">
        <v>25</v>
      </c>
      <c r="S351" s="234" t="s">
        <v>25</v>
      </c>
      <c r="T351" s="209" t="s">
        <v>25</v>
      </c>
      <c r="U351" s="209" t="s">
        <v>25</v>
      </c>
      <c r="V351" s="234" t="s">
        <v>25</v>
      </c>
      <c r="W351" s="209" t="s">
        <v>25</v>
      </c>
      <c r="X351" s="209" t="s">
        <v>25</v>
      </c>
      <c r="Y351" s="234" t="s">
        <v>25</v>
      </c>
      <c r="Z351" s="209" t="s">
        <v>25</v>
      </c>
      <c r="AA351" s="209" t="s">
        <v>25</v>
      </c>
      <c r="AB351" s="234" t="s">
        <v>25</v>
      </c>
      <c r="AC351" s="235" t="s">
        <v>25</v>
      </c>
      <c r="AD351" s="209" t="s">
        <v>306</v>
      </c>
      <c r="AE351" s="209" t="s">
        <v>306</v>
      </c>
      <c r="AF351" s="234" t="s">
        <v>306</v>
      </c>
      <c r="AG351" s="209" t="s">
        <v>19</v>
      </c>
      <c r="AH351" s="209" t="s">
        <v>25</v>
      </c>
      <c r="AI351" s="234" t="s">
        <v>306</v>
      </c>
      <c r="AJ351" s="209" t="s">
        <v>25</v>
      </c>
      <c r="AK351" s="209" t="s">
        <v>306</v>
      </c>
      <c r="AL351" s="234" t="s">
        <v>25</v>
      </c>
      <c r="AM351" s="209" t="s">
        <v>25</v>
      </c>
      <c r="AN351" s="209" t="s">
        <v>19</v>
      </c>
      <c r="AO351" s="234" t="s">
        <v>306</v>
      </c>
      <c r="AP351" s="235" t="s">
        <v>306</v>
      </c>
      <c r="AQ351" s="209" t="s">
        <v>19</v>
      </c>
      <c r="AR351" s="209" t="s">
        <v>19</v>
      </c>
      <c r="AS351" s="234" t="s">
        <v>19</v>
      </c>
      <c r="AT351" s="209" t="s">
        <v>25</v>
      </c>
      <c r="AU351" s="209" t="s">
        <v>25</v>
      </c>
      <c r="AV351" s="234" t="s">
        <v>25</v>
      </c>
      <c r="AW351" s="209" t="s">
        <v>25</v>
      </c>
      <c r="AX351" s="209" t="s">
        <v>25</v>
      </c>
      <c r="AY351" s="234" t="s">
        <v>25</v>
      </c>
      <c r="AZ351" s="209" t="s">
        <v>25</v>
      </c>
      <c r="BA351" s="209" t="s">
        <v>25</v>
      </c>
      <c r="BB351" s="234" t="s">
        <v>19</v>
      </c>
      <c r="BC351" s="235" t="s">
        <v>19</v>
      </c>
      <c r="BD351" s="188"/>
    </row>
    <row r="352" spans="1:56" ht="12.75" customHeight="1" x14ac:dyDescent="0.25">
      <c r="A352" s="238">
        <v>45275.881629305557</v>
      </c>
      <c r="B352" s="233" t="s">
        <v>395</v>
      </c>
      <c r="C352" s="209" t="s">
        <v>587</v>
      </c>
      <c r="D352" s="232" t="s">
        <v>17</v>
      </c>
      <c r="E352" s="232" t="s">
        <v>515</v>
      </c>
      <c r="F352" s="209" t="s">
        <v>950</v>
      </c>
      <c r="G352" s="232" t="s">
        <v>18</v>
      </c>
      <c r="H352" s="232">
        <v>12</v>
      </c>
      <c r="I352" s="209" t="s">
        <v>531</v>
      </c>
      <c r="J352" s="188"/>
      <c r="K352" s="209" t="s">
        <v>539</v>
      </c>
      <c r="L352" s="209" t="s">
        <v>518</v>
      </c>
      <c r="M352" s="209" t="s">
        <v>368</v>
      </c>
      <c r="N352" s="209" t="s">
        <v>589</v>
      </c>
      <c r="O352" s="209"/>
      <c r="P352" s="209"/>
      <c r="Q352" s="209" t="s">
        <v>25</v>
      </c>
      <c r="R352" s="209" t="s">
        <v>306</v>
      </c>
      <c r="S352" s="234" t="s">
        <v>25</v>
      </c>
      <c r="T352" s="209" t="s">
        <v>306</v>
      </c>
      <c r="U352" s="209" t="s">
        <v>25</v>
      </c>
      <c r="V352" s="234" t="s">
        <v>25</v>
      </c>
      <c r="W352" s="209" t="s">
        <v>306</v>
      </c>
      <c r="X352" s="209" t="s">
        <v>25</v>
      </c>
      <c r="Y352" s="234" t="s">
        <v>25</v>
      </c>
      <c r="Z352" s="209" t="s">
        <v>25</v>
      </c>
      <c r="AA352" s="209" t="s">
        <v>25</v>
      </c>
      <c r="AB352" s="234" t="s">
        <v>25</v>
      </c>
      <c r="AC352" s="235" t="s">
        <v>25</v>
      </c>
      <c r="AD352" s="209" t="s">
        <v>25</v>
      </c>
      <c r="AE352" s="209" t="s">
        <v>25</v>
      </c>
      <c r="AF352" s="234" t="s">
        <v>25</v>
      </c>
      <c r="AG352" s="209" t="s">
        <v>25</v>
      </c>
      <c r="AH352" s="209" t="s">
        <v>306</v>
      </c>
      <c r="AI352" s="234" t="s">
        <v>25</v>
      </c>
      <c r="AJ352" s="209" t="s">
        <v>19</v>
      </c>
      <c r="AK352" s="209" t="s">
        <v>19</v>
      </c>
      <c r="AL352" s="234" t="s">
        <v>19</v>
      </c>
      <c r="AM352" s="209" t="s">
        <v>306</v>
      </c>
      <c r="AN352" s="209" t="s">
        <v>306</v>
      </c>
      <c r="AO352" s="234" t="s">
        <v>306</v>
      </c>
      <c r="AP352" s="235" t="s">
        <v>306</v>
      </c>
      <c r="AQ352" s="209" t="s">
        <v>25</v>
      </c>
      <c r="AR352" s="209" t="s">
        <v>25</v>
      </c>
      <c r="AS352" s="234" t="s">
        <v>25</v>
      </c>
      <c r="AT352" s="209" t="s">
        <v>25</v>
      </c>
      <c r="AU352" s="209" t="s">
        <v>25</v>
      </c>
      <c r="AV352" s="234" t="s">
        <v>25</v>
      </c>
      <c r="AW352" s="209" t="s">
        <v>19</v>
      </c>
      <c r="AX352" s="209" t="s">
        <v>306</v>
      </c>
      <c r="AY352" s="234" t="s">
        <v>306</v>
      </c>
      <c r="AZ352" s="209" t="s">
        <v>19</v>
      </c>
      <c r="BA352" s="209" t="s">
        <v>25</v>
      </c>
      <c r="BB352" s="234" t="s">
        <v>19</v>
      </c>
      <c r="BC352" s="235" t="s">
        <v>19</v>
      </c>
      <c r="BD352" s="188"/>
    </row>
    <row r="353" spans="1:56" ht="12.75" customHeight="1" x14ac:dyDescent="0.25">
      <c r="A353" s="238">
        <v>44785.491287395838</v>
      </c>
      <c r="B353" s="137" t="s">
        <v>395</v>
      </c>
      <c r="C353" s="211" t="s">
        <v>595</v>
      </c>
      <c r="D353" s="211" t="s">
        <v>17</v>
      </c>
      <c r="E353" s="232" t="s">
        <v>515</v>
      </c>
      <c r="F353" s="188" t="s">
        <v>951</v>
      </c>
      <c r="G353" s="211" t="s">
        <v>24</v>
      </c>
      <c r="H353" s="211">
        <v>12</v>
      </c>
      <c r="I353" s="188" t="s">
        <v>531</v>
      </c>
      <c r="J353" s="188" t="s">
        <v>532</v>
      </c>
      <c r="K353" s="209" t="s">
        <v>539</v>
      </c>
      <c r="L353" s="188" t="s">
        <v>531</v>
      </c>
      <c r="M353" s="188" t="s">
        <v>614</v>
      </c>
      <c r="N353" s="188"/>
      <c r="O353" s="188"/>
      <c r="P353" s="188"/>
      <c r="Q353" s="188" t="s">
        <v>25</v>
      </c>
      <c r="R353" s="188" t="s">
        <v>25</v>
      </c>
      <c r="S353" s="234" t="s">
        <v>25</v>
      </c>
      <c r="T353" s="188" t="s">
        <v>25</v>
      </c>
      <c r="U353" s="188" t="s">
        <v>25</v>
      </c>
      <c r="V353" s="234" t="s">
        <v>25</v>
      </c>
      <c r="W353" s="188" t="s">
        <v>19</v>
      </c>
      <c r="X353" s="188" t="s">
        <v>306</v>
      </c>
      <c r="Y353" s="234" t="s">
        <v>306</v>
      </c>
      <c r="Z353" s="188" t="s">
        <v>25</v>
      </c>
      <c r="AA353" s="188" t="s">
        <v>19</v>
      </c>
      <c r="AB353" s="234" t="s">
        <v>306</v>
      </c>
      <c r="AC353" s="235" t="s">
        <v>306</v>
      </c>
      <c r="AD353" s="188" t="s">
        <v>25</v>
      </c>
      <c r="AE353" s="188" t="s">
        <v>25</v>
      </c>
      <c r="AF353" s="234" t="s">
        <v>25</v>
      </c>
      <c r="AG353" s="188" t="s">
        <v>19</v>
      </c>
      <c r="AH353" s="188" t="s">
        <v>19</v>
      </c>
      <c r="AI353" s="234" t="s">
        <v>19</v>
      </c>
      <c r="AJ353" s="188" t="s">
        <v>19</v>
      </c>
      <c r="AK353" s="188" t="s">
        <v>19</v>
      </c>
      <c r="AL353" s="234" t="s">
        <v>19</v>
      </c>
      <c r="AM353" s="188" t="s">
        <v>19</v>
      </c>
      <c r="AN353" s="188" t="s">
        <v>306</v>
      </c>
      <c r="AO353" s="234" t="s">
        <v>306</v>
      </c>
      <c r="AP353" s="235" t="s">
        <v>306</v>
      </c>
      <c r="AQ353" s="188" t="s">
        <v>25</v>
      </c>
      <c r="AR353" s="188" t="s">
        <v>25</v>
      </c>
      <c r="AS353" s="234" t="s">
        <v>25</v>
      </c>
      <c r="AT353" s="188" t="s">
        <v>25</v>
      </c>
      <c r="AU353" s="188" t="s">
        <v>25</v>
      </c>
      <c r="AV353" s="234" t="s">
        <v>25</v>
      </c>
      <c r="AW353" s="188" t="s">
        <v>25</v>
      </c>
      <c r="AX353" s="188" t="s">
        <v>25</v>
      </c>
      <c r="AY353" s="234" t="s">
        <v>25</v>
      </c>
      <c r="AZ353" s="188" t="s">
        <v>306</v>
      </c>
      <c r="BA353" s="188" t="s">
        <v>25</v>
      </c>
      <c r="BB353" s="234" t="s">
        <v>19</v>
      </c>
      <c r="BC353" s="235" t="s">
        <v>19</v>
      </c>
      <c r="BD353" s="188"/>
    </row>
    <row r="354" spans="1:56" ht="12.75" customHeight="1" x14ac:dyDescent="0.25">
      <c r="A354" s="238">
        <v>44785.500551018515</v>
      </c>
      <c r="B354" s="137" t="s">
        <v>395</v>
      </c>
      <c r="C354" s="211" t="s">
        <v>595</v>
      </c>
      <c r="D354" s="211" t="s">
        <v>17</v>
      </c>
      <c r="E354" s="232" t="s">
        <v>515</v>
      </c>
      <c r="F354" s="188" t="s">
        <v>952</v>
      </c>
      <c r="G354" s="211" t="s">
        <v>18</v>
      </c>
      <c r="H354" s="211">
        <v>11</v>
      </c>
      <c r="I354" s="188" t="s">
        <v>531</v>
      </c>
      <c r="J354" s="188" t="s">
        <v>532</v>
      </c>
      <c r="K354" s="209" t="s">
        <v>539</v>
      </c>
      <c r="L354" s="188" t="s">
        <v>531</v>
      </c>
      <c r="M354" s="188" t="s">
        <v>614</v>
      </c>
      <c r="N354" s="188"/>
      <c r="O354" s="188"/>
      <c r="P354" s="188"/>
      <c r="Q354" s="188" t="s">
        <v>25</v>
      </c>
      <c r="R354" s="188" t="s">
        <v>25</v>
      </c>
      <c r="S354" s="234" t="s">
        <v>25</v>
      </c>
      <c r="T354" s="188" t="s">
        <v>25</v>
      </c>
      <c r="U354" s="188" t="s">
        <v>25</v>
      </c>
      <c r="V354" s="234" t="s">
        <v>25</v>
      </c>
      <c r="W354" s="188" t="s">
        <v>25</v>
      </c>
      <c r="X354" s="188" t="s">
        <v>25</v>
      </c>
      <c r="Y354" s="234" t="s">
        <v>25</v>
      </c>
      <c r="Z354" s="188" t="s">
        <v>19</v>
      </c>
      <c r="AA354" s="188" t="s">
        <v>25</v>
      </c>
      <c r="AB354" s="234" t="s">
        <v>306</v>
      </c>
      <c r="AC354" s="235" t="s">
        <v>25</v>
      </c>
      <c r="AD354" s="188" t="s">
        <v>25</v>
      </c>
      <c r="AE354" s="188" t="s">
        <v>25</v>
      </c>
      <c r="AF354" s="234" t="s">
        <v>25</v>
      </c>
      <c r="AG354" s="188" t="s">
        <v>25</v>
      </c>
      <c r="AH354" s="188" t="s">
        <v>25</v>
      </c>
      <c r="AI354" s="234" t="s">
        <v>25</v>
      </c>
      <c r="AJ354" s="188" t="s">
        <v>25</v>
      </c>
      <c r="AK354" s="188" t="s">
        <v>25</v>
      </c>
      <c r="AL354" s="234" t="s">
        <v>25</v>
      </c>
      <c r="AM354" s="188" t="s">
        <v>19</v>
      </c>
      <c r="AN354" s="188" t="s">
        <v>19</v>
      </c>
      <c r="AO354" s="234" t="s">
        <v>19</v>
      </c>
      <c r="AP354" s="235" t="s">
        <v>25</v>
      </c>
      <c r="AQ354" s="188" t="s">
        <v>25</v>
      </c>
      <c r="AR354" s="188" t="s">
        <v>25</v>
      </c>
      <c r="AS354" s="234" t="s">
        <v>25</v>
      </c>
      <c r="AT354" s="188" t="s">
        <v>25</v>
      </c>
      <c r="AU354" s="188" t="s">
        <v>25</v>
      </c>
      <c r="AV354" s="234" t="s">
        <v>25</v>
      </c>
      <c r="AW354" s="188" t="s">
        <v>25</v>
      </c>
      <c r="AX354" s="188" t="s">
        <v>25</v>
      </c>
      <c r="AY354" s="234" t="s">
        <v>25</v>
      </c>
      <c r="AZ354" s="188" t="s">
        <v>25</v>
      </c>
      <c r="BA354" s="188" t="s">
        <v>25</v>
      </c>
      <c r="BB354" s="234" t="s">
        <v>19</v>
      </c>
      <c r="BC354" s="235" t="s">
        <v>19</v>
      </c>
      <c r="BD354" s="188"/>
    </row>
    <row r="355" spans="1:56" ht="12.75" customHeight="1" x14ac:dyDescent="0.25">
      <c r="A355" s="238">
        <v>44785.527036354164</v>
      </c>
      <c r="B355" s="137" t="s">
        <v>395</v>
      </c>
      <c r="C355" s="211" t="s">
        <v>595</v>
      </c>
      <c r="D355" s="211" t="s">
        <v>17</v>
      </c>
      <c r="E355" s="232" t="s">
        <v>515</v>
      </c>
      <c r="F355" s="188" t="s">
        <v>953</v>
      </c>
      <c r="G355" s="211" t="s">
        <v>18</v>
      </c>
      <c r="H355" s="211">
        <v>11</v>
      </c>
      <c r="I355" s="188" t="s">
        <v>531</v>
      </c>
      <c r="J355" s="188" t="s">
        <v>532</v>
      </c>
      <c r="K355" s="209" t="s">
        <v>539</v>
      </c>
      <c r="L355" s="188" t="s">
        <v>531</v>
      </c>
      <c r="M355" s="188" t="s">
        <v>614</v>
      </c>
      <c r="N355" s="188"/>
      <c r="O355" s="188"/>
      <c r="P355" s="188"/>
      <c r="Q355" s="188" t="s">
        <v>25</v>
      </c>
      <c r="R355" s="188" t="s">
        <v>25</v>
      </c>
      <c r="S355" s="234" t="s">
        <v>25</v>
      </c>
      <c r="T355" s="188" t="s">
        <v>19</v>
      </c>
      <c r="U355" s="188" t="s">
        <v>25</v>
      </c>
      <c r="V355" s="234" t="s">
        <v>306</v>
      </c>
      <c r="W355" s="188" t="s">
        <v>25</v>
      </c>
      <c r="X355" s="188" t="s">
        <v>25</v>
      </c>
      <c r="Y355" s="234" t="s">
        <v>25</v>
      </c>
      <c r="Z355" s="188" t="s">
        <v>19</v>
      </c>
      <c r="AA355" s="188" t="s">
        <v>25</v>
      </c>
      <c r="AB355" s="234" t="s">
        <v>306</v>
      </c>
      <c r="AC355" s="235" t="s">
        <v>25</v>
      </c>
      <c r="AD355" s="188" t="s">
        <v>25</v>
      </c>
      <c r="AE355" s="188" t="s">
        <v>25</v>
      </c>
      <c r="AF355" s="234" t="s">
        <v>25</v>
      </c>
      <c r="AG355" s="188" t="s">
        <v>19</v>
      </c>
      <c r="AH355" s="188" t="s">
        <v>19</v>
      </c>
      <c r="AI355" s="234" t="s">
        <v>19</v>
      </c>
      <c r="AJ355" s="188" t="s">
        <v>25</v>
      </c>
      <c r="AK355" s="188" t="s">
        <v>25</v>
      </c>
      <c r="AL355" s="234" t="s">
        <v>25</v>
      </c>
      <c r="AM355" s="188" t="s">
        <v>19</v>
      </c>
      <c r="AN355" s="188" t="s">
        <v>19</v>
      </c>
      <c r="AO355" s="234" t="s">
        <v>19</v>
      </c>
      <c r="AP355" s="235" t="s">
        <v>306</v>
      </c>
      <c r="AQ355" s="188" t="s">
        <v>25</v>
      </c>
      <c r="AR355" s="188" t="s">
        <v>25</v>
      </c>
      <c r="AS355" s="234" t="s">
        <v>25</v>
      </c>
      <c r="AT355" s="188" t="s">
        <v>25</v>
      </c>
      <c r="AU355" s="188" t="s">
        <v>25</v>
      </c>
      <c r="AV355" s="234" t="s">
        <v>25</v>
      </c>
      <c r="AW355" s="188" t="s">
        <v>25</v>
      </c>
      <c r="AX355" s="188" t="s">
        <v>25</v>
      </c>
      <c r="AY355" s="234" t="s">
        <v>25</v>
      </c>
      <c r="AZ355" s="188" t="s">
        <v>25</v>
      </c>
      <c r="BA355" s="188" t="s">
        <v>25</v>
      </c>
      <c r="BB355" s="234" t="s">
        <v>19</v>
      </c>
      <c r="BC355" s="235" t="s">
        <v>19</v>
      </c>
      <c r="BD355" s="188"/>
    </row>
    <row r="356" spans="1:56" ht="12.75" customHeight="1" x14ac:dyDescent="0.25">
      <c r="A356" s="238">
        <v>44785.529336747684</v>
      </c>
      <c r="B356" s="137" t="s">
        <v>395</v>
      </c>
      <c r="C356" s="211" t="s">
        <v>595</v>
      </c>
      <c r="D356" s="211" t="s">
        <v>17</v>
      </c>
      <c r="E356" s="232" t="s">
        <v>515</v>
      </c>
      <c r="F356" s="188" t="s">
        <v>954</v>
      </c>
      <c r="G356" s="211" t="s">
        <v>24</v>
      </c>
      <c r="H356" s="211">
        <v>11</v>
      </c>
      <c r="I356" s="188" t="s">
        <v>531</v>
      </c>
      <c r="J356" s="188" t="s">
        <v>532</v>
      </c>
      <c r="K356" s="209" t="s">
        <v>539</v>
      </c>
      <c r="L356" s="188" t="s">
        <v>531</v>
      </c>
      <c r="M356" s="188" t="s">
        <v>614</v>
      </c>
      <c r="N356" s="188"/>
      <c r="O356" s="188"/>
      <c r="P356" s="188"/>
      <c r="Q356" s="188" t="s">
        <v>25</v>
      </c>
      <c r="R356" s="188" t="s">
        <v>25</v>
      </c>
      <c r="S356" s="234" t="s">
        <v>25</v>
      </c>
      <c r="T356" s="188" t="s">
        <v>25</v>
      </c>
      <c r="U356" s="188" t="s">
        <v>25</v>
      </c>
      <c r="V356" s="234" t="s">
        <v>25</v>
      </c>
      <c r="W356" s="188" t="s">
        <v>306</v>
      </c>
      <c r="X356" s="188" t="s">
        <v>306</v>
      </c>
      <c r="Y356" s="234" t="s">
        <v>306</v>
      </c>
      <c r="Z356" s="188" t="s">
        <v>25</v>
      </c>
      <c r="AA356" s="188" t="s">
        <v>306</v>
      </c>
      <c r="AB356" s="234" t="s">
        <v>25</v>
      </c>
      <c r="AC356" s="235" t="s">
        <v>25</v>
      </c>
      <c r="AD356" s="188" t="s">
        <v>306</v>
      </c>
      <c r="AE356" s="188" t="s">
        <v>306</v>
      </c>
      <c r="AF356" s="234" t="s">
        <v>306</v>
      </c>
      <c r="AG356" s="188" t="s">
        <v>306</v>
      </c>
      <c r="AH356" s="188" t="s">
        <v>306</v>
      </c>
      <c r="AI356" s="234" t="s">
        <v>306</v>
      </c>
      <c r="AJ356" s="188" t="s">
        <v>306</v>
      </c>
      <c r="AK356" s="188" t="s">
        <v>306</v>
      </c>
      <c r="AL356" s="234" t="s">
        <v>306</v>
      </c>
      <c r="AM356" s="188" t="s">
        <v>19</v>
      </c>
      <c r="AN356" s="188" t="s">
        <v>19</v>
      </c>
      <c r="AO356" s="234" t="s">
        <v>19</v>
      </c>
      <c r="AP356" s="235" t="s">
        <v>306</v>
      </c>
      <c r="AQ356" s="188" t="s">
        <v>19</v>
      </c>
      <c r="AR356" s="188" t="s">
        <v>19</v>
      </c>
      <c r="AS356" s="234" t="s">
        <v>19</v>
      </c>
      <c r="AT356" s="188" t="s">
        <v>25</v>
      </c>
      <c r="AU356" s="188" t="s">
        <v>25</v>
      </c>
      <c r="AV356" s="234" t="s">
        <v>25</v>
      </c>
      <c r="AW356" s="188" t="s">
        <v>306</v>
      </c>
      <c r="AX356" s="188" t="s">
        <v>306</v>
      </c>
      <c r="AY356" s="234" t="s">
        <v>306</v>
      </c>
      <c r="AZ356" s="188" t="s">
        <v>306</v>
      </c>
      <c r="BA356" s="188" t="s">
        <v>306</v>
      </c>
      <c r="BB356" s="234" t="s">
        <v>19</v>
      </c>
      <c r="BC356" s="235" t="s">
        <v>19</v>
      </c>
      <c r="BD356" s="188"/>
    </row>
    <row r="357" spans="1:56" ht="12.75" customHeight="1" x14ac:dyDescent="0.25">
      <c r="A357" s="238">
        <v>44785.533596666668</v>
      </c>
      <c r="B357" s="137" t="s">
        <v>395</v>
      </c>
      <c r="C357" s="211" t="s">
        <v>595</v>
      </c>
      <c r="D357" s="211" t="s">
        <v>17</v>
      </c>
      <c r="E357" s="232" t="s">
        <v>515</v>
      </c>
      <c r="F357" s="188" t="s">
        <v>955</v>
      </c>
      <c r="G357" s="211" t="s">
        <v>24</v>
      </c>
      <c r="H357" s="211">
        <v>11</v>
      </c>
      <c r="I357" s="188" t="s">
        <v>531</v>
      </c>
      <c r="J357" s="188" t="s">
        <v>532</v>
      </c>
      <c r="K357" s="209" t="s">
        <v>539</v>
      </c>
      <c r="L357" s="188" t="s">
        <v>531</v>
      </c>
      <c r="M357" s="188" t="s">
        <v>614</v>
      </c>
      <c r="N357" s="188"/>
      <c r="O357" s="188"/>
      <c r="P357" s="188"/>
      <c r="Q357" s="188" t="s">
        <v>25</v>
      </c>
      <c r="R357" s="188" t="s">
        <v>25</v>
      </c>
      <c r="S357" s="234" t="s">
        <v>25</v>
      </c>
      <c r="T357" s="188" t="s">
        <v>25</v>
      </c>
      <c r="U357" s="188" t="s">
        <v>25</v>
      </c>
      <c r="V357" s="234" t="s">
        <v>25</v>
      </c>
      <c r="W357" s="188" t="s">
        <v>306</v>
      </c>
      <c r="X357" s="188" t="s">
        <v>306</v>
      </c>
      <c r="Y357" s="234" t="s">
        <v>306</v>
      </c>
      <c r="Z357" s="188" t="s">
        <v>306</v>
      </c>
      <c r="AA357" s="188" t="s">
        <v>306</v>
      </c>
      <c r="AB357" s="234" t="s">
        <v>306</v>
      </c>
      <c r="AC357" s="235" t="s">
        <v>25</v>
      </c>
      <c r="AD357" s="188" t="s">
        <v>306</v>
      </c>
      <c r="AE357" s="188" t="s">
        <v>25</v>
      </c>
      <c r="AF357" s="234" t="s">
        <v>25</v>
      </c>
      <c r="AG357" s="188" t="s">
        <v>306</v>
      </c>
      <c r="AH357" s="188" t="s">
        <v>306</v>
      </c>
      <c r="AI357" s="234" t="s">
        <v>306</v>
      </c>
      <c r="AJ357" s="188" t="s">
        <v>306</v>
      </c>
      <c r="AK357" s="188" t="s">
        <v>306</v>
      </c>
      <c r="AL357" s="234" t="s">
        <v>306</v>
      </c>
      <c r="AM357" s="188" t="s">
        <v>19</v>
      </c>
      <c r="AN357" s="188" t="s">
        <v>19</v>
      </c>
      <c r="AO357" s="234" t="s">
        <v>19</v>
      </c>
      <c r="AP357" s="235" t="s">
        <v>306</v>
      </c>
      <c r="AQ357" s="188" t="s">
        <v>19</v>
      </c>
      <c r="AR357" s="188" t="s">
        <v>19</v>
      </c>
      <c r="AS357" s="234" t="s">
        <v>19</v>
      </c>
      <c r="AT357" s="188" t="s">
        <v>25</v>
      </c>
      <c r="AU357" s="188" t="s">
        <v>25</v>
      </c>
      <c r="AV357" s="234" t="s">
        <v>25</v>
      </c>
      <c r="AW357" s="188" t="s">
        <v>306</v>
      </c>
      <c r="AX357" s="188" t="s">
        <v>306</v>
      </c>
      <c r="AY357" s="234" t="s">
        <v>306</v>
      </c>
      <c r="AZ357" s="188" t="s">
        <v>306</v>
      </c>
      <c r="BA357" s="188" t="s">
        <v>25</v>
      </c>
      <c r="BB357" s="234" t="s">
        <v>306</v>
      </c>
      <c r="BC357" s="235" t="s">
        <v>306</v>
      </c>
      <c r="BD357" s="188"/>
    </row>
    <row r="358" spans="1:56" ht="12.75" customHeight="1" x14ac:dyDescent="0.25">
      <c r="A358" s="238">
        <v>44785.605628703706</v>
      </c>
      <c r="B358" s="137" t="s">
        <v>395</v>
      </c>
      <c r="C358" s="211" t="s">
        <v>595</v>
      </c>
      <c r="D358" s="211" t="s">
        <v>17</v>
      </c>
      <c r="E358" s="232" t="s">
        <v>515</v>
      </c>
      <c r="F358" s="188" t="s">
        <v>537</v>
      </c>
      <c r="G358" s="211" t="s">
        <v>18</v>
      </c>
      <c r="H358" s="211">
        <v>11</v>
      </c>
      <c r="I358" s="188" t="s">
        <v>531</v>
      </c>
      <c r="J358" s="188" t="s">
        <v>532</v>
      </c>
      <c r="K358" s="209" t="s">
        <v>539</v>
      </c>
      <c r="L358" s="188" t="s">
        <v>518</v>
      </c>
      <c r="M358" s="188" t="s">
        <v>412</v>
      </c>
      <c r="N358" s="188"/>
      <c r="O358" s="188"/>
      <c r="P358" s="188"/>
      <c r="Q358" s="188" t="s">
        <v>25</v>
      </c>
      <c r="R358" s="188" t="s">
        <v>19</v>
      </c>
      <c r="S358" s="234" t="s">
        <v>306</v>
      </c>
      <c r="T358" s="188" t="s">
        <v>25</v>
      </c>
      <c r="U358" s="188" t="s">
        <v>25</v>
      </c>
      <c r="V358" s="234" t="s">
        <v>25</v>
      </c>
      <c r="W358" s="188" t="s">
        <v>25</v>
      </c>
      <c r="X358" s="188" t="s">
        <v>19</v>
      </c>
      <c r="Y358" s="234" t="s">
        <v>306</v>
      </c>
      <c r="Z358" s="188" t="s">
        <v>25</v>
      </c>
      <c r="AA358" s="188" t="s">
        <v>19</v>
      </c>
      <c r="AB358" s="234" t="s">
        <v>306</v>
      </c>
      <c r="AC358" s="235" t="s">
        <v>306</v>
      </c>
      <c r="AD358" s="188" t="s">
        <v>19</v>
      </c>
      <c r="AE358" s="188" t="s">
        <v>25</v>
      </c>
      <c r="AF358" s="234" t="s">
        <v>306</v>
      </c>
      <c r="AG358" s="188" t="s">
        <v>306</v>
      </c>
      <c r="AH358" s="188" t="s">
        <v>19</v>
      </c>
      <c r="AI358" s="234" t="s">
        <v>306</v>
      </c>
      <c r="AJ358" s="188" t="s">
        <v>306</v>
      </c>
      <c r="AK358" s="188" t="s">
        <v>19</v>
      </c>
      <c r="AL358" s="234" t="s">
        <v>306</v>
      </c>
      <c r="AM358" s="188" t="s">
        <v>19</v>
      </c>
      <c r="AN358" s="188" t="s">
        <v>19</v>
      </c>
      <c r="AO358" s="234" t="s">
        <v>19</v>
      </c>
      <c r="AP358" s="235" t="s">
        <v>306</v>
      </c>
      <c r="AQ358" s="188" t="s">
        <v>25</v>
      </c>
      <c r="AR358" s="188" t="s">
        <v>25</v>
      </c>
      <c r="AS358" s="234" t="s">
        <v>25</v>
      </c>
      <c r="AT358" s="188" t="s">
        <v>25</v>
      </c>
      <c r="AU358" s="188" t="s">
        <v>25</v>
      </c>
      <c r="AV358" s="234" t="s">
        <v>25</v>
      </c>
      <c r="AW358" s="188" t="s">
        <v>306</v>
      </c>
      <c r="AX358" s="188" t="s">
        <v>306</v>
      </c>
      <c r="AY358" s="234" t="s">
        <v>306</v>
      </c>
      <c r="AZ358" s="188" t="s">
        <v>25</v>
      </c>
      <c r="BA358" s="188" t="s">
        <v>25</v>
      </c>
      <c r="BB358" s="234" t="s">
        <v>19</v>
      </c>
      <c r="BC358" s="235" t="s">
        <v>19</v>
      </c>
      <c r="BD358" s="188"/>
    </row>
    <row r="359" spans="1:56" ht="12.75" customHeight="1" x14ac:dyDescent="0.25">
      <c r="A359" s="238">
        <v>44785.62023241898</v>
      </c>
      <c r="B359" s="137" t="s">
        <v>395</v>
      </c>
      <c r="C359" s="211" t="s">
        <v>595</v>
      </c>
      <c r="D359" s="211" t="s">
        <v>17</v>
      </c>
      <c r="E359" s="232" t="s">
        <v>515</v>
      </c>
      <c r="F359" s="188" t="s">
        <v>956</v>
      </c>
      <c r="G359" s="211" t="s">
        <v>18</v>
      </c>
      <c r="H359" s="211">
        <v>11</v>
      </c>
      <c r="I359" s="188" t="s">
        <v>531</v>
      </c>
      <c r="J359" s="188" t="s">
        <v>532</v>
      </c>
      <c r="K359" s="209" t="s">
        <v>539</v>
      </c>
      <c r="L359" s="188" t="s">
        <v>531</v>
      </c>
      <c r="M359" s="188" t="s">
        <v>614</v>
      </c>
      <c r="N359" s="188"/>
      <c r="O359" s="188"/>
      <c r="P359" s="188"/>
      <c r="Q359" s="188" t="s">
        <v>25</v>
      </c>
      <c r="R359" s="188" t="s">
        <v>25</v>
      </c>
      <c r="S359" s="234" t="s">
        <v>25</v>
      </c>
      <c r="T359" s="188" t="s">
        <v>306</v>
      </c>
      <c r="U359" s="188" t="s">
        <v>306</v>
      </c>
      <c r="V359" s="234" t="s">
        <v>306</v>
      </c>
      <c r="W359" s="188" t="s">
        <v>19</v>
      </c>
      <c r="X359" s="188" t="s">
        <v>19</v>
      </c>
      <c r="Y359" s="234" t="s">
        <v>19</v>
      </c>
      <c r="Z359" s="188" t="s">
        <v>19</v>
      </c>
      <c r="AA359" s="188" t="s">
        <v>306</v>
      </c>
      <c r="AB359" s="234" t="s">
        <v>306</v>
      </c>
      <c r="AC359" s="235" t="s">
        <v>306</v>
      </c>
      <c r="AD359" s="188" t="s">
        <v>306</v>
      </c>
      <c r="AE359" s="188" t="s">
        <v>25</v>
      </c>
      <c r="AF359" s="234" t="s">
        <v>25</v>
      </c>
      <c r="AG359" s="188" t="s">
        <v>19</v>
      </c>
      <c r="AH359" s="188" t="s">
        <v>19</v>
      </c>
      <c r="AI359" s="234" t="s">
        <v>19</v>
      </c>
      <c r="AJ359" s="188" t="s">
        <v>19</v>
      </c>
      <c r="AK359" s="188" t="s">
        <v>19</v>
      </c>
      <c r="AL359" s="234" t="s">
        <v>19</v>
      </c>
      <c r="AM359" s="188" t="s">
        <v>19</v>
      </c>
      <c r="AN359" s="188" t="s">
        <v>19</v>
      </c>
      <c r="AO359" s="234" t="s">
        <v>19</v>
      </c>
      <c r="AP359" s="235" t="s">
        <v>19</v>
      </c>
      <c r="AQ359" s="188" t="s">
        <v>25</v>
      </c>
      <c r="AR359" s="188" t="s">
        <v>19</v>
      </c>
      <c r="AS359" s="234" t="s">
        <v>306</v>
      </c>
      <c r="AT359" s="188" t="s">
        <v>25</v>
      </c>
      <c r="AU359" s="188" t="s">
        <v>25</v>
      </c>
      <c r="AV359" s="234" t="s">
        <v>25</v>
      </c>
      <c r="AW359" s="188" t="s">
        <v>19</v>
      </c>
      <c r="AX359" s="188" t="s">
        <v>19</v>
      </c>
      <c r="AY359" s="234" t="s">
        <v>19</v>
      </c>
      <c r="AZ359" s="188" t="s">
        <v>306</v>
      </c>
      <c r="BA359" s="188" t="s">
        <v>25</v>
      </c>
      <c r="BB359" s="234" t="s">
        <v>19</v>
      </c>
      <c r="BC359" s="235" t="s">
        <v>19</v>
      </c>
      <c r="BD359" s="188"/>
    </row>
    <row r="360" spans="1:56" ht="12.75" customHeight="1" x14ac:dyDescent="0.25">
      <c r="A360" s="238">
        <v>44785.623302094908</v>
      </c>
      <c r="B360" s="137" t="s">
        <v>395</v>
      </c>
      <c r="C360" s="211" t="s">
        <v>595</v>
      </c>
      <c r="D360" s="211" t="s">
        <v>17</v>
      </c>
      <c r="E360" s="232" t="s">
        <v>515</v>
      </c>
      <c r="F360" s="188" t="s">
        <v>957</v>
      </c>
      <c r="G360" s="211" t="s">
        <v>24</v>
      </c>
      <c r="H360" s="211">
        <v>12</v>
      </c>
      <c r="I360" s="188" t="s">
        <v>531</v>
      </c>
      <c r="J360" s="188" t="s">
        <v>532</v>
      </c>
      <c r="K360" s="209" t="s">
        <v>539</v>
      </c>
      <c r="L360" s="188" t="s">
        <v>518</v>
      </c>
      <c r="M360" s="188" t="s">
        <v>412</v>
      </c>
      <c r="N360" s="188"/>
      <c r="O360" s="188"/>
      <c r="P360" s="188"/>
      <c r="Q360" s="188" t="s">
        <v>25</v>
      </c>
      <c r="R360" s="188" t="s">
        <v>25</v>
      </c>
      <c r="S360" s="234" t="s">
        <v>25</v>
      </c>
      <c r="T360" s="188" t="s">
        <v>25</v>
      </c>
      <c r="U360" s="188" t="s">
        <v>306</v>
      </c>
      <c r="V360" s="234" t="s">
        <v>25</v>
      </c>
      <c r="W360" s="188" t="s">
        <v>25</v>
      </c>
      <c r="X360" s="188" t="s">
        <v>19</v>
      </c>
      <c r="Y360" s="234" t="s">
        <v>306</v>
      </c>
      <c r="Z360" s="188" t="s">
        <v>306</v>
      </c>
      <c r="AA360" s="188" t="s">
        <v>19</v>
      </c>
      <c r="AB360" s="234" t="s">
        <v>306</v>
      </c>
      <c r="AC360" s="235" t="s">
        <v>306</v>
      </c>
      <c r="AD360" s="188" t="s">
        <v>306</v>
      </c>
      <c r="AE360" s="188" t="s">
        <v>25</v>
      </c>
      <c r="AF360" s="234" t="s">
        <v>25</v>
      </c>
      <c r="AG360" s="188" t="s">
        <v>19</v>
      </c>
      <c r="AH360" s="188" t="s">
        <v>19</v>
      </c>
      <c r="AI360" s="234" t="s">
        <v>19</v>
      </c>
      <c r="AJ360" s="188" t="s">
        <v>19</v>
      </c>
      <c r="AK360" s="188" t="s">
        <v>19</v>
      </c>
      <c r="AL360" s="234" t="s">
        <v>19</v>
      </c>
      <c r="AM360" s="188" t="s">
        <v>19</v>
      </c>
      <c r="AN360" s="188" t="s">
        <v>19</v>
      </c>
      <c r="AO360" s="234" t="s">
        <v>19</v>
      </c>
      <c r="AP360" s="235" t="s">
        <v>19</v>
      </c>
      <c r="AQ360" s="188" t="s">
        <v>306</v>
      </c>
      <c r="AR360" s="188" t="s">
        <v>306</v>
      </c>
      <c r="AS360" s="234" t="s">
        <v>306</v>
      </c>
      <c r="AT360" s="188" t="s">
        <v>25</v>
      </c>
      <c r="AU360" s="188" t="s">
        <v>25</v>
      </c>
      <c r="AV360" s="234" t="s">
        <v>25</v>
      </c>
      <c r="AW360" s="188" t="s">
        <v>25</v>
      </c>
      <c r="AX360" s="188" t="s">
        <v>306</v>
      </c>
      <c r="AY360" s="234" t="s">
        <v>25</v>
      </c>
      <c r="AZ360" s="188" t="s">
        <v>25</v>
      </c>
      <c r="BA360" s="188" t="s">
        <v>306</v>
      </c>
      <c r="BB360" s="234" t="s">
        <v>19</v>
      </c>
      <c r="BC360" s="235" t="s">
        <v>19</v>
      </c>
      <c r="BD360" s="188"/>
    </row>
    <row r="361" spans="1:56" ht="12.75" customHeight="1" x14ac:dyDescent="0.25">
      <c r="A361" s="238">
        <v>44785.625260057874</v>
      </c>
      <c r="B361" s="137" t="s">
        <v>395</v>
      </c>
      <c r="C361" s="211" t="s">
        <v>595</v>
      </c>
      <c r="D361" s="211" t="s">
        <v>17</v>
      </c>
      <c r="E361" s="232" t="s">
        <v>515</v>
      </c>
      <c r="F361" s="188" t="s">
        <v>958</v>
      </c>
      <c r="G361" s="211" t="s">
        <v>18</v>
      </c>
      <c r="H361" s="211">
        <v>13</v>
      </c>
      <c r="I361" s="188" t="s">
        <v>531</v>
      </c>
      <c r="J361" s="188" t="s">
        <v>532</v>
      </c>
      <c r="K361" s="209" t="s">
        <v>539</v>
      </c>
      <c r="L361" s="188" t="s">
        <v>531</v>
      </c>
      <c r="M361" s="188" t="s">
        <v>614</v>
      </c>
      <c r="N361" s="188"/>
      <c r="O361" s="188"/>
      <c r="P361" s="188"/>
      <c r="Q361" s="188" t="s">
        <v>25</v>
      </c>
      <c r="R361" s="188" t="s">
        <v>25</v>
      </c>
      <c r="S361" s="234" t="s">
        <v>25</v>
      </c>
      <c r="T361" s="188" t="s">
        <v>25</v>
      </c>
      <c r="U361" s="188" t="s">
        <v>25</v>
      </c>
      <c r="V361" s="234" t="s">
        <v>25</v>
      </c>
      <c r="W361" s="188" t="s">
        <v>306</v>
      </c>
      <c r="X361" s="188" t="s">
        <v>19</v>
      </c>
      <c r="Y361" s="234" t="s">
        <v>306</v>
      </c>
      <c r="Z361" s="188" t="s">
        <v>19</v>
      </c>
      <c r="AA361" s="188" t="s">
        <v>19</v>
      </c>
      <c r="AB361" s="234" t="s">
        <v>19</v>
      </c>
      <c r="AC361" s="235" t="s">
        <v>306</v>
      </c>
      <c r="AD361" s="188" t="s">
        <v>25</v>
      </c>
      <c r="AE361" s="188" t="s">
        <v>25</v>
      </c>
      <c r="AF361" s="234" t="s">
        <v>25</v>
      </c>
      <c r="AG361" s="188" t="s">
        <v>19</v>
      </c>
      <c r="AH361" s="188" t="s">
        <v>19</v>
      </c>
      <c r="AI361" s="234" t="s">
        <v>19</v>
      </c>
      <c r="AJ361" s="188" t="s">
        <v>306</v>
      </c>
      <c r="AK361" s="188" t="s">
        <v>19</v>
      </c>
      <c r="AL361" s="234" t="s">
        <v>306</v>
      </c>
      <c r="AM361" s="188" t="s">
        <v>19</v>
      </c>
      <c r="AN361" s="188" t="s">
        <v>19</v>
      </c>
      <c r="AO361" s="234" t="s">
        <v>19</v>
      </c>
      <c r="AP361" s="235" t="s">
        <v>306</v>
      </c>
      <c r="AQ361" s="188" t="s">
        <v>306</v>
      </c>
      <c r="AR361" s="188" t="s">
        <v>25</v>
      </c>
      <c r="AS361" s="234" t="s">
        <v>25</v>
      </c>
      <c r="AT361" s="188" t="s">
        <v>25</v>
      </c>
      <c r="AU361" s="188" t="s">
        <v>25</v>
      </c>
      <c r="AV361" s="234" t="s">
        <v>25</v>
      </c>
      <c r="AW361" s="188" t="s">
        <v>306</v>
      </c>
      <c r="AX361" s="188" t="s">
        <v>306</v>
      </c>
      <c r="AY361" s="234" t="s">
        <v>306</v>
      </c>
      <c r="AZ361" s="188" t="s">
        <v>25</v>
      </c>
      <c r="BA361" s="188" t="s">
        <v>25</v>
      </c>
      <c r="BB361" s="234" t="s">
        <v>19</v>
      </c>
      <c r="BC361" s="235" t="s">
        <v>19</v>
      </c>
      <c r="BD361" s="188"/>
    </row>
    <row r="362" spans="1:56" ht="12.75" customHeight="1" x14ac:dyDescent="0.25">
      <c r="A362" s="238">
        <v>44785.633965092595</v>
      </c>
      <c r="B362" s="137" t="s">
        <v>395</v>
      </c>
      <c r="C362" s="211" t="s">
        <v>595</v>
      </c>
      <c r="D362" s="211" t="s">
        <v>17</v>
      </c>
      <c r="E362" s="232" t="s">
        <v>515</v>
      </c>
      <c r="F362" s="188" t="s">
        <v>959</v>
      </c>
      <c r="G362" s="211" t="s">
        <v>18</v>
      </c>
      <c r="H362" s="211">
        <v>11</v>
      </c>
      <c r="I362" s="188" t="s">
        <v>531</v>
      </c>
      <c r="J362" s="188" t="s">
        <v>532</v>
      </c>
      <c r="K362" s="209" t="s">
        <v>539</v>
      </c>
      <c r="L362" s="188" t="s">
        <v>518</v>
      </c>
      <c r="M362" s="188" t="s">
        <v>412</v>
      </c>
      <c r="N362" s="188"/>
      <c r="O362" s="188"/>
      <c r="P362" s="188"/>
      <c r="Q362" s="188" t="s">
        <v>25</v>
      </c>
      <c r="R362" s="188" t="s">
        <v>25</v>
      </c>
      <c r="S362" s="234" t="s">
        <v>25</v>
      </c>
      <c r="T362" s="188" t="s">
        <v>306</v>
      </c>
      <c r="U362" s="188" t="s">
        <v>25</v>
      </c>
      <c r="V362" s="234" t="s">
        <v>25</v>
      </c>
      <c r="W362" s="188" t="s">
        <v>306</v>
      </c>
      <c r="X362" s="188" t="s">
        <v>306</v>
      </c>
      <c r="Y362" s="234" t="s">
        <v>306</v>
      </c>
      <c r="Z362" s="188" t="s">
        <v>25</v>
      </c>
      <c r="AA362" s="188" t="s">
        <v>19</v>
      </c>
      <c r="AB362" s="234" t="s">
        <v>306</v>
      </c>
      <c r="AC362" s="235" t="s">
        <v>306</v>
      </c>
      <c r="AD362" s="188" t="s">
        <v>25</v>
      </c>
      <c r="AE362" s="188" t="s">
        <v>25</v>
      </c>
      <c r="AF362" s="234" t="s">
        <v>25</v>
      </c>
      <c r="AG362" s="188" t="s">
        <v>19</v>
      </c>
      <c r="AH362" s="188" t="s">
        <v>306</v>
      </c>
      <c r="AI362" s="234" t="s">
        <v>306</v>
      </c>
      <c r="AJ362" s="188" t="s">
        <v>19</v>
      </c>
      <c r="AK362" s="188" t="s">
        <v>306</v>
      </c>
      <c r="AL362" s="234" t="s">
        <v>306</v>
      </c>
      <c r="AM362" s="188" t="s">
        <v>19</v>
      </c>
      <c r="AN362" s="188" t="s">
        <v>19</v>
      </c>
      <c r="AO362" s="234" t="s">
        <v>19</v>
      </c>
      <c r="AP362" s="235" t="s">
        <v>306</v>
      </c>
      <c r="AQ362" s="188" t="s">
        <v>25</v>
      </c>
      <c r="AR362" s="188" t="s">
        <v>25</v>
      </c>
      <c r="AS362" s="234" t="s">
        <v>25</v>
      </c>
      <c r="AT362" s="188" t="s">
        <v>306</v>
      </c>
      <c r="AU362" s="188" t="s">
        <v>306</v>
      </c>
      <c r="AV362" s="234" t="s">
        <v>306</v>
      </c>
      <c r="AW362" s="188" t="s">
        <v>25</v>
      </c>
      <c r="AX362" s="188" t="s">
        <v>25</v>
      </c>
      <c r="AY362" s="234" t="s">
        <v>25</v>
      </c>
      <c r="AZ362" s="188" t="s">
        <v>306</v>
      </c>
      <c r="BA362" s="188" t="s">
        <v>25</v>
      </c>
      <c r="BB362" s="234" t="s">
        <v>19</v>
      </c>
      <c r="BC362" s="235" t="s">
        <v>19</v>
      </c>
      <c r="BD362" s="188"/>
    </row>
    <row r="363" spans="1:56" ht="12.75" customHeight="1" x14ac:dyDescent="0.25">
      <c r="A363" s="238">
        <v>44806.365833402779</v>
      </c>
      <c r="B363" s="137" t="s">
        <v>395</v>
      </c>
      <c r="C363" s="211" t="s">
        <v>595</v>
      </c>
      <c r="D363" s="211" t="s">
        <v>17</v>
      </c>
      <c r="E363" s="232" t="s">
        <v>515</v>
      </c>
      <c r="F363" s="188" t="s">
        <v>960</v>
      </c>
      <c r="G363" s="211" t="s">
        <v>24</v>
      </c>
      <c r="H363" s="211">
        <v>15</v>
      </c>
      <c r="I363" s="188" t="s">
        <v>531</v>
      </c>
      <c r="J363" s="188" t="s">
        <v>532</v>
      </c>
      <c r="K363" s="209" t="s">
        <v>539</v>
      </c>
      <c r="L363" s="188" t="s">
        <v>531</v>
      </c>
      <c r="M363" s="188" t="s">
        <v>614</v>
      </c>
      <c r="N363" s="188"/>
      <c r="O363" s="188"/>
      <c r="P363" s="188"/>
      <c r="Q363" s="188" t="s">
        <v>25</v>
      </c>
      <c r="R363" s="188" t="s">
        <v>25</v>
      </c>
      <c r="S363" s="234" t="s">
        <v>25</v>
      </c>
      <c r="T363" s="188" t="s">
        <v>25</v>
      </c>
      <c r="U363" s="188" t="s">
        <v>306</v>
      </c>
      <c r="V363" s="234" t="s">
        <v>25</v>
      </c>
      <c r="W363" s="188" t="s">
        <v>306</v>
      </c>
      <c r="X363" s="188" t="s">
        <v>306</v>
      </c>
      <c r="Y363" s="234" t="s">
        <v>306</v>
      </c>
      <c r="Z363" s="188" t="s">
        <v>25</v>
      </c>
      <c r="AA363" s="188" t="s">
        <v>19</v>
      </c>
      <c r="AB363" s="234" t="s">
        <v>306</v>
      </c>
      <c r="AC363" s="235" t="s">
        <v>306</v>
      </c>
      <c r="AD363" s="188" t="s">
        <v>25</v>
      </c>
      <c r="AE363" s="188" t="s">
        <v>306</v>
      </c>
      <c r="AF363" s="234" t="s">
        <v>25</v>
      </c>
      <c r="AG363" s="188" t="s">
        <v>19</v>
      </c>
      <c r="AH363" s="188" t="s">
        <v>19</v>
      </c>
      <c r="AI363" s="234" t="s">
        <v>19</v>
      </c>
      <c r="AJ363" s="188" t="s">
        <v>25</v>
      </c>
      <c r="AK363" s="188" t="s">
        <v>306</v>
      </c>
      <c r="AL363" s="234" t="s">
        <v>25</v>
      </c>
      <c r="AM363" s="188" t="s">
        <v>25</v>
      </c>
      <c r="AN363" s="188" t="s">
        <v>306</v>
      </c>
      <c r="AO363" s="234" t="s">
        <v>25</v>
      </c>
      <c r="AP363" s="235" t="s">
        <v>306</v>
      </c>
      <c r="AQ363" s="188" t="s">
        <v>25</v>
      </c>
      <c r="AR363" s="188" t="s">
        <v>19</v>
      </c>
      <c r="AS363" s="234" t="s">
        <v>306</v>
      </c>
      <c r="AT363" s="188" t="s">
        <v>25</v>
      </c>
      <c r="AU363" s="188" t="s">
        <v>306</v>
      </c>
      <c r="AV363" s="234" t="s">
        <v>25</v>
      </c>
      <c r="AW363" s="188" t="s">
        <v>306</v>
      </c>
      <c r="AX363" s="188" t="s">
        <v>306</v>
      </c>
      <c r="AY363" s="234" t="s">
        <v>306</v>
      </c>
      <c r="AZ363" s="188" t="s">
        <v>19</v>
      </c>
      <c r="BA363" s="188" t="s">
        <v>25</v>
      </c>
      <c r="BB363" s="234" t="s">
        <v>19</v>
      </c>
      <c r="BC363" s="235" t="s">
        <v>19</v>
      </c>
      <c r="BD363" s="188"/>
    </row>
    <row r="364" spans="1:56" ht="12.75" customHeight="1" x14ac:dyDescent="0.25">
      <c r="A364" s="238">
        <v>45243.398004745366</v>
      </c>
      <c r="B364" s="233" t="s">
        <v>406</v>
      </c>
      <c r="C364" s="209" t="s">
        <v>587</v>
      </c>
      <c r="D364" s="232" t="s">
        <v>17</v>
      </c>
      <c r="E364" s="232" t="s">
        <v>515</v>
      </c>
      <c r="F364" s="209" t="s">
        <v>961</v>
      </c>
      <c r="G364" s="232" t="s">
        <v>24</v>
      </c>
      <c r="H364" s="232">
        <v>12</v>
      </c>
      <c r="I364" s="209" t="s">
        <v>531</v>
      </c>
      <c r="J364" s="188"/>
      <c r="K364" s="209" t="s">
        <v>539</v>
      </c>
      <c r="L364" s="209" t="s">
        <v>531</v>
      </c>
      <c r="M364" s="188"/>
      <c r="N364" s="188"/>
      <c r="O364" s="188"/>
      <c r="P364" s="188"/>
      <c r="Q364" s="209" t="s">
        <v>19</v>
      </c>
      <c r="R364" s="209" t="s">
        <v>306</v>
      </c>
      <c r="S364" s="234" t="s">
        <v>306</v>
      </c>
      <c r="T364" s="209" t="s">
        <v>19</v>
      </c>
      <c r="U364" s="209" t="s">
        <v>306</v>
      </c>
      <c r="V364" s="234" t="s">
        <v>306</v>
      </c>
      <c r="W364" s="209" t="s">
        <v>25</v>
      </c>
      <c r="X364" s="209" t="s">
        <v>19</v>
      </c>
      <c r="Y364" s="234" t="s">
        <v>306</v>
      </c>
      <c r="Z364" s="209" t="s">
        <v>306</v>
      </c>
      <c r="AA364" s="209" t="s">
        <v>25</v>
      </c>
      <c r="AB364" s="234" t="s">
        <v>25</v>
      </c>
      <c r="AC364" s="235" t="s">
        <v>306</v>
      </c>
      <c r="AD364" s="209" t="s">
        <v>306</v>
      </c>
      <c r="AE364" s="209" t="s">
        <v>306</v>
      </c>
      <c r="AF364" s="234" t="s">
        <v>306</v>
      </c>
      <c r="AG364" s="209" t="s">
        <v>25</v>
      </c>
      <c r="AH364" s="209" t="s">
        <v>19</v>
      </c>
      <c r="AI364" s="234" t="s">
        <v>306</v>
      </c>
      <c r="AJ364" s="209" t="s">
        <v>19</v>
      </c>
      <c r="AK364" s="209" t="s">
        <v>306</v>
      </c>
      <c r="AL364" s="234" t="s">
        <v>306</v>
      </c>
      <c r="AM364" s="209" t="s">
        <v>306</v>
      </c>
      <c r="AN364" s="209" t="s">
        <v>19</v>
      </c>
      <c r="AO364" s="234" t="s">
        <v>306</v>
      </c>
      <c r="AP364" s="235" t="s">
        <v>306</v>
      </c>
      <c r="AQ364" s="209" t="s">
        <v>306</v>
      </c>
      <c r="AR364" s="209" t="s">
        <v>306</v>
      </c>
      <c r="AS364" s="234" t="s">
        <v>306</v>
      </c>
      <c r="AT364" s="209" t="s">
        <v>25</v>
      </c>
      <c r="AU364" s="209" t="s">
        <v>306</v>
      </c>
      <c r="AV364" s="234" t="s">
        <v>25</v>
      </c>
      <c r="AW364" s="209" t="s">
        <v>19</v>
      </c>
      <c r="AX364" s="209" t="s">
        <v>25</v>
      </c>
      <c r="AY364" s="234" t="s">
        <v>306</v>
      </c>
      <c r="AZ364" s="209" t="s">
        <v>19</v>
      </c>
      <c r="BA364" s="209" t="s">
        <v>25</v>
      </c>
      <c r="BB364" s="234" t="s">
        <v>19</v>
      </c>
      <c r="BC364" s="235" t="s">
        <v>19</v>
      </c>
      <c r="BD364" s="188"/>
    </row>
    <row r="365" spans="1:56" ht="12.75" customHeight="1" x14ac:dyDescent="0.25">
      <c r="A365" s="238">
        <v>45243.398576087959</v>
      </c>
      <c r="B365" s="233" t="s">
        <v>406</v>
      </c>
      <c r="C365" s="209" t="s">
        <v>587</v>
      </c>
      <c r="D365" s="232" t="s">
        <v>17</v>
      </c>
      <c r="E365" s="232" t="s">
        <v>515</v>
      </c>
      <c r="F365" s="209" t="s">
        <v>962</v>
      </c>
      <c r="G365" s="232" t="s">
        <v>24</v>
      </c>
      <c r="H365" s="232">
        <v>12</v>
      </c>
      <c r="I365" s="209" t="s">
        <v>531</v>
      </c>
      <c r="J365" s="188"/>
      <c r="K365" s="209" t="s">
        <v>539</v>
      </c>
      <c r="L365" s="209" t="s">
        <v>531</v>
      </c>
      <c r="M365" s="188"/>
      <c r="N365" s="188"/>
      <c r="O365" s="188"/>
      <c r="P365" s="188"/>
      <c r="Q365" s="209" t="s">
        <v>306</v>
      </c>
      <c r="R365" s="209" t="s">
        <v>306</v>
      </c>
      <c r="S365" s="234" t="s">
        <v>306</v>
      </c>
      <c r="T365" s="209" t="s">
        <v>25</v>
      </c>
      <c r="U365" s="209" t="s">
        <v>25</v>
      </c>
      <c r="V365" s="234" t="s">
        <v>25</v>
      </c>
      <c r="W365" s="209" t="s">
        <v>19</v>
      </c>
      <c r="X365" s="209" t="s">
        <v>25</v>
      </c>
      <c r="Y365" s="234" t="s">
        <v>306</v>
      </c>
      <c r="Z365" s="209" t="s">
        <v>25</v>
      </c>
      <c r="AA365" s="209" t="s">
        <v>19</v>
      </c>
      <c r="AB365" s="234" t="s">
        <v>306</v>
      </c>
      <c r="AC365" s="235" t="s">
        <v>306</v>
      </c>
      <c r="AD365" s="209" t="s">
        <v>306</v>
      </c>
      <c r="AE365" s="209" t="s">
        <v>19</v>
      </c>
      <c r="AF365" s="234" t="s">
        <v>306</v>
      </c>
      <c r="AG365" s="209" t="s">
        <v>19</v>
      </c>
      <c r="AH365" s="209" t="s">
        <v>25</v>
      </c>
      <c r="AI365" s="234" t="s">
        <v>306</v>
      </c>
      <c r="AJ365" s="209" t="s">
        <v>19</v>
      </c>
      <c r="AK365" s="209" t="s">
        <v>25</v>
      </c>
      <c r="AL365" s="234" t="s">
        <v>306</v>
      </c>
      <c r="AM365" s="209" t="s">
        <v>25</v>
      </c>
      <c r="AN365" s="209" t="s">
        <v>19</v>
      </c>
      <c r="AO365" s="234" t="s">
        <v>306</v>
      </c>
      <c r="AP365" s="235" t="s">
        <v>306</v>
      </c>
      <c r="AQ365" s="209" t="s">
        <v>306</v>
      </c>
      <c r="AR365" s="209" t="s">
        <v>19</v>
      </c>
      <c r="AS365" s="234" t="s">
        <v>306</v>
      </c>
      <c r="AT365" s="209" t="s">
        <v>25</v>
      </c>
      <c r="AU365" s="209" t="s">
        <v>25</v>
      </c>
      <c r="AV365" s="234" t="s">
        <v>25</v>
      </c>
      <c r="AW365" s="209" t="s">
        <v>306</v>
      </c>
      <c r="AX365" s="209" t="s">
        <v>19</v>
      </c>
      <c r="AY365" s="234" t="s">
        <v>306</v>
      </c>
      <c r="AZ365" s="209" t="s">
        <v>306</v>
      </c>
      <c r="BA365" s="209" t="s">
        <v>19</v>
      </c>
      <c r="BB365" s="234" t="s">
        <v>19</v>
      </c>
      <c r="BC365" s="235" t="s">
        <v>19</v>
      </c>
      <c r="BD365" s="188"/>
    </row>
    <row r="366" spans="1:56" ht="12.75" customHeight="1" x14ac:dyDescent="0.25">
      <c r="A366" s="238">
        <v>45243.40538538195</v>
      </c>
      <c r="B366" s="233" t="s">
        <v>406</v>
      </c>
      <c r="C366" s="209" t="s">
        <v>587</v>
      </c>
      <c r="D366" s="232" t="s">
        <v>17</v>
      </c>
      <c r="E366" s="232" t="s">
        <v>515</v>
      </c>
      <c r="F366" s="209" t="s">
        <v>963</v>
      </c>
      <c r="G366" s="232" t="s">
        <v>18</v>
      </c>
      <c r="H366" s="232">
        <v>12</v>
      </c>
      <c r="I366" s="209" t="s">
        <v>518</v>
      </c>
      <c r="J366" s="188"/>
      <c r="K366" s="209" t="s">
        <v>539</v>
      </c>
      <c r="L366" s="209" t="s">
        <v>531</v>
      </c>
      <c r="M366" s="188"/>
      <c r="N366" s="188"/>
      <c r="O366" s="188"/>
      <c r="P366" s="188"/>
      <c r="Q366" s="209" t="s">
        <v>25</v>
      </c>
      <c r="R366" s="209" t="s">
        <v>25</v>
      </c>
      <c r="S366" s="234" t="s">
        <v>25</v>
      </c>
      <c r="T366" s="209" t="s">
        <v>25</v>
      </c>
      <c r="U366" s="209" t="s">
        <v>25</v>
      </c>
      <c r="V366" s="234" t="s">
        <v>25</v>
      </c>
      <c r="W366" s="209" t="s">
        <v>25</v>
      </c>
      <c r="X366" s="209" t="s">
        <v>25</v>
      </c>
      <c r="Y366" s="234" t="s">
        <v>25</v>
      </c>
      <c r="Z366" s="209" t="s">
        <v>25</v>
      </c>
      <c r="AA366" s="209" t="s">
        <v>25</v>
      </c>
      <c r="AB366" s="234" t="s">
        <v>25</v>
      </c>
      <c r="AC366" s="235" t="s">
        <v>25</v>
      </c>
      <c r="AD366" s="209" t="s">
        <v>25</v>
      </c>
      <c r="AE366" s="209" t="s">
        <v>25</v>
      </c>
      <c r="AF366" s="234" t="s">
        <v>25</v>
      </c>
      <c r="AG366" s="209" t="s">
        <v>25</v>
      </c>
      <c r="AH366" s="209" t="s">
        <v>25</v>
      </c>
      <c r="AI366" s="234" t="s">
        <v>25</v>
      </c>
      <c r="AJ366" s="209" t="s">
        <v>25</v>
      </c>
      <c r="AK366" s="209" t="s">
        <v>25</v>
      </c>
      <c r="AL366" s="234" t="s">
        <v>25</v>
      </c>
      <c r="AM366" s="209" t="s">
        <v>25</v>
      </c>
      <c r="AN366" s="209" t="s">
        <v>25</v>
      </c>
      <c r="AO366" s="234" t="s">
        <v>25</v>
      </c>
      <c r="AP366" s="235" t="s">
        <v>25</v>
      </c>
      <c r="AQ366" s="209" t="s">
        <v>25</v>
      </c>
      <c r="AR366" s="209" t="s">
        <v>25</v>
      </c>
      <c r="AS366" s="234" t="s">
        <v>25</v>
      </c>
      <c r="AT366" s="209" t="s">
        <v>25</v>
      </c>
      <c r="AU366" s="209" t="s">
        <v>25</v>
      </c>
      <c r="AV366" s="234" t="s">
        <v>25</v>
      </c>
      <c r="AW366" s="209" t="s">
        <v>25</v>
      </c>
      <c r="AX366" s="209" t="s">
        <v>25</v>
      </c>
      <c r="AY366" s="234" t="s">
        <v>25</v>
      </c>
      <c r="AZ366" s="209" t="s">
        <v>25</v>
      </c>
      <c r="BA366" s="209" t="s">
        <v>25</v>
      </c>
      <c r="BB366" s="234" t="s">
        <v>306</v>
      </c>
      <c r="BC366" s="235" t="s">
        <v>19</v>
      </c>
      <c r="BD366" s="188"/>
    </row>
    <row r="367" spans="1:56" ht="12.75" customHeight="1" x14ac:dyDescent="0.25">
      <c r="A367" s="238">
        <v>45243.413764062498</v>
      </c>
      <c r="B367" s="233" t="s">
        <v>406</v>
      </c>
      <c r="C367" s="209" t="s">
        <v>587</v>
      </c>
      <c r="D367" s="232" t="s">
        <v>17</v>
      </c>
      <c r="E367" s="232" t="s">
        <v>515</v>
      </c>
      <c r="F367" s="209" t="s">
        <v>964</v>
      </c>
      <c r="G367" s="232" t="s">
        <v>24</v>
      </c>
      <c r="H367" s="232">
        <v>11</v>
      </c>
      <c r="I367" s="209" t="s">
        <v>531</v>
      </c>
      <c r="J367" s="188"/>
      <c r="K367" s="209" t="s">
        <v>539</v>
      </c>
      <c r="L367" s="209" t="s">
        <v>531</v>
      </c>
      <c r="M367" s="188"/>
      <c r="N367" s="188"/>
      <c r="O367" s="188"/>
      <c r="P367" s="188"/>
      <c r="Q367" s="209" t="s">
        <v>306</v>
      </c>
      <c r="R367" s="209" t="s">
        <v>306</v>
      </c>
      <c r="S367" s="234" t="s">
        <v>306</v>
      </c>
      <c r="T367" s="209" t="s">
        <v>25</v>
      </c>
      <c r="U367" s="209" t="s">
        <v>306</v>
      </c>
      <c r="V367" s="234" t="s">
        <v>25</v>
      </c>
      <c r="W367" s="209" t="s">
        <v>306</v>
      </c>
      <c r="X367" s="209" t="s">
        <v>25</v>
      </c>
      <c r="Y367" s="234" t="s">
        <v>25</v>
      </c>
      <c r="Z367" s="209" t="s">
        <v>306</v>
      </c>
      <c r="AA367" s="209" t="s">
        <v>306</v>
      </c>
      <c r="AB367" s="234" t="s">
        <v>306</v>
      </c>
      <c r="AC367" s="235" t="s">
        <v>306</v>
      </c>
      <c r="AD367" s="209" t="s">
        <v>25</v>
      </c>
      <c r="AE367" s="209" t="s">
        <v>25</v>
      </c>
      <c r="AF367" s="234" t="s">
        <v>25</v>
      </c>
      <c r="AG367" s="209" t="s">
        <v>19</v>
      </c>
      <c r="AH367" s="209" t="s">
        <v>19</v>
      </c>
      <c r="AI367" s="234" t="s">
        <v>19</v>
      </c>
      <c r="AJ367" s="209" t="s">
        <v>306</v>
      </c>
      <c r="AK367" s="209" t="s">
        <v>19</v>
      </c>
      <c r="AL367" s="234" t="s">
        <v>306</v>
      </c>
      <c r="AM367" s="209" t="s">
        <v>19</v>
      </c>
      <c r="AN367" s="209" t="s">
        <v>25</v>
      </c>
      <c r="AO367" s="234" t="s">
        <v>306</v>
      </c>
      <c r="AP367" s="235" t="s">
        <v>306</v>
      </c>
      <c r="AQ367" s="209" t="s">
        <v>306</v>
      </c>
      <c r="AR367" s="209" t="s">
        <v>19</v>
      </c>
      <c r="AS367" s="234" t="s">
        <v>306</v>
      </c>
      <c r="AT367" s="209" t="s">
        <v>19</v>
      </c>
      <c r="AU367" s="209" t="s">
        <v>25</v>
      </c>
      <c r="AV367" s="234" t="s">
        <v>306</v>
      </c>
      <c r="AW367" s="209" t="s">
        <v>25</v>
      </c>
      <c r="AX367" s="209" t="s">
        <v>19</v>
      </c>
      <c r="AY367" s="234" t="s">
        <v>306</v>
      </c>
      <c r="AZ367" s="209" t="s">
        <v>25</v>
      </c>
      <c r="BA367" s="209" t="s">
        <v>19</v>
      </c>
      <c r="BB367" s="234" t="s">
        <v>19</v>
      </c>
      <c r="BC367" s="235" t="s">
        <v>19</v>
      </c>
      <c r="BD367" s="188"/>
    </row>
    <row r="368" spans="1:56" ht="12.75" customHeight="1" x14ac:dyDescent="0.25">
      <c r="A368" s="238">
        <v>45243.418063159726</v>
      </c>
      <c r="B368" s="233" t="s">
        <v>406</v>
      </c>
      <c r="C368" s="209" t="s">
        <v>587</v>
      </c>
      <c r="D368" s="232" t="s">
        <v>17</v>
      </c>
      <c r="E368" s="232" t="s">
        <v>515</v>
      </c>
      <c r="F368" s="209" t="s">
        <v>965</v>
      </c>
      <c r="G368" s="232" t="s">
        <v>18</v>
      </c>
      <c r="H368" s="232">
        <v>12</v>
      </c>
      <c r="I368" s="209" t="s">
        <v>531</v>
      </c>
      <c r="J368" s="188"/>
      <c r="K368" s="209" t="s">
        <v>539</v>
      </c>
      <c r="L368" s="209" t="s">
        <v>531</v>
      </c>
      <c r="M368" s="188"/>
      <c r="N368" s="188"/>
      <c r="O368" s="188"/>
      <c r="P368" s="188"/>
      <c r="Q368" s="209" t="s">
        <v>19</v>
      </c>
      <c r="R368" s="209" t="s">
        <v>306</v>
      </c>
      <c r="S368" s="234" t="s">
        <v>306</v>
      </c>
      <c r="T368" s="209" t="s">
        <v>306</v>
      </c>
      <c r="U368" s="209" t="s">
        <v>19</v>
      </c>
      <c r="V368" s="234" t="s">
        <v>306</v>
      </c>
      <c r="W368" s="209" t="s">
        <v>19</v>
      </c>
      <c r="X368" s="209" t="s">
        <v>19</v>
      </c>
      <c r="Y368" s="234" t="s">
        <v>19</v>
      </c>
      <c r="Z368" s="209" t="s">
        <v>25</v>
      </c>
      <c r="AA368" s="209" t="s">
        <v>25</v>
      </c>
      <c r="AB368" s="234" t="s">
        <v>25</v>
      </c>
      <c r="AC368" s="235" t="s">
        <v>306</v>
      </c>
      <c r="AD368" s="209" t="s">
        <v>306</v>
      </c>
      <c r="AE368" s="209" t="s">
        <v>306</v>
      </c>
      <c r="AF368" s="234" t="s">
        <v>306</v>
      </c>
      <c r="AG368" s="209" t="s">
        <v>306</v>
      </c>
      <c r="AH368" s="209" t="s">
        <v>306</v>
      </c>
      <c r="AI368" s="234" t="s">
        <v>306</v>
      </c>
      <c r="AJ368" s="209" t="s">
        <v>306</v>
      </c>
      <c r="AK368" s="209" t="s">
        <v>306</v>
      </c>
      <c r="AL368" s="234" t="s">
        <v>306</v>
      </c>
      <c r="AM368" s="209" t="s">
        <v>306</v>
      </c>
      <c r="AN368" s="209" t="s">
        <v>306</v>
      </c>
      <c r="AO368" s="234" t="s">
        <v>306</v>
      </c>
      <c r="AP368" s="235" t="s">
        <v>306</v>
      </c>
      <c r="AQ368" s="209" t="s">
        <v>306</v>
      </c>
      <c r="AR368" s="209" t="s">
        <v>306</v>
      </c>
      <c r="AS368" s="234" t="s">
        <v>306</v>
      </c>
      <c r="AT368" s="209" t="s">
        <v>306</v>
      </c>
      <c r="AU368" s="209" t="s">
        <v>25</v>
      </c>
      <c r="AV368" s="234" t="s">
        <v>25</v>
      </c>
      <c r="AW368" s="209" t="s">
        <v>306</v>
      </c>
      <c r="AX368" s="209" t="s">
        <v>306</v>
      </c>
      <c r="AY368" s="234" t="s">
        <v>306</v>
      </c>
      <c r="AZ368" s="209" t="s">
        <v>306</v>
      </c>
      <c r="BA368" s="209" t="s">
        <v>306</v>
      </c>
      <c r="BB368" s="234" t="s">
        <v>19</v>
      </c>
      <c r="BC368" s="235" t="s">
        <v>19</v>
      </c>
      <c r="BD368" s="188"/>
    </row>
    <row r="369" spans="1:56" ht="12.75" customHeight="1" x14ac:dyDescent="0.25">
      <c r="A369" s="238">
        <v>45243.42066157407</v>
      </c>
      <c r="B369" s="233" t="s">
        <v>406</v>
      </c>
      <c r="C369" s="209" t="s">
        <v>587</v>
      </c>
      <c r="D369" s="232" t="s">
        <v>17</v>
      </c>
      <c r="E369" s="232" t="s">
        <v>515</v>
      </c>
      <c r="F369" s="209" t="s">
        <v>966</v>
      </c>
      <c r="G369" s="232" t="s">
        <v>18</v>
      </c>
      <c r="H369" s="232">
        <v>12</v>
      </c>
      <c r="I369" s="209" t="s">
        <v>531</v>
      </c>
      <c r="J369" s="188"/>
      <c r="K369" s="209" t="s">
        <v>539</v>
      </c>
      <c r="L369" s="209" t="s">
        <v>531</v>
      </c>
      <c r="M369" s="188"/>
      <c r="N369" s="188"/>
      <c r="O369" s="188"/>
      <c r="P369" s="188"/>
      <c r="Q369" s="209" t="s">
        <v>19</v>
      </c>
      <c r="R369" s="209" t="s">
        <v>19</v>
      </c>
      <c r="S369" s="234" t="s">
        <v>19</v>
      </c>
      <c r="T369" s="209" t="s">
        <v>19</v>
      </c>
      <c r="U369" s="209" t="s">
        <v>19</v>
      </c>
      <c r="V369" s="234" t="s">
        <v>19</v>
      </c>
      <c r="W369" s="209" t="s">
        <v>19</v>
      </c>
      <c r="X369" s="209" t="s">
        <v>19</v>
      </c>
      <c r="Y369" s="234" t="s">
        <v>19</v>
      </c>
      <c r="Z369" s="209" t="s">
        <v>19</v>
      </c>
      <c r="AA369" s="209" t="s">
        <v>19</v>
      </c>
      <c r="AB369" s="234" t="s">
        <v>19</v>
      </c>
      <c r="AC369" s="235" t="s">
        <v>19</v>
      </c>
      <c r="AD369" s="209" t="s">
        <v>19</v>
      </c>
      <c r="AE369" s="209" t="s">
        <v>19</v>
      </c>
      <c r="AF369" s="234" t="s">
        <v>19</v>
      </c>
      <c r="AG369" s="209" t="s">
        <v>19</v>
      </c>
      <c r="AH369" s="209" t="s">
        <v>19</v>
      </c>
      <c r="AI369" s="234" t="s">
        <v>19</v>
      </c>
      <c r="AJ369" s="209" t="s">
        <v>19</v>
      </c>
      <c r="AK369" s="209" t="s">
        <v>19</v>
      </c>
      <c r="AL369" s="234" t="s">
        <v>19</v>
      </c>
      <c r="AM369" s="209" t="s">
        <v>19</v>
      </c>
      <c r="AN369" s="209" t="s">
        <v>19</v>
      </c>
      <c r="AO369" s="234" t="s">
        <v>19</v>
      </c>
      <c r="AP369" s="235" t="s">
        <v>19</v>
      </c>
      <c r="AQ369" s="209" t="s">
        <v>19</v>
      </c>
      <c r="AR369" s="209" t="s">
        <v>306</v>
      </c>
      <c r="AS369" s="234" t="s">
        <v>306</v>
      </c>
      <c r="AT369" s="209" t="s">
        <v>19</v>
      </c>
      <c r="AU369" s="209" t="s">
        <v>19</v>
      </c>
      <c r="AV369" s="234" t="s">
        <v>19</v>
      </c>
      <c r="AW369" s="209" t="s">
        <v>19</v>
      </c>
      <c r="AX369" s="209" t="s">
        <v>19</v>
      </c>
      <c r="AY369" s="234" t="s">
        <v>19</v>
      </c>
      <c r="AZ369" s="209" t="s">
        <v>19</v>
      </c>
      <c r="BA369" s="209" t="s">
        <v>19</v>
      </c>
      <c r="BB369" s="234" t="s">
        <v>19</v>
      </c>
      <c r="BC369" s="235" t="s">
        <v>19</v>
      </c>
      <c r="BD369" s="188"/>
    </row>
    <row r="370" spans="1:56" ht="12.75" customHeight="1" x14ac:dyDescent="0.25">
      <c r="A370" s="238">
        <v>45243.423637928237</v>
      </c>
      <c r="B370" s="233" t="s">
        <v>406</v>
      </c>
      <c r="C370" s="209" t="s">
        <v>587</v>
      </c>
      <c r="D370" s="232" t="s">
        <v>17</v>
      </c>
      <c r="E370" s="232" t="s">
        <v>515</v>
      </c>
      <c r="F370" s="209" t="s">
        <v>967</v>
      </c>
      <c r="G370" s="232" t="s">
        <v>24</v>
      </c>
      <c r="H370" s="232">
        <v>13</v>
      </c>
      <c r="I370" s="209" t="s">
        <v>531</v>
      </c>
      <c r="J370" s="188"/>
      <c r="K370" s="209" t="s">
        <v>539</v>
      </c>
      <c r="L370" s="209" t="s">
        <v>531</v>
      </c>
      <c r="M370" s="188"/>
      <c r="N370" s="188"/>
      <c r="O370" s="188"/>
      <c r="P370" s="188"/>
      <c r="Q370" s="209" t="s">
        <v>19</v>
      </c>
      <c r="R370" s="209" t="s">
        <v>19</v>
      </c>
      <c r="S370" s="234" t="s">
        <v>19</v>
      </c>
      <c r="T370" s="209" t="s">
        <v>19</v>
      </c>
      <c r="U370" s="209" t="s">
        <v>19</v>
      </c>
      <c r="V370" s="234" t="s">
        <v>19</v>
      </c>
      <c r="W370" s="209" t="s">
        <v>19</v>
      </c>
      <c r="X370" s="209" t="s">
        <v>19</v>
      </c>
      <c r="Y370" s="234" t="s">
        <v>19</v>
      </c>
      <c r="Z370" s="209" t="s">
        <v>19</v>
      </c>
      <c r="AA370" s="209" t="s">
        <v>19</v>
      </c>
      <c r="AB370" s="234" t="s">
        <v>19</v>
      </c>
      <c r="AC370" s="235" t="s">
        <v>19</v>
      </c>
      <c r="AD370" s="209" t="s">
        <v>19</v>
      </c>
      <c r="AE370" s="209" t="s">
        <v>19</v>
      </c>
      <c r="AF370" s="234" t="s">
        <v>19</v>
      </c>
      <c r="AG370" s="209" t="s">
        <v>19</v>
      </c>
      <c r="AH370" s="209" t="s">
        <v>19</v>
      </c>
      <c r="AI370" s="234" t="s">
        <v>19</v>
      </c>
      <c r="AJ370" s="209" t="s">
        <v>19</v>
      </c>
      <c r="AK370" s="209" t="s">
        <v>19</v>
      </c>
      <c r="AL370" s="234" t="s">
        <v>19</v>
      </c>
      <c r="AM370" s="209" t="s">
        <v>19</v>
      </c>
      <c r="AN370" s="209" t="s">
        <v>19</v>
      </c>
      <c r="AO370" s="234" t="s">
        <v>19</v>
      </c>
      <c r="AP370" s="235" t="s">
        <v>19</v>
      </c>
      <c r="AQ370" s="209" t="s">
        <v>19</v>
      </c>
      <c r="AR370" s="209" t="s">
        <v>19</v>
      </c>
      <c r="AS370" s="234" t="s">
        <v>19</v>
      </c>
      <c r="AT370" s="209" t="s">
        <v>19</v>
      </c>
      <c r="AU370" s="209" t="s">
        <v>19</v>
      </c>
      <c r="AV370" s="234" t="s">
        <v>19</v>
      </c>
      <c r="AW370" s="209" t="s">
        <v>19</v>
      </c>
      <c r="AX370" s="209" t="s">
        <v>19</v>
      </c>
      <c r="AY370" s="234" t="s">
        <v>19</v>
      </c>
      <c r="AZ370" s="209" t="s">
        <v>19</v>
      </c>
      <c r="BA370" s="209" t="s">
        <v>19</v>
      </c>
      <c r="BB370" s="234" t="s">
        <v>19</v>
      </c>
      <c r="BC370" s="235" t="s">
        <v>19</v>
      </c>
      <c r="BD370" s="188"/>
    </row>
    <row r="371" spans="1:56" ht="12.75" customHeight="1" x14ac:dyDescent="0.25">
      <c r="A371" s="238">
        <v>45243.425827002313</v>
      </c>
      <c r="B371" s="233" t="s">
        <v>406</v>
      </c>
      <c r="C371" s="209" t="s">
        <v>587</v>
      </c>
      <c r="D371" s="232" t="s">
        <v>17</v>
      </c>
      <c r="E371" s="232" t="s">
        <v>515</v>
      </c>
      <c r="F371" s="209" t="s">
        <v>968</v>
      </c>
      <c r="G371" s="232" t="s">
        <v>18</v>
      </c>
      <c r="H371" s="232">
        <v>12</v>
      </c>
      <c r="I371" s="209" t="s">
        <v>531</v>
      </c>
      <c r="J371" s="188"/>
      <c r="K371" s="209" t="s">
        <v>539</v>
      </c>
      <c r="L371" s="209" t="s">
        <v>531</v>
      </c>
      <c r="M371" s="188"/>
      <c r="N371" s="188"/>
      <c r="O371" s="188"/>
      <c r="P371" s="188"/>
      <c r="Q371" s="209" t="s">
        <v>19</v>
      </c>
      <c r="R371" s="209" t="s">
        <v>306</v>
      </c>
      <c r="S371" s="234" t="s">
        <v>306</v>
      </c>
      <c r="T371" s="209" t="s">
        <v>19</v>
      </c>
      <c r="U371" s="209" t="s">
        <v>306</v>
      </c>
      <c r="V371" s="234" t="s">
        <v>306</v>
      </c>
      <c r="W371" s="209" t="s">
        <v>19</v>
      </c>
      <c r="X371" s="209" t="s">
        <v>19</v>
      </c>
      <c r="Y371" s="234" t="s">
        <v>19</v>
      </c>
      <c r="Z371" s="209" t="s">
        <v>19</v>
      </c>
      <c r="AA371" s="209" t="s">
        <v>19</v>
      </c>
      <c r="AB371" s="234" t="s">
        <v>19</v>
      </c>
      <c r="AC371" s="235" t="s">
        <v>19</v>
      </c>
      <c r="AD371" s="209" t="s">
        <v>306</v>
      </c>
      <c r="AE371" s="209" t="s">
        <v>306</v>
      </c>
      <c r="AF371" s="234" t="s">
        <v>306</v>
      </c>
      <c r="AG371" s="209" t="s">
        <v>306</v>
      </c>
      <c r="AH371" s="209" t="s">
        <v>19</v>
      </c>
      <c r="AI371" s="234" t="s">
        <v>306</v>
      </c>
      <c r="AJ371" s="209" t="s">
        <v>19</v>
      </c>
      <c r="AK371" s="209" t="s">
        <v>19</v>
      </c>
      <c r="AL371" s="234" t="s">
        <v>19</v>
      </c>
      <c r="AM371" s="209" t="s">
        <v>19</v>
      </c>
      <c r="AN371" s="209" t="s">
        <v>19</v>
      </c>
      <c r="AO371" s="234" t="s">
        <v>19</v>
      </c>
      <c r="AP371" s="235" t="s">
        <v>19</v>
      </c>
      <c r="AQ371" s="209" t="s">
        <v>306</v>
      </c>
      <c r="AR371" s="209" t="s">
        <v>19</v>
      </c>
      <c r="AS371" s="234" t="s">
        <v>306</v>
      </c>
      <c r="AT371" s="209" t="s">
        <v>19</v>
      </c>
      <c r="AU371" s="209" t="s">
        <v>19</v>
      </c>
      <c r="AV371" s="234" t="s">
        <v>19</v>
      </c>
      <c r="AW371" s="209" t="s">
        <v>19</v>
      </c>
      <c r="AX371" s="209" t="s">
        <v>19</v>
      </c>
      <c r="AY371" s="234" t="s">
        <v>19</v>
      </c>
      <c r="AZ371" s="209" t="s">
        <v>19</v>
      </c>
      <c r="BA371" s="209" t="s">
        <v>19</v>
      </c>
      <c r="BB371" s="234" t="s">
        <v>19</v>
      </c>
      <c r="BC371" s="235" t="s">
        <v>19</v>
      </c>
      <c r="BD371" s="188"/>
    </row>
    <row r="372" spans="1:56" ht="12.75" customHeight="1" x14ac:dyDescent="0.25">
      <c r="A372" s="239">
        <v>44796.685136064814</v>
      </c>
      <c r="B372" s="137" t="s">
        <v>406</v>
      </c>
      <c r="C372" s="211" t="s">
        <v>595</v>
      </c>
      <c r="D372" s="211" t="s">
        <v>17</v>
      </c>
      <c r="E372" s="232" t="s">
        <v>515</v>
      </c>
      <c r="F372" s="188" t="s">
        <v>969</v>
      </c>
      <c r="G372" s="211" t="s">
        <v>24</v>
      </c>
      <c r="H372" s="211">
        <v>11</v>
      </c>
      <c r="I372" s="188" t="s">
        <v>531</v>
      </c>
      <c r="J372" s="188" t="s">
        <v>539</v>
      </c>
      <c r="K372" s="209" t="s">
        <v>539</v>
      </c>
      <c r="L372" s="188" t="s">
        <v>531</v>
      </c>
      <c r="M372" s="188" t="s">
        <v>614</v>
      </c>
      <c r="N372" s="188"/>
      <c r="O372" s="188"/>
      <c r="P372" s="188"/>
      <c r="Q372" s="188" t="s">
        <v>25</v>
      </c>
      <c r="R372" s="188" t="s">
        <v>25</v>
      </c>
      <c r="S372" s="234" t="s">
        <v>25</v>
      </c>
      <c r="T372" s="188" t="s">
        <v>19</v>
      </c>
      <c r="U372" s="188" t="s">
        <v>25</v>
      </c>
      <c r="V372" s="234" t="s">
        <v>306</v>
      </c>
      <c r="W372" s="188" t="s">
        <v>25</v>
      </c>
      <c r="X372" s="188" t="s">
        <v>306</v>
      </c>
      <c r="Y372" s="234" t="s">
        <v>25</v>
      </c>
      <c r="Z372" s="188" t="s">
        <v>25</v>
      </c>
      <c r="AA372" s="188" t="s">
        <v>25</v>
      </c>
      <c r="AB372" s="234" t="s">
        <v>25</v>
      </c>
      <c r="AC372" s="235" t="s">
        <v>25</v>
      </c>
      <c r="AD372" s="188" t="s">
        <v>306</v>
      </c>
      <c r="AE372" s="188" t="s">
        <v>25</v>
      </c>
      <c r="AF372" s="234" t="s">
        <v>25</v>
      </c>
      <c r="AG372" s="188" t="s">
        <v>25</v>
      </c>
      <c r="AH372" s="188" t="s">
        <v>25</v>
      </c>
      <c r="AI372" s="234" t="s">
        <v>25</v>
      </c>
      <c r="AJ372" s="188" t="s">
        <v>306</v>
      </c>
      <c r="AK372" s="188" t="s">
        <v>19</v>
      </c>
      <c r="AL372" s="234" t="s">
        <v>306</v>
      </c>
      <c r="AM372" s="188" t="s">
        <v>306</v>
      </c>
      <c r="AN372" s="188" t="s">
        <v>306</v>
      </c>
      <c r="AO372" s="234" t="s">
        <v>306</v>
      </c>
      <c r="AP372" s="235" t="s">
        <v>306</v>
      </c>
      <c r="AQ372" s="188" t="s">
        <v>306</v>
      </c>
      <c r="AR372" s="188" t="s">
        <v>306</v>
      </c>
      <c r="AS372" s="234" t="s">
        <v>306</v>
      </c>
      <c r="AT372" s="188" t="s">
        <v>25</v>
      </c>
      <c r="AU372" s="188" t="s">
        <v>25</v>
      </c>
      <c r="AV372" s="234" t="s">
        <v>25</v>
      </c>
      <c r="AW372" s="188" t="s">
        <v>306</v>
      </c>
      <c r="AX372" s="188" t="s">
        <v>25</v>
      </c>
      <c r="AY372" s="234" t="s">
        <v>25</v>
      </c>
      <c r="AZ372" s="188" t="s">
        <v>25</v>
      </c>
      <c r="BA372" s="188" t="s">
        <v>25</v>
      </c>
      <c r="BB372" s="234" t="s">
        <v>19</v>
      </c>
      <c r="BC372" s="235" t="s">
        <v>19</v>
      </c>
      <c r="BD372" s="188"/>
    </row>
    <row r="373" spans="1:56" ht="12.75" customHeight="1" x14ac:dyDescent="0.25">
      <c r="A373" s="239">
        <v>44796.731702569443</v>
      </c>
      <c r="B373" s="137" t="s">
        <v>406</v>
      </c>
      <c r="C373" s="211" t="s">
        <v>595</v>
      </c>
      <c r="D373" s="211" t="s">
        <v>17</v>
      </c>
      <c r="E373" s="232" t="s">
        <v>515</v>
      </c>
      <c r="F373" s="188" t="s">
        <v>970</v>
      </c>
      <c r="G373" s="211" t="s">
        <v>18</v>
      </c>
      <c r="H373" s="211">
        <v>12</v>
      </c>
      <c r="I373" s="188" t="s">
        <v>531</v>
      </c>
      <c r="J373" s="188" t="s">
        <v>539</v>
      </c>
      <c r="K373" s="209" t="s">
        <v>539</v>
      </c>
      <c r="L373" s="188" t="s">
        <v>531</v>
      </c>
      <c r="M373" s="188" t="s">
        <v>614</v>
      </c>
      <c r="N373" s="188"/>
      <c r="O373" s="188"/>
      <c r="P373" s="188"/>
      <c r="Q373" s="188" t="s">
        <v>25</v>
      </c>
      <c r="R373" s="188" t="s">
        <v>25</v>
      </c>
      <c r="S373" s="234" t="s">
        <v>25</v>
      </c>
      <c r="T373" s="188" t="s">
        <v>25</v>
      </c>
      <c r="U373" s="188" t="s">
        <v>25</v>
      </c>
      <c r="V373" s="234" t="s">
        <v>25</v>
      </c>
      <c r="W373" s="188" t="s">
        <v>306</v>
      </c>
      <c r="X373" s="188" t="s">
        <v>25</v>
      </c>
      <c r="Y373" s="234" t="s">
        <v>25</v>
      </c>
      <c r="Z373" s="188" t="s">
        <v>25</v>
      </c>
      <c r="AA373" s="188" t="s">
        <v>25</v>
      </c>
      <c r="AB373" s="234" t="s">
        <v>25</v>
      </c>
      <c r="AC373" s="235" t="s">
        <v>25</v>
      </c>
      <c r="AD373" s="188" t="s">
        <v>25</v>
      </c>
      <c r="AE373" s="188" t="s">
        <v>25</v>
      </c>
      <c r="AF373" s="234" t="s">
        <v>25</v>
      </c>
      <c r="AG373" s="188" t="s">
        <v>306</v>
      </c>
      <c r="AH373" s="188" t="s">
        <v>306</v>
      </c>
      <c r="AI373" s="234" t="s">
        <v>306</v>
      </c>
      <c r="AJ373" s="188" t="s">
        <v>306</v>
      </c>
      <c r="AK373" s="188" t="s">
        <v>25</v>
      </c>
      <c r="AL373" s="234" t="s">
        <v>25</v>
      </c>
      <c r="AM373" s="188" t="s">
        <v>25</v>
      </c>
      <c r="AN373" s="188" t="s">
        <v>306</v>
      </c>
      <c r="AO373" s="234" t="s">
        <v>25</v>
      </c>
      <c r="AP373" s="235" t="s">
        <v>25</v>
      </c>
      <c r="AQ373" s="188" t="s">
        <v>306</v>
      </c>
      <c r="AR373" s="188" t="s">
        <v>25</v>
      </c>
      <c r="AS373" s="234" t="s">
        <v>25</v>
      </c>
      <c r="AT373" s="188" t="s">
        <v>25</v>
      </c>
      <c r="AU373" s="188" t="s">
        <v>25</v>
      </c>
      <c r="AV373" s="234" t="s">
        <v>25</v>
      </c>
      <c r="AW373" s="188" t="s">
        <v>19</v>
      </c>
      <c r="AX373" s="188" t="s">
        <v>25</v>
      </c>
      <c r="AY373" s="234" t="s">
        <v>306</v>
      </c>
      <c r="AZ373" s="188" t="s">
        <v>306</v>
      </c>
      <c r="BA373" s="188" t="s">
        <v>19</v>
      </c>
      <c r="BB373" s="234" t="s">
        <v>19</v>
      </c>
      <c r="BC373" s="235" t="s">
        <v>306</v>
      </c>
      <c r="BD373" s="188"/>
    </row>
    <row r="374" spans="1:56" ht="12.75" customHeight="1" x14ac:dyDescent="0.25">
      <c r="A374" s="239">
        <v>44796.823723530091</v>
      </c>
      <c r="B374" s="137" t="s">
        <v>406</v>
      </c>
      <c r="C374" s="211" t="s">
        <v>595</v>
      </c>
      <c r="D374" s="211" t="s">
        <v>17</v>
      </c>
      <c r="E374" s="232" t="s">
        <v>515</v>
      </c>
      <c r="F374" s="188" t="s">
        <v>971</v>
      </c>
      <c r="G374" s="211" t="s">
        <v>18</v>
      </c>
      <c r="H374" s="211">
        <v>12</v>
      </c>
      <c r="I374" s="188" t="s">
        <v>531</v>
      </c>
      <c r="J374" s="188" t="s">
        <v>539</v>
      </c>
      <c r="K374" s="209" t="s">
        <v>539</v>
      </c>
      <c r="L374" s="188" t="s">
        <v>531</v>
      </c>
      <c r="M374" s="188" t="s">
        <v>614</v>
      </c>
      <c r="N374" s="188"/>
      <c r="O374" s="188"/>
      <c r="P374" s="188"/>
      <c r="Q374" s="188" t="s">
        <v>25</v>
      </c>
      <c r="R374" s="188" t="s">
        <v>25</v>
      </c>
      <c r="S374" s="234" t="s">
        <v>25</v>
      </c>
      <c r="T374" s="188" t="s">
        <v>25</v>
      </c>
      <c r="U374" s="188" t="s">
        <v>25</v>
      </c>
      <c r="V374" s="234" t="s">
        <v>25</v>
      </c>
      <c r="W374" s="188" t="s">
        <v>25</v>
      </c>
      <c r="X374" s="188" t="s">
        <v>25</v>
      </c>
      <c r="Y374" s="234" t="s">
        <v>25</v>
      </c>
      <c r="Z374" s="188" t="s">
        <v>19</v>
      </c>
      <c r="AA374" s="188" t="s">
        <v>25</v>
      </c>
      <c r="AB374" s="234" t="s">
        <v>306</v>
      </c>
      <c r="AC374" s="235" t="s">
        <v>25</v>
      </c>
      <c r="AD374" s="188" t="s">
        <v>306</v>
      </c>
      <c r="AE374" s="188" t="s">
        <v>306</v>
      </c>
      <c r="AF374" s="234" t="s">
        <v>306</v>
      </c>
      <c r="AG374" s="188" t="s">
        <v>19</v>
      </c>
      <c r="AH374" s="188" t="s">
        <v>19</v>
      </c>
      <c r="AI374" s="234" t="s">
        <v>19</v>
      </c>
      <c r="AJ374" s="188" t="s">
        <v>306</v>
      </c>
      <c r="AK374" s="188" t="s">
        <v>19</v>
      </c>
      <c r="AL374" s="234" t="s">
        <v>306</v>
      </c>
      <c r="AM374" s="188" t="s">
        <v>19</v>
      </c>
      <c r="AN374" s="188" t="s">
        <v>19</v>
      </c>
      <c r="AO374" s="234" t="s">
        <v>19</v>
      </c>
      <c r="AP374" s="235" t="s">
        <v>19</v>
      </c>
      <c r="AQ374" s="188" t="s">
        <v>19</v>
      </c>
      <c r="AR374" s="188" t="s">
        <v>25</v>
      </c>
      <c r="AS374" s="234" t="s">
        <v>306</v>
      </c>
      <c r="AT374" s="188" t="s">
        <v>25</v>
      </c>
      <c r="AU374" s="188" t="s">
        <v>25</v>
      </c>
      <c r="AV374" s="234" t="s">
        <v>25</v>
      </c>
      <c r="AW374" s="188" t="s">
        <v>19</v>
      </c>
      <c r="AX374" s="188" t="s">
        <v>306</v>
      </c>
      <c r="AY374" s="234" t="s">
        <v>306</v>
      </c>
      <c r="AZ374" s="188" t="s">
        <v>306</v>
      </c>
      <c r="BA374" s="188" t="s">
        <v>306</v>
      </c>
      <c r="BB374" s="234" t="s">
        <v>25</v>
      </c>
      <c r="BC374" s="235" t="s">
        <v>25</v>
      </c>
      <c r="BD374" s="188"/>
    </row>
    <row r="375" spans="1:56" ht="12.75" customHeight="1" x14ac:dyDescent="0.25">
      <c r="A375" s="239">
        <v>44796.835374953705</v>
      </c>
      <c r="B375" s="137" t="s">
        <v>406</v>
      </c>
      <c r="C375" s="211" t="s">
        <v>595</v>
      </c>
      <c r="D375" s="211" t="s">
        <v>17</v>
      </c>
      <c r="E375" s="232" t="s">
        <v>515</v>
      </c>
      <c r="F375" s="188" t="s">
        <v>972</v>
      </c>
      <c r="G375" s="211" t="s">
        <v>24</v>
      </c>
      <c r="H375" s="211">
        <v>13</v>
      </c>
      <c r="I375" s="188" t="s">
        <v>531</v>
      </c>
      <c r="J375" s="188" t="s">
        <v>539</v>
      </c>
      <c r="K375" s="209" t="s">
        <v>539</v>
      </c>
      <c r="L375" s="188" t="s">
        <v>531</v>
      </c>
      <c r="M375" s="188" t="s">
        <v>614</v>
      </c>
      <c r="N375" s="188"/>
      <c r="O375" s="188"/>
      <c r="P375" s="188"/>
      <c r="Q375" s="188" t="s">
        <v>19</v>
      </c>
      <c r="R375" s="188" t="s">
        <v>19</v>
      </c>
      <c r="S375" s="234" t="s">
        <v>19</v>
      </c>
      <c r="T375" s="188" t="s">
        <v>19</v>
      </c>
      <c r="U375" s="188" t="s">
        <v>25</v>
      </c>
      <c r="V375" s="234" t="s">
        <v>306</v>
      </c>
      <c r="W375" s="188" t="s">
        <v>306</v>
      </c>
      <c r="X375" s="188" t="s">
        <v>306</v>
      </c>
      <c r="Y375" s="234" t="s">
        <v>306</v>
      </c>
      <c r="Z375" s="188" t="s">
        <v>19</v>
      </c>
      <c r="AA375" s="188" t="s">
        <v>25</v>
      </c>
      <c r="AB375" s="234" t="s">
        <v>306</v>
      </c>
      <c r="AC375" s="235" t="s">
        <v>306</v>
      </c>
      <c r="AD375" s="188" t="s">
        <v>25</v>
      </c>
      <c r="AE375" s="188" t="s">
        <v>306</v>
      </c>
      <c r="AF375" s="234" t="s">
        <v>25</v>
      </c>
      <c r="AG375" s="188" t="s">
        <v>306</v>
      </c>
      <c r="AH375" s="188" t="s">
        <v>25</v>
      </c>
      <c r="AI375" s="234" t="s">
        <v>25</v>
      </c>
      <c r="AJ375" s="188" t="s">
        <v>25</v>
      </c>
      <c r="AK375" s="188" t="s">
        <v>25</v>
      </c>
      <c r="AL375" s="234" t="s">
        <v>25</v>
      </c>
      <c r="AM375" s="188" t="s">
        <v>306</v>
      </c>
      <c r="AN375" s="188" t="s">
        <v>25</v>
      </c>
      <c r="AO375" s="234" t="s">
        <v>25</v>
      </c>
      <c r="AP375" s="235" t="s">
        <v>25</v>
      </c>
      <c r="AQ375" s="188" t="s">
        <v>25</v>
      </c>
      <c r="AR375" s="188" t="s">
        <v>25</v>
      </c>
      <c r="AS375" s="234" t="s">
        <v>25</v>
      </c>
      <c r="AT375" s="188" t="s">
        <v>25</v>
      </c>
      <c r="AU375" s="188" t="s">
        <v>25</v>
      </c>
      <c r="AV375" s="234" t="s">
        <v>25</v>
      </c>
      <c r="AW375" s="188" t="s">
        <v>19</v>
      </c>
      <c r="AX375" s="188" t="s">
        <v>306</v>
      </c>
      <c r="AY375" s="234" t="s">
        <v>306</v>
      </c>
      <c r="AZ375" s="188" t="s">
        <v>25</v>
      </c>
      <c r="BA375" s="188" t="s">
        <v>19</v>
      </c>
      <c r="BB375" s="234" t="s">
        <v>19</v>
      </c>
      <c r="BC375" s="235" t="s">
        <v>19</v>
      </c>
      <c r="BD375" s="188"/>
    </row>
    <row r="376" spans="1:56" ht="12.75" customHeight="1" x14ac:dyDescent="0.25">
      <c r="A376" s="239">
        <v>44796.840190682866</v>
      </c>
      <c r="B376" s="137" t="s">
        <v>406</v>
      </c>
      <c r="C376" s="211" t="s">
        <v>595</v>
      </c>
      <c r="D376" s="211" t="s">
        <v>17</v>
      </c>
      <c r="E376" s="232" t="s">
        <v>515</v>
      </c>
      <c r="F376" s="188" t="s">
        <v>973</v>
      </c>
      <c r="G376" s="211" t="s">
        <v>18</v>
      </c>
      <c r="H376" s="211">
        <v>12</v>
      </c>
      <c r="I376" s="188" t="s">
        <v>531</v>
      </c>
      <c r="J376" s="188" t="s">
        <v>539</v>
      </c>
      <c r="K376" s="209" t="s">
        <v>539</v>
      </c>
      <c r="L376" s="188" t="s">
        <v>531</v>
      </c>
      <c r="M376" s="188" t="s">
        <v>614</v>
      </c>
      <c r="N376" s="188"/>
      <c r="O376" s="188"/>
      <c r="P376" s="188"/>
      <c r="Q376" s="188" t="s">
        <v>25</v>
      </c>
      <c r="R376" s="188" t="s">
        <v>25</v>
      </c>
      <c r="S376" s="234" t="s">
        <v>25</v>
      </c>
      <c r="T376" s="188" t="s">
        <v>19</v>
      </c>
      <c r="U376" s="188" t="s">
        <v>25</v>
      </c>
      <c r="V376" s="234" t="s">
        <v>306</v>
      </c>
      <c r="W376" s="188" t="s">
        <v>306</v>
      </c>
      <c r="X376" s="188" t="s">
        <v>306</v>
      </c>
      <c r="Y376" s="234" t="s">
        <v>306</v>
      </c>
      <c r="Z376" s="188" t="s">
        <v>306</v>
      </c>
      <c r="AA376" s="188" t="s">
        <v>306</v>
      </c>
      <c r="AB376" s="234" t="s">
        <v>306</v>
      </c>
      <c r="AC376" s="235" t="s">
        <v>306</v>
      </c>
      <c r="AD376" s="188" t="s">
        <v>25</v>
      </c>
      <c r="AE376" s="188" t="s">
        <v>25</v>
      </c>
      <c r="AF376" s="234" t="s">
        <v>25</v>
      </c>
      <c r="AG376" s="188" t="s">
        <v>25</v>
      </c>
      <c r="AH376" s="188" t="s">
        <v>306</v>
      </c>
      <c r="AI376" s="234" t="s">
        <v>25</v>
      </c>
      <c r="AJ376" s="188" t="s">
        <v>25</v>
      </c>
      <c r="AK376" s="188" t="s">
        <v>306</v>
      </c>
      <c r="AL376" s="234" t="s">
        <v>25</v>
      </c>
      <c r="AM376" s="188" t="s">
        <v>306</v>
      </c>
      <c r="AN376" s="188" t="s">
        <v>19</v>
      </c>
      <c r="AO376" s="234" t="s">
        <v>306</v>
      </c>
      <c r="AP376" s="235" t="s">
        <v>306</v>
      </c>
      <c r="AQ376" s="188" t="s">
        <v>306</v>
      </c>
      <c r="AR376" s="188" t="s">
        <v>19</v>
      </c>
      <c r="AS376" s="234" t="s">
        <v>306</v>
      </c>
      <c r="AT376" s="188" t="s">
        <v>306</v>
      </c>
      <c r="AU376" s="188" t="s">
        <v>25</v>
      </c>
      <c r="AV376" s="234" t="s">
        <v>25</v>
      </c>
      <c r="AW376" s="188" t="s">
        <v>19</v>
      </c>
      <c r="AX376" s="188" t="s">
        <v>306</v>
      </c>
      <c r="AY376" s="234" t="s">
        <v>306</v>
      </c>
      <c r="AZ376" s="188" t="s">
        <v>25</v>
      </c>
      <c r="BA376" s="188" t="s">
        <v>19</v>
      </c>
      <c r="BB376" s="234" t="s">
        <v>25</v>
      </c>
      <c r="BC376" s="235" t="s">
        <v>25</v>
      </c>
      <c r="BD376" s="188"/>
    </row>
    <row r="377" spans="1:56" ht="12.75" customHeight="1" x14ac:dyDescent="0.25">
      <c r="A377" s="239">
        <v>44796.843646400463</v>
      </c>
      <c r="B377" s="137" t="s">
        <v>406</v>
      </c>
      <c r="C377" s="211" t="s">
        <v>595</v>
      </c>
      <c r="D377" s="211" t="s">
        <v>17</v>
      </c>
      <c r="E377" s="232" t="s">
        <v>515</v>
      </c>
      <c r="F377" s="188" t="s">
        <v>974</v>
      </c>
      <c r="G377" s="211" t="s">
        <v>18</v>
      </c>
      <c r="H377" s="211">
        <v>13</v>
      </c>
      <c r="I377" s="188" t="s">
        <v>531</v>
      </c>
      <c r="J377" s="188" t="s">
        <v>539</v>
      </c>
      <c r="K377" s="209" t="s">
        <v>539</v>
      </c>
      <c r="L377" s="188" t="s">
        <v>531</v>
      </c>
      <c r="M377" s="188" t="s">
        <v>614</v>
      </c>
      <c r="N377" s="188"/>
      <c r="O377" s="188"/>
      <c r="P377" s="188"/>
      <c r="Q377" s="188" t="s">
        <v>19</v>
      </c>
      <c r="R377" s="188" t="s">
        <v>19</v>
      </c>
      <c r="S377" s="234" t="s">
        <v>19</v>
      </c>
      <c r="T377" s="188" t="s">
        <v>19</v>
      </c>
      <c r="U377" s="188" t="s">
        <v>19</v>
      </c>
      <c r="V377" s="234" t="s">
        <v>19</v>
      </c>
      <c r="W377" s="188" t="s">
        <v>19</v>
      </c>
      <c r="X377" s="188" t="s">
        <v>19</v>
      </c>
      <c r="Y377" s="234" t="s">
        <v>19</v>
      </c>
      <c r="Z377" s="188" t="s">
        <v>19</v>
      </c>
      <c r="AA377" s="188" t="s">
        <v>19</v>
      </c>
      <c r="AB377" s="234" t="s">
        <v>19</v>
      </c>
      <c r="AC377" s="235" t="s">
        <v>19</v>
      </c>
      <c r="AD377" s="188" t="s">
        <v>306</v>
      </c>
      <c r="AE377" s="188" t="s">
        <v>306</v>
      </c>
      <c r="AF377" s="234" t="s">
        <v>306</v>
      </c>
      <c r="AG377" s="188" t="s">
        <v>306</v>
      </c>
      <c r="AH377" s="188" t="s">
        <v>19</v>
      </c>
      <c r="AI377" s="234" t="s">
        <v>306</v>
      </c>
      <c r="AJ377" s="188" t="s">
        <v>19</v>
      </c>
      <c r="AK377" s="188" t="s">
        <v>19</v>
      </c>
      <c r="AL377" s="234" t="s">
        <v>19</v>
      </c>
      <c r="AM377" s="188" t="s">
        <v>306</v>
      </c>
      <c r="AN377" s="188" t="s">
        <v>19</v>
      </c>
      <c r="AO377" s="234" t="s">
        <v>306</v>
      </c>
      <c r="AP377" s="235" t="s">
        <v>306</v>
      </c>
      <c r="AQ377" s="188" t="s">
        <v>25</v>
      </c>
      <c r="AR377" s="188" t="s">
        <v>306</v>
      </c>
      <c r="AS377" s="234" t="s">
        <v>25</v>
      </c>
      <c r="AT377" s="188" t="s">
        <v>25</v>
      </c>
      <c r="AU377" s="188" t="s">
        <v>19</v>
      </c>
      <c r="AV377" s="234" t="s">
        <v>306</v>
      </c>
      <c r="AW377" s="188" t="s">
        <v>19</v>
      </c>
      <c r="AX377" s="188" t="s">
        <v>306</v>
      </c>
      <c r="AY377" s="234" t="s">
        <v>306</v>
      </c>
      <c r="AZ377" s="188" t="s">
        <v>19</v>
      </c>
      <c r="BA377" s="188" t="s">
        <v>306</v>
      </c>
      <c r="BB377" s="234" t="s">
        <v>306</v>
      </c>
      <c r="BC377" s="235" t="s">
        <v>306</v>
      </c>
      <c r="BD377" s="188"/>
    </row>
    <row r="378" spans="1:56" ht="12.75" customHeight="1" x14ac:dyDescent="0.25">
      <c r="A378" s="239">
        <v>44796.847014780091</v>
      </c>
      <c r="B378" s="137" t="s">
        <v>406</v>
      </c>
      <c r="C378" s="211" t="s">
        <v>595</v>
      </c>
      <c r="D378" s="211" t="s">
        <v>17</v>
      </c>
      <c r="E378" s="232" t="s">
        <v>515</v>
      </c>
      <c r="F378" s="188" t="s">
        <v>975</v>
      </c>
      <c r="G378" s="211" t="s">
        <v>24</v>
      </c>
      <c r="H378" s="211">
        <v>15</v>
      </c>
      <c r="I378" s="188" t="s">
        <v>531</v>
      </c>
      <c r="J378" s="188" t="s">
        <v>539</v>
      </c>
      <c r="K378" s="209" t="s">
        <v>539</v>
      </c>
      <c r="L378" s="188" t="s">
        <v>531</v>
      </c>
      <c r="M378" s="188" t="s">
        <v>614</v>
      </c>
      <c r="N378" s="188"/>
      <c r="O378" s="188"/>
      <c r="P378" s="188"/>
      <c r="Q378" s="188" t="s">
        <v>19</v>
      </c>
      <c r="R378" s="188" t="s">
        <v>19</v>
      </c>
      <c r="S378" s="234" t="s">
        <v>19</v>
      </c>
      <c r="T378" s="188" t="s">
        <v>19</v>
      </c>
      <c r="U378" s="188" t="s">
        <v>25</v>
      </c>
      <c r="V378" s="234" t="s">
        <v>306</v>
      </c>
      <c r="W378" s="188" t="s">
        <v>19</v>
      </c>
      <c r="X378" s="188" t="s">
        <v>19</v>
      </c>
      <c r="Y378" s="234" t="s">
        <v>19</v>
      </c>
      <c r="Z378" s="188" t="s">
        <v>19</v>
      </c>
      <c r="AA378" s="188" t="s">
        <v>19</v>
      </c>
      <c r="AB378" s="234" t="s">
        <v>19</v>
      </c>
      <c r="AC378" s="235" t="s">
        <v>19</v>
      </c>
      <c r="AD378" s="188" t="s">
        <v>19</v>
      </c>
      <c r="AE378" s="188" t="s">
        <v>306</v>
      </c>
      <c r="AF378" s="234" t="s">
        <v>306</v>
      </c>
      <c r="AG378" s="188" t="s">
        <v>25</v>
      </c>
      <c r="AH378" s="188" t="s">
        <v>306</v>
      </c>
      <c r="AI378" s="234" t="s">
        <v>25</v>
      </c>
      <c r="AJ378" s="188" t="s">
        <v>19</v>
      </c>
      <c r="AK378" s="188" t="s">
        <v>19</v>
      </c>
      <c r="AL378" s="234" t="s">
        <v>19</v>
      </c>
      <c r="AM378" s="188" t="s">
        <v>306</v>
      </c>
      <c r="AN378" s="188" t="s">
        <v>19</v>
      </c>
      <c r="AO378" s="234" t="s">
        <v>306</v>
      </c>
      <c r="AP378" s="235" t="s">
        <v>306</v>
      </c>
      <c r="AQ378" s="188" t="s">
        <v>306</v>
      </c>
      <c r="AR378" s="188" t="s">
        <v>306</v>
      </c>
      <c r="AS378" s="234" t="s">
        <v>306</v>
      </c>
      <c r="AT378" s="188" t="s">
        <v>25</v>
      </c>
      <c r="AU378" s="188" t="s">
        <v>25</v>
      </c>
      <c r="AV378" s="234" t="s">
        <v>25</v>
      </c>
      <c r="AW378" s="188" t="s">
        <v>19</v>
      </c>
      <c r="AX378" s="188" t="s">
        <v>306</v>
      </c>
      <c r="AY378" s="234" t="s">
        <v>306</v>
      </c>
      <c r="AZ378" s="188" t="s">
        <v>25</v>
      </c>
      <c r="BA378" s="188" t="s">
        <v>25</v>
      </c>
      <c r="BB378" s="234" t="s">
        <v>306</v>
      </c>
      <c r="BC378" s="235" t="s">
        <v>306</v>
      </c>
      <c r="BD378" s="188"/>
    </row>
    <row r="379" spans="1:56" ht="12.75" customHeight="1" x14ac:dyDescent="0.25">
      <c r="A379" s="239">
        <v>44796.848985381948</v>
      </c>
      <c r="B379" s="137" t="s">
        <v>406</v>
      </c>
      <c r="C379" s="211" t="s">
        <v>595</v>
      </c>
      <c r="D379" s="211" t="s">
        <v>17</v>
      </c>
      <c r="E379" s="232" t="s">
        <v>515</v>
      </c>
      <c r="F379" s="188" t="s">
        <v>538</v>
      </c>
      <c r="G379" s="211" t="s">
        <v>18</v>
      </c>
      <c r="H379" s="211">
        <v>12</v>
      </c>
      <c r="I379" s="188" t="s">
        <v>531</v>
      </c>
      <c r="J379" s="188" t="s">
        <v>539</v>
      </c>
      <c r="K379" s="209" t="s">
        <v>539</v>
      </c>
      <c r="L379" s="188" t="s">
        <v>531</v>
      </c>
      <c r="M379" s="188" t="s">
        <v>614</v>
      </c>
      <c r="N379" s="188"/>
      <c r="O379" s="188"/>
      <c r="P379" s="188"/>
      <c r="Q379" s="188" t="s">
        <v>25</v>
      </c>
      <c r="R379" s="188" t="s">
        <v>19</v>
      </c>
      <c r="S379" s="234" t="s">
        <v>306</v>
      </c>
      <c r="T379" s="188" t="s">
        <v>25</v>
      </c>
      <c r="U379" s="188" t="s">
        <v>306</v>
      </c>
      <c r="V379" s="234" t="s">
        <v>25</v>
      </c>
      <c r="W379" s="188" t="s">
        <v>19</v>
      </c>
      <c r="X379" s="188" t="s">
        <v>19</v>
      </c>
      <c r="Y379" s="234" t="s">
        <v>19</v>
      </c>
      <c r="Z379" s="188" t="s">
        <v>19</v>
      </c>
      <c r="AA379" s="188" t="s">
        <v>25</v>
      </c>
      <c r="AB379" s="234" t="s">
        <v>306</v>
      </c>
      <c r="AC379" s="235" t="s">
        <v>306</v>
      </c>
      <c r="AD379" s="188" t="s">
        <v>19</v>
      </c>
      <c r="AE379" s="188" t="s">
        <v>306</v>
      </c>
      <c r="AF379" s="234" t="s">
        <v>306</v>
      </c>
      <c r="AG379" s="188" t="s">
        <v>306</v>
      </c>
      <c r="AH379" s="188" t="s">
        <v>25</v>
      </c>
      <c r="AI379" s="234" t="s">
        <v>25</v>
      </c>
      <c r="AJ379" s="188" t="s">
        <v>19</v>
      </c>
      <c r="AK379" s="188" t="s">
        <v>25</v>
      </c>
      <c r="AL379" s="234" t="s">
        <v>306</v>
      </c>
      <c r="AM379" s="188" t="s">
        <v>306</v>
      </c>
      <c r="AN379" s="188" t="s">
        <v>306</v>
      </c>
      <c r="AO379" s="234" t="s">
        <v>306</v>
      </c>
      <c r="AP379" s="235" t="s">
        <v>306</v>
      </c>
      <c r="AQ379" s="188" t="s">
        <v>25</v>
      </c>
      <c r="AR379" s="188" t="s">
        <v>19</v>
      </c>
      <c r="AS379" s="234" t="s">
        <v>306</v>
      </c>
      <c r="AT379" s="188" t="s">
        <v>25</v>
      </c>
      <c r="AU379" s="188" t="s">
        <v>25</v>
      </c>
      <c r="AV379" s="234" t="s">
        <v>25</v>
      </c>
      <c r="AW379" s="188" t="s">
        <v>19</v>
      </c>
      <c r="AX379" s="188" t="s">
        <v>306</v>
      </c>
      <c r="AY379" s="234" t="s">
        <v>306</v>
      </c>
      <c r="AZ379" s="188" t="s">
        <v>306</v>
      </c>
      <c r="BA379" s="188" t="s">
        <v>25</v>
      </c>
      <c r="BB379" s="234" t="s">
        <v>25</v>
      </c>
      <c r="BC379" s="235" t="s">
        <v>25</v>
      </c>
      <c r="BD379" s="188"/>
    </row>
    <row r="380" spans="1:56" ht="12.75" customHeight="1" x14ac:dyDescent="0.25">
      <c r="A380" s="239">
        <v>44796.850746481483</v>
      </c>
      <c r="B380" s="137" t="s">
        <v>406</v>
      </c>
      <c r="C380" s="211" t="s">
        <v>595</v>
      </c>
      <c r="D380" s="211" t="s">
        <v>17</v>
      </c>
      <c r="E380" s="232" t="s">
        <v>515</v>
      </c>
      <c r="F380" s="188" t="s">
        <v>976</v>
      </c>
      <c r="G380" s="211" t="s">
        <v>18</v>
      </c>
      <c r="H380" s="211">
        <v>12</v>
      </c>
      <c r="I380" s="188" t="s">
        <v>531</v>
      </c>
      <c r="J380" s="188" t="s">
        <v>539</v>
      </c>
      <c r="K380" s="209" t="s">
        <v>539</v>
      </c>
      <c r="L380" s="188" t="s">
        <v>531</v>
      </c>
      <c r="M380" s="188" t="s">
        <v>614</v>
      </c>
      <c r="N380" s="188"/>
      <c r="O380" s="188"/>
      <c r="P380" s="188"/>
      <c r="Q380" s="188" t="s">
        <v>25</v>
      </c>
      <c r="R380" s="188" t="s">
        <v>25</v>
      </c>
      <c r="S380" s="234" t="s">
        <v>25</v>
      </c>
      <c r="T380" s="188" t="s">
        <v>306</v>
      </c>
      <c r="U380" s="188" t="s">
        <v>19</v>
      </c>
      <c r="V380" s="234" t="s">
        <v>306</v>
      </c>
      <c r="W380" s="188" t="s">
        <v>19</v>
      </c>
      <c r="X380" s="188" t="s">
        <v>19</v>
      </c>
      <c r="Y380" s="234" t="s">
        <v>19</v>
      </c>
      <c r="Z380" s="188" t="s">
        <v>19</v>
      </c>
      <c r="AA380" s="188" t="s">
        <v>306</v>
      </c>
      <c r="AB380" s="234" t="s">
        <v>306</v>
      </c>
      <c r="AC380" s="235" t="s">
        <v>306</v>
      </c>
      <c r="AD380" s="188" t="s">
        <v>19</v>
      </c>
      <c r="AE380" s="188" t="s">
        <v>306</v>
      </c>
      <c r="AF380" s="234" t="s">
        <v>306</v>
      </c>
      <c r="AG380" s="188" t="s">
        <v>25</v>
      </c>
      <c r="AH380" s="188" t="s">
        <v>306</v>
      </c>
      <c r="AI380" s="234" t="s">
        <v>25</v>
      </c>
      <c r="AJ380" s="188" t="s">
        <v>306</v>
      </c>
      <c r="AK380" s="188" t="s">
        <v>306</v>
      </c>
      <c r="AL380" s="234" t="s">
        <v>306</v>
      </c>
      <c r="AM380" s="188" t="s">
        <v>25</v>
      </c>
      <c r="AN380" s="188" t="s">
        <v>306</v>
      </c>
      <c r="AO380" s="234" t="s">
        <v>25</v>
      </c>
      <c r="AP380" s="235" t="s">
        <v>306</v>
      </c>
      <c r="AQ380" s="188" t="s">
        <v>306</v>
      </c>
      <c r="AR380" s="188" t="s">
        <v>25</v>
      </c>
      <c r="AS380" s="234" t="s">
        <v>25</v>
      </c>
      <c r="AT380" s="188" t="s">
        <v>25</v>
      </c>
      <c r="AU380" s="188" t="s">
        <v>25</v>
      </c>
      <c r="AV380" s="234" t="s">
        <v>25</v>
      </c>
      <c r="AW380" s="188" t="s">
        <v>19</v>
      </c>
      <c r="AX380" s="188" t="s">
        <v>306</v>
      </c>
      <c r="AY380" s="234" t="s">
        <v>306</v>
      </c>
      <c r="AZ380" s="188" t="s">
        <v>306</v>
      </c>
      <c r="BA380" s="188" t="s">
        <v>25</v>
      </c>
      <c r="BB380" s="234" t="s">
        <v>25</v>
      </c>
      <c r="BC380" s="235" t="s">
        <v>25</v>
      </c>
      <c r="BD380" s="188"/>
    </row>
    <row r="381" spans="1:56" ht="12.75" customHeight="1" x14ac:dyDescent="0.25">
      <c r="A381" s="239">
        <v>44796.92971798611</v>
      </c>
      <c r="B381" s="137" t="s">
        <v>406</v>
      </c>
      <c r="C381" s="211" t="s">
        <v>595</v>
      </c>
      <c r="D381" s="211" t="s">
        <v>17</v>
      </c>
      <c r="E381" s="232" t="s">
        <v>515</v>
      </c>
      <c r="F381" s="188" t="s">
        <v>977</v>
      </c>
      <c r="G381" s="211" t="s">
        <v>18</v>
      </c>
      <c r="H381" s="211">
        <v>12</v>
      </c>
      <c r="I381" s="188" t="s">
        <v>531</v>
      </c>
      <c r="J381" s="188" t="s">
        <v>539</v>
      </c>
      <c r="K381" s="209" t="s">
        <v>539</v>
      </c>
      <c r="L381" s="188" t="s">
        <v>531</v>
      </c>
      <c r="M381" s="188" t="s">
        <v>614</v>
      </c>
      <c r="N381" s="188"/>
      <c r="O381" s="188"/>
      <c r="P381" s="188"/>
      <c r="Q381" s="188" t="s">
        <v>19</v>
      </c>
      <c r="R381" s="188" t="s">
        <v>19</v>
      </c>
      <c r="S381" s="234" t="s">
        <v>19</v>
      </c>
      <c r="T381" s="188" t="s">
        <v>19</v>
      </c>
      <c r="U381" s="188" t="s">
        <v>19</v>
      </c>
      <c r="V381" s="234" t="s">
        <v>19</v>
      </c>
      <c r="W381" s="188" t="s">
        <v>19</v>
      </c>
      <c r="X381" s="188" t="s">
        <v>19</v>
      </c>
      <c r="Y381" s="234" t="s">
        <v>19</v>
      </c>
      <c r="Z381" s="188" t="s">
        <v>19</v>
      </c>
      <c r="AA381" s="188" t="s">
        <v>19</v>
      </c>
      <c r="AB381" s="234" t="s">
        <v>19</v>
      </c>
      <c r="AC381" s="235" t="s">
        <v>19</v>
      </c>
      <c r="AD381" s="188" t="s">
        <v>19</v>
      </c>
      <c r="AE381" s="188" t="s">
        <v>306</v>
      </c>
      <c r="AF381" s="234" t="s">
        <v>306</v>
      </c>
      <c r="AG381" s="188" t="s">
        <v>306</v>
      </c>
      <c r="AH381" s="188" t="s">
        <v>25</v>
      </c>
      <c r="AI381" s="234" t="s">
        <v>25</v>
      </c>
      <c r="AJ381" s="188" t="s">
        <v>306</v>
      </c>
      <c r="AK381" s="188" t="s">
        <v>19</v>
      </c>
      <c r="AL381" s="234" t="s">
        <v>306</v>
      </c>
      <c r="AM381" s="188" t="s">
        <v>306</v>
      </c>
      <c r="AN381" s="188" t="s">
        <v>19</v>
      </c>
      <c r="AO381" s="234" t="s">
        <v>306</v>
      </c>
      <c r="AP381" s="235" t="s">
        <v>306</v>
      </c>
      <c r="AQ381" s="188" t="s">
        <v>306</v>
      </c>
      <c r="AR381" s="188" t="s">
        <v>19</v>
      </c>
      <c r="AS381" s="234" t="s">
        <v>306</v>
      </c>
      <c r="AT381" s="188" t="s">
        <v>306</v>
      </c>
      <c r="AU381" s="188" t="s">
        <v>25</v>
      </c>
      <c r="AV381" s="234" t="s">
        <v>25</v>
      </c>
      <c r="AW381" s="188" t="s">
        <v>19</v>
      </c>
      <c r="AX381" s="188" t="s">
        <v>306</v>
      </c>
      <c r="AY381" s="234" t="s">
        <v>306</v>
      </c>
      <c r="AZ381" s="188" t="s">
        <v>25</v>
      </c>
      <c r="BA381" s="188" t="s">
        <v>25</v>
      </c>
      <c r="BB381" s="234" t="s">
        <v>25</v>
      </c>
      <c r="BC381" s="235" t="s">
        <v>25</v>
      </c>
      <c r="BD381" s="188"/>
    </row>
    <row r="382" spans="1:56" ht="12.75" customHeight="1" x14ac:dyDescent="0.25">
      <c r="A382" s="239">
        <v>44796.932414490744</v>
      </c>
      <c r="B382" s="137" t="s">
        <v>406</v>
      </c>
      <c r="C382" s="211" t="s">
        <v>595</v>
      </c>
      <c r="D382" s="211" t="s">
        <v>17</v>
      </c>
      <c r="E382" s="232" t="s">
        <v>515</v>
      </c>
      <c r="F382" s="188" t="s">
        <v>540</v>
      </c>
      <c r="G382" s="211" t="s">
        <v>18</v>
      </c>
      <c r="H382" s="211">
        <v>12</v>
      </c>
      <c r="I382" s="188" t="s">
        <v>531</v>
      </c>
      <c r="J382" s="188" t="s">
        <v>539</v>
      </c>
      <c r="K382" s="209" t="s">
        <v>539</v>
      </c>
      <c r="L382" s="188" t="s">
        <v>531</v>
      </c>
      <c r="M382" s="188" t="s">
        <v>614</v>
      </c>
      <c r="N382" s="188"/>
      <c r="O382" s="188"/>
      <c r="P382" s="188"/>
      <c r="Q382" s="188" t="s">
        <v>19</v>
      </c>
      <c r="R382" s="188" t="s">
        <v>306</v>
      </c>
      <c r="S382" s="234" t="s">
        <v>306</v>
      </c>
      <c r="T382" s="188" t="s">
        <v>19</v>
      </c>
      <c r="U382" s="188" t="s">
        <v>25</v>
      </c>
      <c r="V382" s="234" t="s">
        <v>306</v>
      </c>
      <c r="W382" s="188" t="s">
        <v>19</v>
      </c>
      <c r="X382" s="188" t="s">
        <v>19</v>
      </c>
      <c r="Y382" s="234" t="s">
        <v>19</v>
      </c>
      <c r="Z382" s="188" t="s">
        <v>19</v>
      </c>
      <c r="AA382" s="188" t="s">
        <v>19</v>
      </c>
      <c r="AB382" s="234" t="s">
        <v>19</v>
      </c>
      <c r="AC382" s="235" t="s">
        <v>19</v>
      </c>
      <c r="AD382" s="188" t="s">
        <v>19</v>
      </c>
      <c r="AE382" s="188" t="s">
        <v>19</v>
      </c>
      <c r="AF382" s="234" t="s">
        <v>19</v>
      </c>
      <c r="AG382" s="188" t="s">
        <v>19</v>
      </c>
      <c r="AH382" s="188" t="s">
        <v>19</v>
      </c>
      <c r="AI382" s="234" t="s">
        <v>19</v>
      </c>
      <c r="AJ382" s="188" t="s">
        <v>19</v>
      </c>
      <c r="AK382" s="188" t="s">
        <v>19</v>
      </c>
      <c r="AL382" s="234" t="s">
        <v>19</v>
      </c>
      <c r="AM382" s="188" t="s">
        <v>19</v>
      </c>
      <c r="AN382" s="188" t="s">
        <v>19</v>
      </c>
      <c r="AO382" s="234" t="s">
        <v>19</v>
      </c>
      <c r="AP382" s="235" t="s">
        <v>19</v>
      </c>
      <c r="AQ382" s="188" t="s">
        <v>19</v>
      </c>
      <c r="AR382" s="188" t="s">
        <v>19</v>
      </c>
      <c r="AS382" s="234" t="s">
        <v>19</v>
      </c>
      <c r="AT382" s="188" t="s">
        <v>19</v>
      </c>
      <c r="AU382" s="188" t="s">
        <v>19</v>
      </c>
      <c r="AV382" s="234" t="s">
        <v>19</v>
      </c>
      <c r="AW382" s="188" t="s">
        <v>19</v>
      </c>
      <c r="AX382" s="188" t="s">
        <v>19</v>
      </c>
      <c r="AY382" s="234" t="s">
        <v>19</v>
      </c>
      <c r="AZ382" s="188" t="s">
        <v>19</v>
      </c>
      <c r="BA382" s="188" t="s">
        <v>19</v>
      </c>
      <c r="BB382" s="234" t="s">
        <v>19</v>
      </c>
      <c r="BC382" s="235" t="s">
        <v>306</v>
      </c>
      <c r="BD382" s="188"/>
    </row>
    <row r="383" spans="1:56" ht="12.75" customHeight="1" x14ac:dyDescent="0.25">
      <c r="A383" s="239">
        <v>44796.934106620371</v>
      </c>
      <c r="B383" s="137" t="s">
        <v>406</v>
      </c>
      <c r="C383" s="211" t="s">
        <v>595</v>
      </c>
      <c r="D383" s="211" t="s">
        <v>17</v>
      </c>
      <c r="E383" s="232" t="s">
        <v>515</v>
      </c>
      <c r="F383" s="188" t="s">
        <v>978</v>
      </c>
      <c r="G383" s="211" t="s">
        <v>24</v>
      </c>
      <c r="H383" s="211">
        <v>14</v>
      </c>
      <c r="I383" s="188" t="s">
        <v>531</v>
      </c>
      <c r="J383" s="188" t="s">
        <v>539</v>
      </c>
      <c r="K383" s="209" t="s">
        <v>539</v>
      </c>
      <c r="L383" s="188" t="s">
        <v>531</v>
      </c>
      <c r="M383" s="188" t="s">
        <v>614</v>
      </c>
      <c r="N383" s="188"/>
      <c r="O383" s="188"/>
      <c r="P383" s="188"/>
      <c r="Q383" s="188" t="s">
        <v>19</v>
      </c>
      <c r="R383" s="188" t="s">
        <v>19</v>
      </c>
      <c r="S383" s="234" t="s">
        <v>19</v>
      </c>
      <c r="T383" s="188" t="s">
        <v>19</v>
      </c>
      <c r="U383" s="188" t="s">
        <v>306</v>
      </c>
      <c r="V383" s="234" t="s">
        <v>306</v>
      </c>
      <c r="W383" s="188" t="s">
        <v>19</v>
      </c>
      <c r="X383" s="188" t="s">
        <v>19</v>
      </c>
      <c r="Y383" s="234" t="s">
        <v>19</v>
      </c>
      <c r="Z383" s="188" t="s">
        <v>19</v>
      </c>
      <c r="AA383" s="188" t="s">
        <v>19</v>
      </c>
      <c r="AB383" s="234" t="s">
        <v>19</v>
      </c>
      <c r="AC383" s="235" t="s">
        <v>19</v>
      </c>
      <c r="AD383" s="188" t="s">
        <v>19</v>
      </c>
      <c r="AE383" s="188" t="s">
        <v>19</v>
      </c>
      <c r="AF383" s="234" t="s">
        <v>19</v>
      </c>
      <c r="AG383" s="188" t="s">
        <v>19</v>
      </c>
      <c r="AH383" s="188" t="s">
        <v>19</v>
      </c>
      <c r="AI383" s="234" t="s">
        <v>19</v>
      </c>
      <c r="AJ383" s="188" t="s">
        <v>19</v>
      </c>
      <c r="AK383" s="188" t="s">
        <v>19</v>
      </c>
      <c r="AL383" s="234" t="s">
        <v>19</v>
      </c>
      <c r="AM383" s="188" t="s">
        <v>19</v>
      </c>
      <c r="AN383" s="188" t="s">
        <v>19</v>
      </c>
      <c r="AO383" s="234" t="s">
        <v>19</v>
      </c>
      <c r="AP383" s="235" t="s">
        <v>19</v>
      </c>
      <c r="AQ383" s="188" t="s">
        <v>19</v>
      </c>
      <c r="AR383" s="188" t="s">
        <v>19</v>
      </c>
      <c r="AS383" s="234" t="s">
        <v>19</v>
      </c>
      <c r="AT383" s="188" t="s">
        <v>19</v>
      </c>
      <c r="AU383" s="188" t="s">
        <v>19</v>
      </c>
      <c r="AV383" s="234" t="s">
        <v>19</v>
      </c>
      <c r="AW383" s="188" t="s">
        <v>19</v>
      </c>
      <c r="AX383" s="188" t="s">
        <v>19</v>
      </c>
      <c r="AY383" s="234" t="s">
        <v>19</v>
      </c>
      <c r="AZ383" s="188" t="s">
        <v>19</v>
      </c>
      <c r="BA383" s="188" t="s">
        <v>19</v>
      </c>
      <c r="BB383" s="234" t="s">
        <v>25</v>
      </c>
      <c r="BC383" s="235" t="s">
        <v>306</v>
      </c>
      <c r="BD383" s="188"/>
    </row>
    <row r="384" spans="1:56" ht="12.75" customHeight="1" x14ac:dyDescent="0.25">
      <c r="A384" s="239">
        <v>44796.935633530091</v>
      </c>
      <c r="B384" s="137" t="s">
        <v>406</v>
      </c>
      <c r="C384" s="211" t="s">
        <v>595</v>
      </c>
      <c r="D384" s="211" t="s">
        <v>17</v>
      </c>
      <c r="E384" s="232" t="s">
        <v>515</v>
      </c>
      <c r="F384" s="188" t="s">
        <v>979</v>
      </c>
      <c r="G384" s="211" t="s">
        <v>18</v>
      </c>
      <c r="H384" s="211">
        <v>12</v>
      </c>
      <c r="I384" s="188" t="s">
        <v>531</v>
      </c>
      <c r="J384" s="188" t="s">
        <v>539</v>
      </c>
      <c r="K384" s="209" t="s">
        <v>539</v>
      </c>
      <c r="L384" s="188" t="s">
        <v>531</v>
      </c>
      <c r="M384" s="188" t="s">
        <v>614</v>
      </c>
      <c r="N384" s="188"/>
      <c r="O384" s="188"/>
      <c r="P384" s="188"/>
      <c r="Q384" s="188" t="s">
        <v>19</v>
      </c>
      <c r="R384" s="188" t="s">
        <v>19</v>
      </c>
      <c r="S384" s="234" t="s">
        <v>19</v>
      </c>
      <c r="T384" s="188" t="s">
        <v>19</v>
      </c>
      <c r="U384" s="188" t="s">
        <v>25</v>
      </c>
      <c r="V384" s="234" t="s">
        <v>306</v>
      </c>
      <c r="W384" s="188" t="s">
        <v>19</v>
      </c>
      <c r="X384" s="188" t="s">
        <v>19</v>
      </c>
      <c r="Y384" s="234" t="s">
        <v>19</v>
      </c>
      <c r="Z384" s="188" t="s">
        <v>19</v>
      </c>
      <c r="AA384" s="188" t="s">
        <v>19</v>
      </c>
      <c r="AB384" s="234" t="s">
        <v>19</v>
      </c>
      <c r="AC384" s="235" t="s">
        <v>19</v>
      </c>
      <c r="AD384" s="188" t="s">
        <v>19</v>
      </c>
      <c r="AE384" s="188" t="s">
        <v>306</v>
      </c>
      <c r="AF384" s="234" t="s">
        <v>306</v>
      </c>
      <c r="AG384" s="188" t="s">
        <v>19</v>
      </c>
      <c r="AH384" s="188" t="s">
        <v>19</v>
      </c>
      <c r="AI384" s="234" t="s">
        <v>19</v>
      </c>
      <c r="AJ384" s="188" t="s">
        <v>19</v>
      </c>
      <c r="AK384" s="188" t="s">
        <v>19</v>
      </c>
      <c r="AL384" s="234" t="s">
        <v>19</v>
      </c>
      <c r="AM384" s="188" t="s">
        <v>19</v>
      </c>
      <c r="AN384" s="188" t="s">
        <v>19</v>
      </c>
      <c r="AO384" s="234" t="s">
        <v>19</v>
      </c>
      <c r="AP384" s="235" t="s">
        <v>19</v>
      </c>
      <c r="AQ384" s="188" t="s">
        <v>19</v>
      </c>
      <c r="AR384" s="188" t="s">
        <v>19</v>
      </c>
      <c r="AS384" s="234" t="s">
        <v>19</v>
      </c>
      <c r="AT384" s="188" t="s">
        <v>19</v>
      </c>
      <c r="AU384" s="188" t="s">
        <v>19</v>
      </c>
      <c r="AV384" s="234" t="s">
        <v>19</v>
      </c>
      <c r="AW384" s="188" t="s">
        <v>19</v>
      </c>
      <c r="AX384" s="188" t="s">
        <v>19</v>
      </c>
      <c r="AY384" s="234" t="s">
        <v>19</v>
      </c>
      <c r="AZ384" s="188" t="s">
        <v>19</v>
      </c>
      <c r="BA384" s="188" t="s">
        <v>19</v>
      </c>
      <c r="BB384" s="234" t="s">
        <v>25</v>
      </c>
      <c r="BC384" s="235" t="s">
        <v>306</v>
      </c>
      <c r="BD384" s="188"/>
    </row>
    <row r="385" spans="1:56" ht="12.75" customHeight="1" x14ac:dyDescent="0.25">
      <c r="A385" s="239">
        <v>44796.937459386572</v>
      </c>
      <c r="B385" s="137" t="s">
        <v>406</v>
      </c>
      <c r="C385" s="211" t="s">
        <v>595</v>
      </c>
      <c r="D385" s="211" t="s">
        <v>17</v>
      </c>
      <c r="E385" s="232" t="s">
        <v>515</v>
      </c>
      <c r="F385" s="188" t="s">
        <v>541</v>
      </c>
      <c r="G385" s="211" t="s">
        <v>18</v>
      </c>
      <c r="H385" s="211">
        <v>12</v>
      </c>
      <c r="I385" s="188" t="s">
        <v>531</v>
      </c>
      <c r="J385" s="188" t="s">
        <v>539</v>
      </c>
      <c r="K385" s="209" t="s">
        <v>539</v>
      </c>
      <c r="L385" s="188" t="s">
        <v>531</v>
      </c>
      <c r="M385" s="188" t="s">
        <v>614</v>
      </c>
      <c r="N385" s="188"/>
      <c r="O385" s="188"/>
      <c r="P385" s="188"/>
      <c r="Q385" s="188" t="s">
        <v>306</v>
      </c>
      <c r="R385" s="188" t="s">
        <v>306</v>
      </c>
      <c r="S385" s="234" t="s">
        <v>306</v>
      </c>
      <c r="T385" s="188" t="s">
        <v>19</v>
      </c>
      <c r="U385" s="188" t="s">
        <v>25</v>
      </c>
      <c r="V385" s="234" t="s">
        <v>306</v>
      </c>
      <c r="W385" s="188" t="s">
        <v>19</v>
      </c>
      <c r="X385" s="188" t="s">
        <v>19</v>
      </c>
      <c r="Y385" s="234" t="s">
        <v>19</v>
      </c>
      <c r="Z385" s="188" t="s">
        <v>19</v>
      </c>
      <c r="AA385" s="188" t="s">
        <v>19</v>
      </c>
      <c r="AB385" s="234" t="s">
        <v>19</v>
      </c>
      <c r="AC385" s="235" t="s">
        <v>306</v>
      </c>
      <c r="AD385" s="188" t="s">
        <v>19</v>
      </c>
      <c r="AE385" s="188" t="s">
        <v>19</v>
      </c>
      <c r="AF385" s="234" t="s">
        <v>19</v>
      </c>
      <c r="AG385" s="188" t="s">
        <v>19</v>
      </c>
      <c r="AH385" s="188" t="s">
        <v>19</v>
      </c>
      <c r="AI385" s="234" t="s">
        <v>19</v>
      </c>
      <c r="AJ385" s="188" t="s">
        <v>19</v>
      </c>
      <c r="AK385" s="188" t="s">
        <v>19</v>
      </c>
      <c r="AL385" s="234" t="s">
        <v>19</v>
      </c>
      <c r="AM385" s="188" t="s">
        <v>19</v>
      </c>
      <c r="AN385" s="188" t="s">
        <v>19</v>
      </c>
      <c r="AO385" s="234" t="s">
        <v>19</v>
      </c>
      <c r="AP385" s="235" t="s">
        <v>19</v>
      </c>
      <c r="AQ385" s="188" t="s">
        <v>19</v>
      </c>
      <c r="AR385" s="188" t="s">
        <v>19</v>
      </c>
      <c r="AS385" s="234" t="s">
        <v>19</v>
      </c>
      <c r="AT385" s="188" t="s">
        <v>19</v>
      </c>
      <c r="AU385" s="188" t="s">
        <v>19</v>
      </c>
      <c r="AV385" s="234" t="s">
        <v>19</v>
      </c>
      <c r="AW385" s="188" t="s">
        <v>19</v>
      </c>
      <c r="AX385" s="188" t="s">
        <v>19</v>
      </c>
      <c r="AY385" s="234" t="s">
        <v>19</v>
      </c>
      <c r="AZ385" s="188" t="s">
        <v>19</v>
      </c>
      <c r="BA385" s="188" t="s">
        <v>19</v>
      </c>
      <c r="BB385" s="234" t="s">
        <v>306</v>
      </c>
      <c r="BC385" s="235" t="s">
        <v>306</v>
      </c>
      <c r="BD385" s="188"/>
    </row>
    <row r="386" spans="1:56" ht="12.75" customHeight="1" x14ac:dyDescent="0.25">
      <c r="A386" s="239">
        <v>44796.939542118052</v>
      </c>
      <c r="B386" s="137" t="s">
        <v>406</v>
      </c>
      <c r="C386" s="211" t="s">
        <v>595</v>
      </c>
      <c r="D386" s="211" t="s">
        <v>17</v>
      </c>
      <c r="E386" s="232" t="s">
        <v>515</v>
      </c>
      <c r="F386" s="188" t="s">
        <v>980</v>
      </c>
      <c r="G386" s="211" t="s">
        <v>24</v>
      </c>
      <c r="H386" s="211">
        <v>11</v>
      </c>
      <c r="I386" s="188" t="s">
        <v>531</v>
      </c>
      <c r="J386" s="188" t="s">
        <v>539</v>
      </c>
      <c r="K386" s="209" t="s">
        <v>539</v>
      </c>
      <c r="L386" s="188" t="s">
        <v>531</v>
      </c>
      <c r="M386" s="188" t="s">
        <v>614</v>
      </c>
      <c r="N386" s="188"/>
      <c r="O386" s="188"/>
      <c r="P386" s="188"/>
      <c r="Q386" s="188" t="s">
        <v>19</v>
      </c>
      <c r="R386" s="188" t="s">
        <v>19</v>
      </c>
      <c r="S386" s="234" t="s">
        <v>19</v>
      </c>
      <c r="T386" s="188" t="s">
        <v>19</v>
      </c>
      <c r="U386" s="188" t="s">
        <v>306</v>
      </c>
      <c r="V386" s="234" t="s">
        <v>306</v>
      </c>
      <c r="W386" s="188" t="s">
        <v>19</v>
      </c>
      <c r="X386" s="188" t="s">
        <v>19</v>
      </c>
      <c r="Y386" s="234" t="s">
        <v>19</v>
      </c>
      <c r="Z386" s="188" t="s">
        <v>19</v>
      </c>
      <c r="AA386" s="188" t="s">
        <v>19</v>
      </c>
      <c r="AB386" s="234" t="s">
        <v>19</v>
      </c>
      <c r="AC386" s="235" t="s">
        <v>19</v>
      </c>
      <c r="AD386" s="188" t="s">
        <v>19</v>
      </c>
      <c r="AE386" s="188" t="s">
        <v>19</v>
      </c>
      <c r="AF386" s="234" t="s">
        <v>19</v>
      </c>
      <c r="AG386" s="188" t="s">
        <v>19</v>
      </c>
      <c r="AH386" s="188" t="s">
        <v>19</v>
      </c>
      <c r="AI386" s="234" t="s">
        <v>19</v>
      </c>
      <c r="AJ386" s="188" t="s">
        <v>19</v>
      </c>
      <c r="AK386" s="188" t="s">
        <v>19</v>
      </c>
      <c r="AL386" s="234" t="s">
        <v>19</v>
      </c>
      <c r="AM386" s="188" t="s">
        <v>19</v>
      </c>
      <c r="AN386" s="188" t="s">
        <v>19</v>
      </c>
      <c r="AO386" s="234" t="s">
        <v>19</v>
      </c>
      <c r="AP386" s="235" t="s">
        <v>19</v>
      </c>
      <c r="AQ386" s="188" t="s">
        <v>19</v>
      </c>
      <c r="AR386" s="188" t="s">
        <v>19</v>
      </c>
      <c r="AS386" s="234" t="s">
        <v>19</v>
      </c>
      <c r="AT386" s="188" t="s">
        <v>19</v>
      </c>
      <c r="AU386" s="188" t="s">
        <v>19</v>
      </c>
      <c r="AV386" s="234" t="s">
        <v>19</v>
      </c>
      <c r="AW386" s="188" t="s">
        <v>19</v>
      </c>
      <c r="AX386" s="188" t="s">
        <v>19</v>
      </c>
      <c r="AY386" s="234" t="s">
        <v>19</v>
      </c>
      <c r="AZ386" s="188" t="s">
        <v>19</v>
      </c>
      <c r="BA386" s="188" t="s">
        <v>19</v>
      </c>
      <c r="BB386" s="234" t="s">
        <v>25</v>
      </c>
      <c r="BC386" s="235" t="s">
        <v>306</v>
      </c>
      <c r="BD386" s="188"/>
    </row>
    <row r="387" spans="1:56" ht="12.75" customHeight="1" x14ac:dyDescent="0.25">
      <c r="A387" s="239">
        <v>44796.940702719905</v>
      </c>
      <c r="B387" s="137" t="s">
        <v>406</v>
      </c>
      <c r="C387" s="211" t="s">
        <v>595</v>
      </c>
      <c r="D387" s="211" t="s">
        <v>17</v>
      </c>
      <c r="E387" s="232" t="s">
        <v>515</v>
      </c>
      <c r="F387" s="188" t="s">
        <v>981</v>
      </c>
      <c r="G387" s="211" t="s">
        <v>18</v>
      </c>
      <c r="H387" s="211">
        <v>11</v>
      </c>
      <c r="I387" s="188" t="s">
        <v>531</v>
      </c>
      <c r="J387" s="188" t="s">
        <v>539</v>
      </c>
      <c r="K387" s="209" t="s">
        <v>539</v>
      </c>
      <c r="L387" s="188" t="s">
        <v>531</v>
      </c>
      <c r="M387" s="188" t="s">
        <v>614</v>
      </c>
      <c r="N387" s="188"/>
      <c r="O387" s="188"/>
      <c r="P387" s="188"/>
      <c r="Q387" s="188" t="s">
        <v>19</v>
      </c>
      <c r="R387" s="188" t="s">
        <v>19</v>
      </c>
      <c r="S387" s="234" t="s">
        <v>19</v>
      </c>
      <c r="T387" s="188" t="s">
        <v>19</v>
      </c>
      <c r="U387" s="188" t="s">
        <v>306</v>
      </c>
      <c r="V387" s="234" t="s">
        <v>306</v>
      </c>
      <c r="W387" s="188" t="s">
        <v>19</v>
      </c>
      <c r="X387" s="188" t="s">
        <v>19</v>
      </c>
      <c r="Y387" s="234" t="s">
        <v>19</v>
      </c>
      <c r="Z387" s="188" t="s">
        <v>19</v>
      </c>
      <c r="AA387" s="188" t="s">
        <v>19</v>
      </c>
      <c r="AB387" s="234" t="s">
        <v>19</v>
      </c>
      <c r="AC387" s="235" t="s">
        <v>19</v>
      </c>
      <c r="AD387" s="188" t="s">
        <v>19</v>
      </c>
      <c r="AE387" s="188" t="s">
        <v>19</v>
      </c>
      <c r="AF387" s="234" t="s">
        <v>19</v>
      </c>
      <c r="AG387" s="188" t="s">
        <v>19</v>
      </c>
      <c r="AH387" s="188" t="s">
        <v>19</v>
      </c>
      <c r="AI387" s="234" t="s">
        <v>19</v>
      </c>
      <c r="AJ387" s="188" t="s">
        <v>19</v>
      </c>
      <c r="AK387" s="188" t="s">
        <v>19</v>
      </c>
      <c r="AL387" s="234" t="s">
        <v>19</v>
      </c>
      <c r="AM387" s="188" t="s">
        <v>19</v>
      </c>
      <c r="AN387" s="188" t="s">
        <v>19</v>
      </c>
      <c r="AO387" s="234" t="s">
        <v>19</v>
      </c>
      <c r="AP387" s="235" t="s">
        <v>19</v>
      </c>
      <c r="AQ387" s="188" t="s">
        <v>19</v>
      </c>
      <c r="AR387" s="188" t="s">
        <v>19</v>
      </c>
      <c r="AS387" s="234" t="s">
        <v>19</v>
      </c>
      <c r="AT387" s="188" t="s">
        <v>19</v>
      </c>
      <c r="AU387" s="188" t="s">
        <v>19</v>
      </c>
      <c r="AV387" s="234" t="s">
        <v>19</v>
      </c>
      <c r="AW387" s="188" t="s">
        <v>19</v>
      </c>
      <c r="AX387" s="188" t="s">
        <v>19</v>
      </c>
      <c r="AY387" s="234" t="s">
        <v>19</v>
      </c>
      <c r="AZ387" s="188" t="s">
        <v>19</v>
      </c>
      <c r="BA387" s="188" t="s">
        <v>19</v>
      </c>
      <c r="BB387" s="234" t="s">
        <v>19</v>
      </c>
      <c r="BC387" s="235" t="s">
        <v>306</v>
      </c>
      <c r="BD387" s="188"/>
    </row>
    <row r="388" spans="1:56" ht="12.75" customHeight="1" x14ac:dyDescent="0.25">
      <c r="A388" s="239">
        <v>44796.942169756949</v>
      </c>
      <c r="B388" s="137" t="s">
        <v>406</v>
      </c>
      <c r="C388" s="211" t="s">
        <v>595</v>
      </c>
      <c r="D388" s="211" t="s">
        <v>17</v>
      </c>
      <c r="E388" s="232" t="s">
        <v>515</v>
      </c>
      <c r="F388" s="188" t="s">
        <v>982</v>
      </c>
      <c r="G388" s="211" t="s">
        <v>18</v>
      </c>
      <c r="H388" s="211">
        <v>11</v>
      </c>
      <c r="I388" s="188" t="s">
        <v>531</v>
      </c>
      <c r="J388" s="188" t="s">
        <v>539</v>
      </c>
      <c r="K388" s="209" t="s">
        <v>539</v>
      </c>
      <c r="L388" s="188" t="s">
        <v>531</v>
      </c>
      <c r="M388" s="188" t="s">
        <v>614</v>
      </c>
      <c r="N388" s="188"/>
      <c r="O388" s="188"/>
      <c r="P388" s="188"/>
      <c r="Q388" s="188" t="s">
        <v>19</v>
      </c>
      <c r="R388" s="188" t="s">
        <v>19</v>
      </c>
      <c r="S388" s="234" t="s">
        <v>19</v>
      </c>
      <c r="T388" s="188" t="s">
        <v>19</v>
      </c>
      <c r="U388" s="188" t="s">
        <v>19</v>
      </c>
      <c r="V388" s="234" t="s">
        <v>19</v>
      </c>
      <c r="W388" s="188" t="s">
        <v>19</v>
      </c>
      <c r="X388" s="188" t="s">
        <v>19</v>
      </c>
      <c r="Y388" s="234" t="s">
        <v>19</v>
      </c>
      <c r="Z388" s="188" t="s">
        <v>19</v>
      </c>
      <c r="AA388" s="188" t="s">
        <v>19</v>
      </c>
      <c r="AB388" s="234" t="s">
        <v>19</v>
      </c>
      <c r="AC388" s="235" t="s">
        <v>19</v>
      </c>
      <c r="AD388" s="188" t="s">
        <v>19</v>
      </c>
      <c r="AE388" s="188" t="s">
        <v>19</v>
      </c>
      <c r="AF388" s="234" t="s">
        <v>19</v>
      </c>
      <c r="AG388" s="188" t="s">
        <v>19</v>
      </c>
      <c r="AH388" s="188" t="s">
        <v>19</v>
      </c>
      <c r="AI388" s="234" t="s">
        <v>19</v>
      </c>
      <c r="AJ388" s="188" t="s">
        <v>19</v>
      </c>
      <c r="AK388" s="188" t="s">
        <v>306</v>
      </c>
      <c r="AL388" s="234" t="s">
        <v>306</v>
      </c>
      <c r="AM388" s="188" t="s">
        <v>19</v>
      </c>
      <c r="AN388" s="188" t="s">
        <v>19</v>
      </c>
      <c r="AO388" s="234" t="s">
        <v>19</v>
      </c>
      <c r="AP388" s="235" t="s">
        <v>19</v>
      </c>
      <c r="AQ388" s="188" t="s">
        <v>19</v>
      </c>
      <c r="AR388" s="188" t="s">
        <v>19</v>
      </c>
      <c r="AS388" s="234" t="s">
        <v>19</v>
      </c>
      <c r="AT388" s="188" t="s">
        <v>306</v>
      </c>
      <c r="AU388" s="188" t="s">
        <v>19</v>
      </c>
      <c r="AV388" s="234" t="s">
        <v>306</v>
      </c>
      <c r="AW388" s="188" t="s">
        <v>19</v>
      </c>
      <c r="AX388" s="188" t="s">
        <v>19</v>
      </c>
      <c r="AY388" s="234" t="s">
        <v>19</v>
      </c>
      <c r="AZ388" s="188" t="s">
        <v>19</v>
      </c>
      <c r="BA388" s="188" t="s">
        <v>19</v>
      </c>
      <c r="BB388" s="234" t="s">
        <v>25</v>
      </c>
      <c r="BC388" s="235" t="s">
        <v>25</v>
      </c>
      <c r="BD388" s="188"/>
    </row>
    <row r="389" spans="1:56" ht="12.75" customHeight="1" x14ac:dyDescent="0.25">
      <c r="A389" s="239">
        <v>44796.944038368056</v>
      </c>
      <c r="B389" s="137" t="s">
        <v>406</v>
      </c>
      <c r="C389" s="211" t="s">
        <v>595</v>
      </c>
      <c r="D389" s="211" t="s">
        <v>17</v>
      </c>
      <c r="E389" s="232" t="s">
        <v>515</v>
      </c>
      <c r="F389" s="188" t="s">
        <v>542</v>
      </c>
      <c r="G389" s="211" t="s">
        <v>24</v>
      </c>
      <c r="H389" s="211">
        <v>11</v>
      </c>
      <c r="I389" s="188" t="s">
        <v>531</v>
      </c>
      <c r="J389" s="188" t="s">
        <v>539</v>
      </c>
      <c r="K389" s="209" t="s">
        <v>539</v>
      </c>
      <c r="L389" s="188" t="s">
        <v>531</v>
      </c>
      <c r="M389" s="188" t="s">
        <v>614</v>
      </c>
      <c r="N389" s="188"/>
      <c r="O389" s="188"/>
      <c r="P389" s="188"/>
      <c r="Q389" s="188" t="s">
        <v>306</v>
      </c>
      <c r="R389" s="188" t="s">
        <v>306</v>
      </c>
      <c r="S389" s="234" t="s">
        <v>306</v>
      </c>
      <c r="T389" s="188" t="s">
        <v>19</v>
      </c>
      <c r="U389" s="188" t="s">
        <v>25</v>
      </c>
      <c r="V389" s="234" t="s">
        <v>306</v>
      </c>
      <c r="W389" s="188" t="s">
        <v>25</v>
      </c>
      <c r="X389" s="188" t="s">
        <v>19</v>
      </c>
      <c r="Y389" s="234" t="s">
        <v>306</v>
      </c>
      <c r="Z389" s="188" t="s">
        <v>306</v>
      </c>
      <c r="AA389" s="188" t="s">
        <v>25</v>
      </c>
      <c r="AB389" s="234" t="s">
        <v>25</v>
      </c>
      <c r="AC389" s="235" t="s">
        <v>306</v>
      </c>
      <c r="AD389" s="188" t="s">
        <v>306</v>
      </c>
      <c r="AE389" s="188" t="s">
        <v>25</v>
      </c>
      <c r="AF389" s="234" t="s">
        <v>25</v>
      </c>
      <c r="AG389" s="188" t="s">
        <v>306</v>
      </c>
      <c r="AH389" s="188" t="s">
        <v>19</v>
      </c>
      <c r="AI389" s="234" t="s">
        <v>306</v>
      </c>
      <c r="AJ389" s="188" t="s">
        <v>25</v>
      </c>
      <c r="AK389" s="188" t="s">
        <v>25</v>
      </c>
      <c r="AL389" s="234" t="s">
        <v>25</v>
      </c>
      <c r="AM389" s="188" t="s">
        <v>19</v>
      </c>
      <c r="AN389" s="188" t="s">
        <v>306</v>
      </c>
      <c r="AO389" s="234" t="s">
        <v>306</v>
      </c>
      <c r="AP389" s="235" t="s">
        <v>306</v>
      </c>
      <c r="AQ389" s="188" t="s">
        <v>25</v>
      </c>
      <c r="AR389" s="188" t="s">
        <v>306</v>
      </c>
      <c r="AS389" s="234" t="s">
        <v>25</v>
      </c>
      <c r="AT389" s="188" t="s">
        <v>25</v>
      </c>
      <c r="AU389" s="188" t="s">
        <v>25</v>
      </c>
      <c r="AV389" s="234" t="s">
        <v>25</v>
      </c>
      <c r="AW389" s="188" t="s">
        <v>19</v>
      </c>
      <c r="AX389" s="188" t="s">
        <v>19</v>
      </c>
      <c r="AY389" s="234" t="s">
        <v>19</v>
      </c>
      <c r="AZ389" s="188" t="s">
        <v>19</v>
      </c>
      <c r="BA389" s="188" t="s">
        <v>25</v>
      </c>
      <c r="BB389" s="234" t="s">
        <v>306</v>
      </c>
      <c r="BC389" s="235" t="s">
        <v>306</v>
      </c>
      <c r="BD389" s="188"/>
    </row>
    <row r="390" spans="1:56" ht="12.75" customHeight="1" x14ac:dyDescent="0.25">
      <c r="A390" s="239">
        <v>44796.94610789352</v>
      </c>
      <c r="B390" s="137" t="s">
        <v>406</v>
      </c>
      <c r="C390" s="211" t="s">
        <v>595</v>
      </c>
      <c r="D390" s="211" t="s">
        <v>17</v>
      </c>
      <c r="E390" s="232" t="s">
        <v>515</v>
      </c>
      <c r="F390" s="188" t="s">
        <v>543</v>
      </c>
      <c r="G390" s="211" t="s">
        <v>18</v>
      </c>
      <c r="H390" s="211">
        <v>12</v>
      </c>
      <c r="I390" s="188" t="s">
        <v>531</v>
      </c>
      <c r="J390" s="188" t="s">
        <v>539</v>
      </c>
      <c r="K390" s="209" t="s">
        <v>539</v>
      </c>
      <c r="L390" s="188" t="s">
        <v>531</v>
      </c>
      <c r="M390" s="188" t="s">
        <v>614</v>
      </c>
      <c r="N390" s="188"/>
      <c r="O390" s="188"/>
      <c r="P390" s="188"/>
      <c r="Q390" s="188" t="s">
        <v>306</v>
      </c>
      <c r="R390" s="188" t="s">
        <v>306</v>
      </c>
      <c r="S390" s="234" t="s">
        <v>306</v>
      </c>
      <c r="T390" s="188" t="s">
        <v>306</v>
      </c>
      <c r="U390" s="188" t="s">
        <v>25</v>
      </c>
      <c r="V390" s="234" t="s">
        <v>25</v>
      </c>
      <c r="W390" s="188" t="s">
        <v>19</v>
      </c>
      <c r="X390" s="188" t="s">
        <v>19</v>
      </c>
      <c r="Y390" s="234" t="s">
        <v>19</v>
      </c>
      <c r="Z390" s="188" t="s">
        <v>306</v>
      </c>
      <c r="AA390" s="188" t="s">
        <v>306</v>
      </c>
      <c r="AB390" s="234" t="s">
        <v>306</v>
      </c>
      <c r="AC390" s="235" t="s">
        <v>306</v>
      </c>
      <c r="AD390" s="188" t="s">
        <v>306</v>
      </c>
      <c r="AE390" s="188" t="s">
        <v>306</v>
      </c>
      <c r="AF390" s="234" t="s">
        <v>306</v>
      </c>
      <c r="AG390" s="188" t="s">
        <v>306</v>
      </c>
      <c r="AH390" s="188" t="s">
        <v>306</v>
      </c>
      <c r="AI390" s="234" t="s">
        <v>306</v>
      </c>
      <c r="AJ390" s="188" t="s">
        <v>306</v>
      </c>
      <c r="AK390" s="188" t="s">
        <v>306</v>
      </c>
      <c r="AL390" s="234" t="s">
        <v>306</v>
      </c>
      <c r="AM390" s="188" t="s">
        <v>306</v>
      </c>
      <c r="AN390" s="188" t="s">
        <v>19</v>
      </c>
      <c r="AO390" s="234" t="s">
        <v>306</v>
      </c>
      <c r="AP390" s="235" t="s">
        <v>306</v>
      </c>
      <c r="AQ390" s="188" t="s">
        <v>19</v>
      </c>
      <c r="AR390" s="188" t="s">
        <v>306</v>
      </c>
      <c r="AS390" s="234" t="s">
        <v>306</v>
      </c>
      <c r="AT390" s="188" t="s">
        <v>306</v>
      </c>
      <c r="AU390" s="188" t="s">
        <v>19</v>
      </c>
      <c r="AV390" s="234" t="s">
        <v>306</v>
      </c>
      <c r="AW390" s="188" t="s">
        <v>19</v>
      </c>
      <c r="AX390" s="188" t="s">
        <v>19</v>
      </c>
      <c r="AY390" s="234" t="s">
        <v>19</v>
      </c>
      <c r="AZ390" s="188" t="s">
        <v>19</v>
      </c>
      <c r="BA390" s="188" t="s">
        <v>19</v>
      </c>
      <c r="BB390" s="234" t="s">
        <v>25</v>
      </c>
      <c r="BC390" s="235" t="s">
        <v>306</v>
      </c>
      <c r="BD390" s="188"/>
    </row>
    <row r="391" spans="1:56" ht="12.75" customHeight="1" x14ac:dyDescent="0.25">
      <c r="A391" s="239">
        <v>44796.948861053243</v>
      </c>
      <c r="B391" s="137" t="s">
        <v>406</v>
      </c>
      <c r="C391" s="211" t="s">
        <v>595</v>
      </c>
      <c r="D391" s="211" t="s">
        <v>17</v>
      </c>
      <c r="E391" s="232" t="s">
        <v>515</v>
      </c>
      <c r="F391" s="188" t="s">
        <v>544</v>
      </c>
      <c r="G391" s="211" t="s">
        <v>24</v>
      </c>
      <c r="H391" s="211">
        <v>14</v>
      </c>
      <c r="I391" s="188" t="s">
        <v>531</v>
      </c>
      <c r="J391" s="188" t="s">
        <v>539</v>
      </c>
      <c r="K391" s="209" t="s">
        <v>539</v>
      </c>
      <c r="L391" s="188" t="s">
        <v>531</v>
      </c>
      <c r="M391" s="188" t="s">
        <v>614</v>
      </c>
      <c r="N391" s="188"/>
      <c r="O391" s="188"/>
      <c r="P391" s="188"/>
      <c r="Q391" s="188" t="s">
        <v>306</v>
      </c>
      <c r="R391" s="188" t="s">
        <v>19</v>
      </c>
      <c r="S391" s="234" t="s">
        <v>306</v>
      </c>
      <c r="T391" s="188" t="s">
        <v>19</v>
      </c>
      <c r="U391" s="188" t="s">
        <v>25</v>
      </c>
      <c r="V391" s="234" t="s">
        <v>306</v>
      </c>
      <c r="W391" s="188" t="s">
        <v>19</v>
      </c>
      <c r="X391" s="188" t="s">
        <v>19</v>
      </c>
      <c r="Y391" s="234" t="s">
        <v>19</v>
      </c>
      <c r="Z391" s="188" t="s">
        <v>19</v>
      </c>
      <c r="AA391" s="188" t="s">
        <v>306</v>
      </c>
      <c r="AB391" s="234" t="s">
        <v>306</v>
      </c>
      <c r="AC391" s="235" t="s">
        <v>306</v>
      </c>
      <c r="AD391" s="188" t="s">
        <v>306</v>
      </c>
      <c r="AE391" s="188" t="s">
        <v>306</v>
      </c>
      <c r="AF391" s="234" t="s">
        <v>306</v>
      </c>
      <c r="AG391" s="188" t="s">
        <v>306</v>
      </c>
      <c r="AH391" s="188" t="s">
        <v>306</v>
      </c>
      <c r="AI391" s="234" t="s">
        <v>306</v>
      </c>
      <c r="AJ391" s="188" t="s">
        <v>306</v>
      </c>
      <c r="AK391" s="188" t="s">
        <v>19</v>
      </c>
      <c r="AL391" s="234" t="s">
        <v>306</v>
      </c>
      <c r="AM391" s="188" t="s">
        <v>19</v>
      </c>
      <c r="AN391" s="188" t="s">
        <v>19</v>
      </c>
      <c r="AO391" s="234" t="s">
        <v>19</v>
      </c>
      <c r="AP391" s="235" t="s">
        <v>306</v>
      </c>
      <c r="AQ391" s="188" t="s">
        <v>19</v>
      </c>
      <c r="AR391" s="188" t="s">
        <v>19</v>
      </c>
      <c r="AS391" s="234" t="s">
        <v>19</v>
      </c>
      <c r="AT391" s="188" t="s">
        <v>306</v>
      </c>
      <c r="AU391" s="188" t="s">
        <v>19</v>
      </c>
      <c r="AV391" s="234" t="s">
        <v>306</v>
      </c>
      <c r="AW391" s="188" t="s">
        <v>19</v>
      </c>
      <c r="AX391" s="188" t="s">
        <v>19</v>
      </c>
      <c r="AY391" s="234" t="s">
        <v>19</v>
      </c>
      <c r="AZ391" s="188" t="s">
        <v>19</v>
      </c>
      <c r="BA391" s="188" t="s">
        <v>19</v>
      </c>
      <c r="BB391" s="234" t="s">
        <v>306</v>
      </c>
      <c r="BC391" s="235" t="s">
        <v>306</v>
      </c>
      <c r="BD391" s="188"/>
    </row>
    <row r="392" spans="1:56" ht="12.75" customHeight="1" x14ac:dyDescent="0.25">
      <c r="A392" s="239">
        <v>44796.95953644676</v>
      </c>
      <c r="B392" s="137" t="s">
        <v>406</v>
      </c>
      <c r="C392" s="211" t="s">
        <v>595</v>
      </c>
      <c r="D392" s="211" t="s">
        <v>17</v>
      </c>
      <c r="E392" s="232" t="s">
        <v>515</v>
      </c>
      <c r="F392" s="188" t="s">
        <v>545</v>
      </c>
      <c r="G392" s="211" t="s">
        <v>18</v>
      </c>
      <c r="H392" s="211">
        <v>12</v>
      </c>
      <c r="I392" s="188" t="s">
        <v>531</v>
      </c>
      <c r="J392" s="188" t="s">
        <v>539</v>
      </c>
      <c r="K392" s="209" t="s">
        <v>539</v>
      </c>
      <c r="L392" s="188" t="s">
        <v>531</v>
      </c>
      <c r="M392" s="188" t="s">
        <v>614</v>
      </c>
      <c r="N392" s="188"/>
      <c r="O392" s="188"/>
      <c r="P392" s="188"/>
      <c r="Q392" s="188" t="s">
        <v>306</v>
      </c>
      <c r="R392" s="188" t="s">
        <v>19</v>
      </c>
      <c r="S392" s="234" t="s">
        <v>306</v>
      </c>
      <c r="T392" s="188" t="s">
        <v>19</v>
      </c>
      <c r="U392" s="188" t="s">
        <v>25</v>
      </c>
      <c r="V392" s="234" t="s">
        <v>306</v>
      </c>
      <c r="W392" s="188" t="s">
        <v>306</v>
      </c>
      <c r="X392" s="188" t="s">
        <v>306</v>
      </c>
      <c r="Y392" s="234" t="s">
        <v>306</v>
      </c>
      <c r="Z392" s="188" t="s">
        <v>306</v>
      </c>
      <c r="AA392" s="188" t="s">
        <v>19</v>
      </c>
      <c r="AB392" s="234" t="s">
        <v>306</v>
      </c>
      <c r="AC392" s="235" t="s">
        <v>306</v>
      </c>
      <c r="AD392" s="188" t="s">
        <v>306</v>
      </c>
      <c r="AE392" s="188" t="s">
        <v>19</v>
      </c>
      <c r="AF392" s="234" t="s">
        <v>306</v>
      </c>
      <c r="AG392" s="188" t="s">
        <v>306</v>
      </c>
      <c r="AH392" s="188" t="s">
        <v>19</v>
      </c>
      <c r="AI392" s="234" t="s">
        <v>306</v>
      </c>
      <c r="AJ392" s="188" t="s">
        <v>306</v>
      </c>
      <c r="AK392" s="188" t="s">
        <v>19</v>
      </c>
      <c r="AL392" s="234" t="s">
        <v>306</v>
      </c>
      <c r="AM392" s="188" t="s">
        <v>19</v>
      </c>
      <c r="AN392" s="188" t="s">
        <v>306</v>
      </c>
      <c r="AO392" s="234" t="s">
        <v>306</v>
      </c>
      <c r="AP392" s="235" t="s">
        <v>306</v>
      </c>
      <c r="AQ392" s="188" t="s">
        <v>19</v>
      </c>
      <c r="AR392" s="188" t="s">
        <v>306</v>
      </c>
      <c r="AS392" s="234" t="s">
        <v>306</v>
      </c>
      <c r="AT392" s="188" t="s">
        <v>19</v>
      </c>
      <c r="AU392" s="188" t="s">
        <v>306</v>
      </c>
      <c r="AV392" s="234" t="s">
        <v>306</v>
      </c>
      <c r="AW392" s="188" t="s">
        <v>19</v>
      </c>
      <c r="AX392" s="188" t="s">
        <v>306</v>
      </c>
      <c r="AY392" s="234" t="s">
        <v>306</v>
      </c>
      <c r="AZ392" s="188" t="s">
        <v>306</v>
      </c>
      <c r="BA392" s="188" t="s">
        <v>306</v>
      </c>
      <c r="BB392" s="234" t="s">
        <v>25</v>
      </c>
      <c r="BC392" s="235" t="s">
        <v>306</v>
      </c>
      <c r="BD392" s="188"/>
    </row>
    <row r="393" spans="1:56" ht="12.75" customHeight="1" x14ac:dyDescent="0.25">
      <c r="A393" s="239">
        <v>44796.961588715276</v>
      </c>
      <c r="B393" s="137" t="s">
        <v>406</v>
      </c>
      <c r="C393" s="211" t="s">
        <v>595</v>
      </c>
      <c r="D393" s="211" t="s">
        <v>17</v>
      </c>
      <c r="E393" s="232" t="s">
        <v>515</v>
      </c>
      <c r="F393" s="188" t="s">
        <v>546</v>
      </c>
      <c r="G393" s="211" t="s">
        <v>18</v>
      </c>
      <c r="H393" s="211">
        <v>14</v>
      </c>
      <c r="I393" s="188" t="s">
        <v>531</v>
      </c>
      <c r="J393" s="188" t="s">
        <v>539</v>
      </c>
      <c r="K393" s="209" t="s">
        <v>539</v>
      </c>
      <c r="L393" s="188" t="s">
        <v>531</v>
      </c>
      <c r="M393" s="188" t="s">
        <v>614</v>
      </c>
      <c r="N393" s="188"/>
      <c r="O393" s="188"/>
      <c r="P393" s="188"/>
      <c r="Q393" s="188" t="s">
        <v>306</v>
      </c>
      <c r="R393" s="188" t="s">
        <v>306</v>
      </c>
      <c r="S393" s="234" t="s">
        <v>306</v>
      </c>
      <c r="T393" s="188" t="s">
        <v>306</v>
      </c>
      <c r="U393" s="188" t="s">
        <v>306</v>
      </c>
      <c r="V393" s="234" t="s">
        <v>306</v>
      </c>
      <c r="W393" s="188" t="s">
        <v>306</v>
      </c>
      <c r="X393" s="188" t="s">
        <v>306</v>
      </c>
      <c r="Y393" s="234" t="s">
        <v>306</v>
      </c>
      <c r="Z393" s="188" t="s">
        <v>306</v>
      </c>
      <c r="AA393" s="188" t="s">
        <v>306</v>
      </c>
      <c r="AB393" s="234" t="s">
        <v>306</v>
      </c>
      <c r="AC393" s="235" t="s">
        <v>306</v>
      </c>
      <c r="AD393" s="188" t="s">
        <v>306</v>
      </c>
      <c r="AE393" s="188" t="s">
        <v>306</v>
      </c>
      <c r="AF393" s="234" t="s">
        <v>306</v>
      </c>
      <c r="AG393" s="188" t="s">
        <v>306</v>
      </c>
      <c r="AH393" s="188" t="s">
        <v>19</v>
      </c>
      <c r="AI393" s="234" t="s">
        <v>306</v>
      </c>
      <c r="AJ393" s="188" t="s">
        <v>306</v>
      </c>
      <c r="AK393" s="188" t="s">
        <v>306</v>
      </c>
      <c r="AL393" s="234" t="s">
        <v>306</v>
      </c>
      <c r="AM393" s="188" t="s">
        <v>306</v>
      </c>
      <c r="AN393" s="188" t="s">
        <v>306</v>
      </c>
      <c r="AO393" s="234" t="s">
        <v>306</v>
      </c>
      <c r="AP393" s="235" t="s">
        <v>306</v>
      </c>
      <c r="AQ393" s="188" t="s">
        <v>19</v>
      </c>
      <c r="AR393" s="188" t="s">
        <v>19</v>
      </c>
      <c r="AS393" s="234" t="s">
        <v>19</v>
      </c>
      <c r="AT393" s="188" t="s">
        <v>306</v>
      </c>
      <c r="AU393" s="188" t="s">
        <v>306</v>
      </c>
      <c r="AV393" s="234" t="s">
        <v>306</v>
      </c>
      <c r="AW393" s="188" t="s">
        <v>306</v>
      </c>
      <c r="AX393" s="188" t="s">
        <v>306</v>
      </c>
      <c r="AY393" s="234" t="s">
        <v>306</v>
      </c>
      <c r="AZ393" s="188" t="s">
        <v>19</v>
      </c>
      <c r="BA393" s="188" t="s">
        <v>306</v>
      </c>
      <c r="BB393" s="234" t="s">
        <v>19</v>
      </c>
      <c r="BC393" s="235" t="s">
        <v>19</v>
      </c>
      <c r="BD393" s="188"/>
    </row>
    <row r="394" spans="1:56" ht="12.75" customHeight="1" x14ac:dyDescent="0.25">
      <c r="A394" s="239">
        <v>44796.966009814816</v>
      </c>
      <c r="B394" s="137" t="s">
        <v>406</v>
      </c>
      <c r="C394" s="211" t="s">
        <v>595</v>
      </c>
      <c r="D394" s="211" t="s">
        <v>17</v>
      </c>
      <c r="E394" s="232" t="s">
        <v>515</v>
      </c>
      <c r="F394" s="188" t="s">
        <v>547</v>
      </c>
      <c r="G394" s="211" t="s">
        <v>18</v>
      </c>
      <c r="H394" s="211">
        <v>11</v>
      </c>
      <c r="I394" s="188" t="s">
        <v>531</v>
      </c>
      <c r="J394" s="188" t="s">
        <v>539</v>
      </c>
      <c r="K394" s="209" t="s">
        <v>539</v>
      </c>
      <c r="L394" s="188" t="s">
        <v>531</v>
      </c>
      <c r="M394" s="188" t="s">
        <v>614</v>
      </c>
      <c r="N394" s="188"/>
      <c r="O394" s="188"/>
      <c r="P394" s="188"/>
      <c r="Q394" s="188" t="s">
        <v>306</v>
      </c>
      <c r="R394" s="188" t="s">
        <v>306</v>
      </c>
      <c r="S394" s="234" t="s">
        <v>306</v>
      </c>
      <c r="T394" s="188" t="s">
        <v>306</v>
      </c>
      <c r="U394" s="188" t="s">
        <v>306</v>
      </c>
      <c r="V394" s="234" t="s">
        <v>306</v>
      </c>
      <c r="W394" s="188" t="s">
        <v>306</v>
      </c>
      <c r="X394" s="188" t="s">
        <v>306</v>
      </c>
      <c r="Y394" s="234" t="s">
        <v>306</v>
      </c>
      <c r="Z394" s="188" t="s">
        <v>306</v>
      </c>
      <c r="AA394" s="188" t="s">
        <v>306</v>
      </c>
      <c r="AB394" s="234" t="s">
        <v>306</v>
      </c>
      <c r="AC394" s="235" t="s">
        <v>306</v>
      </c>
      <c r="AD394" s="188" t="s">
        <v>306</v>
      </c>
      <c r="AE394" s="188" t="s">
        <v>306</v>
      </c>
      <c r="AF394" s="234" t="s">
        <v>306</v>
      </c>
      <c r="AG394" s="188" t="s">
        <v>19</v>
      </c>
      <c r="AH394" s="188" t="s">
        <v>306</v>
      </c>
      <c r="AI394" s="234" t="s">
        <v>306</v>
      </c>
      <c r="AJ394" s="188" t="s">
        <v>306</v>
      </c>
      <c r="AK394" s="188" t="s">
        <v>306</v>
      </c>
      <c r="AL394" s="234" t="s">
        <v>306</v>
      </c>
      <c r="AM394" s="188" t="s">
        <v>306</v>
      </c>
      <c r="AN394" s="188" t="s">
        <v>19</v>
      </c>
      <c r="AO394" s="234" t="s">
        <v>306</v>
      </c>
      <c r="AP394" s="235" t="s">
        <v>306</v>
      </c>
      <c r="AQ394" s="188" t="s">
        <v>306</v>
      </c>
      <c r="AR394" s="188" t="s">
        <v>19</v>
      </c>
      <c r="AS394" s="234" t="s">
        <v>306</v>
      </c>
      <c r="AT394" s="188" t="s">
        <v>306</v>
      </c>
      <c r="AU394" s="188" t="s">
        <v>306</v>
      </c>
      <c r="AV394" s="234" t="s">
        <v>306</v>
      </c>
      <c r="AW394" s="188" t="s">
        <v>19</v>
      </c>
      <c r="AX394" s="188" t="s">
        <v>306</v>
      </c>
      <c r="AY394" s="234" t="s">
        <v>306</v>
      </c>
      <c r="AZ394" s="188" t="s">
        <v>19</v>
      </c>
      <c r="BA394" s="188" t="s">
        <v>19</v>
      </c>
      <c r="BB394" s="234" t="s">
        <v>19</v>
      </c>
      <c r="BC394" s="235" t="s">
        <v>19</v>
      </c>
      <c r="BD394" s="188"/>
    </row>
    <row r="395" spans="1:56" ht="12.75" customHeight="1" x14ac:dyDescent="0.25">
      <c r="A395" s="239">
        <v>44796.970003819442</v>
      </c>
      <c r="B395" s="137" t="s">
        <v>406</v>
      </c>
      <c r="C395" s="211" t="s">
        <v>595</v>
      </c>
      <c r="D395" s="211" t="s">
        <v>17</v>
      </c>
      <c r="E395" s="232" t="s">
        <v>515</v>
      </c>
      <c r="F395" s="188" t="s">
        <v>548</v>
      </c>
      <c r="G395" s="211" t="s">
        <v>24</v>
      </c>
      <c r="H395" s="211">
        <v>13</v>
      </c>
      <c r="I395" s="188" t="s">
        <v>531</v>
      </c>
      <c r="J395" s="188" t="s">
        <v>539</v>
      </c>
      <c r="K395" s="209" t="s">
        <v>539</v>
      </c>
      <c r="L395" s="188" t="s">
        <v>531</v>
      </c>
      <c r="M395" s="188" t="s">
        <v>614</v>
      </c>
      <c r="N395" s="188"/>
      <c r="O395" s="188"/>
      <c r="P395" s="188"/>
      <c r="Q395" s="188" t="s">
        <v>306</v>
      </c>
      <c r="R395" s="188" t="s">
        <v>19</v>
      </c>
      <c r="S395" s="234" t="s">
        <v>306</v>
      </c>
      <c r="T395" s="188" t="s">
        <v>19</v>
      </c>
      <c r="U395" s="188" t="s">
        <v>25</v>
      </c>
      <c r="V395" s="234" t="s">
        <v>306</v>
      </c>
      <c r="W395" s="188" t="s">
        <v>19</v>
      </c>
      <c r="X395" s="188" t="s">
        <v>19</v>
      </c>
      <c r="Y395" s="234" t="s">
        <v>19</v>
      </c>
      <c r="Z395" s="188" t="s">
        <v>19</v>
      </c>
      <c r="AA395" s="188" t="s">
        <v>19</v>
      </c>
      <c r="AB395" s="234" t="s">
        <v>19</v>
      </c>
      <c r="AC395" s="235" t="s">
        <v>19</v>
      </c>
      <c r="AD395" s="188" t="s">
        <v>306</v>
      </c>
      <c r="AE395" s="188" t="s">
        <v>306</v>
      </c>
      <c r="AF395" s="234" t="s">
        <v>306</v>
      </c>
      <c r="AG395" s="188" t="s">
        <v>306</v>
      </c>
      <c r="AH395" s="188" t="s">
        <v>306</v>
      </c>
      <c r="AI395" s="234" t="s">
        <v>306</v>
      </c>
      <c r="AJ395" s="188" t="s">
        <v>306</v>
      </c>
      <c r="AK395" s="188" t="s">
        <v>19</v>
      </c>
      <c r="AL395" s="234" t="s">
        <v>306</v>
      </c>
      <c r="AM395" s="188" t="s">
        <v>19</v>
      </c>
      <c r="AN395" s="188" t="s">
        <v>19</v>
      </c>
      <c r="AO395" s="234" t="s">
        <v>19</v>
      </c>
      <c r="AP395" s="235" t="s">
        <v>306</v>
      </c>
      <c r="AQ395" s="188" t="s">
        <v>19</v>
      </c>
      <c r="AR395" s="188" t="s">
        <v>19</v>
      </c>
      <c r="AS395" s="234" t="s">
        <v>19</v>
      </c>
      <c r="AT395" s="188" t="s">
        <v>306</v>
      </c>
      <c r="AU395" s="188" t="s">
        <v>19</v>
      </c>
      <c r="AV395" s="234" t="s">
        <v>306</v>
      </c>
      <c r="AW395" s="188" t="s">
        <v>306</v>
      </c>
      <c r="AX395" s="188" t="s">
        <v>19</v>
      </c>
      <c r="AY395" s="234" t="s">
        <v>306</v>
      </c>
      <c r="AZ395" s="188" t="s">
        <v>19</v>
      </c>
      <c r="BA395" s="188" t="s">
        <v>19</v>
      </c>
      <c r="BB395" s="234" t="s">
        <v>19</v>
      </c>
      <c r="BC395" s="235" t="s">
        <v>19</v>
      </c>
      <c r="BD395" s="188"/>
    </row>
    <row r="396" spans="1:56" ht="12.75" customHeight="1" x14ac:dyDescent="0.25">
      <c r="A396" s="239">
        <v>44796.97173258102</v>
      </c>
      <c r="B396" s="137" t="s">
        <v>406</v>
      </c>
      <c r="C396" s="211" t="s">
        <v>595</v>
      </c>
      <c r="D396" s="211" t="s">
        <v>17</v>
      </c>
      <c r="E396" s="232" t="s">
        <v>515</v>
      </c>
      <c r="F396" s="188" t="s">
        <v>983</v>
      </c>
      <c r="G396" s="211" t="s">
        <v>24</v>
      </c>
      <c r="H396" s="211">
        <v>12</v>
      </c>
      <c r="I396" s="188" t="s">
        <v>531</v>
      </c>
      <c r="J396" s="188" t="s">
        <v>539</v>
      </c>
      <c r="K396" s="209" t="s">
        <v>539</v>
      </c>
      <c r="L396" s="188" t="s">
        <v>531</v>
      </c>
      <c r="M396" s="188" t="s">
        <v>614</v>
      </c>
      <c r="N396" s="188"/>
      <c r="O396" s="188"/>
      <c r="P396" s="188"/>
      <c r="Q396" s="188" t="s">
        <v>19</v>
      </c>
      <c r="R396" s="188" t="s">
        <v>19</v>
      </c>
      <c r="S396" s="234" t="s">
        <v>19</v>
      </c>
      <c r="T396" s="188" t="s">
        <v>19</v>
      </c>
      <c r="U396" s="188" t="s">
        <v>306</v>
      </c>
      <c r="V396" s="234" t="s">
        <v>306</v>
      </c>
      <c r="W396" s="188" t="s">
        <v>19</v>
      </c>
      <c r="X396" s="188" t="s">
        <v>306</v>
      </c>
      <c r="Y396" s="234" t="s">
        <v>306</v>
      </c>
      <c r="Z396" s="188" t="s">
        <v>19</v>
      </c>
      <c r="AA396" s="188" t="s">
        <v>306</v>
      </c>
      <c r="AB396" s="234" t="s">
        <v>306</v>
      </c>
      <c r="AC396" s="235" t="s">
        <v>19</v>
      </c>
      <c r="AD396" s="188" t="s">
        <v>306</v>
      </c>
      <c r="AE396" s="188" t="s">
        <v>19</v>
      </c>
      <c r="AF396" s="234" t="s">
        <v>306</v>
      </c>
      <c r="AG396" s="188" t="s">
        <v>306</v>
      </c>
      <c r="AH396" s="188" t="s">
        <v>306</v>
      </c>
      <c r="AI396" s="234" t="s">
        <v>306</v>
      </c>
      <c r="AJ396" s="188" t="s">
        <v>19</v>
      </c>
      <c r="AK396" s="188" t="s">
        <v>19</v>
      </c>
      <c r="AL396" s="234" t="s">
        <v>19</v>
      </c>
      <c r="AM396" s="188" t="s">
        <v>19</v>
      </c>
      <c r="AN396" s="188" t="s">
        <v>19</v>
      </c>
      <c r="AO396" s="234" t="s">
        <v>19</v>
      </c>
      <c r="AP396" s="235" t="s">
        <v>19</v>
      </c>
      <c r="AQ396" s="188" t="s">
        <v>19</v>
      </c>
      <c r="AR396" s="188" t="s">
        <v>306</v>
      </c>
      <c r="AS396" s="234" t="s">
        <v>306</v>
      </c>
      <c r="AT396" s="188" t="s">
        <v>19</v>
      </c>
      <c r="AU396" s="188" t="s">
        <v>19</v>
      </c>
      <c r="AV396" s="234" t="s">
        <v>19</v>
      </c>
      <c r="AW396" s="188" t="s">
        <v>19</v>
      </c>
      <c r="AX396" s="188" t="s">
        <v>19</v>
      </c>
      <c r="AY396" s="234" t="s">
        <v>19</v>
      </c>
      <c r="AZ396" s="188" t="s">
        <v>19</v>
      </c>
      <c r="BA396" s="188" t="s">
        <v>19</v>
      </c>
      <c r="BB396" s="234" t="s">
        <v>19</v>
      </c>
      <c r="BC396" s="235" t="s">
        <v>19</v>
      </c>
      <c r="BD396" s="188"/>
    </row>
    <row r="397" spans="1:56" ht="12.75" customHeight="1" x14ac:dyDescent="0.25">
      <c r="A397" s="238">
        <v>45258.547086759259</v>
      </c>
      <c r="B397" s="233" t="s">
        <v>417</v>
      </c>
      <c r="C397" s="209" t="s">
        <v>587</v>
      </c>
      <c r="D397" s="232" t="s">
        <v>17</v>
      </c>
      <c r="E397" s="232" t="s">
        <v>515</v>
      </c>
      <c r="F397" s="209" t="s">
        <v>984</v>
      </c>
      <c r="G397" s="232" t="s">
        <v>24</v>
      </c>
      <c r="H397" s="232">
        <v>12</v>
      </c>
      <c r="I397" s="209" t="s">
        <v>531</v>
      </c>
      <c r="J397" s="188"/>
      <c r="K397" s="209" t="s">
        <v>539</v>
      </c>
      <c r="L397" s="209" t="s">
        <v>531</v>
      </c>
      <c r="M397" s="188"/>
      <c r="N397" s="188"/>
      <c r="O397" s="188"/>
      <c r="P397" s="188"/>
      <c r="Q397" s="209" t="s">
        <v>306</v>
      </c>
      <c r="R397" s="209" t="s">
        <v>306</v>
      </c>
      <c r="S397" s="234" t="s">
        <v>306</v>
      </c>
      <c r="T397" s="209" t="s">
        <v>19</v>
      </c>
      <c r="U397" s="209" t="s">
        <v>19</v>
      </c>
      <c r="V397" s="234" t="s">
        <v>19</v>
      </c>
      <c r="W397" s="209" t="s">
        <v>306</v>
      </c>
      <c r="X397" s="209" t="s">
        <v>306</v>
      </c>
      <c r="Y397" s="234" t="s">
        <v>306</v>
      </c>
      <c r="Z397" s="209" t="s">
        <v>25</v>
      </c>
      <c r="AA397" s="209" t="s">
        <v>19</v>
      </c>
      <c r="AB397" s="234" t="s">
        <v>306</v>
      </c>
      <c r="AC397" s="235" t="s">
        <v>306</v>
      </c>
      <c r="AD397" s="209" t="s">
        <v>306</v>
      </c>
      <c r="AE397" s="209" t="s">
        <v>306</v>
      </c>
      <c r="AF397" s="234" t="s">
        <v>306</v>
      </c>
      <c r="AG397" s="209" t="s">
        <v>25</v>
      </c>
      <c r="AH397" s="209" t="s">
        <v>19</v>
      </c>
      <c r="AI397" s="234" t="s">
        <v>306</v>
      </c>
      <c r="AJ397" s="209" t="s">
        <v>19</v>
      </c>
      <c r="AK397" s="209" t="s">
        <v>19</v>
      </c>
      <c r="AL397" s="234" t="s">
        <v>19</v>
      </c>
      <c r="AM397" s="209" t="s">
        <v>19</v>
      </c>
      <c r="AN397" s="209" t="s">
        <v>19</v>
      </c>
      <c r="AO397" s="234" t="s">
        <v>19</v>
      </c>
      <c r="AP397" s="235" t="s">
        <v>306</v>
      </c>
      <c r="AQ397" s="209" t="s">
        <v>19</v>
      </c>
      <c r="AR397" s="209" t="s">
        <v>19</v>
      </c>
      <c r="AS397" s="234" t="s">
        <v>19</v>
      </c>
      <c r="AT397" s="209" t="s">
        <v>19</v>
      </c>
      <c r="AU397" s="209" t="s">
        <v>19</v>
      </c>
      <c r="AV397" s="234" t="s">
        <v>19</v>
      </c>
      <c r="AW397" s="209" t="s">
        <v>19</v>
      </c>
      <c r="AX397" s="209" t="s">
        <v>19</v>
      </c>
      <c r="AY397" s="234" t="s">
        <v>19</v>
      </c>
      <c r="AZ397" s="209" t="s">
        <v>19</v>
      </c>
      <c r="BA397" s="209" t="s">
        <v>19</v>
      </c>
      <c r="BB397" s="234" t="s">
        <v>306</v>
      </c>
      <c r="BC397" s="235" t="s">
        <v>25</v>
      </c>
      <c r="BD397" s="209"/>
    </row>
    <row r="398" spans="1:56" ht="12.75" customHeight="1" x14ac:dyDescent="0.25">
      <c r="A398" s="238">
        <v>45258.58934486111</v>
      </c>
      <c r="B398" s="233" t="s">
        <v>417</v>
      </c>
      <c r="C398" s="209" t="s">
        <v>587</v>
      </c>
      <c r="D398" s="232" t="s">
        <v>17</v>
      </c>
      <c r="E398" s="232" t="s">
        <v>515</v>
      </c>
      <c r="F398" s="209" t="s">
        <v>985</v>
      </c>
      <c r="G398" s="232" t="s">
        <v>24</v>
      </c>
      <c r="H398" s="232">
        <v>12</v>
      </c>
      <c r="I398" s="209" t="s">
        <v>531</v>
      </c>
      <c r="J398" s="188"/>
      <c r="K398" s="209" t="s">
        <v>539</v>
      </c>
      <c r="L398" s="209" t="s">
        <v>531</v>
      </c>
      <c r="M398" s="188"/>
      <c r="N398" s="188"/>
      <c r="O398" s="188"/>
      <c r="P398" s="188"/>
      <c r="Q398" s="209" t="s">
        <v>19</v>
      </c>
      <c r="R398" s="209" t="s">
        <v>19</v>
      </c>
      <c r="S398" s="234" t="s">
        <v>19</v>
      </c>
      <c r="T398" s="209" t="s">
        <v>19</v>
      </c>
      <c r="U398" s="209" t="s">
        <v>19</v>
      </c>
      <c r="V398" s="234" t="s">
        <v>19</v>
      </c>
      <c r="W398" s="209" t="s">
        <v>19</v>
      </c>
      <c r="X398" s="209" t="s">
        <v>19</v>
      </c>
      <c r="Y398" s="234" t="s">
        <v>19</v>
      </c>
      <c r="Z398" s="209" t="s">
        <v>19</v>
      </c>
      <c r="AA398" s="209" t="s">
        <v>19</v>
      </c>
      <c r="AB398" s="234" t="s">
        <v>19</v>
      </c>
      <c r="AC398" s="235" t="s">
        <v>19</v>
      </c>
      <c r="AD398" s="209" t="s">
        <v>19</v>
      </c>
      <c r="AE398" s="209" t="s">
        <v>19</v>
      </c>
      <c r="AF398" s="234" t="s">
        <v>19</v>
      </c>
      <c r="AG398" s="209" t="s">
        <v>19</v>
      </c>
      <c r="AH398" s="209" t="s">
        <v>19</v>
      </c>
      <c r="AI398" s="234" t="s">
        <v>19</v>
      </c>
      <c r="AJ398" s="209" t="s">
        <v>19</v>
      </c>
      <c r="AK398" s="209" t="s">
        <v>19</v>
      </c>
      <c r="AL398" s="234" t="s">
        <v>19</v>
      </c>
      <c r="AM398" s="209" t="s">
        <v>19</v>
      </c>
      <c r="AN398" s="209" t="s">
        <v>19</v>
      </c>
      <c r="AO398" s="234" t="s">
        <v>19</v>
      </c>
      <c r="AP398" s="235" t="s">
        <v>19</v>
      </c>
      <c r="AQ398" s="209" t="s">
        <v>19</v>
      </c>
      <c r="AR398" s="209" t="s">
        <v>19</v>
      </c>
      <c r="AS398" s="234" t="s">
        <v>19</v>
      </c>
      <c r="AT398" s="209" t="s">
        <v>19</v>
      </c>
      <c r="AU398" s="209" t="s">
        <v>19</v>
      </c>
      <c r="AV398" s="234" t="s">
        <v>19</v>
      </c>
      <c r="AW398" s="209" t="s">
        <v>19</v>
      </c>
      <c r="AX398" s="209" t="s">
        <v>19</v>
      </c>
      <c r="AY398" s="234" t="s">
        <v>19</v>
      </c>
      <c r="AZ398" s="209" t="s">
        <v>19</v>
      </c>
      <c r="BA398" s="209" t="s">
        <v>19</v>
      </c>
      <c r="BB398" s="234" t="s">
        <v>25</v>
      </c>
      <c r="BC398" s="235" t="s">
        <v>25</v>
      </c>
      <c r="BD398" s="209"/>
    </row>
    <row r="399" spans="1:56" ht="12.75" customHeight="1" x14ac:dyDescent="0.25">
      <c r="A399" s="238">
        <v>45258.596533761578</v>
      </c>
      <c r="B399" s="233" t="s">
        <v>417</v>
      </c>
      <c r="C399" s="209" t="s">
        <v>587</v>
      </c>
      <c r="D399" s="232" t="s">
        <v>17</v>
      </c>
      <c r="E399" s="232" t="s">
        <v>515</v>
      </c>
      <c r="F399" s="209" t="s">
        <v>986</v>
      </c>
      <c r="G399" s="232" t="s">
        <v>18</v>
      </c>
      <c r="H399" s="232">
        <v>12</v>
      </c>
      <c r="I399" s="209" t="s">
        <v>531</v>
      </c>
      <c r="J399" s="188"/>
      <c r="K399" s="209" t="s">
        <v>539</v>
      </c>
      <c r="L399" s="209" t="s">
        <v>531</v>
      </c>
      <c r="M399" s="188"/>
      <c r="N399" s="188"/>
      <c r="O399" s="188"/>
      <c r="P399" s="188"/>
      <c r="Q399" s="209" t="s">
        <v>306</v>
      </c>
      <c r="R399" s="209" t="s">
        <v>306</v>
      </c>
      <c r="S399" s="234" t="s">
        <v>306</v>
      </c>
      <c r="T399" s="209" t="s">
        <v>306</v>
      </c>
      <c r="U399" s="209" t="s">
        <v>306</v>
      </c>
      <c r="V399" s="234" t="s">
        <v>306</v>
      </c>
      <c r="W399" s="209" t="s">
        <v>306</v>
      </c>
      <c r="X399" s="209" t="s">
        <v>306</v>
      </c>
      <c r="Y399" s="234" t="s">
        <v>306</v>
      </c>
      <c r="Z399" s="209" t="s">
        <v>306</v>
      </c>
      <c r="AA399" s="209" t="s">
        <v>306</v>
      </c>
      <c r="AB399" s="234" t="s">
        <v>306</v>
      </c>
      <c r="AC399" s="235" t="s">
        <v>306</v>
      </c>
      <c r="AD399" s="209" t="s">
        <v>19</v>
      </c>
      <c r="AE399" s="209" t="s">
        <v>306</v>
      </c>
      <c r="AF399" s="234" t="s">
        <v>306</v>
      </c>
      <c r="AG399" s="209" t="s">
        <v>19</v>
      </c>
      <c r="AH399" s="209" t="s">
        <v>19</v>
      </c>
      <c r="AI399" s="234" t="s">
        <v>19</v>
      </c>
      <c r="AJ399" s="209" t="s">
        <v>19</v>
      </c>
      <c r="AK399" s="209" t="s">
        <v>19</v>
      </c>
      <c r="AL399" s="234" t="s">
        <v>19</v>
      </c>
      <c r="AM399" s="209" t="s">
        <v>19</v>
      </c>
      <c r="AN399" s="209" t="s">
        <v>19</v>
      </c>
      <c r="AO399" s="234" t="s">
        <v>19</v>
      </c>
      <c r="AP399" s="235" t="s">
        <v>19</v>
      </c>
      <c r="AQ399" s="209" t="s">
        <v>19</v>
      </c>
      <c r="AR399" s="209" t="s">
        <v>19</v>
      </c>
      <c r="AS399" s="234" t="s">
        <v>19</v>
      </c>
      <c r="AT399" s="209" t="s">
        <v>19</v>
      </c>
      <c r="AU399" s="209" t="s">
        <v>19</v>
      </c>
      <c r="AV399" s="234" t="s">
        <v>19</v>
      </c>
      <c r="AW399" s="209" t="s">
        <v>19</v>
      </c>
      <c r="AX399" s="209" t="s">
        <v>19</v>
      </c>
      <c r="AY399" s="234" t="s">
        <v>19</v>
      </c>
      <c r="AZ399" s="209" t="s">
        <v>19</v>
      </c>
      <c r="BA399" s="209" t="s">
        <v>19</v>
      </c>
      <c r="BB399" s="234" t="s">
        <v>25</v>
      </c>
      <c r="BC399" s="235" t="s">
        <v>25</v>
      </c>
      <c r="BD399" s="209"/>
    </row>
    <row r="400" spans="1:56" ht="12.75" customHeight="1" x14ac:dyDescent="0.25">
      <c r="A400" s="238">
        <v>45258.599105439818</v>
      </c>
      <c r="B400" s="233" t="s">
        <v>417</v>
      </c>
      <c r="C400" s="209" t="s">
        <v>587</v>
      </c>
      <c r="D400" s="232" t="s">
        <v>17</v>
      </c>
      <c r="E400" s="232" t="s">
        <v>515</v>
      </c>
      <c r="F400" s="209" t="s">
        <v>987</v>
      </c>
      <c r="G400" s="232" t="s">
        <v>18</v>
      </c>
      <c r="H400" s="232">
        <v>12</v>
      </c>
      <c r="I400" s="209" t="s">
        <v>531</v>
      </c>
      <c r="J400" s="188"/>
      <c r="K400" s="209" t="s">
        <v>539</v>
      </c>
      <c r="L400" s="209" t="s">
        <v>531</v>
      </c>
      <c r="M400" s="188"/>
      <c r="N400" s="188"/>
      <c r="O400" s="188"/>
      <c r="P400" s="188"/>
      <c r="Q400" s="209" t="s">
        <v>306</v>
      </c>
      <c r="R400" s="209" t="s">
        <v>306</v>
      </c>
      <c r="S400" s="234" t="s">
        <v>306</v>
      </c>
      <c r="T400" s="209" t="s">
        <v>19</v>
      </c>
      <c r="U400" s="209" t="s">
        <v>306</v>
      </c>
      <c r="V400" s="234" t="s">
        <v>306</v>
      </c>
      <c r="W400" s="209" t="s">
        <v>306</v>
      </c>
      <c r="X400" s="209" t="s">
        <v>19</v>
      </c>
      <c r="Y400" s="234" t="s">
        <v>306</v>
      </c>
      <c r="Z400" s="209" t="s">
        <v>19</v>
      </c>
      <c r="AA400" s="209" t="s">
        <v>19</v>
      </c>
      <c r="AB400" s="234" t="s">
        <v>19</v>
      </c>
      <c r="AC400" s="235" t="s">
        <v>306</v>
      </c>
      <c r="AD400" s="209" t="s">
        <v>306</v>
      </c>
      <c r="AE400" s="209" t="s">
        <v>306</v>
      </c>
      <c r="AF400" s="234" t="s">
        <v>306</v>
      </c>
      <c r="AG400" s="209" t="s">
        <v>306</v>
      </c>
      <c r="AH400" s="209" t="s">
        <v>19</v>
      </c>
      <c r="AI400" s="234" t="s">
        <v>306</v>
      </c>
      <c r="AJ400" s="209" t="s">
        <v>19</v>
      </c>
      <c r="AK400" s="209" t="s">
        <v>19</v>
      </c>
      <c r="AL400" s="234" t="s">
        <v>19</v>
      </c>
      <c r="AM400" s="209" t="s">
        <v>19</v>
      </c>
      <c r="AN400" s="209" t="s">
        <v>19</v>
      </c>
      <c r="AO400" s="234" t="s">
        <v>19</v>
      </c>
      <c r="AP400" s="235" t="s">
        <v>19</v>
      </c>
      <c r="AQ400" s="209" t="s">
        <v>19</v>
      </c>
      <c r="AR400" s="209" t="s">
        <v>19</v>
      </c>
      <c r="AS400" s="234" t="s">
        <v>19</v>
      </c>
      <c r="AT400" s="209" t="s">
        <v>19</v>
      </c>
      <c r="AU400" s="209" t="s">
        <v>19</v>
      </c>
      <c r="AV400" s="234" t="s">
        <v>19</v>
      </c>
      <c r="AW400" s="209" t="s">
        <v>19</v>
      </c>
      <c r="AX400" s="209" t="s">
        <v>19</v>
      </c>
      <c r="AY400" s="234" t="s">
        <v>19</v>
      </c>
      <c r="AZ400" s="209" t="s">
        <v>19</v>
      </c>
      <c r="BA400" s="209" t="s">
        <v>19</v>
      </c>
      <c r="BB400" s="234" t="s">
        <v>25</v>
      </c>
      <c r="BC400" s="235" t="s">
        <v>25</v>
      </c>
      <c r="BD400" s="209"/>
    </row>
    <row r="401" spans="1:56" ht="12.75" customHeight="1" x14ac:dyDescent="0.25">
      <c r="A401" s="238">
        <v>45258.602762430557</v>
      </c>
      <c r="B401" s="233" t="s">
        <v>417</v>
      </c>
      <c r="C401" s="209" t="s">
        <v>587</v>
      </c>
      <c r="D401" s="232" t="s">
        <v>17</v>
      </c>
      <c r="E401" s="232" t="s">
        <v>515</v>
      </c>
      <c r="F401" s="209" t="s">
        <v>988</v>
      </c>
      <c r="G401" s="232" t="s">
        <v>24</v>
      </c>
      <c r="H401" s="232">
        <v>12</v>
      </c>
      <c r="I401" s="209" t="s">
        <v>531</v>
      </c>
      <c r="J401" s="188"/>
      <c r="K401" s="209" t="s">
        <v>539</v>
      </c>
      <c r="L401" s="209" t="s">
        <v>531</v>
      </c>
      <c r="M401" s="188"/>
      <c r="N401" s="188"/>
      <c r="O401" s="188"/>
      <c r="P401" s="188"/>
      <c r="Q401" s="209" t="s">
        <v>25</v>
      </c>
      <c r="R401" s="209" t="s">
        <v>25</v>
      </c>
      <c r="S401" s="234" t="s">
        <v>25</v>
      </c>
      <c r="T401" s="209" t="s">
        <v>306</v>
      </c>
      <c r="U401" s="209" t="s">
        <v>25</v>
      </c>
      <c r="V401" s="234" t="s">
        <v>25</v>
      </c>
      <c r="W401" s="209" t="s">
        <v>306</v>
      </c>
      <c r="X401" s="209" t="s">
        <v>19</v>
      </c>
      <c r="Y401" s="234" t="s">
        <v>306</v>
      </c>
      <c r="Z401" s="209" t="s">
        <v>19</v>
      </c>
      <c r="AA401" s="209" t="s">
        <v>19</v>
      </c>
      <c r="AB401" s="234" t="s">
        <v>19</v>
      </c>
      <c r="AC401" s="235" t="s">
        <v>306</v>
      </c>
      <c r="AD401" s="209" t="s">
        <v>19</v>
      </c>
      <c r="AE401" s="209" t="s">
        <v>19</v>
      </c>
      <c r="AF401" s="234" t="s">
        <v>19</v>
      </c>
      <c r="AG401" s="209" t="s">
        <v>19</v>
      </c>
      <c r="AH401" s="209" t="s">
        <v>19</v>
      </c>
      <c r="AI401" s="234" t="s">
        <v>19</v>
      </c>
      <c r="AJ401" s="209" t="s">
        <v>19</v>
      </c>
      <c r="AK401" s="209" t="s">
        <v>19</v>
      </c>
      <c r="AL401" s="234" t="s">
        <v>19</v>
      </c>
      <c r="AM401" s="209" t="s">
        <v>19</v>
      </c>
      <c r="AN401" s="209" t="s">
        <v>19</v>
      </c>
      <c r="AO401" s="234" t="s">
        <v>19</v>
      </c>
      <c r="AP401" s="235" t="s">
        <v>19</v>
      </c>
      <c r="AQ401" s="209" t="s">
        <v>19</v>
      </c>
      <c r="AR401" s="209" t="s">
        <v>19</v>
      </c>
      <c r="AS401" s="234" t="s">
        <v>19</v>
      </c>
      <c r="AT401" s="209" t="s">
        <v>19</v>
      </c>
      <c r="AU401" s="209" t="s">
        <v>19</v>
      </c>
      <c r="AV401" s="234" t="s">
        <v>19</v>
      </c>
      <c r="AW401" s="209" t="s">
        <v>19</v>
      </c>
      <c r="AX401" s="209" t="s">
        <v>19</v>
      </c>
      <c r="AY401" s="234" t="s">
        <v>19</v>
      </c>
      <c r="AZ401" s="209" t="s">
        <v>19</v>
      </c>
      <c r="BA401" s="209" t="s">
        <v>19</v>
      </c>
      <c r="BB401" s="234" t="s">
        <v>25</v>
      </c>
      <c r="BC401" s="235" t="s">
        <v>25</v>
      </c>
      <c r="BD401" s="209"/>
    </row>
    <row r="402" spans="1:56" ht="12.75" customHeight="1" x14ac:dyDescent="0.25">
      <c r="A402" s="238">
        <v>45258.605018252318</v>
      </c>
      <c r="B402" s="233" t="s">
        <v>417</v>
      </c>
      <c r="C402" s="209" t="s">
        <v>587</v>
      </c>
      <c r="D402" s="232" t="s">
        <v>17</v>
      </c>
      <c r="E402" s="232" t="s">
        <v>515</v>
      </c>
      <c r="F402" s="209" t="s">
        <v>989</v>
      </c>
      <c r="G402" s="232" t="s">
        <v>24</v>
      </c>
      <c r="H402" s="232">
        <v>13</v>
      </c>
      <c r="I402" s="209" t="s">
        <v>531</v>
      </c>
      <c r="J402" s="188"/>
      <c r="K402" s="209" t="s">
        <v>539</v>
      </c>
      <c r="L402" s="209" t="s">
        <v>531</v>
      </c>
      <c r="M402" s="188"/>
      <c r="N402" s="188"/>
      <c r="O402" s="188"/>
      <c r="P402" s="188"/>
      <c r="Q402" s="209" t="s">
        <v>25</v>
      </c>
      <c r="R402" s="209" t="s">
        <v>25</v>
      </c>
      <c r="S402" s="234" t="s">
        <v>25</v>
      </c>
      <c r="T402" s="209" t="s">
        <v>19</v>
      </c>
      <c r="U402" s="209" t="s">
        <v>19</v>
      </c>
      <c r="V402" s="234" t="s">
        <v>19</v>
      </c>
      <c r="W402" s="209" t="s">
        <v>19</v>
      </c>
      <c r="X402" s="209" t="s">
        <v>19</v>
      </c>
      <c r="Y402" s="234" t="s">
        <v>19</v>
      </c>
      <c r="Z402" s="209" t="s">
        <v>19</v>
      </c>
      <c r="AA402" s="209" t="s">
        <v>19</v>
      </c>
      <c r="AB402" s="234" t="s">
        <v>19</v>
      </c>
      <c r="AC402" s="235" t="s">
        <v>306</v>
      </c>
      <c r="AD402" s="209" t="s">
        <v>19</v>
      </c>
      <c r="AE402" s="209" t="s">
        <v>19</v>
      </c>
      <c r="AF402" s="234" t="s">
        <v>19</v>
      </c>
      <c r="AG402" s="209" t="s">
        <v>19</v>
      </c>
      <c r="AH402" s="209" t="s">
        <v>19</v>
      </c>
      <c r="AI402" s="234" t="s">
        <v>19</v>
      </c>
      <c r="AJ402" s="209" t="s">
        <v>19</v>
      </c>
      <c r="AK402" s="209" t="s">
        <v>19</v>
      </c>
      <c r="AL402" s="234" t="s">
        <v>19</v>
      </c>
      <c r="AM402" s="209" t="s">
        <v>19</v>
      </c>
      <c r="AN402" s="209" t="s">
        <v>19</v>
      </c>
      <c r="AO402" s="234" t="s">
        <v>19</v>
      </c>
      <c r="AP402" s="235" t="s">
        <v>19</v>
      </c>
      <c r="AQ402" s="209" t="s">
        <v>25</v>
      </c>
      <c r="AR402" s="209" t="s">
        <v>306</v>
      </c>
      <c r="AS402" s="234" t="s">
        <v>25</v>
      </c>
      <c r="AT402" s="209" t="s">
        <v>19</v>
      </c>
      <c r="AU402" s="209" t="s">
        <v>19</v>
      </c>
      <c r="AV402" s="234" t="s">
        <v>19</v>
      </c>
      <c r="AW402" s="209" t="s">
        <v>19</v>
      </c>
      <c r="AX402" s="209" t="s">
        <v>19</v>
      </c>
      <c r="AY402" s="234" t="s">
        <v>19</v>
      </c>
      <c r="AZ402" s="209" t="s">
        <v>19</v>
      </c>
      <c r="BA402" s="209" t="s">
        <v>19</v>
      </c>
      <c r="BB402" s="234" t="s">
        <v>25</v>
      </c>
      <c r="BC402" s="235" t="s">
        <v>306</v>
      </c>
      <c r="BD402" s="209"/>
    </row>
    <row r="403" spans="1:56" ht="12.75" customHeight="1" x14ac:dyDescent="0.25">
      <c r="A403" s="238">
        <v>45258.607729768519</v>
      </c>
      <c r="B403" s="233" t="s">
        <v>417</v>
      </c>
      <c r="C403" s="209" t="s">
        <v>587</v>
      </c>
      <c r="D403" s="232" t="s">
        <v>17</v>
      </c>
      <c r="E403" s="232" t="s">
        <v>515</v>
      </c>
      <c r="F403" s="209" t="s">
        <v>990</v>
      </c>
      <c r="G403" s="232" t="s">
        <v>18</v>
      </c>
      <c r="H403" s="232">
        <v>12</v>
      </c>
      <c r="I403" s="209" t="s">
        <v>531</v>
      </c>
      <c r="J403" s="188"/>
      <c r="K403" s="209" t="s">
        <v>539</v>
      </c>
      <c r="L403" s="209" t="s">
        <v>531</v>
      </c>
      <c r="M403" s="188"/>
      <c r="N403" s="188"/>
      <c r="O403" s="188"/>
      <c r="P403" s="188"/>
      <c r="Q403" s="209" t="s">
        <v>25</v>
      </c>
      <c r="R403" s="209" t="s">
        <v>19</v>
      </c>
      <c r="S403" s="234" t="s">
        <v>306</v>
      </c>
      <c r="T403" s="209" t="s">
        <v>19</v>
      </c>
      <c r="U403" s="209" t="s">
        <v>19</v>
      </c>
      <c r="V403" s="234" t="s">
        <v>19</v>
      </c>
      <c r="W403" s="209" t="s">
        <v>19</v>
      </c>
      <c r="X403" s="209" t="s">
        <v>19</v>
      </c>
      <c r="Y403" s="234" t="s">
        <v>19</v>
      </c>
      <c r="Z403" s="209" t="s">
        <v>19</v>
      </c>
      <c r="AA403" s="209" t="s">
        <v>19</v>
      </c>
      <c r="AB403" s="234" t="s">
        <v>19</v>
      </c>
      <c r="AC403" s="235" t="s">
        <v>19</v>
      </c>
      <c r="AD403" s="209" t="s">
        <v>19</v>
      </c>
      <c r="AE403" s="209" t="s">
        <v>19</v>
      </c>
      <c r="AF403" s="234" t="s">
        <v>19</v>
      </c>
      <c r="AG403" s="209" t="s">
        <v>19</v>
      </c>
      <c r="AH403" s="209" t="s">
        <v>19</v>
      </c>
      <c r="AI403" s="234" t="s">
        <v>19</v>
      </c>
      <c r="AJ403" s="209" t="s">
        <v>19</v>
      </c>
      <c r="AK403" s="209" t="s">
        <v>19</v>
      </c>
      <c r="AL403" s="234" t="s">
        <v>19</v>
      </c>
      <c r="AM403" s="209" t="s">
        <v>19</v>
      </c>
      <c r="AN403" s="209" t="s">
        <v>19</v>
      </c>
      <c r="AO403" s="234" t="s">
        <v>19</v>
      </c>
      <c r="AP403" s="235" t="s">
        <v>19</v>
      </c>
      <c r="AQ403" s="209" t="s">
        <v>19</v>
      </c>
      <c r="AR403" s="209" t="s">
        <v>19</v>
      </c>
      <c r="AS403" s="234" t="s">
        <v>19</v>
      </c>
      <c r="AT403" s="209" t="s">
        <v>19</v>
      </c>
      <c r="AU403" s="209" t="s">
        <v>19</v>
      </c>
      <c r="AV403" s="234" t="s">
        <v>19</v>
      </c>
      <c r="AW403" s="209" t="s">
        <v>19</v>
      </c>
      <c r="AX403" s="209" t="s">
        <v>19</v>
      </c>
      <c r="AY403" s="234" t="s">
        <v>19</v>
      </c>
      <c r="AZ403" s="209" t="s">
        <v>19</v>
      </c>
      <c r="BA403" s="209" t="s">
        <v>19</v>
      </c>
      <c r="BB403" s="234" t="s">
        <v>25</v>
      </c>
      <c r="BC403" s="235" t="s">
        <v>25</v>
      </c>
      <c r="BD403" s="209"/>
    </row>
    <row r="404" spans="1:56" ht="12.75" customHeight="1" x14ac:dyDescent="0.25">
      <c r="A404" s="238">
        <v>45258.610274965278</v>
      </c>
      <c r="B404" s="233" t="s">
        <v>417</v>
      </c>
      <c r="C404" s="209" t="s">
        <v>587</v>
      </c>
      <c r="D404" s="232" t="s">
        <v>17</v>
      </c>
      <c r="E404" s="232" t="s">
        <v>515</v>
      </c>
      <c r="F404" s="209" t="s">
        <v>991</v>
      </c>
      <c r="G404" s="232" t="s">
        <v>18</v>
      </c>
      <c r="H404" s="232">
        <v>13</v>
      </c>
      <c r="I404" s="209" t="s">
        <v>531</v>
      </c>
      <c r="J404" s="188"/>
      <c r="K404" s="209" t="s">
        <v>539</v>
      </c>
      <c r="L404" s="209" t="s">
        <v>531</v>
      </c>
      <c r="M404" s="188"/>
      <c r="N404" s="188"/>
      <c r="O404" s="188"/>
      <c r="P404" s="188"/>
      <c r="Q404" s="209" t="s">
        <v>25</v>
      </c>
      <c r="R404" s="209" t="s">
        <v>306</v>
      </c>
      <c r="S404" s="234" t="s">
        <v>25</v>
      </c>
      <c r="T404" s="209" t="s">
        <v>19</v>
      </c>
      <c r="U404" s="209" t="s">
        <v>19</v>
      </c>
      <c r="V404" s="234" t="s">
        <v>19</v>
      </c>
      <c r="W404" s="209" t="s">
        <v>19</v>
      </c>
      <c r="X404" s="209" t="s">
        <v>19</v>
      </c>
      <c r="Y404" s="234" t="s">
        <v>19</v>
      </c>
      <c r="Z404" s="209" t="s">
        <v>19</v>
      </c>
      <c r="AA404" s="209" t="s">
        <v>19</v>
      </c>
      <c r="AB404" s="234" t="s">
        <v>19</v>
      </c>
      <c r="AC404" s="235" t="s">
        <v>19</v>
      </c>
      <c r="AD404" s="209" t="s">
        <v>306</v>
      </c>
      <c r="AE404" s="209" t="s">
        <v>306</v>
      </c>
      <c r="AF404" s="234" t="s">
        <v>306</v>
      </c>
      <c r="AG404" s="209" t="s">
        <v>306</v>
      </c>
      <c r="AH404" s="209" t="s">
        <v>306</v>
      </c>
      <c r="AI404" s="234" t="s">
        <v>306</v>
      </c>
      <c r="AJ404" s="209" t="s">
        <v>306</v>
      </c>
      <c r="AK404" s="209" t="s">
        <v>306</v>
      </c>
      <c r="AL404" s="234" t="s">
        <v>306</v>
      </c>
      <c r="AM404" s="209" t="s">
        <v>306</v>
      </c>
      <c r="AN404" s="209" t="s">
        <v>306</v>
      </c>
      <c r="AO404" s="234" t="s">
        <v>306</v>
      </c>
      <c r="AP404" s="235" t="s">
        <v>306</v>
      </c>
      <c r="AQ404" s="209" t="s">
        <v>306</v>
      </c>
      <c r="AR404" s="209" t="s">
        <v>306</v>
      </c>
      <c r="AS404" s="234" t="s">
        <v>306</v>
      </c>
      <c r="AT404" s="209" t="s">
        <v>306</v>
      </c>
      <c r="AU404" s="209" t="s">
        <v>306</v>
      </c>
      <c r="AV404" s="234" t="s">
        <v>306</v>
      </c>
      <c r="AW404" s="209" t="s">
        <v>306</v>
      </c>
      <c r="AX404" s="209" t="s">
        <v>306</v>
      </c>
      <c r="AY404" s="234" t="s">
        <v>306</v>
      </c>
      <c r="AZ404" s="209" t="s">
        <v>306</v>
      </c>
      <c r="BA404" s="209" t="s">
        <v>306</v>
      </c>
      <c r="BB404" s="234" t="s">
        <v>25</v>
      </c>
      <c r="BC404" s="235" t="s">
        <v>25</v>
      </c>
      <c r="BD404" s="209"/>
    </row>
    <row r="405" spans="1:56" ht="12.75" customHeight="1" x14ac:dyDescent="0.25">
      <c r="A405" s="238">
        <v>45258.613014062503</v>
      </c>
      <c r="B405" s="233" t="s">
        <v>417</v>
      </c>
      <c r="C405" s="209" t="s">
        <v>587</v>
      </c>
      <c r="D405" s="232" t="s">
        <v>17</v>
      </c>
      <c r="E405" s="232" t="s">
        <v>515</v>
      </c>
      <c r="F405" s="209" t="s">
        <v>992</v>
      </c>
      <c r="G405" s="232" t="s">
        <v>18</v>
      </c>
      <c r="H405" s="232">
        <v>14</v>
      </c>
      <c r="I405" s="209" t="s">
        <v>531</v>
      </c>
      <c r="J405" s="188"/>
      <c r="K405" s="209" t="s">
        <v>539</v>
      </c>
      <c r="L405" s="209" t="s">
        <v>531</v>
      </c>
      <c r="M405" s="188"/>
      <c r="N405" s="188"/>
      <c r="O405" s="188"/>
      <c r="P405" s="188"/>
      <c r="Q405" s="209" t="s">
        <v>19</v>
      </c>
      <c r="R405" s="209" t="s">
        <v>19</v>
      </c>
      <c r="S405" s="234" t="s">
        <v>19</v>
      </c>
      <c r="T405" s="209" t="s">
        <v>19</v>
      </c>
      <c r="U405" s="209" t="s">
        <v>19</v>
      </c>
      <c r="V405" s="234" t="s">
        <v>19</v>
      </c>
      <c r="W405" s="209" t="s">
        <v>19</v>
      </c>
      <c r="X405" s="209" t="s">
        <v>19</v>
      </c>
      <c r="Y405" s="234" t="s">
        <v>19</v>
      </c>
      <c r="Z405" s="209" t="s">
        <v>19</v>
      </c>
      <c r="AA405" s="209" t="s">
        <v>19</v>
      </c>
      <c r="AB405" s="234" t="s">
        <v>19</v>
      </c>
      <c r="AC405" s="235" t="s">
        <v>19</v>
      </c>
      <c r="AD405" s="209" t="s">
        <v>19</v>
      </c>
      <c r="AE405" s="209" t="s">
        <v>19</v>
      </c>
      <c r="AF405" s="234" t="s">
        <v>19</v>
      </c>
      <c r="AG405" s="209" t="s">
        <v>19</v>
      </c>
      <c r="AH405" s="209" t="s">
        <v>19</v>
      </c>
      <c r="AI405" s="234" t="s">
        <v>19</v>
      </c>
      <c r="AJ405" s="209" t="s">
        <v>19</v>
      </c>
      <c r="AK405" s="209" t="s">
        <v>19</v>
      </c>
      <c r="AL405" s="234" t="s">
        <v>19</v>
      </c>
      <c r="AM405" s="209" t="s">
        <v>19</v>
      </c>
      <c r="AN405" s="209" t="s">
        <v>19</v>
      </c>
      <c r="AO405" s="234" t="s">
        <v>19</v>
      </c>
      <c r="AP405" s="235" t="s">
        <v>19</v>
      </c>
      <c r="AQ405" s="209" t="s">
        <v>19</v>
      </c>
      <c r="AR405" s="209" t="s">
        <v>19</v>
      </c>
      <c r="AS405" s="234" t="s">
        <v>19</v>
      </c>
      <c r="AT405" s="209" t="s">
        <v>19</v>
      </c>
      <c r="AU405" s="209" t="s">
        <v>19</v>
      </c>
      <c r="AV405" s="234" t="s">
        <v>19</v>
      </c>
      <c r="AW405" s="209" t="s">
        <v>19</v>
      </c>
      <c r="AX405" s="209" t="s">
        <v>19</v>
      </c>
      <c r="AY405" s="234" t="s">
        <v>19</v>
      </c>
      <c r="AZ405" s="209" t="s">
        <v>19</v>
      </c>
      <c r="BA405" s="209" t="s">
        <v>19</v>
      </c>
      <c r="BB405" s="234" t="s">
        <v>25</v>
      </c>
      <c r="BC405" s="235" t="s">
        <v>306</v>
      </c>
      <c r="BD405" s="209"/>
    </row>
    <row r="406" spans="1:56" ht="12.75" customHeight="1" x14ac:dyDescent="0.25">
      <c r="A406" s="238">
        <v>45258.615335092589</v>
      </c>
      <c r="B406" s="233" t="s">
        <v>417</v>
      </c>
      <c r="C406" s="209" t="s">
        <v>587</v>
      </c>
      <c r="D406" s="232" t="s">
        <v>17</v>
      </c>
      <c r="E406" s="232" t="s">
        <v>515</v>
      </c>
      <c r="F406" s="209" t="s">
        <v>993</v>
      </c>
      <c r="G406" s="232" t="s">
        <v>24</v>
      </c>
      <c r="H406" s="232">
        <v>12</v>
      </c>
      <c r="I406" s="209" t="s">
        <v>531</v>
      </c>
      <c r="J406" s="188"/>
      <c r="K406" s="209" t="s">
        <v>539</v>
      </c>
      <c r="L406" s="209" t="s">
        <v>531</v>
      </c>
      <c r="M406" s="188"/>
      <c r="N406" s="188"/>
      <c r="O406" s="188"/>
      <c r="P406" s="188"/>
      <c r="Q406" s="209" t="s">
        <v>25</v>
      </c>
      <c r="R406" s="209" t="s">
        <v>19</v>
      </c>
      <c r="S406" s="234" t="s">
        <v>306</v>
      </c>
      <c r="T406" s="209" t="s">
        <v>19</v>
      </c>
      <c r="U406" s="209" t="s">
        <v>19</v>
      </c>
      <c r="V406" s="234" t="s">
        <v>19</v>
      </c>
      <c r="W406" s="209" t="s">
        <v>19</v>
      </c>
      <c r="X406" s="209" t="s">
        <v>19</v>
      </c>
      <c r="Y406" s="234" t="s">
        <v>19</v>
      </c>
      <c r="Z406" s="209" t="s">
        <v>19</v>
      </c>
      <c r="AA406" s="209" t="s">
        <v>19</v>
      </c>
      <c r="AB406" s="234" t="s">
        <v>19</v>
      </c>
      <c r="AC406" s="235" t="s">
        <v>19</v>
      </c>
      <c r="AD406" s="209" t="s">
        <v>19</v>
      </c>
      <c r="AE406" s="209" t="s">
        <v>19</v>
      </c>
      <c r="AF406" s="234" t="s">
        <v>19</v>
      </c>
      <c r="AG406" s="209" t="s">
        <v>19</v>
      </c>
      <c r="AH406" s="209" t="s">
        <v>19</v>
      </c>
      <c r="AI406" s="234" t="s">
        <v>19</v>
      </c>
      <c r="AJ406" s="209" t="s">
        <v>19</v>
      </c>
      <c r="AK406" s="209" t="s">
        <v>19</v>
      </c>
      <c r="AL406" s="234" t="s">
        <v>19</v>
      </c>
      <c r="AM406" s="209" t="s">
        <v>19</v>
      </c>
      <c r="AN406" s="209" t="s">
        <v>19</v>
      </c>
      <c r="AO406" s="234" t="s">
        <v>19</v>
      </c>
      <c r="AP406" s="235" t="s">
        <v>19</v>
      </c>
      <c r="AQ406" s="209" t="s">
        <v>19</v>
      </c>
      <c r="AR406" s="209" t="s">
        <v>19</v>
      </c>
      <c r="AS406" s="234" t="s">
        <v>19</v>
      </c>
      <c r="AT406" s="209" t="s">
        <v>19</v>
      </c>
      <c r="AU406" s="209" t="s">
        <v>19</v>
      </c>
      <c r="AV406" s="234" t="s">
        <v>19</v>
      </c>
      <c r="AW406" s="209" t="s">
        <v>19</v>
      </c>
      <c r="AX406" s="209" t="s">
        <v>19</v>
      </c>
      <c r="AY406" s="234" t="s">
        <v>19</v>
      </c>
      <c r="AZ406" s="209" t="s">
        <v>19</v>
      </c>
      <c r="BA406" s="209" t="s">
        <v>19</v>
      </c>
      <c r="BB406" s="234" t="s">
        <v>306</v>
      </c>
      <c r="BC406" s="235" t="s">
        <v>19</v>
      </c>
      <c r="BD406" s="209"/>
    </row>
    <row r="407" spans="1:56" ht="12.75" customHeight="1" x14ac:dyDescent="0.25">
      <c r="A407" s="238">
        <v>45258.617499675922</v>
      </c>
      <c r="B407" s="233" t="s">
        <v>417</v>
      </c>
      <c r="C407" s="209" t="s">
        <v>587</v>
      </c>
      <c r="D407" s="232" t="s">
        <v>17</v>
      </c>
      <c r="E407" s="232" t="s">
        <v>515</v>
      </c>
      <c r="F407" s="209" t="s">
        <v>994</v>
      </c>
      <c r="G407" s="232" t="s">
        <v>18</v>
      </c>
      <c r="H407" s="232">
        <v>12</v>
      </c>
      <c r="I407" s="209" t="s">
        <v>531</v>
      </c>
      <c r="J407" s="188"/>
      <c r="K407" s="209" t="s">
        <v>539</v>
      </c>
      <c r="L407" s="209" t="s">
        <v>531</v>
      </c>
      <c r="M407" s="188"/>
      <c r="N407" s="188"/>
      <c r="O407" s="188"/>
      <c r="P407" s="188"/>
      <c r="Q407" s="209" t="s">
        <v>19</v>
      </c>
      <c r="R407" s="209" t="s">
        <v>19</v>
      </c>
      <c r="S407" s="234" t="s">
        <v>19</v>
      </c>
      <c r="T407" s="209" t="s">
        <v>19</v>
      </c>
      <c r="U407" s="209" t="s">
        <v>19</v>
      </c>
      <c r="V407" s="234" t="s">
        <v>19</v>
      </c>
      <c r="W407" s="209" t="s">
        <v>19</v>
      </c>
      <c r="X407" s="209" t="s">
        <v>19</v>
      </c>
      <c r="Y407" s="234" t="s">
        <v>19</v>
      </c>
      <c r="Z407" s="209" t="s">
        <v>19</v>
      </c>
      <c r="AA407" s="209" t="s">
        <v>19</v>
      </c>
      <c r="AB407" s="234" t="s">
        <v>19</v>
      </c>
      <c r="AC407" s="235" t="s">
        <v>19</v>
      </c>
      <c r="AD407" s="209" t="s">
        <v>19</v>
      </c>
      <c r="AE407" s="209" t="s">
        <v>19</v>
      </c>
      <c r="AF407" s="234" t="s">
        <v>19</v>
      </c>
      <c r="AG407" s="209" t="s">
        <v>19</v>
      </c>
      <c r="AH407" s="209" t="s">
        <v>19</v>
      </c>
      <c r="AI407" s="234" t="s">
        <v>19</v>
      </c>
      <c r="AJ407" s="209" t="s">
        <v>19</v>
      </c>
      <c r="AK407" s="209" t="s">
        <v>19</v>
      </c>
      <c r="AL407" s="234" t="s">
        <v>19</v>
      </c>
      <c r="AM407" s="209" t="s">
        <v>19</v>
      </c>
      <c r="AN407" s="209" t="s">
        <v>19</v>
      </c>
      <c r="AO407" s="234" t="s">
        <v>19</v>
      </c>
      <c r="AP407" s="235" t="s">
        <v>19</v>
      </c>
      <c r="AQ407" s="209" t="s">
        <v>19</v>
      </c>
      <c r="AR407" s="209" t="s">
        <v>19</v>
      </c>
      <c r="AS407" s="234" t="s">
        <v>19</v>
      </c>
      <c r="AT407" s="209" t="s">
        <v>19</v>
      </c>
      <c r="AU407" s="209" t="s">
        <v>19</v>
      </c>
      <c r="AV407" s="234" t="s">
        <v>19</v>
      </c>
      <c r="AW407" s="209" t="s">
        <v>19</v>
      </c>
      <c r="AX407" s="209" t="s">
        <v>19</v>
      </c>
      <c r="AY407" s="234" t="s">
        <v>19</v>
      </c>
      <c r="AZ407" s="209" t="s">
        <v>19</v>
      </c>
      <c r="BA407" s="209" t="s">
        <v>19</v>
      </c>
      <c r="BB407" s="234" t="s">
        <v>25</v>
      </c>
      <c r="BC407" s="235" t="s">
        <v>25</v>
      </c>
      <c r="BD407" s="209"/>
    </row>
    <row r="408" spans="1:56" ht="12.75" customHeight="1" x14ac:dyDescent="0.25">
      <c r="A408" s="238">
        <v>45258.619381018521</v>
      </c>
      <c r="B408" s="233" t="s">
        <v>417</v>
      </c>
      <c r="C408" s="209" t="s">
        <v>587</v>
      </c>
      <c r="D408" s="232" t="s">
        <v>17</v>
      </c>
      <c r="E408" s="232" t="s">
        <v>515</v>
      </c>
      <c r="F408" s="209" t="s">
        <v>995</v>
      </c>
      <c r="G408" s="232" t="s">
        <v>18</v>
      </c>
      <c r="H408" s="232">
        <v>12</v>
      </c>
      <c r="I408" s="209" t="s">
        <v>531</v>
      </c>
      <c r="J408" s="188"/>
      <c r="K408" s="209" t="s">
        <v>539</v>
      </c>
      <c r="L408" s="209" t="s">
        <v>531</v>
      </c>
      <c r="M408" s="188"/>
      <c r="N408" s="188"/>
      <c r="O408" s="188"/>
      <c r="P408" s="188"/>
      <c r="Q408" s="209" t="s">
        <v>19</v>
      </c>
      <c r="R408" s="209" t="s">
        <v>19</v>
      </c>
      <c r="S408" s="234" t="s">
        <v>19</v>
      </c>
      <c r="T408" s="209" t="s">
        <v>19</v>
      </c>
      <c r="U408" s="209" t="s">
        <v>19</v>
      </c>
      <c r="V408" s="234" t="s">
        <v>19</v>
      </c>
      <c r="W408" s="209" t="s">
        <v>19</v>
      </c>
      <c r="X408" s="209" t="s">
        <v>19</v>
      </c>
      <c r="Y408" s="234" t="s">
        <v>19</v>
      </c>
      <c r="Z408" s="209" t="s">
        <v>19</v>
      </c>
      <c r="AA408" s="209" t="s">
        <v>19</v>
      </c>
      <c r="AB408" s="234" t="s">
        <v>19</v>
      </c>
      <c r="AC408" s="235" t="s">
        <v>19</v>
      </c>
      <c r="AD408" s="209" t="s">
        <v>19</v>
      </c>
      <c r="AE408" s="209" t="s">
        <v>19</v>
      </c>
      <c r="AF408" s="234" t="s">
        <v>19</v>
      </c>
      <c r="AG408" s="209" t="s">
        <v>19</v>
      </c>
      <c r="AH408" s="209" t="s">
        <v>19</v>
      </c>
      <c r="AI408" s="234" t="s">
        <v>19</v>
      </c>
      <c r="AJ408" s="209" t="s">
        <v>19</v>
      </c>
      <c r="AK408" s="209" t="s">
        <v>19</v>
      </c>
      <c r="AL408" s="234" t="s">
        <v>19</v>
      </c>
      <c r="AM408" s="209" t="s">
        <v>19</v>
      </c>
      <c r="AN408" s="209" t="s">
        <v>19</v>
      </c>
      <c r="AO408" s="234" t="s">
        <v>19</v>
      </c>
      <c r="AP408" s="235" t="s">
        <v>19</v>
      </c>
      <c r="AQ408" s="209" t="s">
        <v>19</v>
      </c>
      <c r="AR408" s="209" t="s">
        <v>19</v>
      </c>
      <c r="AS408" s="234" t="s">
        <v>19</v>
      </c>
      <c r="AT408" s="209" t="s">
        <v>19</v>
      </c>
      <c r="AU408" s="209" t="s">
        <v>19</v>
      </c>
      <c r="AV408" s="234" t="s">
        <v>19</v>
      </c>
      <c r="AW408" s="209" t="s">
        <v>19</v>
      </c>
      <c r="AX408" s="209" t="s">
        <v>19</v>
      </c>
      <c r="AY408" s="234" t="s">
        <v>19</v>
      </c>
      <c r="AZ408" s="209" t="s">
        <v>19</v>
      </c>
      <c r="BA408" s="209" t="s">
        <v>19</v>
      </c>
      <c r="BB408" s="234" t="s">
        <v>306</v>
      </c>
      <c r="BC408" s="235" t="s">
        <v>306</v>
      </c>
      <c r="BD408" s="209"/>
    </row>
    <row r="409" spans="1:56" ht="12.75" customHeight="1" x14ac:dyDescent="0.25">
      <c r="A409" s="238">
        <v>45258.621007685186</v>
      </c>
      <c r="B409" s="233" t="s">
        <v>417</v>
      </c>
      <c r="C409" s="209" t="s">
        <v>587</v>
      </c>
      <c r="D409" s="232" t="s">
        <v>17</v>
      </c>
      <c r="E409" s="232" t="s">
        <v>515</v>
      </c>
      <c r="F409" s="209" t="s">
        <v>996</v>
      </c>
      <c r="G409" s="232" t="s">
        <v>24</v>
      </c>
      <c r="H409" s="232">
        <v>12</v>
      </c>
      <c r="I409" s="209" t="s">
        <v>531</v>
      </c>
      <c r="J409" s="188"/>
      <c r="K409" s="209" t="s">
        <v>539</v>
      </c>
      <c r="L409" s="209" t="s">
        <v>531</v>
      </c>
      <c r="M409" s="188"/>
      <c r="N409" s="188"/>
      <c r="O409" s="188"/>
      <c r="P409" s="188"/>
      <c r="Q409" s="209" t="s">
        <v>19</v>
      </c>
      <c r="R409" s="209" t="s">
        <v>19</v>
      </c>
      <c r="S409" s="234" t="s">
        <v>19</v>
      </c>
      <c r="T409" s="209" t="s">
        <v>19</v>
      </c>
      <c r="U409" s="209" t="s">
        <v>19</v>
      </c>
      <c r="V409" s="234" t="s">
        <v>19</v>
      </c>
      <c r="W409" s="209" t="s">
        <v>19</v>
      </c>
      <c r="X409" s="209" t="s">
        <v>19</v>
      </c>
      <c r="Y409" s="234" t="s">
        <v>19</v>
      </c>
      <c r="Z409" s="209" t="s">
        <v>19</v>
      </c>
      <c r="AA409" s="209" t="s">
        <v>19</v>
      </c>
      <c r="AB409" s="234" t="s">
        <v>19</v>
      </c>
      <c r="AC409" s="235" t="s">
        <v>19</v>
      </c>
      <c r="AD409" s="209" t="s">
        <v>19</v>
      </c>
      <c r="AE409" s="209" t="s">
        <v>19</v>
      </c>
      <c r="AF409" s="234" t="s">
        <v>19</v>
      </c>
      <c r="AG409" s="209" t="s">
        <v>19</v>
      </c>
      <c r="AH409" s="209" t="s">
        <v>19</v>
      </c>
      <c r="AI409" s="234" t="s">
        <v>19</v>
      </c>
      <c r="AJ409" s="209" t="s">
        <v>19</v>
      </c>
      <c r="AK409" s="209" t="s">
        <v>19</v>
      </c>
      <c r="AL409" s="234" t="s">
        <v>19</v>
      </c>
      <c r="AM409" s="209" t="s">
        <v>19</v>
      </c>
      <c r="AN409" s="209" t="s">
        <v>19</v>
      </c>
      <c r="AO409" s="234" t="s">
        <v>19</v>
      </c>
      <c r="AP409" s="235" t="s">
        <v>19</v>
      </c>
      <c r="AQ409" s="209" t="s">
        <v>19</v>
      </c>
      <c r="AR409" s="209" t="s">
        <v>19</v>
      </c>
      <c r="AS409" s="234" t="s">
        <v>19</v>
      </c>
      <c r="AT409" s="209" t="s">
        <v>19</v>
      </c>
      <c r="AU409" s="209" t="s">
        <v>19</v>
      </c>
      <c r="AV409" s="234" t="s">
        <v>19</v>
      </c>
      <c r="AW409" s="209" t="s">
        <v>19</v>
      </c>
      <c r="AX409" s="209" t="s">
        <v>19</v>
      </c>
      <c r="AY409" s="234" t="s">
        <v>19</v>
      </c>
      <c r="AZ409" s="209" t="s">
        <v>19</v>
      </c>
      <c r="BA409" s="209" t="s">
        <v>19</v>
      </c>
      <c r="BB409" s="234" t="s">
        <v>25</v>
      </c>
      <c r="BC409" s="235" t="s">
        <v>306</v>
      </c>
      <c r="BD409" s="209"/>
    </row>
    <row r="410" spans="1:56" ht="12.75" customHeight="1" x14ac:dyDescent="0.25">
      <c r="A410" s="238">
        <v>45258.623069687499</v>
      </c>
      <c r="B410" s="233" t="s">
        <v>417</v>
      </c>
      <c r="C410" s="209" t="s">
        <v>587</v>
      </c>
      <c r="D410" s="232" t="s">
        <v>17</v>
      </c>
      <c r="E410" s="232" t="s">
        <v>515</v>
      </c>
      <c r="F410" s="209" t="s">
        <v>997</v>
      </c>
      <c r="G410" s="232" t="s">
        <v>24</v>
      </c>
      <c r="H410" s="232">
        <v>12</v>
      </c>
      <c r="I410" s="209" t="s">
        <v>531</v>
      </c>
      <c r="J410" s="188"/>
      <c r="K410" s="209" t="s">
        <v>539</v>
      </c>
      <c r="L410" s="209" t="s">
        <v>531</v>
      </c>
      <c r="M410" s="188"/>
      <c r="N410" s="188"/>
      <c r="O410" s="188"/>
      <c r="P410" s="188"/>
      <c r="Q410" s="209" t="s">
        <v>19</v>
      </c>
      <c r="R410" s="209" t="s">
        <v>19</v>
      </c>
      <c r="S410" s="234" t="s">
        <v>19</v>
      </c>
      <c r="T410" s="209" t="s">
        <v>19</v>
      </c>
      <c r="U410" s="209" t="s">
        <v>19</v>
      </c>
      <c r="V410" s="234" t="s">
        <v>19</v>
      </c>
      <c r="W410" s="209" t="s">
        <v>19</v>
      </c>
      <c r="X410" s="209" t="s">
        <v>19</v>
      </c>
      <c r="Y410" s="234" t="s">
        <v>19</v>
      </c>
      <c r="Z410" s="209" t="s">
        <v>19</v>
      </c>
      <c r="AA410" s="209" t="s">
        <v>19</v>
      </c>
      <c r="AB410" s="234" t="s">
        <v>19</v>
      </c>
      <c r="AC410" s="235" t="s">
        <v>19</v>
      </c>
      <c r="AD410" s="209" t="s">
        <v>19</v>
      </c>
      <c r="AE410" s="209" t="s">
        <v>19</v>
      </c>
      <c r="AF410" s="234" t="s">
        <v>19</v>
      </c>
      <c r="AG410" s="209" t="s">
        <v>19</v>
      </c>
      <c r="AH410" s="209" t="s">
        <v>19</v>
      </c>
      <c r="AI410" s="234" t="s">
        <v>19</v>
      </c>
      <c r="AJ410" s="209" t="s">
        <v>19</v>
      </c>
      <c r="AK410" s="209" t="s">
        <v>19</v>
      </c>
      <c r="AL410" s="234" t="s">
        <v>19</v>
      </c>
      <c r="AM410" s="209" t="s">
        <v>19</v>
      </c>
      <c r="AN410" s="209" t="s">
        <v>19</v>
      </c>
      <c r="AO410" s="234" t="s">
        <v>19</v>
      </c>
      <c r="AP410" s="235" t="s">
        <v>19</v>
      </c>
      <c r="AQ410" s="209" t="s">
        <v>19</v>
      </c>
      <c r="AR410" s="209" t="s">
        <v>19</v>
      </c>
      <c r="AS410" s="234" t="s">
        <v>19</v>
      </c>
      <c r="AT410" s="209" t="s">
        <v>19</v>
      </c>
      <c r="AU410" s="209" t="s">
        <v>19</v>
      </c>
      <c r="AV410" s="234" t="s">
        <v>19</v>
      </c>
      <c r="AW410" s="209" t="s">
        <v>19</v>
      </c>
      <c r="AX410" s="209" t="s">
        <v>19</v>
      </c>
      <c r="AY410" s="234" t="s">
        <v>19</v>
      </c>
      <c r="AZ410" s="209" t="s">
        <v>19</v>
      </c>
      <c r="BA410" s="209" t="s">
        <v>19</v>
      </c>
      <c r="BB410" s="234" t="s">
        <v>25</v>
      </c>
      <c r="BC410" s="235" t="s">
        <v>306</v>
      </c>
      <c r="BD410" s="209"/>
    </row>
    <row r="411" spans="1:56" ht="12.75" customHeight="1" x14ac:dyDescent="0.25">
      <c r="A411" s="238">
        <v>45258.62551677083</v>
      </c>
      <c r="B411" s="233" t="s">
        <v>417</v>
      </c>
      <c r="C411" s="209" t="s">
        <v>587</v>
      </c>
      <c r="D411" s="232" t="s">
        <v>17</v>
      </c>
      <c r="E411" s="232" t="s">
        <v>515</v>
      </c>
      <c r="F411" s="209" t="s">
        <v>998</v>
      </c>
      <c r="G411" s="232" t="s">
        <v>24</v>
      </c>
      <c r="H411" s="232">
        <v>12</v>
      </c>
      <c r="I411" s="209" t="s">
        <v>531</v>
      </c>
      <c r="J411" s="188"/>
      <c r="K411" s="209" t="s">
        <v>539</v>
      </c>
      <c r="L411" s="209" t="s">
        <v>531</v>
      </c>
      <c r="M411" s="188"/>
      <c r="N411" s="188"/>
      <c r="O411" s="188"/>
      <c r="P411" s="188"/>
      <c r="Q411" s="209" t="s">
        <v>19</v>
      </c>
      <c r="R411" s="209" t="s">
        <v>19</v>
      </c>
      <c r="S411" s="234" t="s">
        <v>19</v>
      </c>
      <c r="T411" s="209" t="s">
        <v>19</v>
      </c>
      <c r="U411" s="209" t="s">
        <v>19</v>
      </c>
      <c r="V411" s="234" t="s">
        <v>19</v>
      </c>
      <c r="W411" s="209" t="s">
        <v>19</v>
      </c>
      <c r="X411" s="209" t="s">
        <v>19</v>
      </c>
      <c r="Y411" s="234" t="s">
        <v>19</v>
      </c>
      <c r="Z411" s="209" t="s">
        <v>19</v>
      </c>
      <c r="AA411" s="209" t="s">
        <v>19</v>
      </c>
      <c r="AB411" s="234" t="s">
        <v>19</v>
      </c>
      <c r="AC411" s="235" t="s">
        <v>19</v>
      </c>
      <c r="AD411" s="209" t="s">
        <v>19</v>
      </c>
      <c r="AE411" s="209" t="s">
        <v>19</v>
      </c>
      <c r="AF411" s="234" t="s">
        <v>19</v>
      </c>
      <c r="AG411" s="209" t="s">
        <v>19</v>
      </c>
      <c r="AH411" s="209" t="s">
        <v>19</v>
      </c>
      <c r="AI411" s="234" t="s">
        <v>19</v>
      </c>
      <c r="AJ411" s="209" t="s">
        <v>19</v>
      </c>
      <c r="AK411" s="209" t="s">
        <v>19</v>
      </c>
      <c r="AL411" s="234" t="s">
        <v>19</v>
      </c>
      <c r="AM411" s="209" t="s">
        <v>19</v>
      </c>
      <c r="AN411" s="209" t="s">
        <v>19</v>
      </c>
      <c r="AO411" s="234" t="s">
        <v>19</v>
      </c>
      <c r="AP411" s="235" t="s">
        <v>19</v>
      </c>
      <c r="AQ411" s="209" t="s">
        <v>19</v>
      </c>
      <c r="AR411" s="209" t="s">
        <v>19</v>
      </c>
      <c r="AS411" s="234" t="s">
        <v>19</v>
      </c>
      <c r="AT411" s="209" t="s">
        <v>19</v>
      </c>
      <c r="AU411" s="209" t="s">
        <v>19</v>
      </c>
      <c r="AV411" s="234" t="s">
        <v>19</v>
      </c>
      <c r="AW411" s="209" t="s">
        <v>19</v>
      </c>
      <c r="AX411" s="209" t="s">
        <v>19</v>
      </c>
      <c r="AY411" s="234" t="s">
        <v>19</v>
      </c>
      <c r="AZ411" s="209" t="s">
        <v>19</v>
      </c>
      <c r="BA411" s="209" t="s">
        <v>19</v>
      </c>
      <c r="BB411" s="234" t="s">
        <v>25</v>
      </c>
      <c r="BC411" s="235" t="s">
        <v>25</v>
      </c>
      <c r="BD411" s="209"/>
    </row>
    <row r="412" spans="1:56" ht="12.75" customHeight="1" x14ac:dyDescent="0.25">
      <c r="A412" s="238">
        <v>45258.627463865741</v>
      </c>
      <c r="B412" s="233" t="s">
        <v>417</v>
      </c>
      <c r="C412" s="209" t="s">
        <v>587</v>
      </c>
      <c r="D412" s="232" t="s">
        <v>17</v>
      </c>
      <c r="E412" s="232" t="s">
        <v>515</v>
      </c>
      <c r="F412" s="209" t="s">
        <v>999</v>
      </c>
      <c r="G412" s="232" t="s">
        <v>24</v>
      </c>
      <c r="H412" s="232">
        <v>12</v>
      </c>
      <c r="I412" s="209" t="s">
        <v>531</v>
      </c>
      <c r="J412" s="188"/>
      <c r="K412" s="209" t="s">
        <v>539</v>
      </c>
      <c r="L412" s="209" t="s">
        <v>531</v>
      </c>
      <c r="M412" s="188"/>
      <c r="N412" s="188"/>
      <c r="O412" s="188"/>
      <c r="P412" s="188"/>
      <c r="Q412" s="209" t="s">
        <v>306</v>
      </c>
      <c r="R412" s="209" t="s">
        <v>19</v>
      </c>
      <c r="S412" s="234" t="s">
        <v>306</v>
      </c>
      <c r="T412" s="209" t="s">
        <v>19</v>
      </c>
      <c r="U412" s="209" t="s">
        <v>19</v>
      </c>
      <c r="V412" s="234" t="s">
        <v>19</v>
      </c>
      <c r="W412" s="209" t="s">
        <v>19</v>
      </c>
      <c r="X412" s="209" t="s">
        <v>19</v>
      </c>
      <c r="Y412" s="234" t="s">
        <v>19</v>
      </c>
      <c r="Z412" s="209" t="s">
        <v>19</v>
      </c>
      <c r="AA412" s="209" t="s">
        <v>19</v>
      </c>
      <c r="AB412" s="234" t="s">
        <v>19</v>
      </c>
      <c r="AC412" s="235" t="s">
        <v>19</v>
      </c>
      <c r="AD412" s="209" t="s">
        <v>19</v>
      </c>
      <c r="AE412" s="209" t="s">
        <v>19</v>
      </c>
      <c r="AF412" s="234" t="s">
        <v>19</v>
      </c>
      <c r="AG412" s="209" t="s">
        <v>19</v>
      </c>
      <c r="AH412" s="209" t="s">
        <v>19</v>
      </c>
      <c r="AI412" s="234" t="s">
        <v>19</v>
      </c>
      <c r="AJ412" s="209" t="s">
        <v>19</v>
      </c>
      <c r="AK412" s="209" t="s">
        <v>19</v>
      </c>
      <c r="AL412" s="234" t="s">
        <v>19</v>
      </c>
      <c r="AM412" s="209" t="s">
        <v>19</v>
      </c>
      <c r="AN412" s="209" t="s">
        <v>19</v>
      </c>
      <c r="AO412" s="234" t="s">
        <v>19</v>
      </c>
      <c r="AP412" s="235" t="s">
        <v>19</v>
      </c>
      <c r="AQ412" s="209" t="s">
        <v>19</v>
      </c>
      <c r="AR412" s="209" t="s">
        <v>19</v>
      </c>
      <c r="AS412" s="234" t="s">
        <v>19</v>
      </c>
      <c r="AT412" s="209" t="s">
        <v>19</v>
      </c>
      <c r="AU412" s="209" t="s">
        <v>19</v>
      </c>
      <c r="AV412" s="234" t="s">
        <v>19</v>
      </c>
      <c r="AW412" s="209" t="s">
        <v>19</v>
      </c>
      <c r="AX412" s="209" t="s">
        <v>19</v>
      </c>
      <c r="AY412" s="234" t="s">
        <v>19</v>
      </c>
      <c r="AZ412" s="209" t="s">
        <v>19</v>
      </c>
      <c r="BA412" s="209" t="s">
        <v>19</v>
      </c>
      <c r="BB412" s="234" t="s">
        <v>25</v>
      </c>
      <c r="BC412" s="235" t="s">
        <v>25</v>
      </c>
      <c r="BD412" s="209"/>
    </row>
    <row r="413" spans="1:56" ht="12.75" customHeight="1" x14ac:dyDescent="0.25">
      <c r="A413" s="238">
        <v>45258.630141631947</v>
      </c>
      <c r="B413" s="233" t="s">
        <v>417</v>
      </c>
      <c r="C413" s="209" t="s">
        <v>587</v>
      </c>
      <c r="D413" s="232" t="s">
        <v>17</v>
      </c>
      <c r="E413" s="232" t="s">
        <v>515</v>
      </c>
      <c r="F413" s="209" t="s">
        <v>1000</v>
      </c>
      <c r="G413" s="232" t="s">
        <v>18</v>
      </c>
      <c r="H413" s="232">
        <v>12</v>
      </c>
      <c r="I413" s="209" t="s">
        <v>531</v>
      </c>
      <c r="J413" s="188"/>
      <c r="K413" s="209" t="s">
        <v>539</v>
      </c>
      <c r="L413" s="209" t="s">
        <v>531</v>
      </c>
      <c r="M413" s="188"/>
      <c r="N413" s="188"/>
      <c r="O413" s="188"/>
      <c r="P413" s="188"/>
      <c r="Q413" s="209" t="s">
        <v>19</v>
      </c>
      <c r="R413" s="209" t="s">
        <v>19</v>
      </c>
      <c r="S413" s="234" t="s">
        <v>19</v>
      </c>
      <c r="T413" s="209" t="s">
        <v>19</v>
      </c>
      <c r="U413" s="209" t="s">
        <v>19</v>
      </c>
      <c r="V413" s="234" t="s">
        <v>19</v>
      </c>
      <c r="W413" s="209" t="s">
        <v>19</v>
      </c>
      <c r="X413" s="209" t="s">
        <v>19</v>
      </c>
      <c r="Y413" s="234" t="s">
        <v>19</v>
      </c>
      <c r="Z413" s="209" t="s">
        <v>19</v>
      </c>
      <c r="AA413" s="209" t="s">
        <v>19</v>
      </c>
      <c r="AB413" s="234" t="s">
        <v>19</v>
      </c>
      <c r="AC413" s="235" t="s">
        <v>19</v>
      </c>
      <c r="AD413" s="209" t="s">
        <v>19</v>
      </c>
      <c r="AE413" s="209" t="s">
        <v>19</v>
      </c>
      <c r="AF413" s="234" t="s">
        <v>19</v>
      </c>
      <c r="AG413" s="209" t="s">
        <v>19</v>
      </c>
      <c r="AH413" s="209" t="s">
        <v>19</v>
      </c>
      <c r="AI413" s="234" t="s">
        <v>19</v>
      </c>
      <c r="AJ413" s="209" t="s">
        <v>19</v>
      </c>
      <c r="AK413" s="209" t="s">
        <v>19</v>
      </c>
      <c r="AL413" s="234" t="s">
        <v>19</v>
      </c>
      <c r="AM413" s="209" t="s">
        <v>19</v>
      </c>
      <c r="AN413" s="209" t="s">
        <v>19</v>
      </c>
      <c r="AO413" s="234" t="s">
        <v>19</v>
      </c>
      <c r="AP413" s="235" t="s">
        <v>19</v>
      </c>
      <c r="AQ413" s="209" t="s">
        <v>19</v>
      </c>
      <c r="AR413" s="209" t="s">
        <v>19</v>
      </c>
      <c r="AS413" s="234" t="s">
        <v>19</v>
      </c>
      <c r="AT413" s="209" t="s">
        <v>19</v>
      </c>
      <c r="AU413" s="209" t="s">
        <v>19</v>
      </c>
      <c r="AV413" s="234" t="s">
        <v>19</v>
      </c>
      <c r="AW413" s="209" t="s">
        <v>19</v>
      </c>
      <c r="AX413" s="209" t="s">
        <v>19</v>
      </c>
      <c r="AY413" s="234" t="s">
        <v>19</v>
      </c>
      <c r="AZ413" s="209" t="s">
        <v>306</v>
      </c>
      <c r="BA413" s="209" t="s">
        <v>306</v>
      </c>
      <c r="BB413" s="234" t="s">
        <v>25</v>
      </c>
      <c r="BC413" s="235" t="s">
        <v>25</v>
      </c>
      <c r="BD413" s="209"/>
    </row>
    <row r="414" spans="1:56" ht="12.75" customHeight="1" x14ac:dyDescent="0.25">
      <c r="A414" s="238">
        <v>45258.632004571758</v>
      </c>
      <c r="B414" s="233" t="s">
        <v>417</v>
      </c>
      <c r="C414" s="209" t="s">
        <v>587</v>
      </c>
      <c r="D414" s="232" t="s">
        <v>17</v>
      </c>
      <c r="E414" s="232" t="s">
        <v>515</v>
      </c>
      <c r="F414" s="209" t="s">
        <v>1001</v>
      </c>
      <c r="G414" s="232" t="s">
        <v>24</v>
      </c>
      <c r="H414" s="232">
        <v>12</v>
      </c>
      <c r="I414" s="209" t="s">
        <v>531</v>
      </c>
      <c r="J414" s="188"/>
      <c r="K414" s="209" t="s">
        <v>539</v>
      </c>
      <c r="L414" s="209" t="s">
        <v>531</v>
      </c>
      <c r="M414" s="188"/>
      <c r="N414" s="188"/>
      <c r="O414" s="188"/>
      <c r="P414" s="188"/>
      <c r="Q414" s="209" t="s">
        <v>19</v>
      </c>
      <c r="R414" s="209" t="s">
        <v>19</v>
      </c>
      <c r="S414" s="234" t="s">
        <v>19</v>
      </c>
      <c r="T414" s="209" t="s">
        <v>19</v>
      </c>
      <c r="U414" s="209" t="s">
        <v>19</v>
      </c>
      <c r="V414" s="234" t="s">
        <v>19</v>
      </c>
      <c r="W414" s="209" t="s">
        <v>19</v>
      </c>
      <c r="X414" s="209" t="s">
        <v>19</v>
      </c>
      <c r="Y414" s="234" t="s">
        <v>19</v>
      </c>
      <c r="Z414" s="209" t="s">
        <v>19</v>
      </c>
      <c r="AA414" s="209" t="s">
        <v>19</v>
      </c>
      <c r="AB414" s="234" t="s">
        <v>19</v>
      </c>
      <c r="AC414" s="235" t="s">
        <v>19</v>
      </c>
      <c r="AD414" s="209" t="s">
        <v>19</v>
      </c>
      <c r="AE414" s="209" t="s">
        <v>19</v>
      </c>
      <c r="AF414" s="234" t="s">
        <v>19</v>
      </c>
      <c r="AG414" s="209" t="s">
        <v>19</v>
      </c>
      <c r="AH414" s="209" t="s">
        <v>19</v>
      </c>
      <c r="AI414" s="234" t="s">
        <v>19</v>
      </c>
      <c r="AJ414" s="209" t="s">
        <v>19</v>
      </c>
      <c r="AK414" s="209" t="s">
        <v>19</v>
      </c>
      <c r="AL414" s="234" t="s">
        <v>19</v>
      </c>
      <c r="AM414" s="209" t="s">
        <v>19</v>
      </c>
      <c r="AN414" s="209" t="s">
        <v>19</v>
      </c>
      <c r="AO414" s="234" t="s">
        <v>19</v>
      </c>
      <c r="AP414" s="235" t="s">
        <v>19</v>
      </c>
      <c r="AQ414" s="209" t="s">
        <v>19</v>
      </c>
      <c r="AR414" s="209" t="s">
        <v>19</v>
      </c>
      <c r="AS414" s="234" t="s">
        <v>19</v>
      </c>
      <c r="AT414" s="209" t="s">
        <v>19</v>
      </c>
      <c r="AU414" s="209" t="s">
        <v>19</v>
      </c>
      <c r="AV414" s="234" t="s">
        <v>19</v>
      </c>
      <c r="AW414" s="209" t="s">
        <v>19</v>
      </c>
      <c r="AX414" s="209" t="s">
        <v>19</v>
      </c>
      <c r="AY414" s="234" t="s">
        <v>19</v>
      </c>
      <c r="AZ414" s="209" t="s">
        <v>19</v>
      </c>
      <c r="BA414" s="209" t="s">
        <v>19</v>
      </c>
      <c r="BB414" s="234" t="s">
        <v>306</v>
      </c>
      <c r="BC414" s="235" t="s">
        <v>306</v>
      </c>
      <c r="BD414" s="209"/>
    </row>
    <row r="415" spans="1:56" ht="12.75" customHeight="1" x14ac:dyDescent="0.25">
      <c r="A415" s="238">
        <v>45258.634497777777</v>
      </c>
      <c r="B415" s="233" t="s">
        <v>417</v>
      </c>
      <c r="C415" s="209" t="s">
        <v>587</v>
      </c>
      <c r="D415" s="232" t="s">
        <v>17</v>
      </c>
      <c r="E415" s="232" t="s">
        <v>515</v>
      </c>
      <c r="F415" s="209" t="s">
        <v>1002</v>
      </c>
      <c r="G415" s="232" t="s">
        <v>24</v>
      </c>
      <c r="H415" s="232">
        <v>13</v>
      </c>
      <c r="I415" s="209" t="s">
        <v>531</v>
      </c>
      <c r="J415" s="188"/>
      <c r="K415" s="209" t="s">
        <v>539</v>
      </c>
      <c r="L415" s="209" t="s">
        <v>531</v>
      </c>
      <c r="M415" s="188"/>
      <c r="N415" s="188"/>
      <c r="O415" s="188"/>
      <c r="P415" s="188"/>
      <c r="Q415" s="209" t="s">
        <v>19</v>
      </c>
      <c r="R415" s="209" t="s">
        <v>19</v>
      </c>
      <c r="S415" s="234" t="s">
        <v>19</v>
      </c>
      <c r="T415" s="209" t="s">
        <v>19</v>
      </c>
      <c r="U415" s="209" t="s">
        <v>19</v>
      </c>
      <c r="V415" s="234" t="s">
        <v>19</v>
      </c>
      <c r="W415" s="209" t="s">
        <v>19</v>
      </c>
      <c r="X415" s="209" t="s">
        <v>19</v>
      </c>
      <c r="Y415" s="234" t="s">
        <v>19</v>
      </c>
      <c r="Z415" s="209" t="s">
        <v>19</v>
      </c>
      <c r="AA415" s="209" t="s">
        <v>19</v>
      </c>
      <c r="AB415" s="234" t="s">
        <v>19</v>
      </c>
      <c r="AC415" s="235" t="s">
        <v>19</v>
      </c>
      <c r="AD415" s="209" t="s">
        <v>19</v>
      </c>
      <c r="AE415" s="209" t="s">
        <v>19</v>
      </c>
      <c r="AF415" s="234" t="s">
        <v>19</v>
      </c>
      <c r="AG415" s="209" t="s">
        <v>19</v>
      </c>
      <c r="AH415" s="209" t="s">
        <v>19</v>
      </c>
      <c r="AI415" s="234" t="s">
        <v>19</v>
      </c>
      <c r="AJ415" s="209" t="s">
        <v>19</v>
      </c>
      <c r="AK415" s="209" t="s">
        <v>19</v>
      </c>
      <c r="AL415" s="234" t="s">
        <v>19</v>
      </c>
      <c r="AM415" s="209" t="s">
        <v>19</v>
      </c>
      <c r="AN415" s="209" t="s">
        <v>19</v>
      </c>
      <c r="AO415" s="234" t="s">
        <v>19</v>
      </c>
      <c r="AP415" s="235" t="s">
        <v>19</v>
      </c>
      <c r="AQ415" s="209" t="s">
        <v>19</v>
      </c>
      <c r="AR415" s="209" t="s">
        <v>19</v>
      </c>
      <c r="AS415" s="234" t="s">
        <v>19</v>
      </c>
      <c r="AT415" s="209" t="s">
        <v>19</v>
      </c>
      <c r="AU415" s="209" t="s">
        <v>19</v>
      </c>
      <c r="AV415" s="234" t="s">
        <v>19</v>
      </c>
      <c r="AW415" s="209" t="s">
        <v>19</v>
      </c>
      <c r="AX415" s="209" t="s">
        <v>19</v>
      </c>
      <c r="AY415" s="234" t="s">
        <v>19</v>
      </c>
      <c r="AZ415" s="209" t="s">
        <v>19</v>
      </c>
      <c r="BA415" s="209" t="s">
        <v>19</v>
      </c>
      <c r="BB415" s="234" t="s">
        <v>25</v>
      </c>
      <c r="BC415" s="235" t="s">
        <v>25</v>
      </c>
      <c r="BD415" s="209"/>
    </row>
    <row r="416" spans="1:56" ht="12.75" customHeight="1" x14ac:dyDescent="0.25">
      <c r="A416" s="238">
        <v>45258.636310393515</v>
      </c>
      <c r="B416" s="233" t="s">
        <v>417</v>
      </c>
      <c r="C416" s="209" t="s">
        <v>587</v>
      </c>
      <c r="D416" s="232" t="s">
        <v>17</v>
      </c>
      <c r="E416" s="232" t="s">
        <v>515</v>
      </c>
      <c r="F416" s="209" t="s">
        <v>1003</v>
      </c>
      <c r="G416" s="232" t="s">
        <v>18</v>
      </c>
      <c r="H416" s="232">
        <v>13</v>
      </c>
      <c r="I416" s="209" t="s">
        <v>531</v>
      </c>
      <c r="J416" s="188"/>
      <c r="K416" s="209" t="s">
        <v>539</v>
      </c>
      <c r="L416" s="209" t="s">
        <v>531</v>
      </c>
      <c r="M416" s="188"/>
      <c r="N416" s="188"/>
      <c r="O416" s="188"/>
      <c r="P416" s="188"/>
      <c r="Q416" s="209" t="s">
        <v>19</v>
      </c>
      <c r="R416" s="209" t="s">
        <v>19</v>
      </c>
      <c r="S416" s="234" t="s">
        <v>19</v>
      </c>
      <c r="T416" s="209" t="s">
        <v>19</v>
      </c>
      <c r="U416" s="209" t="s">
        <v>19</v>
      </c>
      <c r="V416" s="234" t="s">
        <v>19</v>
      </c>
      <c r="W416" s="209" t="s">
        <v>19</v>
      </c>
      <c r="X416" s="209" t="s">
        <v>19</v>
      </c>
      <c r="Y416" s="234" t="s">
        <v>19</v>
      </c>
      <c r="Z416" s="209" t="s">
        <v>19</v>
      </c>
      <c r="AA416" s="209" t="s">
        <v>19</v>
      </c>
      <c r="AB416" s="234" t="s">
        <v>19</v>
      </c>
      <c r="AC416" s="235" t="s">
        <v>19</v>
      </c>
      <c r="AD416" s="209" t="s">
        <v>19</v>
      </c>
      <c r="AE416" s="209" t="s">
        <v>19</v>
      </c>
      <c r="AF416" s="234" t="s">
        <v>19</v>
      </c>
      <c r="AG416" s="209" t="s">
        <v>19</v>
      </c>
      <c r="AH416" s="209" t="s">
        <v>19</v>
      </c>
      <c r="AI416" s="234" t="s">
        <v>19</v>
      </c>
      <c r="AJ416" s="209" t="s">
        <v>19</v>
      </c>
      <c r="AK416" s="209" t="s">
        <v>19</v>
      </c>
      <c r="AL416" s="234" t="s">
        <v>19</v>
      </c>
      <c r="AM416" s="209" t="s">
        <v>19</v>
      </c>
      <c r="AN416" s="209" t="s">
        <v>19</v>
      </c>
      <c r="AO416" s="234" t="s">
        <v>19</v>
      </c>
      <c r="AP416" s="235" t="s">
        <v>19</v>
      </c>
      <c r="AQ416" s="209" t="s">
        <v>19</v>
      </c>
      <c r="AR416" s="209" t="s">
        <v>19</v>
      </c>
      <c r="AS416" s="234" t="s">
        <v>19</v>
      </c>
      <c r="AT416" s="209" t="s">
        <v>19</v>
      </c>
      <c r="AU416" s="209" t="s">
        <v>19</v>
      </c>
      <c r="AV416" s="234" t="s">
        <v>19</v>
      </c>
      <c r="AW416" s="209" t="s">
        <v>19</v>
      </c>
      <c r="AX416" s="209" t="s">
        <v>19</v>
      </c>
      <c r="AY416" s="234" t="s">
        <v>19</v>
      </c>
      <c r="AZ416" s="209" t="s">
        <v>19</v>
      </c>
      <c r="BA416" s="209" t="s">
        <v>19</v>
      </c>
      <c r="BB416" s="234" t="s">
        <v>25</v>
      </c>
      <c r="BC416" s="235" t="s">
        <v>25</v>
      </c>
      <c r="BD416" s="209"/>
    </row>
    <row r="417" spans="1:56" ht="12.75" customHeight="1" x14ac:dyDescent="0.25">
      <c r="A417" s="238">
        <v>45258.793092835651</v>
      </c>
      <c r="B417" s="233" t="s">
        <v>417</v>
      </c>
      <c r="C417" s="209" t="s">
        <v>587</v>
      </c>
      <c r="D417" s="232" t="s">
        <v>17</v>
      </c>
      <c r="E417" s="232" t="s">
        <v>515</v>
      </c>
      <c r="F417" s="209" t="s">
        <v>1004</v>
      </c>
      <c r="G417" s="232" t="s">
        <v>18</v>
      </c>
      <c r="H417" s="232">
        <v>12</v>
      </c>
      <c r="I417" s="209" t="s">
        <v>531</v>
      </c>
      <c r="J417" s="188"/>
      <c r="K417" s="209" t="s">
        <v>539</v>
      </c>
      <c r="L417" s="209" t="s">
        <v>531</v>
      </c>
      <c r="M417" s="188"/>
      <c r="N417" s="188"/>
      <c r="O417" s="188"/>
      <c r="P417" s="188"/>
      <c r="Q417" s="209" t="s">
        <v>19</v>
      </c>
      <c r="R417" s="209" t="s">
        <v>19</v>
      </c>
      <c r="S417" s="234" t="s">
        <v>19</v>
      </c>
      <c r="T417" s="209" t="s">
        <v>19</v>
      </c>
      <c r="U417" s="209" t="s">
        <v>19</v>
      </c>
      <c r="V417" s="234" t="s">
        <v>19</v>
      </c>
      <c r="W417" s="209" t="s">
        <v>19</v>
      </c>
      <c r="X417" s="209" t="s">
        <v>19</v>
      </c>
      <c r="Y417" s="234" t="s">
        <v>19</v>
      </c>
      <c r="Z417" s="209" t="s">
        <v>19</v>
      </c>
      <c r="AA417" s="209" t="s">
        <v>19</v>
      </c>
      <c r="AB417" s="234" t="s">
        <v>19</v>
      </c>
      <c r="AC417" s="235" t="s">
        <v>19</v>
      </c>
      <c r="AD417" s="209" t="s">
        <v>19</v>
      </c>
      <c r="AE417" s="209" t="s">
        <v>19</v>
      </c>
      <c r="AF417" s="234" t="s">
        <v>19</v>
      </c>
      <c r="AG417" s="209" t="s">
        <v>19</v>
      </c>
      <c r="AH417" s="209" t="s">
        <v>19</v>
      </c>
      <c r="AI417" s="234" t="s">
        <v>19</v>
      </c>
      <c r="AJ417" s="209" t="s">
        <v>19</v>
      </c>
      <c r="AK417" s="209" t="s">
        <v>19</v>
      </c>
      <c r="AL417" s="234" t="s">
        <v>19</v>
      </c>
      <c r="AM417" s="209" t="s">
        <v>19</v>
      </c>
      <c r="AN417" s="209" t="s">
        <v>19</v>
      </c>
      <c r="AO417" s="234" t="s">
        <v>19</v>
      </c>
      <c r="AP417" s="235" t="s">
        <v>19</v>
      </c>
      <c r="AQ417" s="209" t="s">
        <v>19</v>
      </c>
      <c r="AR417" s="209" t="s">
        <v>19</v>
      </c>
      <c r="AS417" s="234" t="s">
        <v>19</v>
      </c>
      <c r="AT417" s="209" t="s">
        <v>19</v>
      </c>
      <c r="AU417" s="209" t="s">
        <v>19</v>
      </c>
      <c r="AV417" s="234" t="s">
        <v>19</v>
      </c>
      <c r="AW417" s="209" t="s">
        <v>19</v>
      </c>
      <c r="AX417" s="209" t="s">
        <v>19</v>
      </c>
      <c r="AY417" s="234" t="s">
        <v>19</v>
      </c>
      <c r="AZ417" s="209" t="s">
        <v>19</v>
      </c>
      <c r="BA417" s="209" t="s">
        <v>19</v>
      </c>
      <c r="BB417" s="234" t="s">
        <v>25</v>
      </c>
      <c r="BC417" s="235" t="s">
        <v>25</v>
      </c>
      <c r="BD417" s="209"/>
    </row>
    <row r="418" spans="1:56" ht="12.75" customHeight="1" x14ac:dyDescent="0.25">
      <c r="A418" s="238">
        <v>45258.795241099535</v>
      </c>
      <c r="B418" s="233" t="s">
        <v>417</v>
      </c>
      <c r="C418" s="209" t="s">
        <v>587</v>
      </c>
      <c r="D418" s="232" t="s">
        <v>17</v>
      </c>
      <c r="E418" s="232" t="s">
        <v>515</v>
      </c>
      <c r="F418" s="209" t="s">
        <v>1005</v>
      </c>
      <c r="G418" s="232" t="s">
        <v>24</v>
      </c>
      <c r="H418" s="232">
        <v>12</v>
      </c>
      <c r="I418" s="209" t="s">
        <v>531</v>
      </c>
      <c r="J418" s="188"/>
      <c r="K418" s="209" t="s">
        <v>539</v>
      </c>
      <c r="L418" s="209" t="s">
        <v>531</v>
      </c>
      <c r="M418" s="188"/>
      <c r="N418" s="188"/>
      <c r="O418" s="188"/>
      <c r="P418" s="188"/>
      <c r="Q418" s="209" t="s">
        <v>19</v>
      </c>
      <c r="R418" s="209" t="s">
        <v>19</v>
      </c>
      <c r="S418" s="234" t="s">
        <v>19</v>
      </c>
      <c r="T418" s="209" t="s">
        <v>19</v>
      </c>
      <c r="U418" s="209" t="s">
        <v>19</v>
      </c>
      <c r="V418" s="234" t="s">
        <v>19</v>
      </c>
      <c r="W418" s="209" t="s">
        <v>19</v>
      </c>
      <c r="X418" s="209" t="s">
        <v>19</v>
      </c>
      <c r="Y418" s="234" t="s">
        <v>19</v>
      </c>
      <c r="Z418" s="209" t="s">
        <v>19</v>
      </c>
      <c r="AA418" s="209" t="s">
        <v>19</v>
      </c>
      <c r="AB418" s="234" t="s">
        <v>19</v>
      </c>
      <c r="AC418" s="235" t="s">
        <v>19</v>
      </c>
      <c r="AD418" s="209" t="s">
        <v>19</v>
      </c>
      <c r="AE418" s="209" t="s">
        <v>19</v>
      </c>
      <c r="AF418" s="234" t="s">
        <v>19</v>
      </c>
      <c r="AG418" s="209" t="s">
        <v>19</v>
      </c>
      <c r="AH418" s="209" t="s">
        <v>19</v>
      </c>
      <c r="AI418" s="234" t="s">
        <v>19</v>
      </c>
      <c r="AJ418" s="209" t="s">
        <v>19</v>
      </c>
      <c r="AK418" s="209" t="s">
        <v>19</v>
      </c>
      <c r="AL418" s="234" t="s">
        <v>19</v>
      </c>
      <c r="AM418" s="209" t="s">
        <v>19</v>
      </c>
      <c r="AN418" s="209" t="s">
        <v>19</v>
      </c>
      <c r="AO418" s="234" t="s">
        <v>19</v>
      </c>
      <c r="AP418" s="235" t="s">
        <v>19</v>
      </c>
      <c r="AQ418" s="209" t="s">
        <v>19</v>
      </c>
      <c r="AR418" s="209" t="s">
        <v>19</v>
      </c>
      <c r="AS418" s="234" t="s">
        <v>19</v>
      </c>
      <c r="AT418" s="209" t="s">
        <v>19</v>
      </c>
      <c r="AU418" s="209" t="s">
        <v>19</v>
      </c>
      <c r="AV418" s="234" t="s">
        <v>19</v>
      </c>
      <c r="AW418" s="209" t="s">
        <v>19</v>
      </c>
      <c r="AX418" s="209" t="s">
        <v>19</v>
      </c>
      <c r="AY418" s="234" t="s">
        <v>19</v>
      </c>
      <c r="AZ418" s="209" t="s">
        <v>19</v>
      </c>
      <c r="BA418" s="209" t="s">
        <v>19</v>
      </c>
      <c r="BB418" s="234" t="s">
        <v>306</v>
      </c>
      <c r="BC418" s="235" t="s">
        <v>306</v>
      </c>
      <c r="BD418" s="209"/>
    </row>
    <row r="419" spans="1:56" ht="12.75" customHeight="1" x14ac:dyDescent="0.25">
      <c r="A419" s="238">
        <v>45258.797099745367</v>
      </c>
      <c r="B419" s="233" t="s">
        <v>417</v>
      </c>
      <c r="C419" s="209" t="s">
        <v>587</v>
      </c>
      <c r="D419" s="232" t="s">
        <v>17</v>
      </c>
      <c r="E419" s="232" t="s">
        <v>515</v>
      </c>
      <c r="F419" s="209" t="s">
        <v>1006</v>
      </c>
      <c r="G419" s="232" t="s">
        <v>24</v>
      </c>
      <c r="H419" s="232">
        <v>12</v>
      </c>
      <c r="I419" s="209" t="s">
        <v>531</v>
      </c>
      <c r="J419" s="188"/>
      <c r="K419" s="209" t="s">
        <v>539</v>
      </c>
      <c r="L419" s="209" t="s">
        <v>531</v>
      </c>
      <c r="M419" s="188"/>
      <c r="N419" s="188"/>
      <c r="O419" s="188"/>
      <c r="P419" s="188"/>
      <c r="Q419" s="209" t="s">
        <v>19</v>
      </c>
      <c r="R419" s="209" t="s">
        <v>19</v>
      </c>
      <c r="S419" s="234" t="s">
        <v>19</v>
      </c>
      <c r="T419" s="209" t="s">
        <v>19</v>
      </c>
      <c r="U419" s="209" t="s">
        <v>19</v>
      </c>
      <c r="V419" s="234" t="s">
        <v>19</v>
      </c>
      <c r="W419" s="209" t="s">
        <v>19</v>
      </c>
      <c r="X419" s="209" t="s">
        <v>19</v>
      </c>
      <c r="Y419" s="234" t="s">
        <v>19</v>
      </c>
      <c r="Z419" s="209" t="s">
        <v>19</v>
      </c>
      <c r="AA419" s="209" t="s">
        <v>19</v>
      </c>
      <c r="AB419" s="234" t="s">
        <v>19</v>
      </c>
      <c r="AC419" s="235" t="s">
        <v>19</v>
      </c>
      <c r="AD419" s="209" t="s">
        <v>19</v>
      </c>
      <c r="AE419" s="209" t="s">
        <v>19</v>
      </c>
      <c r="AF419" s="234" t="s">
        <v>19</v>
      </c>
      <c r="AG419" s="209" t="s">
        <v>19</v>
      </c>
      <c r="AH419" s="209" t="s">
        <v>19</v>
      </c>
      <c r="AI419" s="234" t="s">
        <v>19</v>
      </c>
      <c r="AJ419" s="209" t="s">
        <v>19</v>
      </c>
      <c r="AK419" s="209" t="s">
        <v>19</v>
      </c>
      <c r="AL419" s="234" t="s">
        <v>19</v>
      </c>
      <c r="AM419" s="209" t="s">
        <v>19</v>
      </c>
      <c r="AN419" s="209" t="s">
        <v>19</v>
      </c>
      <c r="AO419" s="234" t="s">
        <v>19</v>
      </c>
      <c r="AP419" s="235" t="s">
        <v>19</v>
      </c>
      <c r="AQ419" s="209" t="s">
        <v>19</v>
      </c>
      <c r="AR419" s="209" t="s">
        <v>19</v>
      </c>
      <c r="AS419" s="234" t="s">
        <v>19</v>
      </c>
      <c r="AT419" s="209" t="s">
        <v>19</v>
      </c>
      <c r="AU419" s="209" t="s">
        <v>19</v>
      </c>
      <c r="AV419" s="234" t="s">
        <v>19</v>
      </c>
      <c r="AW419" s="209" t="s">
        <v>19</v>
      </c>
      <c r="AX419" s="209" t="s">
        <v>19</v>
      </c>
      <c r="AY419" s="234" t="s">
        <v>19</v>
      </c>
      <c r="AZ419" s="209" t="s">
        <v>19</v>
      </c>
      <c r="BA419" s="209" t="s">
        <v>19</v>
      </c>
      <c r="BB419" s="234" t="s">
        <v>25</v>
      </c>
      <c r="BC419" s="235" t="s">
        <v>306</v>
      </c>
      <c r="BD419" s="209"/>
    </row>
    <row r="420" spans="1:56" ht="12.75" customHeight="1" x14ac:dyDescent="0.25">
      <c r="A420" s="238">
        <v>44797.838788715278</v>
      </c>
      <c r="B420" s="137" t="s">
        <v>417</v>
      </c>
      <c r="C420" s="211" t="s">
        <v>595</v>
      </c>
      <c r="D420" s="211" t="s">
        <v>17</v>
      </c>
      <c r="E420" s="232" t="s">
        <v>515</v>
      </c>
      <c r="F420" s="188" t="s">
        <v>1007</v>
      </c>
      <c r="G420" s="211" t="s">
        <v>18</v>
      </c>
      <c r="H420" s="211">
        <v>11</v>
      </c>
      <c r="I420" s="188" t="s">
        <v>531</v>
      </c>
      <c r="J420" s="188" t="s">
        <v>532</v>
      </c>
      <c r="K420" s="209" t="s">
        <v>539</v>
      </c>
      <c r="L420" s="188" t="s">
        <v>531</v>
      </c>
      <c r="M420" s="188" t="s">
        <v>614</v>
      </c>
      <c r="N420" s="188"/>
      <c r="O420" s="188"/>
      <c r="P420" s="188"/>
      <c r="Q420" s="188" t="s">
        <v>25</v>
      </c>
      <c r="R420" s="188" t="s">
        <v>306</v>
      </c>
      <c r="S420" s="234" t="s">
        <v>25</v>
      </c>
      <c r="T420" s="188" t="s">
        <v>19</v>
      </c>
      <c r="U420" s="188" t="s">
        <v>25</v>
      </c>
      <c r="V420" s="234" t="s">
        <v>306</v>
      </c>
      <c r="W420" s="188" t="s">
        <v>19</v>
      </c>
      <c r="X420" s="188" t="s">
        <v>306</v>
      </c>
      <c r="Y420" s="234" t="s">
        <v>306</v>
      </c>
      <c r="Z420" s="188" t="s">
        <v>306</v>
      </c>
      <c r="AA420" s="188" t="s">
        <v>306</v>
      </c>
      <c r="AB420" s="234" t="s">
        <v>306</v>
      </c>
      <c r="AC420" s="235" t="s">
        <v>306</v>
      </c>
      <c r="AD420" s="188" t="s">
        <v>19</v>
      </c>
      <c r="AE420" s="188" t="s">
        <v>19</v>
      </c>
      <c r="AF420" s="234" t="s">
        <v>19</v>
      </c>
      <c r="AG420" s="188" t="s">
        <v>306</v>
      </c>
      <c r="AH420" s="188" t="s">
        <v>306</v>
      </c>
      <c r="AI420" s="234" t="s">
        <v>306</v>
      </c>
      <c r="AJ420" s="188" t="s">
        <v>19</v>
      </c>
      <c r="AK420" s="188" t="s">
        <v>19</v>
      </c>
      <c r="AL420" s="234" t="s">
        <v>19</v>
      </c>
      <c r="AM420" s="188" t="s">
        <v>19</v>
      </c>
      <c r="AN420" s="188" t="s">
        <v>19</v>
      </c>
      <c r="AO420" s="234" t="s">
        <v>19</v>
      </c>
      <c r="AP420" s="235" t="s">
        <v>19</v>
      </c>
      <c r="AQ420" s="188" t="s">
        <v>306</v>
      </c>
      <c r="AR420" s="188" t="s">
        <v>19</v>
      </c>
      <c r="AS420" s="234" t="s">
        <v>306</v>
      </c>
      <c r="AT420" s="188" t="s">
        <v>306</v>
      </c>
      <c r="AU420" s="188" t="s">
        <v>19</v>
      </c>
      <c r="AV420" s="234" t="s">
        <v>306</v>
      </c>
      <c r="AW420" s="188" t="s">
        <v>306</v>
      </c>
      <c r="AX420" s="188" t="s">
        <v>19</v>
      </c>
      <c r="AY420" s="234" t="s">
        <v>306</v>
      </c>
      <c r="AZ420" s="188" t="s">
        <v>19</v>
      </c>
      <c r="BA420" s="188" t="s">
        <v>19</v>
      </c>
      <c r="BB420" s="234" t="s">
        <v>25</v>
      </c>
      <c r="BC420" s="235" t="s">
        <v>25</v>
      </c>
      <c r="BD420" s="209"/>
    </row>
    <row r="421" spans="1:56" ht="12.75" customHeight="1" x14ac:dyDescent="0.25">
      <c r="A421" s="238">
        <v>44797.842954548614</v>
      </c>
      <c r="B421" s="137" t="s">
        <v>417</v>
      </c>
      <c r="C421" s="211" t="s">
        <v>595</v>
      </c>
      <c r="D421" s="211" t="s">
        <v>17</v>
      </c>
      <c r="E421" s="232" t="s">
        <v>515</v>
      </c>
      <c r="F421" s="188" t="s">
        <v>1008</v>
      </c>
      <c r="G421" s="211" t="s">
        <v>24</v>
      </c>
      <c r="H421" s="211">
        <v>11</v>
      </c>
      <c r="I421" s="188" t="s">
        <v>531</v>
      </c>
      <c r="J421" s="188" t="s">
        <v>532</v>
      </c>
      <c r="K421" s="209" t="s">
        <v>539</v>
      </c>
      <c r="L421" s="188" t="s">
        <v>531</v>
      </c>
      <c r="M421" s="188" t="s">
        <v>614</v>
      </c>
      <c r="N421" s="188"/>
      <c r="O421" s="188"/>
      <c r="P421" s="188"/>
      <c r="Q421" s="188" t="s">
        <v>25</v>
      </c>
      <c r="R421" s="188" t="s">
        <v>306</v>
      </c>
      <c r="S421" s="234" t="s">
        <v>25</v>
      </c>
      <c r="T421" s="188" t="s">
        <v>25</v>
      </c>
      <c r="U421" s="188" t="s">
        <v>25</v>
      </c>
      <c r="V421" s="234" t="s">
        <v>25</v>
      </c>
      <c r="W421" s="188" t="s">
        <v>306</v>
      </c>
      <c r="X421" s="188" t="s">
        <v>306</v>
      </c>
      <c r="Y421" s="234" t="s">
        <v>306</v>
      </c>
      <c r="Z421" s="188" t="s">
        <v>306</v>
      </c>
      <c r="AA421" s="188" t="s">
        <v>306</v>
      </c>
      <c r="AB421" s="234" t="s">
        <v>306</v>
      </c>
      <c r="AC421" s="235" t="s">
        <v>306</v>
      </c>
      <c r="AD421" s="188" t="s">
        <v>306</v>
      </c>
      <c r="AE421" s="188" t="s">
        <v>306</v>
      </c>
      <c r="AF421" s="234" t="s">
        <v>306</v>
      </c>
      <c r="AG421" s="188" t="s">
        <v>306</v>
      </c>
      <c r="AH421" s="188" t="s">
        <v>19</v>
      </c>
      <c r="AI421" s="234" t="s">
        <v>306</v>
      </c>
      <c r="AJ421" s="188" t="s">
        <v>19</v>
      </c>
      <c r="AK421" s="188" t="s">
        <v>19</v>
      </c>
      <c r="AL421" s="234" t="s">
        <v>19</v>
      </c>
      <c r="AM421" s="188" t="s">
        <v>19</v>
      </c>
      <c r="AN421" s="188" t="s">
        <v>25</v>
      </c>
      <c r="AO421" s="234" t="s">
        <v>306</v>
      </c>
      <c r="AP421" s="235" t="s">
        <v>306</v>
      </c>
      <c r="AQ421" s="188" t="s">
        <v>306</v>
      </c>
      <c r="AR421" s="188" t="s">
        <v>306</v>
      </c>
      <c r="AS421" s="234" t="s">
        <v>306</v>
      </c>
      <c r="AT421" s="188" t="s">
        <v>306</v>
      </c>
      <c r="AU421" s="188" t="s">
        <v>306</v>
      </c>
      <c r="AV421" s="234" t="s">
        <v>306</v>
      </c>
      <c r="AW421" s="188" t="s">
        <v>25</v>
      </c>
      <c r="AX421" s="188" t="s">
        <v>306</v>
      </c>
      <c r="AY421" s="234" t="s">
        <v>25</v>
      </c>
      <c r="AZ421" s="188" t="s">
        <v>25</v>
      </c>
      <c r="BA421" s="188" t="s">
        <v>306</v>
      </c>
      <c r="BB421" s="234" t="s">
        <v>25</v>
      </c>
      <c r="BC421" s="235" t="s">
        <v>25</v>
      </c>
      <c r="BD421" s="209"/>
    </row>
    <row r="422" spans="1:56" ht="12.75" customHeight="1" x14ac:dyDescent="0.25">
      <c r="A422" s="238">
        <v>44797.845050081014</v>
      </c>
      <c r="B422" s="137" t="s">
        <v>417</v>
      </c>
      <c r="C422" s="211" t="s">
        <v>595</v>
      </c>
      <c r="D422" s="211" t="s">
        <v>17</v>
      </c>
      <c r="E422" s="232" t="s">
        <v>515</v>
      </c>
      <c r="F422" s="188" t="s">
        <v>549</v>
      </c>
      <c r="G422" s="211" t="s">
        <v>18</v>
      </c>
      <c r="H422" s="211">
        <v>12</v>
      </c>
      <c r="I422" s="188" t="s">
        <v>531</v>
      </c>
      <c r="J422" s="188" t="s">
        <v>532</v>
      </c>
      <c r="K422" s="209" t="s">
        <v>539</v>
      </c>
      <c r="L422" s="188" t="s">
        <v>531</v>
      </c>
      <c r="M422" s="188" t="s">
        <v>614</v>
      </c>
      <c r="N422" s="188"/>
      <c r="O422" s="188"/>
      <c r="P422" s="188"/>
      <c r="Q422" s="188" t="s">
        <v>306</v>
      </c>
      <c r="R422" s="188" t="s">
        <v>306</v>
      </c>
      <c r="S422" s="234" t="s">
        <v>306</v>
      </c>
      <c r="T422" s="188" t="s">
        <v>306</v>
      </c>
      <c r="U422" s="188" t="s">
        <v>306</v>
      </c>
      <c r="V422" s="234" t="s">
        <v>306</v>
      </c>
      <c r="W422" s="188" t="s">
        <v>306</v>
      </c>
      <c r="X422" s="188" t="s">
        <v>306</v>
      </c>
      <c r="Y422" s="234" t="s">
        <v>306</v>
      </c>
      <c r="Z422" s="188" t="s">
        <v>306</v>
      </c>
      <c r="AA422" s="188" t="s">
        <v>19</v>
      </c>
      <c r="AB422" s="234" t="s">
        <v>306</v>
      </c>
      <c r="AC422" s="235" t="s">
        <v>306</v>
      </c>
      <c r="AD422" s="188" t="s">
        <v>306</v>
      </c>
      <c r="AE422" s="188" t="s">
        <v>306</v>
      </c>
      <c r="AF422" s="234" t="s">
        <v>306</v>
      </c>
      <c r="AG422" s="188" t="s">
        <v>306</v>
      </c>
      <c r="AH422" s="188" t="s">
        <v>19</v>
      </c>
      <c r="AI422" s="234" t="s">
        <v>306</v>
      </c>
      <c r="AJ422" s="188" t="s">
        <v>19</v>
      </c>
      <c r="AK422" s="188" t="s">
        <v>19</v>
      </c>
      <c r="AL422" s="234" t="s">
        <v>19</v>
      </c>
      <c r="AM422" s="188" t="s">
        <v>19</v>
      </c>
      <c r="AN422" s="188" t="s">
        <v>19</v>
      </c>
      <c r="AO422" s="234" t="s">
        <v>19</v>
      </c>
      <c r="AP422" s="235" t="s">
        <v>19</v>
      </c>
      <c r="AQ422" s="188" t="s">
        <v>306</v>
      </c>
      <c r="AR422" s="188" t="s">
        <v>306</v>
      </c>
      <c r="AS422" s="234" t="s">
        <v>306</v>
      </c>
      <c r="AT422" s="188" t="s">
        <v>306</v>
      </c>
      <c r="AU422" s="188" t="s">
        <v>306</v>
      </c>
      <c r="AV422" s="234" t="s">
        <v>306</v>
      </c>
      <c r="AW422" s="188" t="s">
        <v>306</v>
      </c>
      <c r="AX422" s="188" t="s">
        <v>306</v>
      </c>
      <c r="AY422" s="234" t="s">
        <v>306</v>
      </c>
      <c r="AZ422" s="188" t="s">
        <v>306</v>
      </c>
      <c r="BA422" s="188" t="s">
        <v>306</v>
      </c>
      <c r="BB422" s="234" t="s">
        <v>25</v>
      </c>
      <c r="BC422" s="235" t="s">
        <v>25</v>
      </c>
      <c r="BD422" s="209"/>
    </row>
    <row r="423" spans="1:56" ht="12.75" customHeight="1" x14ac:dyDescent="0.25">
      <c r="A423" s="238">
        <v>44805.399168298609</v>
      </c>
      <c r="B423" s="137" t="s">
        <v>417</v>
      </c>
      <c r="C423" s="211" t="s">
        <v>595</v>
      </c>
      <c r="D423" s="211" t="s">
        <v>17</v>
      </c>
      <c r="E423" s="232" t="s">
        <v>515</v>
      </c>
      <c r="F423" s="188" t="s">
        <v>1009</v>
      </c>
      <c r="G423" s="211" t="s">
        <v>18</v>
      </c>
      <c r="H423" s="211">
        <v>11</v>
      </c>
      <c r="I423" s="188" t="s">
        <v>531</v>
      </c>
      <c r="J423" s="188" t="s">
        <v>532</v>
      </c>
      <c r="K423" s="209" t="s">
        <v>539</v>
      </c>
      <c r="L423" s="188" t="s">
        <v>531</v>
      </c>
      <c r="M423" s="188" t="s">
        <v>614</v>
      </c>
      <c r="N423" s="188"/>
      <c r="O423" s="188"/>
      <c r="P423" s="188"/>
      <c r="Q423" s="188" t="s">
        <v>25</v>
      </c>
      <c r="R423" s="188" t="s">
        <v>306</v>
      </c>
      <c r="S423" s="234" t="s">
        <v>25</v>
      </c>
      <c r="T423" s="188" t="s">
        <v>306</v>
      </c>
      <c r="U423" s="188" t="s">
        <v>25</v>
      </c>
      <c r="V423" s="234" t="s">
        <v>25</v>
      </c>
      <c r="W423" s="188" t="s">
        <v>306</v>
      </c>
      <c r="X423" s="188" t="s">
        <v>25</v>
      </c>
      <c r="Y423" s="234" t="s">
        <v>25</v>
      </c>
      <c r="Z423" s="188" t="s">
        <v>306</v>
      </c>
      <c r="AA423" s="188" t="s">
        <v>306</v>
      </c>
      <c r="AB423" s="234" t="s">
        <v>306</v>
      </c>
      <c r="AC423" s="235" t="s">
        <v>306</v>
      </c>
      <c r="AD423" s="188" t="s">
        <v>306</v>
      </c>
      <c r="AE423" s="188" t="s">
        <v>306</v>
      </c>
      <c r="AF423" s="234" t="s">
        <v>306</v>
      </c>
      <c r="AG423" s="188" t="s">
        <v>25</v>
      </c>
      <c r="AH423" s="188" t="s">
        <v>306</v>
      </c>
      <c r="AI423" s="234" t="s">
        <v>25</v>
      </c>
      <c r="AJ423" s="188" t="s">
        <v>306</v>
      </c>
      <c r="AK423" s="188" t="s">
        <v>306</v>
      </c>
      <c r="AL423" s="234" t="s">
        <v>306</v>
      </c>
      <c r="AM423" s="188" t="s">
        <v>306</v>
      </c>
      <c r="AN423" s="188" t="s">
        <v>306</v>
      </c>
      <c r="AO423" s="234" t="s">
        <v>306</v>
      </c>
      <c r="AP423" s="235" t="s">
        <v>306</v>
      </c>
      <c r="AQ423" s="188" t="s">
        <v>306</v>
      </c>
      <c r="AR423" s="188" t="s">
        <v>306</v>
      </c>
      <c r="AS423" s="234" t="s">
        <v>306</v>
      </c>
      <c r="AT423" s="188" t="s">
        <v>306</v>
      </c>
      <c r="AU423" s="188" t="s">
        <v>306</v>
      </c>
      <c r="AV423" s="234" t="s">
        <v>306</v>
      </c>
      <c r="AW423" s="188" t="s">
        <v>306</v>
      </c>
      <c r="AX423" s="188" t="s">
        <v>306</v>
      </c>
      <c r="AY423" s="234" t="s">
        <v>306</v>
      </c>
      <c r="AZ423" s="188" t="s">
        <v>306</v>
      </c>
      <c r="BA423" s="188" t="s">
        <v>306</v>
      </c>
      <c r="BB423" s="234" t="s">
        <v>25</v>
      </c>
      <c r="BC423" s="235" t="s">
        <v>306</v>
      </c>
      <c r="BD423" s="209"/>
    </row>
    <row r="424" spans="1:56" ht="12.75" customHeight="1" x14ac:dyDescent="0.25">
      <c r="A424" s="238">
        <v>44805.400499421296</v>
      </c>
      <c r="B424" s="137" t="s">
        <v>417</v>
      </c>
      <c r="C424" s="211" t="s">
        <v>595</v>
      </c>
      <c r="D424" s="211" t="s">
        <v>17</v>
      </c>
      <c r="E424" s="232" t="s">
        <v>515</v>
      </c>
      <c r="F424" s="188" t="s">
        <v>1010</v>
      </c>
      <c r="G424" s="211" t="s">
        <v>18</v>
      </c>
      <c r="H424" s="211">
        <v>12</v>
      </c>
      <c r="I424" s="188" t="s">
        <v>531</v>
      </c>
      <c r="J424" s="188" t="s">
        <v>532</v>
      </c>
      <c r="K424" s="209" t="s">
        <v>539</v>
      </c>
      <c r="L424" s="188" t="s">
        <v>531</v>
      </c>
      <c r="M424" s="188" t="s">
        <v>614</v>
      </c>
      <c r="N424" s="188"/>
      <c r="O424" s="188"/>
      <c r="P424" s="188"/>
      <c r="Q424" s="188" t="s">
        <v>25</v>
      </c>
      <c r="R424" s="188" t="s">
        <v>306</v>
      </c>
      <c r="S424" s="234" t="s">
        <v>25</v>
      </c>
      <c r="T424" s="188" t="s">
        <v>306</v>
      </c>
      <c r="U424" s="188" t="s">
        <v>306</v>
      </c>
      <c r="V424" s="234" t="s">
        <v>306</v>
      </c>
      <c r="W424" s="188" t="s">
        <v>306</v>
      </c>
      <c r="X424" s="188" t="s">
        <v>306</v>
      </c>
      <c r="Y424" s="234" t="s">
        <v>306</v>
      </c>
      <c r="Z424" s="188" t="s">
        <v>306</v>
      </c>
      <c r="AA424" s="188" t="s">
        <v>306</v>
      </c>
      <c r="AB424" s="234" t="s">
        <v>306</v>
      </c>
      <c r="AC424" s="235" t="s">
        <v>306</v>
      </c>
      <c r="AD424" s="188" t="s">
        <v>306</v>
      </c>
      <c r="AE424" s="188" t="s">
        <v>25</v>
      </c>
      <c r="AF424" s="234" t="s">
        <v>25</v>
      </c>
      <c r="AG424" s="188" t="s">
        <v>306</v>
      </c>
      <c r="AH424" s="188" t="s">
        <v>306</v>
      </c>
      <c r="AI424" s="234" t="s">
        <v>306</v>
      </c>
      <c r="AJ424" s="188" t="s">
        <v>306</v>
      </c>
      <c r="AK424" s="188" t="s">
        <v>306</v>
      </c>
      <c r="AL424" s="234" t="s">
        <v>306</v>
      </c>
      <c r="AM424" s="188" t="s">
        <v>306</v>
      </c>
      <c r="AN424" s="188" t="s">
        <v>306</v>
      </c>
      <c r="AO424" s="234" t="s">
        <v>306</v>
      </c>
      <c r="AP424" s="235" t="s">
        <v>306</v>
      </c>
      <c r="AQ424" s="188" t="s">
        <v>306</v>
      </c>
      <c r="AR424" s="188" t="s">
        <v>306</v>
      </c>
      <c r="AS424" s="234" t="s">
        <v>306</v>
      </c>
      <c r="AT424" s="188" t="s">
        <v>25</v>
      </c>
      <c r="AU424" s="188" t="s">
        <v>306</v>
      </c>
      <c r="AV424" s="234" t="s">
        <v>25</v>
      </c>
      <c r="AW424" s="188" t="s">
        <v>306</v>
      </c>
      <c r="AX424" s="188" t="s">
        <v>306</v>
      </c>
      <c r="AY424" s="234" t="s">
        <v>306</v>
      </c>
      <c r="AZ424" s="188" t="s">
        <v>306</v>
      </c>
      <c r="BA424" s="188" t="s">
        <v>306</v>
      </c>
      <c r="BB424" s="234" t="s">
        <v>25</v>
      </c>
      <c r="BC424" s="235" t="s">
        <v>306</v>
      </c>
      <c r="BD424" s="209"/>
    </row>
    <row r="425" spans="1:56" ht="12.75" customHeight="1" x14ac:dyDescent="0.25">
      <c r="A425" s="238">
        <v>44805.402238680559</v>
      </c>
      <c r="B425" s="137" t="s">
        <v>417</v>
      </c>
      <c r="C425" s="211" t="s">
        <v>595</v>
      </c>
      <c r="D425" s="211" t="s">
        <v>17</v>
      </c>
      <c r="E425" s="232" t="s">
        <v>515</v>
      </c>
      <c r="F425" s="188" t="s">
        <v>550</v>
      </c>
      <c r="G425" s="211" t="s">
        <v>18</v>
      </c>
      <c r="H425" s="211">
        <v>12</v>
      </c>
      <c r="I425" s="188" t="s">
        <v>531</v>
      </c>
      <c r="J425" s="188" t="s">
        <v>532</v>
      </c>
      <c r="K425" s="209" t="s">
        <v>539</v>
      </c>
      <c r="L425" s="188" t="s">
        <v>531</v>
      </c>
      <c r="M425" s="188" t="s">
        <v>614</v>
      </c>
      <c r="N425" s="188"/>
      <c r="O425" s="188"/>
      <c r="P425" s="188"/>
      <c r="Q425" s="188" t="s">
        <v>25</v>
      </c>
      <c r="R425" s="188" t="s">
        <v>19</v>
      </c>
      <c r="S425" s="234" t="s">
        <v>306</v>
      </c>
      <c r="T425" s="188" t="s">
        <v>306</v>
      </c>
      <c r="U425" s="188" t="s">
        <v>25</v>
      </c>
      <c r="V425" s="234" t="s">
        <v>25</v>
      </c>
      <c r="W425" s="188" t="s">
        <v>25</v>
      </c>
      <c r="X425" s="188" t="s">
        <v>19</v>
      </c>
      <c r="Y425" s="234" t="s">
        <v>306</v>
      </c>
      <c r="Z425" s="188" t="s">
        <v>19</v>
      </c>
      <c r="AA425" s="188" t="s">
        <v>306</v>
      </c>
      <c r="AB425" s="234" t="s">
        <v>306</v>
      </c>
      <c r="AC425" s="235" t="s">
        <v>306</v>
      </c>
      <c r="AD425" s="188" t="s">
        <v>25</v>
      </c>
      <c r="AE425" s="188" t="s">
        <v>25</v>
      </c>
      <c r="AF425" s="234" t="s">
        <v>25</v>
      </c>
      <c r="AG425" s="188" t="s">
        <v>306</v>
      </c>
      <c r="AH425" s="188" t="s">
        <v>306</v>
      </c>
      <c r="AI425" s="234" t="s">
        <v>306</v>
      </c>
      <c r="AJ425" s="188" t="s">
        <v>25</v>
      </c>
      <c r="AK425" s="188" t="s">
        <v>19</v>
      </c>
      <c r="AL425" s="234" t="s">
        <v>306</v>
      </c>
      <c r="AM425" s="188" t="s">
        <v>19</v>
      </c>
      <c r="AN425" s="188" t="s">
        <v>19</v>
      </c>
      <c r="AO425" s="234" t="s">
        <v>19</v>
      </c>
      <c r="AP425" s="235" t="s">
        <v>306</v>
      </c>
      <c r="AQ425" s="188" t="s">
        <v>306</v>
      </c>
      <c r="AR425" s="188" t="s">
        <v>25</v>
      </c>
      <c r="AS425" s="234" t="s">
        <v>25</v>
      </c>
      <c r="AT425" s="188" t="s">
        <v>25</v>
      </c>
      <c r="AU425" s="188" t="s">
        <v>306</v>
      </c>
      <c r="AV425" s="234" t="s">
        <v>25</v>
      </c>
      <c r="AW425" s="188" t="s">
        <v>306</v>
      </c>
      <c r="AX425" s="188" t="s">
        <v>306</v>
      </c>
      <c r="AY425" s="234" t="s">
        <v>306</v>
      </c>
      <c r="AZ425" s="188" t="s">
        <v>25</v>
      </c>
      <c r="BA425" s="188" t="s">
        <v>25</v>
      </c>
      <c r="BB425" s="234" t="s">
        <v>25</v>
      </c>
      <c r="BC425" s="235" t="s">
        <v>25</v>
      </c>
      <c r="BD425" s="209"/>
    </row>
    <row r="426" spans="1:56" ht="12.75" customHeight="1" x14ac:dyDescent="0.25">
      <c r="A426" s="238">
        <v>44805.403741365742</v>
      </c>
      <c r="B426" s="137" t="s">
        <v>417</v>
      </c>
      <c r="C426" s="211" t="s">
        <v>595</v>
      </c>
      <c r="D426" s="211" t="s">
        <v>17</v>
      </c>
      <c r="E426" s="232" t="s">
        <v>515</v>
      </c>
      <c r="F426" s="188" t="s">
        <v>551</v>
      </c>
      <c r="G426" s="211" t="s">
        <v>24</v>
      </c>
      <c r="H426" s="211">
        <v>12</v>
      </c>
      <c r="I426" s="188" t="s">
        <v>531</v>
      </c>
      <c r="J426" s="188" t="s">
        <v>532</v>
      </c>
      <c r="K426" s="209" t="s">
        <v>539</v>
      </c>
      <c r="L426" s="188" t="s">
        <v>531</v>
      </c>
      <c r="M426" s="188" t="s">
        <v>614</v>
      </c>
      <c r="N426" s="188"/>
      <c r="O426" s="188"/>
      <c r="P426" s="188"/>
      <c r="Q426" s="188" t="s">
        <v>25</v>
      </c>
      <c r="R426" s="188" t="s">
        <v>19</v>
      </c>
      <c r="S426" s="234" t="s">
        <v>306</v>
      </c>
      <c r="T426" s="188" t="s">
        <v>19</v>
      </c>
      <c r="U426" s="188" t="s">
        <v>25</v>
      </c>
      <c r="V426" s="234" t="s">
        <v>306</v>
      </c>
      <c r="W426" s="188" t="s">
        <v>19</v>
      </c>
      <c r="X426" s="188" t="s">
        <v>19</v>
      </c>
      <c r="Y426" s="234" t="s">
        <v>19</v>
      </c>
      <c r="Z426" s="188" t="s">
        <v>19</v>
      </c>
      <c r="AA426" s="188" t="s">
        <v>19</v>
      </c>
      <c r="AB426" s="234" t="s">
        <v>19</v>
      </c>
      <c r="AC426" s="235" t="s">
        <v>306</v>
      </c>
      <c r="AD426" s="188" t="s">
        <v>19</v>
      </c>
      <c r="AE426" s="188" t="s">
        <v>19</v>
      </c>
      <c r="AF426" s="234" t="s">
        <v>19</v>
      </c>
      <c r="AG426" s="188" t="s">
        <v>25</v>
      </c>
      <c r="AH426" s="188" t="s">
        <v>19</v>
      </c>
      <c r="AI426" s="234" t="s">
        <v>306</v>
      </c>
      <c r="AJ426" s="188" t="s">
        <v>19</v>
      </c>
      <c r="AK426" s="188" t="s">
        <v>19</v>
      </c>
      <c r="AL426" s="234" t="s">
        <v>19</v>
      </c>
      <c r="AM426" s="188" t="s">
        <v>19</v>
      </c>
      <c r="AN426" s="188" t="s">
        <v>19</v>
      </c>
      <c r="AO426" s="234" t="s">
        <v>19</v>
      </c>
      <c r="AP426" s="235" t="s">
        <v>19</v>
      </c>
      <c r="AQ426" s="188" t="s">
        <v>25</v>
      </c>
      <c r="AR426" s="188" t="s">
        <v>306</v>
      </c>
      <c r="AS426" s="234" t="s">
        <v>25</v>
      </c>
      <c r="AT426" s="188" t="s">
        <v>25</v>
      </c>
      <c r="AU426" s="188" t="s">
        <v>25</v>
      </c>
      <c r="AV426" s="234" t="s">
        <v>25</v>
      </c>
      <c r="AW426" s="188" t="s">
        <v>19</v>
      </c>
      <c r="AX426" s="188" t="s">
        <v>19</v>
      </c>
      <c r="AY426" s="234" t="s">
        <v>19</v>
      </c>
      <c r="AZ426" s="188" t="s">
        <v>25</v>
      </c>
      <c r="BA426" s="188" t="s">
        <v>25</v>
      </c>
      <c r="BB426" s="234" t="s">
        <v>25</v>
      </c>
      <c r="BC426" s="235" t="s">
        <v>25</v>
      </c>
      <c r="BD426" s="209"/>
    </row>
    <row r="427" spans="1:56" ht="12.75" customHeight="1" x14ac:dyDescent="0.25">
      <c r="A427" s="238">
        <v>44805.405147939819</v>
      </c>
      <c r="B427" s="137" t="s">
        <v>417</v>
      </c>
      <c r="C427" s="211" t="s">
        <v>595</v>
      </c>
      <c r="D427" s="211" t="s">
        <v>17</v>
      </c>
      <c r="E427" s="232" t="s">
        <v>515</v>
      </c>
      <c r="F427" s="188" t="s">
        <v>552</v>
      </c>
      <c r="G427" s="211" t="s">
        <v>18</v>
      </c>
      <c r="H427" s="211">
        <v>12</v>
      </c>
      <c r="I427" s="188" t="s">
        <v>531</v>
      </c>
      <c r="J427" s="188" t="s">
        <v>532</v>
      </c>
      <c r="K427" s="209" t="s">
        <v>539</v>
      </c>
      <c r="L427" s="188" t="s">
        <v>531</v>
      </c>
      <c r="M427" s="188" t="s">
        <v>614</v>
      </c>
      <c r="N427" s="188"/>
      <c r="O427" s="188"/>
      <c r="P427" s="188"/>
      <c r="Q427" s="188" t="s">
        <v>306</v>
      </c>
      <c r="R427" s="188" t="s">
        <v>19</v>
      </c>
      <c r="S427" s="234" t="s">
        <v>306</v>
      </c>
      <c r="T427" s="188" t="s">
        <v>306</v>
      </c>
      <c r="U427" s="188" t="s">
        <v>19</v>
      </c>
      <c r="V427" s="234" t="s">
        <v>306</v>
      </c>
      <c r="W427" s="188" t="s">
        <v>306</v>
      </c>
      <c r="X427" s="188" t="s">
        <v>19</v>
      </c>
      <c r="Y427" s="234" t="s">
        <v>306</v>
      </c>
      <c r="Z427" s="188" t="s">
        <v>306</v>
      </c>
      <c r="AA427" s="188" t="s">
        <v>306</v>
      </c>
      <c r="AB427" s="234" t="s">
        <v>306</v>
      </c>
      <c r="AC427" s="235" t="s">
        <v>306</v>
      </c>
      <c r="AD427" s="188" t="s">
        <v>306</v>
      </c>
      <c r="AE427" s="188" t="s">
        <v>306</v>
      </c>
      <c r="AF427" s="234" t="s">
        <v>306</v>
      </c>
      <c r="AG427" s="188" t="s">
        <v>306</v>
      </c>
      <c r="AH427" s="188" t="s">
        <v>306</v>
      </c>
      <c r="AI427" s="234" t="s">
        <v>306</v>
      </c>
      <c r="AJ427" s="188" t="s">
        <v>306</v>
      </c>
      <c r="AK427" s="188" t="s">
        <v>306</v>
      </c>
      <c r="AL427" s="234" t="s">
        <v>306</v>
      </c>
      <c r="AM427" s="188" t="s">
        <v>306</v>
      </c>
      <c r="AN427" s="188" t="s">
        <v>19</v>
      </c>
      <c r="AO427" s="234" t="s">
        <v>306</v>
      </c>
      <c r="AP427" s="235" t="s">
        <v>306</v>
      </c>
      <c r="AQ427" s="188" t="s">
        <v>306</v>
      </c>
      <c r="AR427" s="188" t="s">
        <v>306</v>
      </c>
      <c r="AS427" s="234" t="s">
        <v>306</v>
      </c>
      <c r="AT427" s="188" t="s">
        <v>306</v>
      </c>
      <c r="AU427" s="188" t="s">
        <v>306</v>
      </c>
      <c r="AV427" s="234" t="s">
        <v>306</v>
      </c>
      <c r="AW427" s="188" t="s">
        <v>306</v>
      </c>
      <c r="AX427" s="188" t="s">
        <v>306</v>
      </c>
      <c r="AY427" s="234" t="s">
        <v>306</v>
      </c>
      <c r="AZ427" s="188" t="s">
        <v>306</v>
      </c>
      <c r="BA427" s="188" t="s">
        <v>306</v>
      </c>
      <c r="BB427" s="234" t="s">
        <v>25</v>
      </c>
      <c r="BC427" s="235" t="s">
        <v>25</v>
      </c>
      <c r="BD427" s="209"/>
    </row>
    <row r="428" spans="1:56" ht="12.75" customHeight="1" x14ac:dyDescent="0.25">
      <c r="A428" s="238">
        <v>44805.40704017361</v>
      </c>
      <c r="B428" s="137" t="s">
        <v>417</v>
      </c>
      <c r="C428" s="211" t="s">
        <v>595</v>
      </c>
      <c r="D428" s="211" t="s">
        <v>17</v>
      </c>
      <c r="E428" s="232" t="s">
        <v>515</v>
      </c>
      <c r="F428" s="188" t="s">
        <v>1011</v>
      </c>
      <c r="G428" s="211" t="s">
        <v>18</v>
      </c>
      <c r="H428" s="211">
        <v>12</v>
      </c>
      <c r="I428" s="188" t="s">
        <v>531</v>
      </c>
      <c r="J428" s="188" t="s">
        <v>532</v>
      </c>
      <c r="K428" s="209" t="s">
        <v>539</v>
      </c>
      <c r="L428" s="188" t="s">
        <v>531</v>
      </c>
      <c r="M428" s="188" t="s">
        <v>614</v>
      </c>
      <c r="N428" s="188"/>
      <c r="O428" s="188"/>
      <c r="P428" s="188"/>
      <c r="Q428" s="188" t="s">
        <v>25</v>
      </c>
      <c r="R428" s="188" t="s">
        <v>25</v>
      </c>
      <c r="S428" s="234" t="s">
        <v>25</v>
      </c>
      <c r="T428" s="188" t="s">
        <v>25</v>
      </c>
      <c r="U428" s="188" t="s">
        <v>25</v>
      </c>
      <c r="V428" s="234" t="s">
        <v>25</v>
      </c>
      <c r="W428" s="188" t="s">
        <v>306</v>
      </c>
      <c r="X428" s="188" t="s">
        <v>306</v>
      </c>
      <c r="Y428" s="234" t="s">
        <v>306</v>
      </c>
      <c r="Z428" s="188" t="s">
        <v>306</v>
      </c>
      <c r="AA428" s="188" t="s">
        <v>306</v>
      </c>
      <c r="AB428" s="234" t="s">
        <v>306</v>
      </c>
      <c r="AC428" s="235" t="s">
        <v>25</v>
      </c>
      <c r="AD428" s="188" t="s">
        <v>306</v>
      </c>
      <c r="AE428" s="188" t="s">
        <v>306</v>
      </c>
      <c r="AF428" s="234" t="s">
        <v>306</v>
      </c>
      <c r="AG428" s="188" t="s">
        <v>306</v>
      </c>
      <c r="AH428" s="188" t="s">
        <v>306</v>
      </c>
      <c r="AI428" s="234" t="s">
        <v>306</v>
      </c>
      <c r="AJ428" s="188" t="s">
        <v>306</v>
      </c>
      <c r="AK428" s="188" t="s">
        <v>306</v>
      </c>
      <c r="AL428" s="234" t="s">
        <v>306</v>
      </c>
      <c r="AM428" s="188" t="s">
        <v>306</v>
      </c>
      <c r="AN428" s="188" t="s">
        <v>306</v>
      </c>
      <c r="AO428" s="234" t="s">
        <v>306</v>
      </c>
      <c r="AP428" s="235" t="s">
        <v>306</v>
      </c>
      <c r="AQ428" s="188" t="s">
        <v>19</v>
      </c>
      <c r="AR428" s="188" t="s">
        <v>306</v>
      </c>
      <c r="AS428" s="234" t="s">
        <v>306</v>
      </c>
      <c r="AT428" s="188" t="s">
        <v>25</v>
      </c>
      <c r="AU428" s="188" t="s">
        <v>25</v>
      </c>
      <c r="AV428" s="234" t="s">
        <v>25</v>
      </c>
      <c r="AW428" s="188" t="s">
        <v>306</v>
      </c>
      <c r="AX428" s="188" t="s">
        <v>306</v>
      </c>
      <c r="AY428" s="234" t="s">
        <v>306</v>
      </c>
      <c r="AZ428" s="188" t="s">
        <v>25</v>
      </c>
      <c r="BA428" s="188" t="s">
        <v>306</v>
      </c>
      <c r="BB428" s="234" t="s">
        <v>25</v>
      </c>
      <c r="BC428" s="235" t="s">
        <v>25</v>
      </c>
      <c r="BD428" s="209"/>
    </row>
    <row r="429" spans="1:56" ht="12.75" customHeight="1" x14ac:dyDescent="0.25">
      <c r="A429" s="238">
        <v>44805.408552881941</v>
      </c>
      <c r="B429" s="137" t="s">
        <v>417</v>
      </c>
      <c r="C429" s="211" t="s">
        <v>595</v>
      </c>
      <c r="D429" s="211" t="s">
        <v>17</v>
      </c>
      <c r="E429" s="232" t="s">
        <v>515</v>
      </c>
      <c r="F429" s="188" t="s">
        <v>1012</v>
      </c>
      <c r="G429" s="211" t="s">
        <v>24</v>
      </c>
      <c r="H429" s="211">
        <v>12</v>
      </c>
      <c r="I429" s="188" t="s">
        <v>531</v>
      </c>
      <c r="J429" s="188" t="s">
        <v>532</v>
      </c>
      <c r="K429" s="209" t="s">
        <v>539</v>
      </c>
      <c r="L429" s="188" t="s">
        <v>531</v>
      </c>
      <c r="M429" s="188" t="s">
        <v>614</v>
      </c>
      <c r="N429" s="188"/>
      <c r="O429" s="188"/>
      <c r="P429" s="188"/>
      <c r="Q429" s="188" t="s">
        <v>25</v>
      </c>
      <c r="R429" s="188" t="s">
        <v>25</v>
      </c>
      <c r="S429" s="234" t="s">
        <v>25</v>
      </c>
      <c r="T429" s="188" t="s">
        <v>25</v>
      </c>
      <c r="U429" s="188" t="s">
        <v>19</v>
      </c>
      <c r="V429" s="234" t="s">
        <v>306</v>
      </c>
      <c r="W429" s="188" t="s">
        <v>25</v>
      </c>
      <c r="X429" s="188" t="s">
        <v>25</v>
      </c>
      <c r="Y429" s="234" t="s">
        <v>25</v>
      </c>
      <c r="Z429" s="188" t="s">
        <v>25</v>
      </c>
      <c r="AA429" s="188" t="s">
        <v>25</v>
      </c>
      <c r="AB429" s="234" t="s">
        <v>25</v>
      </c>
      <c r="AC429" s="235" t="s">
        <v>25</v>
      </c>
      <c r="AD429" s="188" t="s">
        <v>306</v>
      </c>
      <c r="AE429" s="188" t="s">
        <v>306</v>
      </c>
      <c r="AF429" s="234" t="s">
        <v>306</v>
      </c>
      <c r="AG429" s="188" t="s">
        <v>306</v>
      </c>
      <c r="AH429" s="188" t="s">
        <v>19</v>
      </c>
      <c r="AI429" s="234" t="s">
        <v>306</v>
      </c>
      <c r="AJ429" s="188" t="s">
        <v>306</v>
      </c>
      <c r="AK429" s="188" t="s">
        <v>306</v>
      </c>
      <c r="AL429" s="234" t="s">
        <v>306</v>
      </c>
      <c r="AM429" s="188" t="s">
        <v>19</v>
      </c>
      <c r="AN429" s="188" t="s">
        <v>19</v>
      </c>
      <c r="AO429" s="234" t="s">
        <v>19</v>
      </c>
      <c r="AP429" s="235" t="s">
        <v>306</v>
      </c>
      <c r="AQ429" s="188" t="s">
        <v>306</v>
      </c>
      <c r="AR429" s="188" t="s">
        <v>25</v>
      </c>
      <c r="AS429" s="234" t="s">
        <v>25</v>
      </c>
      <c r="AT429" s="188" t="s">
        <v>25</v>
      </c>
      <c r="AU429" s="188" t="s">
        <v>306</v>
      </c>
      <c r="AV429" s="234" t="s">
        <v>25</v>
      </c>
      <c r="AW429" s="188" t="s">
        <v>25</v>
      </c>
      <c r="AX429" s="188" t="s">
        <v>306</v>
      </c>
      <c r="AY429" s="234" t="s">
        <v>25</v>
      </c>
      <c r="AZ429" s="188" t="s">
        <v>25</v>
      </c>
      <c r="BA429" s="188" t="s">
        <v>306</v>
      </c>
      <c r="BB429" s="234" t="s">
        <v>306</v>
      </c>
      <c r="BC429" s="235" t="s">
        <v>306</v>
      </c>
      <c r="BD429" s="209"/>
    </row>
    <row r="430" spans="1:56" ht="12.75" customHeight="1" x14ac:dyDescent="0.25">
      <c r="A430" s="238">
        <v>44805.409836620369</v>
      </c>
      <c r="B430" s="137" t="s">
        <v>417</v>
      </c>
      <c r="C430" s="211" t="s">
        <v>595</v>
      </c>
      <c r="D430" s="211" t="s">
        <v>17</v>
      </c>
      <c r="E430" s="232" t="s">
        <v>515</v>
      </c>
      <c r="F430" s="188" t="s">
        <v>1013</v>
      </c>
      <c r="G430" s="211" t="s">
        <v>18</v>
      </c>
      <c r="H430" s="211">
        <v>12</v>
      </c>
      <c r="I430" s="188" t="s">
        <v>531</v>
      </c>
      <c r="J430" s="188" t="s">
        <v>532</v>
      </c>
      <c r="K430" s="209" t="s">
        <v>539</v>
      </c>
      <c r="L430" s="188" t="s">
        <v>531</v>
      </c>
      <c r="M430" s="188" t="s">
        <v>614</v>
      </c>
      <c r="N430" s="188"/>
      <c r="O430" s="188"/>
      <c r="P430" s="188"/>
      <c r="Q430" s="188" t="s">
        <v>25</v>
      </c>
      <c r="R430" s="188" t="s">
        <v>25</v>
      </c>
      <c r="S430" s="234" t="s">
        <v>25</v>
      </c>
      <c r="T430" s="188" t="s">
        <v>25</v>
      </c>
      <c r="U430" s="188" t="s">
        <v>25</v>
      </c>
      <c r="V430" s="234" t="s">
        <v>25</v>
      </c>
      <c r="W430" s="188" t="s">
        <v>25</v>
      </c>
      <c r="X430" s="188" t="s">
        <v>306</v>
      </c>
      <c r="Y430" s="234" t="s">
        <v>25</v>
      </c>
      <c r="Z430" s="188" t="s">
        <v>25</v>
      </c>
      <c r="AA430" s="188" t="s">
        <v>25</v>
      </c>
      <c r="AB430" s="234" t="s">
        <v>25</v>
      </c>
      <c r="AC430" s="235" t="s">
        <v>25</v>
      </c>
      <c r="AD430" s="188" t="s">
        <v>306</v>
      </c>
      <c r="AE430" s="188" t="s">
        <v>19</v>
      </c>
      <c r="AF430" s="234" t="s">
        <v>306</v>
      </c>
      <c r="AG430" s="188" t="s">
        <v>306</v>
      </c>
      <c r="AH430" s="188" t="s">
        <v>306</v>
      </c>
      <c r="AI430" s="234" t="s">
        <v>306</v>
      </c>
      <c r="AJ430" s="188" t="s">
        <v>306</v>
      </c>
      <c r="AK430" s="188" t="s">
        <v>306</v>
      </c>
      <c r="AL430" s="234" t="s">
        <v>306</v>
      </c>
      <c r="AM430" s="188" t="s">
        <v>306</v>
      </c>
      <c r="AN430" s="188" t="s">
        <v>306</v>
      </c>
      <c r="AO430" s="234" t="s">
        <v>306</v>
      </c>
      <c r="AP430" s="235" t="s">
        <v>306</v>
      </c>
      <c r="AQ430" s="188" t="s">
        <v>25</v>
      </c>
      <c r="AR430" s="188" t="s">
        <v>306</v>
      </c>
      <c r="AS430" s="234" t="s">
        <v>25</v>
      </c>
      <c r="AT430" s="188" t="s">
        <v>25</v>
      </c>
      <c r="AU430" s="188" t="s">
        <v>306</v>
      </c>
      <c r="AV430" s="234" t="s">
        <v>25</v>
      </c>
      <c r="AW430" s="188" t="s">
        <v>25</v>
      </c>
      <c r="AX430" s="188" t="s">
        <v>306</v>
      </c>
      <c r="AY430" s="234" t="s">
        <v>25</v>
      </c>
      <c r="AZ430" s="188" t="s">
        <v>25</v>
      </c>
      <c r="BA430" s="188" t="s">
        <v>306</v>
      </c>
      <c r="BB430" s="234" t="s">
        <v>25</v>
      </c>
      <c r="BC430" s="235" t="s">
        <v>306</v>
      </c>
      <c r="BD430" s="209"/>
    </row>
    <row r="431" spans="1:56" ht="12.75" customHeight="1" x14ac:dyDescent="0.25">
      <c r="A431" s="238">
        <v>44805.411212928244</v>
      </c>
      <c r="B431" s="137" t="s">
        <v>417</v>
      </c>
      <c r="C431" s="211" t="s">
        <v>595</v>
      </c>
      <c r="D431" s="211" t="s">
        <v>17</v>
      </c>
      <c r="E431" s="232" t="s">
        <v>515</v>
      </c>
      <c r="F431" s="188" t="s">
        <v>1014</v>
      </c>
      <c r="G431" s="211" t="s">
        <v>24</v>
      </c>
      <c r="H431" s="211">
        <v>12</v>
      </c>
      <c r="I431" s="188" t="s">
        <v>531</v>
      </c>
      <c r="J431" s="188" t="s">
        <v>532</v>
      </c>
      <c r="K431" s="209" t="s">
        <v>539</v>
      </c>
      <c r="L431" s="188" t="s">
        <v>531</v>
      </c>
      <c r="M431" s="188" t="s">
        <v>614</v>
      </c>
      <c r="N431" s="188"/>
      <c r="O431" s="188"/>
      <c r="P431" s="188"/>
      <c r="Q431" s="188" t="s">
        <v>25</v>
      </c>
      <c r="R431" s="188" t="s">
        <v>306</v>
      </c>
      <c r="S431" s="234" t="s">
        <v>25</v>
      </c>
      <c r="T431" s="188" t="s">
        <v>25</v>
      </c>
      <c r="U431" s="188" t="s">
        <v>306</v>
      </c>
      <c r="V431" s="234" t="s">
        <v>25</v>
      </c>
      <c r="W431" s="188" t="s">
        <v>25</v>
      </c>
      <c r="X431" s="188" t="s">
        <v>25</v>
      </c>
      <c r="Y431" s="234" t="s">
        <v>25</v>
      </c>
      <c r="Z431" s="188" t="s">
        <v>306</v>
      </c>
      <c r="AA431" s="188" t="s">
        <v>25</v>
      </c>
      <c r="AB431" s="234" t="s">
        <v>25</v>
      </c>
      <c r="AC431" s="235" t="s">
        <v>25</v>
      </c>
      <c r="AD431" s="188" t="s">
        <v>306</v>
      </c>
      <c r="AE431" s="188" t="s">
        <v>19</v>
      </c>
      <c r="AF431" s="234" t="s">
        <v>306</v>
      </c>
      <c r="AG431" s="188" t="s">
        <v>306</v>
      </c>
      <c r="AH431" s="188" t="s">
        <v>306</v>
      </c>
      <c r="AI431" s="234" t="s">
        <v>306</v>
      </c>
      <c r="AJ431" s="188" t="s">
        <v>306</v>
      </c>
      <c r="AK431" s="188" t="s">
        <v>306</v>
      </c>
      <c r="AL431" s="234" t="s">
        <v>306</v>
      </c>
      <c r="AM431" s="188" t="s">
        <v>19</v>
      </c>
      <c r="AN431" s="188" t="s">
        <v>306</v>
      </c>
      <c r="AO431" s="234" t="s">
        <v>306</v>
      </c>
      <c r="AP431" s="235" t="s">
        <v>306</v>
      </c>
      <c r="AQ431" s="188" t="s">
        <v>306</v>
      </c>
      <c r="AR431" s="188" t="s">
        <v>306</v>
      </c>
      <c r="AS431" s="234" t="s">
        <v>306</v>
      </c>
      <c r="AT431" s="188" t="s">
        <v>25</v>
      </c>
      <c r="AU431" s="188" t="s">
        <v>25</v>
      </c>
      <c r="AV431" s="234" t="s">
        <v>25</v>
      </c>
      <c r="AW431" s="188" t="s">
        <v>25</v>
      </c>
      <c r="AX431" s="188" t="s">
        <v>19</v>
      </c>
      <c r="AY431" s="234" t="s">
        <v>306</v>
      </c>
      <c r="AZ431" s="188" t="s">
        <v>25</v>
      </c>
      <c r="BA431" s="188" t="s">
        <v>25</v>
      </c>
      <c r="BB431" s="234" t="s">
        <v>25</v>
      </c>
      <c r="BC431" s="235" t="s">
        <v>25</v>
      </c>
      <c r="BD431" s="209"/>
    </row>
    <row r="432" spans="1:56" ht="12.75" customHeight="1" x14ac:dyDescent="0.25">
      <c r="A432" s="238">
        <v>44805.412264236111</v>
      </c>
      <c r="B432" s="137" t="s">
        <v>417</v>
      </c>
      <c r="C432" s="211" t="s">
        <v>595</v>
      </c>
      <c r="D432" s="211" t="s">
        <v>17</v>
      </c>
      <c r="E432" s="232" t="s">
        <v>515</v>
      </c>
      <c r="F432" s="188" t="s">
        <v>1015</v>
      </c>
      <c r="G432" s="211" t="s">
        <v>24</v>
      </c>
      <c r="H432" s="211">
        <v>12</v>
      </c>
      <c r="I432" s="188" t="s">
        <v>531</v>
      </c>
      <c r="J432" s="188" t="s">
        <v>532</v>
      </c>
      <c r="K432" s="209" t="s">
        <v>539</v>
      </c>
      <c r="L432" s="188" t="s">
        <v>531</v>
      </c>
      <c r="M432" s="188" t="s">
        <v>614</v>
      </c>
      <c r="N432" s="188"/>
      <c r="O432" s="188"/>
      <c r="P432" s="188"/>
      <c r="Q432" s="188" t="s">
        <v>19</v>
      </c>
      <c r="R432" s="188" t="s">
        <v>19</v>
      </c>
      <c r="S432" s="234" t="s">
        <v>19</v>
      </c>
      <c r="T432" s="188" t="s">
        <v>19</v>
      </c>
      <c r="U432" s="188" t="s">
        <v>19</v>
      </c>
      <c r="V432" s="234" t="s">
        <v>19</v>
      </c>
      <c r="W432" s="188" t="s">
        <v>19</v>
      </c>
      <c r="X432" s="188" t="s">
        <v>19</v>
      </c>
      <c r="Y432" s="234" t="s">
        <v>19</v>
      </c>
      <c r="Z432" s="188" t="s">
        <v>19</v>
      </c>
      <c r="AA432" s="188" t="s">
        <v>19</v>
      </c>
      <c r="AB432" s="234" t="s">
        <v>19</v>
      </c>
      <c r="AC432" s="235" t="s">
        <v>19</v>
      </c>
      <c r="AD432" s="188" t="s">
        <v>19</v>
      </c>
      <c r="AE432" s="188" t="s">
        <v>19</v>
      </c>
      <c r="AF432" s="234" t="s">
        <v>19</v>
      </c>
      <c r="AG432" s="188" t="s">
        <v>19</v>
      </c>
      <c r="AH432" s="188" t="s">
        <v>19</v>
      </c>
      <c r="AI432" s="234" t="s">
        <v>19</v>
      </c>
      <c r="AJ432" s="188" t="s">
        <v>19</v>
      </c>
      <c r="AK432" s="188" t="s">
        <v>19</v>
      </c>
      <c r="AL432" s="234" t="s">
        <v>19</v>
      </c>
      <c r="AM432" s="188" t="s">
        <v>19</v>
      </c>
      <c r="AN432" s="188" t="s">
        <v>19</v>
      </c>
      <c r="AO432" s="234" t="s">
        <v>19</v>
      </c>
      <c r="AP432" s="235" t="s">
        <v>19</v>
      </c>
      <c r="AQ432" s="188" t="s">
        <v>25</v>
      </c>
      <c r="AR432" s="188" t="s">
        <v>19</v>
      </c>
      <c r="AS432" s="234" t="s">
        <v>306</v>
      </c>
      <c r="AT432" s="188" t="s">
        <v>25</v>
      </c>
      <c r="AU432" s="188" t="s">
        <v>25</v>
      </c>
      <c r="AV432" s="234" t="s">
        <v>25</v>
      </c>
      <c r="AW432" s="188" t="s">
        <v>19</v>
      </c>
      <c r="AX432" s="188" t="s">
        <v>19</v>
      </c>
      <c r="AY432" s="234" t="s">
        <v>19</v>
      </c>
      <c r="AZ432" s="188" t="s">
        <v>25</v>
      </c>
      <c r="BA432" s="188" t="s">
        <v>25</v>
      </c>
      <c r="BB432" s="234" t="s">
        <v>25</v>
      </c>
      <c r="BC432" s="235" t="s">
        <v>25</v>
      </c>
      <c r="BD432" s="209"/>
    </row>
    <row r="433" spans="1:56" ht="12.75" customHeight="1" x14ac:dyDescent="0.25">
      <c r="A433" s="238">
        <v>44805.416655624998</v>
      </c>
      <c r="B433" s="137" t="s">
        <v>417</v>
      </c>
      <c r="C433" s="211" t="s">
        <v>595</v>
      </c>
      <c r="D433" s="211" t="s">
        <v>17</v>
      </c>
      <c r="E433" s="232" t="s">
        <v>515</v>
      </c>
      <c r="F433" s="188" t="s">
        <v>1016</v>
      </c>
      <c r="G433" s="211" t="s">
        <v>24</v>
      </c>
      <c r="H433" s="211">
        <v>12</v>
      </c>
      <c r="I433" s="188" t="s">
        <v>531</v>
      </c>
      <c r="J433" s="188" t="s">
        <v>532</v>
      </c>
      <c r="K433" s="209" t="s">
        <v>539</v>
      </c>
      <c r="L433" s="188" t="s">
        <v>531</v>
      </c>
      <c r="M433" s="188" t="s">
        <v>614</v>
      </c>
      <c r="N433" s="188"/>
      <c r="O433" s="188"/>
      <c r="P433" s="188"/>
      <c r="Q433" s="188" t="s">
        <v>25</v>
      </c>
      <c r="R433" s="188" t="s">
        <v>25</v>
      </c>
      <c r="S433" s="234" t="s">
        <v>25</v>
      </c>
      <c r="T433" s="188" t="s">
        <v>25</v>
      </c>
      <c r="U433" s="188" t="s">
        <v>25</v>
      </c>
      <c r="V433" s="234" t="s">
        <v>25</v>
      </c>
      <c r="W433" s="188" t="s">
        <v>306</v>
      </c>
      <c r="X433" s="188" t="s">
        <v>25</v>
      </c>
      <c r="Y433" s="234" t="s">
        <v>25</v>
      </c>
      <c r="Z433" s="188" t="s">
        <v>19</v>
      </c>
      <c r="AA433" s="188" t="s">
        <v>25</v>
      </c>
      <c r="AB433" s="234" t="s">
        <v>306</v>
      </c>
      <c r="AC433" s="235" t="s">
        <v>25</v>
      </c>
      <c r="AD433" s="188" t="s">
        <v>306</v>
      </c>
      <c r="AE433" s="188" t="s">
        <v>306</v>
      </c>
      <c r="AF433" s="234" t="s">
        <v>306</v>
      </c>
      <c r="AG433" s="188" t="s">
        <v>306</v>
      </c>
      <c r="AH433" s="188" t="s">
        <v>19</v>
      </c>
      <c r="AI433" s="234" t="s">
        <v>306</v>
      </c>
      <c r="AJ433" s="188" t="s">
        <v>25</v>
      </c>
      <c r="AK433" s="188" t="s">
        <v>306</v>
      </c>
      <c r="AL433" s="234" t="s">
        <v>25</v>
      </c>
      <c r="AM433" s="188" t="s">
        <v>19</v>
      </c>
      <c r="AN433" s="188" t="s">
        <v>19</v>
      </c>
      <c r="AO433" s="234" t="s">
        <v>19</v>
      </c>
      <c r="AP433" s="235" t="s">
        <v>306</v>
      </c>
      <c r="AQ433" s="188" t="s">
        <v>19</v>
      </c>
      <c r="AR433" s="188" t="s">
        <v>25</v>
      </c>
      <c r="AS433" s="234" t="s">
        <v>306</v>
      </c>
      <c r="AT433" s="188" t="s">
        <v>19</v>
      </c>
      <c r="AU433" s="188" t="s">
        <v>25</v>
      </c>
      <c r="AV433" s="234" t="s">
        <v>306</v>
      </c>
      <c r="AW433" s="188" t="s">
        <v>19</v>
      </c>
      <c r="AX433" s="188" t="s">
        <v>25</v>
      </c>
      <c r="AY433" s="234" t="s">
        <v>306</v>
      </c>
      <c r="AZ433" s="188" t="s">
        <v>25</v>
      </c>
      <c r="BA433" s="188" t="s">
        <v>25</v>
      </c>
      <c r="BB433" s="234" t="s">
        <v>25</v>
      </c>
      <c r="BC433" s="235" t="s">
        <v>25</v>
      </c>
      <c r="BD433" s="209"/>
    </row>
    <row r="434" spans="1:56" ht="12.75" customHeight="1" x14ac:dyDescent="0.25">
      <c r="A434" s="238">
        <v>44805.418370810185</v>
      </c>
      <c r="B434" s="137" t="s">
        <v>417</v>
      </c>
      <c r="C434" s="211" t="s">
        <v>595</v>
      </c>
      <c r="D434" s="211" t="s">
        <v>17</v>
      </c>
      <c r="E434" s="232" t="s">
        <v>515</v>
      </c>
      <c r="F434" s="188" t="s">
        <v>1017</v>
      </c>
      <c r="G434" s="211" t="s">
        <v>18</v>
      </c>
      <c r="H434" s="211">
        <v>13</v>
      </c>
      <c r="I434" s="188" t="s">
        <v>531</v>
      </c>
      <c r="J434" s="188" t="s">
        <v>532</v>
      </c>
      <c r="K434" s="209" t="s">
        <v>539</v>
      </c>
      <c r="L434" s="188" t="s">
        <v>531</v>
      </c>
      <c r="M434" s="188" t="s">
        <v>614</v>
      </c>
      <c r="N434" s="188"/>
      <c r="O434" s="188"/>
      <c r="P434" s="188"/>
      <c r="Q434" s="188" t="s">
        <v>25</v>
      </c>
      <c r="R434" s="188" t="s">
        <v>25</v>
      </c>
      <c r="S434" s="234" t="s">
        <v>25</v>
      </c>
      <c r="T434" s="188" t="s">
        <v>306</v>
      </c>
      <c r="U434" s="188" t="s">
        <v>19</v>
      </c>
      <c r="V434" s="234" t="s">
        <v>306</v>
      </c>
      <c r="W434" s="188" t="s">
        <v>25</v>
      </c>
      <c r="X434" s="188" t="s">
        <v>306</v>
      </c>
      <c r="Y434" s="234" t="s">
        <v>25</v>
      </c>
      <c r="Z434" s="188" t="s">
        <v>25</v>
      </c>
      <c r="AA434" s="188" t="s">
        <v>25</v>
      </c>
      <c r="AB434" s="234" t="s">
        <v>25</v>
      </c>
      <c r="AC434" s="235" t="s">
        <v>25</v>
      </c>
      <c r="AD434" s="188" t="s">
        <v>19</v>
      </c>
      <c r="AE434" s="188" t="s">
        <v>306</v>
      </c>
      <c r="AF434" s="234" t="s">
        <v>306</v>
      </c>
      <c r="AG434" s="188" t="s">
        <v>19</v>
      </c>
      <c r="AH434" s="188" t="s">
        <v>19</v>
      </c>
      <c r="AI434" s="234" t="s">
        <v>19</v>
      </c>
      <c r="AJ434" s="188" t="s">
        <v>25</v>
      </c>
      <c r="AK434" s="188" t="s">
        <v>19</v>
      </c>
      <c r="AL434" s="234" t="s">
        <v>306</v>
      </c>
      <c r="AM434" s="188" t="s">
        <v>19</v>
      </c>
      <c r="AN434" s="188" t="s">
        <v>306</v>
      </c>
      <c r="AO434" s="234" t="s">
        <v>306</v>
      </c>
      <c r="AP434" s="235" t="s">
        <v>306</v>
      </c>
      <c r="AQ434" s="188" t="s">
        <v>25</v>
      </c>
      <c r="AR434" s="188" t="s">
        <v>25</v>
      </c>
      <c r="AS434" s="234" t="s">
        <v>25</v>
      </c>
      <c r="AT434" s="188" t="s">
        <v>25</v>
      </c>
      <c r="AU434" s="188" t="s">
        <v>25</v>
      </c>
      <c r="AV434" s="234" t="s">
        <v>25</v>
      </c>
      <c r="AW434" s="188" t="s">
        <v>25</v>
      </c>
      <c r="AX434" s="188" t="s">
        <v>25</v>
      </c>
      <c r="AY434" s="234" t="s">
        <v>25</v>
      </c>
      <c r="AZ434" s="188" t="s">
        <v>25</v>
      </c>
      <c r="BA434" s="188" t="s">
        <v>25</v>
      </c>
      <c r="BB434" s="234" t="s">
        <v>25</v>
      </c>
      <c r="BC434" s="235" t="s">
        <v>25</v>
      </c>
      <c r="BD434" s="209"/>
    </row>
    <row r="435" spans="1:56" ht="12.75" customHeight="1" x14ac:dyDescent="0.25">
      <c r="A435" s="238">
        <v>44805.420002696759</v>
      </c>
      <c r="B435" s="137" t="s">
        <v>417</v>
      </c>
      <c r="C435" s="211" t="s">
        <v>595</v>
      </c>
      <c r="D435" s="211" t="s">
        <v>17</v>
      </c>
      <c r="E435" s="232" t="s">
        <v>515</v>
      </c>
      <c r="F435" s="188" t="s">
        <v>1018</v>
      </c>
      <c r="G435" s="211" t="s">
        <v>18</v>
      </c>
      <c r="H435" s="211">
        <v>12</v>
      </c>
      <c r="I435" s="188" t="s">
        <v>531</v>
      </c>
      <c r="J435" s="188" t="s">
        <v>532</v>
      </c>
      <c r="K435" s="209" t="s">
        <v>539</v>
      </c>
      <c r="L435" s="188" t="s">
        <v>531</v>
      </c>
      <c r="M435" s="188" t="s">
        <v>614</v>
      </c>
      <c r="N435" s="188"/>
      <c r="O435" s="188"/>
      <c r="P435" s="188"/>
      <c r="Q435" s="188" t="s">
        <v>25</v>
      </c>
      <c r="R435" s="188" t="s">
        <v>25</v>
      </c>
      <c r="S435" s="234" t="s">
        <v>25</v>
      </c>
      <c r="T435" s="188" t="s">
        <v>306</v>
      </c>
      <c r="U435" s="188" t="s">
        <v>25</v>
      </c>
      <c r="V435" s="234" t="s">
        <v>25</v>
      </c>
      <c r="W435" s="188" t="s">
        <v>306</v>
      </c>
      <c r="X435" s="188" t="s">
        <v>19</v>
      </c>
      <c r="Y435" s="234" t="s">
        <v>306</v>
      </c>
      <c r="Z435" s="188" t="s">
        <v>25</v>
      </c>
      <c r="AA435" s="188" t="s">
        <v>306</v>
      </c>
      <c r="AB435" s="234" t="s">
        <v>25</v>
      </c>
      <c r="AC435" s="235" t="s">
        <v>306</v>
      </c>
      <c r="AD435" s="188" t="s">
        <v>19</v>
      </c>
      <c r="AE435" s="188" t="s">
        <v>306</v>
      </c>
      <c r="AF435" s="234" t="s">
        <v>306</v>
      </c>
      <c r="AG435" s="188" t="s">
        <v>19</v>
      </c>
      <c r="AH435" s="188" t="s">
        <v>19</v>
      </c>
      <c r="AI435" s="234" t="s">
        <v>19</v>
      </c>
      <c r="AJ435" s="188" t="s">
        <v>25</v>
      </c>
      <c r="AK435" s="188" t="s">
        <v>25</v>
      </c>
      <c r="AL435" s="234" t="s">
        <v>25</v>
      </c>
      <c r="AM435" s="188" t="s">
        <v>19</v>
      </c>
      <c r="AN435" s="188" t="s">
        <v>306</v>
      </c>
      <c r="AO435" s="234" t="s">
        <v>306</v>
      </c>
      <c r="AP435" s="235" t="s">
        <v>306</v>
      </c>
      <c r="AQ435" s="188" t="s">
        <v>306</v>
      </c>
      <c r="AR435" s="188" t="s">
        <v>25</v>
      </c>
      <c r="AS435" s="234" t="s">
        <v>25</v>
      </c>
      <c r="AT435" s="188" t="s">
        <v>25</v>
      </c>
      <c r="AU435" s="188" t="s">
        <v>25</v>
      </c>
      <c r="AV435" s="234" t="s">
        <v>25</v>
      </c>
      <c r="AW435" s="188" t="s">
        <v>25</v>
      </c>
      <c r="AX435" s="188" t="s">
        <v>25</v>
      </c>
      <c r="AY435" s="234" t="s">
        <v>25</v>
      </c>
      <c r="AZ435" s="188" t="s">
        <v>25</v>
      </c>
      <c r="BA435" s="188" t="s">
        <v>19</v>
      </c>
      <c r="BB435" s="234" t="s">
        <v>25</v>
      </c>
      <c r="BC435" s="235" t="s">
        <v>25</v>
      </c>
      <c r="BD435" s="209"/>
    </row>
    <row r="436" spans="1:56" ht="12.75" customHeight="1" x14ac:dyDescent="0.25">
      <c r="A436" s="238">
        <v>44805.421423692125</v>
      </c>
      <c r="B436" s="137" t="s">
        <v>417</v>
      </c>
      <c r="C436" s="211" t="s">
        <v>595</v>
      </c>
      <c r="D436" s="211" t="s">
        <v>17</v>
      </c>
      <c r="E436" s="232" t="s">
        <v>515</v>
      </c>
      <c r="F436" s="188" t="s">
        <v>1019</v>
      </c>
      <c r="G436" s="211" t="s">
        <v>18</v>
      </c>
      <c r="H436" s="211">
        <v>12</v>
      </c>
      <c r="I436" s="188" t="s">
        <v>531</v>
      </c>
      <c r="J436" s="188" t="s">
        <v>532</v>
      </c>
      <c r="K436" s="209" t="s">
        <v>539</v>
      </c>
      <c r="L436" s="188" t="s">
        <v>531</v>
      </c>
      <c r="M436" s="188" t="s">
        <v>614</v>
      </c>
      <c r="N436" s="188"/>
      <c r="O436" s="188"/>
      <c r="P436" s="188"/>
      <c r="Q436" s="188" t="s">
        <v>25</v>
      </c>
      <c r="R436" s="188" t="s">
        <v>25</v>
      </c>
      <c r="S436" s="234" t="s">
        <v>25</v>
      </c>
      <c r="T436" s="188" t="s">
        <v>25</v>
      </c>
      <c r="U436" s="188" t="s">
        <v>25</v>
      </c>
      <c r="V436" s="234" t="s">
        <v>25</v>
      </c>
      <c r="W436" s="188" t="s">
        <v>306</v>
      </c>
      <c r="X436" s="188" t="s">
        <v>19</v>
      </c>
      <c r="Y436" s="234" t="s">
        <v>306</v>
      </c>
      <c r="Z436" s="188" t="s">
        <v>19</v>
      </c>
      <c r="AA436" s="188" t="s">
        <v>25</v>
      </c>
      <c r="AB436" s="234" t="s">
        <v>306</v>
      </c>
      <c r="AC436" s="235" t="s">
        <v>306</v>
      </c>
      <c r="AD436" s="188" t="s">
        <v>306</v>
      </c>
      <c r="AE436" s="188" t="s">
        <v>306</v>
      </c>
      <c r="AF436" s="234" t="s">
        <v>306</v>
      </c>
      <c r="AG436" s="188" t="s">
        <v>306</v>
      </c>
      <c r="AH436" s="188" t="s">
        <v>19</v>
      </c>
      <c r="AI436" s="234" t="s">
        <v>306</v>
      </c>
      <c r="AJ436" s="188" t="s">
        <v>19</v>
      </c>
      <c r="AK436" s="188" t="s">
        <v>306</v>
      </c>
      <c r="AL436" s="234" t="s">
        <v>306</v>
      </c>
      <c r="AM436" s="188" t="s">
        <v>19</v>
      </c>
      <c r="AN436" s="188" t="s">
        <v>19</v>
      </c>
      <c r="AO436" s="234" t="s">
        <v>19</v>
      </c>
      <c r="AP436" s="235" t="s">
        <v>306</v>
      </c>
      <c r="AQ436" s="188" t="s">
        <v>19</v>
      </c>
      <c r="AR436" s="188" t="s">
        <v>25</v>
      </c>
      <c r="AS436" s="234" t="s">
        <v>306</v>
      </c>
      <c r="AT436" s="188" t="s">
        <v>25</v>
      </c>
      <c r="AU436" s="188" t="s">
        <v>19</v>
      </c>
      <c r="AV436" s="234" t="s">
        <v>306</v>
      </c>
      <c r="AW436" s="188" t="s">
        <v>306</v>
      </c>
      <c r="AX436" s="188" t="s">
        <v>19</v>
      </c>
      <c r="AY436" s="234" t="s">
        <v>306</v>
      </c>
      <c r="AZ436" s="188" t="s">
        <v>25</v>
      </c>
      <c r="BA436" s="188" t="s">
        <v>25</v>
      </c>
      <c r="BB436" s="234" t="s">
        <v>306</v>
      </c>
      <c r="BC436" s="235" t="s">
        <v>306</v>
      </c>
      <c r="BD436" s="209"/>
    </row>
    <row r="437" spans="1:56" ht="12.75" customHeight="1" x14ac:dyDescent="0.25">
      <c r="A437" s="238">
        <v>44805.422709085644</v>
      </c>
      <c r="B437" s="137" t="s">
        <v>417</v>
      </c>
      <c r="C437" s="211" t="s">
        <v>595</v>
      </c>
      <c r="D437" s="211" t="s">
        <v>17</v>
      </c>
      <c r="E437" s="232" t="s">
        <v>515</v>
      </c>
      <c r="F437" s="188" t="s">
        <v>553</v>
      </c>
      <c r="G437" s="211" t="s">
        <v>24</v>
      </c>
      <c r="H437" s="211">
        <v>11</v>
      </c>
      <c r="I437" s="188" t="s">
        <v>531</v>
      </c>
      <c r="J437" s="188" t="s">
        <v>532</v>
      </c>
      <c r="K437" s="209" t="s">
        <v>539</v>
      </c>
      <c r="L437" s="188" t="s">
        <v>531</v>
      </c>
      <c r="M437" s="188" t="s">
        <v>614</v>
      </c>
      <c r="N437" s="188"/>
      <c r="O437" s="188"/>
      <c r="P437" s="188"/>
      <c r="Q437" s="188" t="s">
        <v>19</v>
      </c>
      <c r="R437" s="188" t="s">
        <v>25</v>
      </c>
      <c r="S437" s="234" t="s">
        <v>306</v>
      </c>
      <c r="T437" s="188" t="s">
        <v>25</v>
      </c>
      <c r="U437" s="188" t="s">
        <v>306</v>
      </c>
      <c r="V437" s="234" t="s">
        <v>25</v>
      </c>
      <c r="W437" s="188" t="s">
        <v>306</v>
      </c>
      <c r="X437" s="188" t="s">
        <v>25</v>
      </c>
      <c r="Y437" s="234" t="s">
        <v>25</v>
      </c>
      <c r="Z437" s="188" t="s">
        <v>25</v>
      </c>
      <c r="AA437" s="188" t="s">
        <v>306</v>
      </c>
      <c r="AB437" s="234" t="s">
        <v>25</v>
      </c>
      <c r="AC437" s="235" t="s">
        <v>306</v>
      </c>
      <c r="AD437" s="188" t="s">
        <v>306</v>
      </c>
      <c r="AE437" s="188" t="s">
        <v>306</v>
      </c>
      <c r="AF437" s="234" t="s">
        <v>306</v>
      </c>
      <c r="AG437" s="188" t="s">
        <v>306</v>
      </c>
      <c r="AH437" s="188" t="s">
        <v>19</v>
      </c>
      <c r="AI437" s="234" t="s">
        <v>306</v>
      </c>
      <c r="AJ437" s="188" t="s">
        <v>25</v>
      </c>
      <c r="AK437" s="188" t="s">
        <v>25</v>
      </c>
      <c r="AL437" s="234" t="s">
        <v>25</v>
      </c>
      <c r="AM437" s="188" t="s">
        <v>19</v>
      </c>
      <c r="AN437" s="188" t="s">
        <v>19</v>
      </c>
      <c r="AO437" s="234" t="s">
        <v>19</v>
      </c>
      <c r="AP437" s="235" t="s">
        <v>306</v>
      </c>
      <c r="AQ437" s="188" t="s">
        <v>25</v>
      </c>
      <c r="AR437" s="188" t="s">
        <v>25</v>
      </c>
      <c r="AS437" s="234" t="s">
        <v>25</v>
      </c>
      <c r="AT437" s="188" t="s">
        <v>25</v>
      </c>
      <c r="AU437" s="188" t="s">
        <v>306</v>
      </c>
      <c r="AV437" s="234" t="s">
        <v>25</v>
      </c>
      <c r="AW437" s="188" t="s">
        <v>25</v>
      </c>
      <c r="AX437" s="188" t="s">
        <v>25</v>
      </c>
      <c r="AY437" s="234" t="s">
        <v>25</v>
      </c>
      <c r="AZ437" s="188" t="s">
        <v>25</v>
      </c>
      <c r="BA437" s="188" t="s">
        <v>306</v>
      </c>
      <c r="BB437" s="234" t="s">
        <v>25</v>
      </c>
      <c r="BC437" s="235" t="s">
        <v>25</v>
      </c>
      <c r="BD437" s="209"/>
    </row>
    <row r="438" spans="1:56" ht="12.75" customHeight="1" x14ac:dyDescent="0.25">
      <c r="A438" s="238">
        <v>45259.507631990738</v>
      </c>
      <c r="B438" s="233" t="s">
        <v>427</v>
      </c>
      <c r="C438" s="209" t="s">
        <v>587</v>
      </c>
      <c r="D438" s="232" t="s">
        <v>17</v>
      </c>
      <c r="E438" s="232" t="s">
        <v>515</v>
      </c>
      <c r="F438" s="209" t="s">
        <v>1020</v>
      </c>
      <c r="G438" s="232" t="s">
        <v>24</v>
      </c>
      <c r="H438" s="232">
        <v>11</v>
      </c>
      <c r="I438" s="209" t="s">
        <v>531</v>
      </c>
      <c r="J438" s="188"/>
      <c r="K438" s="209" t="s">
        <v>539</v>
      </c>
      <c r="L438" s="209" t="s">
        <v>518</v>
      </c>
      <c r="M438" s="209" t="s">
        <v>375</v>
      </c>
      <c r="N438" s="209" t="s">
        <v>375</v>
      </c>
      <c r="O438" s="209"/>
      <c r="P438" s="209"/>
      <c r="Q438" s="209" t="s">
        <v>25</v>
      </c>
      <c r="R438" s="209" t="s">
        <v>25</v>
      </c>
      <c r="S438" s="234" t="s">
        <v>25</v>
      </c>
      <c r="T438" s="209" t="s">
        <v>306</v>
      </c>
      <c r="U438" s="209" t="s">
        <v>19</v>
      </c>
      <c r="V438" s="234" t="s">
        <v>306</v>
      </c>
      <c r="W438" s="209" t="s">
        <v>25</v>
      </c>
      <c r="X438" s="209" t="s">
        <v>306</v>
      </c>
      <c r="Y438" s="234" t="s">
        <v>25</v>
      </c>
      <c r="Z438" s="209" t="s">
        <v>19</v>
      </c>
      <c r="AA438" s="209" t="s">
        <v>306</v>
      </c>
      <c r="AB438" s="234" t="s">
        <v>306</v>
      </c>
      <c r="AC438" s="235" t="s">
        <v>306</v>
      </c>
      <c r="AD438" s="209" t="s">
        <v>306</v>
      </c>
      <c r="AE438" s="209" t="s">
        <v>25</v>
      </c>
      <c r="AF438" s="234" t="s">
        <v>25</v>
      </c>
      <c r="AG438" s="209" t="s">
        <v>25</v>
      </c>
      <c r="AH438" s="209" t="s">
        <v>19</v>
      </c>
      <c r="AI438" s="234" t="s">
        <v>306</v>
      </c>
      <c r="AJ438" s="209" t="s">
        <v>25</v>
      </c>
      <c r="AK438" s="209" t="s">
        <v>306</v>
      </c>
      <c r="AL438" s="234" t="s">
        <v>25</v>
      </c>
      <c r="AM438" s="209" t="s">
        <v>19</v>
      </c>
      <c r="AN438" s="209" t="s">
        <v>306</v>
      </c>
      <c r="AO438" s="234" t="s">
        <v>306</v>
      </c>
      <c r="AP438" s="235" t="s">
        <v>306</v>
      </c>
      <c r="AQ438" s="209" t="s">
        <v>19</v>
      </c>
      <c r="AR438" s="209" t="s">
        <v>19</v>
      </c>
      <c r="AS438" s="234" t="s">
        <v>19</v>
      </c>
      <c r="AT438" s="209" t="s">
        <v>25</v>
      </c>
      <c r="AU438" s="209" t="s">
        <v>25</v>
      </c>
      <c r="AV438" s="234" t="s">
        <v>25</v>
      </c>
      <c r="AW438" s="209" t="s">
        <v>306</v>
      </c>
      <c r="AX438" s="209" t="s">
        <v>306</v>
      </c>
      <c r="AY438" s="234" t="s">
        <v>306</v>
      </c>
      <c r="AZ438" s="209" t="s">
        <v>19</v>
      </c>
      <c r="BA438" s="209" t="s">
        <v>19</v>
      </c>
      <c r="BB438" s="234" t="s">
        <v>25</v>
      </c>
      <c r="BC438" s="235" t="s">
        <v>25</v>
      </c>
      <c r="BD438" s="209"/>
    </row>
    <row r="439" spans="1:56" ht="12.75" customHeight="1" x14ac:dyDescent="0.25">
      <c r="A439" s="238">
        <v>45259.528939837968</v>
      </c>
      <c r="B439" s="233" t="s">
        <v>427</v>
      </c>
      <c r="C439" s="209" t="s">
        <v>587</v>
      </c>
      <c r="D439" s="232" t="s">
        <v>17</v>
      </c>
      <c r="E439" s="232" t="s">
        <v>515</v>
      </c>
      <c r="F439" s="209" t="s">
        <v>1021</v>
      </c>
      <c r="G439" s="232" t="s">
        <v>24</v>
      </c>
      <c r="H439" s="232">
        <v>11</v>
      </c>
      <c r="I439" s="209" t="s">
        <v>531</v>
      </c>
      <c r="J439" s="188"/>
      <c r="K439" s="209" t="s">
        <v>539</v>
      </c>
      <c r="L439" s="209" t="s">
        <v>518</v>
      </c>
      <c r="M439" s="209" t="s">
        <v>375</v>
      </c>
      <c r="N439" s="209" t="s">
        <v>375</v>
      </c>
      <c r="O439" s="209"/>
      <c r="P439" s="209"/>
      <c r="Q439" s="209" t="s">
        <v>25</v>
      </c>
      <c r="R439" s="209" t="s">
        <v>25</v>
      </c>
      <c r="S439" s="234" t="s">
        <v>25</v>
      </c>
      <c r="T439" s="209" t="s">
        <v>25</v>
      </c>
      <c r="U439" s="209" t="s">
        <v>25</v>
      </c>
      <c r="V439" s="234" t="s">
        <v>25</v>
      </c>
      <c r="W439" s="209" t="s">
        <v>306</v>
      </c>
      <c r="X439" s="209" t="s">
        <v>25</v>
      </c>
      <c r="Y439" s="234" t="s">
        <v>25</v>
      </c>
      <c r="Z439" s="209" t="s">
        <v>19</v>
      </c>
      <c r="AA439" s="209" t="s">
        <v>19</v>
      </c>
      <c r="AB439" s="234" t="s">
        <v>19</v>
      </c>
      <c r="AC439" s="235" t="s">
        <v>306</v>
      </c>
      <c r="AD439" s="209" t="s">
        <v>306</v>
      </c>
      <c r="AE439" s="209" t="s">
        <v>25</v>
      </c>
      <c r="AF439" s="234" t="s">
        <v>25</v>
      </c>
      <c r="AG439" s="209" t="s">
        <v>25</v>
      </c>
      <c r="AH439" s="209" t="s">
        <v>19</v>
      </c>
      <c r="AI439" s="234" t="s">
        <v>306</v>
      </c>
      <c r="AJ439" s="209" t="s">
        <v>19</v>
      </c>
      <c r="AK439" s="209" t="s">
        <v>19</v>
      </c>
      <c r="AL439" s="234" t="s">
        <v>19</v>
      </c>
      <c r="AM439" s="209" t="s">
        <v>19</v>
      </c>
      <c r="AN439" s="209" t="s">
        <v>19</v>
      </c>
      <c r="AO439" s="234" t="s">
        <v>19</v>
      </c>
      <c r="AP439" s="235" t="s">
        <v>306</v>
      </c>
      <c r="AQ439" s="209" t="s">
        <v>19</v>
      </c>
      <c r="AR439" s="209" t="s">
        <v>19</v>
      </c>
      <c r="AS439" s="234" t="s">
        <v>19</v>
      </c>
      <c r="AT439" s="209" t="s">
        <v>19</v>
      </c>
      <c r="AU439" s="209" t="s">
        <v>19</v>
      </c>
      <c r="AV439" s="234" t="s">
        <v>19</v>
      </c>
      <c r="AW439" s="209" t="s">
        <v>306</v>
      </c>
      <c r="AX439" s="209" t="s">
        <v>19</v>
      </c>
      <c r="AY439" s="234" t="s">
        <v>306</v>
      </c>
      <c r="AZ439" s="209" t="s">
        <v>19</v>
      </c>
      <c r="BA439" s="209" t="s">
        <v>19</v>
      </c>
      <c r="BB439" s="234" t="s">
        <v>25</v>
      </c>
      <c r="BC439" s="235" t="s">
        <v>306</v>
      </c>
      <c r="BD439" s="209"/>
    </row>
    <row r="440" spans="1:56" ht="12.75" customHeight="1" x14ac:dyDescent="0.25">
      <c r="A440" s="238">
        <v>45259.533877939815</v>
      </c>
      <c r="B440" s="233" t="s">
        <v>427</v>
      </c>
      <c r="C440" s="209" t="s">
        <v>587</v>
      </c>
      <c r="D440" s="232" t="s">
        <v>17</v>
      </c>
      <c r="E440" s="232" t="s">
        <v>515</v>
      </c>
      <c r="F440" s="209" t="s">
        <v>1022</v>
      </c>
      <c r="G440" s="232" t="s">
        <v>24</v>
      </c>
      <c r="H440" s="232">
        <v>12</v>
      </c>
      <c r="I440" s="209" t="s">
        <v>518</v>
      </c>
      <c r="J440" s="188"/>
      <c r="K440" s="209" t="s">
        <v>539</v>
      </c>
      <c r="L440" s="209" t="s">
        <v>518</v>
      </c>
      <c r="M440" s="209" t="s">
        <v>375</v>
      </c>
      <c r="N440" s="209" t="s">
        <v>375</v>
      </c>
      <c r="O440" s="209"/>
      <c r="P440" s="209"/>
      <c r="Q440" s="209" t="s">
        <v>25</v>
      </c>
      <c r="R440" s="209" t="s">
        <v>306</v>
      </c>
      <c r="S440" s="234" t="s">
        <v>25</v>
      </c>
      <c r="T440" s="209" t="s">
        <v>19</v>
      </c>
      <c r="U440" s="209" t="s">
        <v>25</v>
      </c>
      <c r="V440" s="234" t="s">
        <v>306</v>
      </c>
      <c r="W440" s="209" t="s">
        <v>306</v>
      </c>
      <c r="X440" s="209" t="s">
        <v>19</v>
      </c>
      <c r="Y440" s="234" t="s">
        <v>306</v>
      </c>
      <c r="Z440" s="209" t="s">
        <v>25</v>
      </c>
      <c r="AA440" s="209" t="s">
        <v>306</v>
      </c>
      <c r="AB440" s="234" t="s">
        <v>25</v>
      </c>
      <c r="AC440" s="235" t="s">
        <v>306</v>
      </c>
      <c r="AD440" s="209" t="s">
        <v>25</v>
      </c>
      <c r="AE440" s="209" t="s">
        <v>25</v>
      </c>
      <c r="AF440" s="234" t="s">
        <v>25</v>
      </c>
      <c r="AG440" s="209" t="s">
        <v>306</v>
      </c>
      <c r="AH440" s="209" t="s">
        <v>19</v>
      </c>
      <c r="AI440" s="234" t="s">
        <v>306</v>
      </c>
      <c r="AJ440" s="209" t="s">
        <v>25</v>
      </c>
      <c r="AK440" s="209" t="s">
        <v>306</v>
      </c>
      <c r="AL440" s="234" t="s">
        <v>25</v>
      </c>
      <c r="AM440" s="209" t="s">
        <v>306</v>
      </c>
      <c r="AN440" s="209" t="s">
        <v>19</v>
      </c>
      <c r="AO440" s="234" t="s">
        <v>306</v>
      </c>
      <c r="AP440" s="235" t="s">
        <v>306</v>
      </c>
      <c r="AQ440" s="209" t="s">
        <v>25</v>
      </c>
      <c r="AR440" s="209" t="s">
        <v>25</v>
      </c>
      <c r="AS440" s="234" t="s">
        <v>25</v>
      </c>
      <c r="AT440" s="209" t="s">
        <v>25</v>
      </c>
      <c r="AU440" s="209" t="s">
        <v>25</v>
      </c>
      <c r="AV440" s="234" t="s">
        <v>25</v>
      </c>
      <c r="AW440" s="209" t="s">
        <v>306</v>
      </c>
      <c r="AX440" s="209" t="s">
        <v>19</v>
      </c>
      <c r="AY440" s="234" t="s">
        <v>306</v>
      </c>
      <c r="AZ440" s="209" t="s">
        <v>25</v>
      </c>
      <c r="BA440" s="209" t="s">
        <v>25</v>
      </c>
      <c r="BB440" s="234" t="s">
        <v>25</v>
      </c>
      <c r="BC440" s="235" t="s">
        <v>25</v>
      </c>
      <c r="BD440" s="209"/>
    </row>
    <row r="441" spans="1:56" ht="12.75" customHeight="1" x14ac:dyDescent="0.25">
      <c r="A441" s="238">
        <v>45259.540215578701</v>
      </c>
      <c r="B441" s="233" t="s">
        <v>427</v>
      </c>
      <c r="C441" s="209" t="s">
        <v>587</v>
      </c>
      <c r="D441" s="232" t="s">
        <v>17</v>
      </c>
      <c r="E441" s="232" t="s">
        <v>515</v>
      </c>
      <c r="F441" s="209" t="s">
        <v>1023</v>
      </c>
      <c r="G441" s="232" t="s">
        <v>24</v>
      </c>
      <c r="H441" s="232">
        <v>11</v>
      </c>
      <c r="I441" s="209" t="s">
        <v>531</v>
      </c>
      <c r="J441" s="188"/>
      <c r="K441" s="209" t="s">
        <v>539</v>
      </c>
      <c r="L441" s="209" t="s">
        <v>518</v>
      </c>
      <c r="M441" s="209" t="s">
        <v>375</v>
      </c>
      <c r="N441" s="209" t="s">
        <v>375</v>
      </c>
      <c r="O441" s="209"/>
      <c r="P441" s="209"/>
      <c r="Q441" s="209" t="s">
        <v>306</v>
      </c>
      <c r="R441" s="209" t="s">
        <v>306</v>
      </c>
      <c r="S441" s="234" t="s">
        <v>306</v>
      </c>
      <c r="T441" s="209" t="s">
        <v>306</v>
      </c>
      <c r="U441" s="209" t="s">
        <v>19</v>
      </c>
      <c r="V441" s="234" t="s">
        <v>306</v>
      </c>
      <c r="W441" s="209" t="s">
        <v>306</v>
      </c>
      <c r="X441" s="209" t="s">
        <v>306</v>
      </c>
      <c r="Y441" s="234" t="s">
        <v>306</v>
      </c>
      <c r="Z441" s="209" t="s">
        <v>19</v>
      </c>
      <c r="AA441" s="209" t="s">
        <v>306</v>
      </c>
      <c r="AB441" s="234" t="s">
        <v>306</v>
      </c>
      <c r="AC441" s="235" t="s">
        <v>306</v>
      </c>
      <c r="AD441" s="209" t="s">
        <v>25</v>
      </c>
      <c r="AE441" s="209" t="s">
        <v>25</v>
      </c>
      <c r="AF441" s="234" t="s">
        <v>25</v>
      </c>
      <c r="AG441" s="209" t="s">
        <v>306</v>
      </c>
      <c r="AH441" s="209" t="s">
        <v>306</v>
      </c>
      <c r="AI441" s="234" t="s">
        <v>306</v>
      </c>
      <c r="AJ441" s="209" t="s">
        <v>25</v>
      </c>
      <c r="AK441" s="209" t="s">
        <v>306</v>
      </c>
      <c r="AL441" s="234" t="s">
        <v>25</v>
      </c>
      <c r="AM441" s="209" t="s">
        <v>306</v>
      </c>
      <c r="AN441" s="209" t="s">
        <v>306</v>
      </c>
      <c r="AO441" s="234" t="s">
        <v>306</v>
      </c>
      <c r="AP441" s="235" t="s">
        <v>306</v>
      </c>
      <c r="AQ441" s="209" t="s">
        <v>19</v>
      </c>
      <c r="AR441" s="209" t="s">
        <v>19</v>
      </c>
      <c r="AS441" s="234" t="s">
        <v>19</v>
      </c>
      <c r="AT441" s="209" t="s">
        <v>25</v>
      </c>
      <c r="AU441" s="209" t="s">
        <v>25</v>
      </c>
      <c r="AV441" s="234" t="s">
        <v>25</v>
      </c>
      <c r="AW441" s="209" t="s">
        <v>19</v>
      </c>
      <c r="AX441" s="209" t="s">
        <v>25</v>
      </c>
      <c r="AY441" s="234" t="s">
        <v>306</v>
      </c>
      <c r="AZ441" s="209" t="s">
        <v>25</v>
      </c>
      <c r="BA441" s="209" t="s">
        <v>19</v>
      </c>
      <c r="BB441" s="234" t="s">
        <v>25</v>
      </c>
      <c r="BC441" s="235" t="s">
        <v>25</v>
      </c>
      <c r="BD441" s="209"/>
    </row>
    <row r="442" spans="1:56" ht="12.75" customHeight="1" x14ac:dyDescent="0.25">
      <c r="A442" s="238">
        <v>45259.545145324075</v>
      </c>
      <c r="B442" s="233" t="s">
        <v>427</v>
      </c>
      <c r="C442" s="209" t="s">
        <v>587</v>
      </c>
      <c r="D442" s="232" t="s">
        <v>17</v>
      </c>
      <c r="E442" s="232" t="s">
        <v>515</v>
      </c>
      <c r="F442" s="209" t="s">
        <v>1024</v>
      </c>
      <c r="G442" s="232" t="s">
        <v>24</v>
      </c>
      <c r="H442" s="232">
        <v>11</v>
      </c>
      <c r="I442" s="209" t="s">
        <v>531</v>
      </c>
      <c r="J442" s="188"/>
      <c r="K442" s="209" t="s">
        <v>539</v>
      </c>
      <c r="L442" s="209" t="s">
        <v>518</v>
      </c>
      <c r="M442" s="209" t="s">
        <v>368</v>
      </c>
      <c r="N442" s="209" t="s">
        <v>368</v>
      </c>
      <c r="O442" s="209"/>
      <c r="P442" s="209"/>
      <c r="Q442" s="209" t="s">
        <v>306</v>
      </c>
      <c r="R442" s="209" t="s">
        <v>306</v>
      </c>
      <c r="S442" s="234" t="s">
        <v>306</v>
      </c>
      <c r="T442" s="209" t="s">
        <v>306</v>
      </c>
      <c r="U442" s="209" t="s">
        <v>306</v>
      </c>
      <c r="V442" s="234" t="s">
        <v>306</v>
      </c>
      <c r="W442" s="209" t="s">
        <v>306</v>
      </c>
      <c r="X442" s="209" t="s">
        <v>306</v>
      </c>
      <c r="Y442" s="234" t="s">
        <v>306</v>
      </c>
      <c r="Z442" s="209" t="s">
        <v>19</v>
      </c>
      <c r="AA442" s="209" t="s">
        <v>306</v>
      </c>
      <c r="AB442" s="234" t="s">
        <v>306</v>
      </c>
      <c r="AC442" s="235" t="s">
        <v>306</v>
      </c>
      <c r="AD442" s="209" t="s">
        <v>25</v>
      </c>
      <c r="AE442" s="209" t="s">
        <v>306</v>
      </c>
      <c r="AF442" s="234" t="s">
        <v>25</v>
      </c>
      <c r="AG442" s="209" t="s">
        <v>25</v>
      </c>
      <c r="AH442" s="209" t="s">
        <v>306</v>
      </c>
      <c r="AI442" s="234" t="s">
        <v>25</v>
      </c>
      <c r="AJ442" s="209" t="s">
        <v>306</v>
      </c>
      <c r="AK442" s="209" t="s">
        <v>306</v>
      </c>
      <c r="AL442" s="234" t="s">
        <v>306</v>
      </c>
      <c r="AM442" s="209" t="s">
        <v>25</v>
      </c>
      <c r="AN442" s="209" t="s">
        <v>306</v>
      </c>
      <c r="AO442" s="234" t="s">
        <v>25</v>
      </c>
      <c r="AP442" s="235" t="s">
        <v>306</v>
      </c>
      <c r="AQ442" s="209" t="s">
        <v>306</v>
      </c>
      <c r="AR442" s="209" t="s">
        <v>306</v>
      </c>
      <c r="AS442" s="234" t="s">
        <v>306</v>
      </c>
      <c r="AT442" s="209" t="s">
        <v>306</v>
      </c>
      <c r="AU442" s="209" t="s">
        <v>25</v>
      </c>
      <c r="AV442" s="234" t="s">
        <v>25</v>
      </c>
      <c r="AW442" s="209" t="s">
        <v>19</v>
      </c>
      <c r="AX442" s="209" t="s">
        <v>306</v>
      </c>
      <c r="AY442" s="234" t="s">
        <v>306</v>
      </c>
      <c r="AZ442" s="209" t="s">
        <v>25</v>
      </c>
      <c r="BA442" s="209" t="s">
        <v>19</v>
      </c>
      <c r="BB442" s="234" t="s">
        <v>25</v>
      </c>
      <c r="BC442" s="235" t="s">
        <v>25</v>
      </c>
      <c r="BD442" s="209"/>
    </row>
    <row r="443" spans="1:56" ht="12.75" customHeight="1" x14ac:dyDescent="0.25">
      <c r="A443" s="238">
        <v>45259.548677083338</v>
      </c>
      <c r="B443" s="233" t="s">
        <v>427</v>
      </c>
      <c r="C443" s="209" t="s">
        <v>587</v>
      </c>
      <c r="D443" s="232" t="s">
        <v>17</v>
      </c>
      <c r="E443" s="232" t="s">
        <v>515</v>
      </c>
      <c r="F443" s="209" t="s">
        <v>1025</v>
      </c>
      <c r="G443" s="232" t="s">
        <v>18</v>
      </c>
      <c r="H443" s="232">
        <v>11</v>
      </c>
      <c r="I443" s="209" t="s">
        <v>531</v>
      </c>
      <c r="J443" s="188"/>
      <c r="K443" s="209" t="s">
        <v>539</v>
      </c>
      <c r="L443" s="209" t="s">
        <v>518</v>
      </c>
      <c r="M443" s="209" t="s">
        <v>375</v>
      </c>
      <c r="N443" s="209" t="s">
        <v>375</v>
      </c>
      <c r="O443" s="209"/>
      <c r="P443" s="209"/>
      <c r="Q443" s="209" t="s">
        <v>306</v>
      </c>
      <c r="R443" s="209" t="s">
        <v>306</v>
      </c>
      <c r="S443" s="234" t="s">
        <v>306</v>
      </c>
      <c r="T443" s="209" t="s">
        <v>306</v>
      </c>
      <c r="U443" s="209" t="s">
        <v>306</v>
      </c>
      <c r="V443" s="234" t="s">
        <v>306</v>
      </c>
      <c r="W443" s="209" t="s">
        <v>25</v>
      </c>
      <c r="X443" s="209" t="s">
        <v>306</v>
      </c>
      <c r="Y443" s="234" t="s">
        <v>25</v>
      </c>
      <c r="Z443" s="209" t="s">
        <v>306</v>
      </c>
      <c r="AA443" s="209" t="s">
        <v>306</v>
      </c>
      <c r="AB443" s="234" t="s">
        <v>306</v>
      </c>
      <c r="AC443" s="235" t="s">
        <v>306</v>
      </c>
      <c r="AD443" s="209" t="s">
        <v>25</v>
      </c>
      <c r="AE443" s="209" t="s">
        <v>306</v>
      </c>
      <c r="AF443" s="234" t="s">
        <v>25</v>
      </c>
      <c r="AG443" s="209" t="s">
        <v>25</v>
      </c>
      <c r="AH443" s="209" t="s">
        <v>306</v>
      </c>
      <c r="AI443" s="234" t="s">
        <v>25</v>
      </c>
      <c r="AJ443" s="209" t="s">
        <v>25</v>
      </c>
      <c r="AK443" s="209" t="s">
        <v>306</v>
      </c>
      <c r="AL443" s="234" t="s">
        <v>25</v>
      </c>
      <c r="AM443" s="209" t="s">
        <v>25</v>
      </c>
      <c r="AN443" s="209" t="s">
        <v>306</v>
      </c>
      <c r="AO443" s="234" t="s">
        <v>25</v>
      </c>
      <c r="AP443" s="235" t="s">
        <v>25</v>
      </c>
      <c r="AQ443" s="209" t="s">
        <v>25</v>
      </c>
      <c r="AR443" s="209" t="s">
        <v>306</v>
      </c>
      <c r="AS443" s="234" t="s">
        <v>25</v>
      </c>
      <c r="AT443" s="209" t="s">
        <v>25</v>
      </c>
      <c r="AU443" s="209" t="s">
        <v>306</v>
      </c>
      <c r="AV443" s="234" t="s">
        <v>25</v>
      </c>
      <c r="AW443" s="209" t="s">
        <v>25</v>
      </c>
      <c r="AX443" s="209" t="s">
        <v>306</v>
      </c>
      <c r="AY443" s="234" t="s">
        <v>25</v>
      </c>
      <c r="AZ443" s="209" t="s">
        <v>25</v>
      </c>
      <c r="BA443" s="209" t="s">
        <v>25</v>
      </c>
      <c r="BB443" s="234" t="s">
        <v>306</v>
      </c>
      <c r="BC443" s="235" t="s">
        <v>306</v>
      </c>
      <c r="BD443" s="209"/>
    </row>
    <row r="444" spans="1:56" ht="12.75" customHeight="1" x14ac:dyDescent="0.25">
      <c r="A444" s="238">
        <v>45259.556870659726</v>
      </c>
      <c r="B444" s="233" t="s">
        <v>427</v>
      </c>
      <c r="C444" s="209" t="s">
        <v>587</v>
      </c>
      <c r="D444" s="232" t="s">
        <v>17</v>
      </c>
      <c r="E444" s="232" t="s">
        <v>515</v>
      </c>
      <c r="F444" s="209" t="s">
        <v>1026</v>
      </c>
      <c r="G444" s="232" t="s">
        <v>18</v>
      </c>
      <c r="H444" s="232">
        <v>12</v>
      </c>
      <c r="I444" s="209" t="s">
        <v>531</v>
      </c>
      <c r="J444" s="188"/>
      <c r="K444" s="209" t="s">
        <v>539</v>
      </c>
      <c r="L444" s="209" t="s">
        <v>518</v>
      </c>
      <c r="M444" s="209" t="s">
        <v>375</v>
      </c>
      <c r="N444" s="209" t="s">
        <v>375</v>
      </c>
      <c r="O444" s="209"/>
      <c r="P444" s="209"/>
      <c r="Q444" s="209" t="s">
        <v>25</v>
      </c>
      <c r="R444" s="209" t="s">
        <v>25</v>
      </c>
      <c r="S444" s="234" t="s">
        <v>25</v>
      </c>
      <c r="T444" s="209" t="s">
        <v>19</v>
      </c>
      <c r="U444" s="209" t="s">
        <v>25</v>
      </c>
      <c r="V444" s="234" t="s">
        <v>306</v>
      </c>
      <c r="W444" s="209" t="s">
        <v>25</v>
      </c>
      <c r="X444" s="209" t="s">
        <v>25</v>
      </c>
      <c r="Y444" s="234" t="s">
        <v>25</v>
      </c>
      <c r="Z444" s="209" t="s">
        <v>25</v>
      </c>
      <c r="AA444" s="209" t="s">
        <v>19</v>
      </c>
      <c r="AB444" s="234" t="s">
        <v>306</v>
      </c>
      <c r="AC444" s="235" t="s">
        <v>25</v>
      </c>
      <c r="AD444" s="209" t="s">
        <v>25</v>
      </c>
      <c r="AE444" s="209" t="s">
        <v>25</v>
      </c>
      <c r="AF444" s="234" t="s">
        <v>25</v>
      </c>
      <c r="AG444" s="209" t="s">
        <v>306</v>
      </c>
      <c r="AH444" s="209" t="s">
        <v>306</v>
      </c>
      <c r="AI444" s="234" t="s">
        <v>306</v>
      </c>
      <c r="AJ444" s="209" t="s">
        <v>25</v>
      </c>
      <c r="AK444" s="209" t="s">
        <v>25</v>
      </c>
      <c r="AL444" s="234" t="s">
        <v>25</v>
      </c>
      <c r="AM444" s="209" t="s">
        <v>19</v>
      </c>
      <c r="AN444" s="209" t="s">
        <v>19</v>
      </c>
      <c r="AO444" s="234" t="s">
        <v>19</v>
      </c>
      <c r="AP444" s="235" t="s">
        <v>306</v>
      </c>
      <c r="AQ444" s="209" t="s">
        <v>25</v>
      </c>
      <c r="AR444" s="209" t="s">
        <v>306</v>
      </c>
      <c r="AS444" s="234" t="s">
        <v>25</v>
      </c>
      <c r="AT444" s="209" t="s">
        <v>306</v>
      </c>
      <c r="AU444" s="209" t="s">
        <v>25</v>
      </c>
      <c r="AV444" s="234" t="s">
        <v>25</v>
      </c>
      <c r="AW444" s="209" t="s">
        <v>25</v>
      </c>
      <c r="AX444" s="209" t="s">
        <v>25</v>
      </c>
      <c r="AY444" s="234" t="s">
        <v>25</v>
      </c>
      <c r="AZ444" s="209" t="s">
        <v>25</v>
      </c>
      <c r="BA444" s="209" t="s">
        <v>25</v>
      </c>
      <c r="BB444" s="234" t="s">
        <v>306</v>
      </c>
      <c r="BC444" s="235" t="s">
        <v>306</v>
      </c>
      <c r="BD444" s="209"/>
    </row>
    <row r="445" spans="1:56" ht="12.75" customHeight="1" x14ac:dyDescent="0.25">
      <c r="A445" s="238">
        <v>45259.560849074071</v>
      </c>
      <c r="B445" s="233" t="s">
        <v>427</v>
      </c>
      <c r="C445" s="209" t="s">
        <v>587</v>
      </c>
      <c r="D445" s="232" t="s">
        <v>17</v>
      </c>
      <c r="E445" s="232" t="s">
        <v>515</v>
      </c>
      <c r="F445" s="209" t="s">
        <v>1027</v>
      </c>
      <c r="G445" s="232" t="s">
        <v>18</v>
      </c>
      <c r="H445" s="232">
        <v>12</v>
      </c>
      <c r="I445" s="209" t="s">
        <v>531</v>
      </c>
      <c r="J445" s="188"/>
      <c r="K445" s="209" t="s">
        <v>539</v>
      </c>
      <c r="L445" s="209" t="s">
        <v>518</v>
      </c>
      <c r="M445" s="209" t="s">
        <v>401</v>
      </c>
      <c r="N445" s="209" t="s">
        <v>401</v>
      </c>
      <c r="O445" s="209"/>
      <c r="P445" s="209"/>
      <c r="Q445" s="209" t="s">
        <v>25</v>
      </c>
      <c r="R445" s="209" t="s">
        <v>25</v>
      </c>
      <c r="S445" s="234" t="s">
        <v>25</v>
      </c>
      <c r="T445" s="209" t="s">
        <v>25</v>
      </c>
      <c r="U445" s="209" t="s">
        <v>25</v>
      </c>
      <c r="V445" s="234" t="s">
        <v>25</v>
      </c>
      <c r="W445" s="209" t="s">
        <v>25</v>
      </c>
      <c r="X445" s="209" t="s">
        <v>25</v>
      </c>
      <c r="Y445" s="234" t="s">
        <v>25</v>
      </c>
      <c r="Z445" s="209" t="s">
        <v>25</v>
      </c>
      <c r="AA445" s="209" t="s">
        <v>25</v>
      </c>
      <c r="AB445" s="234" t="s">
        <v>25</v>
      </c>
      <c r="AC445" s="235" t="s">
        <v>25</v>
      </c>
      <c r="AD445" s="209" t="s">
        <v>25</v>
      </c>
      <c r="AE445" s="209" t="s">
        <v>25</v>
      </c>
      <c r="AF445" s="234" t="s">
        <v>25</v>
      </c>
      <c r="AG445" s="209" t="s">
        <v>25</v>
      </c>
      <c r="AH445" s="209" t="s">
        <v>25</v>
      </c>
      <c r="AI445" s="234" t="s">
        <v>25</v>
      </c>
      <c r="AJ445" s="209" t="s">
        <v>25</v>
      </c>
      <c r="AK445" s="209" t="s">
        <v>25</v>
      </c>
      <c r="AL445" s="234" t="s">
        <v>25</v>
      </c>
      <c r="AM445" s="209" t="s">
        <v>19</v>
      </c>
      <c r="AN445" s="209" t="s">
        <v>19</v>
      </c>
      <c r="AO445" s="234" t="s">
        <v>19</v>
      </c>
      <c r="AP445" s="235" t="s">
        <v>25</v>
      </c>
      <c r="AQ445" s="209" t="s">
        <v>25</v>
      </c>
      <c r="AR445" s="209" t="s">
        <v>25</v>
      </c>
      <c r="AS445" s="234" t="s">
        <v>25</v>
      </c>
      <c r="AT445" s="209" t="s">
        <v>19</v>
      </c>
      <c r="AU445" s="209" t="s">
        <v>19</v>
      </c>
      <c r="AV445" s="234" t="s">
        <v>19</v>
      </c>
      <c r="AW445" s="209" t="s">
        <v>19</v>
      </c>
      <c r="AX445" s="209" t="s">
        <v>19</v>
      </c>
      <c r="AY445" s="234" t="s">
        <v>19</v>
      </c>
      <c r="AZ445" s="209" t="s">
        <v>19</v>
      </c>
      <c r="BA445" s="209" t="s">
        <v>19</v>
      </c>
      <c r="BB445" s="234" t="s">
        <v>306</v>
      </c>
      <c r="BC445" s="235" t="s">
        <v>306</v>
      </c>
      <c r="BD445" s="209"/>
    </row>
    <row r="446" spans="1:56" ht="12.75" customHeight="1" x14ac:dyDescent="0.25">
      <c r="A446" s="238">
        <v>45259.568488032412</v>
      </c>
      <c r="B446" s="233" t="s">
        <v>427</v>
      </c>
      <c r="C446" s="209" t="s">
        <v>587</v>
      </c>
      <c r="D446" s="232" t="s">
        <v>17</v>
      </c>
      <c r="E446" s="232" t="s">
        <v>515</v>
      </c>
      <c r="F446" s="209" t="s">
        <v>1028</v>
      </c>
      <c r="G446" s="232" t="s">
        <v>24</v>
      </c>
      <c r="H446" s="232">
        <v>11</v>
      </c>
      <c r="I446" s="209" t="s">
        <v>531</v>
      </c>
      <c r="J446" s="188"/>
      <c r="K446" s="209" t="s">
        <v>539</v>
      </c>
      <c r="L446" s="209" t="s">
        <v>518</v>
      </c>
      <c r="M446" s="209" t="s">
        <v>375</v>
      </c>
      <c r="N446" s="209" t="s">
        <v>375</v>
      </c>
      <c r="O446" s="209"/>
      <c r="P446" s="209"/>
      <c r="Q446" s="209" t="s">
        <v>25</v>
      </c>
      <c r="R446" s="209" t="s">
        <v>25</v>
      </c>
      <c r="S446" s="234" t="s">
        <v>25</v>
      </c>
      <c r="T446" s="209" t="s">
        <v>306</v>
      </c>
      <c r="U446" s="209" t="s">
        <v>25</v>
      </c>
      <c r="V446" s="234" t="s">
        <v>25</v>
      </c>
      <c r="W446" s="209" t="s">
        <v>306</v>
      </c>
      <c r="X446" s="209" t="s">
        <v>306</v>
      </c>
      <c r="Y446" s="234" t="s">
        <v>306</v>
      </c>
      <c r="Z446" s="209" t="s">
        <v>25</v>
      </c>
      <c r="AA446" s="209" t="s">
        <v>25</v>
      </c>
      <c r="AB446" s="234" t="s">
        <v>25</v>
      </c>
      <c r="AC446" s="235" t="s">
        <v>25</v>
      </c>
      <c r="AD446" s="209" t="s">
        <v>19</v>
      </c>
      <c r="AE446" s="209" t="s">
        <v>306</v>
      </c>
      <c r="AF446" s="234" t="s">
        <v>306</v>
      </c>
      <c r="AG446" s="209" t="s">
        <v>306</v>
      </c>
      <c r="AH446" s="209" t="s">
        <v>306</v>
      </c>
      <c r="AI446" s="234" t="s">
        <v>306</v>
      </c>
      <c r="AJ446" s="209" t="s">
        <v>306</v>
      </c>
      <c r="AK446" s="209" t="s">
        <v>306</v>
      </c>
      <c r="AL446" s="234" t="s">
        <v>306</v>
      </c>
      <c r="AM446" s="209" t="s">
        <v>306</v>
      </c>
      <c r="AN446" s="209" t="s">
        <v>19</v>
      </c>
      <c r="AO446" s="234" t="s">
        <v>306</v>
      </c>
      <c r="AP446" s="235" t="s">
        <v>306</v>
      </c>
      <c r="AQ446" s="209" t="s">
        <v>19</v>
      </c>
      <c r="AR446" s="209" t="s">
        <v>19</v>
      </c>
      <c r="AS446" s="234" t="s">
        <v>19</v>
      </c>
      <c r="AT446" s="209" t="s">
        <v>25</v>
      </c>
      <c r="AU446" s="209" t="s">
        <v>306</v>
      </c>
      <c r="AV446" s="234" t="s">
        <v>25</v>
      </c>
      <c r="AW446" s="209" t="s">
        <v>25</v>
      </c>
      <c r="AX446" s="209" t="s">
        <v>306</v>
      </c>
      <c r="AY446" s="234" t="s">
        <v>25</v>
      </c>
      <c r="AZ446" s="209" t="s">
        <v>25</v>
      </c>
      <c r="BA446" s="209" t="s">
        <v>25</v>
      </c>
      <c r="BB446" s="234" t="s">
        <v>25</v>
      </c>
      <c r="BC446" s="235" t="s">
        <v>25</v>
      </c>
      <c r="BD446" s="209"/>
    </row>
    <row r="447" spans="1:56" ht="12.75" customHeight="1" x14ac:dyDescent="0.25">
      <c r="A447" s="238">
        <v>45259.577452465281</v>
      </c>
      <c r="B447" s="233" t="s">
        <v>427</v>
      </c>
      <c r="C447" s="209" t="s">
        <v>587</v>
      </c>
      <c r="D447" s="232" t="s">
        <v>17</v>
      </c>
      <c r="E447" s="232" t="s">
        <v>515</v>
      </c>
      <c r="F447" s="209" t="s">
        <v>1029</v>
      </c>
      <c r="G447" s="232" t="s">
        <v>18</v>
      </c>
      <c r="H447" s="232">
        <v>11</v>
      </c>
      <c r="I447" s="209" t="s">
        <v>531</v>
      </c>
      <c r="J447" s="188"/>
      <c r="K447" s="209" t="s">
        <v>539</v>
      </c>
      <c r="L447" s="209" t="s">
        <v>531</v>
      </c>
      <c r="M447" s="188"/>
      <c r="N447" s="188"/>
      <c r="O447" s="188"/>
      <c r="P447" s="188"/>
      <c r="Q447" s="209" t="s">
        <v>25</v>
      </c>
      <c r="R447" s="209" t="s">
        <v>25</v>
      </c>
      <c r="S447" s="234" t="s">
        <v>25</v>
      </c>
      <c r="T447" s="209" t="s">
        <v>25</v>
      </c>
      <c r="U447" s="209" t="s">
        <v>25</v>
      </c>
      <c r="V447" s="234" t="s">
        <v>25</v>
      </c>
      <c r="W447" s="209" t="s">
        <v>25</v>
      </c>
      <c r="X447" s="209" t="s">
        <v>19</v>
      </c>
      <c r="Y447" s="234" t="s">
        <v>306</v>
      </c>
      <c r="Z447" s="209" t="s">
        <v>306</v>
      </c>
      <c r="AA447" s="209" t="s">
        <v>19</v>
      </c>
      <c r="AB447" s="234" t="s">
        <v>306</v>
      </c>
      <c r="AC447" s="235" t="s">
        <v>306</v>
      </c>
      <c r="AD447" s="209" t="s">
        <v>25</v>
      </c>
      <c r="AE447" s="209" t="s">
        <v>306</v>
      </c>
      <c r="AF447" s="234" t="s">
        <v>25</v>
      </c>
      <c r="AG447" s="209" t="s">
        <v>25</v>
      </c>
      <c r="AH447" s="209" t="s">
        <v>19</v>
      </c>
      <c r="AI447" s="234" t="s">
        <v>306</v>
      </c>
      <c r="AJ447" s="209" t="s">
        <v>306</v>
      </c>
      <c r="AK447" s="209" t="s">
        <v>25</v>
      </c>
      <c r="AL447" s="234" t="s">
        <v>25</v>
      </c>
      <c r="AM447" s="209" t="s">
        <v>19</v>
      </c>
      <c r="AN447" s="209" t="s">
        <v>19</v>
      </c>
      <c r="AO447" s="234" t="s">
        <v>19</v>
      </c>
      <c r="AP447" s="235" t="s">
        <v>306</v>
      </c>
      <c r="AQ447" s="209" t="s">
        <v>25</v>
      </c>
      <c r="AR447" s="209" t="s">
        <v>306</v>
      </c>
      <c r="AS447" s="234" t="s">
        <v>25</v>
      </c>
      <c r="AT447" s="209" t="s">
        <v>25</v>
      </c>
      <c r="AU447" s="209" t="s">
        <v>19</v>
      </c>
      <c r="AV447" s="234" t="s">
        <v>306</v>
      </c>
      <c r="AW447" s="209" t="s">
        <v>19</v>
      </c>
      <c r="AX447" s="209" t="s">
        <v>25</v>
      </c>
      <c r="AY447" s="234" t="s">
        <v>306</v>
      </c>
      <c r="AZ447" s="209" t="s">
        <v>306</v>
      </c>
      <c r="BA447" s="209" t="s">
        <v>25</v>
      </c>
      <c r="BB447" s="234" t="s">
        <v>25</v>
      </c>
      <c r="BC447" s="235" t="s">
        <v>25</v>
      </c>
      <c r="BD447" s="209"/>
    </row>
    <row r="448" spans="1:56" ht="12.75" customHeight="1" x14ac:dyDescent="0.25">
      <c r="A448" s="238">
        <v>45259.586875000001</v>
      </c>
      <c r="B448" s="233" t="s">
        <v>427</v>
      </c>
      <c r="C448" s="209" t="s">
        <v>587</v>
      </c>
      <c r="D448" s="232" t="s">
        <v>17</v>
      </c>
      <c r="E448" s="232" t="s">
        <v>515</v>
      </c>
      <c r="F448" s="209" t="s">
        <v>1030</v>
      </c>
      <c r="G448" s="232" t="s">
        <v>18</v>
      </c>
      <c r="H448" s="232">
        <v>11</v>
      </c>
      <c r="I448" s="209" t="s">
        <v>531</v>
      </c>
      <c r="J448" s="188"/>
      <c r="K448" s="209" t="s">
        <v>539</v>
      </c>
      <c r="L448" s="209" t="s">
        <v>531</v>
      </c>
      <c r="M448" s="188"/>
      <c r="N448" s="188"/>
      <c r="O448" s="188"/>
      <c r="P448" s="188"/>
      <c r="Q448" s="209" t="s">
        <v>306</v>
      </c>
      <c r="R448" s="209" t="s">
        <v>306</v>
      </c>
      <c r="S448" s="234" t="s">
        <v>306</v>
      </c>
      <c r="T448" s="209" t="s">
        <v>25</v>
      </c>
      <c r="U448" s="209" t="s">
        <v>306</v>
      </c>
      <c r="V448" s="234" t="s">
        <v>25</v>
      </c>
      <c r="W448" s="209" t="s">
        <v>25</v>
      </c>
      <c r="X448" s="209" t="s">
        <v>19</v>
      </c>
      <c r="Y448" s="234" t="s">
        <v>306</v>
      </c>
      <c r="Z448" s="209" t="s">
        <v>25</v>
      </c>
      <c r="AA448" s="209" t="s">
        <v>306</v>
      </c>
      <c r="AB448" s="234" t="s">
        <v>25</v>
      </c>
      <c r="AC448" s="235" t="s">
        <v>306</v>
      </c>
      <c r="AD448" s="209" t="s">
        <v>25</v>
      </c>
      <c r="AE448" s="209" t="s">
        <v>306</v>
      </c>
      <c r="AF448" s="234" t="s">
        <v>25</v>
      </c>
      <c r="AG448" s="209" t="s">
        <v>19</v>
      </c>
      <c r="AH448" s="209" t="s">
        <v>25</v>
      </c>
      <c r="AI448" s="234" t="s">
        <v>306</v>
      </c>
      <c r="AJ448" s="209" t="s">
        <v>19</v>
      </c>
      <c r="AK448" s="209" t="s">
        <v>306</v>
      </c>
      <c r="AL448" s="234" t="s">
        <v>306</v>
      </c>
      <c r="AM448" s="209" t="s">
        <v>25</v>
      </c>
      <c r="AN448" s="209" t="s">
        <v>19</v>
      </c>
      <c r="AO448" s="234" t="s">
        <v>306</v>
      </c>
      <c r="AP448" s="235" t="s">
        <v>306</v>
      </c>
      <c r="AQ448" s="209" t="s">
        <v>306</v>
      </c>
      <c r="AR448" s="209" t="s">
        <v>25</v>
      </c>
      <c r="AS448" s="234" t="s">
        <v>25</v>
      </c>
      <c r="AT448" s="209" t="s">
        <v>19</v>
      </c>
      <c r="AU448" s="209" t="s">
        <v>306</v>
      </c>
      <c r="AV448" s="234" t="s">
        <v>306</v>
      </c>
      <c r="AW448" s="209" t="s">
        <v>306</v>
      </c>
      <c r="AX448" s="209" t="s">
        <v>19</v>
      </c>
      <c r="AY448" s="234" t="s">
        <v>306</v>
      </c>
      <c r="AZ448" s="209" t="s">
        <v>25</v>
      </c>
      <c r="BA448" s="209" t="s">
        <v>25</v>
      </c>
      <c r="BB448" s="234" t="s">
        <v>25</v>
      </c>
      <c r="BC448" s="235" t="s">
        <v>25</v>
      </c>
      <c r="BD448" s="209"/>
    </row>
    <row r="449" spans="1:56" ht="12.75" customHeight="1" x14ac:dyDescent="0.25">
      <c r="A449" s="238">
        <v>45259.619021273145</v>
      </c>
      <c r="B449" s="233" t="s">
        <v>427</v>
      </c>
      <c r="C449" s="209" t="s">
        <v>587</v>
      </c>
      <c r="D449" s="232" t="s">
        <v>17</v>
      </c>
      <c r="E449" s="232" t="s">
        <v>515</v>
      </c>
      <c r="F449" s="209" t="s">
        <v>1031</v>
      </c>
      <c r="G449" s="232" t="s">
        <v>24</v>
      </c>
      <c r="H449" s="232">
        <v>11</v>
      </c>
      <c r="I449" s="209" t="s">
        <v>531</v>
      </c>
      <c r="J449" s="188"/>
      <c r="K449" s="209" t="s">
        <v>539</v>
      </c>
      <c r="L449" s="209" t="s">
        <v>518</v>
      </c>
      <c r="M449" s="209" t="s">
        <v>375</v>
      </c>
      <c r="N449" s="209" t="s">
        <v>375</v>
      </c>
      <c r="O449" s="209"/>
      <c r="P449" s="209"/>
      <c r="Q449" s="209" t="s">
        <v>25</v>
      </c>
      <c r="R449" s="209" t="s">
        <v>306</v>
      </c>
      <c r="S449" s="234" t="s">
        <v>25</v>
      </c>
      <c r="T449" s="209" t="s">
        <v>25</v>
      </c>
      <c r="U449" s="209" t="s">
        <v>25</v>
      </c>
      <c r="V449" s="234" t="s">
        <v>25</v>
      </c>
      <c r="W449" s="209" t="s">
        <v>25</v>
      </c>
      <c r="X449" s="209" t="s">
        <v>306</v>
      </c>
      <c r="Y449" s="234" t="s">
        <v>25</v>
      </c>
      <c r="Z449" s="209" t="s">
        <v>25</v>
      </c>
      <c r="AA449" s="209" t="s">
        <v>25</v>
      </c>
      <c r="AB449" s="234" t="s">
        <v>25</v>
      </c>
      <c r="AC449" s="235" t="s">
        <v>25</v>
      </c>
      <c r="AD449" s="209" t="s">
        <v>306</v>
      </c>
      <c r="AE449" s="209" t="s">
        <v>25</v>
      </c>
      <c r="AF449" s="234" t="s">
        <v>25</v>
      </c>
      <c r="AG449" s="209" t="s">
        <v>25</v>
      </c>
      <c r="AH449" s="209" t="s">
        <v>306</v>
      </c>
      <c r="AI449" s="234" t="s">
        <v>25</v>
      </c>
      <c r="AJ449" s="209" t="s">
        <v>306</v>
      </c>
      <c r="AK449" s="209" t="s">
        <v>306</v>
      </c>
      <c r="AL449" s="234" t="s">
        <v>306</v>
      </c>
      <c r="AM449" s="209" t="s">
        <v>306</v>
      </c>
      <c r="AN449" s="209" t="s">
        <v>25</v>
      </c>
      <c r="AO449" s="234" t="s">
        <v>25</v>
      </c>
      <c r="AP449" s="235" t="s">
        <v>306</v>
      </c>
      <c r="AQ449" s="209" t="s">
        <v>306</v>
      </c>
      <c r="AR449" s="209" t="s">
        <v>25</v>
      </c>
      <c r="AS449" s="234" t="s">
        <v>25</v>
      </c>
      <c r="AT449" s="209" t="s">
        <v>25</v>
      </c>
      <c r="AU449" s="209" t="s">
        <v>25</v>
      </c>
      <c r="AV449" s="234" t="s">
        <v>25</v>
      </c>
      <c r="AW449" s="209" t="s">
        <v>25</v>
      </c>
      <c r="AX449" s="209" t="s">
        <v>306</v>
      </c>
      <c r="AY449" s="234" t="s">
        <v>25</v>
      </c>
      <c r="AZ449" s="209" t="s">
        <v>25</v>
      </c>
      <c r="BA449" s="209" t="s">
        <v>25</v>
      </c>
      <c r="BB449" s="234" t="s">
        <v>25</v>
      </c>
      <c r="BC449" s="235" t="s">
        <v>25</v>
      </c>
      <c r="BD449" s="209"/>
    </row>
    <row r="450" spans="1:56" ht="12.75" customHeight="1" x14ac:dyDescent="0.25">
      <c r="A450" s="238">
        <v>45259.631595983796</v>
      </c>
      <c r="B450" s="233" t="s">
        <v>427</v>
      </c>
      <c r="C450" s="209" t="s">
        <v>587</v>
      </c>
      <c r="D450" s="232" t="s">
        <v>17</v>
      </c>
      <c r="E450" s="232" t="s">
        <v>515</v>
      </c>
      <c r="F450" s="209" t="s">
        <v>1032</v>
      </c>
      <c r="G450" s="232" t="s">
        <v>24</v>
      </c>
      <c r="H450" s="232">
        <v>12</v>
      </c>
      <c r="I450" s="209" t="s">
        <v>531</v>
      </c>
      <c r="J450" s="188"/>
      <c r="K450" s="209" t="s">
        <v>539</v>
      </c>
      <c r="L450" s="209" t="s">
        <v>518</v>
      </c>
      <c r="M450" s="209" t="s">
        <v>389</v>
      </c>
      <c r="N450" s="209" t="s">
        <v>389</v>
      </c>
      <c r="O450" s="209"/>
      <c r="P450" s="209"/>
      <c r="Q450" s="209" t="s">
        <v>306</v>
      </c>
      <c r="R450" s="209" t="s">
        <v>306</v>
      </c>
      <c r="S450" s="234" t="s">
        <v>306</v>
      </c>
      <c r="T450" s="209" t="s">
        <v>306</v>
      </c>
      <c r="U450" s="209" t="s">
        <v>19</v>
      </c>
      <c r="V450" s="234" t="s">
        <v>306</v>
      </c>
      <c r="W450" s="209" t="s">
        <v>306</v>
      </c>
      <c r="X450" s="209" t="s">
        <v>19</v>
      </c>
      <c r="Y450" s="234" t="s">
        <v>306</v>
      </c>
      <c r="Z450" s="209" t="s">
        <v>25</v>
      </c>
      <c r="AA450" s="209" t="s">
        <v>19</v>
      </c>
      <c r="AB450" s="234" t="s">
        <v>306</v>
      </c>
      <c r="AC450" s="235" t="s">
        <v>306</v>
      </c>
      <c r="AD450" s="209" t="s">
        <v>306</v>
      </c>
      <c r="AE450" s="209" t="s">
        <v>25</v>
      </c>
      <c r="AF450" s="234" t="s">
        <v>25</v>
      </c>
      <c r="AG450" s="209" t="s">
        <v>19</v>
      </c>
      <c r="AH450" s="209" t="s">
        <v>25</v>
      </c>
      <c r="AI450" s="234" t="s">
        <v>306</v>
      </c>
      <c r="AJ450" s="209" t="s">
        <v>19</v>
      </c>
      <c r="AK450" s="209" t="s">
        <v>306</v>
      </c>
      <c r="AL450" s="234" t="s">
        <v>306</v>
      </c>
      <c r="AM450" s="209" t="s">
        <v>306</v>
      </c>
      <c r="AN450" s="209" t="s">
        <v>306</v>
      </c>
      <c r="AO450" s="234" t="s">
        <v>306</v>
      </c>
      <c r="AP450" s="235" t="s">
        <v>306</v>
      </c>
      <c r="AQ450" s="209" t="s">
        <v>19</v>
      </c>
      <c r="AR450" s="209" t="s">
        <v>25</v>
      </c>
      <c r="AS450" s="234" t="s">
        <v>306</v>
      </c>
      <c r="AT450" s="209" t="s">
        <v>306</v>
      </c>
      <c r="AU450" s="209" t="s">
        <v>19</v>
      </c>
      <c r="AV450" s="234" t="s">
        <v>306</v>
      </c>
      <c r="AW450" s="209" t="s">
        <v>306</v>
      </c>
      <c r="AX450" s="209" t="s">
        <v>25</v>
      </c>
      <c r="AY450" s="234" t="s">
        <v>25</v>
      </c>
      <c r="AZ450" s="209" t="s">
        <v>19</v>
      </c>
      <c r="BA450" s="209" t="s">
        <v>25</v>
      </c>
      <c r="BB450" s="234" t="s">
        <v>25</v>
      </c>
      <c r="BC450" s="235" t="s">
        <v>25</v>
      </c>
      <c r="BD450" s="209"/>
    </row>
    <row r="451" spans="1:56" ht="12.75" customHeight="1" x14ac:dyDescent="0.25">
      <c r="A451" s="238">
        <v>45259.638286851856</v>
      </c>
      <c r="B451" s="233" t="s">
        <v>427</v>
      </c>
      <c r="C451" s="209" t="s">
        <v>587</v>
      </c>
      <c r="D451" s="232" t="s">
        <v>17</v>
      </c>
      <c r="E451" s="232" t="s">
        <v>515</v>
      </c>
      <c r="F451" s="209" t="s">
        <v>1033</v>
      </c>
      <c r="G451" s="232" t="s">
        <v>24</v>
      </c>
      <c r="H451" s="232">
        <v>11</v>
      </c>
      <c r="I451" s="209" t="s">
        <v>531</v>
      </c>
      <c r="J451" s="188"/>
      <c r="K451" s="209" t="s">
        <v>539</v>
      </c>
      <c r="L451" s="209" t="s">
        <v>531</v>
      </c>
      <c r="M451" s="188"/>
      <c r="N451" s="188"/>
      <c r="O451" s="188"/>
      <c r="P451" s="188"/>
      <c r="Q451" s="209" t="s">
        <v>19</v>
      </c>
      <c r="R451" s="209" t="s">
        <v>19</v>
      </c>
      <c r="S451" s="234" t="s">
        <v>19</v>
      </c>
      <c r="T451" s="209" t="s">
        <v>19</v>
      </c>
      <c r="U451" s="209" t="s">
        <v>19</v>
      </c>
      <c r="V451" s="234" t="s">
        <v>19</v>
      </c>
      <c r="W451" s="209" t="s">
        <v>19</v>
      </c>
      <c r="X451" s="209" t="s">
        <v>19</v>
      </c>
      <c r="Y451" s="234" t="s">
        <v>19</v>
      </c>
      <c r="Z451" s="209" t="s">
        <v>19</v>
      </c>
      <c r="AA451" s="209" t="s">
        <v>19</v>
      </c>
      <c r="AB451" s="234" t="s">
        <v>19</v>
      </c>
      <c r="AC451" s="235" t="s">
        <v>19</v>
      </c>
      <c r="AD451" s="209" t="s">
        <v>19</v>
      </c>
      <c r="AE451" s="209" t="s">
        <v>19</v>
      </c>
      <c r="AF451" s="234" t="s">
        <v>19</v>
      </c>
      <c r="AG451" s="209" t="s">
        <v>19</v>
      </c>
      <c r="AH451" s="209" t="s">
        <v>19</v>
      </c>
      <c r="AI451" s="234" t="s">
        <v>19</v>
      </c>
      <c r="AJ451" s="209" t="s">
        <v>19</v>
      </c>
      <c r="AK451" s="209" t="s">
        <v>19</v>
      </c>
      <c r="AL451" s="234" t="s">
        <v>19</v>
      </c>
      <c r="AM451" s="209" t="s">
        <v>19</v>
      </c>
      <c r="AN451" s="209" t="s">
        <v>19</v>
      </c>
      <c r="AO451" s="234" t="s">
        <v>19</v>
      </c>
      <c r="AP451" s="235" t="s">
        <v>19</v>
      </c>
      <c r="AQ451" s="209" t="s">
        <v>19</v>
      </c>
      <c r="AR451" s="209" t="s">
        <v>19</v>
      </c>
      <c r="AS451" s="234" t="s">
        <v>19</v>
      </c>
      <c r="AT451" s="209" t="s">
        <v>19</v>
      </c>
      <c r="AU451" s="209" t="s">
        <v>19</v>
      </c>
      <c r="AV451" s="234" t="s">
        <v>19</v>
      </c>
      <c r="AW451" s="209" t="s">
        <v>19</v>
      </c>
      <c r="AX451" s="209" t="s">
        <v>19</v>
      </c>
      <c r="AY451" s="234" t="s">
        <v>19</v>
      </c>
      <c r="AZ451" s="209" t="s">
        <v>19</v>
      </c>
      <c r="BA451" s="209" t="s">
        <v>19</v>
      </c>
      <c r="BB451" s="234" t="s">
        <v>306</v>
      </c>
      <c r="BC451" s="235" t="s">
        <v>306</v>
      </c>
      <c r="BD451" s="209"/>
    </row>
    <row r="452" spans="1:56" ht="12.75" customHeight="1" x14ac:dyDescent="0.25">
      <c r="A452" s="238">
        <v>45259.641093692131</v>
      </c>
      <c r="B452" s="233" t="s">
        <v>427</v>
      </c>
      <c r="C452" s="209" t="s">
        <v>587</v>
      </c>
      <c r="D452" s="232" t="s">
        <v>17</v>
      </c>
      <c r="E452" s="232" t="s">
        <v>515</v>
      </c>
      <c r="F452" s="209" t="s">
        <v>1034</v>
      </c>
      <c r="G452" s="232" t="s">
        <v>18</v>
      </c>
      <c r="H452" s="232">
        <v>10</v>
      </c>
      <c r="I452" s="209" t="s">
        <v>531</v>
      </c>
      <c r="J452" s="188"/>
      <c r="K452" s="209" t="s">
        <v>539</v>
      </c>
      <c r="L452" s="209" t="s">
        <v>531</v>
      </c>
      <c r="M452" s="188"/>
      <c r="N452" s="188"/>
      <c r="O452" s="188"/>
      <c r="P452" s="188"/>
      <c r="Q452" s="209" t="s">
        <v>19</v>
      </c>
      <c r="R452" s="209" t="s">
        <v>19</v>
      </c>
      <c r="S452" s="234" t="s">
        <v>19</v>
      </c>
      <c r="T452" s="209" t="s">
        <v>19</v>
      </c>
      <c r="U452" s="209" t="s">
        <v>19</v>
      </c>
      <c r="V452" s="234" t="s">
        <v>19</v>
      </c>
      <c r="W452" s="209" t="s">
        <v>19</v>
      </c>
      <c r="X452" s="209" t="s">
        <v>19</v>
      </c>
      <c r="Y452" s="234" t="s">
        <v>19</v>
      </c>
      <c r="Z452" s="209" t="s">
        <v>19</v>
      </c>
      <c r="AA452" s="209" t="s">
        <v>19</v>
      </c>
      <c r="AB452" s="234" t="s">
        <v>19</v>
      </c>
      <c r="AC452" s="235" t="s">
        <v>19</v>
      </c>
      <c r="AD452" s="209" t="s">
        <v>19</v>
      </c>
      <c r="AE452" s="209" t="s">
        <v>19</v>
      </c>
      <c r="AF452" s="234" t="s">
        <v>19</v>
      </c>
      <c r="AG452" s="209" t="s">
        <v>19</v>
      </c>
      <c r="AH452" s="209" t="s">
        <v>19</v>
      </c>
      <c r="AI452" s="234" t="s">
        <v>19</v>
      </c>
      <c r="AJ452" s="209" t="s">
        <v>19</v>
      </c>
      <c r="AK452" s="209" t="s">
        <v>19</v>
      </c>
      <c r="AL452" s="234" t="s">
        <v>19</v>
      </c>
      <c r="AM452" s="209" t="s">
        <v>19</v>
      </c>
      <c r="AN452" s="209" t="s">
        <v>19</v>
      </c>
      <c r="AO452" s="234" t="s">
        <v>19</v>
      </c>
      <c r="AP452" s="235" t="s">
        <v>19</v>
      </c>
      <c r="AQ452" s="209" t="s">
        <v>19</v>
      </c>
      <c r="AR452" s="209" t="s">
        <v>19</v>
      </c>
      <c r="AS452" s="234" t="s">
        <v>19</v>
      </c>
      <c r="AT452" s="209" t="s">
        <v>19</v>
      </c>
      <c r="AU452" s="209" t="s">
        <v>19</v>
      </c>
      <c r="AV452" s="234" t="s">
        <v>19</v>
      </c>
      <c r="AW452" s="209" t="s">
        <v>19</v>
      </c>
      <c r="AX452" s="209" t="s">
        <v>19</v>
      </c>
      <c r="AY452" s="234" t="s">
        <v>19</v>
      </c>
      <c r="AZ452" s="209" t="s">
        <v>19</v>
      </c>
      <c r="BA452" s="209" t="s">
        <v>19</v>
      </c>
      <c r="BB452" s="234" t="s">
        <v>306</v>
      </c>
      <c r="BC452" s="235" t="s">
        <v>306</v>
      </c>
      <c r="BD452" s="209"/>
    </row>
    <row r="453" spans="1:56" ht="12.75" customHeight="1" x14ac:dyDescent="0.25">
      <c r="A453" s="238">
        <v>45259.643609155093</v>
      </c>
      <c r="B453" s="233" t="s">
        <v>427</v>
      </c>
      <c r="C453" s="209" t="s">
        <v>587</v>
      </c>
      <c r="D453" s="232" t="s">
        <v>17</v>
      </c>
      <c r="E453" s="232" t="s">
        <v>515</v>
      </c>
      <c r="F453" s="209" t="s">
        <v>1035</v>
      </c>
      <c r="G453" s="232" t="s">
        <v>18</v>
      </c>
      <c r="H453" s="232">
        <v>10</v>
      </c>
      <c r="I453" s="209" t="s">
        <v>531</v>
      </c>
      <c r="J453" s="188"/>
      <c r="K453" s="209" t="s">
        <v>539</v>
      </c>
      <c r="L453" s="209" t="s">
        <v>531</v>
      </c>
      <c r="M453" s="188"/>
      <c r="N453" s="188"/>
      <c r="O453" s="188"/>
      <c r="P453" s="188"/>
      <c r="Q453" s="209" t="s">
        <v>19</v>
      </c>
      <c r="R453" s="209" t="s">
        <v>19</v>
      </c>
      <c r="S453" s="234" t="s">
        <v>19</v>
      </c>
      <c r="T453" s="209" t="s">
        <v>19</v>
      </c>
      <c r="U453" s="209" t="s">
        <v>19</v>
      </c>
      <c r="V453" s="234" t="s">
        <v>19</v>
      </c>
      <c r="W453" s="209" t="s">
        <v>19</v>
      </c>
      <c r="X453" s="209" t="s">
        <v>19</v>
      </c>
      <c r="Y453" s="234" t="s">
        <v>19</v>
      </c>
      <c r="Z453" s="209" t="s">
        <v>19</v>
      </c>
      <c r="AA453" s="209" t="s">
        <v>19</v>
      </c>
      <c r="AB453" s="234" t="s">
        <v>19</v>
      </c>
      <c r="AC453" s="235" t="s">
        <v>19</v>
      </c>
      <c r="AD453" s="209" t="s">
        <v>19</v>
      </c>
      <c r="AE453" s="209" t="s">
        <v>19</v>
      </c>
      <c r="AF453" s="234" t="s">
        <v>19</v>
      </c>
      <c r="AG453" s="209" t="s">
        <v>19</v>
      </c>
      <c r="AH453" s="209" t="s">
        <v>19</v>
      </c>
      <c r="AI453" s="234" t="s">
        <v>19</v>
      </c>
      <c r="AJ453" s="209" t="s">
        <v>19</v>
      </c>
      <c r="AK453" s="209" t="s">
        <v>19</v>
      </c>
      <c r="AL453" s="234" t="s">
        <v>19</v>
      </c>
      <c r="AM453" s="209" t="s">
        <v>19</v>
      </c>
      <c r="AN453" s="209" t="s">
        <v>19</v>
      </c>
      <c r="AO453" s="234" t="s">
        <v>19</v>
      </c>
      <c r="AP453" s="235" t="s">
        <v>19</v>
      </c>
      <c r="AQ453" s="209" t="s">
        <v>19</v>
      </c>
      <c r="AR453" s="209" t="s">
        <v>19</v>
      </c>
      <c r="AS453" s="234" t="s">
        <v>19</v>
      </c>
      <c r="AT453" s="209" t="s">
        <v>19</v>
      </c>
      <c r="AU453" s="209" t="s">
        <v>19</v>
      </c>
      <c r="AV453" s="234" t="s">
        <v>19</v>
      </c>
      <c r="AW453" s="209" t="s">
        <v>19</v>
      </c>
      <c r="AX453" s="209" t="s">
        <v>19</v>
      </c>
      <c r="AY453" s="234" t="s">
        <v>19</v>
      </c>
      <c r="AZ453" s="209" t="s">
        <v>19</v>
      </c>
      <c r="BA453" s="209" t="s">
        <v>19</v>
      </c>
      <c r="BB453" s="234" t="s">
        <v>306</v>
      </c>
      <c r="BC453" s="235" t="s">
        <v>306</v>
      </c>
      <c r="BD453" s="209"/>
    </row>
    <row r="454" spans="1:56" ht="12.75" customHeight="1" x14ac:dyDescent="0.25">
      <c r="A454" s="238">
        <v>45259.646211006941</v>
      </c>
      <c r="B454" s="233" t="s">
        <v>427</v>
      </c>
      <c r="C454" s="209" t="s">
        <v>587</v>
      </c>
      <c r="D454" s="232" t="s">
        <v>17</v>
      </c>
      <c r="E454" s="232" t="s">
        <v>515</v>
      </c>
      <c r="F454" s="209" t="s">
        <v>1036</v>
      </c>
      <c r="G454" s="232" t="s">
        <v>18</v>
      </c>
      <c r="H454" s="232">
        <v>10</v>
      </c>
      <c r="I454" s="209" t="s">
        <v>531</v>
      </c>
      <c r="J454" s="188"/>
      <c r="K454" s="209" t="s">
        <v>539</v>
      </c>
      <c r="L454" s="209" t="s">
        <v>531</v>
      </c>
      <c r="M454" s="188"/>
      <c r="N454" s="188"/>
      <c r="O454" s="188"/>
      <c r="P454" s="188"/>
      <c r="Q454" s="209" t="s">
        <v>19</v>
      </c>
      <c r="R454" s="209" t="s">
        <v>19</v>
      </c>
      <c r="S454" s="234" t="s">
        <v>19</v>
      </c>
      <c r="T454" s="209" t="s">
        <v>19</v>
      </c>
      <c r="U454" s="209" t="s">
        <v>19</v>
      </c>
      <c r="V454" s="234" t="s">
        <v>19</v>
      </c>
      <c r="W454" s="209" t="s">
        <v>19</v>
      </c>
      <c r="X454" s="209" t="s">
        <v>19</v>
      </c>
      <c r="Y454" s="234" t="s">
        <v>19</v>
      </c>
      <c r="Z454" s="209" t="s">
        <v>19</v>
      </c>
      <c r="AA454" s="209" t="s">
        <v>19</v>
      </c>
      <c r="AB454" s="234" t="s">
        <v>19</v>
      </c>
      <c r="AC454" s="235" t="s">
        <v>19</v>
      </c>
      <c r="AD454" s="209" t="s">
        <v>19</v>
      </c>
      <c r="AE454" s="209" t="s">
        <v>19</v>
      </c>
      <c r="AF454" s="234" t="s">
        <v>19</v>
      </c>
      <c r="AG454" s="209" t="s">
        <v>19</v>
      </c>
      <c r="AH454" s="209" t="s">
        <v>19</v>
      </c>
      <c r="AI454" s="234" t="s">
        <v>19</v>
      </c>
      <c r="AJ454" s="209" t="s">
        <v>19</v>
      </c>
      <c r="AK454" s="209" t="s">
        <v>19</v>
      </c>
      <c r="AL454" s="234" t="s">
        <v>19</v>
      </c>
      <c r="AM454" s="209" t="s">
        <v>19</v>
      </c>
      <c r="AN454" s="209" t="s">
        <v>19</v>
      </c>
      <c r="AO454" s="234" t="s">
        <v>19</v>
      </c>
      <c r="AP454" s="235" t="s">
        <v>19</v>
      </c>
      <c r="AQ454" s="209" t="s">
        <v>19</v>
      </c>
      <c r="AR454" s="209" t="s">
        <v>19</v>
      </c>
      <c r="AS454" s="234" t="s">
        <v>19</v>
      </c>
      <c r="AT454" s="209" t="s">
        <v>19</v>
      </c>
      <c r="AU454" s="209" t="s">
        <v>19</v>
      </c>
      <c r="AV454" s="234" t="s">
        <v>19</v>
      </c>
      <c r="AW454" s="209" t="s">
        <v>19</v>
      </c>
      <c r="AX454" s="209" t="s">
        <v>19</v>
      </c>
      <c r="AY454" s="234" t="s">
        <v>19</v>
      </c>
      <c r="AZ454" s="209" t="s">
        <v>19</v>
      </c>
      <c r="BA454" s="209" t="s">
        <v>19</v>
      </c>
      <c r="BB454" s="234" t="s">
        <v>25</v>
      </c>
      <c r="BC454" s="235" t="s">
        <v>25</v>
      </c>
      <c r="BD454" s="209"/>
    </row>
    <row r="455" spans="1:56" ht="12.75" customHeight="1" x14ac:dyDescent="0.25">
      <c r="A455" s="238">
        <v>44790.406859965282</v>
      </c>
      <c r="B455" s="137" t="s">
        <v>427</v>
      </c>
      <c r="C455" s="211" t="s">
        <v>595</v>
      </c>
      <c r="D455" s="211" t="s">
        <v>17</v>
      </c>
      <c r="E455" s="232" t="s">
        <v>515</v>
      </c>
      <c r="F455" s="188" t="s">
        <v>1037</v>
      </c>
      <c r="G455" s="211" t="s">
        <v>18</v>
      </c>
      <c r="H455" s="211">
        <v>12</v>
      </c>
      <c r="I455" s="188" t="s">
        <v>531</v>
      </c>
      <c r="J455" s="188" t="s">
        <v>532</v>
      </c>
      <c r="K455" s="209" t="s">
        <v>539</v>
      </c>
      <c r="L455" s="188" t="s">
        <v>518</v>
      </c>
      <c r="M455" s="188" t="s">
        <v>375</v>
      </c>
      <c r="N455" s="188"/>
      <c r="O455" s="188"/>
      <c r="P455" s="188"/>
      <c r="Q455" s="188" t="s">
        <v>25</v>
      </c>
      <c r="R455" s="188" t="s">
        <v>25</v>
      </c>
      <c r="S455" s="234" t="s">
        <v>25</v>
      </c>
      <c r="T455" s="188" t="s">
        <v>19</v>
      </c>
      <c r="U455" s="188" t="s">
        <v>25</v>
      </c>
      <c r="V455" s="234" t="s">
        <v>306</v>
      </c>
      <c r="W455" s="188" t="s">
        <v>25</v>
      </c>
      <c r="X455" s="188" t="s">
        <v>25</v>
      </c>
      <c r="Y455" s="234" t="s">
        <v>25</v>
      </c>
      <c r="Z455" s="188" t="s">
        <v>306</v>
      </c>
      <c r="AA455" s="188" t="s">
        <v>25</v>
      </c>
      <c r="AB455" s="234" t="s">
        <v>25</v>
      </c>
      <c r="AC455" s="235" t="s">
        <v>25</v>
      </c>
      <c r="AD455" s="188" t="s">
        <v>306</v>
      </c>
      <c r="AE455" s="188" t="s">
        <v>25</v>
      </c>
      <c r="AF455" s="234" t="s">
        <v>25</v>
      </c>
      <c r="AG455" s="188" t="s">
        <v>25</v>
      </c>
      <c r="AH455" s="188" t="s">
        <v>306</v>
      </c>
      <c r="AI455" s="234" t="s">
        <v>25</v>
      </c>
      <c r="AJ455" s="188" t="s">
        <v>25</v>
      </c>
      <c r="AK455" s="188" t="s">
        <v>25</v>
      </c>
      <c r="AL455" s="234" t="s">
        <v>25</v>
      </c>
      <c r="AM455" s="188" t="s">
        <v>19</v>
      </c>
      <c r="AN455" s="188" t="s">
        <v>19</v>
      </c>
      <c r="AO455" s="234" t="s">
        <v>19</v>
      </c>
      <c r="AP455" s="235" t="s">
        <v>306</v>
      </c>
      <c r="AQ455" s="188" t="s">
        <v>19</v>
      </c>
      <c r="AR455" s="188" t="s">
        <v>306</v>
      </c>
      <c r="AS455" s="234" t="s">
        <v>306</v>
      </c>
      <c r="AT455" s="188" t="s">
        <v>25</v>
      </c>
      <c r="AU455" s="188" t="s">
        <v>306</v>
      </c>
      <c r="AV455" s="234" t="s">
        <v>25</v>
      </c>
      <c r="AW455" s="188" t="s">
        <v>306</v>
      </c>
      <c r="AX455" s="188" t="s">
        <v>25</v>
      </c>
      <c r="AY455" s="234" t="s">
        <v>25</v>
      </c>
      <c r="AZ455" s="188" t="s">
        <v>25</v>
      </c>
      <c r="BA455" s="188" t="s">
        <v>306</v>
      </c>
      <c r="BB455" s="234" t="s">
        <v>306</v>
      </c>
      <c r="BC455" s="235" t="s">
        <v>306</v>
      </c>
      <c r="BD455" s="209"/>
    </row>
    <row r="456" spans="1:56" ht="12.75" customHeight="1" x14ac:dyDescent="0.25">
      <c r="A456" s="238">
        <v>44790.417231828702</v>
      </c>
      <c r="B456" s="137" t="s">
        <v>427</v>
      </c>
      <c r="C456" s="211" t="s">
        <v>595</v>
      </c>
      <c r="D456" s="211" t="s">
        <v>17</v>
      </c>
      <c r="E456" s="232" t="s">
        <v>515</v>
      </c>
      <c r="F456" s="188" t="s">
        <v>1038</v>
      </c>
      <c r="G456" s="211" t="s">
        <v>24</v>
      </c>
      <c r="H456" s="211">
        <v>12</v>
      </c>
      <c r="I456" s="188" t="s">
        <v>531</v>
      </c>
      <c r="J456" s="188" t="s">
        <v>532</v>
      </c>
      <c r="K456" s="209" t="s">
        <v>539</v>
      </c>
      <c r="L456" s="188" t="s">
        <v>518</v>
      </c>
      <c r="M456" s="188" t="s">
        <v>375</v>
      </c>
      <c r="N456" s="188"/>
      <c r="O456" s="188"/>
      <c r="P456" s="188"/>
      <c r="Q456" s="188" t="s">
        <v>25</v>
      </c>
      <c r="R456" s="188" t="s">
        <v>306</v>
      </c>
      <c r="S456" s="234" t="s">
        <v>25</v>
      </c>
      <c r="T456" s="188" t="s">
        <v>19</v>
      </c>
      <c r="U456" s="188" t="s">
        <v>25</v>
      </c>
      <c r="V456" s="234" t="s">
        <v>306</v>
      </c>
      <c r="W456" s="188" t="s">
        <v>25</v>
      </c>
      <c r="X456" s="188" t="s">
        <v>19</v>
      </c>
      <c r="Y456" s="234" t="s">
        <v>306</v>
      </c>
      <c r="Z456" s="188" t="s">
        <v>25</v>
      </c>
      <c r="AA456" s="188" t="s">
        <v>19</v>
      </c>
      <c r="AB456" s="234" t="s">
        <v>306</v>
      </c>
      <c r="AC456" s="235" t="s">
        <v>306</v>
      </c>
      <c r="AD456" s="188" t="s">
        <v>306</v>
      </c>
      <c r="AE456" s="188" t="s">
        <v>25</v>
      </c>
      <c r="AF456" s="234" t="s">
        <v>25</v>
      </c>
      <c r="AG456" s="188" t="s">
        <v>25</v>
      </c>
      <c r="AH456" s="188" t="s">
        <v>306</v>
      </c>
      <c r="AI456" s="234" t="s">
        <v>25</v>
      </c>
      <c r="AJ456" s="188" t="s">
        <v>19</v>
      </c>
      <c r="AK456" s="188" t="s">
        <v>25</v>
      </c>
      <c r="AL456" s="234" t="s">
        <v>306</v>
      </c>
      <c r="AM456" s="188" t="s">
        <v>19</v>
      </c>
      <c r="AN456" s="188" t="s">
        <v>19</v>
      </c>
      <c r="AO456" s="234" t="s">
        <v>19</v>
      </c>
      <c r="AP456" s="235" t="s">
        <v>306</v>
      </c>
      <c r="AQ456" s="188" t="s">
        <v>25</v>
      </c>
      <c r="AR456" s="188" t="s">
        <v>306</v>
      </c>
      <c r="AS456" s="234" t="s">
        <v>25</v>
      </c>
      <c r="AT456" s="188" t="s">
        <v>25</v>
      </c>
      <c r="AU456" s="188" t="s">
        <v>25</v>
      </c>
      <c r="AV456" s="234" t="s">
        <v>25</v>
      </c>
      <c r="AW456" s="188" t="s">
        <v>306</v>
      </c>
      <c r="AX456" s="188" t="s">
        <v>25</v>
      </c>
      <c r="AY456" s="234" t="s">
        <v>25</v>
      </c>
      <c r="AZ456" s="188" t="s">
        <v>25</v>
      </c>
      <c r="BA456" s="188" t="s">
        <v>19</v>
      </c>
      <c r="BB456" s="234" t="s">
        <v>25</v>
      </c>
      <c r="BC456" s="235" t="s">
        <v>25</v>
      </c>
      <c r="BD456" s="209"/>
    </row>
    <row r="457" spans="1:56" ht="12.75" customHeight="1" x14ac:dyDescent="0.25">
      <c r="A457" s="238">
        <v>44790.422458946763</v>
      </c>
      <c r="B457" s="137" t="s">
        <v>427</v>
      </c>
      <c r="C457" s="211" t="s">
        <v>595</v>
      </c>
      <c r="D457" s="211" t="s">
        <v>17</v>
      </c>
      <c r="E457" s="232" t="s">
        <v>515</v>
      </c>
      <c r="F457" s="188" t="s">
        <v>1039</v>
      </c>
      <c r="G457" s="211" t="s">
        <v>24</v>
      </c>
      <c r="H457" s="211">
        <v>12</v>
      </c>
      <c r="I457" s="188" t="s">
        <v>531</v>
      </c>
      <c r="J457" s="188" t="s">
        <v>532</v>
      </c>
      <c r="K457" s="209" t="s">
        <v>539</v>
      </c>
      <c r="L457" s="188" t="s">
        <v>518</v>
      </c>
      <c r="M457" s="188" t="s">
        <v>368</v>
      </c>
      <c r="N457" s="188"/>
      <c r="O457" s="188"/>
      <c r="P457" s="188"/>
      <c r="Q457" s="188" t="s">
        <v>19</v>
      </c>
      <c r="R457" s="188" t="s">
        <v>19</v>
      </c>
      <c r="S457" s="234" t="s">
        <v>19</v>
      </c>
      <c r="T457" s="188" t="s">
        <v>19</v>
      </c>
      <c r="U457" s="188" t="s">
        <v>306</v>
      </c>
      <c r="V457" s="234" t="s">
        <v>306</v>
      </c>
      <c r="W457" s="188" t="s">
        <v>25</v>
      </c>
      <c r="X457" s="188" t="s">
        <v>25</v>
      </c>
      <c r="Y457" s="234" t="s">
        <v>25</v>
      </c>
      <c r="Z457" s="188" t="s">
        <v>19</v>
      </c>
      <c r="AA457" s="188" t="s">
        <v>19</v>
      </c>
      <c r="AB457" s="234" t="s">
        <v>19</v>
      </c>
      <c r="AC457" s="235" t="s">
        <v>306</v>
      </c>
      <c r="AD457" s="188" t="s">
        <v>25</v>
      </c>
      <c r="AE457" s="188" t="s">
        <v>25</v>
      </c>
      <c r="AF457" s="234" t="s">
        <v>25</v>
      </c>
      <c r="AG457" s="188" t="s">
        <v>25</v>
      </c>
      <c r="AH457" s="188" t="s">
        <v>306</v>
      </c>
      <c r="AI457" s="234" t="s">
        <v>25</v>
      </c>
      <c r="AJ457" s="188" t="s">
        <v>25</v>
      </c>
      <c r="AK457" s="188" t="s">
        <v>19</v>
      </c>
      <c r="AL457" s="234" t="s">
        <v>306</v>
      </c>
      <c r="AM457" s="188" t="s">
        <v>19</v>
      </c>
      <c r="AN457" s="188" t="s">
        <v>19</v>
      </c>
      <c r="AO457" s="234" t="s">
        <v>19</v>
      </c>
      <c r="AP457" s="235" t="s">
        <v>306</v>
      </c>
      <c r="AQ457" s="188" t="s">
        <v>19</v>
      </c>
      <c r="AR457" s="188" t="s">
        <v>25</v>
      </c>
      <c r="AS457" s="234" t="s">
        <v>306</v>
      </c>
      <c r="AT457" s="188" t="s">
        <v>25</v>
      </c>
      <c r="AU457" s="188" t="s">
        <v>25</v>
      </c>
      <c r="AV457" s="234" t="s">
        <v>25</v>
      </c>
      <c r="AW457" s="188" t="s">
        <v>19</v>
      </c>
      <c r="AX457" s="188" t="s">
        <v>25</v>
      </c>
      <c r="AY457" s="234" t="s">
        <v>306</v>
      </c>
      <c r="AZ457" s="188" t="s">
        <v>25</v>
      </c>
      <c r="BA457" s="188" t="s">
        <v>25</v>
      </c>
      <c r="BB457" s="234" t="s">
        <v>25</v>
      </c>
      <c r="BC457" s="235" t="s">
        <v>25</v>
      </c>
      <c r="BD457" s="209"/>
    </row>
    <row r="458" spans="1:56" ht="12.75" customHeight="1" x14ac:dyDescent="0.25">
      <c r="A458" s="238">
        <v>44790.425843472221</v>
      </c>
      <c r="B458" s="137" t="s">
        <v>427</v>
      </c>
      <c r="C458" s="211" t="s">
        <v>595</v>
      </c>
      <c r="D458" s="211" t="s">
        <v>17</v>
      </c>
      <c r="E458" s="232" t="s">
        <v>515</v>
      </c>
      <c r="F458" s="188" t="s">
        <v>1040</v>
      </c>
      <c r="G458" s="211" t="s">
        <v>24</v>
      </c>
      <c r="H458" s="211">
        <v>11</v>
      </c>
      <c r="I458" s="188" t="s">
        <v>531</v>
      </c>
      <c r="J458" s="188" t="s">
        <v>532</v>
      </c>
      <c r="K458" s="209" t="s">
        <v>539</v>
      </c>
      <c r="L458" s="188" t="s">
        <v>518</v>
      </c>
      <c r="M458" s="188" t="s">
        <v>368</v>
      </c>
      <c r="N458" s="188"/>
      <c r="O458" s="188"/>
      <c r="P458" s="188"/>
      <c r="Q458" s="188" t="s">
        <v>25</v>
      </c>
      <c r="R458" s="188" t="s">
        <v>25</v>
      </c>
      <c r="S458" s="234" t="s">
        <v>25</v>
      </c>
      <c r="T458" s="188" t="s">
        <v>19</v>
      </c>
      <c r="U458" s="188" t="s">
        <v>25</v>
      </c>
      <c r="V458" s="234" t="s">
        <v>306</v>
      </c>
      <c r="W458" s="188" t="s">
        <v>306</v>
      </c>
      <c r="X458" s="188" t="s">
        <v>19</v>
      </c>
      <c r="Y458" s="234" t="s">
        <v>306</v>
      </c>
      <c r="Z458" s="188" t="s">
        <v>19</v>
      </c>
      <c r="AA458" s="188" t="s">
        <v>19</v>
      </c>
      <c r="AB458" s="234" t="s">
        <v>19</v>
      </c>
      <c r="AC458" s="235" t="s">
        <v>306</v>
      </c>
      <c r="AD458" s="188" t="s">
        <v>306</v>
      </c>
      <c r="AE458" s="188" t="s">
        <v>306</v>
      </c>
      <c r="AF458" s="234" t="s">
        <v>306</v>
      </c>
      <c r="AG458" s="188" t="s">
        <v>25</v>
      </c>
      <c r="AH458" s="188" t="s">
        <v>306</v>
      </c>
      <c r="AI458" s="234" t="s">
        <v>25</v>
      </c>
      <c r="AJ458" s="188" t="s">
        <v>306</v>
      </c>
      <c r="AK458" s="188" t="s">
        <v>306</v>
      </c>
      <c r="AL458" s="234" t="s">
        <v>306</v>
      </c>
      <c r="AM458" s="188" t="s">
        <v>19</v>
      </c>
      <c r="AN458" s="188" t="s">
        <v>19</v>
      </c>
      <c r="AO458" s="234" t="s">
        <v>19</v>
      </c>
      <c r="AP458" s="235" t="s">
        <v>306</v>
      </c>
      <c r="AQ458" s="188" t="s">
        <v>25</v>
      </c>
      <c r="AR458" s="188" t="s">
        <v>25</v>
      </c>
      <c r="AS458" s="234" t="s">
        <v>25</v>
      </c>
      <c r="AT458" s="188" t="s">
        <v>19</v>
      </c>
      <c r="AU458" s="188" t="s">
        <v>306</v>
      </c>
      <c r="AV458" s="234" t="s">
        <v>306</v>
      </c>
      <c r="AW458" s="188" t="s">
        <v>306</v>
      </c>
      <c r="AX458" s="188" t="s">
        <v>25</v>
      </c>
      <c r="AY458" s="234" t="s">
        <v>25</v>
      </c>
      <c r="AZ458" s="188" t="s">
        <v>25</v>
      </c>
      <c r="BA458" s="188" t="s">
        <v>25</v>
      </c>
      <c r="BB458" s="234" t="s">
        <v>25</v>
      </c>
      <c r="BC458" s="235" t="s">
        <v>25</v>
      </c>
      <c r="BD458" s="209"/>
    </row>
    <row r="459" spans="1:56" ht="12.75" customHeight="1" x14ac:dyDescent="0.25">
      <c r="A459" s="238">
        <v>44790.428301400461</v>
      </c>
      <c r="B459" s="137" t="s">
        <v>427</v>
      </c>
      <c r="C459" s="211" t="s">
        <v>595</v>
      </c>
      <c r="D459" s="211" t="s">
        <v>17</v>
      </c>
      <c r="E459" s="232" t="s">
        <v>515</v>
      </c>
      <c r="F459" s="188" t="s">
        <v>1041</v>
      </c>
      <c r="G459" s="211" t="s">
        <v>24</v>
      </c>
      <c r="H459" s="211">
        <v>11</v>
      </c>
      <c r="I459" s="188" t="s">
        <v>531</v>
      </c>
      <c r="J459" s="188" t="s">
        <v>532</v>
      </c>
      <c r="K459" s="209" t="s">
        <v>539</v>
      </c>
      <c r="L459" s="188" t="s">
        <v>518</v>
      </c>
      <c r="M459" s="188" t="s">
        <v>368</v>
      </c>
      <c r="N459" s="188"/>
      <c r="O459" s="188"/>
      <c r="P459" s="188"/>
      <c r="Q459" s="188" t="s">
        <v>25</v>
      </c>
      <c r="R459" s="188" t="s">
        <v>25</v>
      </c>
      <c r="S459" s="234" t="s">
        <v>25</v>
      </c>
      <c r="T459" s="188" t="s">
        <v>19</v>
      </c>
      <c r="U459" s="188" t="s">
        <v>25</v>
      </c>
      <c r="V459" s="234" t="s">
        <v>306</v>
      </c>
      <c r="W459" s="188" t="s">
        <v>306</v>
      </c>
      <c r="X459" s="188" t="s">
        <v>19</v>
      </c>
      <c r="Y459" s="234" t="s">
        <v>306</v>
      </c>
      <c r="Z459" s="188" t="s">
        <v>19</v>
      </c>
      <c r="AA459" s="188" t="s">
        <v>19</v>
      </c>
      <c r="AB459" s="234" t="s">
        <v>19</v>
      </c>
      <c r="AC459" s="235" t="s">
        <v>306</v>
      </c>
      <c r="AD459" s="188" t="s">
        <v>306</v>
      </c>
      <c r="AE459" s="188" t="s">
        <v>306</v>
      </c>
      <c r="AF459" s="234" t="s">
        <v>306</v>
      </c>
      <c r="AG459" s="188" t="s">
        <v>25</v>
      </c>
      <c r="AH459" s="188" t="s">
        <v>306</v>
      </c>
      <c r="AI459" s="234" t="s">
        <v>25</v>
      </c>
      <c r="AJ459" s="188" t="s">
        <v>306</v>
      </c>
      <c r="AK459" s="188" t="s">
        <v>306</v>
      </c>
      <c r="AL459" s="234" t="s">
        <v>306</v>
      </c>
      <c r="AM459" s="188" t="s">
        <v>19</v>
      </c>
      <c r="AN459" s="188" t="s">
        <v>19</v>
      </c>
      <c r="AO459" s="234" t="s">
        <v>19</v>
      </c>
      <c r="AP459" s="235" t="s">
        <v>306</v>
      </c>
      <c r="AQ459" s="188" t="s">
        <v>25</v>
      </c>
      <c r="AR459" s="188" t="s">
        <v>25</v>
      </c>
      <c r="AS459" s="234" t="s">
        <v>25</v>
      </c>
      <c r="AT459" s="188" t="s">
        <v>19</v>
      </c>
      <c r="AU459" s="188" t="s">
        <v>306</v>
      </c>
      <c r="AV459" s="234" t="s">
        <v>306</v>
      </c>
      <c r="AW459" s="188" t="s">
        <v>306</v>
      </c>
      <c r="AX459" s="188" t="s">
        <v>25</v>
      </c>
      <c r="AY459" s="234" t="s">
        <v>25</v>
      </c>
      <c r="AZ459" s="188" t="s">
        <v>25</v>
      </c>
      <c r="BA459" s="188" t="s">
        <v>25</v>
      </c>
      <c r="BB459" s="234" t="s">
        <v>25</v>
      </c>
      <c r="BC459" s="235" t="s">
        <v>25</v>
      </c>
      <c r="BD459" s="209"/>
    </row>
    <row r="460" spans="1:56" ht="12.75" customHeight="1" x14ac:dyDescent="0.25">
      <c r="A460" s="238">
        <v>44790.431381261573</v>
      </c>
      <c r="B460" s="137" t="s">
        <v>427</v>
      </c>
      <c r="C460" s="211" t="s">
        <v>595</v>
      </c>
      <c r="D460" s="211" t="s">
        <v>17</v>
      </c>
      <c r="E460" s="232" t="s">
        <v>515</v>
      </c>
      <c r="F460" s="188" t="s">
        <v>1042</v>
      </c>
      <c r="G460" s="211" t="s">
        <v>18</v>
      </c>
      <c r="H460" s="211">
        <v>12</v>
      </c>
      <c r="I460" s="188" t="s">
        <v>531</v>
      </c>
      <c r="J460" s="188" t="s">
        <v>532</v>
      </c>
      <c r="K460" s="209" t="s">
        <v>539</v>
      </c>
      <c r="L460" s="188" t="s">
        <v>518</v>
      </c>
      <c r="M460" s="188" t="s">
        <v>368</v>
      </c>
      <c r="N460" s="188"/>
      <c r="O460" s="188"/>
      <c r="P460" s="188"/>
      <c r="Q460" s="188" t="s">
        <v>25</v>
      </c>
      <c r="R460" s="188" t="s">
        <v>25</v>
      </c>
      <c r="S460" s="234" t="s">
        <v>25</v>
      </c>
      <c r="T460" s="188" t="s">
        <v>19</v>
      </c>
      <c r="U460" s="188" t="s">
        <v>25</v>
      </c>
      <c r="V460" s="234" t="s">
        <v>306</v>
      </c>
      <c r="W460" s="188" t="s">
        <v>306</v>
      </c>
      <c r="X460" s="188" t="s">
        <v>19</v>
      </c>
      <c r="Y460" s="234" t="s">
        <v>306</v>
      </c>
      <c r="Z460" s="188" t="s">
        <v>19</v>
      </c>
      <c r="AA460" s="188" t="s">
        <v>19</v>
      </c>
      <c r="AB460" s="234" t="s">
        <v>19</v>
      </c>
      <c r="AC460" s="235" t="s">
        <v>306</v>
      </c>
      <c r="AD460" s="188" t="s">
        <v>306</v>
      </c>
      <c r="AE460" s="188" t="s">
        <v>306</v>
      </c>
      <c r="AF460" s="234" t="s">
        <v>306</v>
      </c>
      <c r="AG460" s="188" t="s">
        <v>25</v>
      </c>
      <c r="AH460" s="188" t="s">
        <v>306</v>
      </c>
      <c r="AI460" s="234" t="s">
        <v>25</v>
      </c>
      <c r="AJ460" s="188" t="s">
        <v>306</v>
      </c>
      <c r="AK460" s="188" t="s">
        <v>306</v>
      </c>
      <c r="AL460" s="234" t="s">
        <v>306</v>
      </c>
      <c r="AM460" s="188" t="s">
        <v>19</v>
      </c>
      <c r="AN460" s="188" t="s">
        <v>19</v>
      </c>
      <c r="AO460" s="234" t="s">
        <v>19</v>
      </c>
      <c r="AP460" s="235" t="s">
        <v>306</v>
      </c>
      <c r="AQ460" s="188" t="s">
        <v>25</v>
      </c>
      <c r="AR460" s="188" t="s">
        <v>25</v>
      </c>
      <c r="AS460" s="234" t="s">
        <v>25</v>
      </c>
      <c r="AT460" s="188" t="s">
        <v>19</v>
      </c>
      <c r="AU460" s="188" t="s">
        <v>306</v>
      </c>
      <c r="AV460" s="234" t="s">
        <v>306</v>
      </c>
      <c r="AW460" s="188" t="s">
        <v>306</v>
      </c>
      <c r="AX460" s="188" t="s">
        <v>25</v>
      </c>
      <c r="AY460" s="234" t="s">
        <v>25</v>
      </c>
      <c r="AZ460" s="188" t="s">
        <v>25</v>
      </c>
      <c r="BA460" s="188" t="s">
        <v>25</v>
      </c>
      <c r="BB460" s="234" t="s">
        <v>25</v>
      </c>
      <c r="BC460" s="235" t="s">
        <v>25</v>
      </c>
      <c r="BD460" s="209"/>
    </row>
    <row r="461" spans="1:56" ht="12.75" customHeight="1" x14ac:dyDescent="0.25">
      <c r="A461" s="238">
        <v>44790.449367638888</v>
      </c>
      <c r="B461" s="137" t="s">
        <v>427</v>
      </c>
      <c r="C461" s="211" t="s">
        <v>595</v>
      </c>
      <c r="D461" s="211" t="s">
        <v>17</v>
      </c>
      <c r="E461" s="232" t="s">
        <v>515</v>
      </c>
      <c r="F461" s="188" t="s">
        <v>1043</v>
      </c>
      <c r="G461" s="211" t="s">
        <v>18</v>
      </c>
      <c r="H461" s="211">
        <v>13</v>
      </c>
      <c r="I461" s="188" t="s">
        <v>531</v>
      </c>
      <c r="J461" s="188" t="s">
        <v>532</v>
      </c>
      <c r="K461" s="209" t="s">
        <v>539</v>
      </c>
      <c r="L461" s="188" t="s">
        <v>518</v>
      </c>
      <c r="M461" s="188" t="s">
        <v>368</v>
      </c>
      <c r="N461" s="188"/>
      <c r="O461" s="188"/>
      <c r="P461" s="188"/>
      <c r="Q461" s="188" t="s">
        <v>25</v>
      </c>
      <c r="R461" s="188" t="s">
        <v>306</v>
      </c>
      <c r="S461" s="234" t="s">
        <v>25</v>
      </c>
      <c r="T461" s="188" t="s">
        <v>19</v>
      </c>
      <c r="U461" s="188" t="s">
        <v>25</v>
      </c>
      <c r="V461" s="234" t="s">
        <v>306</v>
      </c>
      <c r="W461" s="188" t="s">
        <v>306</v>
      </c>
      <c r="X461" s="188" t="s">
        <v>19</v>
      </c>
      <c r="Y461" s="234" t="s">
        <v>306</v>
      </c>
      <c r="Z461" s="188" t="s">
        <v>19</v>
      </c>
      <c r="AA461" s="188" t="s">
        <v>19</v>
      </c>
      <c r="AB461" s="234" t="s">
        <v>19</v>
      </c>
      <c r="AC461" s="235" t="s">
        <v>306</v>
      </c>
      <c r="AD461" s="188" t="s">
        <v>306</v>
      </c>
      <c r="AE461" s="188" t="s">
        <v>306</v>
      </c>
      <c r="AF461" s="234" t="s">
        <v>306</v>
      </c>
      <c r="AG461" s="188" t="s">
        <v>25</v>
      </c>
      <c r="AH461" s="188" t="s">
        <v>306</v>
      </c>
      <c r="AI461" s="234" t="s">
        <v>25</v>
      </c>
      <c r="AJ461" s="188" t="s">
        <v>306</v>
      </c>
      <c r="AK461" s="188" t="s">
        <v>306</v>
      </c>
      <c r="AL461" s="234" t="s">
        <v>306</v>
      </c>
      <c r="AM461" s="188" t="s">
        <v>19</v>
      </c>
      <c r="AN461" s="188" t="s">
        <v>19</v>
      </c>
      <c r="AO461" s="234" t="s">
        <v>19</v>
      </c>
      <c r="AP461" s="235" t="s">
        <v>306</v>
      </c>
      <c r="AQ461" s="188" t="s">
        <v>25</v>
      </c>
      <c r="AR461" s="188" t="s">
        <v>25</v>
      </c>
      <c r="AS461" s="234" t="s">
        <v>25</v>
      </c>
      <c r="AT461" s="188" t="s">
        <v>19</v>
      </c>
      <c r="AU461" s="188" t="s">
        <v>306</v>
      </c>
      <c r="AV461" s="234" t="s">
        <v>306</v>
      </c>
      <c r="AW461" s="188" t="s">
        <v>306</v>
      </c>
      <c r="AX461" s="188" t="s">
        <v>25</v>
      </c>
      <c r="AY461" s="234" t="s">
        <v>25</v>
      </c>
      <c r="AZ461" s="188" t="s">
        <v>25</v>
      </c>
      <c r="BA461" s="188" t="s">
        <v>25</v>
      </c>
      <c r="BB461" s="234" t="s">
        <v>25</v>
      </c>
      <c r="BC461" s="235" t="s">
        <v>306</v>
      </c>
      <c r="BD461" s="209"/>
    </row>
    <row r="462" spans="1:56" ht="12.75" customHeight="1" x14ac:dyDescent="0.25">
      <c r="A462" s="238">
        <v>44790.453669212962</v>
      </c>
      <c r="B462" s="137" t="s">
        <v>427</v>
      </c>
      <c r="C462" s="211" t="s">
        <v>595</v>
      </c>
      <c r="D462" s="211" t="s">
        <v>17</v>
      </c>
      <c r="E462" s="232" t="s">
        <v>515</v>
      </c>
      <c r="F462" s="188" t="s">
        <v>1044</v>
      </c>
      <c r="G462" s="211" t="s">
        <v>24</v>
      </c>
      <c r="H462" s="211">
        <v>18</v>
      </c>
      <c r="I462" s="188" t="s">
        <v>531</v>
      </c>
      <c r="J462" s="188" t="s">
        <v>532</v>
      </c>
      <c r="K462" s="209" t="s">
        <v>539</v>
      </c>
      <c r="L462" s="188" t="s">
        <v>518</v>
      </c>
      <c r="M462" s="188" t="s">
        <v>368</v>
      </c>
      <c r="N462" s="188"/>
      <c r="O462" s="188"/>
      <c r="P462" s="188"/>
      <c r="Q462" s="188" t="s">
        <v>25</v>
      </c>
      <c r="R462" s="188" t="s">
        <v>25</v>
      </c>
      <c r="S462" s="234" t="s">
        <v>25</v>
      </c>
      <c r="T462" s="188" t="s">
        <v>19</v>
      </c>
      <c r="U462" s="188" t="s">
        <v>25</v>
      </c>
      <c r="V462" s="234" t="s">
        <v>306</v>
      </c>
      <c r="W462" s="188" t="s">
        <v>306</v>
      </c>
      <c r="X462" s="188" t="s">
        <v>19</v>
      </c>
      <c r="Y462" s="234" t="s">
        <v>306</v>
      </c>
      <c r="Z462" s="188" t="s">
        <v>19</v>
      </c>
      <c r="AA462" s="188" t="s">
        <v>19</v>
      </c>
      <c r="AB462" s="234" t="s">
        <v>19</v>
      </c>
      <c r="AC462" s="235" t="s">
        <v>306</v>
      </c>
      <c r="AD462" s="188" t="s">
        <v>306</v>
      </c>
      <c r="AE462" s="188" t="s">
        <v>306</v>
      </c>
      <c r="AF462" s="234" t="s">
        <v>306</v>
      </c>
      <c r="AG462" s="188" t="s">
        <v>25</v>
      </c>
      <c r="AH462" s="188" t="s">
        <v>306</v>
      </c>
      <c r="AI462" s="234" t="s">
        <v>25</v>
      </c>
      <c r="AJ462" s="188" t="s">
        <v>306</v>
      </c>
      <c r="AK462" s="188" t="s">
        <v>306</v>
      </c>
      <c r="AL462" s="234" t="s">
        <v>306</v>
      </c>
      <c r="AM462" s="188" t="s">
        <v>19</v>
      </c>
      <c r="AN462" s="188" t="s">
        <v>19</v>
      </c>
      <c r="AO462" s="234" t="s">
        <v>19</v>
      </c>
      <c r="AP462" s="235" t="s">
        <v>306</v>
      </c>
      <c r="AQ462" s="188" t="s">
        <v>25</v>
      </c>
      <c r="AR462" s="188" t="s">
        <v>25</v>
      </c>
      <c r="AS462" s="234" t="s">
        <v>25</v>
      </c>
      <c r="AT462" s="188" t="s">
        <v>19</v>
      </c>
      <c r="AU462" s="188" t="s">
        <v>306</v>
      </c>
      <c r="AV462" s="234" t="s">
        <v>306</v>
      </c>
      <c r="AW462" s="188" t="s">
        <v>306</v>
      </c>
      <c r="AX462" s="188" t="s">
        <v>25</v>
      </c>
      <c r="AY462" s="234" t="s">
        <v>25</v>
      </c>
      <c r="AZ462" s="188" t="s">
        <v>25</v>
      </c>
      <c r="BA462" s="188" t="s">
        <v>25</v>
      </c>
      <c r="BB462" s="234" t="s">
        <v>25</v>
      </c>
      <c r="BC462" s="235" t="s">
        <v>25</v>
      </c>
      <c r="BD462" s="209"/>
    </row>
    <row r="463" spans="1:56" ht="12.75" customHeight="1" x14ac:dyDescent="0.25">
      <c r="A463" s="238">
        <v>44790.464250520832</v>
      </c>
      <c r="B463" s="137" t="s">
        <v>427</v>
      </c>
      <c r="C463" s="211" t="s">
        <v>595</v>
      </c>
      <c r="D463" s="211" t="s">
        <v>17</v>
      </c>
      <c r="E463" s="232" t="s">
        <v>515</v>
      </c>
      <c r="F463" s="188" t="s">
        <v>1045</v>
      </c>
      <c r="G463" s="211" t="s">
        <v>18</v>
      </c>
      <c r="H463" s="211">
        <v>12</v>
      </c>
      <c r="I463" s="188" t="s">
        <v>531</v>
      </c>
      <c r="J463" s="188" t="s">
        <v>532</v>
      </c>
      <c r="K463" s="209" t="s">
        <v>539</v>
      </c>
      <c r="L463" s="188" t="s">
        <v>518</v>
      </c>
      <c r="M463" s="188" t="s">
        <v>412</v>
      </c>
      <c r="N463" s="188"/>
      <c r="O463" s="188"/>
      <c r="P463" s="188"/>
      <c r="Q463" s="188" t="s">
        <v>25</v>
      </c>
      <c r="R463" s="188" t="s">
        <v>306</v>
      </c>
      <c r="S463" s="234" t="s">
        <v>25</v>
      </c>
      <c r="T463" s="188" t="s">
        <v>19</v>
      </c>
      <c r="U463" s="188" t="s">
        <v>25</v>
      </c>
      <c r="V463" s="234" t="s">
        <v>306</v>
      </c>
      <c r="W463" s="188" t="s">
        <v>19</v>
      </c>
      <c r="X463" s="188" t="s">
        <v>306</v>
      </c>
      <c r="Y463" s="234" t="s">
        <v>306</v>
      </c>
      <c r="Z463" s="188" t="s">
        <v>25</v>
      </c>
      <c r="AA463" s="188" t="s">
        <v>19</v>
      </c>
      <c r="AB463" s="234" t="s">
        <v>306</v>
      </c>
      <c r="AC463" s="235" t="s">
        <v>306</v>
      </c>
      <c r="AD463" s="188" t="s">
        <v>25</v>
      </c>
      <c r="AE463" s="188" t="s">
        <v>25</v>
      </c>
      <c r="AF463" s="234" t="s">
        <v>25</v>
      </c>
      <c r="AG463" s="188" t="s">
        <v>19</v>
      </c>
      <c r="AH463" s="188" t="s">
        <v>19</v>
      </c>
      <c r="AI463" s="234" t="s">
        <v>19</v>
      </c>
      <c r="AJ463" s="188" t="s">
        <v>19</v>
      </c>
      <c r="AK463" s="188" t="s">
        <v>19</v>
      </c>
      <c r="AL463" s="234" t="s">
        <v>19</v>
      </c>
      <c r="AM463" s="188" t="s">
        <v>19</v>
      </c>
      <c r="AN463" s="188" t="s">
        <v>19</v>
      </c>
      <c r="AO463" s="234" t="s">
        <v>19</v>
      </c>
      <c r="AP463" s="235" t="s">
        <v>306</v>
      </c>
      <c r="AQ463" s="188" t="s">
        <v>306</v>
      </c>
      <c r="AR463" s="188" t="s">
        <v>19</v>
      </c>
      <c r="AS463" s="234" t="s">
        <v>306</v>
      </c>
      <c r="AT463" s="188" t="s">
        <v>306</v>
      </c>
      <c r="AU463" s="188" t="s">
        <v>25</v>
      </c>
      <c r="AV463" s="234" t="s">
        <v>25</v>
      </c>
      <c r="AW463" s="188" t="s">
        <v>19</v>
      </c>
      <c r="AX463" s="188" t="s">
        <v>25</v>
      </c>
      <c r="AY463" s="234" t="s">
        <v>306</v>
      </c>
      <c r="AZ463" s="188" t="s">
        <v>19</v>
      </c>
      <c r="BA463" s="188" t="s">
        <v>306</v>
      </c>
      <c r="BB463" s="234" t="s">
        <v>306</v>
      </c>
      <c r="BC463" s="235" t="s">
        <v>306</v>
      </c>
      <c r="BD463" s="209"/>
    </row>
    <row r="464" spans="1:56" ht="12.75" customHeight="1" x14ac:dyDescent="0.25">
      <c r="A464" s="238">
        <v>44790.468687511573</v>
      </c>
      <c r="B464" s="137" t="s">
        <v>427</v>
      </c>
      <c r="C464" s="211" t="s">
        <v>595</v>
      </c>
      <c r="D464" s="211" t="s">
        <v>17</v>
      </c>
      <c r="E464" s="232" t="s">
        <v>515</v>
      </c>
      <c r="F464" s="188" t="s">
        <v>1046</v>
      </c>
      <c r="G464" s="211" t="s">
        <v>24</v>
      </c>
      <c r="H464" s="211">
        <v>11</v>
      </c>
      <c r="I464" s="188" t="s">
        <v>531</v>
      </c>
      <c r="J464" s="188" t="s">
        <v>532</v>
      </c>
      <c r="K464" s="209" t="s">
        <v>539</v>
      </c>
      <c r="L464" s="188" t="s">
        <v>518</v>
      </c>
      <c r="M464" s="188" t="s">
        <v>412</v>
      </c>
      <c r="N464" s="188"/>
      <c r="O464" s="188"/>
      <c r="P464" s="188"/>
      <c r="Q464" s="188" t="s">
        <v>25</v>
      </c>
      <c r="R464" s="188" t="s">
        <v>25</v>
      </c>
      <c r="S464" s="234" t="s">
        <v>25</v>
      </c>
      <c r="T464" s="188" t="s">
        <v>19</v>
      </c>
      <c r="U464" s="188" t="s">
        <v>25</v>
      </c>
      <c r="V464" s="234" t="s">
        <v>306</v>
      </c>
      <c r="W464" s="188" t="s">
        <v>19</v>
      </c>
      <c r="X464" s="188" t="s">
        <v>25</v>
      </c>
      <c r="Y464" s="234" t="s">
        <v>306</v>
      </c>
      <c r="Z464" s="188" t="s">
        <v>25</v>
      </c>
      <c r="AA464" s="188" t="s">
        <v>19</v>
      </c>
      <c r="AB464" s="234" t="s">
        <v>306</v>
      </c>
      <c r="AC464" s="235" t="s">
        <v>306</v>
      </c>
      <c r="AD464" s="188" t="s">
        <v>25</v>
      </c>
      <c r="AE464" s="188" t="s">
        <v>19</v>
      </c>
      <c r="AF464" s="234" t="s">
        <v>306</v>
      </c>
      <c r="AG464" s="188" t="s">
        <v>19</v>
      </c>
      <c r="AH464" s="188" t="s">
        <v>19</v>
      </c>
      <c r="AI464" s="234" t="s">
        <v>19</v>
      </c>
      <c r="AJ464" s="188" t="s">
        <v>19</v>
      </c>
      <c r="AK464" s="188" t="s">
        <v>19</v>
      </c>
      <c r="AL464" s="234" t="s">
        <v>19</v>
      </c>
      <c r="AM464" s="188" t="s">
        <v>19</v>
      </c>
      <c r="AN464" s="188" t="s">
        <v>19</v>
      </c>
      <c r="AO464" s="234" t="s">
        <v>19</v>
      </c>
      <c r="AP464" s="235" t="s">
        <v>19</v>
      </c>
      <c r="AQ464" s="188" t="s">
        <v>25</v>
      </c>
      <c r="AR464" s="188" t="s">
        <v>19</v>
      </c>
      <c r="AS464" s="234" t="s">
        <v>306</v>
      </c>
      <c r="AT464" s="188" t="s">
        <v>25</v>
      </c>
      <c r="AU464" s="188" t="s">
        <v>19</v>
      </c>
      <c r="AV464" s="234" t="s">
        <v>306</v>
      </c>
      <c r="AW464" s="188" t="s">
        <v>19</v>
      </c>
      <c r="AX464" s="188" t="s">
        <v>25</v>
      </c>
      <c r="AY464" s="234" t="s">
        <v>306</v>
      </c>
      <c r="AZ464" s="188" t="s">
        <v>19</v>
      </c>
      <c r="BA464" s="188" t="s">
        <v>25</v>
      </c>
      <c r="BB464" s="234" t="s">
        <v>306</v>
      </c>
      <c r="BC464" s="235" t="s">
        <v>306</v>
      </c>
      <c r="BD464" s="209"/>
    </row>
    <row r="465" spans="1:56" ht="12.75" customHeight="1" x14ac:dyDescent="0.25">
      <c r="A465" s="238">
        <v>44790.479029282404</v>
      </c>
      <c r="B465" s="137" t="s">
        <v>427</v>
      </c>
      <c r="C465" s="211" t="s">
        <v>595</v>
      </c>
      <c r="D465" s="211" t="s">
        <v>17</v>
      </c>
      <c r="E465" s="232" t="s">
        <v>515</v>
      </c>
      <c r="F465" s="188" t="s">
        <v>1047</v>
      </c>
      <c r="G465" s="211" t="s">
        <v>24</v>
      </c>
      <c r="H465" s="211">
        <v>12</v>
      </c>
      <c r="I465" s="188" t="s">
        <v>531</v>
      </c>
      <c r="J465" s="188" t="s">
        <v>532</v>
      </c>
      <c r="K465" s="209" t="s">
        <v>539</v>
      </c>
      <c r="L465" s="188" t="s">
        <v>518</v>
      </c>
      <c r="M465" s="188" t="s">
        <v>412</v>
      </c>
      <c r="N465" s="188"/>
      <c r="O465" s="188"/>
      <c r="P465" s="188"/>
      <c r="Q465" s="188" t="s">
        <v>25</v>
      </c>
      <c r="R465" s="188" t="s">
        <v>306</v>
      </c>
      <c r="S465" s="234" t="s">
        <v>25</v>
      </c>
      <c r="T465" s="188" t="s">
        <v>19</v>
      </c>
      <c r="U465" s="188" t="s">
        <v>25</v>
      </c>
      <c r="V465" s="234" t="s">
        <v>306</v>
      </c>
      <c r="W465" s="188" t="s">
        <v>19</v>
      </c>
      <c r="X465" s="188" t="s">
        <v>25</v>
      </c>
      <c r="Y465" s="234" t="s">
        <v>306</v>
      </c>
      <c r="Z465" s="188" t="s">
        <v>25</v>
      </c>
      <c r="AA465" s="188" t="s">
        <v>306</v>
      </c>
      <c r="AB465" s="234" t="s">
        <v>25</v>
      </c>
      <c r="AC465" s="235" t="s">
        <v>306</v>
      </c>
      <c r="AD465" s="188" t="s">
        <v>306</v>
      </c>
      <c r="AE465" s="188" t="s">
        <v>25</v>
      </c>
      <c r="AF465" s="234" t="s">
        <v>25</v>
      </c>
      <c r="AG465" s="188" t="s">
        <v>19</v>
      </c>
      <c r="AH465" s="188" t="s">
        <v>19</v>
      </c>
      <c r="AI465" s="234" t="s">
        <v>19</v>
      </c>
      <c r="AJ465" s="188" t="s">
        <v>25</v>
      </c>
      <c r="AK465" s="188" t="s">
        <v>25</v>
      </c>
      <c r="AL465" s="234" t="s">
        <v>25</v>
      </c>
      <c r="AM465" s="188" t="s">
        <v>19</v>
      </c>
      <c r="AN465" s="188" t="s">
        <v>19</v>
      </c>
      <c r="AO465" s="234" t="s">
        <v>19</v>
      </c>
      <c r="AP465" s="235" t="s">
        <v>306</v>
      </c>
      <c r="AQ465" s="188" t="s">
        <v>306</v>
      </c>
      <c r="AR465" s="188" t="s">
        <v>306</v>
      </c>
      <c r="AS465" s="234" t="s">
        <v>306</v>
      </c>
      <c r="AT465" s="188" t="s">
        <v>306</v>
      </c>
      <c r="AU465" s="188" t="s">
        <v>25</v>
      </c>
      <c r="AV465" s="234" t="s">
        <v>25</v>
      </c>
      <c r="AW465" s="188" t="s">
        <v>19</v>
      </c>
      <c r="AX465" s="188" t="s">
        <v>25</v>
      </c>
      <c r="AY465" s="234" t="s">
        <v>306</v>
      </c>
      <c r="AZ465" s="188" t="s">
        <v>19</v>
      </c>
      <c r="BA465" s="188" t="s">
        <v>25</v>
      </c>
      <c r="BB465" s="234" t="s">
        <v>25</v>
      </c>
      <c r="BC465" s="235" t="s">
        <v>25</v>
      </c>
      <c r="BD465" s="209"/>
    </row>
    <row r="466" spans="1:56" ht="12.75" customHeight="1" x14ac:dyDescent="0.25">
      <c r="A466" s="238">
        <v>44790.481772233798</v>
      </c>
      <c r="B466" s="137" t="s">
        <v>427</v>
      </c>
      <c r="C466" s="211" t="s">
        <v>595</v>
      </c>
      <c r="D466" s="211" t="s">
        <v>17</v>
      </c>
      <c r="E466" s="232" t="s">
        <v>515</v>
      </c>
      <c r="F466" s="188" t="s">
        <v>554</v>
      </c>
      <c r="G466" s="211" t="s">
        <v>18</v>
      </c>
      <c r="H466" s="211">
        <v>11</v>
      </c>
      <c r="I466" s="188" t="s">
        <v>531</v>
      </c>
      <c r="J466" s="188" t="s">
        <v>532</v>
      </c>
      <c r="K466" s="209" t="s">
        <v>539</v>
      </c>
      <c r="L466" s="188" t="s">
        <v>518</v>
      </c>
      <c r="M466" s="188" t="s">
        <v>412</v>
      </c>
      <c r="N466" s="188"/>
      <c r="O466" s="188"/>
      <c r="P466" s="188"/>
      <c r="Q466" s="188" t="s">
        <v>25</v>
      </c>
      <c r="R466" s="188" t="s">
        <v>19</v>
      </c>
      <c r="S466" s="234" t="s">
        <v>306</v>
      </c>
      <c r="T466" s="188" t="s">
        <v>19</v>
      </c>
      <c r="U466" s="188" t="s">
        <v>25</v>
      </c>
      <c r="V466" s="234" t="s">
        <v>306</v>
      </c>
      <c r="W466" s="188" t="s">
        <v>19</v>
      </c>
      <c r="X466" s="188" t="s">
        <v>25</v>
      </c>
      <c r="Y466" s="234" t="s">
        <v>306</v>
      </c>
      <c r="Z466" s="188" t="s">
        <v>25</v>
      </c>
      <c r="AA466" s="188" t="s">
        <v>19</v>
      </c>
      <c r="AB466" s="234" t="s">
        <v>306</v>
      </c>
      <c r="AC466" s="235" t="s">
        <v>306</v>
      </c>
      <c r="AD466" s="188" t="s">
        <v>25</v>
      </c>
      <c r="AE466" s="188" t="s">
        <v>25</v>
      </c>
      <c r="AF466" s="234" t="s">
        <v>25</v>
      </c>
      <c r="AG466" s="188" t="s">
        <v>19</v>
      </c>
      <c r="AH466" s="188" t="s">
        <v>19</v>
      </c>
      <c r="AI466" s="234" t="s">
        <v>19</v>
      </c>
      <c r="AJ466" s="188" t="s">
        <v>19</v>
      </c>
      <c r="AK466" s="188" t="s">
        <v>19</v>
      </c>
      <c r="AL466" s="234" t="s">
        <v>19</v>
      </c>
      <c r="AM466" s="188" t="s">
        <v>19</v>
      </c>
      <c r="AN466" s="188" t="s">
        <v>19</v>
      </c>
      <c r="AO466" s="234" t="s">
        <v>19</v>
      </c>
      <c r="AP466" s="235" t="s">
        <v>306</v>
      </c>
      <c r="AQ466" s="188" t="s">
        <v>19</v>
      </c>
      <c r="AR466" s="188" t="s">
        <v>25</v>
      </c>
      <c r="AS466" s="234" t="s">
        <v>306</v>
      </c>
      <c r="AT466" s="188" t="s">
        <v>25</v>
      </c>
      <c r="AU466" s="188" t="s">
        <v>25</v>
      </c>
      <c r="AV466" s="234" t="s">
        <v>25</v>
      </c>
      <c r="AW466" s="188" t="s">
        <v>19</v>
      </c>
      <c r="AX466" s="188" t="s">
        <v>25</v>
      </c>
      <c r="AY466" s="234" t="s">
        <v>306</v>
      </c>
      <c r="AZ466" s="188" t="s">
        <v>19</v>
      </c>
      <c r="BA466" s="188" t="s">
        <v>19</v>
      </c>
      <c r="BB466" s="234" t="s">
        <v>25</v>
      </c>
      <c r="BC466" s="235" t="s">
        <v>25</v>
      </c>
      <c r="BD466" s="209"/>
    </row>
    <row r="467" spans="1:56" ht="12.75" customHeight="1" x14ac:dyDescent="0.25">
      <c r="A467" s="238">
        <v>44790.484442488421</v>
      </c>
      <c r="B467" s="137" t="s">
        <v>427</v>
      </c>
      <c r="C467" s="211" t="s">
        <v>595</v>
      </c>
      <c r="D467" s="211" t="s">
        <v>17</v>
      </c>
      <c r="E467" s="232" t="s">
        <v>515</v>
      </c>
      <c r="F467" s="188" t="s">
        <v>1048</v>
      </c>
      <c r="G467" s="211" t="s">
        <v>24</v>
      </c>
      <c r="H467" s="211">
        <v>12</v>
      </c>
      <c r="I467" s="188" t="s">
        <v>531</v>
      </c>
      <c r="J467" s="188" t="s">
        <v>532</v>
      </c>
      <c r="K467" s="209" t="s">
        <v>539</v>
      </c>
      <c r="L467" s="188" t="s">
        <v>518</v>
      </c>
      <c r="M467" s="188" t="s">
        <v>412</v>
      </c>
      <c r="N467" s="188"/>
      <c r="O467" s="188"/>
      <c r="P467" s="188"/>
      <c r="Q467" s="188" t="s">
        <v>25</v>
      </c>
      <c r="R467" s="188" t="s">
        <v>306</v>
      </c>
      <c r="S467" s="234" t="s">
        <v>25</v>
      </c>
      <c r="T467" s="188" t="s">
        <v>25</v>
      </c>
      <c r="U467" s="188" t="s">
        <v>25</v>
      </c>
      <c r="V467" s="234" t="s">
        <v>25</v>
      </c>
      <c r="W467" s="188" t="s">
        <v>19</v>
      </c>
      <c r="X467" s="188" t="s">
        <v>25</v>
      </c>
      <c r="Y467" s="234" t="s">
        <v>306</v>
      </c>
      <c r="Z467" s="188" t="s">
        <v>25</v>
      </c>
      <c r="AA467" s="188" t="s">
        <v>306</v>
      </c>
      <c r="AB467" s="234" t="s">
        <v>25</v>
      </c>
      <c r="AC467" s="235" t="s">
        <v>25</v>
      </c>
      <c r="AD467" s="188" t="s">
        <v>25</v>
      </c>
      <c r="AE467" s="188" t="s">
        <v>25</v>
      </c>
      <c r="AF467" s="234" t="s">
        <v>25</v>
      </c>
      <c r="AG467" s="188" t="s">
        <v>19</v>
      </c>
      <c r="AH467" s="188" t="s">
        <v>19</v>
      </c>
      <c r="AI467" s="234" t="s">
        <v>19</v>
      </c>
      <c r="AJ467" s="188" t="s">
        <v>25</v>
      </c>
      <c r="AK467" s="188" t="s">
        <v>25</v>
      </c>
      <c r="AL467" s="234" t="s">
        <v>25</v>
      </c>
      <c r="AM467" s="188" t="s">
        <v>19</v>
      </c>
      <c r="AN467" s="188" t="s">
        <v>19</v>
      </c>
      <c r="AO467" s="234" t="s">
        <v>19</v>
      </c>
      <c r="AP467" s="235" t="s">
        <v>306</v>
      </c>
      <c r="AQ467" s="188" t="s">
        <v>25</v>
      </c>
      <c r="AR467" s="188" t="s">
        <v>25</v>
      </c>
      <c r="AS467" s="234" t="s">
        <v>25</v>
      </c>
      <c r="AT467" s="188" t="s">
        <v>25</v>
      </c>
      <c r="AU467" s="188" t="s">
        <v>25</v>
      </c>
      <c r="AV467" s="234" t="s">
        <v>25</v>
      </c>
      <c r="AW467" s="188" t="s">
        <v>19</v>
      </c>
      <c r="AX467" s="188" t="s">
        <v>25</v>
      </c>
      <c r="AY467" s="234" t="s">
        <v>306</v>
      </c>
      <c r="AZ467" s="188" t="s">
        <v>19</v>
      </c>
      <c r="BA467" s="188" t="s">
        <v>25</v>
      </c>
      <c r="BB467" s="234" t="s">
        <v>306</v>
      </c>
      <c r="BC467" s="235" t="s">
        <v>306</v>
      </c>
      <c r="BD467" s="209"/>
    </row>
    <row r="468" spans="1:56" ht="12.75" customHeight="1" x14ac:dyDescent="0.25">
      <c r="A468" s="238">
        <v>44790.487743564816</v>
      </c>
      <c r="B468" s="137" t="s">
        <v>427</v>
      </c>
      <c r="C468" s="211" t="s">
        <v>595</v>
      </c>
      <c r="D468" s="211" t="s">
        <v>17</v>
      </c>
      <c r="E468" s="232" t="s">
        <v>515</v>
      </c>
      <c r="F468" s="188" t="s">
        <v>1049</v>
      </c>
      <c r="G468" s="211" t="s">
        <v>24</v>
      </c>
      <c r="H468" s="211">
        <v>11</v>
      </c>
      <c r="I468" s="188" t="s">
        <v>531</v>
      </c>
      <c r="J468" s="188" t="s">
        <v>532</v>
      </c>
      <c r="K468" s="209" t="s">
        <v>539</v>
      </c>
      <c r="L468" s="188" t="s">
        <v>518</v>
      </c>
      <c r="M468" s="188" t="s">
        <v>412</v>
      </c>
      <c r="N468" s="188"/>
      <c r="O468" s="188"/>
      <c r="P468" s="188"/>
      <c r="Q468" s="188" t="s">
        <v>25</v>
      </c>
      <c r="R468" s="188" t="s">
        <v>306</v>
      </c>
      <c r="S468" s="234" t="s">
        <v>25</v>
      </c>
      <c r="T468" s="188" t="s">
        <v>19</v>
      </c>
      <c r="U468" s="188" t="s">
        <v>25</v>
      </c>
      <c r="V468" s="234" t="s">
        <v>306</v>
      </c>
      <c r="W468" s="188" t="s">
        <v>19</v>
      </c>
      <c r="X468" s="188" t="s">
        <v>25</v>
      </c>
      <c r="Y468" s="234" t="s">
        <v>306</v>
      </c>
      <c r="Z468" s="188" t="s">
        <v>25</v>
      </c>
      <c r="AA468" s="188" t="s">
        <v>19</v>
      </c>
      <c r="AB468" s="234" t="s">
        <v>306</v>
      </c>
      <c r="AC468" s="235" t="s">
        <v>306</v>
      </c>
      <c r="AD468" s="188" t="s">
        <v>25</v>
      </c>
      <c r="AE468" s="188" t="s">
        <v>25</v>
      </c>
      <c r="AF468" s="234" t="s">
        <v>25</v>
      </c>
      <c r="AG468" s="188" t="s">
        <v>19</v>
      </c>
      <c r="AH468" s="188" t="s">
        <v>19</v>
      </c>
      <c r="AI468" s="234" t="s">
        <v>19</v>
      </c>
      <c r="AJ468" s="188" t="s">
        <v>19</v>
      </c>
      <c r="AK468" s="188" t="s">
        <v>19</v>
      </c>
      <c r="AL468" s="234" t="s">
        <v>19</v>
      </c>
      <c r="AM468" s="188" t="s">
        <v>19</v>
      </c>
      <c r="AN468" s="188" t="s">
        <v>19</v>
      </c>
      <c r="AO468" s="234" t="s">
        <v>19</v>
      </c>
      <c r="AP468" s="235" t="s">
        <v>306</v>
      </c>
      <c r="AQ468" s="188" t="s">
        <v>19</v>
      </c>
      <c r="AR468" s="188" t="s">
        <v>25</v>
      </c>
      <c r="AS468" s="234" t="s">
        <v>306</v>
      </c>
      <c r="AT468" s="188" t="s">
        <v>19</v>
      </c>
      <c r="AU468" s="188" t="s">
        <v>25</v>
      </c>
      <c r="AV468" s="234" t="s">
        <v>306</v>
      </c>
      <c r="AW468" s="188" t="s">
        <v>19</v>
      </c>
      <c r="AX468" s="188" t="s">
        <v>25</v>
      </c>
      <c r="AY468" s="234" t="s">
        <v>306</v>
      </c>
      <c r="AZ468" s="188" t="s">
        <v>19</v>
      </c>
      <c r="BA468" s="188" t="s">
        <v>19</v>
      </c>
      <c r="BB468" s="234" t="s">
        <v>19</v>
      </c>
      <c r="BC468" s="235" t="s">
        <v>19</v>
      </c>
      <c r="BD468" s="209"/>
    </row>
    <row r="469" spans="1:56" ht="12.75" customHeight="1" x14ac:dyDescent="0.25">
      <c r="A469" s="238">
        <v>44797.010382800931</v>
      </c>
      <c r="B469" s="137" t="s">
        <v>427</v>
      </c>
      <c r="C469" s="211" t="s">
        <v>595</v>
      </c>
      <c r="D469" s="211" t="s">
        <v>17</v>
      </c>
      <c r="E469" s="232" t="s">
        <v>515</v>
      </c>
      <c r="F469" s="188" t="s">
        <v>1050</v>
      </c>
      <c r="G469" s="211" t="s">
        <v>18</v>
      </c>
      <c r="H469" s="211">
        <v>12</v>
      </c>
      <c r="I469" s="188" t="s">
        <v>531</v>
      </c>
      <c r="J469" s="188" t="s">
        <v>532</v>
      </c>
      <c r="K469" s="209" t="s">
        <v>539</v>
      </c>
      <c r="L469" s="188" t="s">
        <v>518</v>
      </c>
      <c r="M469" s="188" t="s">
        <v>375</v>
      </c>
      <c r="N469" s="188"/>
      <c r="O469" s="188"/>
      <c r="P469" s="188"/>
      <c r="Q469" s="188" t="s">
        <v>19</v>
      </c>
      <c r="R469" s="188" t="s">
        <v>19</v>
      </c>
      <c r="S469" s="234" t="s">
        <v>19</v>
      </c>
      <c r="T469" s="188" t="s">
        <v>19</v>
      </c>
      <c r="U469" s="188" t="s">
        <v>19</v>
      </c>
      <c r="V469" s="234" t="s">
        <v>19</v>
      </c>
      <c r="W469" s="188" t="s">
        <v>19</v>
      </c>
      <c r="X469" s="188" t="s">
        <v>19</v>
      </c>
      <c r="Y469" s="234" t="s">
        <v>19</v>
      </c>
      <c r="Z469" s="188" t="s">
        <v>19</v>
      </c>
      <c r="AA469" s="188" t="s">
        <v>19</v>
      </c>
      <c r="AB469" s="234" t="s">
        <v>19</v>
      </c>
      <c r="AC469" s="235" t="s">
        <v>19</v>
      </c>
      <c r="AD469" s="188" t="s">
        <v>19</v>
      </c>
      <c r="AE469" s="188" t="s">
        <v>19</v>
      </c>
      <c r="AF469" s="234" t="s">
        <v>19</v>
      </c>
      <c r="AG469" s="188" t="s">
        <v>19</v>
      </c>
      <c r="AH469" s="188" t="s">
        <v>19</v>
      </c>
      <c r="AI469" s="234" t="s">
        <v>19</v>
      </c>
      <c r="AJ469" s="188" t="s">
        <v>19</v>
      </c>
      <c r="AK469" s="188" t="s">
        <v>19</v>
      </c>
      <c r="AL469" s="234" t="s">
        <v>19</v>
      </c>
      <c r="AM469" s="188" t="s">
        <v>19</v>
      </c>
      <c r="AN469" s="188" t="s">
        <v>19</v>
      </c>
      <c r="AO469" s="234" t="s">
        <v>19</v>
      </c>
      <c r="AP469" s="235" t="s">
        <v>19</v>
      </c>
      <c r="AQ469" s="188" t="s">
        <v>19</v>
      </c>
      <c r="AR469" s="188" t="s">
        <v>19</v>
      </c>
      <c r="AS469" s="234" t="s">
        <v>19</v>
      </c>
      <c r="AT469" s="188" t="s">
        <v>19</v>
      </c>
      <c r="AU469" s="188" t="s">
        <v>19</v>
      </c>
      <c r="AV469" s="234" t="s">
        <v>19</v>
      </c>
      <c r="AW469" s="188" t="s">
        <v>19</v>
      </c>
      <c r="AX469" s="188" t="s">
        <v>19</v>
      </c>
      <c r="AY469" s="234" t="s">
        <v>19</v>
      </c>
      <c r="AZ469" s="188" t="s">
        <v>19</v>
      </c>
      <c r="BA469" s="188" t="s">
        <v>19</v>
      </c>
      <c r="BB469" s="234" t="s">
        <v>25</v>
      </c>
      <c r="BC469" s="235" t="s">
        <v>25</v>
      </c>
      <c r="BD469" s="209"/>
    </row>
    <row r="470" spans="1:56" ht="12.75" customHeight="1" x14ac:dyDescent="0.25">
      <c r="A470" s="238">
        <v>44797.012894884261</v>
      </c>
      <c r="B470" s="137" t="s">
        <v>427</v>
      </c>
      <c r="C470" s="211" t="s">
        <v>595</v>
      </c>
      <c r="D470" s="211" t="s">
        <v>17</v>
      </c>
      <c r="E470" s="232" t="s">
        <v>515</v>
      </c>
      <c r="F470" s="188" t="s">
        <v>1051</v>
      </c>
      <c r="G470" s="211" t="s">
        <v>24</v>
      </c>
      <c r="H470" s="211">
        <v>12</v>
      </c>
      <c r="I470" s="188" t="s">
        <v>531</v>
      </c>
      <c r="J470" s="188" t="s">
        <v>532</v>
      </c>
      <c r="K470" s="209" t="s">
        <v>539</v>
      </c>
      <c r="L470" s="188" t="s">
        <v>518</v>
      </c>
      <c r="M470" s="188" t="s">
        <v>375</v>
      </c>
      <c r="N470" s="188"/>
      <c r="O470" s="188"/>
      <c r="P470" s="188"/>
      <c r="Q470" s="188" t="s">
        <v>19</v>
      </c>
      <c r="R470" s="188" t="s">
        <v>19</v>
      </c>
      <c r="S470" s="234" t="s">
        <v>19</v>
      </c>
      <c r="T470" s="188" t="s">
        <v>19</v>
      </c>
      <c r="U470" s="188" t="s">
        <v>19</v>
      </c>
      <c r="V470" s="234" t="s">
        <v>19</v>
      </c>
      <c r="W470" s="188" t="s">
        <v>19</v>
      </c>
      <c r="X470" s="188" t="s">
        <v>19</v>
      </c>
      <c r="Y470" s="234" t="s">
        <v>19</v>
      </c>
      <c r="Z470" s="188" t="s">
        <v>19</v>
      </c>
      <c r="AA470" s="188" t="s">
        <v>19</v>
      </c>
      <c r="AB470" s="234" t="s">
        <v>19</v>
      </c>
      <c r="AC470" s="235" t="s">
        <v>19</v>
      </c>
      <c r="AD470" s="188" t="s">
        <v>19</v>
      </c>
      <c r="AE470" s="188" t="s">
        <v>19</v>
      </c>
      <c r="AF470" s="234" t="s">
        <v>19</v>
      </c>
      <c r="AG470" s="188" t="s">
        <v>19</v>
      </c>
      <c r="AH470" s="188" t="s">
        <v>19</v>
      </c>
      <c r="AI470" s="234" t="s">
        <v>19</v>
      </c>
      <c r="AJ470" s="188" t="s">
        <v>19</v>
      </c>
      <c r="AK470" s="188" t="s">
        <v>19</v>
      </c>
      <c r="AL470" s="234" t="s">
        <v>19</v>
      </c>
      <c r="AM470" s="188" t="s">
        <v>19</v>
      </c>
      <c r="AN470" s="188" t="s">
        <v>19</v>
      </c>
      <c r="AO470" s="234" t="s">
        <v>19</v>
      </c>
      <c r="AP470" s="235" t="s">
        <v>19</v>
      </c>
      <c r="AQ470" s="188" t="s">
        <v>19</v>
      </c>
      <c r="AR470" s="188" t="s">
        <v>19</v>
      </c>
      <c r="AS470" s="234" t="s">
        <v>19</v>
      </c>
      <c r="AT470" s="188" t="s">
        <v>19</v>
      </c>
      <c r="AU470" s="188" t="s">
        <v>19</v>
      </c>
      <c r="AV470" s="234" t="s">
        <v>19</v>
      </c>
      <c r="AW470" s="188" t="s">
        <v>19</v>
      </c>
      <c r="AX470" s="188" t="s">
        <v>19</v>
      </c>
      <c r="AY470" s="234" t="s">
        <v>19</v>
      </c>
      <c r="AZ470" s="188" t="s">
        <v>19</v>
      </c>
      <c r="BA470" s="188" t="s">
        <v>19</v>
      </c>
      <c r="BB470" s="234" t="s">
        <v>306</v>
      </c>
      <c r="BC470" s="235" t="s">
        <v>19</v>
      </c>
      <c r="BD470" s="209"/>
    </row>
    <row r="471" spans="1:56" ht="12.75" customHeight="1" x14ac:dyDescent="0.25">
      <c r="A471" s="238">
        <v>44797.015104976846</v>
      </c>
      <c r="B471" s="137" t="s">
        <v>427</v>
      </c>
      <c r="C471" s="211" t="s">
        <v>595</v>
      </c>
      <c r="D471" s="211" t="s">
        <v>17</v>
      </c>
      <c r="E471" s="232" t="s">
        <v>515</v>
      </c>
      <c r="F471" s="188" t="s">
        <v>1052</v>
      </c>
      <c r="G471" s="211" t="s">
        <v>18</v>
      </c>
      <c r="H471" s="211">
        <v>11</v>
      </c>
      <c r="I471" s="188" t="s">
        <v>531</v>
      </c>
      <c r="J471" s="188" t="s">
        <v>532</v>
      </c>
      <c r="K471" s="209" t="s">
        <v>539</v>
      </c>
      <c r="L471" s="188" t="s">
        <v>518</v>
      </c>
      <c r="M471" s="188" t="s">
        <v>375</v>
      </c>
      <c r="N471" s="188"/>
      <c r="O471" s="188"/>
      <c r="P471" s="188"/>
      <c r="Q471" s="188" t="s">
        <v>19</v>
      </c>
      <c r="R471" s="188" t="s">
        <v>19</v>
      </c>
      <c r="S471" s="234" t="s">
        <v>19</v>
      </c>
      <c r="T471" s="188" t="s">
        <v>19</v>
      </c>
      <c r="U471" s="188" t="s">
        <v>19</v>
      </c>
      <c r="V471" s="234" t="s">
        <v>19</v>
      </c>
      <c r="W471" s="188" t="s">
        <v>19</v>
      </c>
      <c r="X471" s="188" t="s">
        <v>19</v>
      </c>
      <c r="Y471" s="234" t="s">
        <v>19</v>
      </c>
      <c r="Z471" s="188" t="s">
        <v>19</v>
      </c>
      <c r="AA471" s="188" t="s">
        <v>19</v>
      </c>
      <c r="AB471" s="234" t="s">
        <v>19</v>
      </c>
      <c r="AC471" s="235" t="s">
        <v>19</v>
      </c>
      <c r="AD471" s="188" t="s">
        <v>19</v>
      </c>
      <c r="AE471" s="188" t="s">
        <v>19</v>
      </c>
      <c r="AF471" s="234" t="s">
        <v>19</v>
      </c>
      <c r="AG471" s="188" t="s">
        <v>19</v>
      </c>
      <c r="AH471" s="188" t="s">
        <v>19</v>
      </c>
      <c r="AI471" s="234" t="s">
        <v>19</v>
      </c>
      <c r="AJ471" s="188" t="s">
        <v>19</v>
      </c>
      <c r="AK471" s="188" t="s">
        <v>19</v>
      </c>
      <c r="AL471" s="234" t="s">
        <v>19</v>
      </c>
      <c r="AM471" s="188" t="s">
        <v>19</v>
      </c>
      <c r="AN471" s="188" t="s">
        <v>19</v>
      </c>
      <c r="AO471" s="234" t="s">
        <v>19</v>
      </c>
      <c r="AP471" s="235" t="s">
        <v>19</v>
      </c>
      <c r="AQ471" s="188" t="s">
        <v>19</v>
      </c>
      <c r="AR471" s="188" t="s">
        <v>19</v>
      </c>
      <c r="AS471" s="234" t="s">
        <v>19</v>
      </c>
      <c r="AT471" s="188" t="s">
        <v>19</v>
      </c>
      <c r="AU471" s="188" t="s">
        <v>19</v>
      </c>
      <c r="AV471" s="234" t="s">
        <v>19</v>
      </c>
      <c r="AW471" s="188" t="s">
        <v>19</v>
      </c>
      <c r="AX471" s="188" t="s">
        <v>19</v>
      </c>
      <c r="AY471" s="234" t="s">
        <v>19</v>
      </c>
      <c r="AZ471" s="188" t="s">
        <v>19</v>
      </c>
      <c r="BA471" s="188" t="s">
        <v>19</v>
      </c>
      <c r="BB471" s="234" t="s">
        <v>25</v>
      </c>
      <c r="BC471" s="235" t="s">
        <v>25</v>
      </c>
      <c r="BD471" s="209"/>
    </row>
    <row r="472" spans="1:56" ht="12.75" customHeight="1" x14ac:dyDescent="0.25">
      <c r="A472" s="238">
        <v>44797.017957256947</v>
      </c>
      <c r="B472" s="137" t="s">
        <v>427</v>
      </c>
      <c r="C472" s="211" t="s">
        <v>595</v>
      </c>
      <c r="D472" s="211" t="s">
        <v>17</v>
      </c>
      <c r="E472" s="232" t="s">
        <v>515</v>
      </c>
      <c r="F472" s="188" t="s">
        <v>1053</v>
      </c>
      <c r="G472" s="211" t="s">
        <v>18</v>
      </c>
      <c r="H472" s="211">
        <v>12</v>
      </c>
      <c r="I472" s="188" t="s">
        <v>531</v>
      </c>
      <c r="J472" s="188" t="s">
        <v>532</v>
      </c>
      <c r="K472" s="209" t="s">
        <v>539</v>
      </c>
      <c r="L472" s="188" t="s">
        <v>518</v>
      </c>
      <c r="M472" s="188" t="s">
        <v>375</v>
      </c>
      <c r="N472" s="188"/>
      <c r="O472" s="188"/>
      <c r="P472" s="188"/>
      <c r="Q472" s="188" t="s">
        <v>19</v>
      </c>
      <c r="R472" s="188" t="s">
        <v>19</v>
      </c>
      <c r="S472" s="234" t="s">
        <v>19</v>
      </c>
      <c r="T472" s="188" t="s">
        <v>19</v>
      </c>
      <c r="U472" s="188" t="s">
        <v>19</v>
      </c>
      <c r="V472" s="234" t="s">
        <v>19</v>
      </c>
      <c r="W472" s="188" t="s">
        <v>19</v>
      </c>
      <c r="X472" s="188" t="s">
        <v>19</v>
      </c>
      <c r="Y472" s="234" t="s">
        <v>19</v>
      </c>
      <c r="Z472" s="188" t="s">
        <v>19</v>
      </c>
      <c r="AA472" s="188" t="s">
        <v>19</v>
      </c>
      <c r="AB472" s="234" t="s">
        <v>19</v>
      </c>
      <c r="AC472" s="235" t="s">
        <v>19</v>
      </c>
      <c r="AD472" s="188" t="s">
        <v>19</v>
      </c>
      <c r="AE472" s="188" t="s">
        <v>19</v>
      </c>
      <c r="AF472" s="234" t="s">
        <v>19</v>
      </c>
      <c r="AG472" s="188" t="s">
        <v>19</v>
      </c>
      <c r="AH472" s="188" t="s">
        <v>19</v>
      </c>
      <c r="AI472" s="234" t="s">
        <v>19</v>
      </c>
      <c r="AJ472" s="188" t="s">
        <v>19</v>
      </c>
      <c r="AK472" s="188" t="s">
        <v>19</v>
      </c>
      <c r="AL472" s="234" t="s">
        <v>19</v>
      </c>
      <c r="AM472" s="188" t="s">
        <v>19</v>
      </c>
      <c r="AN472" s="188" t="s">
        <v>19</v>
      </c>
      <c r="AO472" s="234" t="s">
        <v>19</v>
      </c>
      <c r="AP472" s="235" t="s">
        <v>19</v>
      </c>
      <c r="AQ472" s="188" t="s">
        <v>19</v>
      </c>
      <c r="AR472" s="188" t="s">
        <v>19</v>
      </c>
      <c r="AS472" s="234" t="s">
        <v>19</v>
      </c>
      <c r="AT472" s="188" t="s">
        <v>19</v>
      </c>
      <c r="AU472" s="188" t="s">
        <v>19</v>
      </c>
      <c r="AV472" s="234" t="s">
        <v>19</v>
      </c>
      <c r="AW472" s="188" t="s">
        <v>19</v>
      </c>
      <c r="AX472" s="188" t="s">
        <v>19</v>
      </c>
      <c r="AY472" s="234" t="s">
        <v>19</v>
      </c>
      <c r="AZ472" s="188" t="s">
        <v>19</v>
      </c>
      <c r="BA472" s="188" t="s">
        <v>19</v>
      </c>
      <c r="BB472" s="234" t="s">
        <v>306</v>
      </c>
      <c r="BC472" s="235" t="s">
        <v>306</v>
      </c>
      <c r="BD472" s="209"/>
    </row>
    <row r="473" spans="1:56" ht="12.75" customHeight="1" x14ac:dyDescent="0.25">
      <c r="A473" s="238">
        <v>44797.020931458334</v>
      </c>
      <c r="B473" s="137" t="s">
        <v>427</v>
      </c>
      <c r="C473" s="211" t="s">
        <v>595</v>
      </c>
      <c r="D473" s="211" t="s">
        <v>17</v>
      </c>
      <c r="E473" s="232" t="s">
        <v>515</v>
      </c>
      <c r="F473" s="188" t="s">
        <v>1054</v>
      </c>
      <c r="G473" s="211" t="s">
        <v>18</v>
      </c>
      <c r="H473" s="211">
        <v>12</v>
      </c>
      <c r="I473" s="188" t="s">
        <v>531</v>
      </c>
      <c r="J473" s="188" t="s">
        <v>532</v>
      </c>
      <c r="K473" s="209" t="s">
        <v>539</v>
      </c>
      <c r="L473" s="188" t="s">
        <v>518</v>
      </c>
      <c r="M473" s="188" t="s">
        <v>375</v>
      </c>
      <c r="N473" s="188"/>
      <c r="O473" s="188"/>
      <c r="P473" s="188"/>
      <c r="Q473" s="188" t="s">
        <v>19</v>
      </c>
      <c r="R473" s="188" t="s">
        <v>19</v>
      </c>
      <c r="S473" s="234" t="s">
        <v>19</v>
      </c>
      <c r="T473" s="188" t="s">
        <v>19</v>
      </c>
      <c r="U473" s="188" t="s">
        <v>19</v>
      </c>
      <c r="V473" s="234" t="s">
        <v>19</v>
      </c>
      <c r="W473" s="188" t="s">
        <v>19</v>
      </c>
      <c r="X473" s="188" t="s">
        <v>19</v>
      </c>
      <c r="Y473" s="234" t="s">
        <v>19</v>
      </c>
      <c r="Z473" s="188" t="s">
        <v>19</v>
      </c>
      <c r="AA473" s="188" t="s">
        <v>19</v>
      </c>
      <c r="AB473" s="234" t="s">
        <v>19</v>
      </c>
      <c r="AC473" s="235" t="s">
        <v>19</v>
      </c>
      <c r="AD473" s="188" t="s">
        <v>19</v>
      </c>
      <c r="AE473" s="188" t="s">
        <v>19</v>
      </c>
      <c r="AF473" s="234" t="s">
        <v>19</v>
      </c>
      <c r="AG473" s="188" t="s">
        <v>19</v>
      </c>
      <c r="AH473" s="188" t="s">
        <v>19</v>
      </c>
      <c r="AI473" s="234" t="s">
        <v>19</v>
      </c>
      <c r="AJ473" s="188" t="s">
        <v>19</v>
      </c>
      <c r="AK473" s="188" t="s">
        <v>19</v>
      </c>
      <c r="AL473" s="234" t="s">
        <v>19</v>
      </c>
      <c r="AM473" s="188" t="s">
        <v>19</v>
      </c>
      <c r="AN473" s="188" t="s">
        <v>19</v>
      </c>
      <c r="AO473" s="234" t="s">
        <v>19</v>
      </c>
      <c r="AP473" s="235" t="s">
        <v>19</v>
      </c>
      <c r="AQ473" s="188" t="s">
        <v>19</v>
      </c>
      <c r="AR473" s="188" t="s">
        <v>19</v>
      </c>
      <c r="AS473" s="234" t="s">
        <v>19</v>
      </c>
      <c r="AT473" s="188" t="s">
        <v>19</v>
      </c>
      <c r="AU473" s="188" t="s">
        <v>19</v>
      </c>
      <c r="AV473" s="234" t="s">
        <v>19</v>
      </c>
      <c r="AW473" s="188" t="s">
        <v>19</v>
      </c>
      <c r="AX473" s="188" t="s">
        <v>19</v>
      </c>
      <c r="AY473" s="234" t="s">
        <v>19</v>
      </c>
      <c r="AZ473" s="188" t="s">
        <v>19</v>
      </c>
      <c r="BA473" s="188" t="s">
        <v>19</v>
      </c>
      <c r="BB473" s="234" t="s">
        <v>25</v>
      </c>
      <c r="BC473" s="235" t="s">
        <v>25</v>
      </c>
      <c r="BD473" s="209"/>
    </row>
    <row r="474" spans="1:56" ht="12.75" customHeight="1" x14ac:dyDescent="0.25">
      <c r="A474" s="238">
        <v>44797.024026145838</v>
      </c>
      <c r="B474" s="137" t="s">
        <v>427</v>
      </c>
      <c r="C474" s="211" t="s">
        <v>595</v>
      </c>
      <c r="D474" s="211" t="s">
        <v>17</v>
      </c>
      <c r="E474" s="232" t="s">
        <v>515</v>
      </c>
      <c r="F474" s="188" t="s">
        <v>1055</v>
      </c>
      <c r="G474" s="211" t="s">
        <v>18</v>
      </c>
      <c r="H474" s="211">
        <v>12</v>
      </c>
      <c r="I474" s="188" t="s">
        <v>531</v>
      </c>
      <c r="J474" s="188" t="s">
        <v>532</v>
      </c>
      <c r="K474" s="209" t="s">
        <v>539</v>
      </c>
      <c r="L474" s="188" t="s">
        <v>518</v>
      </c>
      <c r="M474" s="188" t="s">
        <v>375</v>
      </c>
      <c r="N474" s="188"/>
      <c r="O474" s="188"/>
      <c r="P474" s="188"/>
      <c r="Q474" s="188" t="s">
        <v>19</v>
      </c>
      <c r="R474" s="188" t="s">
        <v>19</v>
      </c>
      <c r="S474" s="234" t="s">
        <v>19</v>
      </c>
      <c r="T474" s="188" t="s">
        <v>19</v>
      </c>
      <c r="U474" s="188" t="s">
        <v>19</v>
      </c>
      <c r="V474" s="234" t="s">
        <v>19</v>
      </c>
      <c r="W474" s="188" t="s">
        <v>19</v>
      </c>
      <c r="X474" s="188" t="s">
        <v>19</v>
      </c>
      <c r="Y474" s="234" t="s">
        <v>19</v>
      </c>
      <c r="Z474" s="188" t="s">
        <v>19</v>
      </c>
      <c r="AA474" s="188" t="s">
        <v>19</v>
      </c>
      <c r="AB474" s="234" t="s">
        <v>19</v>
      </c>
      <c r="AC474" s="235" t="s">
        <v>19</v>
      </c>
      <c r="AD474" s="188" t="s">
        <v>19</v>
      </c>
      <c r="AE474" s="188" t="s">
        <v>19</v>
      </c>
      <c r="AF474" s="234" t="s">
        <v>19</v>
      </c>
      <c r="AG474" s="188" t="s">
        <v>19</v>
      </c>
      <c r="AH474" s="188" t="s">
        <v>19</v>
      </c>
      <c r="AI474" s="234" t="s">
        <v>19</v>
      </c>
      <c r="AJ474" s="188" t="s">
        <v>19</v>
      </c>
      <c r="AK474" s="188" t="s">
        <v>19</v>
      </c>
      <c r="AL474" s="234" t="s">
        <v>19</v>
      </c>
      <c r="AM474" s="188" t="s">
        <v>19</v>
      </c>
      <c r="AN474" s="188" t="s">
        <v>19</v>
      </c>
      <c r="AO474" s="234" t="s">
        <v>19</v>
      </c>
      <c r="AP474" s="235" t="s">
        <v>19</v>
      </c>
      <c r="AQ474" s="188" t="s">
        <v>19</v>
      </c>
      <c r="AR474" s="188" t="s">
        <v>19</v>
      </c>
      <c r="AS474" s="234" t="s">
        <v>19</v>
      </c>
      <c r="AT474" s="188" t="s">
        <v>19</v>
      </c>
      <c r="AU474" s="188" t="s">
        <v>19</v>
      </c>
      <c r="AV474" s="234" t="s">
        <v>19</v>
      </c>
      <c r="AW474" s="188" t="s">
        <v>19</v>
      </c>
      <c r="AX474" s="188" t="s">
        <v>19</v>
      </c>
      <c r="AY474" s="234" t="s">
        <v>19</v>
      </c>
      <c r="AZ474" s="188" t="s">
        <v>19</v>
      </c>
      <c r="BA474" s="188" t="s">
        <v>19</v>
      </c>
      <c r="BB474" s="234" t="s">
        <v>25</v>
      </c>
      <c r="BC474" s="235" t="s">
        <v>25</v>
      </c>
      <c r="BD474" s="209"/>
    </row>
    <row r="475" spans="1:56" ht="12.75" customHeight="1" x14ac:dyDescent="0.25">
      <c r="A475" s="238">
        <v>44797.028171458333</v>
      </c>
      <c r="B475" s="137" t="s">
        <v>427</v>
      </c>
      <c r="C475" s="211" t="s">
        <v>595</v>
      </c>
      <c r="D475" s="211" t="s">
        <v>17</v>
      </c>
      <c r="E475" s="232" t="s">
        <v>515</v>
      </c>
      <c r="F475" s="188" t="s">
        <v>1056</v>
      </c>
      <c r="G475" s="211" t="s">
        <v>18</v>
      </c>
      <c r="H475" s="211">
        <v>12</v>
      </c>
      <c r="I475" s="188" t="s">
        <v>531</v>
      </c>
      <c r="J475" s="188" t="s">
        <v>532</v>
      </c>
      <c r="K475" s="209" t="s">
        <v>539</v>
      </c>
      <c r="L475" s="188" t="s">
        <v>518</v>
      </c>
      <c r="M475" s="188" t="s">
        <v>375</v>
      </c>
      <c r="N475" s="188"/>
      <c r="O475" s="188"/>
      <c r="P475" s="188"/>
      <c r="Q475" s="188" t="s">
        <v>19</v>
      </c>
      <c r="R475" s="188" t="s">
        <v>19</v>
      </c>
      <c r="S475" s="234" t="s">
        <v>19</v>
      </c>
      <c r="T475" s="188" t="s">
        <v>19</v>
      </c>
      <c r="U475" s="188" t="s">
        <v>19</v>
      </c>
      <c r="V475" s="234" t="s">
        <v>19</v>
      </c>
      <c r="W475" s="188" t="s">
        <v>19</v>
      </c>
      <c r="X475" s="188" t="s">
        <v>19</v>
      </c>
      <c r="Y475" s="234" t="s">
        <v>19</v>
      </c>
      <c r="Z475" s="188" t="s">
        <v>19</v>
      </c>
      <c r="AA475" s="188" t="s">
        <v>19</v>
      </c>
      <c r="AB475" s="234" t="s">
        <v>19</v>
      </c>
      <c r="AC475" s="235" t="s">
        <v>19</v>
      </c>
      <c r="AD475" s="188" t="s">
        <v>19</v>
      </c>
      <c r="AE475" s="188" t="s">
        <v>19</v>
      </c>
      <c r="AF475" s="234" t="s">
        <v>19</v>
      </c>
      <c r="AG475" s="188" t="s">
        <v>19</v>
      </c>
      <c r="AH475" s="188" t="s">
        <v>19</v>
      </c>
      <c r="AI475" s="234" t="s">
        <v>19</v>
      </c>
      <c r="AJ475" s="188" t="s">
        <v>19</v>
      </c>
      <c r="AK475" s="188" t="s">
        <v>19</v>
      </c>
      <c r="AL475" s="234" t="s">
        <v>19</v>
      </c>
      <c r="AM475" s="188" t="s">
        <v>19</v>
      </c>
      <c r="AN475" s="188" t="s">
        <v>19</v>
      </c>
      <c r="AO475" s="234" t="s">
        <v>19</v>
      </c>
      <c r="AP475" s="235" t="s">
        <v>19</v>
      </c>
      <c r="AQ475" s="188" t="s">
        <v>19</v>
      </c>
      <c r="AR475" s="188" t="s">
        <v>19</v>
      </c>
      <c r="AS475" s="234" t="s">
        <v>19</v>
      </c>
      <c r="AT475" s="188" t="s">
        <v>19</v>
      </c>
      <c r="AU475" s="188" t="s">
        <v>19</v>
      </c>
      <c r="AV475" s="234" t="s">
        <v>19</v>
      </c>
      <c r="AW475" s="188" t="s">
        <v>19</v>
      </c>
      <c r="AX475" s="188" t="s">
        <v>19</v>
      </c>
      <c r="AY475" s="234" t="s">
        <v>19</v>
      </c>
      <c r="AZ475" s="188" t="s">
        <v>19</v>
      </c>
      <c r="BA475" s="188" t="s">
        <v>19</v>
      </c>
      <c r="BB475" s="234" t="s">
        <v>25</v>
      </c>
      <c r="BC475" s="235" t="s">
        <v>306</v>
      </c>
      <c r="BD475" s="209"/>
    </row>
    <row r="476" spans="1:56" ht="12.75" customHeight="1" x14ac:dyDescent="0.25">
      <c r="A476" s="238">
        <v>44797.030139988427</v>
      </c>
      <c r="B476" s="137" t="s">
        <v>427</v>
      </c>
      <c r="C476" s="211" t="s">
        <v>595</v>
      </c>
      <c r="D476" s="211" t="s">
        <v>17</v>
      </c>
      <c r="E476" s="232" t="s">
        <v>515</v>
      </c>
      <c r="F476" s="188" t="s">
        <v>1057</v>
      </c>
      <c r="G476" s="211" t="s">
        <v>18</v>
      </c>
      <c r="H476" s="211">
        <v>12</v>
      </c>
      <c r="I476" s="188" t="s">
        <v>531</v>
      </c>
      <c r="J476" s="188" t="s">
        <v>532</v>
      </c>
      <c r="K476" s="209" t="s">
        <v>539</v>
      </c>
      <c r="L476" s="188" t="s">
        <v>518</v>
      </c>
      <c r="M476" s="188" t="s">
        <v>375</v>
      </c>
      <c r="N476" s="188"/>
      <c r="O476" s="188"/>
      <c r="P476" s="188"/>
      <c r="Q476" s="188" t="s">
        <v>19</v>
      </c>
      <c r="R476" s="188" t="s">
        <v>19</v>
      </c>
      <c r="S476" s="234" t="s">
        <v>19</v>
      </c>
      <c r="T476" s="188" t="s">
        <v>19</v>
      </c>
      <c r="U476" s="188" t="s">
        <v>19</v>
      </c>
      <c r="V476" s="234" t="s">
        <v>19</v>
      </c>
      <c r="W476" s="188" t="s">
        <v>19</v>
      </c>
      <c r="X476" s="188" t="s">
        <v>19</v>
      </c>
      <c r="Y476" s="234" t="s">
        <v>19</v>
      </c>
      <c r="Z476" s="188" t="s">
        <v>19</v>
      </c>
      <c r="AA476" s="188" t="s">
        <v>19</v>
      </c>
      <c r="AB476" s="234" t="s">
        <v>19</v>
      </c>
      <c r="AC476" s="235" t="s">
        <v>19</v>
      </c>
      <c r="AD476" s="188" t="s">
        <v>19</v>
      </c>
      <c r="AE476" s="188" t="s">
        <v>19</v>
      </c>
      <c r="AF476" s="234" t="s">
        <v>19</v>
      </c>
      <c r="AG476" s="188" t="s">
        <v>19</v>
      </c>
      <c r="AH476" s="188" t="s">
        <v>19</v>
      </c>
      <c r="AI476" s="234" t="s">
        <v>19</v>
      </c>
      <c r="AJ476" s="188" t="s">
        <v>19</v>
      </c>
      <c r="AK476" s="188" t="s">
        <v>19</v>
      </c>
      <c r="AL476" s="234" t="s">
        <v>19</v>
      </c>
      <c r="AM476" s="188" t="s">
        <v>19</v>
      </c>
      <c r="AN476" s="188" t="s">
        <v>19</v>
      </c>
      <c r="AO476" s="234" t="s">
        <v>19</v>
      </c>
      <c r="AP476" s="235" t="s">
        <v>19</v>
      </c>
      <c r="AQ476" s="188" t="s">
        <v>19</v>
      </c>
      <c r="AR476" s="188" t="s">
        <v>19</v>
      </c>
      <c r="AS476" s="234" t="s">
        <v>19</v>
      </c>
      <c r="AT476" s="188" t="s">
        <v>19</v>
      </c>
      <c r="AU476" s="188" t="s">
        <v>19</v>
      </c>
      <c r="AV476" s="234" t="s">
        <v>19</v>
      </c>
      <c r="AW476" s="188" t="s">
        <v>19</v>
      </c>
      <c r="AX476" s="188" t="s">
        <v>19</v>
      </c>
      <c r="AY476" s="234" t="s">
        <v>19</v>
      </c>
      <c r="AZ476" s="188" t="s">
        <v>19</v>
      </c>
      <c r="BA476" s="188" t="s">
        <v>19</v>
      </c>
      <c r="BB476" s="234" t="s">
        <v>306</v>
      </c>
      <c r="BC476" s="235" t="s">
        <v>306</v>
      </c>
      <c r="BD476" s="209"/>
    </row>
    <row r="477" spans="1:56" ht="12.75" customHeight="1" x14ac:dyDescent="0.25">
      <c r="A477" s="238">
        <v>44797.031867696758</v>
      </c>
      <c r="B477" s="137" t="s">
        <v>427</v>
      </c>
      <c r="C477" s="211" t="s">
        <v>595</v>
      </c>
      <c r="D477" s="211" t="s">
        <v>17</v>
      </c>
      <c r="E477" s="232" t="s">
        <v>515</v>
      </c>
      <c r="F477" s="188" t="s">
        <v>1058</v>
      </c>
      <c r="G477" s="211" t="s">
        <v>18</v>
      </c>
      <c r="H477" s="211">
        <v>12</v>
      </c>
      <c r="I477" s="188" t="s">
        <v>531</v>
      </c>
      <c r="J477" s="188" t="s">
        <v>532</v>
      </c>
      <c r="K477" s="209" t="s">
        <v>539</v>
      </c>
      <c r="L477" s="188" t="s">
        <v>518</v>
      </c>
      <c r="M477" s="188" t="s">
        <v>375</v>
      </c>
      <c r="N477" s="188"/>
      <c r="O477" s="188"/>
      <c r="P477" s="188"/>
      <c r="Q477" s="188" t="s">
        <v>19</v>
      </c>
      <c r="R477" s="188" t="s">
        <v>19</v>
      </c>
      <c r="S477" s="234" t="s">
        <v>19</v>
      </c>
      <c r="T477" s="188" t="s">
        <v>19</v>
      </c>
      <c r="U477" s="188" t="s">
        <v>19</v>
      </c>
      <c r="V477" s="234" t="s">
        <v>19</v>
      </c>
      <c r="W477" s="188" t="s">
        <v>19</v>
      </c>
      <c r="X477" s="188" t="s">
        <v>19</v>
      </c>
      <c r="Y477" s="234" t="s">
        <v>19</v>
      </c>
      <c r="Z477" s="188" t="s">
        <v>19</v>
      </c>
      <c r="AA477" s="188" t="s">
        <v>19</v>
      </c>
      <c r="AB477" s="234" t="s">
        <v>19</v>
      </c>
      <c r="AC477" s="235" t="s">
        <v>19</v>
      </c>
      <c r="AD477" s="188" t="s">
        <v>19</v>
      </c>
      <c r="AE477" s="188" t="s">
        <v>19</v>
      </c>
      <c r="AF477" s="234" t="s">
        <v>19</v>
      </c>
      <c r="AG477" s="188" t="s">
        <v>19</v>
      </c>
      <c r="AH477" s="188" t="s">
        <v>19</v>
      </c>
      <c r="AI477" s="234" t="s">
        <v>19</v>
      </c>
      <c r="AJ477" s="188" t="s">
        <v>19</v>
      </c>
      <c r="AK477" s="188" t="s">
        <v>19</v>
      </c>
      <c r="AL477" s="234" t="s">
        <v>19</v>
      </c>
      <c r="AM477" s="188" t="s">
        <v>19</v>
      </c>
      <c r="AN477" s="188" t="s">
        <v>19</v>
      </c>
      <c r="AO477" s="234" t="s">
        <v>19</v>
      </c>
      <c r="AP477" s="235" t="s">
        <v>19</v>
      </c>
      <c r="AQ477" s="188" t="s">
        <v>19</v>
      </c>
      <c r="AR477" s="188" t="s">
        <v>19</v>
      </c>
      <c r="AS477" s="234" t="s">
        <v>19</v>
      </c>
      <c r="AT477" s="188" t="s">
        <v>19</v>
      </c>
      <c r="AU477" s="188" t="s">
        <v>19</v>
      </c>
      <c r="AV477" s="234" t="s">
        <v>19</v>
      </c>
      <c r="AW477" s="188" t="s">
        <v>19</v>
      </c>
      <c r="AX477" s="188" t="s">
        <v>19</v>
      </c>
      <c r="AY477" s="234" t="s">
        <v>19</v>
      </c>
      <c r="AZ477" s="188" t="s">
        <v>19</v>
      </c>
      <c r="BA477" s="188" t="s">
        <v>19</v>
      </c>
      <c r="BB477" s="234" t="s">
        <v>25</v>
      </c>
      <c r="BC477" s="235" t="s">
        <v>25</v>
      </c>
      <c r="BD477" s="209"/>
    </row>
    <row r="478" spans="1:56" ht="12.75" customHeight="1" x14ac:dyDescent="0.25">
      <c r="A478" s="238">
        <v>44797.03346726852</v>
      </c>
      <c r="B478" s="137" t="s">
        <v>427</v>
      </c>
      <c r="C478" s="211" t="s">
        <v>595</v>
      </c>
      <c r="D478" s="211" t="s">
        <v>17</v>
      </c>
      <c r="E478" s="232" t="s">
        <v>515</v>
      </c>
      <c r="F478" s="188" t="s">
        <v>1059</v>
      </c>
      <c r="G478" s="211" t="s">
        <v>18</v>
      </c>
      <c r="H478" s="211">
        <v>12</v>
      </c>
      <c r="I478" s="188" t="s">
        <v>531</v>
      </c>
      <c r="J478" s="188" t="s">
        <v>532</v>
      </c>
      <c r="K478" s="209" t="s">
        <v>539</v>
      </c>
      <c r="L478" s="188" t="s">
        <v>518</v>
      </c>
      <c r="M478" s="188" t="s">
        <v>375</v>
      </c>
      <c r="N478" s="188"/>
      <c r="O478" s="188"/>
      <c r="P478" s="188"/>
      <c r="Q478" s="188" t="s">
        <v>19</v>
      </c>
      <c r="R478" s="188" t="s">
        <v>19</v>
      </c>
      <c r="S478" s="234" t="s">
        <v>19</v>
      </c>
      <c r="T478" s="188" t="s">
        <v>19</v>
      </c>
      <c r="U478" s="188" t="s">
        <v>19</v>
      </c>
      <c r="V478" s="234" t="s">
        <v>19</v>
      </c>
      <c r="W478" s="188" t="s">
        <v>19</v>
      </c>
      <c r="X478" s="188" t="s">
        <v>19</v>
      </c>
      <c r="Y478" s="234" t="s">
        <v>19</v>
      </c>
      <c r="Z478" s="188" t="s">
        <v>19</v>
      </c>
      <c r="AA478" s="188" t="s">
        <v>19</v>
      </c>
      <c r="AB478" s="234" t="s">
        <v>19</v>
      </c>
      <c r="AC478" s="235" t="s">
        <v>19</v>
      </c>
      <c r="AD478" s="188" t="s">
        <v>19</v>
      </c>
      <c r="AE478" s="188" t="s">
        <v>19</v>
      </c>
      <c r="AF478" s="234" t="s">
        <v>19</v>
      </c>
      <c r="AG478" s="188" t="s">
        <v>19</v>
      </c>
      <c r="AH478" s="188" t="s">
        <v>19</v>
      </c>
      <c r="AI478" s="234" t="s">
        <v>19</v>
      </c>
      <c r="AJ478" s="188" t="s">
        <v>19</v>
      </c>
      <c r="AK478" s="188" t="s">
        <v>19</v>
      </c>
      <c r="AL478" s="234" t="s">
        <v>19</v>
      </c>
      <c r="AM478" s="188" t="s">
        <v>19</v>
      </c>
      <c r="AN478" s="188" t="s">
        <v>19</v>
      </c>
      <c r="AO478" s="234" t="s">
        <v>19</v>
      </c>
      <c r="AP478" s="235" t="s">
        <v>19</v>
      </c>
      <c r="AQ478" s="188" t="s">
        <v>19</v>
      </c>
      <c r="AR478" s="188" t="s">
        <v>19</v>
      </c>
      <c r="AS478" s="234" t="s">
        <v>19</v>
      </c>
      <c r="AT478" s="188" t="s">
        <v>19</v>
      </c>
      <c r="AU478" s="188" t="s">
        <v>19</v>
      </c>
      <c r="AV478" s="234" t="s">
        <v>19</v>
      </c>
      <c r="AW478" s="188" t="s">
        <v>19</v>
      </c>
      <c r="AX478" s="188" t="s">
        <v>19</v>
      </c>
      <c r="AY478" s="234" t="s">
        <v>19</v>
      </c>
      <c r="AZ478" s="188" t="s">
        <v>19</v>
      </c>
      <c r="BA478" s="188" t="s">
        <v>19</v>
      </c>
      <c r="BB478" s="234" t="s">
        <v>25</v>
      </c>
      <c r="BC478" s="235" t="s">
        <v>25</v>
      </c>
      <c r="BD478" s="209"/>
    </row>
    <row r="479" spans="1:56" ht="12.75" customHeight="1" x14ac:dyDescent="0.25">
      <c r="A479" s="238">
        <v>45259.661782962961</v>
      </c>
      <c r="B479" s="233" t="s">
        <v>427</v>
      </c>
      <c r="C479" s="232" t="s">
        <v>587</v>
      </c>
      <c r="D479" s="232" t="s">
        <v>17</v>
      </c>
      <c r="E479" s="232" t="s">
        <v>605</v>
      </c>
      <c r="F479" s="209" t="s">
        <v>1060</v>
      </c>
      <c r="G479" s="232" t="s">
        <v>24</v>
      </c>
      <c r="H479" s="232">
        <v>16</v>
      </c>
      <c r="I479" s="209" t="s">
        <v>531</v>
      </c>
      <c r="J479" s="188"/>
      <c r="K479" s="209" t="s">
        <v>539</v>
      </c>
      <c r="L479" s="209" t="s">
        <v>518</v>
      </c>
      <c r="M479" s="209" t="s">
        <v>375</v>
      </c>
      <c r="N479" s="209" t="s">
        <v>375</v>
      </c>
      <c r="O479" s="232" t="s">
        <v>531</v>
      </c>
      <c r="P479" s="188"/>
      <c r="Q479" s="209" t="s">
        <v>306</v>
      </c>
      <c r="R479" s="209" t="s">
        <v>19</v>
      </c>
      <c r="S479" s="234" t="s">
        <v>306</v>
      </c>
      <c r="T479" s="209" t="s">
        <v>19</v>
      </c>
      <c r="U479" s="209" t="s">
        <v>306</v>
      </c>
      <c r="V479" s="234" t="s">
        <v>306</v>
      </c>
      <c r="W479" s="209" t="s">
        <v>306</v>
      </c>
      <c r="X479" s="209" t="s">
        <v>19</v>
      </c>
      <c r="Y479" s="234" t="s">
        <v>306</v>
      </c>
      <c r="Z479" s="209" t="s">
        <v>306</v>
      </c>
      <c r="AA479" s="209" t="s">
        <v>306</v>
      </c>
      <c r="AB479" s="234" t="s">
        <v>306</v>
      </c>
      <c r="AC479" s="235" t="s">
        <v>306</v>
      </c>
      <c r="AD479" s="209" t="s">
        <v>306</v>
      </c>
      <c r="AE479" s="209" t="s">
        <v>306</v>
      </c>
      <c r="AF479" s="234" t="s">
        <v>306</v>
      </c>
      <c r="AG479" s="209" t="s">
        <v>306</v>
      </c>
      <c r="AH479" s="209" t="s">
        <v>19</v>
      </c>
      <c r="AI479" s="234" t="s">
        <v>306</v>
      </c>
      <c r="AJ479" s="209" t="s">
        <v>306</v>
      </c>
      <c r="AK479" s="209" t="s">
        <v>306</v>
      </c>
      <c r="AL479" s="234" t="s">
        <v>306</v>
      </c>
      <c r="AM479" s="209" t="s">
        <v>19</v>
      </c>
      <c r="AN479" s="209" t="s">
        <v>19</v>
      </c>
      <c r="AO479" s="234" t="s">
        <v>19</v>
      </c>
      <c r="AP479" s="235" t="s">
        <v>306</v>
      </c>
      <c r="AQ479" s="209" t="s">
        <v>25</v>
      </c>
      <c r="AR479" s="209" t="s">
        <v>25</v>
      </c>
      <c r="AS479" s="234" t="s">
        <v>25</v>
      </c>
      <c r="AT479" s="209" t="s">
        <v>25</v>
      </c>
      <c r="AU479" s="209" t="s">
        <v>25</v>
      </c>
      <c r="AV479" s="234" t="s">
        <v>25</v>
      </c>
      <c r="AW479" s="209" t="s">
        <v>306</v>
      </c>
      <c r="AX479" s="209" t="s">
        <v>306</v>
      </c>
      <c r="AY479" s="234" t="s">
        <v>306</v>
      </c>
      <c r="AZ479" s="209" t="s">
        <v>306</v>
      </c>
      <c r="BA479" s="209" t="s">
        <v>25</v>
      </c>
      <c r="BB479" s="234" t="s">
        <v>25</v>
      </c>
      <c r="BC479" s="235" t="s">
        <v>25</v>
      </c>
      <c r="BD479" s="209"/>
    </row>
    <row r="480" spans="1:56" ht="12.75" customHeight="1" x14ac:dyDescent="0.25">
      <c r="A480" s="238">
        <v>45259.665461979166</v>
      </c>
      <c r="B480" s="233" t="s">
        <v>427</v>
      </c>
      <c r="C480" s="232" t="s">
        <v>587</v>
      </c>
      <c r="D480" s="232" t="s">
        <v>17</v>
      </c>
      <c r="E480" s="232" t="s">
        <v>605</v>
      </c>
      <c r="F480" s="209" t="s">
        <v>1061</v>
      </c>
      <c r="G480" s="232" t="s">
        <v>24</v>
      </c>
      <c r="H480" s="232">
        <v>16</v>
      </c>
      <c r="I480" s="209" t="s">
        <v>531</v>
      </c>
      <c r="J480" s="188"/>
      <c r="K480" s="209" t="s">
        <v>539</v>
      </c>
      <c r="L480" s="209" t="s">
        <v>518</v>
      </c>
      <c r="M480" s="209" t="s">
        <v>375</v>
      </c>
      <c r="N480" s="209" t="s">
        <v>375</v>
      </c>
      <c r="O480" s="232" t="s">
        <v>531</v>
      </c>
      <c r="P480" s="188"/>
      <c r="Q480" s="209" t="s">
        <v>306</v>
      </c>
      <c r="R480" s="209" t="s">
        <v>19</v>
      </c>
      <c r="S480" s="234" t="s">
        <v>306</v>
      </c>
      <c r="T480" s="209" t="s">
        <v>19</v>
      </c>
      <c r="U480" s="209" t="s">
        <v>306</v>
      </c>
      <c r="V480" s="234" t="s">
        <v>306</v>
      </c>
      <c r="W480" s="209" t="s">
        <v>306</v>
      </c>
      <c r="X480" s="209" t="s">
        <v>306</v>
      </c>
      <c r="Y480" s="234" t="s">
        <v>306</v>
      </c>
      <c r="Z480" s="209" t="s">
        <v>306</v>
      </c>
      <c r="AA480" s="209" t="s">
        <v>306</v>
      </c>
      <c r="AB480" s="234" t="s">
        <v>306</v>
      </c>
      <c r="AC480" s="235" t="s">
        <v>306</v>
      </c>
      <c r="AD480" s="209" t="s">
        <v>306</v>
      </c>
      <c r="AE480" s="209" t="s">
        <v>306</v>
      </c>
      <c r="AF480" s="234" t="s">
        <v>306</v>
      </c>
      <c r="AG480" s="209" t="s">
        <v>306</v>
      </c>
      <c r="AH480" s="209" t="s">
        <v>306</v>
      </c>
      <c r="AI480" s="234" t="s">
        <v>306</v>
      </c>
      <c r="AJ480" s="209" t="s">
        <v>306</v>
      </c>
      <c r="AK480" s="209" t="s">
        <v>306</v>
      </c>
      <c r="AL480" s="234" t="s">
        <v>306</v>
      </c>
      <c r="AM480" s="209" t="s">
        <v>19</v>
      </c>
      <c r="AN480" s="209" t="s">
        <v>19</v>
      </c>
      <c r="AO480" s="234" t="s">
        <v>19</v>
      </c>
      <c r="AP480" s="235" t="s">
        <v>306</v>
      </c>
      <c r="AQ480" s="209" t="s">
        <v>25</v>
      </c>
      <c r="AR480" s="209" t="s">
        <v>25</v>
      </c>
      <c r="AS480" s="234" t="s">
        <v>25</v>
      </c>
      <c r="AT480" s="209" t="s">
        <v>25</v>
      </c>
      <c r="AU480" s="209" t="s">
        <v>25</v>
      </c>
      <c r="AV480" s="234" t="s">
        <v>25</v>
      </c>
      <c r="AW480" s="209" t="s">
        <v>306</v>
      </c>
      <c r="AX480" s="209" t="s">
        <v>306</v>
      </c>
      <c r="AY480" s="234" t="s">
        <v>306</v>
      </c>
      <c r="AZ480" s="209" t="s">
        <v>25</v>
      </c>
      <c r="BA480" s="209" t="s">
        <v>25</v>
      </c>
      <c r="BB480" s="234" t="s">
        <v>306</v>
      </c>
      <c r="BC480" s="235" t="s">
        <v>306</v>
      </c>
      <c r="BD480" s="209"/>
    </row>
    <row r="481" spans="1:56" ht="12.75" customHeight="1" x14ac:dyDescent="0.25">
      <c r="A481" s="238">
        <v>45259.669777106479</v>
      </c>
      <c r="B481" s="233" t="s">
        <v>427</v>
      </c>
      <c r="C481" s="232" t="s">
        <v>587</v>
      </c>
      <c r="D481" s="232" t="s">
        <v>17</v>
      </c>
      <c r="E481" s="232" t="s">
        <v>605</v>
      </c>
      <c r="F481" s="209" t="s">
        <v>1062</v>
      </c>
      <c r="G481" s="232" t="s">
        <v>24</v>
      </c>
      <c r="H481" s="232">
        <v>17</v>
      </c>
      <c r="I481" s="209" t="s">
        <v>531</v>
      </c>
      <c r="J481" s="188"/>
      <c r="K481" s="209" t="s">
        <v>539</v>
      </c>
      <c r="L481" s="209" t="s">
        <v>518</v>
      </c>
      <c r="M481" s="209" t="s">
        <v>375</v>
      </c>
      <c r="N481" s="209" t="s">
        <v>375</v>
      </c>
      <c r="O481" s="232" t="s">
        <v>531</v>
      </c>
      <c r="P481" s="188"/>
      <c r="Q481" s="209" t="s">
        <v>306</v>
      </c>
      <c r="R481" s="209" t="s">
        <v>19</v>
      </c>
      <c r="S481" s="234" t="s">
        <v>306</v>
      </c>
      <c r="T481" s="209" t="s">
        <v>306</v>
      </c>
      <c r="U481" s="209" t="s">
        <v>306</v>
      </c>
      <c r="V481" s="234" t="s">
        <v>306</v>
      </c>
      <c r="W481" s="209" t="s">
        <v>306</v>
      </c>
      <c r="X481" s="209" t="s">
        <v>306</v>
      </c>
      <c r="Y481" s="234" t="s">
        <v>306</v>
      </c>
      <c r="Z481" s="209" t="s">
        <v>306</v>
      </c>
      <c r="AA481" s="209" t="s">
        <v>306</v>
      </c>
      <c r="AB481" s="234" t="s">
        <v>306</v>
      </c>
      <c r="AC481" s="235" t="s">
        <v>306</v>
      </c>
      <c r="AD481" s="209" t="s">
        <v>306</v>
      </c>
      <c r="AE481" s="209" t="s">
        <v>306</v>
      </c>
      <c r="AF481" s="234" t="s">
        <v>306</v>
      </c>
      <c r="AG481" s="209" t="s">
        <v>306</v>
      </c>
      <c r="AH481" s="209" t="s">
        <v>306</v>
      </c>
      <c r="AI481" s="234" t="s">
        <v>306</v>
      </c>
      <c r="AJ481" s="209" t="s">
        <v>25</v>
      </c>
      <c r="AK481" s="209" t="s">
        <v>306</v>
      </c>
      <c r="AL481" s="234" t="s">
        <v>25</v>
      </c>
      <c r="AM481" s="209" t="s">
        <v>19</v>
      </c>
      <c r="AN481" s="209" t="s">
        <v>306</v>
      </c>
      <c r="AO481" s="234" t="s">
        <v>306</v>
      </c>
      <c r="AP481" s="235" t="s">
        <v>306</v>
      </c>
      <c r="AQ481" s="209" t="s">
        <v>25</v>
      </c>
      <c r="AR481" s="209" t="s">
        <v>25</v>
      </c>
      <c r="AS481" s="234" t="s">
        <v>25</v>
      </c>
      <c r="AT481" s="209" t="s">
        <v>25</v>
      </c>
      <c r="AU481" s="209" t="s">
        <v>25</v>
      </c>
      <c r="AV481" s="234" t="s">
        <v>25</v>
      </c>
      <c r="AW481" s="209" t="s">
        <v>306</v>
      </c>
      <c r="AX481" s="209" t="s">
        <v>306</v>
      </c>
      <c r="AY481" s="234" t="s">
        <v>306</v>
      </c>
      <c r="AZ481" s="209" t="s">
        <v>25</v>
      </c>
      <c r="BA481" s="209" t="s">
        <v>25</v>
      </c>
      <c r="BB481" s="234" t="s">
        <v>25</v>
      </c>
      <c r="BC481" s="235" t="s">
        <v>25</v>
      </c>
      <c r="BD481" s="209"/>
    </row>
    <row r="482" spans="1:56" ht="12.75" customHeight="1" x14ac:dyDescent="0.25">
      <c r="A482" s="238">
        <v>45259.679706516203</v>
      </c>
      <c r="B482" s="233" t="s">
        <v>427</v>
      </c>
      <c r="C482" s="232" t="s">
        <v>587</v>
      </c>
      <c r="D482" s="232" t="s">
        <v>17</v>
      </c>
      <c r="E482" s="232" t="s">
        <v>605</v>
      </c>
      <c r="F482" s="209" t="s">
        <v>1063</v>
      </c>
      <c r="G482" s="232" t="s">
        <v>18</v>
      </c>
      <c r="H482" s="232">
        <v>16</v>
      </c>
      <c r="I482" s="209" t="s">
        <v>531</v>
      </c>
      <c r="J482" s="188"/>
      <c r="K482" s="209" t="s">
        <v>539</v>
      </c>
      <c r="L482" s="209" t="s">
        <v>518</v>
      </c>
      <c r="M482" s="209" t="s">
        <v>375</v>
      </c>
      <c r="N482" s="209" t="s">
        <v>375</v>
      </c>
      <c r="O482" s="232" t="s">
        <v>531</v>
      </c>
      <c r="P482" s="188"/>
      <c r="Q482" s="209" t="s">
        <v>25</v>
      </c>
      <c r="R482" s="209" t="s">
        <v>19</v>
      </c>
      <c r="S482" s="234" t="s">
        <v>306</v>
      </c>
      <c r="T482" s="209" t="s">
        <v>306</v>
      </c>
      <c r="U482" s="209" t="s">
        <v>306</v>
      </c>
      <c r="V482" s="234" t="s">
        <v>306</v>
      </c>
      <c r="W482" s="209" t="s">
        <v>306</v>
      </c>
      <c r="X482" s="209" t="s">
        <v>25</v>
      </c>
      <c r="Y482" s="234" t="s">
        <v>25</v>
      </c>
      <c r="Z482" s="209" t="s">
        <v>25</v>
      </c>
      <c r="AA482" s="209" t="s">
        <v>306</v>
      </c>
      <c r="AB482" s="234" t="s">
        <v>25</v>
      </c>
      <c r="AC482" s="235" t="s">
        <v>306</v>
      </c>
      <c r="AD482" s="209" t="s">
        <v>306</v>
      </c>
      <c r="AE482" s="209" t="s">
        <v>25</v>
      </c>
      <c r="AF482" s="234" t="s">
        <v>25</v>
      </c>
      <c r="AG482" s="209" t="s">
        <v>306</v>
      </c>
      <c r="AH482" s="209" t="s">
        <v>25</v>
      </c>
      <c r="AI482" s="234" t="s">
        <v>25</v>
      </c>
      <c r="AJ482" s="209" t="s">
        <v>25</v>
      </c>
      <c r="AK482" s="209" t="s">
        <v>25</v>
      </c>
      <c r="AL482" s="234" t="s">
        <v>25</v>
      </c>
      <c r="AM482" s="209" t="s">
        <v>306</v>
      </c>
      <c r="AN482" s="209" t="s">
        <v>306</v>
      </c>
      <c r="AO482" s="234" t="s">
        <v>306</v>
      </c>
      <c r="AP482" s="235" t="s">
        <v>25</v>
      </c>
      <c r="AQ482" s="209" t="s">
        <v>306</v>
      </c>
      <c r="AR482" s="209" t="s">
        <v>306</v>
      </c>
      <c r="AS482" s="234" t="s">
        <v>306</v>
      </c>
      <c r="AT482" s="209" t="s">
        <v>306</v>
      </c>
      <c r="AU482" s="209" t="s">
        <v>25</v>
      </c>
      <c r="AV482" s="234" t="s">
        <v>25</v>
      </c>
      <c r="AW482" s="209" t="s">
        <v>306</v>
      </c>
      <c r="AX482" s="209" t="s">
        <v>25</v>
      </c>
      <c r="AY482" s="234" t="s">
        <v>25</v>
      </c>
      <c r="AZ482" s="209" t="s">
        <v>25</v>
      </c>
      <c r="BA482" s="209" t="s">
        <v>25</v>
      </c>
      <c r="BB482" s="234" t="s">
        <v>25</v>
      </c>
      <c r="BC482" s="235" t="s">
        <v>25</v>
      </c>
      <c r="BD482" s="209"/>
    </row>
    <row r="483" spans="1:56" ht="12.75" customHeight="1" x14ac:dyDescent="0.25">
      <c r="A483" s="238">
        <v>45259.683317384261</v>
      </c>
      <c r="B483" s="233" t="s">
        <v>427</v>
      </c>
      <c r="C483" s="232" t="s">
        <v>587</v>
      </c>
      <c r="D483" s="232" t="s">
        <v>17</v>
      </c>
      <c r="E483" s="232" t="s">
        <v>605</v>
      </c>
      <c r="F483" s="209" t="s">
        <v>1064</v>
      </c>
      <c r="G483" s="232" t="s">
        <v>18</v>
      </c>
      <c r="H483" s="232">
        <v>17</v>
      </c>
      <c r="I483" s="209" t="s">
        <v>531</v>
      </c>
      <c r="J483" s="188"/>
      <c r="K483" s="209" t="s">
        <v>539</v>
      </c>
      <c r="L483" s="209" t="s">
        <v>518</v>
      </c>
      <c r="M483" s="209" t="s">
        <v>412</v>
      </c>
      <c r="N483" s="209" t="s">
        <v>653</v>
      </c>
      <c r="O483" s="232" t="s">
        <v>518</v>
      </c>
      <c r="P483" s="209" t="s">
        <v>824</v>
      </c>
      <c r="Q483" s="209" t="s">
        <v>25</v>
      </c>
      <c r="R483" s="209" t="s">
        <v>25</v>
      </c>
      <c r="S483" s="234" t="s">
        <v>25</v>
      </c>
      <c r="T483" s="209" t="s">
        <v>19</v>
      </c>
      <c r="U483" s="209" t="s">
        <v>19</v>
      </c>
      <c r="V483" s="234" t="s">
        <v>19</v>
      </c>
      <c r="W483" s="209" t="s">
        <v>19</v>
      </c>
      <c r="X483" s="209" t="s">
        <v>25</v>
      </c>
      <c r="Y483" s="234" t="s">
        <v>306</v>
      </c>
      <c r="Z483" s="209" t="s">
        <v>19</v>
      </c>
      <c r="AA483" s="209" t="s">
        <v>306</v>
      </c>
      <c r="AB483" s="234" t="s">
        <v>306</v>
      </c>
      <c r="AC483" s="235" t="s">
        <v>306</v>
      </c>
      <c r="AD483" s="209" t="s">
        <v>25</v>
      </c>
      <c r="AE483" s="209" t="s">
        <v>19</v>
      </c>
      <c r="AF483" s="234" t="s">
        <v>306</v>
      </c>
      <c r="AG483" s="209" t="s">
        <v>306</v>
      </c>
      <c r="AH483" s="209" t="s">
        <v>25</v>
      </c>
      <c r="AI483" s="234" t="s">
        <v>25</v>
      </c>
      <c r="AJ483" s="209" t="s">
        <v>19</v>
      </c>
      <c r="AK483" s="209" t="s">
        <v>25</v>
      </c>
      <c r="AL483" s="234" t="s">
        <v>306</v>
      </c>
      <c r="AM483" s="209" t="s">
        <v>306</v>
      </c>
      <c r="AN483" s="209" t="s">
        <v>25</v>
      </c>
      <c r="AO483" s="234" t="s">
        <v>25</v>
      </c>
      <c r="AP483" s="235" t="s">
        <v>306</v>
      </c>
      <c r="AQ483" s="209" t="s">
        <v>19</v>
      </c>
      <c r="AR483" s="209" t="s">
        <v>25</v>
      </c>
      <c r="AS483" s="234" t="s">
        <v>306</v>
      </c>
      <c r="AT483" s="209" t="s">
        <v>306</v>
      </c>
      <c r="AU483" s="209" t="s">
        <v>19</v>
      </c>
      <c r="AV483" s="234" t="s">
        <v>306</v>
      </c>
      <c r="AW483" s="209" t="s">
        <v>19</v>
      </c>
      <c r="AX483" s="209" t="s">
        <v>25</v>
      </c>
      <c r="AY483" s="234" t="s">
        <v>306</v>
      </c>
      <c r="AZ483" s="209" t="s">
        <v>25</v>
      </c>
      <c r="BA483" s="209" t="s">
        <v>306</v>
      </c>
      <c r="BB483" s="234" t="s">
        <v>306</v>
      </c>
      <c r="BC483" s="235" t="s">
        <v>306</v>
      </c>
      <c r="BD483" s="209"/>
    </row>
    <row r="484" spans="1:56" ht="12.75" customHeight="1" x14ac:dyDescent="0.25">
      <c r="A484" s="238">
        <v>45259.686568217592</v>
      </c>
      <c r="B484" s="233" t="s">
        <v>427</v>
      </c>
      <c r="C484" s="232" t="s">
        <v>587</v>
      </c>
      <c r="D484" s="232" t="s">
        <v>17</v>
      </c>
      <c r="E484" s="232" t="s">
        <v>605</v>
      </c>
      <c r="F484" s="209" t="s">
        <v>1065</v>
      </c>
      <c r="G484" s="232" t="s">
        <v>18</v>
      </c>
      <c r="H484" s="232">
        <v>16</v>
      </c>
      <c r="I484" s="209" t="s">
        <v>531</v>
      </c>
      <c r="J484" s="188"/>
      <c r="K484" s="209" t="s">
        <v>539</v>
      </c>
      <c r="L484" s="209" t="s">
        <v>518</v>
      </c>
      <c r="M484" s="209" t="s">
        <v>412</v>
      </c>
      <c r="N484" s="209" t="s">
        <v>389</v>
      </c>
      <c r="O484" s="232" t="s">
        <v>531</v>
      </c>
      <c r="P484" s="188"/>
      <c r="Q484" s="209" t="s">
        <v>25</v>
      </c>
      <c r="R484" s="209" t="s">
        <v>25</v>
      </c>
      <c r="S484" s="234" t="s">
        <v>25</v>
      </c>
      <c r="T484" s="209" t="s">
        <v>25</v>
      </c>
      <c r="U484" s="209" t="s">
        <v>25</v>
      </c>
      <c r="V484" s="234" t="s">
        <v>25</v>
      </c>
      <c r="W484" s="209" t="s">
        <v>306</v>
      </c>
      <c r="X484" s="209" t="s">
        <v>306</v>
      </c>
      <c r="Y484" s="234" t="s">
        <v>306</v>
      </c>
      <c r="Z484" s="209" t="s">
        <v>25</v>
      </c>
      <c r="AA484" s="209" t="s">
        <v>306</v>
      </c>
      <c r="AB484" s="234" t="s">
        <v>25</v>
      </c>
      <c r="AC484" s="235" t="s">
        <v>25</v>
      </c>
      <c r="AD484" s="209" t="s">
        <v>306</v>
      </c>
      <c r="AE484" s="209" t="s">
        <v>306</v>
      </c>
      <c r="AF484" s="234" t="s">
        <v>306</v>
      </c>
      <c r="AG484" s="209" t="s">
        <v>306</v>
      </c>
      <c r="AH484" s="209" t="s">
        <v>306</v>
      </c>
      <c r="AI484" s="234" t="s">
        <v>306</v>
      </c>
      <c r="AJ484" s="209" t="s">
        <v>306</v>
      </c>
      <c r="AK484" s="209" t="s">
        <v>306</v>
      </c>
      <c r="AL484" s="234" t="s">
        <v>306</v>
      </c>
      <c r="AM484" s="209" t="s">
        <v>306</v>
      </c>
      <c r="AN484" s="209" t="s">
        <v>306</v>
      </c>
      <c r="AO484" s="234" t="s">
        <v>306</v>
      </c>
      <c r="AP484" s="235" t="s">
        <v>306</v>
      </c>
      <c r="AQ484" s="209" t="s">
        <v>306</v>
      </c>
      <c r="AR484" s="209" t="s">
        <v>306</v>
      </c>
      <c r="AS484" s="234" t="s">
        <v>306</v>
      </c>
      <c r="AT484" s="209" t="s">
        <v>306</v>
      </c>
      <c r="AU484" s="209" t="s">
        <v>306</v>
      </c>
      <c r="AV484" s="234" t="s">
        <v>306</v>
      </c>
      <c r="AW484" s="209" t="s">
        <v>306</v>
      </c>
      <c r="AX484" s="209" t="s">
        <v>306</v>
      </c>
      <c r="AY484" s="234" t="s">
        <v>306</v>
      </c>
      <c r="AZ484" s="209" t="s">
        <v>306</v>
      </c>
      <c r="BA484" s="209" t="s">
        <v>306</v>
      </c>
      <c r="BB484" s="234" t="s">
        <v>25</v>
      </c>
      <c r="BC484" s="235" t="s">
        <v>25</v>
      </c>
      <c r="BD484" s="209"/>
    </row>
    <row r="485" spans="1:56" ht="12.75" customHeight="1" x14ac:dyDescent="0.25">
      <c r="A485" s="238">
        <v>45259.690752222217</v>
      </c>
      <c r="B485" s="233" t="s">
        <v>427</v>
      </c>
      <c r="C485" s="232" t="s">
        <v>587</v>
      </c>
      <c r="D485" s="232" t="s">
        <v>17</v>
      </c>
      <c r="E485" s="232" t="s">
        <v>605</v>
      </c>
      <c r="F485" s="209" t="s">
        <v>1066</v>
      </c>
      <c r="G485" s="232" t="s">
        <v>24</v>
      </c>
      <c r="H485" s="232">
        <v>16</v>
      </c>
      <c r="I485" s="209" t="s">
        <v>531</v>
      </c>
      <c r="J485" s="188"/>
      <c r="K485" s="209" t="s">
        <v>539</v>
      </c>
      <c r="L485" s="209" t="s">
        <v>518</v>
      </c>
      <c r="M485" s="209" t="s">
        <v>401</v>
      </c>
      <c r="N485" s="209" t="s">
        <v>653</v>
      </c>
      <c r="O485" s="232" t="s">
        <v>531</v>
      </c>
      <c r="P485" s="188"/>
      <c r="Q485" s="209" t="s">
        <v>306</v>
      </c>
      <c r="R485" s="209" t="s">
        <v>306</v>
      </c>
      <c r="S485" s="234" t="s">
        <v>306</v>
      </c>
      <c r="T485" s="209" t="s">
        <v>306</v>
      </c>
      <c r="U485" s="209" t="s">
        <v>25</v>
      </c>
      <c r="V485" s="234" t="s">
        <v>25</v>
      </c>
      <c r="W485" s="209" t="s">
        <v>306</v>
      </c>
      <c r="X485" s="209" t="s">
        <v>25</v>
      </c>
      <c r="Y485" s="234" t="s">
        <v>25</v>
      </c>
      <c r="Z485" s="209" t="s">
        <v>306</v>
      </c>
      <c r="AA485" s="209" t="s">
        <v>25</v>
      </c>
      <c r="AB485" s="234" t="s">
        <v>25</v>
      </c>
      <c r="AC485" s="235" t="s">
        <v>306</v>
      </c>
      <c r="AD485" s="209" t="s">
        <v>306</v>
      </c>
      <c r="AE485" s="209" t="s">
        <v>25</v>
      </c>
      <c r="AF485" s="234" t="s">
        <v>25</v>
      </c>
      <c r="AG485" s="209" t="s">
        <v>306</v>
      </c>
      <c r="AH485" s="209" t="s">
        <v>19</v>
      </c>
      <c r="AI485" s="234" t="s">
        <v>306</v>
      </c>
      <c r="AJ485" s="209" t="s">
        <v>306</v>
      </c>
      <c r="AK485" s="209" t="s">
        <v>25</v>
      </c>
      <c r="AL485" s="234" t="s">
        <v>25</v>
      </c>
      <c r="AM485" s="209" t="s">
        <v>19</v>
      </c>
      <c r="AN485" s="209" t="s">
        <v>306</v>
      </c>
      <c r="AO485" s="234" t="s">
        <v>306</v>
      </c>
      <c r="AP485" s="235" t="s">
        <v>306</v>
      </c>
      <c r="AQ485" s="209" t="s">
        <v>306</v>
      </c>
      <c r="AR485" s="209" t="s">
        <v>19</v>
      </c>
      <c r="AS485" s="234" t="s">
        <v>306</v>
      </c>
      <c r="AT485" s="209" t="s">
        <v>25</v>
      </c>
      <c r="AU485" s="209" t="s">
        <v>25</v>
      </c>
      <c r="AV485" s="234" t="s">
        <v>25</v>
      </c>
      <c r="AW485" s="209" t="s">
        <v>306</v>
      </c>
      <c r="AX485" s="209" t="s">
        <v>25</v>
      </c>
      <c r="AY485" s="234" t="s">
        <v>25</v>
      </c>
      <c r="AZ485" s="209" t="s">
        <v>25</v>
      </c>
      <c r="BA485" s="209" t="s">
        <v>25</v>
      </c>
      <c r="BB485" s="234" t="s">
        <v>25</v>
      </c>
      <c r="BC485" s="235" t="s">
        <v>25</v>
      </c>
      <c r="BD485" s="209"/>
    </row>
    <row r="486" spans="1:56" ht="12.75" customHeight="1" x14ac:dyDescent="0.25">
      <c r="A486" s="238">
        <v>45259.697277071755</v>
      </c>
      <c r="B486" s="233" t="s">
        <v>427</v>
      </c>
      <c r="C486" s="232" t="s">
        <v>587</v>
      </c>
      <c r="D486" s="232" t="s">
        <v>17</v>
      </c>
      <c r="E486" s="232" t="s">
        <v>605</v>
      </c>
      <c r="F486" s="209" t="s">
        <v>1067</v>
      </c>
      <c r="G486" s="232" t="s">
        <v>24</v>
      </c>
      <c r="H486" s="232">
        <v>15</v>
      </c>
      <c r="I486" s="209" t="s">
        <v>531</v>
      </c>
      <c r="J486" s="188"/>
      <c r="K486" s="209" t="s">
        <v>539</v>
      </c>
      <c r="L486" s="209" t="s">
        <v>518</v>
      </c>
      <c r="M486" s="209" t="s">
        <v>375</v>
      </c>
      <c r="N486" s="209" t="s">
        <v>375</v>
      </c>
      <c r="O486" s="232" t="s">
        <v>531</v>
      </c>
      <c r="P486" s="188"/>
      <c r="Q486" s="209" t="s">
        <v>25</v>
      </c>
      <c r="R486" s="209" t="s">
        <v>306</v>
      </c>
      <c r="S486" s="234" t="s">
        <v>25</v>
      </c>
      <c r="T486" s="209" t="s">
        <v>306</v>
      </c>
      <c r="U486" s="209" t="s">
        <v>25</v>
      </c>
      <c r="V486" s="234" t="s">
        <v>25</v>
      </c>
      <c r="W486" s="209" t="s">
        <v>306</v>
      </c>
      <c r="X486" s="209" t="s">
        <v>306</v>
      </c>
      <c r="Y486" s="234" t="s">
        <v>306</v>
      </c>
      <c r="Z486" s="209" t="s">
        <v>25</v>
      </c>
      <c r="AA486" s="209" t="s">
        <v>25</v>
      </c>
      <c r="AB486" s="234" t="s">
        <v>25</v>
      </c>
      <c r="AC486" s="235" t="s">
        <v>25</v>
      </c>
      <c r="AD486" s="209" t="s">
        <v>25</v>
      </c>
      <c r="AE486" s="209" t="s">
        <v>306</v>
      </c>
      <c r="AF486" s="234" t="s">
        <v>25</v>
      </c>
      <c r="AG486" s="209" t="s">
        <v>306</v>
      </c>
      <c r="AH486" s="209" t="s">
        <v>306</v>
      </c>
      <c r="AI486" s="234" t="s">
        <v>306</v>
      </c>
      <c r="AJ486" s="209" t="s">
        <v>25</v>
      </c>
      <c r="AK486" s="209" t="s">
        <v>306</v>
      </c>
      <c r="AL486" s="234" t="s">
        <v>25</v>
      </c>
      <c r="AM486" s="209" t="s">
        <v>306</v>
      </c>
      <c r="AN486" s="209" t="s">
        <v>306</v>
      </c>
      <c r="AO486" s="234" t="s">
        <v>306</v>
      </c>
      <c r="AP486" s="235" t="s">
        <v>306</v>
      </c>
      <c r="AQ486" s="209" t="s">
        <v>19</v>
      </c>
      <c r="AR486" s="209" t="s">
        <v>306</v>
      </c>
      <c r="AS486" s="234" t="s">
        <v>306</v>
      </c>
      <c r="AT486" s="209" t="s">
        <v>25</v>
      </c>
      <c r="AU486" s="209" t="s">
        <v>25</v>
      </c>
      <c r="AV486" s="234" t="s">
        <v>25</v>
      </c>
      <c r="AW486" s="209" t="s">
        <v>306</v>
      </c>
      <c r="AX486" s="209" t="s">
        <v>306</v>
      </c>
      <c r="AY486" s="234" t="s">
        <v>306</v>
      </c>
      <c r="AZ486" s="209" t="s">
        <v>306</v>
      </c>
      <c r="BA486" s="209" t="s">
        <v>25</v>
      </c>
      <c r="BB486" s="234" t="s">
        <v>306</v>
      </c>
      <c r="BC486" s="235" t="s">
        <v>306</v>
      </c>
      <c r="BD486" s="209"/>
    </row>
    <row r="487" spans="1:56" ht="12.75" customHeight="1" x14ac:dyDescent="0.25">
      <c r="A487" s="238">
        <v>45259.708441817129</v>
      </c>
      <c r="B487" s="233" t="s">
        <v>427</v>
      </c>
      <c r="C487" s="232" t="s">
        <v>587</v>
      </c>
      <c r="D487" s="232" t="s">
        <v>17</v>
      </c>
      <c r="E487" s="232" t="s">
        <v>605</v>
      </c>
      <c r="F487" s="209" t="s">
        <v>1068</v>
      </c>
      <c r="G487" s="232" t="s">
        <v>18</v>
      </c>
      <c r="H487" s="232">
        <v>16</v>
      </c>
      <c r="I487" s="209" t="s">
        <v>531</v>
      </c>
      <c r="J487" s="188"/>
      <c r="K487" s="209" t="s">
        <v>539</v>
      </c>
      <c r="L487" s="209" t="s">
        <v>518</v>
      </c>
      <c r="M487" s="209" t="s">
        <v>389</v>
      </c>
      <c r="N487" s="209" t="s">
        <v>389</v>
      </c>
      <c r="O487" s="232" t="s">
        <v>531</v>
      </c>
      <c r="P487" s="188"/>
      <c r="Q487" s="209" t="s">
        <v>306</v>
      </c>
      <c r="R487" s="209" t="s">
        <v>25</v>
      </c>
      <c r="S487" s="234" t="s">
        <v>25</v>
      </c>
      <c r="T487" s="209" t="s">
        <v>306</v>
      </c>
      <c r="U487" s="209" t="s">
        <v>25</v>
      </c>
      <c r="V487" s="234" t="s">
        <v>25</v>
      </c>
      <c r="W487" s="209" t="s">
        <v>306</v>
      </c>
      <c r="X487" s="209" t="s">
        <v>306</v>
      </c>
      <c r="Y487" s="234" t="s">
        <v>306</v>
      </c>
      <c r="Z487" s="209" t="s">
        <v>25</v>
      </c>
      <c r="AA487" s="209" t="s">
        <v>306</v>
      </c>
      <c r="AB487" s="234" t="s">
        <v>25</v>
      </c>
      <c r="AC487" s="235" t="s">
        <v>306</v>
      </c>
      <c r="AD487" s="209" t="s">
        <v>306</v>
      </c>
      <c r="AE487" s="209" t="s">
        <v>25</v>
      </c>
      <c r="AF487" s="234" t="s">
        <v>25</v>
      </c>
      <c r="AG487" s="209" t="s">
        <v>306</v>
      </c>
      <c r="AH487" s="209" t="s">
        <v>25</v>
      </c>
      <c r="AI487" s="234" t="s">
        <v>25</v>
      </c>
      <c r="AJ487" s="209" t="s">
        <v>306</v>
      </c>
      <c r="AK487" s="209" t="s">
        <v>306</v>
      </c>
      <c r="AL487" s="234" t="s">
        <v>306</v>
      </c>
      <c r="AM487" s="209" t="s">
        <v>306</v>
      </c>
      <c r="AN487" s="209" t="s">
        <v>306</v>
      </c>
      <c r="AO487" s="234" t="s">
        <v>306</v>
      </c>
      <c r="AP487" s="235" t="s">
        <v>306</v>
      </c>
      <c r="AQ487" s="209" t="s">
        <v>306</v>
      </c>
      <c r="AR487" s="209" t="s">
        <v>25</v>
      </c>
      <c r="AS487" s="234" t="s">
        <v>25</v>
      </c>
      <c r="AT487" s="209" t="s">
        <v>306</v>
      </c>
      <c r="AU487" s="209" t="s">
        <v>25</v>
      </c>
      <c r="AV487" s="234" t="s">
        <v>25</v>
      </c>
      <c r="AW487" s="209" t="s">
        <v>306</v>
      </c>
      <c r="AX487" s="209" t="s">
        <v>25</v>
      </c>
      <c r="AY487" s="234" t="s">
        <v>25</v>
      </c>
      <c r="AZ487" s="209" t="s">
        <v>25</v>
      </c>
      <c r="BA487" s="209" t="s">
        <v>25</v>
      </c>
      <c r="BB487" s="234" t="s">
        <v>25</v>
      </c>
      <c r="BC487" s="235" t="s">
        <v>25</v>
      </c>
      <c r="BD487" s="209"/>
    </row>
    <row r="488" spans="1:56" ht="12.75" customHeight="1" x14ac:dyDescent="0.25">
      <c r="A488" s="238">
        <v>45259.711922511575</v>
      </c>
      <c r="B488" s="233" t="s">
        <v>427</v>
      </c>
      <c r="C488" s="232" t="s">
        <v>587</v>
      </c>
      <c r="D488" s="232" t="s">
        <v>17</v>
      </c>
      <c r="E488" s="232" t="s">
        <v>605</v>
      </c>
      <c r="F488" s="209" t="s">
        <v>1069</v>
      </c>
      <c r="G488" s="232" t="s">
        <v>24</v>
      </c>
      <c r="H488" s="232">
        <v>15</v>
      </c>
      <c r="I488" s="209" t="s">
        <v>531</v>
      </c>
      <c r="J488" s="188"/>
      <c r="K488" s="209" t="s">
        <v>539</v>
      </c>
      <c r="L488" s="209" t="s">
        <v>518</v>
      </c>
      <c r="M488" s="209" t="s">
        <v>389</v>
      </c>
      <c r="N488" s="209" t="s">
        <v>389</v>
      </c>
      <c r="O488" s="232" t="s">
        <v>531</v>
      </c>
      <c r="P488" s="188"/>
      <c r="Q488" s="209" t="s">
        <v>306</v>
      </c>
      <c r="R488" s="209" t="s">
        <v>306</v>
      </c>
      <c r="S488" s="234" t="s">
        <v>306</v>
      </c>
      <c r="T488" s="209" t="s">
        <v>19</v>
      </c>
      <c r="U488" s="209" t="s">
        <v>25</v>
      </c>
      <c r="V488" s="234" t="s">
        <v>306</v>
      </c>
      <c r="W488" s="209" t="s">
        <v>306</v>
      </c>
      <c r="X488" s="209" t="s">
        <v>306</v>
      </c>
      <c r="Y488" s="234" t="s">
        <v>306</v>
      </c>
      <c r="Z488" s="209" t="s">
        <v>306</v>
      </c>
      <c r="AA488" s="209" t="s">
        <v>25</v>
      </c>
      <c r="AB488" s="234" t="s">
        <v>25</v>
      </c>
      <c r="AC488" s="235" t="s">
        <v>306</v>
      </c>
      <c r="AD488" s="209" t="s">
        <v>306</v>
      </c>
      <c r="AE488" s="209" t="s">
        <v>25</v>
      </c>
      <c r="AF488" s="234" t="s">
        <v>25</v>
      </c>
      <c r="AG488" s="209" t="s">
        <v>306</v>
      </c>
      <c r="AH488" s="209" t="s">
        <v>306</v>
      </c>
      <c r="AI488" s="234" t="s">
        <v>306</v>
      </c>
      <c r="AJ488" s="209" t="s">
        <v>25</v>
      </c>
      <c r="AK488" s="209" t="s">
        <v>306</v>
      </c>
      <c r="AL488" s="234" t="s">
        <v>25</v>
      </c>
      <c r="AM488" s="209" t="s">
        <v>306</v>
      </c>
      <c r="AN488" s="209" t="s">
        <v>306</v>
      </c>
      <c r="AO488" s="234" t="s">
        <v>306</v>
      </c>
      <c r="AP488" s="235" t="s">
        <v>306</v>
      </c>
      <c r="AQ488" s="209" t="s">
        <v>306</v>
      </c>
      <c r="AR488" s="209" t="s">
        <v>306</v>
      </c>
      <c r="AS488" s="234" t="s">
        <v>306</v>
      </c>
      <c r="AT488" s="209" t="s">
        <v>25</v>
      </c>
      <c r="AU488" s="209" t="s">
        <v>25</v>
      </c>
      <c r="AV488" s="234" t="s">
        <v>25</v>
      </c>
      <c r="AW488" s="209" t="s">
        <v>25</v>
      </c>
      <c r="AX488" s="209" t="s">
        <v>306</v>
      </c>
      <c r="AY488" s="234" t="s">
        <v>25</v>
      </c>
      <c r="AZ488" s="209" t="s">
        <v>306</v>
      </c>
      <c r="BA488" s="209" t="s">
        <v>306</v>
      </c>
      <c r="BB488" s="234" t="s">
        <v>25</v>
      </c>
      <c r="BC488" s="235" t="s">
        <v>25</v>
      </c>
      <c r="BD488" s="209"/>
    </row>
    <row r="489" spans="1:56" ht="12.75" customHeight="1" x14ac:dyDescent="0.25">
      <c r="A489" s="238">
        <v>45259.714918148151</v>
      </c>
      <c r="B489" s="233" t="s">
        <v>427</v>
      </c>
      <c r="C489" s="232" t="s">
        <v>587</v>
      </c>
      <c r="D489" s="232" t="s">
        <v>17</v>
      </c>
      <c r="E489" s="232" t="s">
        <v>605</v>
      </c>
      <c r="F489" s="209" t="s">
        <v>1070</v>
      </c>
      <c r="G489" s="232" t="s">
        <v>18</v>
      </c>
      <c r="H489" s="232">
        <v>17</v>
      </c>
      <c r="I489" s="209" t="s">
        <v>531</v>
      </c>
      <c r="J489" s="188"/>
      <c r="K489" s="209" t="s">
        <v>539</v>
      </c>
      <c r="L489" s="209" t="s">
        <v>518</v>
      </c>
      <c r="M489" s="209" t="s">
        <v>368</v>
      </c>
      <c r="N489" s="209" t="s">
        <v>375</v>
      </c>
      <c r="O489" s="232" t="s">
        <v>531</v>
      </c>
      <c r="P489" s="188"/>
      <c r="Q489" s="209" t="s">
        <v>25</v>
      </c>
      <c r="R489" s="209" t="s">
        <v>306</v>
      </c>
      <c r="S489" s="234" t="s">
        <v>25</v>
      </c>
      <c r="T489" s="209" t="s">
        <v>306</v>
      </c>
      <c r="U489" s="209" t="s">
        <v>306</v>
      </c>
      <c r="V489" s="234" t="s">
        <v>306</v>
      </c>
      <c r="W489" s="209" t="s">
        <v>306</v>
      </c>
      <c r="X489" s="209" t="s">
        <v>306</v>
      </c>
      <c r="Y489" s="234" t="s">
        <v>306</v>
      </c>
      <c r="Z489" s="209" t="s">
        <v>306</v>
      </c>
      <c r="AA489" s="209" t="s">
        <v>306</v>
      </c>
      <c r="AB489" s="234" t="s">
        <v>306</v>
      </c>
      <c r="AC489" s="235" t="s">
        <v>306</v>
      </c>
      <c r="AD489" s="209" t="s">
        <v>306</v>
      </c>
      <c r="AE489" s="209" t="s">
        <v>25</v>
      </c>
      <c r="AF489" s="234" t="s">
        <v>25</v>
      </c>
      <c r="AG489" s="209" t="s">
        <v>306</v>
      </c>
      <c r="AH489" s="209" t="s">
        <v>25</v>
      </c>
      <c r="AI489" s="234" t="s">
        <v>25</v>
      </c>
      <c r="AJ489" s="209" t="s">
        <v>25</v>
      </c>
      <c r="AK489" s="209" t="s">
        <v>25</v>
      </c>
      <c r="AL489" s="234" t="s">
        <v>25</v>
      </c>
      <c r="AM489" s="209" t="s">
        <v>306</v>
      </c>
      <c r="AN489" s="209" t="s">
        <v>306</v>
      </c>
      <c r="AO489" s="234" t="s">
        <v>306</v>
      </c>
      <c r="AP489" s="235" t="s">
        <v>25</v>
      </c>
      <c r="AQ489" s="209" t="s">
        <v>25</v>
      </c>
      <c r="AR489" s="209" t="s">
        <v>25</v>
      </c>
      <c r="AS489" s="234" t="s">
        <v>25</v>
      </c>
      <c r="AT489" s="209" t="s">
        <v>25</v>
      </c>
      <c r="AU489" s="209" t="s">
        <v>25</v>
      </c>
      <c r="AV489" s="234" t="s">
        <v>25</v>
      </c>
      <c r="AW489" s="209" t="s">
        <v>306</v>
      </c>
      <c r="AX489" s="209" t="s">
        <v>306</v>
      </c>
      <c r="AY489" s="234" t="s">
        <v>306</v>
      </c>
      <c r="AZ489" s="209" t="s">
        <v>25</v>
      </c>
      <c r="BA489" s="209" t="s">
        <v>25</v>
      </c>
      <c r="BB489" s="234" t="s">
        <v>25</v>
      </c>
      <c r="BC489" s="235" t="s">
        <v>25</v>
      </c>
      <c r="BD489" s="209"/>
    </row>
    <row r="490" spans="1:56" ht="12.75" customHeight="1" x14ac:dyDescent="0.25">
      <c r="A490" s="238">
        <v>45259.720965972221</v>
      </c>
      <c r="B490" s="233" t="s">
        <v>427</v>
      </c>
      <c r="C490" s="232" t="s">
        <v>587</v>
      </c>
      <c r="D490" s="232" t="s">
        <v>17</v>
      </c>
      <c r="E490" s="232" t="s">
        <v>605</v>
      </c>
      <c r="F490" s="209" t="s">
        <v>1071</v>
      </c>
      <c r="G490" s="232" t="s">
        <v>24</v>
      </c>
      <c r="H490" s="232">
        <v>16</v>
      </c>
      <c r="I490" s="209" t="s">
        <v>531</v>
      </c>
      <c r="J490" s="188"/>
      <c r="K490" s="209" t="s">
        <v>539</v>
      </c>
      <c r="L490" s="209" t="s">
        <v>518</v>
      </c>
      <c r="M490" s="209" t="s">
        <v>375</v>
      </c>
      <c r="N490" s="209" t="s">
        <v>375</v>
      </c>
      <c r="O490" s="232" t="s">
        <v>518</v>
      </c>
      <c r="P490" s="209" t="s">
        <v>816</v>
      </c>
      <c r="Q490" s="209" t="s">
        <v>306</v>
      </c>
      <c r="R490" s="209" t="s">
        <v>306</v>
      </c>
      <c r="S490" s="234" t="s">
        <v>306</v>
      </c>
      <c r="T490" s="209" t="s">
        <v>306</v>
      </c>
      <c r="U490" s="209" t="s">
        <v>25</v>
      </c>
      <c r="V490" s="234" t="s">
        <v>25</v>
      </c>
      <c r="W490" s="209" t="s">
        <v>306</v>
      </c>
      <c r="X490" s="209" t="s">
        <v>25</v>
      </c>
      <c r="Y490" s="234" t="s">
        <v>25</v>
      </c>
      <c r="Z490" s="209" t="s">
        <v>306</v>
      </c>
      <c r="AA490" s="209" t="s">
        <v>306</v>
      </c>
      <c r="AB490" s="234" t="s">
        <v>306</v>
      </c>
      <c r="AC490" s="235" t="s">
        <v>306</v>
      </c>
      <c r="AD490" s="209" t="s">
        <v>306</v>
      </c>
      <c r="AE490" s="209" t="s">
        <v>25</v>
      </c>
      <c r="AF490" s="234" t="s">
        <v>25</v>
      </c>
      <c r="AG490" s="209" t="s">
        <v>25</v>
      </c>
      <c r="AH490" s="209" t="s">
        <v>25</v>
      </c>
      <c r="AI490" s="234" t="s">
        <v>25</v>
      </c>
      <c r="AJ490" s="209" t="s">
        <v>306</v>
      </c>
      <c r="AK490" s="209" t="s">
        <v>306</v>
      </c>
      <c r="AL490" s="234" t="s">
        <v>306</v>
      </c>
      <c r="AM490" s="209" t="s">
        <v>306</v>
      </c>
      <c r="AN490" s="209" t="s">
        <v>306</v>
      </c>
      <c r="AO490" s="234" t="s">
        <v>306</v>
      </c>
      <c r="AP490" s="235" t="s">
        <v>306</v>
      </c>
      <c r="AQ490" s="209" t="s">
        <v>25</v>
      </c>
      <c r="AR490" s="209" t="s">
        <v>25</v>
      </c>
      <c r="AS490" s="234" t="s">
        <v>25</v>
      </c>
      <c r="AT490" s="209" t="s">
        <v>306</v>
      </c>
      <c r="AU490" s="209" t="s">
        <v>25</v>
      </c>
      <c r="AV490" s="234" t="s">
        <v>25</v>
      </c>
      <c r="AW490" s="209" t="s">
        <v>25</v>
      </c>
      <c r="AX490" s="209" t="s">
        <v>306</v>
      </c>
      <c r="AY490" s="234" t="s">
        <v>25</v>
      </c>
      <c r="AZ490" s="209" t="s">
        <v>306</v>
      </c>
      <c r="BA490" s="209" t="s">
        <v>306</v>
      </c>
      <c r="BB490" s="234" t="s">
        <v>306</v>
      </c>
      <c r="BC490" s="235" t="s">
        <v>306</v>
      </c>
      <c r="BD490" s="209"/>
    </row>
    <row r="491" spans="1:56" ht="12.75" customHeight="1" x14ac:dyDescent="0.25">
      <c r="A491" s="238">
        <v>45259.724008645833</v>
      </c>
      <c r="B491" s="233" t="s">
        <v>427</v>
      </c>
      <c r="C491" s="232" t="s">
        <v>587</v>
      </c>
      <c r="D491" s="232" t="s">
        <v>17</v>
      </c>
      <c r="E491" s="232" t="s">
        <v>605</v>
      </c>
      <c r="F491" s="209" t="s">
        <v>1072</v>
      </c>
      <c r="G491" s="232" t="s">
        <v>18</v>
      </c>
      <c r="H491" s="232">
        <v>15</v>
      </c>
      <c r="I491" s="209" t="s">
        <v>531</v>
      </c>
      <c r="J491" s="188"/>
      <c r="K491" s="209" t="s">
        <v>539</v>
      </c>
      <c r="L491" s="209" t="s">
        <v>518</v>
      </c>
      <c r="M491" s="209" t="s">
        <v>375</v>
      </c>
      <c r="N491" s="209" t="s">
        <v>375</v>
      </c>
      <c r="O491" s="232" t="s">
        <v>531</v>
      </c>
      <c r="P491" s="188"/>
      <c r="Q491" s="209" t="s">
        <v>25</v>
      </c>
      <c r="R491" s="209" t="s">
        <v>306</v>
      </c>
      <c r="S491" s="234" t="s">
        <v>25</v>
      </c>
      <c r="T491" s="209" t="s">
        <v>306</v>
      </c>
      <c r="U491" s="209" t="s">
        <v>306</v>
      </c>
      <c r="V491" s="234" t="s">
        <v>306</v>
      </c>
      <c r="W491" s="209" t="s">
        <v>306</v>
      </c>
      <c r="X491" s="209" t="s">
        <v>306</v>
      </c>
      <c r="Y491" s="234" t="s">
        <v>306</v>
      </c>
      <c r="Z491" s="209" t="s">
        <v>306</v>
      </c>
      <c r="AA491" s="209" t="s">
        <v>306</v>
      </c>
      <c r="AB491" s="234" t="s">
        <v>306</v>
      </c>
      <c r="AC491" s="235" t="s">
        <v>306</v>
      </c>
      <c r="AD491" s="209" t="s">
        <v>306</v>
      </c>
      <c r="AE491" s="209" t="s">
        <v>306</v>
      </c>
      <c r="AF491" s="234" t="s">
        <v>306</v>
      </c>
      <c r="AG491" s="209" t="s">
        <v>306</v>
      </c>
      <c r="AH491" s="209" t="s">
        <v>306</v>
      </c>
      <c r="AI491" s="234" t="s">
        <v>306</v>
      </c>
      <c r="AJ491" s="209" t="s">
        <v>306</v>
      </c>
      <c r="AK491" s="209" t="s">
        <v>306</v>
      </c>
      <c r="AL491" s="234" t="s">
        <v>306</v>
      </c>
      <c r="AM491" s="209" t="s">
        <v>306</v>
      </c>
      <c r="AN491" s="209" t="s">
        <v>306</v>
      </c>
      <c r="AO491" s="234" t="s">
        <v>306</v>
      </c>
      <c r="AP491" s="235" t="s">
        <v>306</v>
      </c>
      <c r="AQ491" s="209" t="s">
        <v>306</v>
      </c>
      <c r="AR491" s="209" t="s">
        <v>25</v>
      </c>
      <c r="AS491" s="234" t="s">
        <v>25</v>
      </c>
      <c r="AT491" s="209" t="s">
        <v>25</v>
      </c>
      <c r="AU491" s="209" t="s">
        <v>25</v>
      </c>
      <c r="AV491" s="234" t="s">
        <v>25</v>
      </c>
      <c r="AW491" s="209" t="s">
        <v>306</v>
      </c>
      <c r="AX491" s="209" t="s">
        <v>306</v>
      </c>
      <c r="AY491" s="234" t="s">
        <v>306</v>
      </c>
      <c r="AZ491" s="209" t="s">
        <v>306</v>
      </c>
      <c r="BA491" s="209" t="s">
        <v>306</v>
      </c>
      <c r="BB491" s="234" t="s">
        <v>306</v>
      </c>
      <c r="BC491" s="235" t="s">
        <v>306</v>
      </c>
      <c r="BD491" s="209"/>
    </row>
    <row r="492" spans="1:56" ht="12.75" customHeight="1" x14ac:dyDescent="0.25">
      <c r="A492" s="238">
        <v>45259.727352256945</v>
      </c>
      <c r="B492" s="233" t="s">
        <v>427</v>
      </c>
      <c r="C492" s="232" t="s">
        <v>587</v>
      </c>
      <c r="D492" s="232" t="s">
        <v>17</v>
      </c>
      <c r="E492" s="232" t="s">
        <v>605</v>
      </c>
      <c r="F492" s="209" t="s">
        <v>1073</v>
      </c>
      <c r="G492" s="232" t="s">
        <v>18</v>
      </c>
      <c r="H492" s="232">
        <v>16</v>
      </c>
      <c r="I492" s="209" t="s">
        <v>531</v>
      </c>
      <c r="J492" s="188"/>
      <c r="K492" s="209" t="s">
        <v>539</v>
      </c>
      <c r="L492" s="209" t="s">
        <v>518</v>
      </c>
      <c r="M492" s="209" t="s">
        <v>375</v>
      </c>
      <c r="N492" s="209" t="s">
        <v>375</v>
      </c>
      <c r="O492" s="232" t="s">
        <v>531</v>
      </c>
      <c r="P492" s="188"/>
      <c r="Q492" s="209" t="s">
        <v>25</v>
      </c>
      <c r="R492" s="209" t="s">
        <v>25</v>
      </c>
      <c r="S492" s="234" t="s">
        <v>25</v>
      </c>
      <c r="T492" s="209" t="s">
        <v>25</v>
      </c>
      <c r="U492" s="209" t="s">
        <v>25</v>
      </c>
      <c r="V492" s="234" t="s">
        <v>25</v>
      </c>
      <c r="W492" s="209" t="s">
        <v>306</v>
      </c>
      <c r="X492" s="209" t="s">
        <v>25</v>
      </c>
      <c r="Y492" s="234" t="s">
        <v>25</v>
      </c>
      <c r="Z492" s="209" t="s">
        <v>25</v>
      </c>
      <c r="AA492" s="209" t="s">
        <v>19</v>
      </c>
      <c r="AB492" s="234" t="s">
        <v>306</v>
      </c>
      <c r="AC492" s="235" t="s">
        <v>25</v>
      </c>
      <c r="AD492" s="209" t="s">
        <v>19</v>
      </c>
      <c r="AE492" s="209" t="s">
        <v>25</v>
      </c>
      <c r="AF492" s="234" t="s">
        <v>306</v>
      </c>
      <c r="AG492" s="209" t="s">
        <v>19</v>
      </c>
      <c r="AH492" s="209" t="s">
        <v>19</v>
      </c>
      <c r="AI492" s="234" t="s">
        <v>19</v>
      </c>
      <c r="AJ492" s="209" t="s">
        <v>25</v>
      </c>
      <c r="AK492" s="209" t="s">
        <v>19</v>
      </c>
      <c r="AL492" s="234" t="s">
        <v>306</v>
      </c>
      <c r="AM492" s="209" t="s">
        <v>306</v>
      </c>
      <c r="AN492" s="209" t="s">
        <v>19</v>
      </c>
      <c r="AO492" s="234" t="s">
        <v>306</v>
      </c>
      <c r="AP492" s="235" t="s">
        <v>306</v>
      </c>
      <c r="AQ492" s="209" t="s">
        <v>19</v>
      </c>
      <c r="AR492" s="209" t="s">
        <v>306</v>
      </c>
      <c r="AS492" s="234" t="s">
        <v>306</v>
      </c>
      <c r="AT492" s="209" t="s">
        <v>25</v>
      </c>
      <c r="AU492" s="209" t="s">
        <v>25</v>
      </c>
      <c r="AV492" s="234" t="s">
        <v>25</v>
      </c>
      <c r="AW492" s="209" t="s">
        <v>25</v>
      </c>
      <c r="AX492" s="209" t="s">
        <v>19</v>
      </c>
      <c r="AY492" s="234" t="s">
        <v>306</v>
      </c>
      <c r="AZ492" s="209" t="s">
        <v>25</v>
      </c>
      <c r="BA492" s="209" t="s">
        <v>19</v>
      </c>
      <c r="BB492" s="234" t="s">
        <v>25</v>
      </c>
      <c r="BC492" s="235" t="s">
        <v>306</v>
      </c>
      <c r="BD492" s="209"/>
    </row>
    <row r="493" spans="1:56" ht="12.75" customHeight="1" x14ac:dyDescent="0.25">
      <c r="A493" s="238">
        <v>45259.730318518516</v>
      </c>
      <c r="B493" s="233" t="s">
        <v>427</v>
      </c>
      <c r="C493" s="232" t="s">
        <v>587</v>
      </c>
      <c r="D493" s="232" t="s">
        <v>17</v>
      </c>
      <c r="E493" s="232" t="s">
        <v>605</v>
      </c>
      <c r="F493" s="209" t="s">
        <v>1074</v>
      </c>
      <c r="G493" s="232" t="s">
        <v>18</v>
      </c>
      <c r="H493" s="232">
        <v>16</v>
      </c>
      <c r="I493" s="209" t="s">
        <v>531</v>
      </c>
      <c r="J493" s="188"/>
      <c r="K493" s="209" t="s">
        <v>539</v>
      </c>
      <c r="L493" s="209" t="s">
        <v>518</v>
      </c>
      <c r="M493" s="209" t="s">
        <v>375</v>
      </c>
      <c r="N493" s="209" t="s">
        <v>375</v>
      </c>
      <c r="O493" s="232" t="s">
        <v>531</v>
      </c>
      <c r="P493" s="188"/>
      <c r="Q493" s="209" t="s">
        <v>306</v>
      </c>
      <c r="R493" s="209" t="s">
        <v>306</v>
      </c>
      <c r="S493" s="234" t="s">
        <v>306</v>
      </c>
      <c r="T493" s="209" t="s">
        <v>25</v>
      </c>
      <c r="U493" s="209" t="s">
        <v>306</v>
      </c>
      <c r="V493" s="234" t="s">
        <v>25</v>
      </c>
      <c r="W493" s="209" t="s">
        <v>306</v>
      </c>
      <c r="X493" s="209" t="s">
        <v>306</v>
      </c>
      <c r="Y493" s="234" t="s">
        <v>306</v>
      </c>
      <c r="Z493" s="209" t="s">
        <v>25</v>
      </c>
      <c r="AA493" s="209" t="s">
        <v>306</v>
      </c>
      <c r="AB493" s="234" t="s">
        <v>25</v>
      </c>
      <c r="AC493" s="235" t="s">
        <v>306</v>
      </c>
      <c r="AD493" s="209" t="s">
        <v>306</v>
      </c>
      <c r="AE493" s="209" t="s">
        <v>306</v>
      </c>
      <c r="AF493" s="234" t="s">
        <v>306</v>
      </c>
      <c r="AG493" s="209" t="s">
        <v>306</v>
      </c>
      <c r="AH493" s="209" t="s">
        <v>306</v>
      </c>
      <c r="AI493" s="234" t="s">
        <v>306</v>
      </c>
      <c r="AJ493" s="209" t="s">
        <v>25</v>
      </c>
      <c r="AK493" s="209" t="s">
        <v>306</v>
      </c>
      <c r="AL493" s="234" t="s">
        <v>25</v>
      </c>
      <c r="AM493" s="209" t="s">
        <v>306</v>
      </c>
      <c r="AN493" s="209" t="s">
        <v>306</v>
      </c>
      <c r="AO493" s="234" t="s">
        <v>306</v>
      </c>
      <c r="AP493" s="235" t="s">
        <v>306</v>
      </c>
      <c r="AQ493" s="209" t="s">
        <v>306</v>
      </c>
      <c r="AR493" s="209" t="s">
        <v>25</v>
      </c>
      <c r="AS493" s="234" t="s">
        <v>25</v>
      </c>
      <c r="AT493" s="209" t="s">
        <v>25</v>
      </c>
      <c r="AU493" s="209" t="s">
        <v>306</v>
      </c>
      <c r="AV493" s="234" t="s">
        <v>25</v>
      </c>
      <c r="AW493" s="209" t="s">
        <v>25</v>
      </c>
      <c r="AX493" s="209" t="s">
        <v>306</v>
      </c>
      <c r="AY493" s="234" t="s">
        <v>25</v>
      </c>
      <c r="AZ493" s="209" t="s">
        <v>25</v>
      </c>
      <c r="BA493" s="209" t="s">
        <v>306</v>
      </c>
      <c r="BB493" s="234" t="s">
        <v>306</v>
      </c>
      <c r="BC493" s="235" t="s">
        <v>25</v>
      </c>
      <c r="BD493" s="209"/>
    </row>
    <row r="494" spans="1:56" ht="12.75" customHeight="1" x14ac:dyDescent="0.25">
      <c r="A494" s="238">
        <v>45259.734191296295</v>
      </c>
      <c r="B494" s="233" t="s">
        <v>427</v>
      </c>
      <c r="C494" s="232" t="s">
        <v>587</v>
      </c>
      <c r="D494" s="232" t="s">
        <v>17</v>
      </c>
      <c r="E494" s="232" t="s">
        <v>605</v>
      </c>
      <c r="F494" s="209" t="s">
        <v>1075</v>
      </c>
      <c r="G494" s="232" t="s">
        <v>24</v>
      </c>
      <c r="H494" s="232">
        <v>16</v>
      </c>
      <c r="I494" s="209" t="s">
        <v>531</v>
      </c>
      <c r="J494" s="188"/>
      <c r="K494" s="209" t="s">
        <v>539</v>
      </c>
      <c r="L494" s="209" t="s">
        <v>518</v>
      </c>
      <c r="M494" s="209" t="s">
        <v>375</v>
      </c>
      <c r="N494" s="209" t="s">
        <v>375</v>
      </c>
      <c r="O494" s="232" t="s">
        <v>531</v>
      </c>
      <c r="P494" s="188"/>
      <c r="Q494" s="209" t="s">
        <v>306</v>
      </c>
      <c r="R494" s="209" t="s">
        <v>306</v>
      </c>
      <c r="S494" s="234" t="s">
        <v>306</v>
      </c>
      <c r="T494" s="209" t="s">
        <v>306</v>
      </c>
      <c r="U494" s="209" t="s">
        <v>25</v>
      </c>
      <c r="V494" s="234" t="s">
        <v>25</v>
      </c>
      <c r="W494" s="209" t="s">
        <v>25</v>
      </c>
      <c r="X494" s="209" t="s">
        <v>25</v>
      </c>
      <c r="Y494" s="234" t="s">
        <v>25</v>
      </c>
      <c r="Z494" s="209" t="s">
        <v>306</v>
      </c>
      <c r="AA494" s="209" t="s">
        <v>25</v>
      </c>
      <c r="AB494" s="234" t="s">
        <v>25</v>
      </c>
      <c r="AC494" s="235" t="s">
        <v>25</v>
      </c>
      <c r="AD494" s="209" t="s">
        <v>25</v>
      </c>
      <c r="AE494" s="209" t="s">
        <v>306</v>
      </c>
      <c r="AF494" s="234" t="s">
        <v>25</v>
      </c>
      <c r="AG494" s="209" t="s">
        <v>306</v>
      </c>
      <c r="AH494" s="209" t="s">
        <v>306</v>
      </c>
      <c r="AI494" s="234" t="s">
        <v>306</v>
      </c>
      <c r="AJ494" s="209" t="s">
        <v>25</v>
      </c>
      <c r="AK494" s="209" t="s">
        <v>306</v>
      </c>
      <c r="AL494" s="234" t="s">
        <v>25</v>
      </c>
      <c r="AM494" s="209" t="s">
        <v>306</v>
      </c>
      <c r="AN494" s="209" t="s">
        <v>306</v>
      </c>
      <c r="AO494" s="234" t="s">
        <v>306</v>
      </c>
      <c r="AP494" s="235" t="s">
        <v>306</v>
      </c>
      <c r="AQ494" s="209" t="s">
        <v>25</v>
      </c>
      <c r="AR494" s="209" t="s">
        <v>25</v>
      </c>
      <c r="AS494" s="234" t="s">
        <v>25</v>
      </c>
      <c r="AT494" s="209" t="s">
        <v>25</v>
      </c>
      <c r="AU494" s="209" t="s">
        <v>25</v>
      </c>
      <c r="AV494" s="234" t="s">
        <v>25</v>
      </c>
      <c r="AW494" s="209" t="s">
        <v>306</v>
      </c>
      <c r="AX494" s="209" t="s">
        <v>306</v>
      </c>
      <c r="AY494" s="234" t="s">
        <v>306</v>
      </c>
      <c r="AZ494" s="209" t="s">
        <v>25</v>
      </c>
      <c r="BA494" s="209" t="s">
        <v>25</v>
      </c>
      <c r="BB494" s="234" t="s">
        <v>25</v>
      </c>
      <c r="BC494" s="235" t="s">
        <v>25</v>
      </c>
      <c r="BD494" s="209"/>
    </row>
    <row r="495" spans="1:56" ht="12.75" customHeight="1" x14ac:dyDescent="0.25">
      <c r="A495" s="238">
        <v>45259.738925254627</v>
      </c>
      <c r="B495" s="233" t="s">
        <v>427</v>
      </c>
      <c r="C495" s="232" t="s">
        <v>587</v>
      </c>
      <c r="D495" s="232" t="s">
        <v>17</v>
      </c>
      <c r="E495" s="232" t="s">
        <v>605</v>
      </c>
      <c r="F495" s="209" t="s">
        <v>1076</v>
      </c>
      <c r="G495" s="232" t="s">
        <v>18</v>
      </c>
      <c r="H495" s="232">
        <v>15</v>
      </c>
      <c r="I495" s="209" t="s">
        <v>531</v>
      </c>
      <c r="J495" s="188"/>
      <c r="K495" s="209" t="s">
        <v>539</v>
      </c>
      <c r="L495" s="209" t="s">
        <v>518</v>
      </c>
      <c r="M495" s="209" t="s">
        <v>401</v>
      </c>
      <c r="N495" s="209" t="s">
        <v>653</v>
      </c>
      <c r="O495" s="232" t="s">
        <v>531</v>
      </c>
      <c r="P495" s="188"/>
      <c r="Q495" s="209" t="s">
        <v>25</v>
      </c>
      <c r="R495" s="209" t="s">
        <v>19</v>
      </c>
      <c r="S495" s="234" t="s">
        <v>306</v>
      </c>
      <c r="T495" s="209" t="s">
        <v>19</v>
      </c>
      <c r="U495" s="209" t="s">
        <v>25</v>
      </c>
      <c r="V495" s="234" t="s">
        <v>306</v>
      </c>
      <c r="W495" s="209" t="s">
        <v>306</v>
      </c>
      <c r="X495" s="209" t="s">
        <v>19</v>
      </c>
      <c r="Y495" s="234" t="s">
        <v>306</v>
      </c>
      <c r="Z495" s="209" t="s">
        <v>19</v>
      </c>
      <c r="AA495" s="209" t="s">
        <v>306</v>
      </c>
      <c r="AB495" s="234" t="s">
        <v>306</v>
      </c>
      <c r="AC495" s="235" t="s">
        <v>306</v>
      </c>
      <c r="AD495" s="209" t="s">
        <v>306</v>
      </c>
      <c r="AE495" s="209" t="s">
        <v>25</v>
      </c>
      <c r="AF495" s="234" t="s">
        <v>25</v>
      </c>
      <c r="AG495" s="209" t="s">
        <v>306</v>
      </c>
      <c r="AH495" s="209" t="s">
        <v>25</v>
      </c>
      <c r="AI495" s="234" t="s">
        <v>25</v>
      </c>
      <c r="AJ495" s="209" t="s">
        <v>306</v>
      </c>
      <c r="AK495" s="209" t="s">
        <v>306</v>
      </c>
      <c r="AL495" s="234" t="s">
        <v>306</v>
      </c>
      <c r="AM495" s="209" t="s">
        <v>19</v>
      </c>
      <c r="AN495" s="209" t="s">
        <v>306</v>
      </c>
      <c r="AO495" s="234" t="s">
        <v>306</v>
      </c>
      <c r="AP495" s="235" t="s">
        <v>306</v>
      </c>
      <c r="AQ495" s="209" t="s">
        <v>25</v>
      </c>
      <c r="AR495" s="209" t="s">
        <v>25</v>
      </c>
      <c r="AS495" s="234" t="s">
        <v>25</v>
      </c>
      <c r="AT495" s="209" t="s">
        <v>25</v>
      </c>
      <c r="AU495" s="209" t="s">
        <v>25</v>
      </c>
      <c r="AV495" s="234" t="s">
        <v>25</v>
      </c>
      <c r="AW495" s="209" t="s">
        <v>306</v>
      </c>
      <c r="AX495" s="209" t="s">
        <v>306</v>
      </c>
      <c r="AY495" s="234" t="s">
        <v>306</v>
      </c>
      <c r="AZ495" s="209" t="s">
        <v>306</v>
      </c>
      <c r="BA495" s="209" t="s">
        <v>25</v>
      </c>
      <c r="BB495" s="234" t="s">
        <v>25</v>
      </c>
      <c r="BC495" s="235" t="s">
        <v>25</v>
      </c>
      <c r="BD495" s="209"/>
    </row>
    <row r="496" spans="1:56" ht="12.75" customHeight="1" x14ac:dyDescent="0.25">
      <c r="A496" s="238">
        <v>45259.743069953707</v>
      </c>
      <c r="B496" s="233" t="s">
        <v>427</v>
      </c>
      <c r="C496" s="232" t="s">
        <v>587</v>
      </c>
      <c r="D496" s="232" t="s">
        <v>17</v>
      </c>
      <c r="E496" s="232" t="s">
        <v>605</v>
      </c>
      <c r="F496" s="209" t="s">
        <v>1077</v>
      </c>
      <c r="G496" s="232" t="s">
        <v>18</v>
      </c>
      <c r="H496" s="232">
        <v>15</v>
      </c>
      <c r="I496" s="209" t="s">
        <v>531</v>
      </c>
      <c r="J496" s="188"/>
      <c r="K496" s="209" t="s">
        <v>539</v>
      </c>
      <c r="L496" s="209" t="s">
        <v>518</v>
      </c>
      <c r="M496" s="209" t="s">
        <v>401</v>
      </c>
      <c r="N496" s="209" t="s">
        <v>653</v>
      </c>
      <c r="O496" s="232" t="s">
        <v>531</v>
      </c>
      <c r="P496" s="188"/>
      <c r="Q496" s="209" t="s">
        <v>25</v>
      </c>
      <c r="R496" s="209" t="s">
        <v>25</v>
      </c>
      <c r="S496" s="234" t="s">
        <v>25</v>
      </c>
      <c r="T496" s="209" t="s">
        <v>25</v>
      </c>
      <c r="U496" s="209" t="s">
        <v>306</v>
      </c>
      <c r="V496" s="234" t="s">
        <v>25</v>
      </c>
      <c r="W496" s="209" t="s">
        <v>306</v>
      </c>
      <c r="X496" s="209" t="s">
        <v>25</v>
      </c>
      <c r="Y496" s="234" t="s">
        <v>25</v>
      </c>
      <c r="Z496" s="209" t="s">
        <v>306</v>
      </c>
      <c r="AA496" s="209" t="s">
        <v>25</v>
      </c>
      <c r="AB496" s="234" t="s">
        <v>25</v>
      </c>
      <c r="AC496" s="235" t="s">
        <v>25</v>
      </c>
      <c r="AD496" s="209" t="s">
        <v>306</v>
      </c>
      <c r="AE496" s="209" t="s">
        <v>25</v>
      </c>
      <c r="AF496" s="234" t="s">
        <v>25</v>
      </c>
      <c r="AG496" s="209" t="s">
        <v>25</v>
      </c>
      <c r="AH496" s="209" t="s">
        <v>306</v>
      </c>
      <c r="AI496" s="234" t="s">
        <v>25</v>
      </c>
      <c r="AJ496" s="209" t="s">
        <v>306</v>
      </c>
      <c r="AK496" s="209" t="s">
        <v>306</v>
      </c>
      <c r="AL496" s="234" t="s">
        <v>306</v>
      </c>
      <c r="AM496" s="209" t="s">
        <v>306</v>
      </c>
      <c r="AN496" s="209" t="s">
        <v>306</v>
      </c>
      <c r="AO496" s="234" t="s">
        <v>306</v>
      </c>
      <c r="AP496" s="235" t="s">
        <v>306</v>
      </c>
      <c r="AQ496" s="209" t="s">
        <v>306</v>
      </c>
      <c r="AR496" s="209" t="s">
        <v>306</v>
      </c>
      <c r="AS496" s="234" t="s">
        <v>306</v>
      </c>
      <c r="AT496" s="209" t="s">
        <v>25</v>
      </c>
      <c r="AU496" s="209" t="s">
        <v>306</v>
      </c>
      <c r="AV496" s="234" t="s">
        <v>25</v>
      </c>
      <c r="AW496" s="209" t="s">
        <v>306</v>
      </c>
      <c r="AX496" s="209" t="s">
        <v>306</v>
      </c>
      <c r="AY496" s="234" t="s">
        <v>306</v>
      </c>
      <c r="AZ496" s="209" t="s">
        <v>306</v>
      </c>
      <c r="BA496" s="209" t="s">
        <v>306</v>
      </c>
      <c r="BB496" s="234" t="s">
        <v>25</v>
      </c>
      <c r="BC496" s="235" t="s">
        <v>25</v>
      </c>
      <c r="BD496" s="209"/>
    </row>
    <row r="497" spans="1:56" ht="12.75" customHeight="1" x14ac:dyDescent="0.25">
      <c r="A497" s="238">
        <v>45259.749668634264</v>
      </c>
      <c r="B497" s="233" t="s">
        <v>427</v>
      </c>
      <c r="C497" s="232" t="s">
        <v>587</v>
      </c>
      <c r="D497" s="232" t="s">
        <v>17</v>
      </c>
      <c r="E497" s="232" t="s">
        <v>605</v>
      </c>
      <c r="F497" s="209" t="s">
        <v>1078</v>
      </c>
      <c r="G497" s="232" t="s">
        <v>24</v>
      </c>
      <c r="H497" s="232">
        <v>16</v>
      </c>
      <c r="I497" s="209" t="s">
        <v>531</v>
      </c>
      <c r="J497" s="188"/>
      <c r="K497" s="209" t="s">
        <v>539</v>
      </c>
      <c r="L497" s="209" t="s">
        <v>518</v>
      </c>
      <c r="M497" s="209" t="s">
        <v>375</v>
      </c>
      <c r="N497" s="209" t="s">
        <v>375</v>
      </c>
      <c r="O497" s="232" t="s">
        <v>531</v>
      </c>
      <c r="P497" s="188"/>
      <c r="Q497" s="209" t="s">
        <v>306</v>
      </c>
      <c r="R497" s="209" t="s">
        <v>306</v>
      </c>
      <c r="S497" s="234" t="s">
        <v>306</v>
      </c>
      <c r="T497" s="209" t="s">
        <v>306</v>
      </c>
      <c r="U497" s="209" t="s">
        <v>25</v>
      </c>
      <c r="V497" s="234" t="s">
        <v>25</v>
      </c>
      <c r="W497" s="209" t="s">
        <v>25</v>
      </c>
      <c r="X497" s="209" t="s">
        <v>25</v>
      </c>
      <c r="Y497" s="234" t="s">
        <v>25</v>
      </c>
      <c r="Z497" s="209" t="s">
        <v>306</v>
      </c>
      <c r="AA497" s="209" t="s">
        <v>25</v>
      </c>
      <c r="AB497" s="234" t="s">
        <v>25</v>
      </c>
      <c r="AC497" s="235" t="s">
        <v>25</v>
      </c>
      <c r="AD497" s="209" t="s">
        <v>25</v>
      </c>
      <c r="AE497" s="209" t="s">
        <v>306</v>
      </c>
      <c r="AF497" s="234" t="s">
        <v>25</v>
      </c>
      <c r="AG497" s="209" t="s">
        <v>306</v>
      </c>
      <c r="AH497" s="209" t="s">
        <v>306</v>
      </c>
      <c r="AI497" s="234" t="s">
        <v>306</v>
      </c>
      <c r="AJ497" s="209" t="s">
        <v>25</v>
      </c>
      <c r="AK497" s="209" t="s">
        <v>306</v>
      </c>
      <c r="AL497" s="234" t="s">
        <v>25</v>
      </c>
      <c r="AM497" s="209" t="s">
        <v>306</v>
      </c>
      <c r="AN497" s="209" t="s">
        <v>306</v>
      </c>
      <c r="AO497" s="234" t="s">
        <v>306</v>
      </c>
      <c r="AP497" s="235" t="s">
        <v>306</v>
      </c>
      <c r="AQ497" s="209" t="s">
        <v>25</v>
      </c>
      <c r="AR497" s="209" t="s">
        <v>25</v>
      </c>
      <c r="AS497" s="234" t="s">
        <v>25</v>
      </c>
      <c r="AT497" s="209" t="s">
        <v>25</v>
      </c>
      <c r="AU497" s="209" t="s">
        <v>25</v>
      </c>
      <c r="AV497" s="234" t="s">
        <v>25</v>
      </c>
      <c r="AW497" s="209" t="s">
        <v>306</v>
      </c>
      <c r="AX497" s="209" t="s">
        <v>306</v>
      </c>
      <c r="AY497" s="234" t="s">
        <v>306</v>
      </c>
      <c r="AZ497" s="209" t="s">
        <v>25</v>
      </c>
      <c r="BA497" s="209" t="s">
        <v>25</v>
      </c>
      <c r="BB497" s="234" t="s">
        <v>25</v>
      </c>
      <c r="BC497" s="235" t="s">
        <v>25</v>
      </c>
      <c r="BD497" s="209"/>
    </row>
    <row r="498" spans="1:56" ht="12.75" customHeight="1" x14ac:dyDescent="0.25">
      <c r="A498" s="238">
        <v>45259.753675752319</v>
      </c>
      <c r="B498" s="233" t="s">
        <v>427</v>
      </c>
      <c r="C498" s="232" t="s">
        <v>587</v>
      </c>
      <c r="D498" s="232" t="s">
        <v>17</v>
      </c>
      <c r="E498" s="232" t="s">
        <v>605</v>
      </c>
      <c r="F498" s="209" t="s">
        <v>1079</v>
      </c>
      <c r="G498" s="232" t="s">
        <v>24</v>
      </c>
      <c r="H498" s="232">
        <v>15</v>
      </c>
      <c r="I498" s="209" t="s">
        <v>531</v>
      </c>
      <c r="J498" s="188"/>
      <c r="K498" s="209" t="s">
        <v>539</v>
      </c>
      <c r="L498" s="209" t="s">
        <v>518</v>
      </c>
      <c r="M498" s="209" t="s">
        <v>375</v>
      </c>
      <c r="N498" s="209" t="s">
        <v>375</v>
      </c>
      <c r="O498" s="232" t="s">
        <v>531</v>
      </c>
      <c r="P498" s="188"/>
      <c r="Q498" s="209" t="s">
        <v>306</v>
      </c>
      <c r="R498" s="209" t="s">
        <v>19</v>
      </c>
      <c r="S498" s="234" t="s">
        <v>306</v>
      </c>
      <c r="T498" s="209" t="s">
        <v>306</v>
      </c>
      <c r="U498" s="209" t="s">
        <v>25</v>
      </c>
      <c r="V498" s="234" t="s">
        <v>25</v>
      </c>
      <c r="W498" s="209" t="s">
        <v>25</v>
      </c>
      <c r="X498" s="209" t="s">
        <v>306</v>
      </c>
      <c r="Y498" s="234" t="s">
        <v>25</v>
      </c>
      <c r="Z498" s="209" t="s">
        <v>25</v>
      </c>
      <c r="AA498" s="209" t="s">
        <v>25</v>
      </c>
      <c r="AB498" s="234" t="s">
        <v>25</v>
      </c>
      <c r="AC498" s="235" t="s">
        <v>306</v>
      </c>
      <c r="AD498" s="209" t="s">
        <v>306</v>
      </c>
      <c r="AE498" s="209" t="s">
        <v>306</v>
      </c>
      <c r="AF498" s="234" t="s">
        <v>306</v>
      </c>
      <c r="AG498" s="209" t="s">
        <v>25</v>
      </c>
      <c r="AH498" s="209" t="s">
        <v>25</v>
      </c>
      <c r="AI498" s="234" t="s">
        <v>25</v>
      </c>
      <c r="AJ498" s="209" t="s">
        <v>25</v>
      </c>
      <c r="AK498" s="209" t="s">
        <v>25</v>
      </c>
      <c r="AL498" s="234" t="s">
        <v>25</v>
      </c>
      <c r="AM498" s="209" t="s">
        <v>19</v>
      </c>
      <c r="AN498" s="209" t="s">
        <v>306</v>
      </c>
      <c r="AO498" s="234" t="s">
        <v>306</v>
      </c>
      <c r="AP498" s="235" t="s">
        <v>306</v>
      </c>
      <c r="AQ498" s="209" t="s">
        <v>25</v>
      </c>
      <c r="AR498" s="209" t="s">
        <v>25</v>
      </c>
      <c r="AS498" s="234" t="s">
        <v>25</v>
      </c>
      <c r="AT498" s="209" t="s">
        <v>25</v>
      </c>
      <c r="AU498" s="209" t="s">
        <v>25</v>
      </c>
      <c r="AV498" s="234" t="s">
        <v>25</v>
      </c>
      <c r="AW498" s="209" t="s">
        <v>25</v>
      </c>
      <c r="AX498" s="209" t="s">
        <v>306</v>
      </c>
      <c r="AY498" s="234" t="s">
        <v>25</v>
      </c>
      <c r="AZ498" s="209" t="s">
        <v>25</v>
      </c>
      <c r="BA498" s="209" t="s">
        <v>25</v>
      </c>
      <c r="BB498" s="234" t="s">
        <v>25</v>
      </c>
      <c r="BC498" s="235" t="s">
        <v>25</v>
      </c>
      <c r="BD498" s="209"/>
    </row>
    <row r="499" spans="1:56" ht="12.75" customHeight="1" x14ac:dyDescent="0.25">
      <c r="A499" s="238">
        <v>45259.756895092592</v>
      </c>
      <c r="B499" s="233" t="s">
        <v>427</v>
      </c>
      <c r="C499" s="232" t="s">
        <v>587</v>
      </c>
      <c r="D499" s="232" t="s">
        <v>17</v>
      </c>
      <c r="E499" s="232" t="s">
        <v>605</v>
      </c>
      <c r="F499" s="209" t="s">
        <v>1080</v>
      </c>
      <c r="G499" s="232" t="s">
        <v>18</v>
      </c>
      <c r="H499" s="232">
        <v>16</v>
      </c>
      <c r="I499" s="209" t="s">
        <v>531</v>
      </c>
      <c r="J499" s="188"/>
      <c r="K499" s="209" t="s">
        <v>539</v>
      </c>
      <c r="L499" s="209" t="s">
        <v>518</v>
      </c>
      <c r="M499" s="209" t="s">
        <v>412</v>
      </c>
      <c r="N499" s="209" t="s">
        <v>589</v>
      </c>
      <c r="O499" s="232" t="s">
        <v>531</v>
      </c>
      <c r="P499" s="188"/>
      <c r="Q499" s="209" t="s">
        <v>19</v>
      </c>
      <c r="R499" s="209" t="s">
        <v>19</v>
      </c>
      <c r="S499" s="234" t="s">
        <v>19</v>
      </c>
      <c r="T499" s="209" t="s">
        <v>19</v>
      </c>
      <c r="U499" s="209" t="s">
        <v>19</v>
      </c>
      <c r="V499" s="234" t="s">
        <v>19</v>
      </c>
      <c r="W499" s="209" t="s">
        <v>19</v>
      </c>
      <c r="X499" s="209" t="s">
        <v>19</v>
      </c>
      <c r="Y499" s="234" t="s">
        <v>19</v>
      </c>
      <c r="Z499" s="209" t="s">
        <v>19</v>
      </c>
      <c r="AA499" s="209" t="s">
        <v>19</v>
      </c>
      <c r="AB499" s="234" t="s">
        <v>19</v>
      </c>
      <c r="AC499" s="235" t="s">
        <v>19</v>
      </c>
      <c r="AD499" s="209" t="s">
        <v>19</v>
      </c>
      <c r="AE499" s="209" t="s">
        <v>306</v>
      </c>
      <c r="AF499" s="234" t="s">
        <v>306</v>
      </c>
      <c r="AG499" s="209" t="s">
        <v>19</v>
      </c>
      <c r="AH499" s="209" t="s">
        <v>19</v>
      </c>
      <c r="AI499" s="234" t="s">
        <v>19</v>
      </c>
      <c r="AJ499" s="209" t="s">
        <v>306</v>
      </c>
      <c r="AK499" s="209" t="s">
        <v>306</v>
      </c>
      <c r="AL499" s="234" t="s">
        <v>306</v>
      </c>
      <c r="AM499" s="209" t="s">
        <v>306</v>
      </c>
      <c r="AN499" s="209" t="s">
        <v>306</v>
      </c>
      <c r="AO499" s="234" t="s">
        <v>306</v>
      </c>
      <c r="AP499" s="235" t="s">
        <v>306</v>
      </c>
      <c r="AQ499" s="209" t="s">
        <v>306</v>
      </c>
      <c r="AR499" s="209" t="s">
        <v>306</v>
      </c>
      <c r="AS499" s="234" t="s">
        <v>306</v>
      </c>
      <c r="AT499" s="209" t="s">
        <v>306</v>
      </c>
      <c r="AU499" s="209" t="s">
        <v>306</v>
      </c>
      <c r="AV499" s="234" t="s">
        <v>306</v>
      </c>
      <c r="AW499" s="209" t="s">
        <v>306</v>
      </c>
      <c r="AX499" s="209" t="s">
        <v>306</v>
      </c>
      <c r="AY499" s="234" t="s">
        <v>306</v>
      </c>
      <c r="AZ499" s="209" t="s">
        <v>306</v>
      </c>
      <c r="BA499" s="209" t="s">
        <v>306</v>
      </c>
      <c r="BB499" s="234" t="s">
        <v>25</v>
      </c>
      <c r="BC499" s="235" t="s">
        <v>25</v>
      </c>
      <c r="BD499" s="209"/>
    </row>
    <row r="500" spans="1:56" ht="12.75" customHeight="1" x14ac:dyDescent="0.25">
      <c r="A500" s="238">
        <v>45259.763493703707</v>
      </c>
      <c r="B500" s="233" t="s">
        <v>427</v>
      </c>
      <c r="C500" s="232" t="s">
        <v>587</v>
      </c>
      <c r="D500" s="232" t="s">
        <v>17</v>
      </c>
      <c r="E500" s="232" t="s">
        <v>605</v>
      </c>
      <c r="F500" s="209" t="s">
        <v>1081</v>
      </c>
      <c r="G500" s="232" t="s">
        <v>18</v>
      </c>
      <c r="H500" s="232">
        <v>16</v>
      </c>
      <c r="I500" s="209" t="s">
        <v>531</v>
      </c>
      <c r="J500" s="188"/>
      <c r="K500" s="209" t="s">
        <v>539</v>
      </c>
      <c r="L500" s="209" t="s">
        <v>531</v>
      </c>
      <c r="M500" s="188"/>
      <c r="N500" s="188"/>
      <c r="O500" s="232" t="s">
        <v>518</v>
      </c>
      <c r="P500" s="209" t="s">
        <v>608</v>
      </c>
      <c r="Q500" s="209" t="s">
        <v>25</v>
      </c>
      <c r="R500" s="209" t="s">
        <v>25</v>
      </c>
      <c r="S500" s="234" t="s">
        <v>25</v>
      </c>
      <c r="T500" s="209" t="s">
        <v>306</v>
      </c>
      <c r="U500" s="209" t="s">
        <v>25</v>
      </c>
      <c r="V500" s="234" t="s">
        <v>25</v>
      </c>
      <c r="W500" s="209" t="s">
        <v>25</v>
      </c>
      <c r="X500" s="209" t="s">
        <v>306</v>
      </c>
      <c r="Y500" s="234" t="s">
        <v>25</v>
      </c>
      <c r="Z500" s="209" t="s">
        <v>25</v>
      </c>
      <c r="AA500" s="209" t="s">
        <v>25</v>
      </c>
      <c r="AB500" s="234" t="s">
        <v>25</v>
      </c>
      <c r="AC500" s="235" t="s">
        <v>25</v>
      </c>
      <c r="AD500" s="209" t="s">
        <v>306</v>
      </c>
      <c r="AE500" s="209" t="s">
        <v>19</v>
      </c>
      <c r="AF500" s="234" t="s">
        <v>306</v>
      </c>
      <c r="AG500" s="209" t="s">
        <v>306</v>
      </c>
      <c r="AH500" s="209" t="s">
        <v>25</v>
      </c>
      <c r="AI500" s="234" t="s">
        <v>25</v>
      </c>
      <c r="AJ500" s="209" t="s">
        <v>25</v>
      </c>
      <c r="AK500" s="209" t="s">
        <v>25</v>
      </c>
      <c r="AL500" s="234" t="s">
        <v>25</v>
      </c>
      <c r="AM500" s="209" t="s">
        <v>25</v>
      </c>
      <c r="AN500" s="209" t="s">
        <v>25</v>
      </c>
      <c r="AO500" s="234" t="s">
        <v>25</v>
      </c>
      <c r="AP500" s="235" t="s">
        <v>25</v>
      </c>
      <c r="AQ500" s="209" t="s">
        <v>19</v>
      </c>
      <c r="AR500" s="209" t="s">
        <v>25</v>
      </c>
      <c r="AS500" s="234" t="s">
        <v>306</v>
      </c>
      <c r="AT500" s="209" t="s">
        <v>19</v>
      </c>
      <c r="AU500" s="209" t="s">
        <v>25</v>
      </c>
      <c r="AV500" s="234" t="s">
        <v>306</v>
      </c>
      <c r="AW500" s="209" t="s">
        <v>306</v>
      </c>
      <c r="AX500" s="209" t="s">
        <v>25</v>
      </c>
      <c r="AY500" s="234" t="s">
        <v>25</v>
      </c>
      <c r="AZ500" s="209" t="s">
        <v>25</v>
      </c>
      <c r="BA500" s="209" t="s">
        <v>25</v>
      </c>
      <c r="BB500" s="234" t="s">
        <v>25</v>
      </c>
      <c r="BC500" s="235" t="s">
        <v>25</v>
      </c>
      <c r="BD500" s="209"/>
    </row>
    <row r="501" spans="1:56" ht="12.75" customHeight="1" x14ac:dyDescent="0.25">
      <c r="A501" s="238">
        <v>45259.767401909718</v>
      </c>
      <c r="B501" s="233" t="s">
        <v>427</v>
      </c>
      <c r="C501" s="232" t="s">
        <v>587</v>
      </c>
      <c r="D501" s="232" t="s">
        <v>17</v>
      </c>
      <c r="E501" s="232" t="s">
        <v>605</v>
      </c>
      <c r="F501" s="209" t="s">
        <v>1082</v>
      </c>
      <c r="G501" s="232" t="s">
        <v>18</v>
      </c>
      <c r="H501" s="232">
        <v>15</v>
      </c>
      <c r="I501" s="209" t="s">
        <v>531</v>
      </c>
      <c r="J501" s="188"/>
      <c r="K501" s="209" t="s">
        <v>539</v>
      </c>
      <c r="L501" s="209" t="s">
        <v>518</v>
      </c>
      <c r="M501" s="209" t="s">
        <v>368</v>
      </c>
      <c r="N501" s="209" t="s">
        <v>375</v>
      </c>
      <c r="O501" s="232" t="s">
        <v>518</v>
      </c>
      <c r="P501" s="209" t="s">
        <v>671</v>
      </c>
      <c r="Q501" s="209" t="s">
        <v>25</v>
      </c>
      <c r="R501" s="209" t="s">
        <v>25</v>
      </c>
      <c r="S501" s="234" t="s">
        <v>25</v>
      </c>
      <c r="T501" s="209" t="s">
        <v>306</v>
      </c>
      <c r="U501" s="209" t="s">
        <v>25</v>
      </c>
      <c r="V501" s="234" t="s">
        <v>25</v>
      </c>
      <c r="W501" s="209" t="s">
        <v>306</v>
      </c>
      <c r="X501" s="209" t="s">
        <v>19</v>
      </c>
      <c r="Y501" s="234" t="s">
        <v>306</v>
      </c>
      <c r="Z501" s="209" t="s">
        <v>306</v>
      </c>
      <c r="AA501" s="209" t="s">
        <v>19</v>
      </c>
      <c r="AB501" s="234" t="s">
        <v>306</v>
      </c>
      <c r="AC501" s="235" t="s">
        <v>306</v>
      </c>
      <c r="AD501" s="209" t="s">
        <v>306</v>
      </c>
      <c r="AE501" s="209" t="s">
        <v>306</v>
      </c>
      <c r="AF501" s="234" t="s">
        <v>306</v>
      </c>
      <c r="AG501" s="209" t="s">
        <v>306</v>
      </c>
      <c r="AH501" s="209" t="s">
        <v>19</v>
      </c>
      <c r="AI501" s="234" t="s">
        <v>306</v>
      </c>
      <c r="AJ501" s="209" t="s">
        <v>306</v>
      </c>
      <c r="AK501" s="209" t="s">
        <v>306</v>
      </c>
      <c r="AL501" s="234" t="s">
        <v>306</v>
      </c>
      <c r="AM501" s="209" t="s">
        <v>19</v>
      </c>
      <c r="AN501" s="209" t="s">
        <v>19</v>
      </c>
      <c r="AO501" s="234" t="s">
        <v>19</v>
      </c>
      <c r="AP501" s="235" t="s">
        <v>306</v>
      </c>
      <c r="AQ501" s="209" t="s">
        <v>19</v>
      </c>
      <c r="AR501" s="209" t="s">
        <v>25</v>
      </c>
      <c r="AS501" s="234" t="s">
        <v>306</v>
      </c>
      <c r="AT501" s="209" t="s">
        <v>25</v>
      </c>
      <c r="AU501" s="209" t="s">
        <v>25</v>
      </c>
      <c r="AV501" s="234" t="s">
        <v>25</v>
      </c>
      <c r="AW501" s="209" t="s">
        <v>306</v>
      </c>
      <c r="AX501" s="209" t="s">
        <v>19</v>
      </c>
      <c r="AY501" s="234" t="s">
        <v>306</v>
      </c>
      <c r="AZ501" s="209" t="s">
        <v>306</v>
      </c>
      <c r="BA501" s="209" t="s">
        <v>25</v>
      </c>
      <c r="BB501" s="234" t="s">
        <v>306</v>
      </c>
      <c r="BC501" s="235" t="s">
        <v>306</v>
      </c>
      <c r="BD501" s="209"/>
    </row>
    <row r="502" spans="1:56" ht="12.75" customHeight="1" x14ac:dyDescent="0.25">
      <c r="A502" s="238">
        <v>45259.770490636569</v>
      </c>
      <c r="B502" s="233" t="s">
        <v>427</v>
      </c>
      <c r="C502" s="232" t="s">
        <v>587</v>
      </c>
      <c r="D502" s="232" t="s">
        <v>17</v>
      </c>
      <c r="E502" s="232" t="s">
        <v>605</v>
      </c>
      <c r="F502" s="209" t="s">
        <v>1083</v>
      </c>
      <c r="G502" s="232" t="s">
        <v>18</v>
      </c>
      <c r="H502" s="232">
        <v>18</v>
      </c>
      <c r="I502" s="209" t="s">
        <v>531</v>
      </c>
      <c r="J502" s="188"/>
      <c r="K502" s="209" t="s">
        <v>539</v>
      </c>
      <c r="L502" s="209" t="s">
        <v>531</v>
      </c>
      <c r="M502" s="188"/>
      <c r="N502" s="188"/>
      <c r="O502" s="232" t="s">
        <v>531</v>
      </c>
      <c r="P502" s="188"/>
      <c r="Q502" s="209" t="s">
        <v>306</v>
      </c>
      <c r="R502" s="209" t="s">
        <v>19</v>
      </c>
      <c r="S502" s="234" t="s">
        <v>306</v>
      </c>
      <c r="T502" s="209" t="s">
        <v>19</v>
      </c>
      <c r="U502" s="209" t="s">
        <v>19</v>
      </c>
      <c r="V502" s="234" t="s">
        <v>19</v>
      </c>
      <c r="W502" s="209" t="s">
        <v>19</v>
      </c>
      <c r="X502" s="209" t="s">
        <v>25</v>
      </c>
      <c r="Y502" s="234" t="s">
        <v>306</v>
      </c>
      <c r="Z502" s="209" t="s">
        <v>306</v>
      </c>
      <c r="AA502" s="209" t="s">
        <v>25</v>
      </c>
      <c r="AB502" s="234" t="s">
        <v>25</v>
      </c>
      <c r="AC502" s="235" t="s">
        <v>306</v>
      </c>
      <c r="AD502" s="209" t="s">
        <v>25</v>
      </c>
      <c r="AE502" s="209" t="s">
        <v>19</v>
      </c>
      <c r="AF502" s="234" t="s">
        <v>306</v>
      </c>
      <c r="AG502" s="209" t="s">
        <v>19</v>
      </c>
      <c r="AH502" s="209" t="s">
        <v>306</v>
      </c>
      <c r="AI502" s="234" t="s">
        <v>306</v>
      </c>
      <c r="AJ502" s="209" t="s">
        <v>19</v>
      </c>
      <c r="AK502" s="209" t="s">
        <v>19</v>
      </c>
      <c r="AL502" s="234" t="s">
        <v>19</v>
      </c>
      <c r="AM502" s="209" t="s">
        <v>19</v>
      </c>
      <c r="AN502" s="209" t="s">
        <v>19</v>
      </c>
      <c r="AO502" s="234" t="s">
        <v>19</v>
      </c>
      <c r="AP502" s="235" t="s">
        <v>19</v>
      </c>
      <c r="AQ502" s="209" t="s">
        <v>19</v>
      </c>
      <c r="AR502" s="209" t="s">
        <v>19</v>
      </c>
      <c r="AS502" s="234" t="s">
        <v>19</v>
      </c>
      <c r="AT502" s="209" t="s">
        <v>306</v>
      </c>
      <c r="AU502" s="209" t="s">
        <v>306</v>
      </c>
      <c r="AV502" s="234" t="s">
        <v>306</v>
      </c>
      <c r="AW502" s="209" t="s">
        <v>25</v>
      </c>
      <c r="AX502" s="209" t="s">
        <v>19</v>
      </c>
      <c r="AY502" s="234" t="s">
        <v>306</v>
      </c>
      <c r="AZ502" s="209" t="s">
        <v>306</v>
      </c>
      <c r="BA502" s="209" t="s">
        <v>25</v>
      </c>
      <c r="BB502" s="234" t="s">
        <v>306</v>
      </c>
      <c r="BC502" s="235" t="s">
        <v>306</v>
      </c>
      <c r="BD502" s="209"/>
    </row>
    <row r="503" spans="1:56" ht="12.75" customHeight="1" x14ac:dyDescent="0.25">
      <c r="A503" s="238">
        <v>45259.778874675925</v>
      </c>
      <c r="B503" s="233" t="s">
        <v>427</v>
      </c>
      <c r="C503" s="232" t="s">
        <v>587</v>
      </c>
      <c r="D503" s="232" t="s">
        <v>17</v>
      </c>
      <c r="E503" s="232" t="s">
        <v>605</v>
      </c>
      <c r="F503" s="209" t="s">
        <v>1084</v>
      </c>
      <c r="G503" s="232" t="s">
        <v>18</v>
      </c>
      <c r="H503" s="232">
        <v>16</v>
      </c>
      <c r="I503" s="209" t="s">
        <v>531</v>
      </c>
      <c r="J503" s="188"/>
      <c r="K503" s="209" t="s">
        <v>539</v>
      </c>
      <c r="L503" s="209" t="s">
        <v>518</v>
      </c>
      <c r="M503" s="209" t="s">
        <v>368</v>
      </c>
      <c r="N503" s="209" t="s">
        <v>368</v>
      </c>
      <c r="O503" s="232" t="s">
        <v>531</v>
      </c>
      <c r="P503" s="188"/>
      <c r="Q503" s="209" t="s">
        <v>306</v>
      </c>
      <c r="R503" s="209" t="s">
        <v>25</v>
      </c>
      <c r="S503" s="234" t="s">
        <v>25</v>
      </c>
      <c r="T503" s="209" t="s">
        <v>306</v>
      </c>
      <c r="U503" s="209" t="s">
        <v>19</v>
      </c>
      <c r="V503" s="234" t="s">
        <v>306</v>
      </c>
      <c r="W503" s="209" t="s">
        <v>306</v>
      </c>
      <c r="X503" s="209" t="s">
        <v>19</v>
      </c>
      <c r="Y503" s="234" t="s">
        <v>306</v>
      </c>
      <c r="Z503" s="209" t="s">
        <v>306</v>
      </c>
      <c r="AA503" s="209" t="s">
        <v>306</v>
      </c>
      <c r="AB503" s="234" t="s">
        <v>306</v>
      </c>
      <c r="AC503" s="235" t="s">
        <v>306</v>
      </c>
      <c r="AD503" s="209" t="s">
        <v>306</v>
      </c>
      <c r="AE503" s="209" t="s">
        <v>306</v>
      </c>
      <c r="AF503" s="234" t="s">
        <v>306</v>
      </c>
      <c r="AG503" s="209" t="s">
        <v>25</v>
      </c>
      <c r="AH503" s="209" t="s">
        <v>306</v>
      </c>
      <c r="AI503" s="234" t="s">
        <v>25</v>
      </c>
      <c r="AJ503" s="209" t="s">
        <v>306</v>
      </c>
      <c r="AK503" s="209" t="s">
        <v>306</v>
      </c>
      <c r="AL503" s="234" t="s">
        <v>306</v>
      </c>
      <c r="AM503" s="209" t="s">
        <v>19</v>
      </c>
      <c r="AN503" s="209" t="s">
        <v>306</v>
      </c>
      <c r="AO503" s="234" t="s">
        <v>306</v>
      </c>
      <c r="AP503" s="235" t="s">
        <v>306</v>
      </c>
      <c r="AQ503" s="209" t="s">
        <v>306</v>
      </c>
      <c r="AR503" s="209" t="s">
        <v>306</v>
      </c>
      <c r="AS503" s="234" t="s">
        <v>306</v>
      </c>
      <c r="AT503" s="209" t="s">
        <v>306</v>
      </c>
      <c r="AU503" s="209" t="s">
        <v>306</v>
      </c>
      <c r="AV503" s="234" t="s">
        <v>306</v>
      </c>
      <c r="AW503" s="209" t="s">
        <v>306</v>
      </c>
      <c r="AX503" s="209" t="s">
        <v>19</v>
      </c>
      <c r="AY503" s="234" t="s">
        <v>306</v>
      </c>
      <c r="AZ503" s="209" t="s">
        <v>306</v>
      </c>
      <c r="BA503" s="209" t="s">
        <v>306</v>
      </c>
      <c r="BB503" s="234" t="s">
        <v>306</v>
      </c>
      <c r="BC503" s="235" t="s">
        <v>306</v>
      </c>
      <c r="BD503" s="209"/>
    </row>
    <row r="504" spans="1:56" ht="12.75" customHeight="1" x14ac:dyDescent="0.25">
      <c r="A504" s="238">
        <v>45260.408356956017</v>
      </c>
      <c r="B504" s="233" t="s">
        <v>427</v>
      </c>
      <c r="C504" s="232" t="s">
        <v>587</v>
      </c>
      <c r="D504" s="232" t="s">
        <v>17</v>
      </c>
      <c r="E504" s="232" t="s">
        <v>605</v>
      </c>
      <c r="F504" s="209" t="s">
        <v>1085</v>
      </c>
      <c r="G504" s="232" t="s">
        <v>24</v>
      </c>
      <c r="H504" s="232">
        <v>16</v>
      </c>
      <c r="I504" s="209" t="s">
        <v>531</v>
      </c>
      <c r="J504" s="188"/>
      <c r="K504" s="209" t="s">
        <v>539</v>
      </c>
      <c r="L504" s="209" t="s">
        <v>518</v>
      </c>
      <c r="M504" s="209" t="s">
        <v>375</v>
      </c>
      <c r="N504" s="209" t="s">
        <v>375</v>
      </c>
      <c r="O504" s="232" t="s">
        <v>531</v>
      </c>
      <c r="P504" s="188"/>
      <c r="Q504" s="209" t="s">
        <v>25</v>
      </c>
      <c r="R504" s="209" t="s">
        <v>25</v>
      </c>
      <c r="S504" s="234" t="s">
        <v>25</v>
      </c>
      <c r="T504" s="209" t="s">
        <v>25</v>
      </c>
      <c r="U504" s="209" t="s">
        <v>25</v>
      </c>
      <c r="V504" s="234" t="s">
        <v>25</v>
      </c>
      <c r="W504" s="209" t="s">
        <v>306</v>
      </c>
      <c r="X504" s="209" t="s">
        <v>306</v>
      </c>
      <c r="Y504" s="234" t="s">
        <v>306</v>
      </c>
      <c r="Z504" s="209" t="s">
        <v>25</v>
      </c>
      <c r="AA504" s="209" t="s">
        <v>25</v>
      </c>
      <c r="AB504" s="234" t="s">
        <v>25</v>
      </c>
      <c r="AC504" s="235" t="s">
        <v>25</v>
      </c>
      <c r="AD504" s="209" t="s">
        <v>306</v>
      </c>
      <c r="AE504" s="209" t="s">
        <v>306</v>
      </c>
      <c r="AF504" s="234" t="s">
        <v>306</v>
      </c>
      <c r="AG504" s="209" t="s">
        <v>306</v>
      </c>
      <c r="AH504" s="209" t="s">
        <v>306</v>
      </c>
      <c r="AI504" s="234" t="s">
        <v>306</v>
      </c>
      <c r="AJ504" s="209" t="s">
        <v>306</v>
      </c>
      <c r="AK504" s="209" t="s">
        <v>306</v>
      </c>
      <c r="AL504" s="234" t="s">
        <v>306</v>
      </c>
      <c r="AM504" s="209" t="s">
        <v>306</v>
      </c>
      <c r="AN504" s="209" t="s">
        <v>19</v>
      </c>
      <c r="AO504" s="234" t="s">
        <v>306</v>
      </c>
      <c r="AP504" s="235" t="s">
        <v>306</v>
      </c>
      <c r="AQ504" s="209" t="s">
        <v>25</v>
      </c>
      <c r="AR504" s="209" t="s">
        <v>25</v>
      </c>
      <c r="AS504" s="234" t="s">
        <v>25</v>
      </c>
      <c r="AT504" s="209" t="s">
        <v>25</v>
      </c>
      <c r="AU504" s="209" t="s">
        <v>25</v>
      </c>
      <c r="AV504" s="234" t="s">
        <v>25</v>
      </c>
      <c r="AW504" s="209" t="s">
        <v>25</v>
      </c>
      <c r="AX504" s="209" t="s">
        <v>306</v>
      </c>
      <c r="AY504" s="234" t="s">
        <v>25</v>
      </c>
      <c r="AZ504" s="209" t="s">
        <v>25</v>
      </c>
      <c r="BA504" s="209" t="s">
        <v>25</v>
      </c>
      <c r="BB504" s="234" t="s">
        <v>19</v>
      </c>
      <c r="BC504" s="235" t="s">
        <v>306</v>
      </c>
      <c r="BD504" s="209"/>
    </row>
    <row r="505" spans="1:56" ht="12.75" customHeight="1" x14ac:dyDescent="0.25">
      <c r="A505" s="238">
        <v>45260.410622280091</v>
      </c>
      <c r="B505" s="233" t="s">
        <v>427</v>
      </c>
      <c r="C505" s="232" t="s">
        <v>587</v>
      </c>
      <c r="D505" s="232" t="s">
        <v>17</v>
      </c>
      <c r="E505" s="232" t="s">
        <v>605</v>
      </c>
      <c r="F505" s="209" t="s">
        <v>1086</v>
      </c>
      <c r="G505" s="232" t="s">
        <v>24</v>
      </c>
      <c r="H505" s="232">
        <v>16</v>
      </c>
      <c r="I505" s="209" t="s">
        <v>531</v>
      </c>
      <c r="J505" s="188"/>
      <c r="K505" s="209" t="s">
        <v>539</v>
      </c>
      <c r="L505" s="209" t="s">
        <v>518</v>
      </c>
      <c r="M505" s="209" t="s">
        <v>401</v>
      </c>
      <c r="N505" s="209" t="s">
        <v>653</v>
      </c>
      <c r="O505" s="232" t="s">
        <v>531</v>
      </c>
      <c r="P505" s="188"/>
      <c r="Q505" s="209" t="s">
        <v>306</v>
      </c>
      <c r="R505" s="209" t="s">
        <v>306</v>
      </c>
      <c r="S505" s="234" t="s">
        <v>306</v>
      </c>
      <c r="T505" s="209" t="s">
        <v>306</v>
      </c>
      <c r="U505" s="209" t="s">
        <v>25</v>
      </c>
      <c r="V505" s="234" t="s">
        <v>25</v>
      </c>
      <c r="W505" s="209" t="s">
        <v>25</v>
      </c>
      <c r="X505" s="209" t="s">
        <v>306</v>
      </c>
      <c r="Y505" s="234" t="s">
        <v>25</v>
      </c>
      <c r="Z505" s="209" t="s">
        <v>306</v>
      </c>
      <c r="AA505" s="209" t="s">
        <v>25</v>
      </c>
      <c r="AB505" s="234" t="s">
        <v>25</v>
      </c>
      <c r="AC505" s="235" t="s">
        <v>306</v>
      </c>
      <c r="AD505" s="209" t="s">
        <v>19</v>
      </c>
      <c r="AE505" s="209" t="s">
        <v>19</v>
      </c>
      <c r="AF505" s="234" t="s">
        <v>19</v>
      </c>
      <c r="AG505" s="209" t="s">
        <v>19</v>
      </c>
      <c r="AH505" s="209" t="s">
        <v>19</v>
      </c>
      <c r="AI505" s="234" t="s">
        <v>19</v>
      </c>
      <c r="AJ505" s="209" t="s">
        <v>306</v>
      </c>
      <c r="AK505" s="209" t="s">
        <v>306</v>
      </c>
      <c r="AL505" s="234" t="s">
        <v>306</v>
      </c>
      <c r="AM505" s="209" t="s">
        <v>19</v>
      </c>
      <c r="AN505" s="209" t="s">
        <v>19</v>
      </c>
      <c r="AO505" s="234" t="s">
        <v>19</v>
      </c>
      <c r="AP505" s="235" t="s">
        <v>19</v>
      </c>
      <c r="AQ505" s="209" t="s">
        <v>25</v>
      </c>
      <c r="AR505" s="209" t="s">
        <v>25</v>
      </c>
      <c r="AS505" s="234" t="s">
        <v>25</v>
      </c>
      <c r="AT505" s="209" t="s">
        <v>25</v>
      </c>
      <c r="AU505" s="209" t="s">
        <v>25</v>
      </c>
      <c r="AV505" s="234" t="s">
        <v>25</v>
      </c>
      <c r="AW505" s="209" t="s">
        <v>306</v>
      </c>
      <c r="AX505" s="209" t="s">
        <v>19</v>
      </c>
      <c r="AY505" s="234" t="s">
        <v>306</v>
      </c>
      <c r="AZ505" s="209" t="s">
        <v>306</v>
      </c>
      <c r="BA505" s="209" t="s">
        <v>306</v>
      </c>
      <c r="BB505" s="234" t="s">
        <v>306</v>
      </c>
      <c r="BC505" s="235" t="s">
        <v>25</v>
      </c>
      <c r="BD505" s="209"/>
    </row>
    <row r="506" spans="1:56" ht="12.75" customHeight="1" x14ac:dyDescent="0.25">
      <c r="A506" s="238">
        <v>45260.415357013888</v>
      </c>
      <c r="B506" s="233" t="s">
        <v>427</v>
      </c>
      <c r="C506" s="232" t="s">
        <v>587</v>
      </c>
      <c r="D506" s="232" t="s">
        <v>17</v>
      </c>
      <c r="E506" s="232" t="s">
        <v>605</v>
      </c>
      <c r="F506" s="209" t="s">
        <v>1087</v>
      </c>
      <c r="G506" s="232" t="s">
        <v>24</v>
      </c>
      <c r="H506" s="232">
        <v>16</v>
      </c>
      <c r="I506" s="209" t="s">
        <v>531</v>
      </c>
      <c r="J506" s="188"/>
      <c r="K506" s="209" t="s">
        <v>539</v>
      </c>
      <c r="L506" s="209" t="s">
        <v>518</v>
      </c>
      <c r="M506" s="209" t="s">
        <v>401</v>
      </c>
      <c r="N506" s="209" t="s">
        <v>653</v>
      </c>
      <c r="O506" s="232" t="s">
        <v>518</v>
      </c>
      <c r="P506" s="209" t="s">
        <v>671</v>
      </c>
      <c r="Q506" s="209" t="s">
        <v>25</v>
      </c>
      <c r="R506" s="209" t="s">
        <v>25</v>
      </c>
      <c r="S506" s="234" t="s">
        <v>25</v>
      </c>
      <c r="T506" s="209" t="s">
        <v>25</v>
      </c>
      <c r="U506" s="209" t="s">
        <v>25</v>
      </c>
      <c r="V506" s="234" t="s">
        <v>25</v>
      </c>
      <c r="W506" s="209" t="s">
        <v>25</v>
      </c>
      <c r="X506" s="209" t="s">
        <v>25</v>
      </c>
      <c r="Y506" s="234" t="s">
        <v>25</v>
      </c>
      <c r="Z506" s="209" t="s">
        <v>306</v>
      </c>
      <c r="AA506" s="209" t="s">
        <v>25</v>
      </c>
      <c r="AB506" s="234" t="s">
        <v>25</v>
      </c>
      <c r="AC506" s="235" t="s">
        <v>25</v>
      </c>
      <c r="AD506" s="209" t="s">
        <v>306</v>
      </c>
      <c r="AE506" s="209" t="s">
        <v>306</v>
      </c>
      <c r="AF506" s="234" t="s">
        <v>306</v>
      </c>
      <c r="AG506" s="209" t="s">
        <v>19</v>
      </c>
      <c r="AH506" s="209" t="s">
        <v>25</v>
      </c>
      <c r="AI506" s="234" t="s">
        <v>306</v>
      </c>
      <c r="AJ506" s="209" t="s">
        <v>306</v>
      </c>
      <c r="AK506" s="209" t="s">
        <v>19</v>
      </c>
      <c r="AL506" s="234" t="s">
        <v>306</v>
      </c>
      <c r="AM506" s="209" t="s">
        <v>19</v>
      </c>
      <c r="AN506" s="209" t="s">
        <v>19</v>
      </c>
      <c r="AO506" s="234" t="s">
        <v>19</v>
      </c>
      <c r="AP506" s="235" t="s">
        <v>306</v>
      </c>
      <c r="AQ506" s="209" t="s">
        <v>25</v>
      </c>
      <c r="AR506" s="209" t="s">
        <v>25</v>
      </c>
      <c r="AS506" s="234" t="s">
        <v>25</v>
      </c>
      <c r="AT506" s="209" t="s">
        <v>25</v>
      </c>
      <c r="AU506" s="209" t="s">
        <v>25</v>
      </c>
      <c r="AV506" s="234" t="s">
        <v>25</v>
      </c>
      <c r="AW506" s="209" t="s">
        <v>25</v>
      </c>
      <c r="AX506" s="209" t="s">
        <v>25</v>
      </c>
      <c r="AY506" s="234" t="s">
        <v>25</v>
      </c>
      <c r="AZ506" s="209" t="s">
        <v>306</v>
      </c>
      <c r="BA506" s="209" t="s">
        <v>25</v>
      </c>
      <c r="BB506" s="234" t="s">
        <v>19</v>
      </c>
      <c r="BC506" s="235" t="s">
        <v>306</v>
      </c>
      <c r="BD506" s="209"/>
    </row>
    <row r="507" spans="1:56" ht="12.75" customHeight="1" x14ac:dyDescent="0.25">
      <c r="A507" s="211">
        <v>1</v>
      </c>
      <c r="B507" s="137" t="s">
        <v>427</v>
      </c>
      <c r="C507" s="211" t="s">
        <v>595</v>
      </c>
      <c r="D507" s="211" t="s">
        <v>17</v>
      </c>
      <c r="E507" s="232" t="s">
        <v>605</v>
      </c>
      <c r="F507" s="188" t="s">
        <v>1088</v>
      </c>
      <c r="G507" s="211" t="s">
        <v>18</v>
      </c>
      <c r="H507" s="211">
        <v>15</v>
      </c>
      <c r="I507" s="188" t="s">
        <v>531</v>
      </c>
      <c r="J507" s="188" t="s">
        <v>532</v>
      </c>
      <c r="K507" s="209" t="s">
        <v>539</v>
      </c>
      <c r="L507" s="188" t="s">
        <v>518</v>
      </c>
      <c r="M507" s="188" t="s">
        <v>401</v>
      </c>
      <c r="N507" s="188"/>
      <c r="O507" s="211" t="s">
        <v>531</v>
      </c>
      <c r="P507" s="188" t="s">
        <v>640</v>
      </c>
      <c r="Q507" s="188" t="s">
        <v>25</v>
      </c>
      <c r="R507" s="188" t="s">
        <v>25</v>
      </c>
      <c r="S507" s="234" t="s">
        <v>25</v>
      </c>
      <c r="T507" s="188" t="s">
        <v>306</v>
      </c>
      <c r="U507" s="188" t="s">
        <v>25</v>
      </c>
      <c r="V507" s="234" t="s">
        <v>25</v>
      </c>
      <c r="W507" s="188" t="s">
        <v>306</v>
      </c>
      <c r="X507" s="188" t="s">
        <v>25</v>
      </c>
      <c r="Y507" s="234" t="s">
        <v>25</v>
      </c>
      <c r="Z507" s="188" t="s">
        <v>19</v>
      </c>
      <c r="AA507" s="188" t="s">
        <v>306</v>
      </c>
      <c r="AB507" s="234" t="s">
        <v>306</v>
      </c>
      <c r="AC507" s="235" t="s">
        <v>306</v>
      </c>
      <c r="AD507" s="188" t="s">
        <v>306</v>
      </c>
      <c r="AE507" s="188" t="s">
        <v>306</v>
      </c>
      <c r="AF507" s="234" t="s">
        <v>306</v>
      </c>
      <c r="AG507" s="188" t="s">
        <v>19</v>
      </c>
      <c r="AH507" s="188" t="s">
        <v>19</v>
      </c>
      <c r="AI507" s="234" t="s">
        <v>19</v>
      </c>
      <c r="AJ507" s="188" t="s">
        <v>19</v>
      </c>
      <c r="AK507" s="188" t="s">
        <v>19</v>
      </c>
      <c r="AL507" s="234" t="s">
        <v>19</v>
      </c>
      <c r="AM507" s="188" t="s">
        <v>306</v>
      </c>
      <c r="AN507" s="188" t="s">
        <v>19</v>
      </c>
      <c r="AO507" s="234" t="s">
        <v>306</v>
      </c>
      <c r="AP507" s="235" t="s">
        <v>19</v>
      </c>
      <c r="AQ507" s="188" t="s">
        <v>19</v>
      </c>
      <c r="AR507" s="188" t="s">
        <v>25</v>
      </c>
      <c r="AS507" s="234" t="s">
        <v>306</v>
      </c>
      <c r="AT507" s="188" t="s">
        <v>25</v>
      </c>
      <c r="AU507" s="188" t="s">
        <v>25</v>
      </c>
      <c r="AV507" s="234" t="s">
        <v>25</v>
      </c>
      <c r="AW507" s="188" t="s">
        <v>306</v>
      </c>
      <c r="AX507" s="188" t="s">
        <v>19</v>
      </c>
      <c r="AY507" s="234" t="s">
        <v>306</v>
      </c>
      <c r="AZ507" s="188" t="s">
        <v>25</v>
      </c>
      <c r="BA507" s="188" t="s">
        <v>25</v>
      </c>
      <c r="BB507" s="234" t="s">
        <v>306</v>
      </c>
      <c r="BC507" s="235" t="s">
        <v>306</v>
      </c>
      <c r="BD507" s="209"/>
    </row>
    <row r="508" spans="1:56" ht="12.75" customHeight="1" x14ac:dyDescent="0.25">
      <c r="A508" s="211">
        <v>2</v>
      </c>
      <c r="B508" s="137" t="s">
        <v>427</v>
      </c>
      <c r="C508" s="211" t="s">
        <v>595</v>
      </c>
      <c r="D508" s="211" t="s">
        <v>17</v>
      </c>
      <c r="E508" s="232" t="s">
        <v>605</v>
      </c>
      <c r="F508" s="188" t="s">
        <v>1089</v>
      </c>
      <c r="G508" s="211" t="s">
        <v>24</v>
      </c>
      <c r="H508" s="211">
        <v>15</v>
      </c>
      <c r="I508" s="188" t="s">
        <v>531</v>
      </c>
      <c r="J508" s="188" t="s">
        <v>532</v>
      </c>
      <c r="K508" s="209" t="s">
        <v>539</v>
      </c>
      <c r="L508" s="188" t="s">
        <v>518</v>
      </c>
      <c r="M508" s="188" t="s">
        <v>401</v>
      </c>
      <c r="N508" s="188"/>
      <c r="O508" s="211" t="s">
        <v>531</v>
      </c>
      <c r="P508" s="188" t="s">
        <v>640</v>
      </c>
      <c r="Q508" s="188" t="s">
        <v>25</v>
      </c>
      <c r="R508" s="188" t="s">
        <v>19</v>
      </c>
      <c r="S508" s="234" t="s">
        <v>306</v>
      </c>
      <c r="T508" s="188" t="s">
        <v>306</v>
      </c>
      <c r="U508" s="188" t="s">
        <v>25</v>
      </c>
      <c r="V508" s="234" t="s">
        <v>25</v>
      </c>
      <c r="W508" s="188" t="s">
        <v>19</v>
      </c>
      <c r="X508" s="188" t="s">
        <v>19</v>
      </c>
      <c r="Y508" s="234" t="s">
        <v>19</v>
      </c>
      <c r="Z508" s="188" t="s">
        <v>25</v>
      </c>
      <c r="AA508" s="188" t="s">
        <v>25</v>
      </c>
      <c r="AB508" s="234" t="s">
        <v>25</v>
      </c>
      <c r="AC508" s="235" t="s">
        <v>306</v>
      </c>
      <c r="AD508" s="188" t="s">
        <v>306</v>
      </c>
      <c r="AE508" s="188" t="s">
        <v>306</v>
      </c>
      <c r="AF508" s="234" t="s">
        <v>306</v>
      </c>
      <c r="AG508" s="188" t="s">
        <v>19</v>
      </c>
      <c r="AH508" s="188" t="s">
        <v>19</v>
      </c>
      <c r="AI508" s="234" t="s">
        <v>19</v>
      </c>
      <c r="AJ508" s="188" t="s">
        <v>19</v>
      </c>
      <c r="AK508" s="188" t="s">
        <v>19</v>
      </c>
      <c r="AL508" s="234" t="s">
        <v>19</v>
      </c>
      <c r="AM508" s="188" t="s">
        <v>306</v>
      </c>
      <c r="AN508" s="188" t="s">
        <v>19</v>
      </c>
      <c r="AO508" s="234" t="s">
        <v>306</v>
      </c>
      <c r="AP508" s="235" t="s">
        <v>19</v>
      </c>
      <c r="AQ508" s="188" t="s">
        <v>19</v>
      </c>
      <c r="AR508" s="188" t="s">
        <v>25</v>
      </c>
      <c r="AS508" s="234" t="s">
        <v>306</v>
      </c>
      <c r="AT508" s="188" t="s">
        <v>25</v>
      </c>
      <c r="AU508" s="188" t="s">
        <v>25</v>
      </c>
      <c r="AV508" s="234" t="s">
        <v>25</v>
      </c>
      <c r="AW508" s="188" t="s">
        <v>306</v>
      </c>
      <c r="AX508" s="188" t="s">
        <v>19</v>
      </c>
      <c r="AY508" s="234" t="s">
        <v>306</v>
      </c>
      <c r="AZ508" s="188" t="s">
        <v>25</v>
      </c>
      <c r="BA508" s="188" t="s">
        <v>25</v>
      </c>
      <c r="BB508" s="234" t="s">
        <v>25</v>
      </c>
      <c r="BC508" s="235" t="s">
        <v>25</v>
      </c>
      <c r="BD508" s="209"/>
    </row>
    <row r="509" spans="1:56" ht="12.75" customHeight="1" x14ac:dyDescent="0.25">
      <c r="A509" s="211">
        <v>3</v>
      </c>
      <c r="B509" s="137" t="s">
        <v>427</v>
      </c>
      <c r="C509" s="211" t="s">
        <v>595</v>
      </c>
      <c r="D509" s="211" t="s">
        <v>17</v>
      </c>
      <c r="E509" s="232" t="s">
        <v>605</v>
      </c>
      <c r="F509" s="188" t="s">
        <v>1090</v>
      </c>
      <c r="G509" s="211" t="s">
        <v>24</v>
      </c>
      <c r="H509" s="211">
        <v>15</v>
      </c>
      <c r="I509" s="188" t="s">
        <v>531</v>
      </c>
      <c r="J509" s="188" t="s">
        <v>532</v>
      </c>
      <c r="K509" s="209" t="s">
        <v>539</v>
      </c>
      <c r="L509" s="188" t="s">
        <v>518</v>
      </c>
      <c r="M509" s="188" t="s">
        <v>401</v>
      </c>
      <c r="N509" s="188"/>
      <c r="O509" s="211" t="s">
        <v>518</v>
      </c>
      <c r="P509" s="188" t="s">
        <v>671</v>
      </c>
      <c r="Q509" s="188" t="s">
        <v>306</v>
      </c>
      <c r="R509" s="188" t="s">
        <v>25</v>
      </c>
      <c r="S509" s="234" t="s">
        <v>25</v>
      </c>
      <c r="T509" s="188" t="s">
        <v>306</v>
      </c>
      <c r="U509" s="188" t="s">
        <v>306</v>
      </c>
      <c r="V509" s="234" t="s">
        <v>306</v>
      </c>
      <c r="W509" s="188" t="s">
        <v>306</v>
      </c>
      <c r="X509" s="188" t="s">
        <v>306</v>
      </c>
      <c r="Y509" s="234" t="s">
        <v>306</v>
      </c>
      <c r="Z509" s="188" t="s">
        <v>25</v>
      </c>
      <c r="AA509" s="188" t="s">
        <v>306</v>
      </c>
      <c r="AB509" s="234" t="s">
        <v>25</v>
      </c>
      <c r="AC509" s="235" t="s">
        <v>306</v>
      </c>
      <c r="AD509" s="188" t="s">
        <v>306</v>
      </c>
      <c r="AE509" s="188" t="s">
        <v>306</v>
      </c>
      <c r="AF509" s="234" t="s">
        <v>306</v>
      </c>
      <c r="AG509" s="188" t="s">
        <v>306</v>
      </c>
      <c r="AH509" s="188" t="s">
        <v>306</v>
      </c>
      <c r="AI509" s="234" t="s">
        <v>306</v>
      </c>
      <c r="AJ509" s="188" t="s">
        <v>306</v>
      </c>
      <c r="AK509" s="188" t="s">
        <v>306</v>
      </c>
      <c r="AL509" s="234" t="s">
        <v>306</v>
      </c>
      <c r="AM509" s="188" t="s">
        <v>306</v>
      </c>
      <c r="AN509" s="188" t="s">
        <v>306</v>
      </c>
      <c r="AO509" s="234" t="s">
        <v>306</v>
      </c>
      <c r="AP509" s="235" t="s">
        <v>306</v>
      </c>
      <c r="AQ509" s="188" t="s">
        <v>25</v>
      </c>
      <c r="AR509" s="188" t="s">
        <v>25</v>
      </c>
      <c r="AS509" s="234" t="s">
        <v>25</v>
      </c>
      <c r="AT509" s="188" t="s">
        <v>25</v>
      </c>
      <c r="AU509" s="188" t="s">
        <v>25</v>
      </c>
      <c r="AV509" s="234" t="s">
        <v>25</v>
      </c>
      <c r="AW509" s="188" t="s">
        <v>306</v>
      </c>
      <c r="AX509" s="188" t="s">
        <v>306</v>
      </c>
      <c r="AY509" s="234" t="s">
        <v>306</v>
      </c>
      <c r="AZ509" s="188" t="s">
        <v>25</v>
      </c>
      <c r="BA509" s="188" t="s">
        <v>25</v>
      </c>
      <c r="BB509" s="234" t="s">
        <v>19</v>
      </c>
      <c r="BC509" s="235" t="s">
        <v>19</v>
      </c>
      <c r="BD509" s="209"/>
    </row>
    <row r="510" spans="1:56" ht="12.75" customHeight="1" x14ac:dyDescent="0.25">
      <c r="A510" s="211">
        <v>5</v>
      </c>
      <c r="B510" s="137" t="s">
        <v>427</v>
      </c>
      <c r="C510" s="211" t="s">
        <v>595</v>
      </c>
      <c r="D510" s="211" t="s">
        <v>17</v>
      </c>
      <c r="E510" s="232" t="s">
        <v>605</v>
      </c>
      <c r="F510" s="188" t="s">
        <v>1091</v>
      </c>
      <c r="G510" s="211" t="s">
        <v>18</v>
      </c>
      <c r="H510" s="211">
        <v>16</v>
      </c>
      <c r="I510" s="188" t="s">
        <v>531</v>
      </c>
      <c r="J510" s="188" t="s">
        <v>532</v>
      </c>
      <c r="K510" s="209" t="s">
        <v>539</v>
      </c>
      <c r="L510" s="188" t="s">
        <v>518</v>
      </c>
      <c r="M510" s="188" t="s">
        <v>412</v>
      </c>
      <c r="N510" s="188"/>
      <c r="O510" s="211" t="s">
        <v>531</v>
      </c>
      <c r="P510" s="188" t="s">
        <v>640</v>
      </c>
      <c r="Q510" s="188" t="s">
        <v>25</v>
      </c>
      <c r="R510" s="188" t="s">
        <v>19</v>
      </c>
      <c r="S510" s="234" t="s">
        <v>306</v>
      </c>
      <c r="T510" s="188" t="s">
        <v>19</v>
      </c>
      <c r="U510" s="188" t="s">
        <v>19</v>
      </c>
      <c r="V510" s="234" t="s">
        <v>19</v>
      </c>
      <c r="W510" s="188" t="s">
        <v>25</v>
      </c>
      <c r="X510" s="188" t="s">
        <v>25</v>
      </c>
      <c r="Y510" s="234" t="s">
        <v>25</v>
      </c>
      <c r="Z510" s="188" t="s">
        <v>25</v>
      </c>
      <c r="AA510" s="188" t="s">
        <v>25</v>
      </c>
      <c r="AB510" s="234" t="s">
        <v>25</v>
      </c>
      <c r="AC510" s="235" t="s">
        <v>306</v>
      </c>
      <c r="AD510" s="188" t="s">
        <v>25</v>
      </c>
      <c r="AE510" s="188" t="s">
        <v>25</v>
      </c>
      <c r="AF510" s="234" t="s">
        <v>25</v>
      </c>
      <c r="AG510" s="188" t="s">
        <v>25</v>
      </c>
      <c r="AH510" s="188" t="s">
        <v>25</v>
      </c>
      <c r="AI510" s="234" t="s">
        <v>25</v>
      </c>
      <c r="AJ510" s="188" t="s">
        <v>25</v>
      </c>
      <c r="AK510" s="188" t="s">
        <v>25</v>
      </c>
      <c r="AL510" s="234" t="s">
        <v>25</v>
      </c>
      <c r="AM510" s="188" t="s">
        <v>25</v>
      </c>
      <c r="AN510" s="188" t="s">
        <v>19</v>
      </c>
      <c r="AO510" s="234" t="s">
        <v>306</v>
      </c>
      <c r="AP510" s="235" t="s">
        <v>25</v>
      </c>
      <c r="AQ510" s="188" t="s">
        <v>19</v>
      </c>
      <c r="AR510" s="188" t="s">
        <v>19</v>
      </c>
      <c r="AS510" s="234" t="s">
        <v>19</v>
      </c>
      <c r="AT510" s="188" t="s">
        <v>25</v>
      </c>
      <c r="AU510" s="188" t="s">
        <v>25</v>
      </c>
      <c r="AV510" s="234" t="s">
        <v>25</v>
      </c>
      <c r="AW510" s="188" t="s">
        <v>25</v>
      </c>
      <c r="AX510" s="188" t="s">
        <v>25</v>
      </c>
      <c r="AY510" s="234" t="s">
        <v>25</v>
      </c>
      <c r="AZ510" s="188" t="s">
        <v>25</v>
      </c>
      <c r="BA510" s="188" t="s">
        <v>25</v>
      </c>
      <c r="BB510" s="234" t="s">
        <v>19</v>
      </c>
      <c r="BC510" s="235" t="s">
        <v>19</v>
      </c>
      <c r="BD510" s="209"/>
    </row>
    <row r="511" spans="1:56" ht="12.75" customHeight="1" x14ac:dyDescent="0.25">
      <c r="A511" s="211">
        <v>6</v>
      </c>
      <c r="B511" s="137" t="s">
        <v>427</v>
      </c>
      <c r="C511" s="211" t="s">
        <v>595</v>
      </c>
      <c r="D511" s="211" t="s">
        <v>17</v>
      </c>
      <c r="E511" s="232" t="s">
        <v>605</v>
      </c>
      <c r="F511" s="188" t="s">
        <v>1092</v>
      </c>
      <c r="G511" s="211" t="s">
        <v>18</v>
      </c>
      <c r="H511" s="211">
        <v>15</v>
      </c>
      <c r="I511" s="188" t="s">
        <v>531</v>
      </c>
      <c r="J511" s="188" t="s">
        <v>532</v>
      </c>
      <c r="K511" s="209" t="s">
        <v>539</v>
      </c>
      <c r="L511" s="188" t="s">
        <v>518</v>
      </c>
      <c r="M511" s="188" t="s">
        <v>368</v>
      </c>
      <c r="N511" s="188"/>
      <c r="O511" s="211" t="s">
        <v>531</v>
      </c>
      <c r="P511" s="188" t="s">
        <v>640</v>
      </c>
      <c r="Q511" s="188" t="s">
        <v>25</v>
      </c>
      <c r="R511" s="188" t="s">
        <v>25</v>
      </c>
      <c r="S511" s="234" t="s">
        <v>25</v>
      </c>
      <c r="T511" s="188" t="s">
        <v>25</v>
      </c>
      <c r="U511" s="188" t="s">
        <v>25</v>
      </c>
      <c r="V511" s="234" t="s">
        <v>25</v>
      </c>
      <c r="W511" s="188" t="s">
        <v>25</v>
      </c>
      <c r="X511" s="188" t="s">
        <v>25</v>
      </c>
      <c r="Y511" s="234" t="s">
        <v>25</v>
      </c>
      <c r="Z511" s="188" t="s">
        <v>25</v>
      </c>
      <c r="AA511" s="188" t="s">
        <v>25</v>
      </c>
      <c r="AB511" s="234" t="s">
        <v>25</v>
      </c>
      <c r="AC511" s="235" t="s">
        <v>25</v>
      </c>
      <c r="AD511" s="188" t="s">
        <v>25</v>
      </c>
      <c r="AE511" s="188" t="s">
        <v>25</v>
      </c>
      <c r="AF511" s="234" t="s">
        <v>25</v>
      </c>
      <c r="AG511" s="188" t="s">
        <v>25</v>
      </c>
      <c r="AH511" s="188" t="s">
        <v>25</v>
      </c>
      <c r="AI511" s="234" t="s">
        <v>25</v>
      </c>
      <c r="AJ511" s="188" t="s">
        <v>25</v>
      </c>
      <c r="AK511" s="188" t="s">
        <v>25</v>
      </c>
      <c r="AL511" s="234" t="s">
        <v>25</v>
      </c>
      <c r="AM511" s="188" t="s">
        <v>306</v>
      </c>
      <c r="AN511" s="188" t="s">
        <v>306</v>
      </c>
      <c r="AO511" s="234" t="s">
        <v>306</v>
      </c>
      <c r="AP511" s="235" t="s">
        <v>25</v>
      </c>
      <c r="AQ511" s="188" t="s">
        <v>25</v>
      </c>
      <c r="AR511" s="188" t="s">
        <v>25</v>
      </c>
      <c r="AS511" s="234" t="s">
        <v>25</v>
      </c>
      <c r="AT511" s="188" t="s">
        <v>19</v>
      </c>
      <c r="AU511" s="188" t="s">
        <v>25</v>
      </c>
      <c r="AV511" s="234" t="s">
        <v>306</v>
      </c>
      <c r="AW511" s="188" t="s">
        <v>25</v>
      </c>
      <c r="AX511" s="188" t="s">
        <v>25</v>
      </c>
      <c r="AY511" s="234" t="s">
        <v>25</v>
      </c>
      <c r="AZ511" s="188" t="s">
        <v>25</v>
      </c>
      <c r="BA511" s="188" t="s">
        <v>25</v>
      </c>
      <c r="BB511" s="234" t="s">
        <v>19</v>
      </c>
      <c r="BC511" s="235" t="s">
        <v>19</v>
      </c>
      <c r="BD511" s="209"/>
    </row>
    <row r="512" spans="1:56" ht="12.75" customHeight="1" x14ac:dyDescent="0.25">
      <c r="A512" s="211">
        <v>7</v>
      </c>
      <c r="B512" s="137" t="s">
        <v>427</v>
      </c>
      <c r="C512" s="211" t="s">
        <v>595</v>
      </c>
      <c r="D512" s="211" t="s">
        <v>17</v>
      </c>
      <c r="E512" s="232" t="s">
        <v>605</v>
      </c>
      <c r="F512" s="188" t="s">
        <v>1093</v>
      </c>
      <c r="G512" s="211" t="s">
        <v>18</v>
      </c>
      <c r="H512" s="211">
        <v>15</v>
      </c>
      <c r="I512" s="188" t="s">
        <v>531</v>
      </c>
      <c r="J512" s="188" t="s">
        <v>532</v>
      </c>
      <c r="K512" s="209" t="s">
        <v>539</v>
      </c>
      <c r="L512" s="188" t="s">
        <v>518</v>
      </c>
      <c r="M512" s="188" t="s">
        <v>368</v>
      </c>
      <c r="N512" s="188"/>
      <c r="O512" s="211" t="s">
        <v>531</v>
      </c>
      <c r="P512" s="188" t="s">
        <v>640</v>
      </c>
      <c r="Q512" s="188" t="s">
        <v>25</v>
      </c>
      <c r="R512" s="188" t="s">
        <v>25</v>
      </c>
      <c r="S512" s="234" t="s">
        <v>25</v>
      </c>
      <c r="T512" s="188" t="s">
        <v>25</v>
      </c>
      <c r="U512" s="188" t="s">
        <v>25</v>
      </c>
      <c r="V512" s="234" t="s">
        <v>25</v>
      </c>
      <c r="W512" s="188" t="s">
        <v>25</v>
      </c>
      <c r="X512" s="188" t="s">
        <v>25</v>
      </c>
      <c r="Y512" s="234" t="s">
        <v>25</v>
      </c>
      <c r="Z512" s="188" t="s">
        <v>25</v>
      </c>
      <c r="AA512" s="188" t="s">
        <v>25</v>
      </c>
      <c r="AB512" s="234" t="s">
        <v>25</v>
      </c>
      <c r="AC512" s="235" t="s">
        <v>25</v>
      </c>
      <c r="AD512" s="188" t="s">
        <v>25</v>
      </c>
      <c r="AE512" s="188" t="s">
        <v>25</v>
      </c>
      <c r="AF512" s="234" t="s">
        <v>25</v>
      </c>
      <c r="AG512" s="188" t="s">
        <v>306</v>
      </c>
      <c r="AH512" s="188" t="s">
        <v>25</v>
      </c>
      <c r="AI512" s="234" t="s">
        <v>25</v>
      </c>
      <c r="AJ512" s="188" t="s">
        <v>306</v>
      </c>
      <c r="AK512" s="188" t="s">
        <v>25</v>
      </c>
      <c r="AL512" s="234" t="s">
        <v>25</v>
      </c>
      <c r="AM512" s="188" t="s">
        <v>25</v>
      </c>
      <c r="AN512" s="188" t="s">
        <v>306</v>
      </c>
      <c r="AO512" s="234" t="s">
        <v>25</v>
      </c>
      <c r="AP512" s="235" t="s">
        <v>25</v>
      </c>
      <c r="AQ512" s="188" t="s">
        <v>25</v>
      </c>
      <c r="AR512" s="188" t="s">
        <v>25</v>
      </c>
      <c r="AS512" s="234" t="s">
        <v>25</v>
      </c>
      <c r="AT512" s="188" t="s">
        <v>25</v>
      </c>
      <c r="AU512" s="188" t="s">
        <v>25</v>
      </c>
      <c r="AV512" s="234" t="s">
        <v>25</v>
      </c>
      <c r="AW512" s="188" t="s">
        <v>19</v>
      </c>
      <c r="AX512" s="188" t="s">
        <v>25</v>
      </c>
      <c r="AY512" s="234" t="s">
        <v>306</v>
      </c>
      <c r="AZ512" s="188" t="s">
        <v>25</v>
      </c>
      <c r="BA512" s="188" t="s">
        <v>25</v>
      </c>
      <c r="BB512" s="234" t="s">
        <v>19</v>
      </c>
      <c r="BC512" s="235" t="s">
        <v>19</v>
      </c>
      <c r="BD512" s="209"/>
    </row>
    <row r="513" spans="1:56" ht="12.75" customHeight="1" x14ac:dyDescent="0.25">
      <c r="A513" s="211">
        <v>8</v>
      </c>
      <c r="B513" s="137" t="s">
        <v>427</v>
      </c>
      <c r="C513" s="211" t="s">
        <v>595</v>
      </c>
      <c r="D513" s="211" t="s">
        <v>17</v>
      </c>
      <c r="E513" s="232" t="s">
        <v>605</v>
      </c>
      <c r="F513" s="188" t="s">
        <v>1094</v>
      </c>
      <c r="G513" s="211" t="s">
        <v>18</v>
      </c>
      <c r="H513" s="211">
        <v>17</v>
      </c>
      <c r="I513" s="188" t="s">
        <v>531</v>
      </c>
      <c r="J513" s="188" t="s">
        <v>532</v>
      </c>
      <c r="K513" s="209" t="s">
        <v>539</v>
      </c>
      <c r="L513" s="188" t="s">
        <v>518</v>
      </c>
      <c r="M513" s="188" t="s">
        <v>368</v>
      </c>
      <c r="N513" s="188"/>
      <c r="O513" s="211" t="s">
        <v>531</v>
      </c>
      <c r="P513" s="188" t="s">
        <v>640</v>
      </c>
      <c r="Q513" s="188" t="s">
        <v>25</v>
      </c>
      <c r="R513" s="188" t="s">
        <v>25</v>
      </c>
      <c r="S513" s="234" t="s">
        <v>25</v>
      </c>
      <c r="T513" s="188" t="s">
        <v>25</v>
      </c>
      <c r="U513" s="188" t="s">
        <v>25</v>
      </c>
      <c r="V513" s="234" t="s">
        <v>25</v>
      </c>
      <c r="W513" s="188" t="s">
        <v>25</v>
      </c>
      <c r="X513" s="188" t="s">
        <v>25</v>
      </c>
      <c r="Y513" s="234" t="s">
        <v>25</v>
      </c>
      <c r="Z513" s="188" t="s">
        <v>25</v>
      </c>
      <c r="AA513" s="188" t="s">
        <v>25</v>
      </c>
      <c r="AB513" s="234" t="s">
        <v>25</v>
      </c>
      <c r="AC513" s="235" t="s">
        <v>25</v>
      </c>
      <c r="AD513" s="188" t="s">
        <v>25</v>
      </c>
      <c r="AE513" s="188" t="s">
        <v>25</v>
      </c>
      <c r="AF513" s="234" t="s">
        <v>25</v>
      </c>
      <c r="AG513" s="188" t="s">
        <v>25</v>
      </c>
      <c r="AH513" s="188" t="s">
        <v>25</v>
      </c>
      <c r="AI513" s="234" t="s">
        <v>25</v>
      </c>
      <c r="AJ513" s="188" t="s">
        <v>25</v>
      </c>
      <c r="AK513" s="188" t="s">
        <v>25</v>
      </c>
      <c r="AL513" s="234" t="s">
        <v>25</v>
      </c>
      <c r="AM513" s="188" t="s">
        <v>25</v>
      </c>
      <c r="AN513" s="188" t="s">
        <v>25</v>
      </c>
      <c r="AO513" s="234" t="s">
        <v>25</v>
      </c>
      <c r="AP513" s="235" t="s">
        <v>25</v>
      </c>
      <c r="AQ513" s="188" t="s">
        <v>25</v>
      </c>
      <c r="AR513" s="188" t="s">
        <v>25</v>
      </c>
      <c r="AS513" s="234" t="s">
        <v>25</v>
      </c>
      <c r="AT513" s="188" t="s">
        <v>25</v>
      </c>
      <c r="AU513" s="188" t="s">
        <v>25</v>
      </c>
      <c r="AV513" s="234" t="s">
        <v>25</v>
      </c>
      <c r="AW513" s="188" t="s">
        <v>25</v>
      </c>
      <c r="AX513" s="188" t="s">
        <v>25</v>
      </c>
      <c r="AY513" s="234" t="s">
        <v>25</v>
      </c>
      <c r="AZ513" s="188" t="s">
        <v>25</v>
      </c>
      <c r="BA513" s="188" t="s">
        <v>25</v>
      </c>
      <c r="BB513" s="234" t="s">
        <v>19</v>
      </c>
      <c r="BC513" s="235" t="s">
        <v>19</v>
      </c>
      <c r="BD513" s="209"/>
    </row>
    <row r="514" spans="1:56" ht="12.75" customHeight="1" x14ac:dyDescent="0.25">
      <c r="A514" s="211">
        <v>9</v>
      </c>
      <c r="B514" s="137" t="s">
        <v>427</v>
      </c>
      <c r="C514" s="211" t="s">
        <v>595</v>
      </c>
      <c r="D514" s="211" t="s">
        <v>17</v>
      </c>
      <c r="E514" s="232" t="s">
        <v>605</v>
      </c>
      <c r="F514" s="188" t="s">
        <v>1095</v>
      </c>
      <c r="G514" s="211" t="s">
        <v>18</v>
      </c>
      <c r="H514" s="211">
        <v>15</v>
      </c>
      <c r="I514" s="188" t="s">
        <v>531</v>
      </c>
      <c r="J514" s="188" t="s">
        <v>532</v>
      </c>
      <c r="K514" s="209" t="s">
        <v>539</v>
      </c>
      <c r="L514" s="188" t="s">
        <v>518</v>
      </c>
      <c r="M514" s="188" t="s">
        <v>401</v>
      </c>
      <c r="N514" s="188"/>
      <c r="O514" s="211" t="s">
        <v>531</v>
      </c>
      <c r="P514" s="188" t="s">
        <v>640</v>
      </c>
      <c r="Q514" s="188" t="s">
        <v>25</v>
      </c>
      <c r="R514" s="188" t="s">
        <v>25</v>
      </c>
      <c r="S514" s="234" t="s">
        <v>25</v>
      </c>
      <c r="T514" s="188" t="s">
        <v>25</v>
      </c>
      <c r="U514" s="188" t="s">
        <v>25</v>
      </c>
      <c r="V514" s="234" t="s">
        <v>25</v>
      </c>
      <c r="W514" s="188" t="s">
        <v>25</v>
      </c>
      <c r="X514" s="188" t="s">
        <v>25</v>
      </c>
      <c r="Y514" s="234" t="s">
        <v>25</v>
      </c>
      <c r="Z514" s="188" t="s">
        <v>25</v>
      </c>
      <c r="AA514" s="188" t="s">
        <v>25</v>
      </c>
      <c r="AB514" s="234" t="s">
        <v>25</v>
      </c>
      <c r="AC514" s="235" t="s">
        <v>25</v>
      </c>
      <c r="AD514" s="188" t="s">
        <v>25</v>
      </c>
      <c r="AE514" s="188" t="s">
        <v>25</v>
      </c>
      <c r="AF514" s="234" t="s">
        <v>25</v>
      </c>
      <c r="AG514" s="188" t="s">
        <v>25</v>
      </c>
      <c r="AH514" s="188" t="s">
        <v>25</v>
      </c>
      <c r="AI514" s="234" t="s">
        <v>25</v>
      </c>
      <c r="AJ514" s="188" t="s">
        <v>25</v>
      </c>
      <c r="AK514" s="188" t="s">
        <v>25</v>
      </c>
      <c r="AL514" s="234" t="s">
        <v>25</v>
      </c>
      <c r="AM514" s="188" t="s">
        <v>25</v>
      </c>
      <c r="AN514" s="188" t="s">
        <v>25</v>
      </c>
      <c r="AO514" s="234" t="s">
        <v>25</v>
      </c>
      <c r="AP514" s="235" t="s">
        <v>25</v>
      </c>
      <c r="AQ514" s="188" t="s">
        <v>25</v>
      </c>
      <c r="AR514" s="188" t="s">
        <v>19</v>
      </c>
      <c r="AS514" s="234" t="s">
        <v>306</v>
      </c>
      <c r="AT514" s="188" t="s">
        <v>25</v>
      </c>
      <c r="AU514" s="188" t="s">
        <v>25</v>
      </c>
      <c r="AV514" s="234" t="s">
        <v>25</v>
      </c>
      <c r="AW514" s="188" t="s">
        <v>25</v>
      </c>
      <c r="AX514" s="188" t="s">
        <v>25</v>
      </c>
      <c r="AY514" s="234" t="s">
        <v>25</v>
      </c>
      <c r="AZ514" s="188" t="s">
        <v>25</v>
      </c>
      <c r="BA514" s="188" t="s">
        <v>25</v>
      </c>
      <c r="BB514" s="234" t="s">
        <v>19</v>
      </c>
      <c r="BC514" s="235" t="s">
        <v>19</v>
      </c>
      <c r="BD514" s="209"/>
    </row>
    <row r="515" spans="1:56" ht="12.75" customHeight="1" x14ac:dyDescent="0.25">
      <c r="A515" s="211">
        <v>10</v>
      </c>
      <c r="B515" s="137" t="s">
        <v>427</v>
      </c>
      <c r="C515" s="211" t="s">
        <v>595</v>
      </c>
      <c r="D515" s="211" t="s">
        <v>17</v>
      </c>
      <c r="E515" s="232" t="s">
        <v>605</v>
      </c>
      <c r="F515" s="188" t="s">
        <v>1096</v>
      </c>
      <c r="G515" s="211" t="s">
        <v>24</v>
      </c>
      <c r="H515" s="211">
        <v>15</v>
      </c>
      <c r="I515" s="188" t="s">
        <v>531</v>
      </c>
      <c r="J515" s="188" t="s">
        <v>532</v>
      </c>
      <c r="K515" s="209" t="s">
        <v>539</v>
      </c>
      <c r="L515" s="188" t="s">
        <v>518</v>
      </c>
      <c r="M515" s="188" t="s">
        <v>401</v>
      </c>
      <c r="N515" s="188"/>
      <c r="O515" s="211" t="s">
        <v>518</v>
      </c>
      <c r="P515" s="188" t="s">
        <v>824</v>
      </c>
      <c r="Q515" s="188" t="s">
        <v>25</v>
      </c>
      <c r="R515" s="188" t="s">
        <v>25</v>
      </c>
      <c r="S515" s="234" t="s">
        <v>25</v>
      </c>
      <c r="T515" s="188" t="s">
        <v>25</v>
      </c>
      <c r="U515" s="188" t="s">
        <v>25</v>
      </c>
      <c r="V515" s="234" t="s">
        <v>25</v>
      </c>
      <c r="W515" s="188" t="s">
        <v>25</v>
      </c>
      <c r="X515" s="188" t="s">
        <v>25</v>
      </c>
      <c r="Y515" s="234" t="s">
        <v>25</v>
      </c>
      <c r="Z515" s="188" t="s">
        <v>25</v>
      </c>
      <c r="AA515" s="188" t="s">
        <v>25</v>
      </c>
      <c r="AB515" s="234" t="s">
        <v>25</v>
      </c>
      <c r="AC515" s="235" t="s">
        <v>25</v>
      </c>
      <c r="AD515" s="188" t="s">
        <v>306</v>
      </c>
      <c r="AE515" s="188" t="s">
        <v>306</v>
      </c>
      <c r="AF515" s="234" t="s">
        <v>306</v>
      </c>
      <c r="AG515" s="188" t="s">
        <v>25</v>
      </c>
      <c r="AH515" s="188" t="s">
        <v>306</v>
      </c>
      <c r="AI515" s="234" t="s">
        <v>25</v>
      </c>
      <c r="AJ515" s="188" t="s">
        <v>25</v>
      </c>
      <c r="AK515" s="188" t="s">
        <v>25</v>
      </c>
      <c r="AL515" s="234" t="s">
        <v>25</v>
      </c>
      <c r="AM515" s="188" t="s">
        <v>25</v>
      </c>
      <c r="AN515" s="188" t="s">
        <v>25</v>
      </c>
      <c r="AO515" s="234" t="s">
        <v>25</v>
      </c>
      <c r="AP515" s="235" t="s">
        <v>25</v>
      </c>
      <c r="AQ515" s="188" t="s">
        <v>25</v>
      </c>
      <c r="AR515" s="188" t="s">
        <v>25</v>
      </c>
      <c r="AS515" s="234" t="s">
        <v>25</v>
      </c>
      <c r="AT515" s="188" t="s">
        <v>25</v>
      </c>
      <c r="AU515" s="188" t="s">
        <v>25</v>
      </c>
      <c r="AV515" s="234" t="s">
        <v>25</v>
      </c>
      <c r="AW515" s="188" t="s">
        <v>25</v>
      </c>
      <c r="AX515" s="188" t="s">
        <v>25</v>
      </c>
      <c r="AY515" s="234" t="s">
        <v>25</v>
      </c>
      <c r="AZ515" s="188" t="s">
        <v>25</v>
      </c>
      <c r="BA515" s="188" t="s">
        <v>25</v>
      </c>
      <c r="BB515" s="234" t="s">
        <v>19</v>
      </c>
      <c r="BC515" s="235" t="s">
        <v>19</v>
      </c>
      <c r="BD515" s="209"/>
    </row>
    <row r="516" spans="1:56" ht="12.75" customHeight="1" x14ac:dyDescent="0.25">
      <c r="A516" s="211">
        <v>12</v>
      </c>
      <c r="B516" s="137" t="s">
        <v>427</v>
      </c>
      <c r="C516" s="211" t="s">
        <v>595</v>
      </c>
      <c r="D516" s="211" t="s">
        <v>17</v>
      </c>
      <c r="E516" s="232" t="s">
        <v>605</v>
      </c>
      <c r="F516" s="188" t="s">
        <v>1097</v>
      </c>
      <c r="G516" s="211" t="s">
        <v>18</v>
      </c>
      <c r="H516" s="211">
        <v>15</v>
      </c>
      <c r="I516" s="188" t="s">
        <v>531</v>
      </c>
      <c r="J516" s="188" t="s">
        <v>532</v>
      </c>
      <c r="K516" s="209" t="s">
        <v>539</v>
      </c>
      <c r="L516" s="188" t="s">
        <v>518</v>
      </c>
      <c r="M516" s="188" t="s">
        <v>375</v>
      </c>
      <c r="N516" s="188"/>
      <c r="O516" s="211" t="s">
        <v>531</v>
      </c>
      <c r="P516" s="188" t="s">
        <v>640</v>
      </c>
      <c r="Q516" s="188" t="s">
        <v>25</v>
      </c>
      <c r="R516" s="188" t="s">
        <v>25</v>
      </c>
      <c r="S516" s="234" t="s">
        <v>25</v>
      </c>
      <c r="T516" s="188" t="s">
        <v>306</v>
      </c>
      <c r="U516" s="188" t="s">
        <v>25</v>
      </c>
      <c r="V516" s="234" t="s">
        <v>25</v>
      </c>
      <c r="W516" s="188" t="s">
        <v>25</v>
      </c>
      <c r="X516" s="188" t="s">
        <v>25</v>
      </c>
      <c r="Y516" s="234" t="s">
        <v>25</v>
      </c>
      <c r="Z516" s="188" t="s">
        <v>25</v>
      </c>
      <c r="AA516" s="188" t="s">
        <v>25</v>
      </c>
      <c r="AB516" s="234" t="s">
        <v>25</v>
      </c>
      <c r="AC516" s="235" t="s">
        <v>25</v>
      </c>
      <c r="AD516" s="188" t="s">
        <v>25</v>
      </c>
      <c r="AE516" s="188" t="s">
        <v>25</v>
      </c>
      <c r="AF516" s="234" t="s">
        <v>25</v>
      </c>
      <c r="AG516" s="188" t="s">
        <v>25</v>
      </c>
      <c r="AH516" s="188" t="s">
        <v>306</v>
      </c>
      <c r="AI516" s="234" t="s">
        <v>25</v>
      </c>
      <c r="AJ516" s="188" t="s">
        <v>306</v>
      </c>
      <c r="AK516" s="188" t="s">
        <v>306</v>
      </c>
      <c r="AL516" s="234" t="s">
        <v>306</v>
      </c>
      <c r="AM516" s="188" t="s">
        <v>306</v>
      </c>
      <c r="AN516" s="188" t="s">
        <v>306</v>
      </c>
      <c r="AO516" s="234" t="s">
        <v>306</v>
      </c>
      <c r="AP516" s="235" t="s">
        <v>306</v>
      </c>
      <c r="AQ516" s="188" t="s">
        <v>306</v>
      </c>
      <c r="AR516" s="188" t="s">
        <v>306</v>
      </c>
      <c r="AS516" s="234" t="s">
        <v>306</v>
      </c>
      <c r="AT516" s="188" t="s">
        <v>306</v>
      </c>
      <c r="AU516" s="188" t="s">
        <v>25</v>
      </c>
      <c r="AV516" s="234" t="s">
        <v>25</v>
      </c>
      <c r="AW516" s="188" t="s">
        <v>306</v>
      </c>
      <c r="AX516" s="188" t="s">
        <v>306</v>
      </c>
      <c r="AY516" s="234" t="s">
        <v>306</v>
      </c>
      <c r="AZ516" s="188" t="s">
        <v>306</v>
      </c>
      <c r="BA516" s="188" t="s">
        <v>306</v>
      </c>
      <c r="BB516" s="234" t="s">
        <v>19</v>
      </c>
      <c r="BC516" s="235" t="s">
        <v>19</v>
      </c>
      <c r="BD516" s="209"/>
    </row>
    <row r="517" spans="1:56" ht="12.75" customHeight="1" x14ac:dyDescent="0.25">
      <c r="A517" s="211">
        <v>15</v>
      </c>
      <c r="B517" s="137" t="s">
        <v>427</v>
      </c>
      <c r="C517" s="211" t="s">
        <v>595</v>
      </c>
      <c r="D517" s="211" t="s">
        <v>17</v>
      </c>
      <c r="E517" s="232" t="s">
        <v>605</v>
      </c>
      <c r="F517" s="188" t="s">
        <v>1098</v>
      </c>
      <c r="G517" s="211" t="s">
        <v>24</v>
      </c>
      <c r="H517" s="211">
        <v>15</v>
      </c>
      <c r="I517" s="188" t="s">
        <v>531</v>
      </c>
      <c r="J517" s="188" t="s">
        <v>532</v>
      </c>
      <c r="K517" s="209" t="s">
        <v>539</v>
      </c>
      <c r="L517" s="188" t="s">
        <v>518</v>
      </c>
      <c r="M517" s="188" t="s">
        <v>368</v>
      </c>
      <c r="N517" s="188"/>
      <c r="O517" s="211" t="s">
        <v>531</v>
      </c>
      <c r="P517" s="188" t="s">
        <v>640</v>
      </c>
      <c r="Q517" s="188" t="s">
        <v>25</v>
      </c>
      <c r="R517" s="188" t="s">
        <v>25</v>
      </c>
      <c r="S517" s="234" t="s">
        <v>25</v>
      </c>
      <c r="T517" s="188" t="s">
        <v>25</v>
      </c>
      <c r="U517" s="188" t="s">
        <v>25</v>
      </c>
      <c r="V517" s="234" t="s">
        <v>25</v>
      </c>
      <c r="W517" s="188" t="s">
        <v>306</v>
      </c>
      <c r="X517" s="188" t="s">
        <v>25</v>
      </c>
      <c r="Y517" s="234" t="s">
        <v>25</v>
      </c>
      <c r="Z517" s="188" t="s">
        <v>25</v>
      </c>
      <c r="AA517" s="188" t="s">
        <v>306</v>
      </c>
      <c r="AB517" s="234" t="s">
        <v>25</v>
      </c>
      <c r="AC517" s="235" t="s">
        <v>25</v>
      </c>
      <c r="AD517" s="188" t="s">
        <v>306</v>
      </c>
      <c r="AE517" s="188" t="s">
        <v>25</v>
      </c>
      <c r="AF517" s="234" t="s">
        <v>25</v>
      </c>
      <c r="AG517" s="188" t="s">
        <v>25</v>
      </c>
      <c r="AH517" s="188" t="s">
        <v>306</v>
      </c>
      <c r="AI517" s="234" t="s">
        <v>25</v>
      </c>
      <c r="AJ517" s="188" t="s">
        <v>25</v>
      </c>
      <c r="AK517" s="188" t="s">
        <v>306</v>
      </c>
      <c r="AL517" s="234" t="s">
        <v>25</v>
      </c>
      <c r="AM517" s="188" t="s">
        <v>306</v>
      </c>
      <c r="AN517" s="188" t="s">
        <v>306</v>
      </c>
      <c r="AO517" s="234" t="s">
        <v>306</v>
      </c>
      <c r="AP517" s="235" t="s">
        <v>306</v>
      </c>
      <c r="AQ517" s="188" t="s">
        <v>25</v>
      </c>
      <c r="AR517" s="188" t="s">
        <v>25</v>
      </c>
      <c r="AS517" s="234" t="s">
        <v>25</v>
      </c>
      <c r="AT517" s="188" t="s">
        <v>25</v>
      </c>
      <c r="AU517" s="188" t="s">
        <v>25</v>
      </c>
      <c r="AV517" s="234" t="s">
        <v>25</v>
      </c>
      <c r="AW517" s="188" t="s">
        <v>306</v>
      </c>
      <c r="AX517" s="188" t="s">
        <v>25</v>
      </c>
      <c r="AY517" s="234" t="s">
        <v>25</v>
      </c>
      <c r="AZ517" s="188" t="s">
        <v>25</v>
      </c>
      <c r="BA517" s="188" t="s">
        <v>25</v>
      </c>
      <c r="BB517" s="234" t="s">
        <v>19</v>
      </c>
      <c r="BC517" s="235" t="s">
        <v>19</v>
      </c>
      <c r="BD517" s="209"/>
    </row>
    <row r="518" spans="1:56" ht="12.75" customHeight="1" x14ac:dyDescent="0.25">
      <c r="A518" s="211">
        <v>16</v>
      </c>
      <c r="B518" s="137" t="s">
        <v>427</v>
      </c>
      <c r="C518" s="211" t="s">
        <v>595</v>
      </c>
      <c r="D518" s="211" t="s">
        <v>17</v>
      </c>
      <c r="E518" s="232" t="s">
        <v>605</v>
      </c>
      <c r="F518" s="188" t="s">
        <v>1099</v>
      </c>
      <c r="G518" s="211" t="s">
        <v>24</v>
      </c>
      <c r="H518" s="211">
        <v>15</v>
      </c>
      <c r="I518" s="188" t="s">
        <v>531</v>
      </c>
      <c r="J518" s="188" t="s">
        <v>532</v>
      </c>
      <c r="K518" s="209" t="s">
        <v>539</v>
      </c>
      <c r="L518" s="188" t="s">
        <v>518</v>
      </c>
      <c r="M518" s="188" t="s">
        <v>375</v>
      </c>
      <c r="N518" s="188"/>
      <c r="O518" s="211" t="s">
        <v>531</v>
      </c>
      <c r="P518" s="188" t="s">
        <v>640</v>
      </c>
      <c r="Q518" s="188" t="s">
        <v>25</v>
      </c>
      <c r="R518" s="188" t="s">
        <v>25</v>
      </c>
      <c r="S518" s="234" t="s">
        <v>25</v>
      </c>
      <c r="T518" s="188" t="s">
        <v>25</v>
      </c>
      <c r="U518" s="188" t="s">
        <v>25</v>
      </c>
      <c r="V518" s="234" t="s">
        <v>25</v>
      </c>
      <c r="W518" s="188" t="s">
        <v>19</v>
      </c>
      <c r="X518" s="188" t="s">
        <v>25</v>
      </c>
      <c r="Y518" s="234" t="s">
        <v>306</v>
      </c>
      <c r="Z518" s="188" t="s">
        <v>25</v>
      </c>
      <c r="AA518" s="188" t="s">
        <v>25</v>
      </c>
      <c r="AB518" s="234" t="s">
        <v>25</v>
      </c>
      <c r="AC518" s="235" t="s">
        <v>25</v>
      </c>
      <c r="AD518" s="188" t="s">
        <v>306</v>
      </c>
      <c r="AE518" s="188" t="s">
        <v>306</v>
      </c>
      <c r="AF518" s="234" t="s">
        <v>306</v>
      </c>
      <c r="AG518" s="188" t="s">
        <v>25</v>
      </c>
      <c r="AH518" s="188" t="s">
        <v>25</v>
      </c>
      <c r="AI518" s="234" t="s">
        <v>25</v>
      </c>
      <c r="AJ518" s="188" t="s">
        <v>25</v>
      </c>
      <c r="AK518" s="188" t="s">
        <v>306</v>
      </c>
      <c r="AL518" s="234" t="s">
        <v>25</v>
      </c>
      <c r="AM518" s="188" t="s">
        <v>19</v>
      </c>
      <c r="AN518" s="188" t="s">
        <v>306</v>
      </c>
      <c r="AO518" s="234" t="s">
        <v>306</v>
      </c>
      <c r="AP518" s="235" t="s">
        <v>306</v>
      </c>
      <c r="AQ518" s="188" t="s">
        <v>25</v>
      </c>
      <c r="AR518" s="188" t="s">
        <v>25</v>
      </c>
      <c r="AS518" s="234" t="s">
        <v>25</v>
      </c>
      <c r="AT518" s="188" t="s">
        <v>306</v>
      </c>
      <c r="AU518" s="188" t="s">
        <v>25</v>
      </c>
      <c r="AV518" s="234" t="s">
        <v>25</v>
      </c>
      <c r="AW518" s="188" t="s">
        <v>25</v>
      </c>
      <c r="AX518" s="188" t="s">
        <v>25</v>
      </c>
      <c r="AY518" s="234" t="s">
        <v>25</v>
      </c>
      <c r="AZ518" s="188" t="s">
        <v>25</v>
      </c>
      <c r="BA518" s="188" t="s">
        <v>25</v>
      </c>
      <c r="BB518" s="234" t="s">
        <v>19</v>
      </c>
      <c r="BC518" s="235" t="s">
        <v>19</v>
      </c>
      <c r="BD518" s="209"/>
    </row>
    <row r="519" spans="1:56" ht="12.75" customHeight="1" x14ac:dyDescent="0.25">
      <c r="A519" s="211">
        <v>17</v>
      </c>
      <c r="B519" s="137" t="s">
        <v>427</v>
      </c>
      <c r="C519" s="211" t="s">
        <v>595</v>
      </c>
      <c r="D519" s="211" t="s">
        <v>17</v>
      </c>
      <c r="E519" s="232" t="s">
        <v>605</v>
      </c>
      <c r="F519" s="188" t="s">
        <v>1100</v>
      </c>
      <c r="G519" s="211" t="s">
        <v>24</v>
      </c>
      <c r="H519" s="211">
        <v>16</v>
      </c>
      <c r="I519" s="188" t="s">
        <v>531</v>
      </c>
      <c r="J519" s="188" t="s">
        <v>532</v>
      </c>
      <c r="K519" s="209" t="s">
        <v>539</v>
      </c>
      <c r="L519" s="188" t="s">
        <v>518</v>
      </c>
      <c r="M519" s="188" t="s">
        <v>375</v>
      </c>
      <c r="N519" s="188"/>
      <c r="O519" s="211" t="s">
        <v>531</v>
      </c>
      <c r="P519" s="188" t="s">
        <v>640</v>
      </c>
      <c r="Q519" s="188" t="s">
        <v>25</v>
      </c>
      <c r="R519" s="188" t="s">
        <v>25</v>
      </c>
      <c r="S519" s="234" t="s">
        <v>25</v>
      </c>
      <c r="T519" s="188" t="s">
        <v>25</v>
      </c>
      <c r="U519" s="188" t="s">
        <v>25</v>
      </c>
      <c r="V519" s="234" t="s">
        <v>25</v>
      </c>
      <c r="W519" s="188" t="s">
        <v>25</v>
      </c>
      <c r="X519" s="188" t="s">
        <v>25</v>
      </c>
      <c r="Y519" s="234" t="s">
        <v>25</v>
      </c>
      <c r="Z519" s="188" t="s">
        <v>25</v>
      </c>
      <c r="AA519" s="188" t="s">
        <v>25</v>
      </c>
      <c r="AB519" s="234" t="s">
        <v>25</v>
      </c>
      <c r="AC519" s="235" t="s">
        <v>25</v>
      </c>
      <c r="AD519" s="188" t="s">
        <v>306</v>
      </c>
      <c r="AE519" s="188" t="s">
        <v>306</v>
      </c>
      <c r="AF519" s="234" t="s">
        <v>306</v>
      </c>
      <c r="AG519" s="188" t="s">
        <v>306</v>
      </c>
      <c r="AH519" s="188" t="s">
        <v>306</v>
      </c>
      <c r="AI519" s="234" t="s">
        <v>306</v>
      </c>
      <c r="AJ519" s="188" t="s">
        <v>25</v>
      </c>
      <c r="AK519" s="188" t="s">
        <v>25</v>
      </c>
      <c r="AL519" s="234" t="s">
        <v>25</v>
      </c>
      <c r="AM519" s="188" t="s">
        <v>25</v>
      </c>
      <c r="AN519" s="188" t="s">
        <v>306</v>
      </c>
      <c r="AO519" s="234" t="s">
        <v>25</v>
      </c>
      <c r="AP519" s="235" t="s">
        <v>306</v>
      </c>
      <c r="AQ519" s="188" t="s">
        <v>25</v>
      </c>
      <c r="AR519" s="188" t="s">
        <v>25</v>
      </c>
      <c r="AS519" s="234" t="s">
        <v>25</v>
      </c>
      <c r="AT519" s="188" t="s">
        <v>25</v>
      </c>
      <c r="AU519" s="188" t="s">
        <v>25</v>
      </c>
      <c r="AV519" s="234" t="s">
        <v>25</v>
      </c>
      <c r="AW519" s="188" t="s">
        <v>25</v>
      </c>
      <c r="AX519" s="188" t="s">
        <v>25</v>
      </c>
      <c r="AY519" s="234" t="s">
        <v>25</v>
      </c>
      <c r="AZ519" s="188" t="s">
        <v>25</v>
      </c>
      <c r="BA519" s="188" t="s">
        <v>25</v>
      </c>
      <c r="BB519" s="234" t="s">
        <v>306</v>
      </c>
      <c r="BC519" s="235" t="s">
        <v>306</v>
      </c>
      <c r="BD519" s="209"/>
    </row>
    <row r="520" spans="1:56" ht="12.75" customHeight="1" x14ac:dyDescent="0.25">
      <c r="A520" s="211">
        <v>25</v>
      </c>
      <c r="B520" s="137" t="s">
        <v>427</v>
      </c>
      <c r="C520" s="211" t="s">
        <v>595</v>
      </c>
      <c r="D520" s="211" t="s">
        <v>17</v>
      </c>
      <c r="E520" s="232" t="s">
        <v>605</v>
      </c>
      <c r="F520" s="188" t="s">
        <v>1101</v>
      </c>
      <c r="G520" s="211" t="s">
        <v>24</v>
      </c>
      <c r="H520" s="211">
        <v>16</v>
      </c>
      <c r="I520" s="188" t="s">
        <v>531</v>
      </c>
      <c r="J520" s="188" t="s">
        <v>532</v>
      </c>
      <c r="K520" s="209" t="s">
        <v>539</v>
      </c>
      <c r="L520" s="188" t="s">
        <v>518</v>
      </c>
      <c r="M520" s="188" t="s">
        <v>375</v>
      </c>
      <c r="N520" s="188"/>
      <c r="O520" s="211" t="s">
        <v>531</v>
      </c>
      <c r="P520" s="188" t="s">
        <v>640</v>
      </c>
      <c r="Q520" s="188" t="s">
        <v>25</v>
      </c>
      <c r="R520" s="188" t="s">
        <v>25</v>
      </c>
      <c r="S520" s="234" t="s">
        <v>25</v>
      </c>
      <c r="T520" s="188" t="s">
        <v>25</v>
      </c>
      <c r="U520" s="188" t="s">
        <v>25</v>
      </c>
      <c r="V520" s="234" t="s">
        <v>25</v>
      </c>
      <c r="W520" s="188" t="s">
        <v>25</v>
      </c>
      <c r="X520" s="188" t="s">
        <v>25</v>
      </c>
      <c r="Y520" s="234" t="s">
        <v>25</v>
      </c>
      <c r="Z520" s="188" t="s">
        <v>25</v>
      </c>
      <c r="AA520" s="188" t="s">
        <v>25</v>
      </c>
      <c r="AB520" s="234" t="s">
        <v>25</v>
      </c>
      <c r="AC520" s="235" t="s">
        <v>25</v>
      </c>
      <c r="AD520" s="188" t="s">
        <v>306</v>
      </c>
      <c r="AE520" s="188" t="s">
        <v>25</v>
      </c>
      <c r="AF520" s="234" t="s">
        <v>25</v>
      </c>
      <c r="AG520" s="188" t="s">
        <v>306</v>
      </c>
      <c r="AH520" s="188" t="s">
        <v>25</v>
      </c>
      <c r="AI520" s="234" t="s">
        <v>25</v>
      </c>
      <c r="AJ520" s="188" t="s">
        <v>25</v>
      </c>
      <c r="AK520" s="188" t="s">
        <v>306</v>
      </c>
      <c r="AL520" s="234" t="s">
        <v>25</v>
      </c>
      <c r="AM520" s="188" t="s">
        <v>306</v>
      </c>
      <c r="AN520" s="188" t="s">
        <v>306</v>
      </c>
      <c r="AO520" s="234" t="s">
        <v>306</v>
      </c>
      <c r="AP520" s="235" t="s">
        <v>306</v>
      </c>
      <c r="AQ520" s="188" t="s">
        <v>25</v>
      </c>
      <c r="AR520" s="188" t="s">
        <v>306</v>
      </c>
      <c r="AS520" s="234" t="s">
        <v>25</v>
      </c>
      <c r="AT520" s="188" t="s">
        <v>25</v>
      </c>
      <c r="AU520" s="188" t="s">
        <v>25</v>
      </c>
      <c r="AV520" s="234" t="s">
        <v>25</v>
      </c>
      <c r="AW520" s="188" t="s">
        <v>19</v>
      </c>
      <c r="AX520" s="188" t="s">
        <v>19</v>
      </c>
      <c r="AY520" s="234" t="s">
        <v>19</v>
      </c>
      <c r="AZ520" s="188" t="s">
        <v>25</v>
      </c>
      <c r="BA520" s="188" t="s">
        <v>19</v>
      </c>
      <c r="BB520" s="234" t="s">
        <v>306</v>
      </c>
      <c r="BC520" s="235" t="s">
        <v>306</v>
      </c>
      <c r="BD520" s="209"/>
    </row>
    <row r="521" spans="1:56" ht="12.75" customHeight="1" x14ac:dyDescent="0.25">
      <c r="A521" s="211">
        <v>26</v>
      </c>
      <c r="B521" s="137" t="s">
        <v>427</v>
      </c>
      <c r="C521" s="211" t="s">
        <v>595</v>
      </c>
      <c r="D521" s="211" t="s">
        <v>17</v>
      </c>
      <c r="E521" s="232" t="s">
        <v>605</v>
      </c>
      <c r="F521" s="188" t="s">
        <v>1102</v>
      </c>
      <c r="G521" s="211" t="s">
        <v>18</v>
      </c>
      <c r="H521" s="211">
        <v>15</v>
      </c>
      <c r="I521" s="188" t="s">
        <v>531</v>
      </c>
      <c r="J521" s="188" t="s">
        <v>532</v>
      </c>
      <c r="K521" s="209" t="s">
        <v>539</v>
      </c>
      <c r="L521" s="188" t="s">
        <v>518</v>
      </c>
      <c r="M521" s="188" t="s">
        <v>375</v>
      </c>
      <c r="N521" s="188"/>
      <c r="O521" s="211" t="s">
        <v>531</v>
      </c>
      <c r="P521" s="188" t="s">
        <v>640</v>
      </c>
      <c r="Q521" s="188" t="s">
        <v>25</v>
      </c>
      <c r="R521" s="188" t="s">
        <v>25</v>
      </c>
      <c r="S521" s="234" t="s">
        <v>25</v>
      </c>
      <c r="T521" s="188" t="s">
        <v>25</v>
      </c>
      <c r="U521" s="188" t="s">
        <v>25</v>
      </c>
      <c r="V521" s="234" t="s">
        <v>25</v>
      </c>
      <c r="W521" s="188" t="s">
        <v>306</v>
      </c>
      <c r="X521" s="188" t="s">
        <v>306</v>
      </c>
      <c r="Y521" s="234" t="s">
        <v>306</v>
      </c>
      <c r="Z521" s="188" t="s">
        <v>25</v>
      </c>
      <c r="AA521" s="188" t="s">
        <v>25</v>
      </c>
      <c r="AB521" s="234" t="s">
        <v>25</v>
      </c>
      <c r="AC521" s="235" t="s">
        <v>25</v>
      </c>
      <c r="AD521" s="188" t="s">
        <v>25</v>
      </c>
      <c r="AE521" s="188" t="s">
        <v>25</v>
      </c>
      <c r="AF521" s="234" t="s">
        <v>25</v>
      </c>
      <c r="AG521" s="188" t="s">
        <v>19</v>
      </c>
      <c r="AH521" s="188" t="s">
        <v>19</v>
      </c>
      <c r="AI521" s="234" t="s">
        <v>19</v>
      </c>
      <c r="AJ521" s="188" t="s">
        <v>25</v>
      </c>
      <c r="AK521" s="188" t="s">
        <v>306</v>
      </c>
      <c r="AL521" s="234" t="s">
        <v>25</v>
      </c>
      <c r="AM521" s="188" t="s">
        <v>19</v>
      </c>
      <c r="AN521" s="188" t="s">
        <v>19</v>
      </c>
      <c r="AO521" s="234" t="s">
        <v>19</v>
      </c>
      <c r="AP521" s="235" t="s">
        <v>306</v>
      </c>
      <c r="AQ521" s="188" t="s">
        <v>19</v>
      </c>
      <c r="AR521" s="188" t="s">
        <v>25</v>
      </c>
      <c r="AS521" s="234" t="s">
        <v>306</v>
      </c>
      <c r="AT521" s="188" t="s">
        <v>25</v>
      </c>
      <c r="AU521" s="188" t="s">
        <v>25</v>
      </c>
      <c r="AV521" s="234" t="s">
        <v>25</v>
      </c>
      <c r="AW521" s="188" t="s">
        <v>19</v>
      </c>
      <c r="AX521" s="188" t="s">
        <v>19</v>
      </c>
      <c r="AY521" s="234" t="s">
        <v>19</v>
      </c>
      <c r="AZ521" s="188" t="s">
        <v>25</v>
      </c>
      <c r="BA521" s="188" t="s">
        <v>19</v>
      </c>
      <c r="BB521" s="234" t="s">
        <v>306</v>
      </c>
      <c r="BC521" s="235" t="s">
        <v>306</v>
      </c>
      <c r="BD521" s="209"/>
    </row>
    <row r="522" spans="1:56" ht="12.75" customHeight="1" x14ac:dyDescent="0.25">
      <c r="A522" s="211">
        <v>27</v>
      </c>
      <c r="B522" s="137" t="s">
        <v>427</v>
      </c>
      <c r="C522" s="211" t="s">
        <v>595</v>
      </c>
      <c r="D522" s="211" t="s">
        <v>17</v>
      </c>
      <c r="E522" s="232" t="s">
        <v>605</v>
      </c>
      <c r="F522" s="188" t="s">
        <v>1103</v>
      </c>
      <c r="G522" s="211" t="s">
        <v>18</v>
      </c>
      <c r="H522" s="211">
        <v>15</v>
      </c>
      <c r="I522" s="188" t="s">
        <v>531</v>
      </c>
      <c r="J522" s="188" t="s">
        <v>532</v>
      </c>
      <c r="K522" s="209" t="s">
        <v>539</v>
      </c>
      <c r="L522" s="188" t="s">
        <v>518</v>
      </c>
      <c r="M522" s="188" t="s">
        <v>375</v>
      </c>
      <c r="N522" s="188"/>
      <c r="O522" s="211" t="s">
        <v>531</v>
      </c>
      <c r="P522" s="188" t="s">
        <v>640</v>
      </c>
      <c r="Q522" s="188" t="s">
        <v>25</v>
      </c>
      <c r="R522" s="188" t="s">
        <v>25</v>
      </c>
      <c r="S522" s="234" t="s">
        <v>25</v>
      </c>
      <c r="T522" s="188" t="s">
        <v>25</v>
      </c>
      <c r="U522" s="188" t="s">
        <v>25</v>
      </c>
      <c r="V522" s="234" t="s">
        <v>25</v>
      </c>
      <c r="W522" s="188" t="s">
        <v>19</v>
      </c>
      <c r="X522" s="188" t="s">
        <v>19</v>
      </c>
      <c r="Y522" s="234" t="s">
        <v>19</v>
      </c>
      <c r="Z522" s="188" t="s">
        <v>25</v>
      </c>
      <c r="AA522" s="188" t="s">
        <v>25</v>
      </c>
      <c r="AB522" s="234" t="s">
        <v>25</v>
      </c>
      <c r="AC522" s="235" t="s">
        <v>25</v>
      </c>
      <c r="AD522" s="188" t="s">
        <v>306</v>
      </c>
      <c r="AE522" s="188" t="s">
        <v>306</v>
      </c>
      <c r="AF522" s="234" t="s">
        <v>306</v>
      </c>
      <c r="AG522" s="188" t="s">
        <v>19</v>
      </c>
      <c r="AH522" s="188" t="s">
        <v>306</v>
      </c>
      <c r="AI522" s="234" t="s">
        <v>306</v>
      </c>
      <c r="AJ522" s="188" t="s">
        <v>25</v>
      </c>
      <c r="AK522" s="188" t="s">
        <v>306</v>
      </c>
      <c r="AL522" s="234" t="s">
        <v>25</v>
      </c>
      <c r="AM522" s="188" t="s">
        <v>19</v>
      </c>
      <c r="AN522" s="188" t="s">
        <v>19</v>
      </c>
      <c r="AO522" s="234" t="s">
        <v>19</v>
      </c>
      <c r="AP522" s="235" t="s">
        <v>306</v>
      </c>
      <c r="AQ522" s="188" t="s">
        <v>25</v>
      </c>
      <c r="AR522" s="188" t="s">
        <v>25</v>
      </c>
      <c r="AS522" s="234" t="s">
        <v>25</v>
      </c>
      <c r="AT522" s="188" t="s">
        <v>25</v>
      </c>
      <c r="AU522" s="188" t="s">
        <v>25</v>
      </c>
      <c r="AV522" s="234" t="s">
        <v>25</v>
      </c>
      <c r="AW522" s="188" t="s">
        <v>19</v>
      </c>
      <c r="AX522" s="188" t="s">
        <v>25</v>
      </c>
      <c r="AY522" s="234" t="s">
        <v>306</v>
      </c>
      <c r="AZ522" s="188" t="s">
        <v>25</v>
      </c>
      <c r="BA522" s="188" t="s">
        <v>25</v>
      </c>
      <c r="BB522" s="234" t="s">
        <v>306</v>
      </c>
      <c r="BC522" s="235" t="s">
        <v>306</v>
      </c>
      <c r="BD522" s="209"/>
    </row>
    <row r="523" spans="1:56" ht="12.75" customHeight="1" x14ac:dyDescent="0.25">
      <c r="A523" s="211">
        <v>28</v>
      </c>
      <c r="B523" s="137" t="s">
        <v>427</v>
      </c>
      <c r="C523" s="211" t="s">
        <v>595</v>
      </c>
      <c r="D523" s="211" t="s">
        <v>17</v>
      </c>
      <c r="E523" s="232" t="s">
        <v>605</v>
      </c>
      <c r="F523" s="188" t="s">
        <v>1104</v>
      </c>
      <c r="G523" s="211" t="s">
        <v>24</v>
      </c>
      <c r="H523" s="211">
        <v>15</v>
      </c>
      <c r="I523" s="188" t="s">
        <v>531</v>
      </c>
      <c r="J523" s="188" t="s">
        <v>532</v>
      </c>
      <c r="K523" s="209" t="s">
        <v>539</v>
      </c>
      <c r="L523" s="188" t="s">
        <v>518</v>
      </c>
      <c r="M523" s="188" t="s">
        <v>368</v>
      </c>
      <c r="N523" s="188"/>
      <c r="O523" s="211" t="s">
        <v>531</v>
      </c>
      <c r="P523" s="188" t="s">
        <v>640</v>
      </c>
      <c r="Q523" s="188" t="s">
        <v>25</v>
      </c>
      <c r="R523" s="188" t="s">
        <v>25</v>
      </c>
      <c r="S523" s="234" t="s">
        <v>25</v>
      </c>
      <c r="T523" s="188" t="s">
        <v>306</v>
      </c>
      <c r="U523" s="188" t="s">
        <v>25</v>
      </c>
      <c r="V523" s="234" t="s">
        <v>25</v>
      </c>
      <c r="W523" s="188" t="s">
        <v>25</v>
      </c>
      <c r="X523" s="188" t="s">
        <v>306</v>
      </c>
      <c r="Y523" s="234" t="s">
        <v>25</v>
      </c>
      <c r="Z523" s="188" t="s">
        <v>306</v>
      </c>
      <c r="AA523" s="188" t="s">
        <v>25</v>
      </c>
      <c r="AB523" s="234" t="s">
        <v>25</v>
      </c>
      <c r="AC523" s="235" t="s">
        <v>25</v>
      </c>
      <c r="AD523" s="188" t="s">
        <v>25</v>
      </c>
      <c r="AE523" s="188" t="s">
        <v>306</v>
      </c>
      <c r="AF523" s="234" t="s">
        <v>25</v>
      </c>
      <c r="AG523" s="188" t="s">
        <v>306</v>
      </c>
      <c r="AH523" s="188" t="s">
        <v>19</v>
      </c>
      <c r="AI523" s="234" t="s">
        <v>306</v>
      </c>
      <c r="AJ523" s="188" t="s">
        <v>25</v>
      </c>
      <c r="AK523" s="188" t="s">
        <v>19</v>
      </c>
      <c r="AL523" s="234" t="s">
        <v>306</v>
      </c>
      <c r="AM523" s="188" t="s">
        <v>25</v>
      </c>
      <c r="AN523" s="188" t="s">
        <v>19</v>
      </c>
      <c r="AO523" s="234" t="s">
        <v>306</v>
      </c>
      <c r="AP523" s="235" t="s">
        <v>306</v>
      </c>
      <c r="AQ523" s="188" t="s">
        <v>25</v>
      </c>
      <c r="AR523" s="188" t="s">
        <v>25</v>
      </c>
      <c r="AS523" s="234" t="s">
        <v>25</v>
      </c>
      <c r="AT523" s="188" t="s">
        <v>25</v>
      </c>
      <c r="AU523" s="188" t="s">
        <v>25</v>
      </c>
      <c r="AV523" s="234" t="s">
        <v>25</v>
      </c>
      <c r="AW523" s="188" t="s">
        <v>19</v>
      </c>
      <c r="AX523" s="188" t="s">
        <v>19</v>
      </c>
      <c r="AY523" s="234" t="s">
        <v>19</v>
      </c>
      <c r="AZ523" s="188" t="s">
        <v>19</v>
      </c>
      <c r="BA523" s="188" t="s">
        <v>25</v>
      </c>
      <c r="BB523" s="234" t="s">
        <v>306</v>
      </c>
      <c r="BC523" s="235" t="s">
        <v>306</v>
      </c>
      <c r="BD523" s="209"/>
    </row>
    <row r="524" spans="1:56" ht="12.75" customHeight="1" x14ac:dyDescent="0.25">
      <c r="A524" s="211">
        <v>29</v>
      </c>
      <c r="B524" s="137" t="s">
        <v>427</v>
      </c>
      <c r="C524" s="211" t="s">
        <v>595</v>
      </c>
      <c r="D524" s="211" t="s">
        <v>17</v>
      </c>
      <c r="E524" s="232" t="s">
        <v>605</v>
      </c>
      <c r="F524" s="188" t="s">
        <v>1105</v>
      </c>
      <c r="G524" s="211" t="s">
        <v>24</v>
      </c>
      <c r="H524" s="211">
        <v>16</v>
      </c>
      <c r="I524" s="188" t="s">
        <v>531</v>
      </c>
      <c r="J524" s="188" t="s">
        <v>532</v>
      </c>
      <c r="K524" s="209" t="s">
        <v>539</v>
      </c>
      <c r="L524" s="188" t="s">
        <v>518</v>
      </c>
      <c r="M524" s="188" t="s">
        <v>375</v>
      </c>
      <c r="N524" s="188"/>
      <c r="O524" s="211" t="s">
        <v>531</v>
      </c>
      <c r="P524" s="188" t="s">
        <v>640</v>
      </c>
      <c r="Q524" s="188" t="s">
        <v>25</v>
      </c>
      <c r="R524" s="188" t="s">
        <v>25</v>
      </c>
      <c r="S524" s="234" t="s">
        <v>25</v>
      </c>
      <c r="T524" s="188" t="s">
        <v>25</v>
      </c>
      <c r="U524" s="188" t="s">
        <v>25</v>
      </c>
      <c r="V524" s="234" t="s">
        <v>25</v>
      </c>
      <c r="W524" s="188" t="s">
        <v>25</v>
      </c>
      <c r="X524" s="188" t="s">
        <v>25</v>
      </c>
      <c r="Y524" s="234" t="s">
        <v>25</v>
      </c>
      <c r="Z524" s="188" t="s">
        <v>25</v>
      </c>
      <c r="AA524" s="188" t="s">
        <v>25</v>
      </c>
      <c r="AB524" s="234" t="s">
        <v>25</v>
      </c>
      <c r="AC524" s="235" t="s">
        <v>25</v>
      </c>
      <c r="AD524" s="188" t="s">
        <v>25</v>
      </c>
      <c r="AE524" s="188" t="s">
        <v>25</v>
      </c>
      <c r="AF524" s="234" t="s">
        <v>25</v>
      </c>
      <c r="AG524" s="188" t="s">
        <v>19</v>
      </c>
      <c r="AH524" s="188" t="s">
        <v>19</v>
      </c>
      <c r="AI524" s="234" t="s">
        <v>19</v>
      </c>
      <c r="AJ524" s="188" t="s">
        <v>25</v>
      </c>
      <c r="AK524" s="188" t="s">
        <v>306</v>
      </c>
      <c r="AL524" s="234" t="s">
        <v>25</v>
      </c>
      <c r="AM524" s="188" t="s">
        <v>19</v>
      </c>
      <c r="AN524" s="188" t="s">
        <v>19</v>
      </c>
      <c r="AO524" s="234" t="s">
        <v>19</v>
      </c>
      <c r="AP524" s="235" t="s">
        <v>306</v>
      </c>
      <c r="AQ524" s="188" t="s">
        <v>25</v>
      </c>
      <c r="AR524" s="188" t="s">
        <v>25</v>
      </c>
      <c r="AS524" s="234" t="s">
        <v>25</v>
      </c>
      <c r="AT524" s="188" t="s">
        <v>25</v>
      </c>
      <c r="AU524" s="188" t="s">
        <v>25</v>
      </c>
      <c r="AV524" s="234" t="s">
        <v>25</v>
      </c>
      <c r="AW524" s="188" t="s">
        <v>19</v>
      </c>
      <c r="AX524" s="188" t="s">
        <v>19</v>
      </c>
      <c r="AY524" s="234" t="s">
        <v>19</v>
      </c>
      <c r="AZ524" s="188" t="s">
        <v>25</v>
      </c>
      <c r="BA524" s="188" t="s">
        <v>25</v>
      </c>
      <c r="BB524" s="234" t="s">
        <v>306</v>
      </c>
      <c r="BC524" s="235" t="s">
        <v>306</v>
      </c>
      <c r="BD524" s="209"/>
    </row>
    <row r="525" spans="1:56" ht="12.75" customHeight="1" x14ac:dyDescent="0.25">
      <c r="A525" s="211">
        <v>30</v>
      </c>
      <c r="B525" s="137" t="s">
        <v>427</v>
      </c>
      <c r="C525" s="211" t="s">
        <v>595</v>
      </c>
      <c r="D525" s="211" t="s">
        <v>17</v>
      </c>
      <c r="E525" s="232" t="s">
        <v>605</v>
      </c>
      <c r="F525" s="188" t="s">
        <v>1106</v>
      </c>
      <c r="G525" s="211" t="s">
        <v>24</v>
      </c>
      <c r="H525" s="211">
        <v>16</v>
      </c>
      <c r="I525" s="188" t="s">
        <v>531</v>
      </c>
      <c r="J525" s="188" t="s">
        <v>532</v>
      </c>
      <c r="K525" s="209" t="s">
        <v>539</v>
      </c>
      <c r="L525" s="188" t="s">
        <v>518</v>
      </c>
      <c r="M525" s="188" t="s">
        <v>368</v>
      </c>
      <c r="N525" s="188"/>
      <c r="O525" s="211" t="s">
        <v>531</v>
      </c>
      <c r="P525" s="188" t="s">
        <v>640</v>
      </c>
      <c r="Q525" s="188" t="s">
        <v>25</v>
      </c>
      <c r="R525" s="188" t="s">
        <v>25</v>
      </c>
      <c r="S525" s="234" t="s">
        <v>25</v>
      </c>
      <c r="T525" s="188" t="s">
        <v>25</v>
      </c>
      <c r="U525" s="188" t="s">
        <v>25</v>
      </c>
      <c r="V525" s="234" t="s">
        <v>25</v>
      </c>
      <c r="W525" s="188" t="s">
        <v>25</v>
      </c>
      <c r="X525" s="188" t="s">
        <v>25</v>
      </c>
      <c r="Y525" s="234" t="s">
        <v>25</v>
      </c>
      <c r="Z525" s="188" t="s">
        <v>25</v>
      </c>
      <c r="AA525" s="188" t="s">
        <v>25</v>
      </c>
      <c r="AB525" s="234" t="s">
        <v>25</v>
      </c>
      <c r="AC525" s="235" t="s">
        <v>25</v>
      </c>
      <c r="AD525" s="188" t="s">
        <v>306</v>
      </c>
      <c r="AE525" s="188" t="s">
        <v>19</v>
      </c>
      <c r="AF525" s="234" t="s">
        <v>306</v>
      </c>
      <c r="AG525" s="188" t="s">
        <v>19</v>
      </c>
      <c r="AH525" s="188" t="s">
        <v>19</v>
      </c>
      <c r="AI525" s="234" t="s">
        <v>19</v>
      </c>
      <c r="AJ525" s="188" t="s">
        <v>25</v>
      </c>
      <c r="AK525" s="188" t="s">
        <v>306</v>
      </c>
      <c r="AL525" s="234" t="s">
        <v>25</v>
      </c>
      <c r="AM525" s="188" t="s">
        <v>19</v>
      </c>
      <c r="AN525" s="188" t="s">
        <v>19</v>
      </c>
      <c r="AO525" s="234" t="s">
        <v>19</v>
      </c>
      <c r="AP525" s="235" t="s">
        <v>306</v>
      </c>
      <c r="AQ525" s="188" t="s">
        <v>25</v>
      </c>
      <c r="AR525" s="188" t="s">
        <v>19</v>
      </c>
      <c r="AS525" s="234" t="s">
        <v>306</v>
      </c>
      <c r="AT525" s="188" t="s">
        <v>25</v>
      </c>
      <c r="AU525" s="188" t="s">
        <v>25</v>
      </c>
      <c r="AV525" s="234" t="s">
        <v>25</v>
      </c>
      <c r="AW525" s="188" t="s">
        <v>19</v>
      </c>
      <c r="AX525" s="188" t="s">
        <v>19</v>
      </c>
      <c r="AY525" s="234" t="s">
        <v>19</v>
      </c>
      <c r="AZ525" s="188" t="s">
        <v>25</v>
      </c>
      <c r="BA525" s="188" t="s">
        <v>25</v>
      </c>
      <c r="BB525" s="234" t="s">
        <v>306</v>
      </c>
      <c r="BC525" s="235" t="s">
        <v>306</v>
      </c>
      <c r="BD525" s="209"/>
    </row>
    <row r="526" spans="1:56" ht="12.75" customHeight="1" x14ac:dyDescent="0.25">
      <c r="A526" s="211">
        <v>31</v>
      </c>
      <c r="B526" s="137" t="s">
        <v>427</v>
      </c>
      <c r="C526" s="211" t="s">
        <v>595</v>
      </c>
      <c r="D526" s="211" t="s">
        <v>17</v>
      </c>
      <c r="E526" s="232" t="s">
        <v>605</v>
      </c>
      <c r="F526" s="188" t="s">
        <v>1107</v>
      </c>
      <c r="G526" s="211" t="s">
        <v>24</v>
      </c>
      <c r="H526" s="211">
        <v>16</v>
      </c>
      <c r="I526" s="188" t="s">
        <v>531</v>
      </c>
      <c r="J526" s="188" t="s">
        <v>532</v>
      </c>
      <c r="K526" s="209" t="s">
        <v>539</v>
      </c>
      <c r="L526" s="188" t="s">
        <v>518</v>
      </c>
      <c r="M526" s="188" t="s">
        <v>375</v>
      </c>
      <c r="N526" s="188"/>
      <c r="O526" s="211" t="s">
        <v>531</v>
      </c>
      <c r="P526" s="188" t="s">
        <v>640</v>
      </c>
      <c r="Q526" s="188" t="s">
        <v>25</v>
      </c>
      <c r="R526" s="188" t="s">
        <v>25</v>
      </c>
      <c r="S526" s="234" t="s">
        <v>25</v>
      </c>
      <c r="T526" s="188" t="s">
        <v>25</v>
      </c>
      <c r="U526" s="188" t="s">
        <v>25</v>
      </c>
      <c r="V526" s="234" t="s">
        <v>25</v>
      </c>
      <c r="W526" s="188" t="s">
        <v>25</v>
      </c>
      <c r="X526" s="188" t="s">
        <v>25</v>
      </c>
      <c r="Y526" s="234" t="s">
        <v>25</v>
      </c>
      <c r="Z526" s="188" t="s">
        <v>25</v>
      </c>
      <c r="AA526" s="188" t="s">
        <v>25</v>
      </c>
      <c r="AB526" s="234" t="s">
        <v>25</v>
      </c>
      <c r="AC526" s="235" t="s">
        <v>25</v>
      </c>
      <c r="AD526" s="188" t="s">
        <v>25</v>
      </c>
      <c r="AE526" s="188" t="s">
        <v>25</v>
      </c>
      <c r="AF526" s="234" t="s">
        <v>25</v>
      </c>
      <c r="AG526" s="188" t="s">
        <v>19</v>
      </c>
      <c r="AH526" s="188" t="s">
        <v>19</v>
      </c>
      <c r="AI526" s="234" t="s">
        <v>19</v>
      </c>
      <c r="AJ526" s="188" t="s">
        <v>25</v>
      </c>
      <c r="AK526" s="188" t="s">
        <v>306</v>
      </c>
      <c r="AL526" s="234" t="s">
        <v>25</v>
      </c>
      <c r="AM526" s="188" t="s">
        <v>19</v>
      </c>
      <c r="AN526" s="188" t="s">
        <v>19</v>
      </c>
      <c r="AO526" s="234" t="s">
        <v>19</v>
      </c>
      <c r="AP526" s="235" t="s">
        <v>306</v>
      </c>
      <c r="AQ526" s="188" t="s">
        <v>25</v>
      </c>
      <c r="AR526" s="188" t="s">
        <v>25</v>
      </c>
      <c r="AS526" s="234" t="s">
        <v>25</v>
      </c>
      <c r="AT526" s="188" t="s">
        <v>25</v>
      </c>
      <c r="AU526" s="188" t="s">
        <v>25</v>
      </c>
      <c r="AV526" s="234" t="s">
        <v>25</v>
      </c>
      <c r="AW526" s="188" t="s">
        <v>19</v>
      </c>
      <c r="AX526" s="188" t="s">
        <v>19</v>
      </c>
      <c r="AY526" s="234" t="s">
        <v>19</v>
      </c>
      <c r="AZ526" s="188" t="s">
        <v>19</v>
      </c>
      <c r="BA526" s="188" t="s">
        <v>25</v>
      </c>
      <c r="BB526" s="234" t="s">
        <v>306</v>
      </c>
      <c r="BC526" s="235" t="s">
        <v>306</v>
      </c>
      <c r="BD526" s="209"/>
    </row>
    <row r="527" spans="1:56" ht="12.75" customHeight="1" x14ac:dyDescent="0.25">
      <c r="A527" s="211">
        <v>32</v>
      </c>
      <c r="B527" s="137" t="s">
        <v>427</v>
      </c>
      <c r="C527" s="211" t="s">
        <v>595</v>
      </c>
      <c r="D527" s="211" t="s">
        <v>17</v>
      </c>
      <c r="E527" s="232" t="s">
        <v>605</v>
      </c>
      <c r="F527" s="188" t="s">
        <v>1108</v>
      </c>
      <c r="G527" s="211" t="s">
        <v>24</v>
      </c>
      <c r="H527" s="211">
        <v>15</v>
      </c>
      <c r="I527" s="188" t="s">
        <v>531</v>
      </c>
      <c r="J527" s="188" t="s">
        <v>532</v>
      </c>
      <c r="K527" s="209" t="s">
        <v>539</v>
      </c>
      <c r="L527" s="188" t="s">
        <v>518</v>
      </c>
      <c r="M527" s="188" t="s">
        <v>375</v>
      </c>
      <c r="N527" s="188"/>
      <c r="O527" s="211" t="s">
        <v>531</v>
      </c>
      <c r="P527" s="188" t="s">
        <v>640</v>
      </c>
      <c r="Q527" s="188" t="s">
        <v>25</v>
      </c>
      <c r="R527" s="188" t="s">
        <v>306</v>
      </c>
      <c r="S527" s="234" t="s">
        <v>25</v>
      </c>
      <c r="T527" s="188" t="s">
        <v>306</v>
      </c>
      <c r="U527" s="188" t="s">
        <v>25</v>
      </c>
      <c r="V527" s="234" t="s">
        <v>25</v>
      </c>
      <c r="W527" s="188" t="s">
        <v>25</v>
      </c>
      <c r="X527" s="188" t="s">
        <v>306</v>
      </c>
      <c r="Y527" s="234" t="s">
        <v>25</v>
      </c>
      <c r="Z527" s="188" t="s">
        <v>25</v>
      </c>
      <c r="AA527" s="188" t="s">
        <v>25</v>
      </c>
      <c r="AB527" s="234" t="s">
        <v>25</v>
      </c>
      <c r="AC527" s="235" t="s">
        <v>25</v>
      </c>
      <c r="AD527" s="188" t="s">
        <v>25</v>
      </c>
      <c r="AE527" s="188" t="s">
        <v>25</v>
      </c>
      <c r="AF527" s="234" t="s">
        <v>25</v>
      </c>
      <c r="AG527" s="188" t="s">
        <v>19</v>
      </c>
      <c r="AH527" s="188" t="s">
        <v>19</v>
      </c>
      <c r="AI527" s="234" t="s">
        <v>19</v>
      </c>
      <c r="AJ527" s="188" t="s">
        <v>25</v>
      </c>
      <c r="AK527" s="188" t="s">
        <v>306</v>
      </c>
      <c r="AL527" s="234" t="s">
        <v>25</v>
      </c>
      <c r="AM527" s="188" t="s">
        <v>19</v>
      </c>
      <c r="AN527" s="188" t="s">
        <v>19</v>
      </c>
      <c r="AO527" s="234" t="s">
        <v>19</v>
      </c>
      <c r="AP527" s="235" t="s">
        <v>306</v>
      </c>
      <c r="AQ527" s="188" t="s">
        <v>25</v>
      </c>
      <c r="AR527" s="188" t="s">
        <v>25</v>
      </c>
      <c r="AS527" s="234" t="s">
        <v>25</v>
      </c>
      <c r="AT527" s="188" t="s">
        <v>25</v>
      </c>
      <c r="AU527" s="188" t="s">
        <v>25</v>
      </c>
      <c r="AV527" s="234" t="s">
        <v>25</v>
      </c>
      <c r="AW527" s="188" t="s">
        <v>19</v>
      </c>
      <c r="AX527" s="188" t="s">
        <v>19</v>
      </c>
      <c r="AY527" s="234" t="s">
        <v>19</v>
      </c>
      <c r="AZ527" s="188" t="s">
        <v>25</v>
      </c>
      <c r="BA527" s="188" t="s">
        <v>25</v>
      </c>
      <c r="BB527" s="234" t="s">
        <v>306</v>
      </c>
      <c r="BC527" s="235" t="s">
        <v>306</v>
      </c>
      <c r="BD527" s="209"/>
    </row>
    <row r="528" spans="1:56" ht="12.75" customHeight="1" x14ac:dyDescent="0.25">
      <c r="A528" s="211">
        <v>33</v>
      </c>
      <c r="B528" s="137" t="s">
        <v>427</v>
      </c>
      <c r="C528" s="211" t="s">
        <v>595</v>
      </c>
      <c r="D528" s="211" t="s">
        <v>17</v>
      </c>
      <c r="E528" s="232" t="s">
        <v>605</v>
      </c>
      <c r="F528" s="188" t="s">
        <v>1109</v>
      </c>
      <c r="G528" s="211" t="s">
        <v>18</v>
      </c>
      <c r="H528" s="211">
        <v>16</v>
      </c>
      <c r="I528" s="188" t="s">
        <v>531</v>
      </c>
      <c r="J528" s="188" t="s">
        <v>532</v>
      </c>
      <c r="K528" s="209" t="s">
        <v>539</v>
      </c>
      <c r="L528" s="188" t="s">
        <v>518</v>
      </c>
      <c r="M528" s="188" t="s">
        <v>375</v>
      </c>
      <c r="N528" s="188"/>
      <c r="O528" s="211" t="s">
        <v>531</v>
      </c>
      <c r="P528" s="188" t="s">
        <v>640</v>
      </c>
      <c r="Q528" s="188" t="s">
        <v>25</v>
      </c>
      <c r="R528" s="188" t="s">
        <v>25</v>
      </c>
      <c r="S528" s="234" t="s">
        <v>25</v>
      </c>
      <c r="T528" s="188" t="s">
        <v>19</v>
      </c>
      <c r="U528" s="188" t="s">
        <v>25</v>
      </c>
      <c r="V528" s="234" t="s">
        <v>306</v>
      </c>
      <c r="W528" s="188" t="s">
        <v>306</v>
      </c>
      <c r="X528" s="188" t="s">
        <v>25</v>
      </c>
      <c r="Y528" s="234" t="s">
        <v>25</v>
      </c>
      <c r="Z528" s="188" t="s">
        <v>25</v>
      </c>
      <c r="AA528" s="188" t="s">
        <v>25</v>
      </c>
      <c r="AB528" s="234" t="s">
        <v>25</v>
      </c>
      <c r="AC528" s="235" t="s">
        <v>25</v>
      </c>
      <c r="AD528" s="188" t="s">
        <v>25</v>
      </c>
      <c r="AE528" s="188" t="s">
        <v>306</v>
      </c>
      <c r="AF528" s="234" t="s">
        <v>25</v>
      </c>
      <c r="AG528" s="188" t="s">
        <v>306</v>
      </c>
      <c r="AH528" s="188" t="s">
        <v>25</v>
      </c>
      <c r="AI528" s="234" t="s">
        <v>25</v>
      </c>
      <c r="AJ528" s="188" t="s">
        <v>25</v>
      </c>
      <c r="AK528" s="188" t="s">
        <v>306</v>
      </c>
      <c r="AL528" s="234" t="s">
        <v>25</v>
      </c>
      <c r="AM528" s="188" t="s">
        <v>19</v>
      </c>
      <c r="AN528" s="188" t="s">
        <v>19</v>
      </c>
      <c r="AO528" s="234" t="s">
        <v>19</v>
      </c>
      <c r="AP528" s="235" t="s">
        <v>306</v>
      </c>
      <c r="AQ528" s="188" t="s">
        <v>25</v>
      </c>
      <c r="AR528" s="188" t="s">
        <v>25</v>
      </c>
      <c r="AS528" s="234" t="s">
        <v>25</v>
      </c>
      <c r="AT528" s="188" t="s">
        <v>25</v>
      </c>
      <c r="AU528" s="188" t="s">
        <v>25</v>
      </c>
      <c r="AV528" s="234" t="s">
        <v>25</v>
      </c>
      <c r="AW528" s="188" t="s">
        <v>25</v>
      </c>
      <c r="AX528" s="188" t="s">
        <v>19</v>
      </c>
      <c r="AY528" s="234" t="s">
        <v>306</v>
      </c>
      <c r="AZ528" s="188" t="s">
        <v>25</v>
      </c>
      <c r="BA528" s="188" t="s">
        <v>25</v>
      </c>
      <c r="BB528" s="234" t="s">
        <v>25</v>
      </c>
      <c r="BC528" s="235" t="s">
        <v>25</v>
      </c>
      <c r="BD528" s="209"/>
    </row>
    <row r="529" spans="1:56" ht="12.75" customHeight="1" x14ac:dyDescent="0.25">
      <c r="A529" s="211">
        <v>34</v>
      </c>
      <c r="B529" s="137" t="s">
        <v>427</v>
      </c>
      <c r="C529" s="211" t="s">
        <v>595</v>
      </c>
      <c r="D529" s="211" t="s">
        <v>17</v>
      </c>
      <c r="E529" s="232" t="s">
        <v>605</v>
      </c>
      <c r="F529" s="188" t="s">
        <v>1110</v>
      </c>
      <c r="G529" s="211" t="s">
        <v>18</v>
      </c>
      <c r="H529" s="211">
        <v>15</v>
      </c>
      <c r="I529" s="188" t="s">
        <v>531</v>
      </c>
      <c r="J529" s="188" t="s">
        <v>532</v>
      </c>
      <c r="K529" s="209" t="s">
        <v>539</v>
      </c>
      <c r="L529" s="188" t="s">
        <v>518</v>
      </c>
      <c r="M529" s="188" t="s">
        <v>375</v>
      </c>
      <c r="N529" s="188"/>
      <c r="O529" s="211" t="s">
        <v>531</v>
      </c>
      <c r="P529" s="188" t="s">
        <v>640</v>
      </c>
      <c r="Q529" s="188" t="s">
        <v>25</v>
      </c>
      <c r="R529" s="188" t="s">
        <v>25</v>
      </c>
      <c r="S529" s="234" t="s">
        <v>25</v>
      </c>
      <c r="T529" s="188" t="s">
        <v>19</v>
      </c>
      <c r="U529" s="188" t="s">
        <v>25</v>
      </c>
      <c r="V529" s="234" t="s">
        <v>306</v>
      </c>
      <c r="W529" s="188" t="s">
        <v>306</v>
      </c>
      <c r="X529" s="188" t="s">
        <v>25</v>
      </c>
      <c r="Y529" s="234" t="s">
        <v>25</v>
      </c>
      <c r="Z529" s="188" t="s">
        <v>25</v>
      </c>
      <c r="AA529" s="188" t="s">
        <v>25</v>
      </c>
      <c r="AB529" s="234" t="s">
        <v>25</v>
      </c>
      <c r="AC529" s="235" t="s">
        <v>25</v>
      </c>
      <c r="AD529" s="188" t="s">
        <v>25</v>
      </c>
      <c r="AE529" s="188" t="s">
        <v>306</v>
      </c>
      <c r="AF529" s="234" t="s">
        <v>25</v>
      </c>
      <c r="AG529" s="188" t="s">
        <v>306</v>
      </c>
      <c r="AH529" s="188" t="s">
        <v>25</v>
      </c>
      <c r="AI529" s="234" t="s">
        <v>25</v>
      </c>
      <c r="AJ529" s="188" t="s">
        <v>25</v>
      </c>
      <c r="AK529" s="188" t="s">
        <v>306</v>
      </c>
      <c r="AL529" s="234" t="s">
        <v>25</v>
      </c>
      <c r="AM529" s="188" t="s">
        <v>19</v>
      </c>
      <c r="AN529" s="188" t="s">
        <v>19</v>
      </c>
      <c r="AO529" s="234" t="s">
        <v>19</v>
      </c>
      <c r="AP529" s="235" t="s">
        <v>306</v>
      </c>
      <c r="AQ529" s="188" t="s">
        <v>19</v>
      </c>
      <c r="AR529" s="188" t="s">
        <v>25</v>
      </c>
      <c r="AS529" s="234" t="s">
        <v>306</v>
      </c>
      <c r="AT529" s="188" t="s">
        <v>25</v>
      </c>
      <c r="AU529" s="188" t="s">
        <v>25</v>
      </c>
      <c r="AV529" s="234" t="s">
        <v>25</v>
      </c>
      <c r="AW529" s="188" t="s">
        <v>25</v>
      </c>
      <c r="AX529" s="188" t="s">
        <v>19</v>
      </c>
      <c r="AY529" s="234" t="s">
        <v>306</v>
      </c>
      <c r="AZ529" s="188" t="s">
        <v>25</v>
      </c>
      <c r="BA529" s="188" t="s">
        <v>25</v>
      </c>
      <c r="BB529" s="234" t="s">
        <v>306</v>
      </c>
      <c r="BC529" s="235" t="s">
        <v>25</v>
      </c>
      <c r="BD529" s="209"/>
    </row>
    <row r="530" spans="1:56" ht="12.75" customHeight="1" x14ac:dyDescent="0.25">
      <c r="A530" s="211">
        <v>35</v>
      </c>
      <c r="B530" s="137" t="s">
        <v>427</v>
      </c>
      <c r="C530" s="211" t="s">
        <v>595</v>
      </c>
      <c r="D530" s="211" t="s">
        <v>17</v>
      </c>
      <c r="E530" s="232" t="s">
        <v>605</v>
      </c>
      <c r="F530" s="188" t="s">
        <v>1111</v>
      </c>
      <c r="G530" s="211" t="s">
        <v>18</v>
      </c>
      <c r="H530" s="211">
        <v>15</v>
      </c>
      <c r="I530" s="188" t="s">
        <v>531</v>
      </c>
      <c r="J530" s="188" t="s">
        <v>532</v>
      </c>
      <c r="K530" s="209" t="s">
        <v>539</v>
      </c>
      <c r="L530" s="188" t="s">
        <v>518</v>
      </c>
      <c r="M530" s="188" t="s">
        <v>375</v>
      </c>
      <c r="N530" s="188"/>
      <c r="O530" s="211" t="s">
        <v>518</v>
      </c>
      <c r="P530" s="188" t="s">
        <v>671</v>
      </c>
      <c r="Q530" s="188" t="s">
        <v>25</v>
      </c>
      <c r="R530" s="188" t="s">
        <v>25</v>
      </c>
      <c r="S530" s="234" t="s">
        <v>25</v>
      </c>
      <c r="T530" s="188" t="s">
        <v>306</v>
      </c>
      <c r="U530" s="188" t="s">
        <v>25</v>
      </c>
      <c r="V530" s="234" t="s">
        <v>25</v>
      </c>
      <c r="W530" s="188" t="s">
        <v>25</v>
      </c>
      <c r="X530" s="188" t="s">
        <v>25</v>
      </c>
      <c r="Y530" s="234" t="s">
        <v>25</v>
      </c>
      <c r="Z530" s="188" t="s">
        <v>25</v>
      </c>
      <c r="AA530" s="188" t="s">
        <v>25</v>
      </c>
      <c r="AB530" s="234" t="s">
        <v>25</v>
      </c>
      <c r="AC530" s="235" t="s">
        <v>25</v>
      </c>
      <c r="AD530" s="188" t="s">
        <v>25</v>
      </c>
      <c r="AE530" s="188" t="s">
        <v>306</v>
      </c>
      <c r="AF530" s="234" t="s">
        <v>25</v>
      </c>
      <c r="AG530" s="188" t="s">
        <v>19</v>
      </c>
      <c r="AH530" s="188" t="s">
        <v>25</v>
      </c>
      <c r="AI530" s="234" t="s">
        <v>306</v>
      </c>
      <c r="AJ530" s="188" t="s">
        <v>25</v>
      </c>
      <c r="AK530" s="188" t="s">
        <v>306</v>
      </c>
      <c r="AL530" s="234" t="s">
        <v>25</v>
      </c>
      <c r="AM530" s="188" t="s">
        <v>19</v>
      </c>
      <c r="AN530" s="188" t="s">
        <v>19</v>
      </c>
      <c r="AO530" s="234" t="s">
        <v>19</v>
      </c>
      <c r="AP530" s="235" t="s">
        <v>306</v>
      </c>
      <c r="AQ530" s="188" t="s">
        <v>25</v>
      </c>
      <c r="AR530" s="188" t="s">
        <v>25</v>
      </c>
      <c r="AS530" s="234" t="s">
        <v>25</v>
      </c>
      <c r="AT530" s="188" t="s">
        <v>25</v>
      </c>
      <c r="AU530" s="188" t="s">
        <v>25</v>
      </c>
      <c r="AV530" s="234" t="s">
        <v>25</v>
      </c>
      <c r="AW530" s="188" t="s">
        <v>25</v>
      </c>
      <c r="AX530" s="188" t="s">
        <v>19</v>
      </c>
      <c r="AY530" s="234" t="s">
        <v>306</v>
      </c>
      <c r="AZ530" s="188" t="s">
        <v>25</v>
      </c>
      <c r="BA530" s="188" t="s">
        <v>25</v>
      </c>
      <c r="BB530" s="234" t="s">
        <v>25</v>
      </c>
      <c r="BC530" s="235" t="s">
        <v>25</v>
      </c>
      <c r="BD530" s="209"/>
    </row>
    <row r="531" spans="1:56" ht="12.75" customHeight="1" x14ac:dyDescent="0.25">
      <c r="A531" s="211">
        <v>37</v>
      </c>
      <c r="B531" s="137" t="s">
        <v>427</v>
      </c>
      <c r="C531" s="211" t="s">
        <v>595</v>
      </c>
      <c r="D531" s="211" t="s">
        <v>17</v>
      </c>
      <c r="E531" s="232" t="s">
        <v>605</v>
      </c>
      <c r="F531" s="188" t="s">
        <v>1112</v>
      </c>
      <c r="G531" s="211" t="s">
        <v>24</v>
      </c>
      <c r="H531" s="211">
        <v>15</v>
      </c>
      <c r="I531" s="188" t="s">
        <v>531</v>
      </c>
      <c r="J531" s="188" t="s">
        <v>532</v>
      </c>
      <c r="K531" s="209" t="s">
        <v>539</v>
      </c>
      <c r="L531" s="188" t="s">
        <v>518</v>
      </c>
      <c r="M531" s="188" t="s">
        <v>375</v>
      </c>
      <c r="N531" s="188"/>
      <c r="O531" s="211" t="s">
        <v>518</v>
      </c>
      <c r="P531" s="188" t="s">
        <v>608</v>
      </c>
      <c r="Q531" s="188" t="s">
        <v>19</v>
      </c>
      <c r="R531" s="188" t="s">
        <v>306</v>
      </c>
      <c r="S531" s="234" t="s">
        <v>306</v>
      </c>
      <c r="T531" s="188" t="s">
        <v>306</v>
      </c>
      <c r="U531" s="188" t="s">
        <v>306</v>
      </c>
      <c r="V531" s="234" t="s">
        <v>306</v>
      </c>
      <c r="W531" s="188" t="s">
        <v>306</v>
      </c>
      <c r="X531" s="188" t="s">
        <v>306</v>
      </c>
      <c r="Y531" s="234" t="s">
        <v>306</v>
      </c>
      <c r="Z531" s="188" t="s">
        <v>306</v>
      </c>
      <c r="AA531" s="188" t="s">
        <v>306</v>
      </c>
      <c r="AB531" s="234" t="s">
        <v>306</v>
      </c>
      <c r="AC531" s="235" t="s">
        <v>306</v>
      </c>
      <c r="AD531" s="188" t="s">
        <v>306</v>
      </c>
      <c r="AE531" s="188" t="s">
        <v>306</v>
      </c>
      <c r="AF531" s="234" t="s">
        <v>306</v>
      </c>
      <c r="AG531" s="188" t="s">
        <v>306</v>
      </c>
      <c r="AH531" s="188" t="s">
        <v>306</v>
      </c>
      <c r="AI531" s="234" t="s">
        <v>306</v>
      </c>
      <c r="AJ531" s="188" t="s">
        <v>306</v>
      </c>
      <c r="AK531" s="188" t="s">
        <v>25</v>
      </c>
      <c r="AL531" s="234" t="s">
        <v>25</v>
      </c>
      <c r="AM531" s="188" t="s">
        <v>306</v>
      </c>
      <c r="AN531" s="188" t="s">
        <v>306</v>
      </c>
      <c r="AO531" s="234" t="s">
        <v>306</v>
      </c>
      <c r="AP531" s="235" t="s">
        <v>306</v>
      </c>
      <c r="AQ531" s="188" t="s">
        <v>306</v>
      </c>
      <c r="AR531" s="188" t="s">
        <v>306</v>
      </c>
      <c r="AS531" s="234" t="s">
        <v>306</v>
      </c>
      <c r="AT531" s="188" t="s">
        <v>19</v>
      </c>
      <c r="AU531" s="188" t="s">
        <v>25</v>
      </c>
      <c r="AV531" s="234" t="s">
        <v>306</v>
      </c>
      <c r="AW531" s="188" t="s">
        <v>306</v>
      </c>
      <c r="AX531" s="188" t="s">
        <v>306</v>
      </c>
      <c r="AY531" s="234" t="s">
        <v>306</v>
      </c>
      <c r="AZ531" s="188" t="s">
        <v>25</v>
      </c>
      <c r="BA531" s="188" t="s">
        <v>25</v>
      </c>
      <c r="BB531" s="234" t="s">
        <v>25</v>
      </c>
      <c r="BC531" s="235" t="s">
        <v>25</v>
      </c>
      <c r="BD531" s="209"/>
    </row>
    <row r="532" spans="1:56" ht="12.75" customHeight="1" x14ac:dyDescent="0.25">
      <c r="A532" s="211">
        <v>38</v>
      </c>
      <c r="B532" s="137" t="s">
        <v>427</v>
      </c>
      <c r="C532" s="211" t="s">
        <v>595</v>
      </c>
      <c r="D532" s="211" t="s">
        <v>17</v>
      </c>
      <c r="E532" s="232" t="s">
        <v>605</v>
      </c>
      <c r="F532" s="188" t="s">
        <v>1113</v>
      </c>
      <c r="G532" s="211" t="s">
        <v>18</v>
      </c>
      <c r="H532" s="211">
        <v>15</v>
      </c>
      <c r="I532" s="188" t="s">
        <v>531</v>
      </c>
      <c r="J532" s="188" t="s">
        <v>532</v>
      </c>
      <c r="K532" s="209" t="s">
        <v>539</v>
      </c>
      <c r="L532" s="188" t="s">
        <v>518</v>
      </c>
      <c r="M532" s="188" t="s">
        <v>375</v>
      </c>
      <c r="N532" s="188"/>
      <c r="O532" s="211" t="s">
        <v>531</v>
      </c>
      <c r="P532" s="188" t="s">
        <v>640</v>
      </c>
      <c r="Q532" s="188" t="s">
        <v>19</v>
      </c>
      <c r="R532" s="188" t="s">
        <v>306</v>
      </c>
      <c r="S532" s="234" t="s">
        <v>306</v>
      </c>
      <c r="T532" s="188" t="s">
        <v>306</v>
      </c>
      <c r="U532" s="188" t="s">
        <v>306</v>
      </c>
      <c r="V532" s="234" t="s">
        <v>306</v>
      </c>
      <c r="W532" s="188" t="s">
        <v>25</v>
      </c>
      <c r="X532" s="188" t="s">
        <v>306</v>
      </c>
      <c r="Y532" s="234" t="s">
        <v>25</v>
      </c>
      <c r="Z532" s="188" t="s">
        <v>19</v>
      </c>
      <c r="AA532" s="188" t="s">
        <v>306</v>
      </c>
      <c r="AB532" s="234" t="s">
        <v>306</v>
      </c>
      <c r="AC532" s="235" t="s">
        <v>306</v>
      </c>
      <c r="AD532" s="188" t="s">
        <v>19</v>
      </c>
      <c r="AE532" s="188" t="s">
        <v>306</v>
      </c>
      <c r="AF532" s="234" t="s">
        <v>306</v>
      </c>
      <c r="AG532" s="188" t="s">
        <v>19</v>
      </c>
      <c r="AH532" s="188" t="s">
        <v>306</v>
      </c>
      <c r="AI532" s="234" t="s">
        <v>306</v>
      </c>
      <c r="AJ532" s="188" t="s">
        <v>306</v>
      </c>
      <c r="AK532" s="188" t="s">
        <v>306</v>
      </c>
      <c r="AL532" s="234" t="s">
        <v>306</v>
      </c>
      <c r="AM532" s="188" t="s">
        <v>306</v>
      </c>
      <c r="AN532" s="188" t="s">
        <v>19</v>
      </c>
      <c r="AO532" s="234" t="s">
        <v>306</v>
      </c>
      <c r="AP532" s="235" t="s">
        <v>306</v>
      </c>
      <c r="AQ532" s="188" t="s">
        <v>306</v>
      </c>
      <c r="AR532" s="188" t="s">
        <v>306</v>
      </c>
      <c r="AS532" s="234" t="s">
        <v>306</v>
      </c>
      <c r="AT532" s="188" t="s">
        <v>19</v>
      </c>
      <c r="AU532" s="188" t="s">
        <v>25</v>
      </c>
      <c r="AV532" s="234" t="s">
        <v>306</v>
      </c>
      <c r="AW532" s="188" t="s">
        <v>306</v>
      </c>
      <c r="AX532" s="188" t="s">
        <v>306</v>
      </c>
      <c r="AY532" s="234" t="s">
        <v>306</v>
      </c>
      <c r="AZ532" s="188" t="s">
        <v>25</v>
      </c>
      <c r="BA532" s="188" t="s">
        <v>25</v>
      </c>
      <c r="BB532" s="234" t="s">
        <v>25</v>
      </c>
      <c r="BC532" s="235" t="s">
        <v>25</v>
      </c>
      <c r="BD532" s="209"/>
    </row>
    <row r="533" spans="1:56" ht="12.75" customHeight="1" x14ac:dyDescent="0.25">
      <c r="A533" s="211">
        <v>39</v>
      </c>
      <c r="B533" s="137" t="s">
        <v>427</v>
      </c>
      <c r="C533" s="211" t="s">
        <v>595</v>
      </c>
      <c r="D533" s="211" t="s">
        <v>17</v>
      </c>
      <c r="E533" s="232" t="s">
        <v>605</v>
      </c>
      <c r="F533" s="188" t="s">
        <v>1114</v>
      </c>
      <c r="G533" s="211" t="s">
        <v>24</v>
      </c>
      <c r="H533" s="211">
        <v>17</v>
      </c>
      <c r="I533" s="188" t="s">
        <v>531</v>
      </c>
      <c r="J533" s="188" t="s">
        <v>532</v>
      </c>
      <c r="K533" s="209" t="s">
        <v>539</v>
      </c>
      <c r="L533" s="188" t="s">
        <v>518</v>
      </c>
      <c r="M533" s="188" t="s">
        <v>375</v>
      </c>
      <c r="N533" s="188"/>
      <c r="O533" s="211" t="s">
        <v>531</v>
      </c>
      <c r="P533" s="188" t="s">
        <v>640</v>
      </c>
      <c r="Q533" s="188" t="s">
        <v>25</v>
      </c>
      <c r="R533" s="188" t="s">
        <v>25</v>
      </c>
      <c r="S533" s="234" t="s">
        <v>25</v>
      </c>
      <c r="T533" s="188" t="s">
        <v>25</v>
      </c>
      <c r="U533" s="188" t="s">
        <v>25</v>
      </c>
      <c r="V533" s="234" t="s">
        <v>25</v>
      </c>
      <c r="W533" s="188" t="s">
        <v>25</v>
      </c>
      <c r="X533" s="188" t="s">
        <v>306</v>
      </c>
      <c r="Y533" s="234" t="s">
        <v>25</v>
      </c>
      <c r="Z533" s="188" t="s">
        <v>306</v>
      </c>
      <c r="AA533" s="188" t="s">
        <v>25</v>
      </c>
      <c r="AB533" s="234" t="s">
        <v>25</v>
      </c>
      <c r="AC533" s="235" t="s">
        <v>25</v>
      </c>
      <c r="AD533" s="188" t="s">
        <v>306</v>
      </c>
      <c r="AE533" s="188" t="s">
        <v>306</v>
      </c>
      <c r="AF533" s="234" t="s">
        <v>306</v>
      </c>
      <c r="AG533" s="188" t="s">
        <v>306</v>
      </c>
      <c r="AH533" s="188" t="s">
        <v>306</v>
      </c>
      <c r="AI533" s="234" t="s">
        <v>306</v>
      </c>
      <c r="AJ533" s="188" t="s">
        <v>306</v>
      </c>
      <c r="AK533" s="188" t="s">
        <v>306</v>
      </c>
      <c r="AL533" s="234" t="s">
        <v>306</v>
      </c>
      <c r="AM533" s="188" t="s">
        <v>306</v>
      </c>
      <c r="AN533" s="188" t="s">
        <v>306</v>
      </c>
      <c r="AO533" s="234" t="s">
        <v>306</v>
      </c>
      <c r="AP533" s="235" t="s">
        <v>306</v>
      </c>
      <c r="AQ533" s="188" t="s">
        <v>306</v>
      </c>
      <c r="AR533" s="188" t="s">
        <v>306</v>
      </c>
      <c r="AS533" s="234" t="s">
        <v>306</v>
      </c>
      <c r="AT533" s="188" t="s">
        <v>306</v>
      </c>
      <c r="AU533" s="188" t="s">
        <v>25</v>
      </c>
      <c r="AV533" s="234" t="s">
        <v>25</v>
      </c>
      <c r="AW533" s="188" t="s">
        <v>25</v>
      </c>
      <c r="AX533" s="188" t="s">
        <v>306</v>
      </c>
      <c r="AY533" s="234" t="s">
        <v>25</v>
      </c>
      <c r="AZ533" s="188" t="s">
        <v>306</v>
      </c>
      <c r="BA533" s="188" t="s">
        <v>306</v>
      </c>
      <c r="BB533" s="234" t="s">
        <v>306</v>
      </c>
      <c r="BC533" s="235" t="s">
        <v>25</v>
      </c>
      <c r="BD533" s="209"/>
    </row>
    <row r="534" spans="1:56" ht="12.75" customHeight="1" x14ac:dyDescent="0.25">
      <c r="A534" s="211">
        <v>40</v>
      </c>
      <c r="B534" s="137" t="s">
        <v>427</v>
      </c>
      <c r="C534" s="211" t="s">
        <v>595</v>
      </c>
      <c r="D534" s="211" t="s">
        <v>17</v>
      </c>
      <c r="E534" s="232" t="s">
        <v>605</v>
      </c>
      <c r="F534" s="188" t="s">
        <v>1115</v>
      </c>
      <c r="G534" s="211" t="s">
        <v>18</v>
      </c>
      <c r="H534" s="211">
        <v>16</v>
      </c>
      <c r="I534" s="188" t="s">
        <v>531</v>
      </c>
      <c r="J534" s="188" t="s">
        <v>532</v>
      </c>
      <c r="K534" s="209" t="s">
        <v>539</v>
      </c>
      <c r="L534" s="188" t="s">
        <v>518</v>
      </c>
      <c r="M534" s="188" t="s">
        <v>375</v>
      </c>
      <c r="N534" s="188"/>
      <c r="O534" s="211" t="s">
        <v>531</v>
      </c>
      <c r="P534" s="188" t="s">
        <v>640</v>
      </c>
      <c r="Q534" s="188" t="s">
        <v>19</v>
      </c>
      <c r="R534" s="188" t="s">
        <v>306</v>
      </c>
      <c r="S534" s="234" t="s">
        <v>306</v>
      </c>
      <c r="T534" s="188" t="s">
        <v>306</v>
      </c>
      <c r="U534" s="188" t="s">
        <v>306</v>
      </c>
      <c r="V534" s="234" t="s">
        <v>306</v>
      </c>
      <c r="W534" s="188" t="s">
        <v>306</v>
      </c>
      <c r="X534" s="188" t="s">
        <v>25</v>
      </c>
      <c r="Y534" s="234" t="s">
        <v>25</v>
      </c>
      <c r="Z534" s="188" t="s">
        <v>25</v>
      </c>
      <c r="AA534" s="188" t="s">
        <v>25</v>
      </c>
      <c r="AB534" s="234" t="s">
        <v>25</v>
      </c>
      <c r="AC534" s="235" t="s">
        <v>306</v>
      </c>
      <c r="AD534" s="188" t="s">
        <v>306</v>
      </c>
      <c r="AE534" s="188" t="s">
        <v>306</v>
      </c>
      <c r="AF534" s="234" t="s">
        <v>306</v>
      </c>
      <c r="AG534" s="188" t="s">
        <v>306</v>
      </c>
      <c r="AH534" s="188" t="s">
        <v>25</v>
      </c>
      <c r="AI534" s="234" t="s">
        <v>25</v>
      </c>
      <c r="AJ534" s="188" t="s">
        <v>25</v>
      </c>
      <c r="AK534" s="188" t="s">
        <v>306</v>
      </c>
      <c r="AL534" s="234" t="s">
        <v>25</v>
      </c>
      <c r="AM534" s="188" t="s">
        <v>306</v>
      </c>
      <c r="AN534" s="188" t="s">
        <v>306</v>
      </c>
      <c r="AO534" s="234" t="s">
        <v>306</v>
      </c>
      <c r="AP534" s="235" t="s">
        <v>306</v>
      </c>
      <c r="AQ534" s="188" t="s">
        <v>25</v>
      </c>
      <c r="AR534" s="188" t="s">
        <v>306</v>
      </c>
      <c r="AS534" s="234" t="s">
        <v>25</v>
      </c>
      <c r="AT534" s="188" t="s">
        <v>25</v>
      </c>
      <c r="AU534" s="188" t="s">
        <v>25</v>
      </c>
      <c r="AV534" s="234" t="s">
        <v>25</v>
      </c>
      <c r="AW534" s="188" t="s">
        <v>306</v>
      </c>
      <c r="AX534" s="188" t="s">
        <v>25</v>
      </c>
      <c r="AY534" s="234" t="s">
        <v>25</v>
      </c>
      <c r="AZ534" s="188" t="s">
        <v>25</v>
      </c>
      <c r="BA534" s="188" t="s">
        <v>306</v>
      </c>
      <c r="BB534" s="234" t="s">
        <v>25</v>
      </c>
      <c r="BC534" s="235" t="s">
        <v>306</v>
      </c>
      <c r="BD534" s="209"/>
    </row>
    <row r="535" spans="1:56" ht="12.75" customHeight="1" x14ac:dyDescent="0.25">
      <c r="A535" s="211">
        <v>41</v>
      </c>
      <c r="B535" s="137" t="s">
        <v>427</v>
      </c>
      <c r="C535" s="211" t="s">
        <v>595</v>
      </c>
      <c r="D535" s="211" t="s">
        <v>17</v>
      </c>
      <c r="E535" s="232" t="s">
        <v>605</v>
      </c>
      <c r="F535" s="188" t="s">
        <v>1116</v>
      </c>
      <c r="G535" s="211" t="s">
        <v>24</v>
      </c>
      <c r="H535" s="211">
        <v>15</v>
      </c>
      <c r="I535" s="188" t="s">
        <v>531</v>
      </c>
      <c r="J535" s="188" t="s">
        <v>532</v>
      </c>
      <c r="K535" s="209" t="s">
        <v>539</v>
      </c>
      <c r="L535" s="188" t="s">
        <v>518</v>
      </c>
      <c r="M535" s="188" t="s">
        <v>375</v>
      </c>
      <c r="N535" s="188"/>
      <c r="O535" s="211" t="s">
        <v>518</v>
      </c>
      <c r="P535" s="188" t="s">
        <v>608</v>
      </c>
      <c r="Q535" s="188" t="s">
        <v>306</v>
      </c>
      <c r="R535" s="188" t="s">
        <v>19</v>
      </c>
      <c r="S535" s="234" t="s">
        <v>306</v>
      </c>
      <c r="T535" s="188" t="s">
        <v>306</v>
      </c>
      <c r="U535" s="188" t="s">
        <v>306</v>
      </c>
      <c r="V535" s="234" t="s">
        <v>306</v>
      </c>
      <c r="W535" s="188" t="s">
        <v>19</v>
      </c>
      <c r="X535" s="188" t="s">
        <v>306</v>
      </c>
      <c r="Y535" s="234" t="s">
        <v>306</v>
      </c>
      <c r="Z535" s="188" t="s">
        <v>19</v>
      </c>
      <c r="AA535" s="188" t="s">
        <v>306</v>
      </c>
      <c r="AB535" s="234" t="s">
        <v>306</v>
      </c>
      <c r="AC535" s="235" t="s">
        <v>306</v>
      </c>
      <c r="AD535" s="188" t="s">
        <v>19</v>
      </c>
      <c r="AE535" s="188" t="s">
        <v>306</v>
      </c>
      <c r="AF535" s="234" t="s">
        <v>306</v>
      </c>
      <c r="AG535" s="188" t="s">
        <v>19</v>
      </c>
      <c r="AH535" s="188" t="s">
        <v>306</v>
      </c>
      <c r="AI535" s="234" t="s">
        <v>306</v>
      </c>
      <c r="AJ535" s="188" t="s">
        <v>306</v>
      </c>
      <c r="AK535" s="188" t="s">
        <v>306</v>
      </c>
      <c r="AL535" s="234" t="s">
        <v>306</v>
      </c>
      <c r="AM535" s="188" t="s">
        <v>19</v>
      </c>
      <c r="AN535" s="188" t="s">
        <v>19</v>
      </c>
      <c r="AO535" s="234" t="s">
        <v>19</v>
      </c>
      <c r="AP535" s="235" t="s">
        <v>306</v>
      </c>
      <c r="AQ535" s="188" t="s">
        <v>306</v>
      </c>
      <c r="AR535" s="188" t="s">
        <v>306</v>
      </c>
      <c r="AS535" s="234" t="s">
        <v>306</v>
      </c>
      <c r="AT535" s="188" t="s">
        <v>25</v>
      </c>
      <c r="AU535" s="188" t="s">
        <v>25</v>
      </c>
      <c r="AV535" s="234" t="s">
        <v>25</v>
      </c>
      <c r="AW535" s="188" t="s">
        <v>25</v>
      </c>
      <c r="AX535" s="188" t="s">
        <v>19</v>
      </c>
      <c r="AY535" s="234" t="s">
        <v>306</v>
      </c>
      <c r="AZ535" s="188" t="s">
        <v>306</v>
      </c>
      <c r="BA535" s="188" t="s">
        <v>25</v>
      </c>
      <c r="BB535" s="234" t="s">
        <v>306</v>
      </c>
      <c r="BC535" s="235" t="s">
        <v>306</v>
      </c>
      <c r="BD535" s="209"/>
    </row>
    <row r="536" spans="1:56" ht="12.75" customHeight="1" x14ac:dyDescent="0.25">
      <c r="A536" s="211">
        <v>42</v>
      </c>
      <c r="B536" s="137" t="s">
        <v>427</v>
      </c>
      <c r="C536" s="211" t="s">
        <v>595</v>
      </c>
      <c r="D536" s="211" t="s">
        <v>17</v>
      </c>
      <c r="E536" s="232" t="s">
        <v>605</v>
      </c>
      <c r="F536" s="188" t="s">
        <v>1117</v>
      </c>
      <c r="G536" s="211" t="s">
        <v>24</v>
      </c>
      <c r="H536" s="211">
        <v>16</v>
      </c>
      <c r="I536" s="188" t="s">
        <v>531</v>
      </c>
      <c r="J536" s="188" t="s">
        <v>532</v>
      </c>
      <c r="K536" s="209" t="s">
        <v>539</v>
      </c>
      <c r="L536" s="188" t="s">
        <v>518</v>
      </c>
      <c r="M536" s="188" t="s">
        <v>375</v>
      </c>
      <c r="N536" s="188"/>
      <c r="O536" s="211" t="s">
        <v>518</v>
      </c>
      <c r="P536" s="188" t="s">
        <v>608</v>
      </c>
      <c r="Q536" s="188" t="s">
        <v>306</v>
      </c>
      <c r="R536" s="188" t="s">
        <v>19</v>
      </c>
      <c r="S536" s="234" t="s">
        <v>306</v>
      </c>
      <c r="T536" s="188" t="s">
        <v>25</v>
      </c>
      <c r="U536" s="188" t="s">
        <v>306</v>
      </c>
      <c r="V536" s="234" t="s">
        <v>25</v>
      </c>
      <c r="W536" s="188" t="s">
        <v>306</v>
      </c>
      <c r="X536" s="188" t="s">
        <v>25</v>
      </c>
      <c r="Y536" s="234" t="s">
        <v>25</v>
      </c>
      <c r="Z536" s="188" t="s">
        <v>25</v>
      </c>
      <c r="AA536" s="188" t="s">
        <v>25</v>
      </c>
      <c r="AB536" s="234" t="s">
        <v>25</v>
      </c>
      <c r="AC536" s="235" t="s">
        <v>306</v>
      </c>
      <c r="AD536" s="188" t="s">
        <v>25</v>
      </c>
      <c r="AE536" s="188" t="s">
        <v>19</v>
      </c>
      <c r="AF536" s="234" t="s">
        <v>306</v>
      </c>
      <c r="AG536" s="188" t="s">
        <v>306</v>
      </c>
      <c r="AH536" s="188" t="s">
        <v>306</v>
      </c>
      <c r="AI536" s="234" t="s">
        <v>306</v>
      </c>
      <c r="AJ536" s="188" t="s">
        <v>19</v>
      </c>
      <c r="AK536" s="188" t="s">
        <v>19</v>
      </c>
      <c r="AL536" s="234" t="s">
        <v>19</v>
      </c>
      <c r="AM536" s="188" t="s">
        <v>19</v>
      </c>
      <c r="AN536" s="188" t="s">
        <v>19</v>
      </c>
      <c r="AO536" s="234" t="s">
        <v>19</v>
      </c>
      <c r="AP536" s="235" t="s">
        <v>306</v>
      </c>
      <c r="AQ536" s="188" t="s">
        <v>19</v>
      </c>
      <c r="AR536" s="188" t="s">
        <v>306</v>
      </c>
      <c r="AS536" s="234" t="s">
        <v>306</v>
      </c>
      <c r="AT536" s="188" t="s">
        <v>25</v>
      </c>
      <c r="AU536" s="188" t="s">
        <v>25</v>
      </c>
      <c r="AV536" s="234" t="s">
        <v>25</v>
      </c>
      <c r="AW536" s="188" t="s">
        <v>306</v>
      </c>
      <c r="AX536" s="188" t="s">
        <v>19</v>
      </c>
      <c r="AY536" s="234" t="s">
        <v>306</v>
      </c>
      <c r="AZ536" s="188" t="s">
        <v>19</v>
      </c>
      <c r="BA536" s="188" t="s">
        <v>19</v>
      </c>
      <c r="BB536" s="234" t="s">
        <v>25</v>
      </c>
      <c r="BC536" s="235" t="s">
        <v>306</v>
      </c>
      <c r="BD536" s="209"/>
    </row>
    <row r="537" spans="1:56" ht="12.75" customHeight="1" x14ac:dyDescent="0.25">
      <c r="A537" s="211">
        <v>44</v>
      </c>
      <c r="B537" s="137" t="s">
        <v>427</v>
      </c>
      <c r="C537" s="211" t="s">
        <v>595</v>
      </c>
      <c r="D537" s="211" t="s">
        <v>17</v>
      </c>
      <c r="E537" s="232" t="s">
        <v>605</v>
      </c>
      <c r="F537" s="188" t="s">
        <v>1118</v>
      </c>
      <c r="G537" s="211" t="s">
        <v>18</v>
      </c>
      <c r="H537" s="211">
        <v>15</v>
      </c>
      <c r="I537" s="188" t="s">
        <v>531</v>
      </c>
      <c r="J537" s="188" t="s">
        <v>532</v>
      </c>
      <c r="K537" s="209" t="s">
        <v>539</v>
      </c>
      <c r="L537" s="188" t="s">
        <v>518</v>
      </c>
      <c r="M537" s="188" t="s">
        <v>375</v>
      </c>
      <c r="N537" s="188"/>
      <c r="O537" s="211" t="s">
        <v>531</v>
      </c>
      <c r="P537" s="188" t="s">
        <v>640</v>
      </c>
      <c r="Q537" s="188" t="s">
        <v>306</v>
      </c>
      <c r="R537" s="188" t="s">
        <v>306</v>
      </c>
      <c r="S537" s="234" t="s">
        <v>306</v>
      </c>
      <c r="T537" s="188" t="s">
        <v>25</v>
      </c>
      <c r="U537" s="188" t="s">
        <v>25</v>
      </c>
      <c r="V537" s="234" t="s">
        <v>25</v>
      </c>
      <c r="W537" s="188" t="s">
        <v>306</v>
      </c>
      <c r="X537" s="188" t="s">
        <v>306</v>
      </c>
      <c r="Y537" s="234" t="s">
        <v>306</v>
      </c>
      <c r="Z537" s="188" t="s">
        <v>25</v>
      </c>
      <c r="AA537" s="188" t="s">
        <v>19</v>
      </c>
      <c r="AB537" s="234" t="s">
        <v>306</v>
      </c>
      <c r="AC537" s="235" t="s">
        <v>306</v>
      </c>
      <c r="AD537" s="188" t="s">
        <v>306</v>
      </c>
      <c r="AE537" s="188" t="s">
        <v>306</v>
      </c>
      <c r="AF537" s="234" t="s">
        <v>306</v>
      </c>
      <c r="AG537" s="188" t="s">
        <v>19</v>
      </c>
      <c r="AH537" s="188" t="s">
        <v>306</v>
      </c>
      <c r="AI537" s="234" t="s">
        <v>306</v>
      </c>
      <c r="AJ537" s="188" t="s">
        <v>306</v>
      </c>
      <c r="AK537" s="188" t="s">
        <v>19</v>
      </c>
      <c r="AL537" s="234" t="s">
        <v>306</v>
      </c>
      <c r="AM537" s="188" t="s">
        <v>306</v>
      </c>
      <c r="AN537" s="188" t="s">
        <v>19</v>
      </c>
      <c r="AO537" s="234" t="s">
        <v>306</v>
      </c>
      <c r="AP537" s="235" t="s">
        <v>306</v>
      </c>
      <c r="AQ537" s="188" t="s">
        <v>25</v>
      </c>
      <c r="AR537" s="188" t="s">
        <v>25</v>
      </c>
      <c r="AS537" s="234" t="s">
        <v>25</v>
      </c>
      <c r="AT537" s="188" t="s">
        <v>25</v>
      </c>
      <c r="AU537" s="188" t="s">
        <v>25</v>
      </c>
      <c r="AV537" s="234" t="s">
        <v>25</v>
      </c>
      <c r="AW537" s="188" t="s">
        <v>306</v>
      </c>
      <c r="AX537" s="188" t="s">
        <v>306</v>
      </c>
      <c r="AY537" s="234" t="s">
        <v>306</v>
      </c>
      <c r="AZ537" s="188" t="s">
        <v>25</v>
      </c>
      <c r="BA537" s="188" t="s">
        <v>25</v>
      </c>
      <c r="BB537" s="234" t="s">
        <v>25</v>
      </c>
      <c r="BC537" s="235" t="s">
        <v>306</v>
      </c>
      <c r="BD537" s="209"/>
    </row>
    <row r="538" spans="1:56" ht="12.75" customHeight="1" x14ac:dyDescent="0.25">
      <c r="A538" s="211">
        <v>45</v>
      </c>
      <c r="B538" s="137" t="s">
        <v>427</v>
      </c>
      <c r="C538" s="211" t="s">
        <v>595</v>
      </c>
      <c r="D538" s="211" t="s">
        <v>17</v>
      </c>
      <c r="E538" s="232" t="s">
        <v>605</v>
      </c>
      <c r="F538" s="188" t="s">
        <v>1119</v>
      </c>
      <c r="G538" s="211" t="s">
        <v>24</v>
      </c>
      <c r="H538" s="211">
        <v>16</v>
      </c>
      <c r="I538" s="188" t="s">
        <v>531</v>
      </c>
      <c r="J538" s="188" t="s">
        <v>532</v>
      </c>
      <c r="K538" s="209" t="s">
        <v>539</v>
      </c>
      <c r="L538" s="188" t="s">
        <v>518</v>
      </c>
      <c r="M538" s="188" t="s">
        <v>375</v>
      </c>
      <c r="N538" s="188"/>
      <c r="O538" s="211" t="s">
        <v>531</v>
      </c>
      <c r="P538" s="188" t="s">
        <v>640</v>
      </c>
      <c r="Q538" s="188" t="s">
        <v>25</v>
      </c>
      <c r="R538" s="188" t="s">
        <v>25</v>
      </c>
      <c r="S538" s="234" t="s">
        <v>25</v>
      </c>
      <c r="T538" s="188" t="s">
        <v>25</v>
      </c>
      <c r="U538" s="188" t="s">
        <v>25</v>
      </c>
      <c r="V538" s="234" t="s">
        <v>25</v>
      </c>
      <c r="W538" s="188" t="s">
        <v>306</v>
      </c>
      <c r="X538" s="188" t="s">
        <v>306</v>
      </c>
      <c r="Y538" s="234" t="s">
        <v>306</v>
      </c>
      <c r="Z538" s="188" t="s">
        <v>306</v>
      </c>
      <c r="AA538" s="188" t="s">
        <v>25</v>
      </c>
      <c r="AB538" s="234" t="s">
        <v>25</v>
      </c>
      <c r="AC538" s="235" t="s">
        <v>25</v>
      </c>
      <c r="AD538" s="188" t="s">
        <v>306</v>
      </c>
      <c r="AE538" s="188" t="s">
        <v>306</v>
      </c>
      <c r="AF538" s="234" t="s">
        <v>306</v>
      </c>
      <c r="AG538" s="188" t="s">
        <v>19</v>
      </c>
      <c r="AH538" s="188" t="s">
        <v>306</v>
      </c>
      <c r="AI538" s="234" t="s">
        <v>306</v>
      </c>
      <c r="AJ538" s="188" t="s">
        <v>25</v>
      </c>
      <c r="AK538" s="188" t="s">
        <v>306</v>
      </c>
      <c r="AL538" s="234" t="s">
        <v>25</v>
      </c>
      <c r="AM538" s="188" t="s">
        <v>306</v>
      </c>
      <c r="AN538" s="188" t="s">
        <v>25</v>
      </c>
      <c r="AO538" s="234" t="s">
        <v>25</v>
      </c>
      <c r="AP538" s="235" t="s">
        <v>306</v>
      </c>
      <c r="AQ538" s="188" t="s">
        <v>25</v>
      </c>
      <c r="AR538" s="188" t="s">
        <v>25</v>
      </c>
      <c r="AS538" s="234" t="s">
        <v>25</v>
      </c>
      <c r="AT538" s="188" t="s">
        <v>25</v>
      </c>
      <c r="AU538" s="188" t="s">
        <v>306</v>
      </c>
      <c r="AV538" s="234" t="s">
        <v>25</v>
      </c>
      <c r="AW538" s="188" t="s">
        <v>25</v>
      </c>
      <c r="AX538" s="188" t="s">
        <v>306</v>
      </c>
      <c r="AY538" s="234" t="s">
        <v>25</v>
      </c>
      <c r="AZ538" s="188" t="s">
        <v>25</v>
      </c>
      <c r="BA538" s="188" t="s">
        <v>25</v>
      </c>
      <c r="BB538" s="234" t="s">
        <v>306</v>
      </c>
      <c r="BC538" s="235" t="s">
        <v>306</v>
      </c>
      <c r="BD538" s="209"/>
    </row>
    <row r="539" spans="1:56" ht="12.75" customHeight="1" x14ac:dyDescent="0.25">
      <c r="A539" s="211">
        <v>46</v>
      </c>
      <c r="B539" s="137" t="s">
        <v>427</v>
      </c>
      <c r="C539" s="211" t="s">
        <v>595</v>
      </c>
      <c r="D539" s="211" t="s">
        <v>17</v>
      </c>
      <c r="E539" s="232" t="s">
        <v>605</v>
      </c>
      <c r="F539" s="188" t="s">
        <v>1120</v>
      </c>
      <c r="G539" s="211" t="s">
        <v>24</v>
      </c>
      <c r="H539" s="211">
        <v>16</v>
      </c>
      <c r="I539" s="188" t="s">
        <v>531</v>
      </c>
      <c r="J539" s="188" t="s">
        <v>532</v>
      </c>
      <c r="K539" s="209" t="s">
        <v>539</v>
      </c>
      <c r="L539" s="188" t="s">
        <v>518</v>
      </c>
      <c r="M539" s="188" t="s">
        <v>375</v>
      </c>
      <c r="N539" s="188"/>
      <c r="O539" s="211" t="s">
        <v>531</v>
      </c>
      <c r="P539" s="188" t="s">
        <v>640</v>
      </c>
      <c r="Q539" s="188" t="s">
        <v>25</v>
      </c>
      <c r="R539" s="188" t="s">
        <v>19</v>
      </c>
      <c r="S539" s="234" t="s">
        <v>306</v>
      </c>
      <c r="T539" s="188" t="s">
        <v>19</v>
      </c>
      <c r="U539" s="188" t="s">
        <v>25</v>
      </c>
      <c r="V539" s="234" t="s">
        <v>306</v>
      </c>
      <c r="W539" s="188" t="s">
        <v>19</v>
      </c>
      <c r="X539" s="188" t="s">
        <v>25</v>
      </c>
      <c r="Y539" s="234" t="s">
        <v>306</v>
      </c>
      <c r="Z539" s="188" t="s">
        <v>25</v>
      </c>
      <c r="AA539" s="188" t="s">
        <v>19</v>
      </c>
      <c r="AB539" s="234" t="s">
        <v>306</v>
      </c>
      <c r="AC539" s="235" t="s">
        <v>306</v>
      </c>
      <c r="AD539" s="188" t="s">
        <v>25</v>
      </c>
      <c r="AE539" s="188" t="s">
        <v>25</v>
      </c>
      <c r="AF539" s="234" t="s">
        <v>25</v>
      </c>
      <c r="AG539" s="188" t="s">
        <v>19</v>
      </c>
      <c r="AH539" s="188" t="s">
        <v>25</v>
      </c>
      <c r="AI539" s="234" t="s">
        <v>306</v>
      </c>
      <c r="AJ539" s="188" t="s">
        <v>25</v>
      </c>
      <c r="AK539" s="188" t="s">
        <v>19</v>
      </c>
      <c r="AL539" s="234" t="s">
        <v>306</v>
      </c>
      <c r="AM539" s="188" t="s">
        <v>306</v>
      </c>
      <c r="AN539" s="188" t="s">
        <v>19</v>
      </c>
      <c r="AO539" s="234" t="s">
        <v>306</v>
      </c>
      <c r="AP539" s="235" t="s">
        <v>306</v>
      </c>
      <c r="AQ539" s="188" t="s">
        <v>19</v>
      </c>
      <c r="AR539" s="188" t="s">
        <v>306</v>
      </c>
      <c r="AS539" s="234" t="s">
        <v>306</v>
      </c>
      <c r="AT539" s="188" t="s">
        <v>25</v>
      </c>
      <c r="AU539" s="188" t="s">
        <v>25</v>
      </c>
      <c r="AV539" s="234" t="s">
        <v>25</v>
      </c>
      <c r="AW539" s="188" t="s">
        <v>19</v>
      </c>
      <c r="AX539" s="188" t="s">
        <v>19</v>
      </c>
      <c r="AY539" s="234" t="s">
        <v>19</v>
      </c>
      <c r="AZ539" s="188" t="s">
        <v>25</v>
      </c>
      <c r="BA539" s="188" t="s">
        <v>25</v>
      </c>
      <c r="BB539" s="234" t="s">
        <v>25</v>
      </c>
      <c r="BC539" s="235" t="s">
        <v>25</v>
      </c>
      <c r="BD539" s="209"/>
    </row>
    <row r="540" spans="1:56" ht="12.75" customHeight="1" x14ac:dyDescent="0.25">
      <c r="A540" s="238">
        <v>45257.358441319448</v>
      </c>
      <c r="B540" s="233" t="s">
        <v>304</v>
      </c>
      <c r="C540" s="209" t="s">
        <v>587</v>
      </c>
      <c r="D540" s="232" t="s">
        <v>17</v>
      </c>
      <c r="E540" s="232" t="s">
        <v>515</v>
      </c>
      <c r="F540" s="209" t="s">
        <v>1121</v>
      </c>
      <c r="G540" s="232" t="s">
        <v>18</v>
      </c>
      <c r="H540" s="232">
        <v>12</v>
      </c>
      <c r="I540" s="209" t="s">
        <v>531</v>
      </c>
      <c r="J540" s="188"/>
      <c r="K540" s="209" t="s">
        <v>539</v>
      </c>
      <c r="L540" s="209" t="s">
        <v>518</v>
      </c>
      <c r="M540" s="209" t="s">
        <v>389</v>
      </c>
      <c r="N540" s="209" t="s">
        <v>389</v>
      </c>
      <c r="O540" s="209"/>
      <c r="P540" s="209"/>
      <c r="Q540" s="209" t="s">
        <v>25</v>
      </c>
      <c r="R540" s="209" t="s">
        <v>25</v>
      </c>
      <c r="S540" s="234" t="s">
        <v>25</v>
      </c>
      <c r="T540" s="209" t="s">
        <v>306</v>
      </c>
      <c r="U540" s="209" t="s">
        <v>25</v>
      </c>
      <c r="V540" s="234" t="s">
        <v>25</v>
      </c>
      <c r="W540" s="209" t="s">
        <v>306</v>
      </c>
      <c r="X540" s="209" t="s">
        <v>19</v>
      </c>
      <c r="Y540" s="234" t="s">
        <v>306</v>
      </c>
      <c r="Z540" s="209" t="s">
        <v>306</v>
      </c>
      <c r="AA540" s="209" t="s">
        <v>25</v>
      </c>
      <c r="AB540" s="234" t="s">
        <v>25</v>
      </c>
      <c r="AC540" s="235" t="s">
        <v>306</v>
      </c>
      <c r="AD540" s="209" t="s">
        <v>306</v>
      </c>
      <c r="AE540" s="209" t="s">
        <v>25</v>
      </c>
      <c r="AF540" s="234" t="s">
        <v>25</v>
      </c>
      <c r="AG540" s="209" t="s">
        <v>25</v>
      </c>
      <c r="AH540" s="209" t="s">
        <v>306</v>
      </c>
      <c r="AI540" s="234" t="s">
        <v>25</v>
      </c>
      <c r="AJ540" s="209" t="s">
        <v>19</v>
      </c>
      <c r="AK540" s="209" t="s">
        <v>25</v>
      </c>
      <c r="AL540" s="234" t="s">
        <v>306</v>
      </c>
      <c r="AM540" s="209" t="s">
        <v>25</v>
      </c>
      <c r="AN540" s="209" t="s">
        <v>19</v>
      </c>
      <c r="AO540" s="234" t="s">
        <v>306</v>
      </c>
      <c r="AP540" s="235" t="s">
        <v>306</v>
      </c>
      <c r="AQ540" s="209" t="s">
        <v>25</v>
      </c>
      <c r="AR540" s="209" t="s">
        <v>306</v>
      </c>
      <c r="AS540" s="234" t="s">
        <v>25</v>
      </c>
      <c r="AT540" s="209" t="s">
        <v>25</v>
      </c>
      <c r="AU540" s="209" t="s">
        <v>25</v>
      </c>
      <c r="AV540" s="234" t="s">
        <v>25</v>
      </c>
      <c r="AW540" s="209" t="s">
        <v>19</v>
      </c>
      <c r="AX540" s="209" t="s">
        <v>306</v>
      </c>
      <c r="AY540" s="234" t="s">
        <v>306</v>
      </c>
      <c r="AZ540" s="209" t="s">
        <v>25</v>
      </c>
      <c r="BA540" s="209" t="s">
        <v>19</v>
      </c>
      <c r="BB540" s="234" t="s">
        <v>25</v>
      </c>
      <c r="BC540" s="235" t="s">
        <v>25</v>
      </c>
      <c r="BD540" s="209"/>
    </row>
    <row r="541" spans="1:56" ht="12.75" customHeight="1" x14ac:dyDescent="0.25">
      <c r="A541" s="239">
        <v>44796.950907974533</v>
      </c>
      <c r="B541" s="137" t="s">
        <v>406</v>
      </c>
      <c r="C541" s="211" t="s">
        <v>595</v>
      </c>
      <c r="D541" s="211" t="s">
        <v>17</v>
      </c>
      <c r="E541" s="232" t="s">
        <v>515</v>
      </c>
      <c r="F541" s="188" t="s">
        <v>1122</v>
      </c>
      <c r="G541" s="211" t="s">
        <v>24</v>
      </c>
      <c r="H541" s="211">
        <v>12</v>
      </c>
      <c r="I541" s="188" t="s">
        <v>518</v>
      </c>
      <c r="J541" s="188" t="s">
        <v>539</v>
      </c>
      <c r="K541" s="209" t="s">
        <v>539</v>
      </c>
      <c r="L541" s="188" t="s">
        <v>531</v>
      </c>
      <c r="M541" s="188" t="s">
        <v>614</v>
      </c>
      <c r="N541" s="188"/>
      <c r="O541" s="188"/>
      <c r="P541" s="188"/>
      <c r="Q541" s="188" t="s">
        <v>306</v>
      </c>
      <c r="R541" s="188" t="s">
        <v>25</v>
      </c>
      <c r="S541" s="234" t="s">
        <v>25</v>
      </c>
      <c r="T541" s="188" t="s">
        <v>19</v>
      </c>
      <c r="U541" s="188" t="s">
        <v>19</v>
      </c>
      <c r="V541" s="234" t="s">
        <v>19</v>
      </c>
      <c r="W541" s="188" t="s">
        <v>19</v>
      </c>
      <c r="X541" s="188" t="s">
        <v>19</v>
      </c>
      <c r="Y541" s="234" t="s">
        <v>19</v>
      </c>
      <c r="Z541" s="188" t="s">
        <v>306</v>
      </c>
      <c r="AA541" s="188" t="s">
        <v>306</v>
      </c>
      <c r="AB541" s="234" t="s">
        <v>306</v>
      </c>
      <c r="AC541" s="235" t="s">
        <v>306</v>
      </c>
      <c r="AD541" s="188" t="s">
        <v>19</v>
      </c>
      <c r="AE541" s="188" t="s">
        <v>306</v>
      </c>
      <c r="AF541" s="234" t="s">
        <v>306</v>
      </c>
      <c r="AG541" s="188" t="s">
        <v>306</v>
      </c>
      <c r="AH541" s="188" t="s">
        <v>19</v>
      </c>
      <c r="AI541" s="234" t="s">
        <v>306</v>
      </c>
      <c r="AJ541" s="188" t="s">
        <v>19</v>
      </c>
      <c r="AK541" s="188" t="s">
        <v>19</v>
      </c>
      <c r="AL541" s="234" t="s">
        <v>19</v>
      </c>
      <c r="AM541" s="188" t="s">
        <v>19</v>
      </c>
      <c r="AN541" s="188" t="s">
        <v>19</v>
      </c>
      <c r="AO541" s="234" t="s">
        <v>19</v>
      </c>
      <c r="AP541" s="235" t="s">
        <v>19</v>
      </c>
      <c r="AQ541" s="188" t="s">
        <v>19</v>
      </c>
      <c r="AR541" s="188" t="s">
        <v>306</v>
      </c>
      <c r="AS541" s="234" t="s">
        <v>306</v>
      </c>
      <c r="AT541" s="188" t="s">
        <v>306</v>
      </c>
      <c r="AU541" s="188" t="s">
        <v>19</v>
      </c>
      <c r="AV541" s="234" t="s">
        <v>306</v>
      </c>
      <c r="AW541" s="188" t="s">
        <v>19</v>
      </c>
      <c r="AX541" s="188" t="s">
        <v>306</v>
      </c>
      <c r="AY541" s="234" t="s">
        <v>306</v>
      </c>
      <c r="AZ541" s="188" t="s">
        <v>19</v>
      </c>
      <c r="BA541" s="188" t="s">
        <v>19</v>
      </c>
      <c r="BB541" s="234" t="s">
        <v>306</v>
      </c>
      <c r="BC541" s="235" t="s">
        <v>306</v>
      </c>
      <c r="BD541" s="209"/>
    </row>
    <row r="542" spans="1:56" ht="12.75" customHeight="1" x14ac:dyDescent="0.25">
      <c r="A542" s="239">
        <v>44796.953110104165</v>
      </c>
      <c r="B542" s="137" t="s">
        <v>406</v>
      </c>
      <c r="C542" s="211" t="s">
        <v>595</v>
      </c>
      <c r="D542" s="211" t="s">
        <v>17</v>
      </c>
      <c r="E542" s="232" t="s">
        <v>515</v>
      </c>
      <c r="F542" s="188" t="s">
        <v>1123</v>
      </c>
      <c r="G542" s="211" t="s">
        <v>18</v>
      </c>
      <c r="H542" s="211">
        <v>12</v>
      </c>
      <c r="I542" s="188" t="s">
        <v>518</v>
      </c>
      <c r="J542" s="188" t="s">
        <v>539</v>
      </c>
      <c r="K542" s="209" t="s">
        <v>539</v>
      </c>
      <c r="L542" s="188" t="s">
        <v>531</v>
      </c>
      <c r="M542" s="188" t="s">
        <v>614</v>
      </c>
      <c r="N542" s="188"/>
      <c r="O542" s="188"/>
      <c r="P542" s="188"/>
      <c r="Q542" s="188" t="s">
        <v>25</v>
      </c>
      <c r="R542" s="188" t="s">
        <v>306</v>
      </c>
      <c r="S542" s="234" t="s">
        <v>25</v>
      </c>
      <c r="T542" s="188" t="s">
        <v>306</v>
      </c>
      <c r="U542" s="188" t="s">
        <v>25</v>
      </c>
      <c r="V542" s="234" t="s">
        <v>25</v>
      </c>
      <c r="W542" s="188" t="s">
        <v>306</v>
      </c>
      <c r="X542" s="188" t="s">
        <v>306</v>
      </c>
      <c r="Y542" s="234" t="s">
        <v>306</v>
      </c>
      <c r="Z542" s="188" t="s">
        <v>306</v>
      </c>
      <c r="AA542" s="188" t="s">
        <v>306</v>
      </c>
      <c r="AB542" s="234" t="s">
        <v>306</v>
      </c>
      <c r="AC542" s="235" t="s">
        <v>306</v>
      </c>
      <c r="AD542" s="188" t="s">
        <v>306</v>
      </c>
      <c r="AE542" s="188" t="s">
        <v>25</v>
      </c>
      <c r="AF542" s="234" t="s">
        <v>25</v>
      </c>
      <c r="AG542" s="188" t="s">
        <v>306</v>
      </c>
      <c r="AH542" s="188" t="s">
        <v>306</v>
      </c>
      <c r="AI542" s="234" t="s">
        <v>306</v>
      </c>
      <c r="AJ542" s="188" t="s">
        <v>306</v>
      </c>
      <c r="AK542" s="188" t="s">
        <v>306</v>
      </c>
      <c r="AL542" s="234" t="s">
        <v>306</v>
      </c>
      <c r="AM542" s="188" t="s">
        <v>306</v>
      </c>
      <c r="AN542" s="188" t="s">
        <v>306</v>
      </c>
      <c r="AO542" s="234" t="s">
        <v>306</v>
      </c>
      <c r="AP542" s="235" t="s">
        <v>306</v>
      </c>
      <c r="AQ542" s="188" t="s">
        <v>306</v>
      </c>
      <c r="AR542" s="188" t="s">
        <v>306</v>
      </c>
      <c r="AS542" s="234" t="s">
        <v>306</v>
      </c>
      <c r="AT542" s="188" t="s">
        <v>306</v>
      </c>
      <c r="AU542" s="188" t="s">
        <v>306</v>
      </c>
      <c r="AV542" s="234" t="s">
        <v>306</v>
      </c>
      <c r="AW542" s="188" t="s">
        <v>19</v>
      </c>
      <c r="AX542" s="188" t="s">
        <v>306</v>
      </c>
      <c r="AY542" s="234" t="s">
        <v>306</v>
      </c>
      <c r="AZ542" s="188" t="s">
        <v>306</v>
      </c>
      <c r="BA542" s="188" t="s">
        <v>306</v>
      </c>
      <c r="BB542" s="234" t="s">
        <v>25</v>
      </c>
      <c r="BC542" s="235" t="s">
        <v>25</v>
      </c>
      <c r="BD542" s="209"/>
    </row>
    <row r="543" spans="1:56" ht="12.75" customHeight="1" x14ac:dyDescent="0.25">
      <c r="A543" s="239">
        <v>44796.955309988422</v>
      </c>
      <c r="B543" s="137" t="s">
        <v>406</v>
      </c>
      <c r="C543" s="211" t="s">
        <v>595</v>
      </c>
      <c r="D543" s="211" t="s">
        <v>17</v>
      </c>
      <c r="E543" s="232" t="s">
        <v>515</v>
      </c>
      <c r="F543" s="188" t="s">
        <v>555</v>
      </c>
      <c r="G543" s="211" t="s">
        <v>24</v>
      </c>
      <c r="H543" s="211">
        <v>11</v>
      </c>
      <c r="I543" s="188" t="s">
        <v>518</v>
      </c>
      <c r="J543" s="188" t="s">
        <v>539</v>
      </c>
      <c r="K543" s="209" t="s">
        <v>539</v>
      </c>
      <c r="L543" s="188" t="s">
        <v>531</v>
      </c>
      <c r="M543" s="188" t="s">
        <v>614</v>
      </c>
      <c r="N543" s="188"/>
      <c r="O543" s="188"/>
      <c r="P543" s="188"/>
      <c r="Q543" s="188" t="s">
        <v>306</v>
      </c>
      <c r="R543" s="188" t="s">
        <v>306</v>
      </c>
      <c r="S543" s="234" t="s">
        <v>306</v>
      </c>
      <c r="T543" s="188" t="s">
        <v>19</v>
      </c>
      <c r="U543" s="188" t="s">
        <v>306</v>
      </c>
      <c r="V543" s="234" t="s">
        <v>306</v>
      </c>
      <c r="W543" s="188" t="s">
        <v>306</v>
      </c>
      <c r="X543" s="188" t="s">
        <v>19</v>
      </c>
      <c r="Y543" s="234" t="s">
        <v>306</v>
      </c>
      <c r="Z543" s="188" t="s">
        <v>306</v>
      </c>
      <c r="AA543" s="188" t="s">
        <v>25</v>
      </c>
      <c r="AB543" s="234" t="s">
        <v>25</v>
      </c>
      <c r="AC543" s="235" t="s">
        <v>306</v>
      </c>
      <c r="AD543" s="188" t="s">
        <v>19</v>
      </c>
      <c r="AE543" s="188" t="s">
        <v>306</v>
      </c>
      <c r="AF543" s="234" t="s">
        <v>306</v>
      </c>
      <c r="AG543" s="188" t="s">
        <v>306</v>
      </c>
      <c r="AH543" s="188" t="s">
        <v>19</v>
      </c>
      <c r="AI543" s="234" t="s">
        <v>306</v>
      </c>
      <c r="AJ543" s="188" t="s">
        <v>306</v>
      </c>
      <c r="AK543" s="188" t="s">
        <v>19</v>
      </c>
      <c r="AL543" s="234" t="s">
        <v>306</v>
      </c>
      <c r="AM543" s="188" t="s">
        <v>19</v>
      </c>
      <c r="AN543" s="188" t="s">
        <v>19</v>
      </c>
      <c r="AO543" s="234" t="s">
        <v>19</v>
      </c>
      <c r="AP543" s="235" t="s">
        <v>19</v>
      </c>
      <c r="AQ543" s="188" t="s">
        <v>19</v>
      </c>
      <c r="AR543" s="188" t="s">
        <v>19</v>
      </c>
      <c r="AS543" s="234" t="s">
        <v>19</v>
      </c>
      <c r="AT543" s="188" t="s">
        <v>306</v>
      </c>
      <c r="AU543" s="188" t="s">
        <v>306</v>
      </c>
      <c r="AV543" s="234" t="s">
        <v>306</v>
      </c>
      <c r="AW543" s="188" t="s">
        <v>19</v>
      </c>
      <c r="AX543" s="188" t="s">
        <v>306</v>
      </c>
      <c r="AY543" s="234" t="s">
        <v>306</v>
      </c>
      <c r="AZ543" s="188" t="s">
        <v>19</v>
      </c>
      <c r="BA543" s="188" t="s">
        <v>306</v>
      </c>
      <c r="BB543" s="234" t="s">
        <v>25</v>
      </c>
      <c r="BC543" s="235" t="s">
        <v>25</v>
      </c>
      <c r="BD543" s="188"/>
    </row>
    <row r="544" spans="1:56" ht="12.75" customHeight="1" x14ac:dyDescent="0.25">
      <c r="A544" s="239">
        <v>44796.957742500002</v>
      </c>
      <c r="B544" s="137" t="s">
        <v>406</v>
      </c>
      <c r="C544" s="211" t="s">
        <v>595</v>
      </c>
      <c r="D544" s="211" t="s">
        <v>17</v>
      </c>
      <c r="E544" s="232" t="s">
        <v>515</v>
      </c>
      <c r="F544" s="188" t="s">
        <v>556</v>
      </c>
      <c r="G544" s="211" t="s">
        <v>18</v>
      </c>
      <c r="H544" s="211">
        <v>12</v>
      </c>
      <c r="I544" s="188" t="s">
        <v>518</v>
      </c>
      <c r="J544" s="188" t="s">
        <v>539</v>
      </c>
      <c r="K544" s="209" t="s">
        <v>539</v>
      </c>
      <c r="L544" s="188" t="s">
        <v>531</v>
      </c>
      <c r="M544" s="188" t="s">
        <v>614</v>
      </c>
      <c r="N544" s="188"/>
      <c r="O544" s="188"/>
      <c r="P544" s="188"/>
      <c r="Q544" s="188" t="s">
        <v>306</v>
      </c>
      <c r="R544" s="188" t="s">
        <v>19</v>
      </c>
      <c r="S544" s="234" t="s">
        <v>306</v>
      </c>
      <c r="T544" s="188" t="s">
        <v>19</v>
      </c>
      <c r="U544" s="188" t="s">
        <v>306</v>
      </c>
      <c r="V544" s="234" t="s">
        <v>306</v>
      </c>
      <c r="W544" s="188" t="s">
        <v>19</v>
      </c>
      <c r="X544" s="188" t="s">
        <v>19</v>
      </c>
      <c r="Y544" s="234" t="s">
        <v>19</v>
      </c>
      <c r="Z544" s="188" t="s">
        <v>19</v>
      </c>
      <c r="AA544" s="188" t="s">
        <v>19</v>
      </c>
      <c r="AB544" s="234" t="s">
        <v>19</v>
      </c>
      <c r="AC544" s="235" t="s">
        <v>19</v>
      </c>
      <c r="AD544" s="188" t="s">
        <v>306</v>
      </c>
      <c r="AE544" s="188" t="s">
        <v>19</v>
      </c>
      <c r="AF544" s="234" t="s">
        <v>306</v>
      </c>
      <c r="AG544" s="188" t="s">
        <v>19</v>
      </c>
      <c r="AH544" s="188" t="s">
        <v>19</v>
      </c>
      <c r="AI544" s="234" t="s">
        <v>19</v>
      </c>
      <c r="AJ544" s="188" t="s">
        <v>19</v>
      </c>
      <c r="AK544" s="188" t="s">
        <v>19</v>
      </c>
      <c r="AL544" s="234" t="s">
        <v>19</v>
      </c>
      <c r="AM544" s="188" t="s">
        <v>19</v>
      </c>
      <c r="AN544" s="188" t="s">
        <v>19</v>
      </c>
      <c r="AO544" s="234" t="s">
        <v>19</v>
      </c>
      <c r="AP544" s="235" t="s">
        <v>19</v>
      </c>
      <c r="AQ544" s="188" t="s">
        <v>19</v>
      </c>
      <c r="AR544" s="188" t="s">
        <v>19</v>
      </c>
      <c r="AS544" s="234" t="s">
        <v>19</v>
      </c>
      <c r="AT544" s="188" t="s">
        <v>19</v>
      </c>
      <c r="AU544" s="188" t="s">
        <v>306</v>
      </c>
      <c r="AV544" s="234" t="s">
        <v>306</v>
      </c>
      <c r="AW544" s="188" t="s">
        <v>19</v>
      </c>
      <c r="AX544" s="188" t="s">
        <v>19</v>
      </c>
      <c r="AY544" s="234" t="s">
        <v>19</v>
      </c>
      <c r="AZ544" s="188" t="s">
        <v>306</v>
      </c>
      <c r="BA544" s="188" t="s">
        <v>19</v>
      </c>
      <c r="BB544" s="234" t="s">
        <v>25</v>
      </c>
      <c r="BC544" s="235" t="s">
        <v>306</v>
      </c>
      <c r="BD544" s="188"/>
    </row>
    <row r="545" spans="1:56" ht="12.75" customHeight="1" x14ac:dyDescent="0.25">
      <c r="A545" s="239">
        <v>44796.963998425927</v>
      </c>
      <c r="B545" s="137" t="s">
        <v>406</v>
      </c>
      <c r="C545" s="211" t="s">
        <v>595</v>
      </c>
      <c r="D545" s="211" t="s">
        <v>17</v>
      </c>
      <c r="E545" s="232" t="s">
        <v>515</v>
      </c>
      <c r="F545" s="188" t="s">
        <v>557</v>
      </c>
      <c r="G545" s="211" t="s">
        <v>18</v>
      </c>
      <c r="H545" s="211">
        <v>13</v>
      </c>
      <c r="I545" s="188" t="s">
        <v>518</v>
      </c>
      <c r="J545" s="188" t="s">
        <v>539</v>
      </c>
      <c r="K545" s="209" t="s">
        <v>539</v>
      </c>
      <c r="L545" s="188" t="s">
        <v>531</v>
      </c>
      <c r="M545" s="188" t="s">
        <v>614</v>
      </c>
      <c r="N545" s="188"/>
      <c r="O545" s="188"/>
      <c r="P545" s="188"/>
      <c r="Q545" s="188" t="s">
        <v>306</v>
      </c>
      <c r="R545" s="188" t="s">
        <v>19</v>
      </c>
      <c r="S545" s="234" t="s">
        <v>306</v>
      </c>
      <c r="T545" s="188" t="s">
        <v>19</v>
      </c>
      <c r="U545" s="188" t="s">
        <v>306</v>
      </c>
      <c r="V545" s="234" t="s">
        <v>306</v>
      </c>
      <c r="W545" s="188" t="s">
        <v>19</v>
      </c>
      <c r="X545" s="188" t="s">
        <v>19</v>
      </c>
      <c r="Y545" s="234" t="s">
        <v>19</v>
      </c>
      <c r="Z545" s="188" t="s">
        <v>19</v>
      </c>
      <c r="AA545" s="188" t="s">
        <v>19</v>
      </c>
      <c r="AB545" s="234" t="s">
        <v>19</v>
      </c>
      <c r="AC545" s="235" t="s">
        <v>19</v>
      </c>
      <c r="AD545" s="188" t="s">
        <v>19</v>
      </c>
      <c r="AE545" s="188" t="s">
        <v>306</v>
      </c>
      <c r="AF545" s="234" t="s">
        <v>306</v>
      </c>
      <c r="AG545" s="188" t="s">
        <v>306</v>
      </c>
      <c r="AH545" s="188" t="s">
        <v>19</v>
      </c>
      <c r="AI545" s="234" t="s">
        <v>306</v>
      </c>
      <c r="AJ545" s="188" t="s">
        <v>306</v>
      </c>
      <c r="AK545" s="188" t="s">
        <v>306</v>
      </c>
      <c r="AL545" s="234" t="s">
        <v>306</v>
      </c>
      <c r="AM545" s="188" t="s">
        <v>19</v>
      </c>
      <c r="AN545" s="188" t="s">
        <v>19</v>
      </c>
      <c r="AO545" s="234" t="s">
        <v>19</v>
      </c>
      <c r="AP545" s="235" t="s">
        <v>306</v>
      </c>
      <c r="AQ545" s="188" t="s">
        <v>306</v>
      </c>
      <c r="AR545" s="188" t="s">
        <v>19</v>
      </c>
      <c r="AS545" s="234" t="s">
        <v>306</v>
      </c>
      <c r="AT545" s="188" t="s">
        <v>19</v>
      </c>
      <c r="AU545" s="188" t="s">
        <v>19</v>
      </c>
      <c r="AV545" s="234" t="s">
        <v>19</v>
      </c>
      <c r="AW545" s="188" t="s">
        <v>19</v>
      </c>
      <c r="AX545" s="188" t="s">
        <v>19</v>
      </c>
      <c r="AY545" s="234" t="s">
        <v>19</v>
      </c>
      <c r="AZ545" s="188" t="s">
        <v>306</v>
      </c>
      <c r="BA545" s="188" t="s">
        <v>19</v>
      </c>
      <c r="BB545" s="234" t="s">
        <v>25</v>
      </c>
      <c r="BC545" s="235" t="s">
        <v>306</v>
      </c>
      <c r="BD545" s="188"/>
    </row>
    <row r="546" spans="1:56" ht="12.75" customHeight="1" x14ac:dyDescent="0.25">
      <c r="A546" s="239">
        <v>44796.967968912038</v>
      </c>
      <c r="B546" s="137" t="s">
        <v>406</v>
      </c>
      <c r="C546" s="211" t="s">
        <v>595</v>
      </c>
      <c r="D546" s="211" t="s">
        <v>17</v>
      </c>
      <c r="E546" s="232" t="s">
        <v>515</v>
      </c>
      <c r="F546" s="188" t="s">
        <v>558</v>
      </c>
      <c r="G546" s="211" t="s">
        <v>24</v>
      </c>
      <c r="H546" s="211">
        <v>12</v>
      </c>
      <c r="I546" s="188" t="s">
        <v>518</v>
      </c>
      <c r="J546" s="188" t="s">
        <v>539</v>
      </c>
      <c r="K546" s="209" t="s">
        <v>539</v>
      </c>
      <c r="L546" s="188" t="s">
        <v>531</v>
      </c>
      <c r="M546" s="188" t="s">
        <v>614</v>
      </c>
      <c r="N546" s="188"/>
      <c r="O546" s="188"/>
      <c r="P546" s="188"/>
      <c r="Q546" s="188" t="s">
        <v>306</v>
      </c>
      <c r="R546" s="188" t="s">
        <v>19</v>
      </c>
      <c r="S546" s="234" t="s">
        <v>306</v>
      </c>
      <c r="T546" s="188" t="s">
        <v>19</v>
      </c>
      <c r="U546" s="188" t="s">
        <v>19</v>
      </c>
      <c r="V546" s="234" t="s">
        <v>19</v>
      </c>
      <c r="W546" s="188" t="s">
        <v>306</v>
      </c>
      <c r="X546" s="188" t="s">
        <v>19</v>
      </c>
      <c r="Y546" s="234" t="s">
        <v>306</v>
      </c>
      <c r="Z546" s="188" t="s">
        <v>306</v>
      </c>
      <c r="AA546" s="188" t="s">
        <v>306</v>
      </c>
      <c r="AB546" s="234" t="s">
        <v>306</v>
      </c>
      <c r="AC546" s="235" t="s">
        <v>306</v>
      </c>
      <c r="AD546" s="188" t="s">
        <v>306</v>
      </c>
      <c r="AE546" s="188" t="s">
        <v>306</v>
      </c>
      <c r="AF546" s="234" t="s">
        <v>306</v>
      </c>
      <c r="AG546" s="188" t="s">
        <v>19</v>
      </c>
      <c r="AH546" s="188" t="s">
        <v>306</v>
      </c>
      <c r="AI546" s="234" t="s">
        <v>306</v>
      </c>
      <c r="AJ546" s="188" t="s">
        <v>19</v>
      </c>
      <c r="AK546" s="188" t="s">
        <v>306</v>
      </c>
      <c r="AL546" s="234" t="s">
        <v>306</v>
      </c>
      <c r="AM546" s="188" t="s">
        <v>306</v>
      </c>
      <c r="AN546" s="188" t="s">
        <v>19</v>
      </c>
      <c r="AO546" s="234" t="s">
        <v>306</v>
      </c>
      <c r="AP546" s="235" t="s">
        <v>306</v>
      </c>
      <c r="AQ546" s="188" t="s">
        <v>306</v>
      </c>
      <c r="AR546" s="188" t="s">
        <v>306</v>
      </c>
      <c r="AS546" s="234" t="s">
        <v>306</v>
      </c>
      <c r="AT546" s="188" t="s">
        <v>306</v>
      </c>
      <c r="AU546" s="188" t="s">
        <v>306</v>
      </c>
      <c r="AV546" s="234" t="s">
        <v>306</v>
      </c>
      <c r="AW546" s="188" t="s">
        <v>19</v>
      </c>
      <c r="AX546" s="188" t="s">
        <v>306</v>
      </c>
      <c r="AY546" s="234" t="s">
        <v>306</v>
      </c>
      <c r="AZ546" s="188" t="s">
        <v>306</v>
      </c>
      <c r="BA546" s="188" t="s">
        <v>306</v>
      </c>
      <c r="BB546" s="234" t="s">
        <v>306</v>
      </c>
      <c r="BC546" s="235" t="s">
        <v>306</v>
      </c>
      <c r="BD546" s="188"/>
    </row>
    <row r="547" spans="1:56" ht="12.75" customHeight="1" x14ac:dyDescent="0.25">
      <c r="A547" s="238">
        <v>44785.488668831022</v>
      </c>
      <c r="B547" s="137" t="s">
        <v>395</v>
      </c>
      <c r="C547" s="211" t="s">
        <v>595</v>
      </c>
      <c r="D547" s="211" t="s">
        <v>17</v>
      </c>
      <c r="E547" s="232" t="s">
        <v>515</v>
      </c>
      <c r="F547" s="188" t="s">
        <v>1124</v>
      </c>
      <c r="G547" s="211" t="s">
        <v>18</v>
      </c>
      <c r="H547" s="211">
        <v>11</v>
      </c>
      <c r="I547" s="188" t="s">
        <v>518</v>
      </c>
      <c r="J547" s="188" t="s">
        <v>532</v>
      </c>
      <c r="K547" s="209" t="s">
        <v>539</v>
      </c>
      <c r="L547" s="188" t="s">
        <v>518</v>
      </c>
      <c r="M547" s="188" t="s">
        <v>412</v>
      </c>
      <c r="N547" s="188"/>
      <c r="O547" s="188"/>
      <c r="P547" s="188"/>
      <c r="Q547" s="188" t="s">
        <v>25</v>
      </c>
      <c r="R547" s="188" t="s">
        <v>306</v>
      </c>
      <c r="S547" s="234" t="s">
        <v>25</v>
      </c>
      <c r="T547" s="188" t="s">
        <v>25</v>
      </c>
      <c r="U547" s="188" t="s">
        <v>25</v>
      </c>
      <c r="V547" s="234" t="s">
        <v>25</v>
      </c>
      <c r="W547" s="188" t="s">
        <v>25</v>
      </c>
      <c r="X547" s="188" t="s">
        <v>19</v>
      </c>
      <c r="Y547" s="234" t="s">
        <v>306</v>
      </c>
      <c r="Z547" s="188" t="s">
        <v>25</v>
      </c>
      <c r="AA547" s="188" t="s">
        <v>25</v>
      </c>
      <c r="AB547" s="234" t="s">
        <v>25</v>
      </c>
      <c r="AC547" s="235" t="s">
        <v>25</v>
      </c>
      <c r="AD547" s="188" t="s">
        <v>306</v>
      </c>
      <c r="AE547" s="188" t="s">
        <v>306</v>
      </c>
      <c r="AF547" s="234" t="s">
        <v>306</v>
      </c>
      <c r="AG547" s="188" t="s">
        <v>19</v>
      </c>
      <c r="AH547" s="188" t="s">
        <v>19</v>
      </c>
      <c r="AI547" s="234" t="s">
        <v>19</v>
      </c>
      <c r="AJ547" s="188" t="s">
        <v>19</v>
      </c>
      <c r="AK547" s="188" t="s">
        <v>19</v>
      </c>
      <c r="AL547" s="234" t="s">
        <v>19</v>
      </c>
      <c r="AM547" s="188" t="s">
        <v>19</v>
      </c>
      <c r="AN547" s="188" t="s">
        <v>19</v>
      </c>
      <c r="AO547" s="234" t="s">
        <v>19</v>
      </c>
      <c r="AP547" s="235" t="s">
        <v>19</v>
      </c>
      <c r="AQ547" s="188" t="s">
        <v>25</v>
      </c>
      <c r="AR547" s="188" t="s">
        <v>19</v>
      </c>
      <c r="AS547" s="234" t="s">
        <v>306</v>
      </c>
      <c r="AT547" s="188" t="s">
        <v>25</v>
      </c>
      <c r="AU547" s="188" t="s">
        <v>25</v>
      </c>
      <c r="AV547" s="234" t="s">
        <v>25</v>
      </c>
      <c r="AW547" s="188" t="s">
        <v>19</v>
      </c>
      <c r="AX547" s="188" t="s">
        <v>25</v>
      </c>
      <c r="AY547" s="234" t="s">
        <v>306</v>
      </c>
      <c r="AZ547" s="188" t="s">
        <v>25</v>
      </c>
      <c r="BA547" s="188" t="s">
        <v>25</v>
      </c>
      <c r="BB547" s="234" t="s">
        <v>25</v>
      </c>
      <c r="BC547" s="235" t="s">
        <v>25</v>
      </c>
      <c r="BD547" s="188"/>
    </row>
    <row r="548" spans="1:56" ht="12.75" customHeight="1" x14ac:dyDescent="0.25">
      <c r="A548" s="238">
        <v>45257.350582083338</v>
      </c>
      <c r="B548" s="233" t="s">
        <v>304</v>
      </c>
      <c r="C548" s="209" t="s">
        <v>587</v>
      </c>
      <c r="D548" s="232" t="s">
        <v>17</v>
      </c>
      <c r="E548" s="232" t="s">
        <v>515</v>
      </c>
      <c r="F548" s="209" t="s">
        <v>1125</v>
      </c>
      <c r="G548" s="232" t="s">
        <v>18</v>
      </c>
      <c r="H548" s="232">
        <v>12</v>
      </c>
      <c r="I548" s="209" t="s">
        <v>518</v>
      </c>
      <c r="J548" s="209" t="s">
        <v>560</v>
      </c>
      <c r="K548" s="209" t="s">
        <v>560</v>
      </c>
      <c r="L548" s="209" t="s">
        <v>518</v>
      </c>
      <c r="M548" s="209" t="s">
        <v>389</v>
      </c>
      <c r="N548" s="209" t="s">
        <v>389</v>
      </c>
      <c r="O548" s="209"/>
      <c r="P548" s="209"/>
      <c r="Q548" s="209" t="s">
        <v>25</v>
      </c>
      <c r="R548" s="209" t="s">
        <v>25</v>
      </c>
      <c r="S548" s="234" t="s">
        <v>25</v>
      </c>
      <c r="T548" s="209" t="s">
        <v>25</v>
      </c>
      <c r="U548" s="209" t="s">
        <v>25</v>
      </c>
      <c r="V548" s="234" t="s">
        <v>25</v>
      </c>
      <c r="W548" s="209" t="s">
        <v>25</v>
      </c>
      <c r="X548" s="209" t="s">
        <v>25</v>
      </c>
      <c r="Y548" s="234" t="s">
        <v>25</v>
      </c>
      <c r="Z548" s="209" t="s">
        <v>25</v>
      </c>
      <c r="AA548" s="209" t="s">
        <v>25</v>
      </c>
      <c r="AB548" s="234" t="s">
        <v>25</v>
      </c>
      <c r="AC548" s="235" t="s">
        <v>25</v>
      </c>
      <c r="AD548" s="209" t="s">
        <v>25</v>
      </c>
      <c r="AE548" s="209" t="s">
        <v>25</v>
      </c>
      <c r="AF548" s="234" t="s">
        <v>25</v>
      </c>
      <c r="AG548" s="209" t="s">
        <v>306</v>
      </c>
      <c r="AH548" s="209" t="s">
        <v>25</v>
      </c>
      <c r="AI548" s="234" t="s">
        <v>25</v>
      </c>
      <c r="AJ548" s="209" t="s">
        <v>306</v>
      </c>
      <c r="AK548" s="209" t="s">
        <v>25</v>
      </c>
      <c r="AL548" s="234" t="s">
        <v>25</v>
      </c>
      <c r="AM548" s="209" t="s">
        <v>306</v>
      </c>
      <c r="AN548" s="209" t="s">
        <v>19</v>
      </c>
      <c r="AO548" s="234" t="s">
        <v>306</v>
      </c>
      <c r="AP548" s="235" t="s">
        <v>306</v>
      </c>
      <c r="AQ548" s="209" t="s">
        <v>19</v>
      </c>
      <c r="AR548" s="209" t="s">
        <v>25</v>
      </c>
      <c r="AS548" s="234" t="s">
        <v>306</v>
      </c>
      <c r="AT548" s="209" t="s">
        <v>25</v>
      </c>
      <c r="AU548" s="209" t="s">
        <v>306</v>
      </c>
      <c r="AV548" s="234" t="s">
        <v>25</v>
      </c>
      <c r="AW548" s="209" t="s">
        <v>19</v>
      </c>
      <c r="AX548" s="209" t="s">
        <v>25</v>
      </c>
      <c r="AY548" s="234" t="s">
        <v>306</v>
      </c>
      <c r="AZ548" s="209" t="s">
        <v>25</v>
      </c>
      <c r="BA548" s="209" t="s">
        <v>19</v>
      </c>
      <c r="BB548" s="234" t="s">
        <v>306</v>
      </c>
      <c r="BC548" s="235" t="s">
        <v>306</v>
      </c>
      <c r="BD548" s="188"/>
    </row>
    <row r="549" spans="1:56" ht="12.75" customHeight="1" x14ac:dyDescent="0.25">
      <c r="A549" s="238">
        <v>45257.363224803237</v>
      </c>
      <c r="B549" s="233" t="s">
        <v>304</v>
      </c>
      <c r="C549" s="209" t="s">
        <v>587</v>
      </c>
      <c r="D549" s="232" t="s">
        <v>17</v>
      </c>
      <c r="E549" s="232" t="s">
        <v>515</v>
      </c>
      <c r="F549" s="209" t="s">
        <v>1126</v>
      </c>
      <c r="G549" s="232" t="s">
        <v>24</v>
      </c>
      <c r="H549" s="232">
        <v>11</v>
      </c>
      <c r="I549" s="209" t="s">
        <v>518</v>
      </c>
      <c r="J549" s="209" t="s">
        <v>560</v>
      </c>
      <c r="K549" s="209" t="s">
        <v>560</v>
      </c>
      <c r="L549" s="209" t="s">
        <v>518</v>
      </c>
      <c r="M549" s="209" t="s">
        <v>412</v>
      </c>
      <c r="N549" s="209" t="s">
        <v>589</v>
      </c>
      <c r="O549" s="209"/>
      <c r="P549" s="209"/>
      <c r="Q549" s="209" t="s">
        <v>25</v>
      </c>
      <c r="R549" s="209" t="s">
        <v>25</v>
      </c>
      <c r="S549" s="234" t="s">
        <v>25</v>
      </c>
      <c r="T549" s="209" t="s">
        <v>19</v>
      </c>
      <c r="U549" s="209" t="s">
        <v>25</v>
      </c>
      <c r="V549" s="234" t="s">
        <v>306</v>
      </c>
      <c r="W549" s="209" t="s">
        <v>19</v>
      </c>
      <c r="X549" s="209" t="s">
        <v>19</v>
      </c>
      <c r="Y549" s="234" t="s">
        <v>19</v>
      </c>
      <c r="Z549" s="209" t="s">
        <v>19</v>
      </c>
      <c r="AA549" s="209" t="s">
        <v>19</v>
      </c>
      <c r="AB549" s="234" t="s">
        <v>19</v>
      </c>
      <c r="AC549" s="235" t="s">
        <v>306</v>
      </c>
      <c r="AD549" s="209" t="s">
        <v>25</v>
      </c>
      <c r="AE549" s="209" t="s">
        <v>25</v>
      </c>
      <c r="AF549" s="234" t="s">
        <v>25</v>
      </c>
      <c r="AG549" s="209" t="s">
        <v>19</v>
      </c>
      <c r="AH549" s="209" t="s">
        <v>19</v>
      </c>
      <c r="AI549" s="234" t="s">
        <v>19</v>
      </c>
      <c r="AJ549" s="209" t="s">
        <v>19</v>
      </c>
      <c r="AK549" s="209" t="s">
        <v>19</v>
      </c>
      <c r="AL549" s="234" t="s">
        <v>19</v>
      </c>
      <c r="AM549" s="209" t="s">
        <v>19</v>
      </c>
      <c r="AN549" s="209" t="s">
        <v>19</v>
      </c>
      <c r="AO549" s="234" t="s">
        <v>19</v>
      </c>
      <c r="AP549" s="235" t="s">
        <v>306</v>
      </c>
      <c r="AQ549" s="209" t="s">
        <v>19</v>
      </c>
      <c r="AR549" s="209" t="s">
        <v>19</v>
      </c>
      <c r="AS549" s="234" t="s">
        <v>19</v>
      </c>
      <c r="AT549" s="209" t="s">
        <v>25</v>
      </c>
      <c r="AU549" s="209" t="s">
        <v>25</v>
      </c>
      <c r="AV549" s="234" t="s">
        <v>25</v>
      </c>
      <c r="AW549" s="209" t="s">
        <v>25</v>
      </c>
      <c r="AX549" s="209" t="s">
        <v>19</v>
      </c>
      <c r="AY549" s="234" t="s">
        <v>306</v>
      </c>
      <c r="AZ549" s="209" t="s">
        <v>19</v>
      </c>
      <c r="BA549" s="209" t="s">
        <v>19</v>
      </c>
      <c r="BB549" s="234" t="s">
        <v>25</v>
      </c>
      <c r="BC549" s="235" t="s">
        <v>25</v>
      </c>
      <c r="BD549" s="188"/>
    </row>
    <row r="550" spans="1:56" ht="12.75" customHeight="1" x14ac:dyDescent="0.25">
      <c r="A550" s="238">
        <v>45257.366923263893</v>
      </c>
      <c r="B550" s="233" t="s">
        <v>304</v>
      </c>
      <c r="C550" s="209" t="s">
        <v>587</v>
      </c>
      <c r="D550" s="232" t="s">
        <v>17</v>
      </c>
      <c r="E550" s="232" t="s">
        <v>515</v>
      </c>
      <c r="F550" s="209" t="s">
        <v>1127</v>
      </c>
      <c r="G550" s="232" t="s">
        <v>18</v>
      </c>
      <c r="H550" s="232">
        <v>12</v>
      </c>
      <c r="I550" s="209" t="s">
        <v>518</v>
      </c>
      <c r="J550" s="209" t="s">
        <v>560</v>
      </c>
      <c r="K550" s="209" t="s">
        <v>560</v>
      </c>
      <c r="L550" s="209" t="s">
        <v>518</v>
      </c>
      <c r="M550" s="209" t="s">
        <v>412</v>
      </c>
      <c r="N550" s="209" t="s">
        <v>589</v>
      </c>
      <c r="O550" s="209"/>
      <c r="P550" s="209"/>
      <c r="Q550" s="209" t="s">
        <v>306</v>
      </c>
      <c r="R550" s="209" t="s">
        <v>25</v>
      </c>
      <c r="S550" s="234" t="s">
        <v>25</v>
      </c>
      <c r="T550" s="209" t="s">
        <v>306</v>
      </c>
      <c r="U550" s="209" t="s">
        <v>306</v>
      </c>
      <c r="V550" s="234" t="s">
        <v>306</v>
      </c>
      <c r="W550" s="209" t="s">
        <v>306</v>
      </c>
      <c r="X550" s="209" t="s">
        <v>306</v>
      </c>
      <c r="Y550" s="234" t="s">
        <v>306</v>
      </c>
      <c r="Z550" s="209" t="s">
        <v>306</v>
      </c>
      <c r="AA550" s="209" t="s">
        <v>306</v>
      </c>
      <c r="AB550" s="234" t="s">
        <v>306</v>
      </c>
      <c r="AC550" s="235" t="s">
        <v>306</v>
      </c>
      <c r="AD550" s="209" t="s">
        <v>306</v>
      </c>
      <c r="AE550" s="209" t="s">
        <v>25</v>
      </c>
      <c r="AF550" s="234" t="s">
        <v>25</v>
      </c>
      <c r="AG550" s="209" t="s">
        <v>306</v>
      </c>
      <c r="AH550" s="209" t="s">
        <v>306</v>
      </c>
      <c r="AI550" s="234" t="s">
        <v>306</v>
      </c>
      <c r="AJ550" s="209" t="s">
        <v>25</v>
      </c>
      <c r="AK550" s="209" t="s">
        <v>306</v>
      </c>
      <c r="AL550" s="234" t="s">
        <v>25</v>
      </c>
      <c r="AM550" s="209" t="s">
        <v>306</v>
      </c>
      <c r="AN550" s="209" t="s">
        <v>306</v>
      </c>
      <c r="AO550" s="234" t="s">
        <v>306</v>
      </c>
      <c r="AP550" s="235" t="s">
        <v>306</v>
      </c>
      <c r="AQ550" s="209" t="s">
        <v>306</v>
      </c>
      <c r="AR550" s="209" t="s">
        <v>306</v>
      </c>
      <c r="AS550" s="234" t="s">
        <v>306</v>
      </c>
      <c r="AT550" s="209" t="s">
        <v>25</v>
      </c>
      <c r="AU550" s="209" t="s">
        <v>25</v>
      </c>
      <c r="AV550" s="234" t="s">
        <v>25</v>
      </c>
      <c r="AW550" s="209" t="s">
        <v>306</v>
      </c>
      <c r="AX550" s="209" t="s">
        <v>306</v>
      </c>
      <c r="AY550" s="234" t="s">
        <v>306</v>
      </c>
      <c r="AZ550" s="209" t="s">
        <v>25</v>
      </c>
      <c r="BA550" s="209" t="s">
        <v>306</v>
      </c>
      <c r="BB550" s="234" t="s">
        <v>25</v>
      </c>
      <c r="BC550" s="235" t="s">
        <v>25</v>
      </c>
      <c r="BD550" s="188"/>
    </row>
    <row r="551" spans="1:56" ht="12.75" customHeight="1" x14ac:dyDescent="0.25">
      <c r="A551" s="238">
        <v>45257.368720451384</v>
      </c>
      <c r="B551" s="233" t="s">
        <v>304</v>
      </c>
      <c r="C551" s="209" t="s">
        <v>587</v>
      </c>
      <c r="D551" s="232" t="s">
        <v>17</v>
      </c>
      <c r="E551" s="232" t="s">
        <v>515</v>
      </c>
      <c r="F551" s="209" t="s">
        <v>1128</v>
      </c>
      <c r="G551" s="232" t="s">
        <v>18</v>
      </c>
      <c r="H551" s="232">
        <v>13</v>
      </c>
      <c r="I551" s="209" t="s">
        <v>518</v>
      </c>
      <c r="J551" s="209" t="s">
        <v>560</v>
      </c>
      <c r="K551" s="209" t="s">
        <v>560</v>
      </c>
      <c r="L551" s="209" t="s">
        <v>518</v>
      </c>
      <c r="M551" s="209" t="s">
        <v>389</v>
      </c>
      <c r="N551" s="209" t="s">
        <v>589</v>
      </c>
      <c r="O551" s="209"/>
      <c r="P551" s="209"/>
      <c r="Q551" s="209" t="s">
        <v>25</v>
      </c>
      <c r="R551" s="209" t="s">
        <v>19</v>
      </c>
      <c r="S551" s="234" t="s">
        <v>306</v>
      </c>
      <c r="T551" s="209" t="s">
        <v>306</v>
      </c>
      <c r="U551" s="209" t="s">
        <v>306</v>
      </c>
      <c r="V551" s="234" t="s">
        <v>306</v>
      </c>
      <c r="W551" s="209" t="s">
        <v>306</v>
      </c>
      <c r="X551" s="209" t="s">
        <v>306</v>
      </c>
      <c r="Y551" s="234" t="s">
        <v>306</v>
      </c>
      <c r="Z551" s="209" t="s">
        <v>306</v>
      </c>
      <c r="AA551" s="209" t="s">
        <v>306</v>
      </c>
      <c r="AB551" s="234" t="s">
        <v>306</v>
      </c>
      <c r="AC551" s="235" t="s">
        <v>306</v>
      </c>
      <c r="AD551" s="209" t="s">
        <v>25</v>
      </c>
      <c r="AE551" s="209" t="s">
        <v>306</v>
      </c>
      <c r="AF551" s="234" t="s">
        <v>25</v>
      </c>
      <c r="AG551" s="209" t="s">
        <v>25</v>
      </c>
      <c r="AH551" s="209" t="s">
        <v>19</v>
      </c>
      <c r="AI551" s="234" t="s">
        <v>306</v>
      </c>
      <c r="AJ551" s="209" t="s">
        <v>19</v>
      </c>
      <c r="AK551" s="209" t="s">
        <v>19</v>
      </c>
      <c r="AL551" s="234" t="s">
        <v>19</v>
      </c>
      <c r="AM551" s="209" t="s">
        <v>19</v>
      </c>
      <c r="AN551" s="209" t="s">
        <v>306</v>
      </c>
      <c r="AO551" s="234" t="s">
        <v>306</v>
      </c>
      <c r="AP551" s="235" t="s">
        <v>306</v>
      </c>
      <c r="AQ551" s="209" t="s">
        <v>19</v>
      </c>
      <c r="AR551" s="209" t="s">
        <v>306</v>
      </c>
      <c r="AS551" s="234" t="s">
        <v>306</v>
      </c>
      <c r="AT551" s="209" t="s">
        <v>306</v>
      </c>
      <c r="AU551" s="209" t="s">
        <v>306</v>
      </c>
      <c r="AV551" s="234" t="s">
        <v>306</v>
      </c>
      <c r="AW551" s="209" t="s">
        <v>306</v>
      </c>
      <c r="AX551" s="209" t="s">
        <v>306</v>
      </c>
      <c r="AY551" s="234" t="s">
        <v>306</v>
      </c>
      <c r="AZ551" s="209" t="s">
        <v>306</v>
      </c>
      <c r="BA551" s="209" t="s">
        <v>25</v>
      </c>
      <c r="BB551" s="234" t="s">
        <v>25</v>
      </c>
      <c r="BC551" s="235" t="s">
        <v>25</v>
      </c>
      <c r="BD551" s="188"/>
    </row>
    <row r="552" spans="1:56" ht="12.75" customHeight="1" x14ac:dyDescent="0.25">
      <c r="A552" s="238">
        <v>45257.371786597221</v>
      </c>
      <c r="B552" s="233" t="s">
        <v>304</v>
      </c>
      <c r="C552" s="209" t="s">
        <v>587</v>
      </c>
      <c r="D552" s="232" t="s">
        <v>17</v>
      </c>
      <c r="E552" s="232" t="s">
        <v>515</v>
      </c>
      <c r="F552" s="209" t="s">
        <v>1129</v>
      </c>
      <c r="G552" s="232" t="s">
        <v>18</v>
      </c>
      <c r="H552" s="232">
        <v>12</v>
      </c>
      <c r="I552" s="209" t="s">
        <v>518</v>
      </c>
      <c r="J552" s="209" t="s">
        <v>560</v>
      </c>
      <c r="K552" s="209" t="s">
        <v>560</v>
      </c>
      <c r="L552" s="209" t="s">
        <v>518</v>
      </c>
      <c r="M552" s="209" t="s">
        <v>412</v>
      </c>
      <c r="N552" s="209" t="s">
        <v>589</v>
      </c>
      <c r="O552" s="209"/>
      <c r="P552" s="209"/>
      <c r="Q552" s="209" t="s">
        <v>25</v>
      </c>
      <c r="R552" s="209" t="s">
        <v>25</v>
      </c>
      <c r="S552" s="234" t="s">
        <v>25</v>
      </c>
      <c r="T552" s="209" t="s">
        <v>25</v>
      </c>
      <c r="U552" s="209" t="s">
        <v>25</v>
      </c>
      <c r="V552" s="234" t="s">
        <v>25</v>
      </c>
      <c r="W552" s="209" t="s">
        <v>25</v>
      </c>
      <c r="X552" s="209" t="s">
        <v>306</v>
      </c>
      <c r="Y552" s="234" t="s">
        <v>25</v>
      </c>
      <c r="Z552" s="209" t="s">
        <v>25</v>
      </c>
      <c r="AA552" s="209" t="s">
        <v>25</v>
      </c>
      <c r="AB552" s="234" t="s">
        <v>25</v>
      </c>
      <c r="AC552" s="235" t="s">
        <v>25</v>
      </c>
      <c r="AD552" s="209" t="s">
        <v>25</v>
      </c>
      <c r="AE552" s="209" t="s">
        <v>25</v>
      </c>
      <c r="AF552" s="234" t="s">
        <v>25</v>
      </c>
      <c r="AG552" s="209" t="s">
        <v>25</v>
      </c>
      <c r="AH552" s="209" t="s">
        <v>306</v>
      </c>
      <c r="AI552" s="234" t="s">
        <v>25</v>
      </c>
      <c r="AJ552" s="209" t="s">
        <v>306</v>
      </c>
      <c r="AK552" s="209" t="s">
        <v>306</v>
      </c>
      <c r="AL552" s="234" t="s">
        <v>306</v>
      </c>
      <c r="AM552" s="209" t="s">
        <v>306</v>
      </c>
      <c r="AN552" s="209" t="s">
        <v>306</v>
      </c>
      <c r="AO552" s="234" t="s">
        <v>306</v>
      </c>
      <c r="AP552" s="235" t="s">
        <v>306</v>
      </c>
      <c r="AQ552" s="209" t="s">
        <v>25</v>
      </c>
      <c r="AR552" s="209" t="s">
        <v>306</v>
      </c>
      <c r="AS552" s="234" t="s">
        <v>25</v>
      </c>
      <c r="AT552" s="209" t="s">
        <v>25</v>
      </c>
      <c r="AU552" s="209" t="s">
        <v>25</v>
      </c>
      <c r="AV552" s="234" t="s">
        <v>25</v>
      </c>
      <c r="AW552" s="209" t="s">
        <v>306</v>
      </c>
      <c r="AX552" s="209" t="s">
        <v>25</v>
      </c>
      <c r="AY552" s="234" t="s">
        <v>25</v>
      </c>
      <c r="AZ552" s="209" t="s">
        <v>25</v>
      </c>
      <c r="BA552" s="209" t="s">
        <v>25</v>
      </c>
      <c r="BB552" s="234" t="s">
        <v>25</v>
      </c>
      <c r="BC552" s="235" t="s">
        <v>25</v>
      </c>
      <c r="BD552" s="188"/>
    </row>
    <row r="553" spans="1:56" ht="12.75" customHeight="1" x14ac:dyDescent="0.25">
      <c r="A553" s="238">
        <v>45257.377194398148</v>
      </c>
      <c r="B553" s="233" t="s">
        <v>304</v>
      </c>
      <c r="C553" s="209" t="s">
        <v>587</v>
      </c>
      <c r="D553" s="232" t="s">
        <v>17</v>
      </c>
      <c r="E553" s="232" t="s">
        <v>515</v>
      </c>
      <c r="F553" s="209" t="s">
        <v>1130</v>
      </c>
      <c r="G553" s="232" t="s">
        <v>18</v>
      </c>
      <c r="H553" s="232">
        <v>11</v>
      </c>
      <c r="I553" s="209" t="s">
        <v>518</v>
      </c>
      <c r="J553" s="209" t="s">
        <v>560</v>
      </c>
      <c r="K553" s="209" t="s">
        <v>560</v>
      </c>
      <c r="L553" s="209" t="s">
        <v>518</v>
      </c>
      <c r="M553" s="209" t="s">
        <v>389</v>
      </c>
      <c r="N553" s="209" t="s">
        <v>589</v>
      </c>
      <c r="O553" s="209"/>
      <c r="P553" s="209"/>
      <c r="Q553" s="209" t="s">
        <v>25</v>
      </c>
      <c r="R553" s="209" t="s">
        <v>25</v>
      </c>
      <c r="S553" s="234" t="s">
        <v>25</v>
      </c>
      <c r="T553" s="209" t="s">
        <v>25</v>
      </c>
      <c r="U553" s="209" t="s">
        <v>25</v>
      </c>
      <c r="V553" s="234" t="s">
        <v>25</v>
      </c>
      <c r="W553" s="209" t="s">
        <v>25</v>
      </c>
      <c r="X553" s="209" t="s">
        <v>25</v>
      </c>
      <c r="Y553" s="234" t="s">
        <v>25</v>
      </c>
      <c r="Z553" s="209" t="s">
        <v>25</v>
      </c>
      <c r="AA553" s="209" t="s">
        <v>25</v>
      </c>
      <c r="AB553" s="234" t="s">
        <v>25</v>
      </c>
      <c r="AC553" s="235" t="s">
        <v>25</v>
      </c>
      <c r="AD553" s="209" t="s">
        <v>306</v>
      </c>
      <c r="AE553" s="209" t="s">
        <v>25</v>
      </c>
      <c r="AF553" s="234" t="s">
        <v>25</v>
      </c>
      <c r="AG553" s="209" t="s">
        <v>25</v>
      </c>
      <c r="AH553" s="209" t="s">
        <v>25</v>
      </c>
      <c r="AI553" s="234" t="s">
        <v>25</v>
      </c>
      <c r="AJ553" s="209" t="s">
        <v>25</v>
      </c>
      <c r="AK553" s="209" t="s">
        <v>306</v>
      </c>
      <c r="AL553" s="234" t="s">
        <v>25</v>
      </c>
      <c r="AM553" s="209" t="s">
        <v>25</v>
      </c>
      <c r="AN553" s="209" t="s">
        <v>25</v>
      </c>
      <c r="AO553" s="234" t="s">
        <v>25</v>
      </c>
      <c r="AP553" s="235" t="s">
        <v>25</v>
      </c>
      <c r="AQ553" s="209" t="s">
        <v>25</v>
      </c>
      <c r="AR553" s="209" t="s">
        <v>25</v>
      </c>
      <c r="AS553" s="234" t="s">
        <v>25</v>
      </c>
      <c r="AT553" s="209" t="s">
        <v>25</v>
      </c>
      <c r="AU553" s="209" t="s">
        <v>25</v>
      </c>
      <c r="AV553" s="234" t="s">
        <v>25</v>
      </c>
      <c r="AW553" s="209" t="s">
        <v>25</v>
      </c>
      <c r="AX553" s="209" t="s">
        <v>25</v>
      </c>
      <c r="AY553" s="234" t="s">
        <v>25</v>
      </c>
      <c r="AZ553" s="209" t="s">
        <v>306</v>
      </c>
      <c r="BA553" s="209" t="s">
        <v>25</v>
      </c>
      <c r="BB553" s="234" t="s">
        <v>25</v>
      </c>
      <c r="BC553" s="235" t="s">
        <v>25</v>
      </c>
      <c r="BD553" s="188"/>
    </row>
    <row r="554" spans="1:56" ht="12.75" customHeight="1" x14ac:dyDescent="0.25">
      <c r="A554" s="238">
        <v>45257.378791516203</v>
      </c>
      <c r="B554" s="233" t="s">
        <v>304</v>
      </c>
      <c r="C554" s="209" t="s">
        <v>587</v>
      </c>
      <c r="D554" s="232" t="s">
        <v>17</v>
      </c>
      <c r="E554" s="232" t="s">
        <v>515</v>
      </c>
      <c r="F554" s="209" t="s">
        <v>1131</v>
      </c>
      <c r="G554" s="232" t="s">
        <v>24</v>
      </c>
      <c r="H554" s="232">
        <v>11</v>
      </c>
      <c r="I554" s="209" t="s">
        <v>518</v>
      </c>
      <c r="J554" s="209" t="s">
        <v>560</v>
      </c>
      <c r="K554" s="209" t="s">
        <v>560</v>
      </c>
      <c r="L554" s="209" t="s">
        <v>518</v>
      </c>
      <c r="M554" s="209" t="s">
        <v>401</v>
      </c>
      <c r="N554" s="209" t="s">
        <v>589</v>
      </c>
      <c r="O554" s="209"/>
      <c r="P554" s="209"/>
      <c r="Q554" s="209" t="s">
        <v>25</v>
      </c>
      <c r="R554" s="209" t="s">
        <v>25</v>
      </c>
      <c r="S554" s="234" t="s">
        <v>25</v>
      </c>
      <c r="T554" s="209" t="s">
        <v>306</v>
      </c>
      <c r="U554" s="209" t="s">
        <v>306</v>
      </c>
      <c r="V554" s="234" t="s">
        <v>306</v>
      </c>
      <c r="W554" s="209" t="s">
        <v>306</v>
      </c>
      <c r="X554" s="209" t="s">
        <v>306</v>
      </c>
      <c r="Y554" s="234" t="s">
        <v>306</v>
      </c>
      <c r="Z554" s="209" t="s">
        <v>25</v>
      </c>
      <c r="AA554" s="209" t="s">
        <v>25</v>
      </c>
      <c r="AB554" s="234" t="s">
        <v>25</v>
      </c>
      <c r="AC554" s="235" t="s">
        <v>25</v>
      </c>
      <c r="AD554" s="209" t="s">
        <v>25</v>
      </c>
      <c r="AE554" s="209" t="s">
        <v>25</v>
      </c>
      <c r="AF554" s="234" t="s">
        <v>25</v>
      </c>
      <c r="AG554" s="209" t="s">
        <v>25</v>
      </c>
      <c r="AH554" s="209" t="s">
        <v>306</v>
      </c>
      <c r="AI554" s="234" t="s">
        <v>25</v>
      </c>
      <c r="AJ554" s="209" t="s">
        <v>25</v>
      </c>
      <c r="AK554" s="209" t="s">
        <v>25</v>
      </c>
      <c r="AL554" s="234" t="s">
        <v>25</v>
      </c>
      <c r="AM554" s="209" t="s">
        <v>306</v>
      </c>
      <c r="AN554" s="209" t="s">
        <v>306</v>
      </c>
      <c r="AO554" s="234" t="s">
        <v>306</v>
      </c>
      <c r="AP554" s="235" t="s">
        <v>25</v>
      </c>
      <c r="AQ554" s="209" t="s">
        <v>25</v>
      </c>
      <c r="AR554" s="209" t="s">
        <v>25</v>
      </c>
      <c r="AS554" s="234" t="s">
        <v>25</v>
      </c>
      <c r="AT554" s="209" t="s">
        <v>25</v>
      </c>
      <c r="AU554" s="209" t="s">
        <v>25</v>
      </c>
      <c r="AV554" s="234" t="s">
        <v>25</v>
      </c>
      <c r="AW554" s="209" t="s">
        <v>25</v>
      </c>
      <c r="AX554" s="209" t="s">
        <v>25</v>
      </c>
      <c r="AY554" s="234" t="s">
        <v>25</v>
      </c>
      <c r="AZ554" s="209" t="s">
        <v>25</v>
      </c>
      <c r="BA554" s="209" t="s">
        <v>25</v>
      </c>
      <c r="BB554" s="234" t="s">
        <v>25</v>
      </c>
      <c r="BC554" s="235" t="s">
        <v>25</v>
      </c>
      <c r="BD554" s="188"/>
    </row>
    <row r="555" spans="1:56" ht="12.75" customHeight="1" x14ac:dyDescent="0.25">
      <c r="A555" s="238">
        <v>45257.379150312496</v>
      </c>
      <c r="B555" s="233" t="s">
        <v>304</v>
      </c>
      <c r="C555" s="209" t="s">
        <v>587</v>
      </c>
      <c r="D555" s="232" t="s">
        <v>17</v>
      </c>
      <c r="E555" s="232" t="s">
        <v>515</v>
      </c>
      <c r="F555" s="209" t="s">
        <v>1132</v>
      </c>
      <c r="G555" s="232" t="s">
        <v>18</v>
      </c>
      <c r="H555" s="232">
        <v>11</v>
      </c>
      <c r="I555" s="209" t="s">
        <v>518</v>
      </c>
      <c r="J555" s="209" t="s">
        <v>560</v>
      </c>
      <c r="K555" s="209" t="s">
        <v>560</v>
      </c>
      <c r="L555" s="209" t="s">
        <v>518</v>
      </c>
      <c r="M555" s="209" t="s">
        <v>412</v>
      </c>
      <c r="N555" s="209" t="s">
        <v>589</v>
      </c>
      <c r="O555" s="209"/>
      <c r="P555" s="209"/>
      <c r="Q555" s="209" t="s">
        <v>25</v>
      </c>
      <c r="R555" s="209" t="s">
        <v>25</v>
      </c>
      <c r="S555" s="234" t="s">
        <v>25</v>
      </c>
      <c r="T555" s="209" t="s">
        <v>19</v>
      </c>
      <c r="U555" s="209" t="s">
        <v>25</v>
      </c>
      <c r="V555" s="234" t="s">
        <v>306</v>
      </c>
      <c r="W555" s="209" t="s">
        <v>25</v>
      </c>
      <c r="X555" s="209" t="s">
        <v>25</v>
      </c>
      <c r="Y555" s="234" t="s">
        <v>25</v>
      </c>
      <c r="Z555" s="209" t="s">
        <v>25</v>
      </c>
      <c r="AA555" s="209" t="s">
        <v>19</v>
      </c>
      <c r="AB555" s="234" t="s">
        <v>306</v>
      </c>
      <c r="AC555" s="235" t="s">
        <v>25</v>
      </c>
      <c r="AD555" s="209" t="s">
        <v>25</v>
      </c>
      <c r="AE555" s="209" t="s">
        <v>25</v>
      </c>
      <c r="AF555" s="234" t="s">
        <v>25</v>
      </c>
      <c r="AG555" s="209" t="s">
        <v>306</v>
      </c>
      <c r="AH555" s="209" t="s">
        <v>306</v>
      </c>
      <c r="AI555" s="234" t="s">
        <v>306</v>
      </c>
      <c r="AJ555" s="209" t="s">
        <v>25</v>
      </c>
      <c r="AK555" s="209" t="s">
        <v>25</v>
      </c>
      <c r="AL555" s="234" t="s">
        <v>25</v>
      </c>
      <c r="AM555" s="209" t="s">
        <v>25</v>
      </c>
      <c r="AN555" s="209" t="s">
        <v>25</v>
      </c>
      <c r="AO555" s="234" t="s">
        <v>25</v>
      </c>
      <c r="AP555" s="235" t="s">
        <v>25</v>
      </c>
      <c r="AQ555" s="209" t="s">
        <v>25</v>
      </c>
      <c r="AR555" s="209" t="s">
        <v>25</v>
      </c>
      <c r="AS555" s="234" t="s">
        <v>25</v>
      </c>
      <c r="AT555" s="209" t="s">
        <v>19</v>
      </c>
      <c r="AU555" s="209" t="s">
        <v>306</v>
      </c>
      <c r="AV555" s="234" t="s">
        <v>306</v>
      </c>
      <c r="AW555" s="209" t="s">
        <v>25</v>
      </c>
      <c r="AX555" s="209" t="s">
        <v>25</v>
      </c>
      <c r="AY555" s="234" t="s">
        <v>25</v>
      </c>
      <c r="AZ555" s="209" t="s">
        <v>25</v>
      </c>
      <c r="BA555" s="209" t="s">
        <v>25</v>
      </c>
      <c r="BB555" s="234" t="s">
        <v>25</v>
      </c>
      <c r="BC555" s="235" t="s">
        <v>306</v>
      </c>
      <c r="BD555" s="188"/>
    </row>
    <row r="556" spans="1:56" ht="12.75" customHeight="1" x14ac:dyDescent="0.25">
      <c r="A556" s="238">
        <v>45257.380342384262</v>
      </c>
      <c r="B556" s="233" t="s">
        <v>304</v>
      </c>
      <c r="C556" s="209" t="s">
        <v>587</v>
      </c>
      <c r="D556" s="232" t="s">
        <v>17</v>
      </c>
      <c r="E556" s="232" t="s">
        <v>515</v>
      </c>
      <c r="F556" s="209" t="s">
        <v>1133</v>
      </c>
      <c r="G556" s="232" t="s">
        <v>18</v>
      </c>
      <c r="H556" s="232">
        <v>12</v>
      </c>
      <c r="I556" s="209" t="s">
        <v>518</v>
      </c>
      <c r="J556" s="209" t="s">
        <v>560</v>
      </c>
      <c r="K556" s="209" t="s">
        <v>560</v>
      </c>
      <c r="L556" s="209" t="s">
        <v>518</v>
      </c>
      <c r="M556" s="209" t="s">
        <v>412</v>
      </c>
      <c r="N556" s="209" t="s">
        <v>589</v>
      </c>
      <c r="O556" s="209"/>
      <c r="P556" s="209"/>
      <c r="Q556" s="209" t="s">
        <v>306</v>
      </c>
      <c r="R556" s="209" t="s">
        <v>25</v>
      </c>
      <c r="S556" s="234" t="s">
        <v>25</v>
      </c>
      <c r="T556" s="209" t="s">
        <v>25</v>
      </c>
      <c r="U556" s="209" t="s">
        <v>25</v>
      </c>
      <c r="V556" s="234" t="s">
        <v>25</v>
      </c>
      <c r="W556" s="209" t="s">
        <v>19</v>
      </c>
      <c r="X556" s="209" t="s">
        <v>19</v>
      </c>
      <c r="Y556" s="234" t="s">
        <v>19</v>
      </c>
      <c r="Z556" s="209" t="s">
        <v>306</v>
      </c>
      <c r="AA556" s="209" t="s">
        <v>25</v>
      </c>
      <c r="AB556" s="234" t="s">
        <v>25</v>
      </c>
      <c r="AC556" s="235" t="s">
        <v>306</v>
      </c>
      <c r="AD556" s="209" t="s">
        <v>25</v>
      </c>
      <c r="AE556" s="209" t="s">
        <v>25</v>
      </c>
      <c r="AF556" s="234" t="s">
        <v>25</v>
      </c>
      <c r="AG556" s="209" t="s">
        <v>306</v>
      </c>
      <c r="AH556" s="209" t="s">
        <v>25</v>
      </c>
      <c r="AI556" s="234" t="s">
        <v>25</v>
      </c>
      <c r="AJ556" s="209" t="s">
        <v>306</v>
      </c>
      <c r="AK556" s="209" t="s">
        <v>25</v>
      </c>
      <c r="AL556" s="234" t="s">
        <v>25</v>
      </c>
      <c r="AM556" s="209" t="s">
        <v>306</v>
      </c>
      <c r="AN556" s="209" t="s">
        <v>306</v>
      </c>
      <c r="AO556" s="234" t="s">
        <v>306</v>
      </c>
      <c r="AP556" s="235" t="s">
        <v>25</v>
      </c>
      <c r="AQ556" s="209" t="s">
        <v>25</v>
      </c>
      <c r="AR556" s="209" t="s">
        <v>25</v>
      </c>
      <c r="AS556" s="234" t="s">
        <v>25</v>
      </c>
      <c r="AT556" s="209" t="s">
        <v>25</v>
      </c>
      <c r="AU556" s="209" t="s">
        <v>19</v>
      </c>
      <c r="AV556" s="234" t="s">
        <v>306</v>
      </c>
      <c r="AW556" s="209" t="s">
        <v>25</v>
      </c>
      <c r="AX556" s="209" t="s">
        <v>306</v>
      </c>
      <c r="AY556" s="234" t="s">
        <v>25</v>
      </c>
      <c r="AZ556" s="209" t="s">
        <v>306</v>
      </c>
      <c r="BA556" s="209" t="s">
        <v>25</v>
      </c>
      <c r="BB556" s="234" t="s">
        <v>306</v>
      </c>
      <c r="BC556" s="235" t="s">
        <v>25</v>
      </c>
      <c r="BD556" s="188"/>
    </row>
    <row r="557" spans="1:56" ht="12.75" customHeight="1" x14ac:dyDescent="0.25">
      <c r="A557" s="238">
        <v>45257.381966678236</v>
      </c>
      <c r="B557" s="233" t="s">
        <v>304</v>
      </c>
      <c r="C557" s="209" t="s">
        <v>587</v>
      </c>
      <c r="D557" s="232" t="s">
        <v>17</v>
      </c>
      <c r="E557" s="232" t="s">
        <v>515</v>
      </c>
      <c r="F557" s="209" t="s">
        <v>1134</v>
      </c>
      <c r="G557" s="232" t="s">
        <v>18</v>
      </c>
      <c r="H557" s="232">
        <v>12</v>
      </c>
      <c r="I557" s="209" t="s">
        <v>518</v>
      </c>
      <c r="J557" s="209" t="s">
        <v>560</v>
      </c>
      <c r="K557" s="209" t="s">
        <v>560</v>
      </c>
      <c r="L557" s="209" t="s">
        <v>531</v>
      </c>
      <c r="M557" s="188"/>
      <c r="N557" s="188"/>
      <c r="O557" s="188"/>
      <c r="P557" s="188"/>
      <c r="Q557" s="209" t="s">
        <v>25</v>
      </c>
      <c r="R557" s="209" t="s">
        <v>306</v>
      </c>
      <c r="S557" s="234" t="s">
        <v>25</v>
      </c>
      <c r="T557" s="209" t="s">
        <v>19</v>
      </c>
      <c r="U557" s="209" t="s">
        <v>25</v>
      </c>
      <c r="V557" s="234" t="s">
        <v>306</v>
      </c>
      <c r="W557" s="209" t="s">
        <v>25</v>
      </c>
      <c r="X557" s="209" t="s">
        <v>306</v>
      </c>
      <c r="Y557" s="234" t="s">
        <v>25</v>
      </c>
      <c r="Z557" s="209" t="s">
        <v>25</v>
      </c>
      <c r="AA557" s="209" t="s">
        <v>306</v>
      </c>
      <c r="AB557" s="234" t="s">
        <v>25</v>
      </c>
      <c r="AC557" s="235" t="s">
        <v>306</v>
      </c>
      <c r="AD557" s="209" t="s">
        <v>306</v>
      </c>
      <c r="AE557" s="209" t="s">
        <v>25</v>
      </c>
      <c r="AF557" s="234" t="s">
        <v>25</v>
      </c>
      <c r="AG557" s="209" t="s">
        <v>306</v>
      </c>
      <c r="AH557" s="209" t="s">
        <v>19</v>
      </c>
      <c r="AI557" s="234" t="s">
        <v>306</v>
      </c>
      <c r="AJ557" s="209" t="s">
        <v>25</v>
      </c>
      <c r="AK557" s="209" t="s">
        <v>19</v>
      </c>
      <c r="AL557" s="234" t="s">
        <v>306</v>
      </c>
      <c r="AM557" s="209" t="s">
        <v>19</v>
      </c>
      <c r="AN557" s="209" t="s">
        <v>19</v>
      </c>
      <c r="AO557" s="234" t="s">
        <v>19</v>
      </c>
      <c r="AP557" s="235" t="s">
        <v>306</v>
      </c>
      <c r="AQ557" s="209" t="s">
        <v>19</v>
      </c>
      <c r="AR557" s="209" t="s">
        <v>25</v>
      </c>
      <c r="AS557" s="234" t="s">
        <v>306</v>
      </c>
      <c r="AT557" s="209" t="s">
        <v>25</v>
      </c>
      <c r="AU557" s="209" t="s">
        <v>25</v>
      </c>
      <c r="AV557" s="234" t="s">
        <v>25</v>
      </c>
      <c r="AW557" s="209" t="s">
        <v>25</v>
      </c>
      <c r="AX557" s="209" t="s">
        <v>306</v>
      </c>
      <c r="AY557" s="234" t="s">
        <v>25</v>
      </c>
      <c r="AZ557" s="209" t="s">
        <v>25</v>
      </c>
      <c r="BA557" s="209" t="s">
        <v>306</v>
      </c>
      <c r="BB557" s="234" t="s">
        <v>25</v>
      </c>
      <c r="BC557" s="235" t="s">
        <v>25</v>
      </c>
      <c r="BD557" s="188"/>
    </row>
    <row r="558" spans="1:56" ht="12.75" customHeight="1" x14ac:dyDescent="0.25">
      <c r="A558" s="238">
        <v>45257.38718203704</v>
      </c>
      <c r="B558" s="233" t="s">
        <v>304</v>
      </c>
      <c r="C558" s="209" t="s">
        <v>587</v>
      </c>
      <c r="D558" s="232" t="s">
        <v>17</v>
      </c>
      <c r="E558" s="232" t="s">
        <v>515</v>
      </c>
      <c r="F558" s="209" t="s">
        <v>1135</v>
      </c>
      <c r="G558" s="232" t="s">
        <v>18</v>
      </c>
      <c r="H558" s="232">
        <v>11</v>
      </c>
      <c r="I558" s="209" t="s">
        <v>518</v>
      </c>
      <c r="J558" s="209" t="s">
        <v>560</v>
      </c>
      <c r="K558" s="209" t="s">
        <v>560</v>
      </c>
      <c r="L558" s="209" t="s">
        <v>518</v>
      </c>
      <c r="M558" s="209" t="s">
        <v>412</v>
      </c>
      <c r="N558" s="209" t="s">
        <v>589</v>
      </c>
      <c r="O558" s="209"/>
      <c r="P558" s="209"/>
      <c r="Q558" s="209" t="s">
        <v>25</v>
      </c>
      <c r="R558" s="209" t="s">
        <v>25</v>
      </c>
      <c r="S558" s="234" t="s">
        <v>25</v>
      </c>
      <c r="T558" s="209" t="s">
        <v>25</v>
      </c>
      <c r="U558" s="209" t="s">
        <v>25</v>
      </c>
      <c r="V558" s="234" t="s">
        <v>25</v>
      </c>
      <c r="W558" s="209" t="s">
        <v>25</v>
      </c>
      <c r="X558" s="209" t="s">
        <v>25</v>
      </c>
      <c r="Y558" s="234" t="s">
        <v>25</v>
      </c>
      <c r="Z558" s="209" t="s">
        <v>306</v>
      </c>
      <c r="AA558" s="209" t="s">
        <v>25</v>
      </c>
      <c r="AB558" s="234" t="s">
        <v>25</v>
      </c>
      <c r="AC558" s="235" t="s">
        <v>25</v>
      </c>
      <c r="AD558" s="209" t="s">
        <v>306</v>
      </c>
      <c r="AE558" s="209" t="s">
        <v>25</v>
      </c>
      <c r="AF558" s="234" t="s">
        <v>25</v>
      </c>
      <c r="AG558" s="209" t="s">
        <v>306</v>
      </c>
      <c r="AH558" s="209" t="s">
        <v>19</v>
      </c>
      <c r="AI558" s="234" t="s">
        <v>306</v>
      </c>
      <c r="AJ558" s="209" t="s">
        <v>306</v>
      </c>
      <c r="AK558" s="209" t="s">
        <v>25</v>
      </c>
      <c r="AL558" s="234" t="s">
        <v>25</v>
      </c>
      <c r="AM558" s="209" t="s">
        <v>19</v>
      </c>
      <c r="AN558" s="209" t="s">
        <v>19</v>
      </c>
      <c r="AO558" s="234" t="s">
        <v>19</v>
      </c>
      <c r="AP558" s="235" t="s">
        <v>306</v>
      </c>
      <c r="AQ558" s="209" t="s">
        <v>25</v>
      </c>
      <c r="AR558" s="209" t="s">
        <v>19</v>
      </c>
      <c r="AS558" s="234" t="s">
        <v>306</v>
      </c>
      <c r="AT558" s="209" t="s">
        <v>25</v>
      </c>
      <c r="AU558" s="209" t="s">
        <v>306</v>
      </c>
      <c r="AV558" s="234" t="s">
        <v>25</v>
      </c>
      <c r="AW558" s="209" t="s">
        <v>25</v>
      </c>
      <c r="AX558" s="209" t="s">
        <v>25</v>
      </c>
      <c r="AY558" s="234" t="s">
        <v>25</v>
      </c>
      <c r="AZ558" s="209" t="s">
        <v>306</v>
      </c>
      <c r="BA558" s="209" t="s">
        <v>25</v>
      </c>
      <c r="BB558" s="234" t="s">
        <v>25</v>
      </c>
      <c r="BC558" s="235" t="s">
        <v>25</v>
      </c>
      <c r="BD558" s="188"/>
    </row>
    <row r="559" spans="1:56" ht="12.75" customHeight="1" x14ac:dyDescent="0.25">
      <c r="A559" s="238">
        <v>45257.388416863425</v>
      </c>
      <c r="B559" s="233" t="s">
        <v>304</v>
      </c>
      <c r="C559" s="209" t="s">
        <v>587</v>
      </c>
      <c r="D559" s="232" t="s">
        <v>17</v>
      </c>
      <c r="E559" s="232" t="s">
        <v>515</v>
      </c>
      <c r="F559" s="209" t="s">
        <v>1136</v>
      </c>
      <c r="G559" s="232" t="s">
        <v>24</v>
      </c>
      <c r="H559" s="232">
        <v>12</v>
      </c>
      <c r="I559" s="209" t="s">
        <v>518</v>
      </c>
      <c r="J559" s="209" t="s">
        <v>560</v>
      </c>
      <c r="K559" s="209" t="s">
        <v>560</v>
      </c>
      <c r="L559" s="209" t="s">
        <v>531</v>
      </c>
      <c r="M559" s="188"/>
      <c r="N559" s="188"/>
      <c r="O559" s="188"/>
      <c r="P559" s="188"/>
      <c r="Q559" s="209" t="s">
        <v>25</v>
      </c>
      <c r="R559" s="209" t="s">
        <v>25</v>
      </c>
      <c r="S559" s="234" t="s">
        <v>25</v>
      </c>
      <c r="T559" s="209" t="s">
        <v>306</v>
      </c>
      <c r="U559" s="209" t="s">
        <v>306</v>
      </c>
      <c r="V559" s="234" t="s">
        <v>306</v>
      </c>
      <c r="W559" s="209" t="s">
        <v>25</v>
      </c>
      <c r="X559" s="209" t="s">
        <v>25</v>
      </c>
      <c r="Y559" s="234" t="s">
        <v>25</v>
      </c>
      <c r="Z559" s="209" t="s">
        <v>25</v>
      </c>
      <c r="AA559" s="209" t="s">
        <v>25</v>
      </c>
      <c r="AB559" s="234" t="s">
        <v>25</v>
      </c>
      <c r="AC559" s="235" t="s">
        <v>25</v>
      </c>
      <c r="AD559" s="209" t="s">
        <v>25</v>
      </c>
      <c r="AE559" s="209" t="s">
        <v>25</v>
      </c>
      <c r="AF559" s="234" t="s">
        <v>25</v>
      </c>
      <c r="AG559" s="209" t="s">
        <v>25</v>
      </c>
      <c r="AH559" s="209" t="s">
        <v>19</v>
      </c>
      <c r="AI559" s="234" t="s">
        <v>306</v>
      </c>
      <c r="AJ559" s="209" t="s">
        <v>19</v>
      </c>
      <c r="AK559" s="209" t="s">
        <v>25</v>
      </c>
      <c r="AL559" s="234" t="s">
        <v>306</v>
      </c>
      <c r="AM559" s="209" t="s">
        <v>19</v>
      </c>
      <c r="AN559" s="209" t="s">
        <v>306</v>
      </c>
      <c r="AO559" s="234" t="s">
        <v>306</v>
      </c>
      <c r="AP559" s="235" t="s">
        <v>306</v>
      </c>
      <c r="AQ559" s="209" t="s">
        <v>25</v>
      </c>
      <c r="AR559" s="209" t="s">
        <v>25</v>
      </c>
      <c r="AS559" s="234" t="s">
        <v>25</v>
      </c>
      <c r="AT559" s="209" t="s">
        <v>25</v>
      </c>
      <c r="AU559" s="209" t="s">
        <v>19</v>
      </c>
      <c r="AV559" s="234" t="s">
        <v>306</v>
      </c>
      <c r="AW559" s="209" t="s">
        <v>25</v>
      </c>
      <c r="AX559" s="209" t="s">
        <v>25</v>
      </c>
      <c r="AY559" s="234" t="s">
        <v>25</v>
      </c>
      <c r="AZ559" s="209" t="s">
        <v>25</v>
      </c>
      <c r="BA559" s="209" t="s">
        <v>306</v>
      </c>
      <c r="BB559" s="234" t="s">
        <v>25</v>
      </c>
      <c r="BC559" s="235" t="s">
        <v>25</v>
      </c>
      <c r="BD559" s="188"/>
    </row>
    <row r="560" spans="1:56" ht="12.75" customHeight="1" x14ac:dyDescent="0.25">
      <c r="A560" s="238">
        <v>45257.389717893515</v>
      </c>
      <c r="B560" s="233" t="s">
        <v>304</v>
      </c>
      <c r="C560" s="209" t="s">
        <v>587</v>
      </c>
      <c r="D560" s="232" t="s">
        <v>17</v>
      </c>
      <c r="E560" s="232" t="s">
        <v>515</v>
      </c>
      <c r="F560" s="209" t="s">
        <v>1137</v>
      </c>
      <c r="G560" s="232" t="s">
        <v>24</v>
      </c>
      <c r="H560" s="232">
        <v>13</v>
      </c>
      <c r="I560" s="209" t="s">
        <v>518</v>
      </c>
      <c r="J560" s="209" t="s">
        <v>560</v>
      </c>
      <c r="K560" s="209" t="s">
        <v>560</v>
      </c>
      <c r="L560" s="209" t="s">
        <v>531</v>
      </c>
      <c r="M560" s="188"/>
      <c r="N560" s="188"/>
      <c r="O560" s="188"/>
      <c r="P560" s="188"/>
      <c r="Q560" s="209" t="s">
        <v>25</v>
      </c>
      <c r="R560" s="209" t="s">
        <v>25</v>
      </c>
      <c r="S560" s="234" t="s">
        <v>25</v>
      </c>
      <c r="T560" s="209" t="s">
        <v>25</v>
      </c>
      <c r="U560" s="209" t="s">
        <v>25</v>
      </c>
      <c r="V560" s="234" t="s">
        <v>25</v>
      </c>
      <c r="W560" s="209" t="s">
        <v>25</v>
      </c>
      <c r="X560" s="209" t="s">
        <v>25</v>
      </c>
      <c r="Y560" s="234" t="s">
        <v>25</v>
      </c>
      <c r="Z560" s="209" t="s">
        <v>25</v>
      </c>
      <c r="AA560" s="209" t="s">
        <v>25</v>
      </c>
      <c r="AB560" s="234" t="s">
        <v>25</v>
      </c>
      <c r="AC560" s="235" t="s">
        <v>25</v>
      </c>
      <c r="AD560" s="209" t="s">
        <v>25</v>
      </c>
      <c r="AE560" s="209" t="s">
        <v>25</v>
      </c>
      <c r="AF560" s="234" t="s">
        <v>25</v>
      </c>
      <c r="AG560" s="209" t="s">
        <v>25</v>
      </c>
      <c r="AH560" s="209" t="s">
        <v>19</v>
      </c>
      <c r="AI560" s="234" t="s">
        <v>306</v>
      </c>
      <c r="AJ560" s="209" t="s">
        <v>19</v>
      </c>
      <c r="AK560" s="209" t="s">
        <v>25</v>
      </c>
      <c r="AL560" s="234" t="s">
        <v>306</v>
      </c>
      <c r="AM560" s="209" t="s">
        <v>19</v>
      </c>
      <c r="AN560" s="209" t="s">
        <v>19</v>
      </c>
      <c r="AO560" s="234" t="s">
        <v>19</v>
      </c>
      <c r="AP560" s="235" t="s">
        <v>306</v>
      </c>
      <c r="AQ560" s="209" t="s">
        <v>25</v>
      </c>
      <c r="AR560" s="209" t="s">
        <v>25</v>
      </c>
      <c r="AS560" s="234" t="s">
        <v>25</v>
      </c>
      <c r="AT560" s="209" t="s">
        <v>25</v>
      </c>
      <c r="AU560" s="209" t="s">
        <v>19</v>
      </c>
      <c r="AV560" s="234" t="s">
        <v>306</v>
      </c>
      <c r="AW560" s="209" t="s">
        <v>25</v>
      </c>
      <c r="AX560" s="209" t="s">
        <v>25</v>
      </c>
      <c r="AY560" s="234" t="s">
        <v>25</v>
      </c>
      <c r="AZ560" s="209" t="s">
        <v>25</v>
      </c>
      <c r="BA560" s="209" t="s">
        <v>25</v>
      </c>
      <c r="BB560" s="234" t="s">
        <v>25</v>
      </c>
      <c r="BC560" s="235" t="s">
        <v>306</v>
      </c>
      <c r="BD560" s="188"/>
    </row>
    <row r="561" spans="1:56" ht="12.75" customHeight="1" x14ac:dyDescent="0.25">
      <c r="A561" s="238">
        <v>45257.391382384259</v>
      </c>
      <c r="B561" s="233" t="s">
        <v>304</v>
      </c>
      <c r="C561" s="209" t="s">
        <v>587</v>
      </c>
      <c r="D561" s="232" t="s">
        <v>17</v>
      </c>
      <c r="E561" s="232" t="s">
        <v>515</v>
      </c>
      <c r="F561" s="209" t="s">
        <v>1138</v>
      </c>
      <c r="G561" s="232" t="s">
        <v>24</v>
      </c>
      <c r="H561" s="232">
        <v>12</v>
      </c>
      <c r="I561" s="209" t="s">
        <v>518</v>
      </c>
      <c r="J561" s="209" t="s">
        <v>560</v>
      </c>
      <c r="K561" s="209" t="s">
        <v>560</v>
      </c>
      <c r="L561" s="209" t="s">
        <v>531</v>
      </c>
      <c r="M561" s="188"/>
      <c r="N561" s="188"/>
      <c r="O561" s="188"/>
      <c r="P561" s="188"/>
      <c r="Q561" s="209" t="s">
        <v>25</v>
      </c>
      <c r="R561" s="209" t="s">
        <v>25</v>
      </c>
      <c r="S561" s="234" t="s">
        <v>25</v>
      </c>
      <c r="T561" s="209" t="s">
        <v>306</v>
      </c>
      <c r="U561" s="209" t="s">
        <v>25</v>
      </c>
      <c r="V561" s="234" t="s">
        <v>25</v>
      </c>
      <c r="W561" s="209" t="s">
        <v>19</v>
      </c>
      <c r="X561" s="209" t="s">
        <v>25</v>
      </c>
      <c r="Y561" s="234" t="s">
        <v>306</v>
      </c>
      <c r="Z561" s="209" t="s">
        <v>25</v>
      </c>
      <c r="AA561" s="209" t="s">
        <v>25</v>
      </c>
      <c r="AB561" s="234" t="s">
        <v>25</v>
      </c>
      <c r="AC561" s="235" t="s">
        <v>25</v>
      </c>
      <c r="AD561" s="209" t="s">
        <v>25</v>
      </c>
      <c r="AE561" s="209" t="s">
        <v>306</v>
      </c>
      <c r="AF561" s="234" t="s">
        <v>25</v>
      </c>
      <c r="AG561" s="209" t="s">
        <v>19</v>
      </c>
      <c r="AH561" s="209" t="s">
        <v>19</v>
      </c>
      <c r="AI561" s="234" t="s">
        <v>19</v>
      </c>
      <c r="AJ561" s="209" t="s">
        <v>19</v>
      </c>
      <c r="AK561" s="209" t="s">
        <v>25</v>
      </c>
      <c r="AL561" s="234" t="s">
        <v>306</v>
      </c>
      <c r="AM561" s="209" t="s">
        <v>19</v>
      </c>
      <c r="AN561" s="209" t="s">
        <v>19</v>
      </c>
      <c r="AO561" s="234" t="s">
        <v>19</v>
      </c>
      <c r="AP561" s="235" t="s">
        <v>306</v>
      </c>
      <c r="AQ561" s="209" t="s">
        <v>25</v>
      </c>
      <c r="AR561" s="209" t="s">
        <v>306</v>
      </c>
      <c r="AS561" s="234" t="s">
        <v>25</v>
      </c>
      <c r="AT561" s="209" t="s">
        <v>19</v>
      </c>
      <c r="AU561" s="209" t="s">
        <v>25</v>
      </c>
      <c r="AV561" s="234" t="s">
        <v>306</v>
      </c>
      <c r="AW561" s="209" t="s">
        <v>306</v>
      </c>
      <c r="AX561" s="209" t="s">
        <v>25</v>
      </c>
      <c r="AY561" s="234" t="s">
        <v>25</v>
      </c>
      <c r="AZ561" s="209" t="s">
        <v>19</v>
      </c>
      <c r="BA561" s="209" t="s">
        <v>25</v>
      </c>
      <c r="BB561" s="234" t="s">
        <v>306</v>
      </c>
      <c r="BC561" s="235" t="s">
        <v>306</v>
      </c>
      <c r="BD561" s="188"/>
    </row>
    <row r="562" spans="1:56" ht="12.75" customHeight="1" x14ac:dyDescent="0.25">
      <c r="A562" s="238">
        <v>45257.394910717594</v>
      </c>
      <c r="B562" s="233" t="s">
        <v>304</v>
      </c>
      <c r="C562" s="209" t="s">
        <v>587</v>
      </c>
      <c r="D562" s="232" t="s">
        <v>17</v>
      </c>
      <c r="E562" s="232" t="s">
        <v>515</v>
      </c>
      <c r="F562" s="209" t="s">
        <v>1139</v>
      </c>
      <c r="G562" s="232" t="s">
        <v>24</v>
      </c>
      <c r="H562" s="232">
        <v>11</v>
      </c>
      <c r="I562" s="209" t="s">
        <v>518</v>
      </c>
      <c r="J562" s="209" t="s">
        <v>560</v>
      </c>
      <c r="K562" s="209" t="s">
        <v>560</v>
      </c>
      <c r="L562" s="209" t="s">
        <v>518</v>
      </c>
      <c r="M562" s="209" t="s">
        <v>412</v>
      </c>
      <c r="N562" s="209" t="s">
        <v>589</v>
      </c>
      <c r="O562" s="209"/>
      <c r="P562" s="209"/>
      <c r="Q562" s="209" t="s">
        <v>306</v>
      </c>
      <c r="R562" s="209" t="s">
        <v>19</v>
      </c>
      <c r="S562" s="234" t="s">
        <v>306</v>
      </c>
      <c r="T562" s="209" t="s">
        <v>306</v>
      </c>
      <c r="U562" s="209" t="s">
        <v>306</v>
      </c>
      <c r="V562" s="234" t="s">
        <v>306</v>
      </c>
      <c r="W562" s="209" t="s">
        <v>19</v>
      </c>
      <c r="X562" s="209" t="s">
        <v>19</v>
      </c>
      <c r="Y562" s="234" t="s">
        <v>19</v>
      </c>
      <c r="Z562" s="209" t="s">
        <v>306</v>
      </c>
      <c r="AA562" s="209" t="s">
        <v>306</v>
      </c>
      <c r="AB562" s="234" t="s">
        <v>306</v>
      </c>
      <c r="AC562" s="235" t="s">
        <v>306</v>
      </c>
      <c r="AD562" s="209" t="s">
        <v>306</v>
      </c>
      <c r="AE562" s="209" t="s">
        <v>306</v>
      </c>
      <c r="AF562" s="234" t="s">
        <v>306</v>
      </c>
      <c r="AG562" s="209" t="s">
        <v>306</v>
      </c>
      <c r="AH562" s="209" t="s">
        <v>19</v>
      </c>
      <c r="AI562" s="234" t="s">
        <v>306</v>
      </c>
      <c r="AJ562" s="209" t="s">
        <v>306</v>
      </c>
      <c r="AK562" s="209" t="s">
        <v>306</v>
      </c>
      <c r="AL562" s="234" t="s">
        <v>306</v>
      </c>
      <c r="AM562" s="209" t="s">
        <v>19</v>
      </c>
      <c r="AN562" s="209" t="s">
        <v>19</v>
      </c>
      <c r="AO562" s="234" t="s">
        <v>19</v>
      </c>
      <c r="AP562" s="235" t="s">
        <v>306</v>
      </c>
      <c r="AQ562" s="209" t="s">
        <v>19</v>
      </c>
      <c r="AR562" s="209" t="s">
        <v>306</v>
      </c>
      <c r="AS562" s="234" t="s">
        <v>306</v>
      </c>
      <c r="AT562" s="209" t="s">
        <v>306</v>
      </c>
      <c r="AU562" s="209" t="s">
        <v>306</v>
      </c>
      <c r="AV562" s="234" t="s">
        <v>306</v>
      </c>
      <c r="AW562" s="209" t="s">
        <v>19</v>
      </c>
      <c r="AX562" s="209" t="s">
        <v>306</v>
      </c>
      <c r="AY562" s="234" t="s">
        <v>306</v>
      </c>
      <c r="AZ562" s="209" t="s">
        <v>306</v>
      </c>
      <c r="BA562" s="209" t="s">
        <v>306</v>
      </c>
      <c r="BB562" s="234" t="s">
        <v>25</v>
      </c>
      <c r="BC562" s="235" t="s">
        <v>25</v>
      </c>
      <c r="BD562" s="188"/>
    </row>
    <row r="563" spans="1:56" ht="12.75" customHeight="1" x14ac:dyDescent="0.25">
      <c r="A563" s="238">
        <v>45257.395870509259</v>
      </c>
      <c r="B563" s="233" t="s">
        <v>304</v>
      </c>
      <c r="C563" s="209" t="s">
        <v>587</v>
      </c>
      <c r="D563" s="232" t="s">
        <v>17</v>
      </c>
      <c r="E563" s="232" t="s">
        <v>515</v>
      </c>
      <c r="F563" s="209" t="s">
        <v>1140</v>
      </c>
      <c r="G563" s="232" t="s">
        <v>18</v>
      </c>
      <c r="H563" s="232">
        <v>11</v>
      </c>
      <c r="I563" s="209" t="s">
        <v>518</v>
      </c>
      <c r="J563" s="209" t="s">
        <v>560</v>
      </c>
      <c r="K563" s="209" t="s">
        <v>560</v>
      </c>
      <c r="L563" s="209" t="s">
        <v>518</v>
      </c>
      <c r="M563" s="209" t="s">
        <v>401</v>
      </c>
      <c r="N563" s="209" t="s">
        <v>589</v>
      </c>
      <c r="O563" s="209"/>
      <c r="P563" s="209"/>
      <c r="Q563" s="209" t="s">
        <v>306</v>
      </c>
      <c r="R563" s="209" t="s">
        <v>25</v>
      </c>
      <c r="S563" s="234" t="s">
        <v>25</v>
      </c>
      <c r="T563" s="209" t="s">
        <v>25</v>
      </c>
      <c r="U563" s="209" t="s">
        <v>25</v>
      </c>
      <c r="V563" s="234" t="s">
        <v>25</v>
      </c>
      <c r="W563" s="209" t="s">
        <v>306</v>
      </c>
      <c r="X563" s="209" t="s">
        <v>25</v>
      </c>
      <c r="Y563" s="234" t="s">
        <v>25</v>
      </c>
      <c r="Z563" s="209" t="s">
        <v>25</v>
      </c>
      <c r="AA563" s="209" t="s">
        <v>306</v>
      </c>
      <c r="AB563" s="234" t="s">
        <v>25</v>
      </c>
      <c r="AC563" s="235" t="s">
        <v>25</v>
      </c>
      <c r="AD563" s="209" t="s">
        <v>306</v>
      </c>
      <c r="AE563" s="209" t="s">
        <v>25</v>
      </c>
      <c r="AF563" s="234" t="s">
        <v>25</v>
      </c>
      <c r="AG563" s="209" t="s">
        <v>306</v>
      </c>
      <c r="AH563" s="209" t="s">
        <v>306</v>
      </c>
      <c r="AI563" s="234" t="s">
        <v>306</v>
      </c>
      <c r="AJ563" s="209" t="s">
        <v>25</v>
      </c>
      <c r="AK563" s="209" t="s">
        <v>306</v>
      </c>
      <c r="AL563" s="234" t="s">
        <v>25</v>
      </c>
      <c r="AM563" s="209" t="s">
        <v>25</v>
      </c>
      <c r="AN563" s="209" t="s">
        <v>19</v>
      </c>
      <c r="AO563" s="234" t="s">
        <v>306</v>
      </c>
      <c r="AP563" s="235" t="s">
        <v>306</v>
      </c>
      <c r="AQ563" s="209" t="s">
        <v>306</v>
      </c>
      <c r="AR563" s="209" t="s">
        <v>25</v>
      </c>
      <c r="AS563" s="234" t="s">
        <v>25</v>
      </c>
      <c r="AT563" s="209" t="s">
        <v>306</v>
      </c>
      <c r="AU563" s="209" t="s">
        <v>25</v>
      </c>
      <c r="AV563" s="234" t="s">
        <v>25</v>
      </c>
      <c r="AW563" s="209" t="s">
        <v>306</v>
      </c>
      <c r="AX563" s="209" t="s">
        <v>306</v>
      </c>
      <c r="AY563" s="234" t="s">
        <v>306</v>
      </c>
      <c r="AZ563" s="209" t="s">
        <v>306</v>
      </c>
      <c r="BA563" s="209" t="s">
        <v>306</v>
      </c>
      <c r="BB563" s="234" t="s">
        <v>25</v>
      </c>
      <c r="BC563" s="235" t="s">
        <v>25</v>
      </c>
      <c r="BD563" s="188"/>
    </row>
    <row r="564" spans="1:56" ht="12.75" customHeight="1" x14ac:dyDescent="0.25">
      <c r="A564" s="238">
        <v>45257.39700571759</v>
      </c>
      <c r="B564" s="233" t="s">
        <v>304</v>
      </c>
      <c r="C564" s="209" t="s">
        <v>587</v>
      </c>
      <c r="D564" s="232" t="s">
        <v>17</v>
      </c>
      <c r="E564" s="232" t="s">
        <v>515</v>
      </c>
      <c r="F564" s="209" t="s">
        <v>1141</v>
      </c>
      <c r="G564" s="232" t="s">
        <v>24</v>
      </c>
      <c r="H564" s="232">
        <v>12</v>
      </c>
      <c r="I564" s="209" t="s">
        <v>518</v>
      </c>
      <c r="J564" s="209" t="s">
        <v>560</v>
      </c>
      <c r="K564" s="209" t="s">
        <v>560</v>
      </c>
      <c r="L564" s="209" t="s">
        <v>518</v>
      </c>
      <c r="M564" s="209" t="s">
        <v>412</v>
      </c>
      <c r="N564" s="209" t="s">
        <v>589</v>
      </c>
      <c r="O564" s="209"/>
      <c r="P564" s="209"/>
      <c r="Q564" s="209" t="s">
        <v>25</v>
      </c>
      <c r="R564" s="209" t="s">
        <v>19</v>
      </c>
      <c r="S564" s="234" t="s">
        <v>306</v>
      </c>
      <c r="T564" s="209" t="s">
        <v>19</v>
      </c>
      <c r="U564" s="209" t="s">
        <v>25</v>
      </c>
      <c r="V564" s="234" t="s">
        <v>306</v>
      </c>
      <c r="W564" s="209" t="s">
        <v>19</v>
      </c>
      <c r="X564" s="209" t="s">
        <v>25</v>
      </c>
      <c r="Y564" s="234" t="s">
        <v>306</v>
      </c>
      <c r="Z564" s="209" t="s">
        <v>306</v>
      </c>
      <c r="AA564" s="209" t="s">
        <v>25</v>
      </c>
      <c r="AB564" s="234" t="s">
        <v>25</v>
      </c>
      <c r="AC564" s="235" t="s">
        <v>306</v>
      </c>
      <c r="AD564" s="209" t="s">
        <v>306</v>
      </c>
      <c r="AE564" s="209" t="s">
        <v>25</v>
      </c>
      <c r="AF564" s="234" t="s">
        <v>25</v>
      </c>
      <c r="AG564" s="209" t="s">
        <v>19</v>
      </c>
      <c r="AH564" s="209" t="s">
        <v>306</v>
      </c>
      <c r="AI564" s="234" t="s">
        <v>306</v>
      </c>
      <c r="AJ564" s="209" t="s">
        <v>19</v>
      </c>
      <c r="AK564" s="209" t="s">
        <v>306</v>
      </c>
      <c r="AL564" s="234" t="s">
        <v>306</v>
      </c>
      <c r="AM564" s="209" t="s">
        <v>19</v>
      </c>
      <c r="AN564" s="209" t="s">
        <v>306</v>
      </c>
      <c r="AO564" s="234" t="s">
        <v>306</v>
      </c>
      <c r="AP564" s="235" t="s">
        <v>306</v>
      </c>
      <c r="AQ564" s="209" t="s">
        <v>25</v>
      </c>
      <c r="AR564" s="209" t="s">
        <v>25</v>
      </c>
      <c r="AS564" s="234" t="s">
        <v>25</v>
      </c>
      <c r="AT564" s="209" t="s">
        <v>25</v>
      </c>
      <c r="AU564" s="209" t="s">
        <v>25</v>
      </c>
      <c r="AV564" s="234" t="s">
        <v>25</v>
      </c>
      <c r="AW564" s="209" t="s">
        <v>19</v>
      </c>
      <c r="AX564" s="209" t="s">
        <v>19</v>
      </c>
      <c r="AY564" s="234" t="s">
        <v>19</v>
      </c>
      <c r="AZ564" s="209" t="s">
        <v>19</v>
      </c>
      <c r="BA564" s="209" t="s">
        <v>19</v>
      </c>
      <c r="BB564" s="234" t="s">
        <v>25</v>
      </c>
      <c r="BC564" s="235" t="s">
        <v>25</v>
      </c>
      <c r="BD564" s="188"/>
    </row>
    <row r="565" spans="1:56" ht="12.75" customHeight="1" x14ac:dyDescent="0.25">
      <c r="A565" s="238">
        <v>45257.398419166668</v>
      </c>
      <c r="B565" s="233" t="s">
        <v>304</v>
      </c>
      <c r="C565" s="209" t="s">
        <v>587</v>
      </c>
      <c r="D565" s="232" t="s">
        <v>17</v>
      </c>
      <c r="E565" s="232" t="s">
        <v>515</v>
      </c>
      <c r="F565" s="209" t="s">
        <v>1142</v>
      </c>
      <c r="G565" s="232" t="s">
        <v>24</v>
      </c>
      <c r="H565" s="232">
        <v>11</v>
      </c>
      <c r="I565" s="209" t="s">
        <v>518</v>
      </c>
      <c r="J565" s="209" t="s">
        <v>560</v>
      </c>
      <c r="K565" s="209" t="s">
        <v>560</v>
      </c>
      <c r="L565" s="209" t="s">
        <v>518</v>
      </c>
      <c r="M565" s="209" t="s">
        <v>412</v>
      </c>
      <c r="N565" s="209" t="s">
        <v>589</v>
      </c>
      <c r="O565" s="209"/>
      <c r="P565" s="209"/>
      <c r="Q565" s="209" t="s">
        <v>25</v>
      </c>
      <c r="R565" s="209" t="s">
        <v>306</v>
      </c>
      <c r="S565" s="234" t="s">
        <v>25</v>
      </c>
      <c r="T565" s="209" t="s">
        <v>19</v>
      </c>
      <c r="U565" s="209" t="s">
        <v>25</v>
      </c>
      <c r="V565" s="234" t="s">
        <v>306</v>
      </c>
      <c r="W565" s="209" t="s">
        <v>306</v>
      </c>
      <c r="X565" s="209" t="s">
        <v>25</v>
      </c>
      <c r="Y565" s="234" t="s">
        <v>25</v>
      </c>
      <c r="Z565" s="209" t="s">
        <v>25</v>
      </c>
      <c r="AA565" s="209" t="s">
        <v>306</v>
      </c>
      <c r="AB565" s="234" t="s">
        <v>25</v>
      </c>
      <c r="AC565" s="235" t="s">
        <v>306</v>
      </c>
      <c r="AD565" s="209" t="s">
        <v>306</v>
      </c>
      <c r="AE565" s="209" t="s">
        <v>25</v>
      </c>
      <c r="AF565" s="234" t="s">
        <v>25</v>
      </c>
      <c r="AG565" s="209" t="s">
        <v>19</v>
      </c>
      <c r="AH565" s="209" t="s">
        <v>306</v>
      </c>
      <c r="AI565" s="234" t="s">
        <v>306</v>
      </c>
      <c r="AJ565" s="209" t="s">
        <v>25</v>
      </c>
      <c r="AK565" s="209" t="s">
        <v>306</v>
      </c>
      <c r="AL565" s="234" t="s">
        <v>25</v>
      </c>
      <c r="AM565" s="209" t="s">
        <v>306</v>
      </c>
      <c r="AN565" s="209" t="s">
        <v>306</v>
      </c>
      <c r="AO565" s="234" t="s">
        <v>306</v>
      </c>
      <c r="AP565" s="235" t="s">
        <v>306</v>
      </c>
      <c r="AQ565" s="209" t="s">
        <v>25</v>
      </c>
      <c r="AR565" s="209" t="s">
        <v>25</v>
      </c>
      <c r="AS565" s="234" t="s">
        <v>25</v>
      </c>
      <c r="AT565" s="209" t="s">
        <v>25</v>
      </c>
      <c r="AU565" s="209" t="s">
        <v>25</v>
      </c>
      <c r="AV565" s="234" t="s">
        <v>25</v>
      </c>
      <c r="AW565" s="209" t="s">
        <v>306</v>
      </c>
      <c r="AX565" s="209" t="s">
        <v>25</v>
      </c>
      <c r="AY565" s="234" t="s">
        <v>25</v>
      </c>
      <c r="AZ565" s="209" t="s">
        <v>19</v>
      </c>
      <c r="BA565" s="209" t="s">
        <v>25</v>
      </c>
      <c r="BB565" s="234" t="s">
        <v>25</v>
      </c>
      <c r="BC565" s="235" t="s">
        <v>25</v>
      </c>
      <c r="BD565" s="188"/>
    </row>
    <row r="566" spans="1:56" ht="12.75" customHeight="1" x14ac:dyDescent="0.25">
      <c r="A566" s="238">
        <v>45257.403614976851</v>
      </c>
      <c r="B566" s="233" t="s">
        <v>304</v>
      </c>
      <c r="C566" s="209" t="s">
        <v>587</v>
      </c>
      <c r="D566" s="232" t="s">
        <v>17</v>
      </c>
      <c r="E566" s="232" t="s">
        <v>515</v>
      </c>
      <c r="F566" s="209" t="s">
        <v>1143</v>
      </c>
      <c r="G566" s="232" t="s">
        <v>18</v>
      </c>
      <c r="H566" s="232">
        <v>11</v>
      </c>
      <c r="I566" s="209" t="s">
        <v>518</v>
      </c>
      <c r="J566" s="209" t="s">
        <v>560</v>
      </c>
      <c r="K566" s="209" t="s">
        <v>560</v>
      </c>
      <c r="L566" s="209" t="s">
        <v>518</v>
      </c>
      <c r="M566" s="209" t="s">
        <v>389</v>
      </c>
      <c r="N566" s="209" t="s">
        <v>589</v>
      </c>
      <c r="O566" s="209"/>
      <c r="P566" s="209"/>
      <c r="Q566" s="209" t="s">
        <v>25</v>
      </c>
      <c r="R566" s="209" t="s">
        <v>306</v>
      </c>
      <c r="S566" s="234" t="s">
        <v>25</v>
      </c>
      <c r="T566" s="209" t="s">
        <v>19</v>
      </c>
      <c r="U566" s="209" t="s">
        <v>25</v>
      </c>
      <c r="V566" s="234" t="s">
        <v>306</v>
      </c>
      <c r="W566" s="209" t="s">
        <v>306</v>
      </c>
      <c r="X566" s="209" t="s">
        <v>25</v>
      </c>
      <c r="Y566" s="234" t="s">
        <v>25</v>
      </c>
      <c r="Z566" s="209" t="s">
        <v>25</v>
      </c>
      <c r="AA566" s="209" t="s">
        <v>25</v>
      </c>
      <c r="AB566" s="234" t="s">
        <v>25</v>
      </c>
      <c r="AC566" s="235" t="s">
        <v>25</v>
      </c>
      <c r="AD566" s="209" t="s">
        <v>306</v>
      </c>
      <c r="AE566" s="209" t="s">
        <v>25</v>
      </c>
      <c r="AF566" s="234" t="s">
        <v>25</v>
      </c>
      <c r="AG566" s="209" t="s">
        <v>19</v>
      </c>
      <c r="AH566" s="209" t="s">
        <v>19</v>
      </c>
      <c r="AI566" s="234" t="s">
        <v>19</v>
      </c>
      <c r="AJ566" s="209" t="s">
        <v>19</v>
      </c>
      <c r="AK566" s="209" t="s">
        <v>25</v>
      </c>
      <c r="AL566" s="234" t="s">
        <v>306</v>
      </c>
      <c r="AM566" s="209" t="s">
        <v>306</v>
      </c>
      <c r="AN566" s="209" t="s">
        <v>19</v>
      </c>
      <c r="AO566" s="234" t="s">
        <v>306</v>
      </c>
      <c r="AP566" s="235" t="s">
        <v>306</v>
      </c>
      <c r="AQ566" s="209" t="s">
        <v>25</v>
      </c>
      <c r="AR566" s="209" t="s">
        <v>25</v>
      </c>
      <c r="AS566" s="234" t="s">
        <v>25</v>
      </c>
      <c r="AT566" s="209" t="s">
        <v>25</v>
      </c>
      <c r="AU566" s="209" t="s">
        <v>25</v>
      </c>
      <c r="AV566" s="234" t="s">
        <v>25</v>
      </c>
      <c r="AW566" s="209" t="s">
        <v>25</v>
      </c>
      <c r="AX566" s="209" t="s">
        <v>25</v>
      </c>
      <c r="AY566" s="234" t="s">
        <v>25</v>
      </c>
      <c r="AZ566" s="209" t="s">
        <v>25</v>
      </c>
      <c r="BA566" s="209" t="s">
        <v>25</v>
      </c>
      <c r="BB566" s="234" t="s">
        <v>25</v>
      </c>
      <c r="BC566" s="235" t="s">
        <v>25</v>
      </c>
      <c r="BD566" s="188"/>
    </row>
    <row r="567" spans="1:56" ht="12.75" customHeight="1" x14ac:dyDescent="0.25">
      <c r="A567" s="238">
        <v>45257.4045649537</v>
      </c>
      <c r="B567" s="233" t="s">
        <v>304</v>
      </c>
      <c r="C567" s="209" t="s">
        <v>587</v>
      </c>
      <c r="D567" s="232" t="s">
        <v>17</v>
      </c>
      <c r="E567" s="232" t="s">
        <v>515</v>
      </c>
      <c r="F567" s="209" t="s">
        <v>1144</v>
      </c>
      <c r="G567" s="232" t="s">
        <v>18</v>
      </c>
      <c r="H567" s="232">
        <v>12</v>
      </c>
      <c r="I567" s="209" t="s">
        <v>518</v>
      </c>
      <c r="J567" s="209" t="s">
        <v>560</v>
      </c>
      <c r="K567" s="209" t="s">
        <v>560</v>
      </c>
      <c r="L567" s="209" t="s">
        <v>518</v>
      </c>
      <c r="M567" s="209" t="s">
        <v>375</v>
      </c>
      <c r="N567" s="209" t="s">
        <v>589</v>
      </c>
      <c r="O567" s="209"/>
      <c r="P567" s="209"/>
      <c r="Q567" s="209" t="s">
        <v>25</v>
      </c>
      <c r="R567" s="209" t="s">
        <v>25</v>
      </c>
      <c r="S567" s="234" t="s">
        <v>25</v>
      </c>
      <c r="T567" s="209" t="s">
        <v>19</v>
      </c>
      <c r="U567" s="209" t="s">
        <v>25</v>
      </c>
      <c r="V567" s="234" t="s">
        <v>306</v>
      </c>
      <c r="W567" s="209" t="s">
        <v>19</v>
      </c>
      <c r="X567" s="209" t="s">
        <v>19</v>
      </c>
      <c r="Y567" s="234" t="s">
        <v>19</v>
      </c>
      <c r="Z567" s="209" t="s">
        <v>25</v>
      </c>
      <c r="AA567" s="209" t="s">
        <v>25</v>
      </c>
      <c r="AB567" s="234" t="s">
        <v>25</v>
      </c>
      <c r="AC567" s="235" t="s">
        <v>306</v>
      </c>
      <c r="AD567" s="209" t="s">
        <v>25</v>
      </c>
      <c r="AE567" s="209" t="s">
        <v>25</v>
      </c>
      <c r="AF567" s="234" t="s">
        <v>25</v>
      </c>
      <c r="AG567" s="209" t="s">
        <v>19</v>
      </c>
      <c r="AH567" s="209" t="s">
        <v>19</v>
      </c>
      <c r="AI567" s="234" t="s">
        <v>19</v>
      </c>
      <c r="AJ567" s="209" t="s">
        <v>25</v>
      </c>
      <c r="AK567" s="209" t="s">
        <v>19</v>
      </c>
      <c r="AL567" s="234" t="s">
        <v>306</v>
      </c>
      <c r="AM567" s="209" t="s">
        <v>19</v>
      </c>
      <c r="AN567" s="209" t="s">
        <v>19</v>
      </c>
      <c r="AO567" s="234" t="s">
        <v>19</v>
      </c>
      <c r="AP567" s="235" t="s">
        <v>306</v>
      </c>
      <c r="AQ567" s="209" t="s">
        <v>306</v>
      </c>
      <c r="AR567" s="209" t="s">
        <v>306</v>
      </c>
      <c r="AS567" s="234" t="s">
        <v>306</v>
      </c>
      <c r="AT567" s="209" t="s">
        <v>25</v>
      </c>
      <c r="AU567" s="209" t="s">
        <v>306</v>
      </c>
      <c r="AV567" s="234" t="s">
        <v>25</v>
      </c>
      <c r="AW567" s="209" t="s">
        <v>25</v>
      </c>
      <c r="AX567" s="209" t="s">
        <v>306</v>
      </c>
      <c r="AY567" s="234" t="s">
        <v>25</v>
      </c>
      <c r="AZ567" s="209" t="s">
        <v>25</v>
      </c>
      <c r="BA567" s="209" t="s">
        <v>306</v>
      </c>
      <c r="BB567" s="234" t="s">
        <v>25</v>
      </c>
      <c r="BC567" s="235" t="s">
        <v>25</v>
      </c>
      <c r="BD567" s="188"/>
    </row>
    <row r="568" spans="1:56" ht="12.75" customHeight="1" x14ac:dyDescent="0.25">
      <c r="A568" s="238">
        <v>45257.408396307874</v>
      </c>
      <c r="B568" s="233" t="s">
        <v>304</v>
      </c>
      <c r="C568" s="209" t="s">
        <v>587</v>
      </c>
      <c r="D568" s="232" t="s">
        <v>17</v>
      </c>
      <c r="E568" s="232" t="s">
        <v>515</v>
      </c>
      <c r="F568" s="209" t="s">
        <v>1145</v>
      </c>
      <c r="G568" s="232" t="s">
        <v>24</v>
      </c>
      <c r="H568" s="232">
        <v>12</v>
      </c>
      <c r="I568" s="209" t="s">
        <v>518</v>
      </c>
      <c r="J568" s="209" t="s">
        <v>560</v>
      </c>
      <c r="K568" s="209" t="s">
        <v>560</v>
      </c>
      <c r="L568" s="209" t="s">
        <v>518</v>
      </c>
      <c r="M568" s="209" t="s">
        <v>401</v>
      </c>
      <c r="N568" s="209" t="s">
        <v>589</v>
      </c>
      <c r="O568" s="209"/>
      <c r="P568" s="209"/>
      <c r="Q568" s="209" t="s">
        <v>306</v>
      </c>
      <c r="R568" s="209" t="s">
        <v>306</v>
      </c>
      <c r="S568" s="234" t="s">
        <v>306</v>
      </c>
      <c r="T568" s="209" t="s">
        <v>306</v>
      </c>
      <c r="U568" s="209" t="s">
        <v>306</v>
      </c>
      <c r="V568" s="234" t="s">
        <v>306</v>
      </c>
      <c r="W568" s="209" t="s">
        <v>25</v>
      </c>
      <c r="X568" s="209" t="s">
        <v>25</v>
      </c>
      <c r="Y568" s="234" t="s">
        <v>25</v>
      </c>
      <c r="Z568" s="209" t="s">
        <v>306</v>
      </c>
      <c r="AA568" s="209" t="s">
        <v>25</v>
      </c>
      <c r="AB568" s="234" t="s">
        <v>25</v>
      </c>
      <c r="AC568" s="235" t="s">
        <v>306</v>
      </c>
      <c r="AD568" s="209" t="s">
        <v>25</v>
      </c>
      <c r="AE568" s="209" t="s">
        <v>306</v>
      </c>
      <c r="AF568" s="234" t="s">
        <v>25</v>
      </c>
      <c r="AG568" s="209" t="s">
        <v>306</v>
      </c>
      <c r="AH568" s="209" t="s">
        <v>25</v>
      </c>
      <c r="AI568" s="234" t="s">
        <v>25</v>
      </c>
      <c r="AJ568" s="209" t="s">
        <v>25</v>
      </c>
      <c r="AK568" s="209" t="s">
        <v>25</v>
      </c>
      <c r="AL568" s="234" t="s">
        <v>25</v>
      </c>
      <c r="AM568" s="209" t="s">
        <v>306</v>
      </c>
      <c r="AN568" s="209" t="s">
        <v>306</v>
      </c>
      <c r="AO568" s="234" t="s">
        <v>306</v>
      </c>
      <c r="AP568" s="235" t="s">
        <v>25</v>
      </c>
      <c r="AQ568" s="209" t="s">
        <v>19</v>
      </c>
      <c r="AR568" s="209" t="s">
        <v>19</v>
      </c>
      <c r="AS568" s="234" t="s">
        <v>19</v>
      </c>
      <c r="AT568" s="209" t="s">
        <v>25</v>
      </c>
      <c r="AU568" s="209" t="s">
        <v>25</v>
      </c>
      <c r="AV568" s="234" t="s">
        <v>25</v>
      </c>
      <c r="AW568" s="209" t="s">
        <v>306</v>
      </c>
      <c r="AX568" s="209" t="s">
        <v>306</v>
      </c>
      <c r="AY568" s="234" t="s">
        <v>306</v>
      </c>
      <c r="AZ568" s="209" t="s">
        <v>25</v>
      </c>
      <c r="BA568" s="209" t="s">
        <v>306</v>
      </c>
      <c r="BB568" s="234" t="s">
        <v>306</v>
      </c>
      <c r="BC568" s="235" t="s">
        <v>306</v>
      </c>
      <c r="BD568" s="188"/>
    </row>
    <row r="569" spans="1:56" ht="12.75" customHeight="1" x14ac:dyDescent="0.25">
      <c r="A569" s="238">
        <v>45257.410653206018</v>
      </c>
      <c r="B569" s="233" t="s">
        <v>304</v>
      </c>
      <c r="C569" s="209" t="s">
        <v>587</v>
      </c>
      <c r="D569" s="232" t="s">
        <v>17</v>
      </c>
      <c r="E569" s="232" t="s">
        <v>515</v>
      </c>
      <c r="F569" s="209" t="s">
        <v>1146</v>
      </c>
      <c r="G569" s="232" t="s">
        <v>24</v>
      </c>
      <c r="H569" s="232">
        <v>12</v>
      </c>
      <c r="I569" s="209" t="s">
        <v>518</v>
      </c>
      <c r="J569" s="209" t="s">
        <v>560</v>
      </c>
      <c r="K569" s="209" t="s">
        <v>560</v>
      </c>
      <c r="L569" s="209" t="s">
        <v>518</v>
      </c>
      <c r="M569" s="209" t="s">
        <v>401</v>
      </c>
      <c r="N569" s="209" t="s">
        <v>589</v>
      </c>
      <c r="O569" s="209"/>
      <c r="P569" s="209"/>
      <c r="Q569" s="209" t="s">
        <v>25</v>
      </c>
      <c r="R569" s="209" t="s">
        <v>25</v>
      </c>
      <c r="S569" s="234" t="s">
        <v>25</v>
      </c>
      <c r="T569" s="209" t="s">
        <v>25</v>
      </c>
      <c r="U569" s="209" t="s">
        <v>25</v>
      </c>
      <c r="V569" s="234" t="s">
        <v>25</v>
      </c>
      <c r="W569" s="209" t="s">
        <v>25</v>
      </c>
      <c r="X569" s="209" t="s">
        <v>25</v>
      </c>
      <c r="Y569" s="234" t="s">
        <v>25</v>
      </c>
      <c r="Z569" s="209" t="s">
        <v>25</v>
      </c>
      <c r="AA569" s="209" t="s">
        <v>25</v>
      </c>
      <c r="AB569" s="234" t="s">
        <v>25</v>
      </c>
      <c r="AC569" s="235" t="s">
        <v>25</v>
      </c>
      <c r="AD569" s="209" t="s">
        <v>25</v>
      </c>
      <c r="AE569" s="209" t="s">
        <v>25</v>
      </c>
      <c r="AF569" s="234" t="s">
        <v>25</v>
      </c>
      <c r="AG569" s="209" t="s">
        <v>25</v>
      </c>
      <c r="AH569" s="209" t="s">
        <v>25</v>
      </c>
      <c r="AI569" s="234" t="s">
        <v>25</v>
      </c>
      <c r="AJ569" s="209" t="s">
        <v>25</v>
      </c>
      <c r="AK569" s="209" t="s">
        <v>25</v>
      </c>
      <c r="AL569" s="234" t="s">
        <v>25</v>
      </c>
      <c r="AM569" s="209" t="s">
        <v>25</v>
      </c>
      <c r="AN569" s="209" t="s">
        <v>25</v>
      </c>
      <c r="AO569" s="234" t="s">
        <v>25</v>
      </c>
      <c r="AP569" s="235" t="s">
        <v>25</v>
      </c>
      <c r="AQ569" s="209" t="s">
        <v>25</v>
      </c>
      <c r="AR569" s="209" t="s">
        <v>25</v>
      </c>
      <c r="AS569" s="234" t="s">
        <v>25</v>
      </c>
      <c r="AT569" s="209" t="s">
        <v>25</v>
      </c>
      <c r="AU569" s="209" t="s">
        <v>25</v>
      </c>
      <c r="AV569" s="234" t="s">
        <v>25</v>
      </c>
      <c r="AW569" s="209" t="s">
        <v>25</v>
      </c>
      <c r="AX569" s="209" t="s">
        <v>25</v>
      </c>
      <c r="AY569" s="234" t="s">
        <v>25</v>
      </c>
      <c r="AZ569" s="209" t="s">
        <v>25</v>
      </c>
      <c r="BA569" s="209" t="s">
        <v>25</v>
      </c>
      <c r="BB569" s="234" t="s">
        <v>19</v>
      </c>
      <c r="BC569" s="235" t="s">
        <v>19</v>
      </c>
      <c r="BD569" s="188"/>
    </row>
    <row r="570" spans="1:56" ht="12.75" customHeight="1" x14ac:dyDescent="0.25">
      <c r="A570" s="238">
        <v>45257.41084556713</v>
      </c>
      <c r="B570" s="233" t="s">
        <v>304</v>
      </c>
      <c r="C570" s="209" t="s">
        <v>587</v>
      </c>
      <c r="D570" s="232" t="s">
        <v>17</v>
      </c>
      <c r="E570" s="232" t="s">
        <v>515</v>
      </c>
      <c r="F570" s="209" t="s">
        <v>1147</v>
      </c>
      <c r="G570" s="232" t="s">
        <v>24</v>
      </c>
      <c r="H570" s="232">
        <v>12</v>
      </c>
      <c r="I570" s="209" t="s">
        <v>518</v>
      </c>
      <c r="J570" s="209" t="s">
        <v>560</v>
      </c>
      <c r="K570" s="209" t="s">
        <v>560</v>
      </c>
      <c r="L570" s="209" t="s">
        <v>518</v>
      </c>
      <c r="M570" s="209" t="s">
        <v>412</v>
      </c>
      <c r="N570" s="209" t="s">
        <v>589</v>
      </c>
      <c r="O570" s="209"/>
      <c r="P570" s="209"/>
      <c r="Q570" s="209" t="s">
        <v>25</v>
      </c>
      <c r="R570" s="209" t="s">
        <v>25</v>
      </c>
      <c r="S570" s="234" t="s">
        <v>25</v>
      </c>
      <c r="T570" s="209" t="s">
        <v>25</v>
      </c>
      <c r="U570" s="209" t="s">
        <v>19</v>
      </c>
      <c r="V570" s="234" t="s">
        <v>306</v>
      </c>
      <c r="W570" s="209" t="s">
        <v>306</v>
      </c>
      <c r="X570" s="209" t="s">
        <v>306</v>
      </c>
      <c r="Y570" s="234" t="s">
        <v>306</v>
      </c>
      <c r="Z570" s="209" t="s">
        <v>25</v>
      </c>
      <c r="AA570" s="209" t="s">
        <v>25</v>
      </c>
      <c r="AB570" s="234" t="s">
        <v>25</v>
      </c>
      <c r="AC570" s="235" t="s">
        <v>25</v>
      </c>
      <c r="AD570" s="209" t="s">
        <v>306</v>
      </c>
      <c r="AE570" s="209" t="s">
        <v>306</v>
      </c>
      <c r="AF570" s="234" t="s">
        <v>306</v>
      </c>
      <c r="AG570" s="209" t="s">
        <v>19</v>
      </c>
      <c r="AH570" s="209" t="s">
        <v>19</v>
      </c>
      <c r="AI570" s="234" t="s">
        <v>19</v>
      </c>
      <c r="AJ570" s="209" t="s">
        <v>25</v>
      </c>
      <c r="AK570" s="209" t="s">
        <v>19</v>
      </c>
      <c r="AL570" s="234" t="s">
        <v>306</v>
      </c>
      <c r="AM570" s="209" t="s">
        <v>19</v>
      </c>
      <c r="AN570" s="209" t="s">
        <v>306</v>
      </c>
      <c r="AO570" s="234" t="s">
        <v>306</v>
      </c>
      <c r="AP570" s="235" t="s">
        <v>306</v>
      </c>
      <c r="AQ570" s="209" t="s">
        <v>19</v>
      </c>
      <c r="AR570" s="209" t="s">
        <v>306</v>
      </c>
      <c r="AS570" s="234" t="s">
        <v>306</v>
      </c>
      <c r="AT570" s="209" t="s">
        <v>25</v>
      </c>
      <c r="AU570" s="209" t="s">
        <v>306</v>
      </c>
      <c r="AV570" s="234" t="s">
        <v>25</v>
      </c>
      <c r="AW570" s="209" t="s">
        <v>306</v>
      </c>
      <c r="AX570" s="209" t="s">
        <v>306</v>
      </c>
      <c r="AY570" s="234" t="s">
        <v>306</v>
      </c>
      <c r="AZ570" s="209" t="s">
        <v>25</v>
      </c>
      <c r="BA570" s="209" t="s">
        <v>306</v>
      </c>
      <c r="BB570" s="234" t="s">
        <v>25</v>
      </c>
      <c r="BC570" s="235" t="s">
        <v>306</v>
      </c>
      <c r="BD570" s="188"/>
    </row>
    <row r="571" spans="1:56" ht="12.75" customHeight="1" x14ac:dyDescent="0.25">
      <c r="A571" s="238">
        <v>45257.412885821759</v>
      </c>
      <c r="B571" s="233" t="s">
        <v>304</v>
      </c>
      <c r="C571" s="209" t="s">
        <v>587</v>
      </c>
      <c r="D571" s="232" t="s">
        <v>17</v>
      </c>
      <c r="E571" s="232" t="s">
        <v>515</v>
      </c>
      <c r="F571" s="209" t="s">
        <v>1148</v>
      </c>
      <c r="G571" s="232" t="s">
        <v>18</v>
      </c>
      <c r="H571" s="232">
        <v>11</v>
      </c>
      <c r="I571" s="209" t="s">
        <v>518</v>
      </c>
      <c r="J571" s="209" t="s">
        <v>560</v>
      </c>
      <c r="K571" s="209" t="s">
        <v>560</v>
      </c>
      <c r="L571" s="209" t="s">
        <v>518</v>
      </c>
      <c r="M571" s="209" t="s">
        <v>375</v>
      </c>
      <c r="N571" s="209" t="s">
        <v>589</v>
      </c>
      <c r="O571" s="209"/>
      <c r="P571" s="209"/>
      <c r="Q571" s="209" t="s">
        <v>25</v>
      </c>
      <c r="R571" s="209" t="s">
        <v>25</v>
      </c>
      <c r="S571" s="234" t="s">
        <v>25</v>
      </c>
      <c r="T571" s="209" t="s">
        <v>25</v>
      </c>
      <c r="U571" s="209" t="s">
        <v>306</v>
      </c>
      <c r="V571" s="234" t="s">
        <v>25</v>
      </c>
      <c r="W571" s="209" t="s">
        <v>25</v>
      </c>
      <c r="X571" s="209" t="s">
        <v>306</v>
      </c>
      <c r="Y571" s="234" t="s">
        <v>25</v>
      </c>
      <c r="Z571" s="209" t="s">
        <v>306</v>
      </c>
      <c r="AA571" s="209" t="s">
        <v>25</v>
      </c>
      <c r="AB571" s="234" t="s">
        <v>25</v>
      </c>
      <c r="AC571" s="235" t="s">
        <v>25</v>
      </c>
      <c r="AD571" s="209" t="s">
        <v>306</v>
      </c>
      <c r="AE571" s="209" t="s">
        <v>306</v>
      </c>
      <c r="AF571" s="234" t="s">
        <v>306</v>
      </c>
      <c r="AG571" s="209" t="s">
        <v>25</v>
      </c>
      <c r="AH571" s="209" t="s">
        <v>306</v>
      </c>
      <c r="AI571" s="234" t="s">
        <v>25</v>
      </c>
      <c r="AJ571" s="209" t="s">
        <v>306</v>
      </c>
      <c r="AK571" s="209" t="s">
        <v>306</v>
      </c>
      <c r="AL571" s="234" t="s">
        <v>306</v>
      </c>
      <c r="AM571" s="209" t="s">
        <v>25</v>
      </c>
      <c r="AN571" s="209" t="s">
        <v>306</v>
      </c>
      <c r="AO571" s="234" t="s">
        <v>25</v>
      </c>
      <c r="AP571" s="235" t="s">
        <v>306</v>
      </c>
      <c r="AQ571" s="209" t="s">
        <v>25</v>
      </c>
      <c r="AR571" s="209" t="s">
        <v>19</v>
      </c>
      <c r="AS571" s="234" t="s">
        <v>306</v>
      </c>
      <c r="AT571" s="209" t="s">
        <v>19</v>
      </c>
      <c r="AU571" s="209" t="s">
        <v>25</v>
      </c>
      <c r="AV571" s="234" t="s">
        <v>306</v>
      </c>
      <c r="AW571" s="209" t="s">
        <v>19</v>
      </c>
      <c r="AX571" s="209" t="s">
        <v>25</v>
      </c>
      <c r="AY571" s="234" t="s">
        <v>306</v>
      </c>
      <c r="AZ571" s="209" t="s">
        <v>306</v>
      </c>
      <c r="BA571" s="209" t="s">
        <v>19</v>
      </c>
      <c r="BB571" s="234" t="s">
        <v>306</v>
      </c>
      <c r="BC571" s="235" t="s">
        <v>306</v>
      </c>
      <c r="BD571" s="188"/>
    </row>
    <row r="572" spans="1:56" ht="12.75" customHeight="1" x14ac:dyDescent="0.25">
      <c r="A572" s="238">
        <v>45257.413075138888</v>
      </c>
      <c r="B572" s="233" t="s">
        <v>304</v>
      </c>
      <c r="C572" s="209" t="s">
        <v>587</v>
      </c>
      <c r="D572" s="232" t="s">
        <v>17</v>
      </c>
      <c r="E572" s="232" t="s">
        <v>515</v>
      </c>
      <c r="F572" s="209" t="s">
        <v>1149</v>
      </c>
      <c r="G572" s="232" t="s">
        <v>18</v>
      </c>
      <c r="H572" s="232">
        <v>12</v>
      </c>
      <c r="I572" s="209" t="s">
        <v>518</v>
      </c>
      <c r="J572" s="209" t="s">
        <v>560</v>
      </c>
      <c r="K572" s="209" t="s">
        <v>560</v>
      </c>
      <c r="L572" s="209" t="s">
        <v>518</v>
      </c>
      <c r="M572" s="209" t="s">
        <v>412</v>
      </c>
      <c r="N572" s="209" t="s">
        <v>589</v>
      </c>
      <c r="O572" s="209"/>
      <c r="P572" s="209"/>
      <c r="Q572" s="209" t="s">
        <v>25</v>
      </c>
      <c r="R572" s="209" t="s">
        <v>306</v>
      </c>
      <c r="S572" s="234" t="s">
        <v>25</v>
      </c>
      <c r="T572" s="209" t="s">
        <v>19</v>
      </c>
      <c r="U572" s="209" t="s">
        <v>306</v>
      </c>
      <c r="V572" s="234" t="s">
        <v>306</v>
      </c>
      <c r="W572" s="209" t="s">
        <v>25</v>
      </c>
      <c r="X572" s="209" t="s">
        <v>306</v>
      </c>
      <c r="Y572" s="234" t="s">
        <v>25</v>
      </c>
      <c r="Z572" s="209" t="s">
        <v>25</v>
      </c>
      <c r="AA572" s="209" t="s">
        <v>306</v>
      </c>
      <c r="AB572" s="234" t="s">
        <v>25</v>
      </c>
      <c r="AC572" s="235" t="s">
        <v>306</v>
      </c>
      <c r="AD572" s="209" t="s">
        <v>306</v>
      </c>
      <c r="AE572" s="209" t="s">
        <v>306</v>
      </c>
      <c r="AF572" s="234" t="s">
        <v>306</v>
      </c>
      <c r="AG572" s="209" t="s">
        <v>25</v>
      </c>
      <c r="AH572" s="209" t="s">
        <v>19</v>
      </c>
      <c r="AI572" s="234" t="s">
        <v>306</v>
      </c>
      <c r="AJ572" s="209" t="s">
        <v>306</v>
      </c>
      <c r="AK572" s="209" t="s">
        <v>306</v>
      </c>
      <c r="AL572" s="234" t="s">
        <v>306</v>
      </c>
      <c r="AM572" s="209" t="s">
        <v>19</v>
      </c>
      <c r="AN572" s="209" t="s">
        <v>19</v>
      </c>
      <c r="AO572" s="234" t="s">
        <v>19</v>
      </c>
      <c r="AP572" s="235" t="s">
        <v>306</v>
      </c>
      <c r="AQ572" s="209" t="s">
        <v>25</v>
      </c>
      <c r="AR572" s="209" t="s">
        <v>306</v>
      </c>
      <c r="AS572" s="234" t="s">
        <v>25</v>
      </c>
      <c r="AT572" s="209" t="s">
        <v>25</v>
      </c>
      <c r="AU572" s="209" t="s">
        <v>306</v>
      </c>
      <c r="AV572" s="234" t="s">
        <v>25</v>
      </c>
      <c r="AW572" s="209" t="s">
        <v>306</v>
      </c>
      <c r="AX572" s="209" t="s">
        <v>25</v>
      </c>
      <c r="AY572" s="234" t="s">
        <v>25</v>
      </c>
      <c r="AZ572" s="209" t="s">
        <v>306</v>
      </c>
      <c r="BA572" s="209" t="s">
        <v>306</v>
      </c>
      <c r="BB572" s="234" t="s">
        <v>25</v>
      </c>
      <c r="BC572" s="235" t="s">
        <v>25</v>
      </c>
      <c r="BD572" s="188"/>
    </row>
    <row r="573" spans="1:56" ht="12.75" customHeight="1" x14ac:dyDescent="0.25">
      <c r="A573" s="238">
        <v>45257.415949641203</v>
      </c>
      <c r="B573" s="233" t="s">
        <v>304</v>
      </c>
      <c r="C573" s="209" t="s">
        <v>587</v>
      </c>
      <c r="D573" s="232" t="s">
        <v>17</v>
      </c>
      <c r="E573" s="232" t="s">
        <v>515</v>
      </c>
      <c r="F573" s="209" t="s">
        <v>1150</v>
      </c>
      <c r="G573" s="232" t="s">
        <v>24</v>
      </c>
      <c r="H573" s="232">
        <v>12</v>
      </c>
      <c r="I573" s="209" t="s">
        <v>518</v>
      </c>
      <c r="J573" s="209" t="s">
        <v>560</v>
      </c>
      <c r="K573" s="209" t="s">
        <v>560</v>
      </c>
      <c r="L573" s="209" t="s">
        <v>518</v>
      </c>
      <c r="M573" s="209" t="s">
        <v>412</v>
      </c>
      <c r="N573" s="209" t="s">
        <v>589</v>
      </c>
      <c r="O573" s="209"/>
      <c r="P573" s="209"/>
      <c r="Q573" s="209" t="s">
        <v>25</v>
      </c>
      <c r="R573" s="209" t="s">
        <v>306</v>
      </c>
      <c r="S573" s="234" t="s">
        <v>25</v>
      </c>
      <c r="T573" s="209" t="s">
        <v>19</v>
      </c>
      <c r="U573" s="209" t="s">
        <v>25</v>
      </c>
      <c r="V573" s="234" t="s">
        <v>306</v>
      </c>
      <c r="W573" s="209" t="s">
        <v>25</v>
      </c>
      <c r="X573" s="209" t="s">
        <v>19</v>
      </c>
      <c r="Y573" s="234" t="s">
        <v>306</v>
      </c>
      <c r="Z573" s="209" t="s">
        <v>306</v>
      </c>
      <c r="AA573" s="209" t="s">
        <v>19</v>
      </c>
      <c r="AB573" s="234" t="s">
        <v>306</v>
      </c>
      <c r="AC573" s="235" t="s">
        <v>306</v>
      </c>
      <c r="AD573" s="209" t="s">
        <v>25</v>
      </c>
      <c r="AE573" s="209" t="s">
        <v>25</v>
      </c>
      <c r="AF573" s="234" t="s">
        <v>25</v>
      </c>
      <c r="AG573" s="209" t="s">
        <v>25</v>
      </c>
      <c r="AH573" s="209" t="s">
        <v>306</v>
      </c>
      <c r="AI573" s="234" t="s">
        <v>25</v>
      </c>
      <c r="AJ573" s="209" t="s">
        <v>306</v>
      </c>
      <c r="AK573" s="209" t="s">
        <v>306</v>
      </c>
      <c r="AL573" s="234" t="s">
        <v>306</v>
      </c>
      <c r="AM573" s="209" t="s">
        <v>19</v>
      </c>
      <c r="AN573" s="209" t="s">
        <v>306</v>
      </c>
      <c r="AO573" s="234" t="s">
        <v>306</v>
      </c>
      <c r="AP573" s="235" t="s">
        <v>306</v>
      </c>
      <c r="AQ573" s="209" t="s">
        <v>25</v>
      </c>
      <c r="AR573" s="209" t="s">
        <v>306</v>
      </c>
      <c r="AS573" s="234" t="s">
        <v>25</v>
      </c>
      <c r="AT573" s="209" t="s">
        <v>306</v>
      </c>
      <c r="AU573" s="209" t="s">
        <v>306</v>
      </c>
      <c r="AV573" s="234" t="s">
        <v>306</v>
      </c>
      <c r="AW573" s="209" t="s">
        <v>306</v>
      </c>
      <c r="AX573" s="209" t="s">
        <v>306</v>
      </c>
      <c r="AY573" s="234" t="s">
        <v>306</v>
      </c>
      <c r="AZ573" s="209" t="s">
        <v>19</v>
      </c>
      <c r="BA573" s="209" t="s">
        <v>306</v>
      </c>
      <c r="BB573" s="234" t="s">
        <v>306</v>
      </c>
      <c r="BC573" s="235" t="s">
        <v>306</v>
      </c>
      <c r="BD573" s="188"/>
    </row>
    <row r="574" spans="1:56" ht="12.75" customHeight="1" x14ac:dyDescent="0.25">
      <c r="A574" s="238">
        <v>45257.421175219904</v>
      </c>
      <c r="B574" s="233" t="s">
        <v>304</v>
      </c>
      <c r="C574" s="209" t="s">
        <v>587</v>
      </c>
      <c r="D574" s="232" t="s">
        <v>17</v>
      </c>
      <c r="E574" s="232" t="s">
        <v>515</v>
      </c>
      <c r="F574" s="209" t="s">
        <v>1151</v>
      </c>
      <c r="G574" s="232" t="s">
        <v>24</v>
      </c>
      <c r="H574" s="232">
        <v>12</v>
      </c>
      <c r="I574" s="209" t="s">
        <v>518</v>
      </c>
      <c r="J574" s="209" t="s">
        <v>560</v>
      </c>
      <c r="K574" s="209" t="s">
        <v>560</v>
      </c>
      <c r="L574" s="209" t="s">
        <v>531</v>
      </c>
      <c r="M574" s="188"/>
      <c r="N574" s="188"/>
      <c r="O574" s="188"/>
      <c r="P574" s="188"/>
      <c r="Q574" s="209" t="s">
        <v>25</v>
      </c>
      <c r="R574" s="209" t="s">
        <v>306</v>
      </c>
      <c r="S574" s="234" t="s">
        <v>25</v>
      </c>
      <c r="T574" s="209" t="s">
        <v>19</v>
      </c>
      <c r="U574" s="209" t="s">
        <v>25</v>
      </c>
      <c r="V574" s="234" t="s">
        <v>306</v>
      </c>
      <c r="W574" s="209" t="s">
        <v>25</v>
      </c>
      <c r="X574" s="209" t="s">
        <v>19</v>
      </c>
      <c r="Y574" s="234" t="s">
        <v>306</v>
      </c>
      <c r="Z574" s="209" t="s">
        <v>25</v>
      </c>
      <c r="AA574" s="209" t="s">
        <v>25</v>
      </c>
      <c r="AB574" s="234" t="s">
        <v>25</v>
      </c>
      <c r="AC574" s="235" t="s">
        <v>306</v>
      </c>
      <c r="AD574" s="209" t="s">
        <v>25</v>
      </c>
      <c r="AE574" s="209" t="s">
        <v>25</v>
      </c>
      <c r="AF574" s="234" t="s">
        <v>25</v>
      </c>
      <c r="AG574" s="209" t="s">
        <v>25</v>
      </c>
      <c r="AH574" s="209" t="s">
        <v>19</v>
      </c>
      <c r="AI574" s="234" t="s">
        <v>306</v>
      </c>
      <c r="AJ574" s="209" t="s">
        <v>25</v>
      </c>
      <c r="AK574" s="209" t="s">
        <v>25</v>
      </c>
      <c r="AL574" s="234" t="s">
        <v>25</v>
      </c>
      <c r="AM574" s="209" t="s">
        <v>19</v>
      </c>
      <c r="AN574" s="209" t="s">
        <v>19</v>
      </c>
      <c r="AO574" s="234" t="s">
        <v>19</v>
      </c>
      <c r="AP574" s="235" t="s">
        <v>306</v>
      </c>
      <c r="AQ574" s="209" t="s">
        <v>25</v>
      </c>
      <c r="AR574" s="209" t="s">
        <v>25</v>
      </c>
      <c r="AS574" s="234" t="s">
        <v>25</v>
      </c>
      <c r="AT574" s="209" t="s">
        <v>25</v>
      </c>
      <c r="AU574" s="209" t="s">
        <v>25</v>
      </c>
      <c r="AV574" s="234" t="s">
        <v>25</v>
      </c>
      <c r="AW574" s="209" t="s">
        <v>25</v>
      </c>
      <c r="AX574" s="209" t="s">
        <v>306</v>
      </c>
      <c r="AY574" s="234" t="s">
        <v>25</v>
      </c>
      <c r="AZ574" s="209" t="s">
        <v>19</v>
      </c>
      <c r="BA574" s="209" t="s">
        <v>19</v>
      </c>
      <c r="BB574" s="234" t="s">
        <v>25</v>
      </c>
      <c r="BC574" s="235" t="s">
        <v>25</v>
      </c>
      <c r="BD574" s="188"/>
    </row>
    <row r="575" spans="1:56" ht="12.75" customHeight="1" x14ac:dyDescent="0.25">
      <c r="A575" s="238">
        <v>45257.42473402778</v>
      </c>
      <c r="B575" s="233" t="s">
        <v>304</v>
      </c>
      <c r="C575" s="209" t="s">
        <v>587</v>
      </c>
      <c r="D575" s="232" t="s">
        <v>17</v>
      </c>
      <c r="E575" s="232" t="s">
        <v>515</v>
      </c>
      <c r="F575" s="209" t="s">
        <v>1152</v>
      </c>
      <c r="G575" s="232" t="s">
        <v>24</v>
      </c>
      <c r="H575" s="232">
        <v>12</v>
      </c>
      <c r="I575" s="209" t="s">
        <v>518</v>
      </c>
      <c r="J575" s="209" t="s">
        <v>560</v>
      </c>
      <c r="K575" s="209" t="s">
        <v>560</v>
      </c>
      <c r="L575" s="209" t="s">
        <v>531</v>
      </c>
      <c r="M575" s="188"/>
      <c r="N575" s="188"/>
      <c r="O575" s="188"/>
      <c r="P575" s="188"/>
      <c r="Q575" s="209" t="s">
        <v>25</v>
      </c>
      <c r="R575" s="209" t="s">
        <v>306</v>
      </c>
      <c r="S575" s="234" t="s">
        <v>25</v>
      </c>
      <c r="T575" s="209" t="s">
        <v>306</v>
      </c>
      <c r="U575" s="209" t="s">
        <v>25</v>
      </c>
      <c r="V575" s="234" t="s">
        <v>25</v>
      </c>
      <c r="W575" s="209" t="s">
        <v>25</v>
      </c>
      <c r="X575" s="209" t="s">
        <v>306</v>
      </c>
      <c r="Y575" s="234" t="s">
        <v>25</v>
      </c>
      <c r="Z575" s="209" t="s">
        <v>25</v>
      </c>
      <c r="AA575" s="209" t="s">
        <v>306</v>
      </c>
      <c r="AB575" s="234" t="s">
        <v>25</v>
      </c>
      <c r="AC575" s="235" t="s">
        <v>25</v>
      </c>
      <c r="AD575" s="209" t="s">
        <v>306</v>
      </c>
      <c r="AE575" s="209" t="s">
        <v>306</v>
      </c>
      <c r="AF575" s="234" t="s">
        <v>306</v>
      </c>
      <c r="AG575" s="209" t="s">
        <v>25</v>
      </c>
      <c r="AH575" s="209" t="s">
        <v>25</v>
      </c>
      <c r="AI575" s="234" t="s">
        <v>25</v>
      </c>
      <c r="AJ575" s="209" t="s">
        <v>306</v>
      </c>
      <c r="AK575" s="209" t="s">
        <v>306</v>
      </c>
      <c r="AL575" s="234" t="s">
        <v>306</v>
      </c>
      <c r="AM575" s="209" t="s">
        <v>19</v>
      </c>
      <c r="AN575" s="209" t="s">
        <v>306</v>
      </c>
      <c r="AO575" s="234" t="s">
        <v>306</v>
      </c>
      <c r="AP575" s="235" t="s">
        <v>306</v>
      </c>
      <c r="AQ575" s="209" t="s">
        <v>306</v>
      </c>
      <c r="AR575" s="209" t="s">
        <v>19</v>
      </c>
      <c r="AS575" s="234" t="s">
        <v>306</v>
      </c>
      <c r="AT575" s="209" t="s">
        <v>25</v>
      </c>
      <c r="AU575" s="209" t="s">
        <v>25</v>
      </c>
      <c r="AV575" s="234" t="s">
        <v>25</v>
      </c>
      <c r="AW575" s="209" t="s">
        <v>306</v>
      </c>
      <c r="AX575" s="209" t="s">
        <v>306</v>
      </c>
      <c r="AY575" s="234" t="s">
        <v>306</v>
      </c>
      <c r="AZ575" s="209" t="s">
        <v>25</v>
      </c>
      <c r="BA575" s="209" t="s">
        <v>25</v>
      </c>
      <c r="BB575" s="234" t="s">
        <v>25</v>
      </c>
      <c r="BC575" s="235" t="s">
        <v>306</v>
      </c>
      <c r="BD575" s="188"/>
    </row>
    <row r="576" spans="1:56" ht="12.75" customHeight="1" x14ac:dyDescent="0.25">
      <c r="A576" s="238">
        <v>45257.432786342593</v>
      </c>
      <c r="B576" s="233" t="s">
        <v>304</v>
      </c>
      <c r="C576" s="209" t="s">
        <v>587</v>
      </c>
      <c r="D576" s="232" t="s">
        <v>17</v>
      </c>
      <c r="E576" s="232" t="s">
        <v>515</v>
      </c>
      <c r="F576" s="209" t="s">
        <v>1153</v>
      </c>
      <c r="G576" s="232" t="s">
        <v>24</v>
      </c>
      <c r="H576" s="232">
        <v>12</v>
      </c>
      <c r="I576" s="209" t="s">
        <v>518</v>
      </c>
      <c r="J576" s="209" t="s">
        <v>560</v>
      </c>
      <c r="K576" s="209" t="s">
        <v>560</v>
      </c>
      <c r="L576" s="209" t="s">
        <v>518</v>
      </c>
      <c r="M576" s="209" t="s">
        <v>401</v>
      </c>
      <c r="N576" s="209" t="s">
        <v>589</v>
      </c>
      <c r="O576" s="209"/>
      <c r="P576" s="209"/>
      <c r="Q576" s="209" t="s">
        <v>306</v>
      </c>
      <c r="R576" s="209" t="s">
        <v>19</v>
      </c>
      <c r="S576" s="234" t="s">
        <v>306</v>
      </c>
      <c r="T576" s="209" t="s">
        <v>19</v>
      </c>
      <c r="U576" s="209" t="s">
        <v>19</v>
      </c>
      <c r="V576" s="234" t="s">
        <v>19</v>
      </c>
      <c r="W576" s="209" t="s">
        <v>306</v>
      </c>
      <c r="X576" s="209" t="s">
        <v>19</v>
      </c>
      <c r="Y576" s="234" t="s">
        <v>306</v>
      </c>
      <c r="Z576" s="209" t="s">
        <v>19</v>
      </c>
      <c r="AA576" s="209" t="s">
        <v>306</v>
      </c>
      <c r="AB576" s="234" t="s">
        <v>306</v>
      </c>
      <c r="AC576" s="235" t="s">
        <v>19</v>
      </c>
      <c r="AD576" s="209" t="s">
        <v>19</v>
      </c>
      <c r="AE576" s="209" t="s">
        <v>19</v>
      </c>
      <c r="AF576" s="234" t="s">
        <v>19</v>
      </c>
      <c r="AG576" s="209" t="s">
        <v>306</v>
      </c>
      <c r="AH576" s="209" t="s">
        <v>19</v>
      </c>
      <c r="AI576" s="234" t="s">
        <v>306</v>
      </c>
      <c r="AJ576" s="209" t="s">
        <v>19</v>
      </c>
      <c r="AK576" s="209" t="s">
        <v>19</v>
      </c>
      <c r="AL576" s="234" t="s">
        <v>19</v>
      </c>
      <c r="AM576" s="209" t="s">
        <v>306</v>
      </c>
      <c r="AN576" s="209" t="s">
        <v>19</v>
      </c>
      <c r="AO576" s="234" t="s">
        <v>306</v>
      </c>
      <c r="AP576" s="235" t="s">
        <v>19</v>
      </c>
      <c r="AQ576" s="209" t="s">
        <v>306</v>
      </c>
      <c r="AR576" s="209" t="s">
        <v>19</v>
      </c>
      <c r="AS576" s="234" t="s">
        <v>306</v>
      </c>
      <c r="AT576" s="209" t="s">
        <v>19</v>
      </c>
      <c r="AU576" s="209" t="s">
        <v>25</v>
      </c>
      <c r="AV576" s="234" t="s">
        <v>306</v>
      </c>
      <c r="AW576" s="209" t="s">
        <v>306</v>
      </c>
      <c r="AX576" s="209" t="s">
        <v>19</v>
      </c>
      <c r="AY576" s="234" t="s">
        <v>306</v>
      </c>
      <c r="AZ576" s="209" t="s">
        <v>306</v>
      </c>
      <c r="BA576" s="209" t="s">
        <v>306</v>
      </c>
      <c r="BB576" s="234" t="s">
        <v>25</v>
      </c>
      <c r="BC576" s="235" t="s">
        <v>25</v>
      </c>
      <c r="BD576" s="188"/>
    </row>
    <row r="577" spans="1:56" ht="12.75" customHeight="1" x14ac:dyDescent="0.25">
      <c r="A577" s="238">
        <v>45257.43875288195</v>
      </c>
      <c r="B577" s="233" t="s">
        <v>304</v>
      </c>
      <c r="C577" s="209" t="s">
        <v>587</v>
      </c>
      <c r="D577" s="232" t="s">
        <v>17</v>
      </c>
      <c r="E577" s="232" t="s">
        <v>515</v>
      </c>
      <c r="F577" s="209" t="s">
        <v>1154</v>
      </c>
      <c r="G577" s="232" t="s">
        <v>24</v>
      </c>
      <c r="H577" s="232">
        <v>12</v>
      </c>
      <c r="I577" s="209" t="s">
        <v>518</v>
      </c>
      <c r="J577" s="209" t="s">
        <v>560</v>
      </c>
      <c r="K577" s="209" t="s">
        <v>560</v>
      </c>
      <c r="L577" s="209" t="s">
        <v>531</v>
      </c>
      <c r="M577" s="188"/>
      <c r="N577" s="188"/>
      <c r="O577" s="188"/>
      <c r="P577" s="188"/>
      <c r="Q577" s="209" t="s">
        <v>25</v>
      </c>
      <c r="R577" s="209" t="s">
        <v>25</v>
      </c>
      <c r="S577" s="234" t="s">
        <v>25</v>
      </c>
      <c r="T577" s="209" t="s">
        <v>25</v>
      </c>
      <c r="U577" s="209" t="s">
        <v>25</v>
      </c>
      <c r="V577" s="234" t="s">
        <v>25</v>
      </c>
      <c r="W577" s="209" t="s">
        <v>306</v>
      </c>
      <c r="X577" s="209" t="s">
        <v>306</v>
      </c>
      <c r="Y577" s="234" t="s">
        <v>306</v>
      </c>
      <c r="Z577" s="209" t="s">
        <v>25</v>
      </c>
      <c r="AA577" s="209" t="s">
        <v>25</v>
      </c>
      <c r="AB577" s="234" t="s">
        <v>25</v>
      </c>
      <c r="AC577" s="235" t="s">
        <v>25</v>
      </c>
      <c r="AD577" s="209" t="s">
        <v>25</v>
      </c>
      <c r="AE577" s="209" t="s">
        <v>25</v>
      </c>
      <c r="AF577" s="234" t="s">
        <v>25</v>
      </c>
      <c r="AG577" s="209" t="s">
        <v>25</v>
      </c>
      <c r="AH577" s="209" t="s">
        <v>19</v>
      </c>
      <c r="AI577" s="234" t="s">
        <v>306</v>
      </c>
      <c r="AJ577" s="209" t="s">
        <v>25</v>
      </c>
      <c r="AK577" s="209" t="s">
        <v>306</v>
      </c>
      <c r="AL577" s="234" t="s">
        <v>25</v>
      </c>
      <c r="AM577" s="209" t="s">
        <v>19</v>
      </c>
      <c r="AN577" s="209" t="s">
        <v>19</v>
      </c>
      <c r="AO577" s="234" t="s">
        <v>19</v>
      </c>
      <c r="AP577" s="235" t="s">
        <v>306</v>
      </c>
      <c r="AQ577" s="209" t="s">
        <v>306</v>
      </c>
      <c r="AR577" s="209" t="s">
        <v>25</v>
      </c>
      <c r="AS577" s="234" t="s">
        <v>25</v>
      </c>
      <c r="AT577" s="209" t="s">
        <v>25</v>
      </c>
      <c r="AU577" s="209" t="s">
        <v>25</v>
      </c>
      <c r="AV577" s="234" t="s">
        <v>25</v>
      </c>
      <c r="AW577" s="209" t="s">
        <v>25</v>
      </c>
      <c r="AX577" s="209" t="s">
        <v>25</v>
      </c>
      <c r="AY577" s="234" t="s">
        <v>25</v>
      </c>
      <c r="AZ577" s="209" t="s">
        <v>25</v>
      </c>
      <c r="BA577" s="209" t="s">
        <v>25</v>
      </c>
      <c r="BB577" s="234" t="s">
        <v>25</v>
      </c>
      <c r="BC577" s="235" t="s">
        <v>306</v>
      </c>
      <c r="BD577" s="188"/>
    </row>
    <row r="578" spans="1:56" ht="12.75" customHeight="1" x14ac:dyDescent="0.25">
      <c r="A578" s="238">
        <v>45257.449120925929</v>
      </c>
      <c r="B578" s="233" t="s">
        <v>304</v>
      </c>
      <c r="C578" s="209" t="s">
        <v>587</v>
      </c>
      <c r="D578" s="232" t="s">
        <v>17</v>
      </c>
      <c r="E578" s="232" t="s">
        <v>515</v>
      </c>
      <c r="F578" s="209" t="s">
        <v>1155</v>
      </c>
      <c r="G578" s="232" t="s">
        <v>18</v>
      </c>
      <c r="H578" s="232">
        <v>12</v>
      </c>
      <c r="I578" s="209" t="s">
        <v>518</v>
      </c>
      <c r="J578" s="209" t="s">
        <v>560</v>
      </c>
      <c r="K578" s="209" t="s">
        <v>560</v>
      </c>
      <c r="L578" s="209" t="s">
        <v>518</v>
      </c>
      <c r="M578" s="209" t="s">
        <v>412</v>
      </c>
      <c r="N578" s="209" t="s">
        <v>589</v>
      </c>
      <c r="O578" s="209"/>
      <c r="P578" s="209"/>
      <c r="Q578" s="209" t="s">
        <v>25</v>
      </c>
      <c r="R578" s="209" t="s">
        <v>25</v>
      </c>
      <c r="S578" s="234" t="s">
        <v>25</v>
      </c>
      <c r="T578" s="209" t="s">
        <v>306</v>
      </c>
      <c r="U578" s="209" t="s">
        <v>25</v>
      </c>
      <c r="V578" s="234" t="s">
        <v>25</v>
      </c>
      <c r="W578" s="209" t="s">
        <v>25</v>
      </c>
      <c r="X578" s="209" t="s">
        <v>19</v>
      </c>
      <c r="Y578" s="234" t="s">
        <v>306</v>
      </c>
      <c r="Z578" s="209" t="s">
        <v>25</v>
      </c>
      <c r="AA578" s="209" t="s">
        <v>306</v>
      </c>
      <c r="AB578" s="234" t="s">
        <v>25</v>
      </c>
      <c r="AC578" s="235" t="s">
        <v>25</v>
      </c>
      <c r="AD578" s="209" t="s">
        <v>25</v>
      </c>
      <c r="AE578" s="209" t="s">
        <v>25</v>
      </c>
      <c r="AF578" s="234" t="s">
        <v>25</v>
      </c>
      <c r="AG578" s="209" t="s">
        <v>19</v>
      </c>
      <c r="AH578" s="209" t="s">
        <v>19</v>
      </c>
      <c r="AI578" s="234" t="s">
        <v>19</v>
      </c>
      <c r="AJ578" s="209" t="s">
        <v>25</v>
      </c>
      <c r="AK578" s="209" t="s">
        <v>19</v>
      </c>
      <c r="AL578" s="234" t="s">
        <v>306</v>
      </c>
      <c r="AM578" s="209" t="s">
        <v>19</v>
      </c>
      <c r="AN578" s="209" t="s">
        <v>306</v>
      </c>
      <c r="AO578" s="234" t="s">
        <v>306</v>
      </c>
      <c r="AP578" s="235" t="s">
        <v>306</v>
      </c>
      <c r="AQ578" s="209" t="s">
        <v>25</v>
      </c>
      <c r="AR578" s="209" t="s">
        <v>25</v>
      </c>
      <c r="AS578" s="234" t="s">
        <v>25</v>
      </c>
      <c r="AT578" s="209" t="s">
        <v>306</v>
      </c>
      <c r="AU578" s="209" t="s">
        <v>306</v>
      </c>
      <c r="AV578" s="234" t="s">
        <v>306</v>
      </c>
      <c r="AW578" s="209" t="s">
        <v>25</v>
      </c>
      <c r="AX578" s="209" t="s">
        <v>306</v>
      </c>
      <c r="AY578" s="234" t="s">
        <v>25</v>
      </c>
      <c r="AZ578" s="209" t="s">
        <v>25</v>
      </c>
      <c r="BA578" s="209" t="s">
        <v>25</v>
      </c>
      <c r="BB578" s="234" t="s">
        <v>25</v>
      </c>
      <c r="BC578" s="235" t="s">
        <v>25</v>
      </c>
      <c r="BD578" s="188"/>
    </row>
    <row r="579" spans="1:56" ht="12.75" customHeight="1" x14ac:dyDescent="0.25">
      <c r="A579" s="238">
        <v>45257.451165532402</v>
      </c>
      <c r="B579" s="233" t="s">
        <v>304</v>
      </c>
      <c r="C579" s="209" t="s">
        <v>587</v>
      </c>
      <c r="D579" s="232" t="s">
        <v>17</v>
      </c>
      <c r="E579" s="232" t="s">
        <v>515</v>
      </c>
      <c r="F579" s="209" t="s">
        <v>1156</v>
      </c>
      <c r="G579" s="232" t="s">
        <v>24</v>
      </c>
      <c r="H579" s="232">
        <v>12</v>
      </c>
      <c r="I579" s="209" t="s">
        <v>518</v>
      </c>
      <c r="J579" s="209" t="s">
        <v>560</v>
      </c>
      <c r="K579" s="209" t="s">
        <v>560</v>
      </c>
      <c r="L579" s="209" t="s">
        <v>518</v>
      </c>
      <c r="M579" s="209" t="s">
        <v>412</v>
      </c>
      <c r="N579" s="209" t="s">
        <v>589</v>
      </c>
      <c r="O579" s="209"/>
      <c r="P579" s="209"/>
      <c r="Q579" s="209" t="s">
        <v>25</v>
      </c>
      <c r="R579" s="209" t="s">
        <v>19</v>
      </c>
      <c r="S579" s="234" t="s">
        <v>306</v>
      </c>
      <c r="T579" s="209" t="s">
        <v>25</v>
      </c>
      <c r="U579" s="209" t="s">
        <v>25</v>
      </c>
      <c r="V579" s="234" t="s">
        <v>25</v>
      </c>
      <c r="W579" s="209" t="s">
        <v>25</v>
      </c>
      <c r="X579" s="209" t="s">
        <v>19</v>
      </c>
      <c r="Y579" s="234" t="s">
        <v>306</v>
      </c>
      <c r="Z579" s="209" t="s">
        <v>306</v>
      </c>
      <c r="AA579" s="209" t="s">
        <v>19</v>
      </c>
      <c r="AB579" s="234" t="s">
        <v>306</v>
      </c>
      <c r="AC579" s="235" t="s">
        <v>306</v>
      </c>
      <c r="AD579" s="209" t="s">
        <v>25</v>
      </c>
      <c r="AE579" s="209" t="s">
        <v>25</v>
      </c>
      <c r="AF579" s="234" t="s">
        <v>25</v>
      </c>
      <c r="AG579" s="209" t="s">
        <v>306</v>
      </c>
      <c r="AH579" s="209" t="s">
        <v>19</v>
      </c>
      <c r="AI579" s="234" t="s">
        <v>306</v>
      </c>
      <c r="AJ579" s="209" t="s">
        <v>19</v>
      </c>
      <c r="AK579" s="209" t="s">
        <v>19</v>
      </c>
      <c r="AL579" s="234" t="s">
        <v>19</v>
      </c>
      <c r="AM579" s="209" t="s">
        <v>19</v>
      </c>
      <c r="AN579" s="209" t="s">
        <v>306</v>
      </c>
      <c r="AO579" s="234" t="s">
        <v>306</v>
      </c>
      <c r="AP579" s="235" t="s">
        <v>306</v>
      </c>
      <c r="AQ579" s="209" t="s">
        <v>25</v>
      </c>
      <c r="AR579" s="209" t="s">
        <v>306</v>
      </c>
      <c r="AS579" s="234" t="s">
        <v>25</v>
      </c>
      <c r="AT579" s="209" t="s">
        <v>25</v>
      </c>
      <c r="AU579" s="209" t="s">
        <v>25</v>
      </c>
      <c r="AV579" s="234" t="s">
        <v>25</v>
      </c>
      <c r="AW579" s="209" t="s">
        <v>25</v>
      </c>
      <c r="AX579" s="209" t="s">
        <v>19</v>
      </c>
      <c r="AY579" s="234" t="s">
        <v>306</v>
      </c>
      <c r="AZ579" s="209" t="s">
        <v>19</v>
      </c>
      <c r="BA579" s="209" t="s">
        <v>306</v>
      </c>
      <c r="BB579" s="234" t="s">
        <v>25</v>
      </c>
      <c r="BC579" s="235" t="s">
        <v>25</v>
      </c>
      <c r="BD579" s="188"/>
    </row>
    <row r="580" spans="1:56" ht="12.75" customHeight="1" x14ac:dyDescent="0.25">
      <c r="A580" s="238">
        <v>45257.457731331015</v>
      </c>
      <c r="B580" s="233" t="s">
        <v>304</v>
      </c>
      <c r="C580" s="209" t="s">
        <v>587</v>
      </c>
      <c r="D580" s="232" t="s">
        <v>17</v>
      </c>
      <c r="E580" s="232" t="s">
        <v>515</v>
      </c>
      <c r="F580" s="209" t="s">
        <v>1157</v>
      </c>
      <c r="G580" s="232" t="s">
        <v>24</v>
      </c>
      <c r="H580" s="232">
        <v>12</v>
      </c>
      <c r="I580" s="209" t="s">
        <v>518</v>
      </c>
      <c r="J580" s="209" t="s">
        <v>560</v>
      </c>
      <c r="K580" s="209" t="s">
        <v>560</v>
      </c>
      <c r="L580" s="209" t="s">
        <v>518</v>
      </c>
      <c r="M580" s="209" t="s">
        <v>375</v>
      </c>
      <c r="N580" s="209" t="s">
        <v>589</v>
      </c>
      <c r="O580" s="209"/>
      <c r="P580" s="209"/>
      <c r="Q580" s="209" t="s">
        <v>306</v>
      </c>
      <c r="R580" s="209" t="s">
        <v>25</v>
      </c>
      <c r="S580" s="234" t="s">
        <v>25</v>
      </c>
      <c r="T580" s="209" t="s">
        <v>306</v>
      </c>
      <c r="U580" s="209" t="s">
        <v>306</v>
      </c>
      <c r="V580" s="234" t="s">
        <v>306</v>
      </c>
      <c r="W580" s="209" t="s">
        <v>306</v>
      </c>
      <c r="X580" s="209" t="s">
        <v>19</v>
      </c>
      <c r="Y580" s="234" t="s">
        <v>306</v>
      </c>
      <c r="Z580" s="209" t="s">
        <v>306</v>
      </c>
      <c r="AA580" s="209" t="s">
        <v>306</v>
      </c>
      <c r="AB580" s="234" t="s">
        <v>306</v>
      </c>
      <c r="AC580" s="235" t="s">
        <v>306</v>
      </c>
      <c r="AD580" s="209" t="s">
        <v>306</v>
      </c>
      <c r="AE580" s="209" t="s">
        <v>19</v>
      </c>
      <c r="AF580" s="234" t="s">
        <v>306</v>
      </c>
      <c r="AG580" s="209" t="s">
        <v>19</v>
      </c>
      <c r="AH580" s="209" t="s">
        <v>306</v>
      </c>
      <c r="AI580" s="234" t="s">
        <v>306</v>
      </c>
      <c r="AJ580" s="209" t="s">
        <v>306</v>
      </c>
      <c r="AK580" s="209" t="s">
        <v>19</v>
      </c>
      <c r="AL580" s="234" t="s">
        <v>306</v>
      </c>
      <c r="AM580" s="209" t="s">
        <v>306</v>
      </c>
      <c r="AN580" s="209" t="s">
        <v>19</v>
      </c>
      <c r="AO580" s="234" t="s">
        <v>306</v>
      </c>
      <c r="AP580" s="235" t="s">
        <v>306</v>
      </c>
      <c r="AQ580" s="209" t="s">
        <v>306</v>
      </c>
      <c r="AR580" s="209" t="s">
        <v>306</v>
      </c>
      <c r="AS580" s="234" t="s">
        <v>306</v>
      </c>
      <c r="AT580" s="209" t="s">
        <v>25</v>
      </c>
      <c r="AU580" s="209" t="s">
        <v>25</v>
      </c>
      <c r="AV580" s="234" t="s">
        <v>25</v>
      </c>
      <c r="AW580" s="209" t="s">
        <v>306</v>
      </c>
      <c r="AX580" s="209" t="s">
        <v>25</v>
      </c>
      <c r="AY580" s="234" t="s">
        <v>25</v>
      </c>
      <c r="AZ580" s="209" t="s">
        <v>25</v>
      </c>
      <c r="BA580" s="209" t="s">
        <v>306</v>
      </c>
      <c r="BB580" s="234" t="s">
        <v>306</v>
      </c>
      <c r="BC580" s="235" t="s">
        <v>25</v>
      </c>
      <c r="BD580" s="188"/>
    </row>
    <row r="581" spans="1:56" ht="12.75" customHeight="1" x14ac:dyDescent="0.25">
      <c r="A581" s="238">
        <v>45257.458450243052</v>
      </c>
      <c r="B581" s="233" t="s">
        <v>304</v>
      </c>
      <c r="C581" s="209" t="s">
        <v>587</v>
      </c>
      <c r="D581" s="232" t="s">
        <v>17</v>
      </c>
      <c r="E581" s="232" t="s">
        <v>515</v>
      </c>
      <c r="F581" s="209" t="s">
        <v>1158</v>
      </c>
      <c r="G581" s="232" t="s">
        <v>24</v>
      </c>
      <c r="H581" s="232">
        <v>12</v>
      </c>
      <c r="I581" s="209" t="s">
        <v>518</v>
      </c>
      <c r="J581" s="209" t="s">
        <v>560</v>
      </c>
      <c r="K581" s="209" t="s">
        <v>560</v>
      </c>
      <c r="L581" s="209" t="s">
        <v>518</v>
      </c>
      <c r="M581" s="209" t="s">
        <v>401</v>
      </c>
      <c r="N581" s="209" t="s">
        <v>589</v>
      </c>
      <c r="O581" s="209"/>
      <c r="P581" s="209"/>
      <c r="Q581" s="209" t="s">
        <v>306</v>
      </c>
      <c r="R581" s="209" t="s">
        <v>306</v>
      </c>
      <c r="S581" s="234" t="s">
        <v>306</v>
      </c>
      <c r="T581" s="209" t="s">
        <v>19</v>
      </c>
      <c r="U581" s="209" t="s">
        <v>19</v>
      </c>
      <c r="V581" s="234" t="s">
        <v>19</v>
      </c>
      <c r="W581" s="209" t="s">
        <v>19</v>
      </c>
      <c r="X581" s="209" t="s">
        <v>19</v>
      </c>
      <c r="Y581" s="234" t="s">
        <v>19</v>
      </c>
      <c r="Z581" s="209" t="s">
        <v>19</v>
      </c>
      <c r="AA581" s="209" t="s">
        <v>19</v>
      </c>
      <c r="AB581" s="234" t="s">
        <v>19</v>
      </c>
      <c r="AC581" s="235" t="s">
        <v>19</v>
      </c>
      <c r="AD581" s="209" t="s">
        <v>19</v>
      </c>
      <c r="AE581" s="209" t="s">
        <v>19</v>
      </c>
      <c r="AF581" s="234" t="s">
        <v>19</v>
      </c>
      <c r="AG581" s="209" t="s">
        <v>19</v>
      </c>
      <c r="AH581" s="209" t="s">
        <v>19</v>
      </c>
      <c r="AI581" s="234" t="s">
        <v>19</v>
      </c>
      <c r="AJ581" s="209" t="s">
        <v>19</v>
      </c>
      <c r="AK581" s="209" t="s">
        <v>19</v>
      </c>
      <c r="AL581" s="234" t="s">
        <v>19</v>
      </c>
      <c r="AM581" s="209" t="s">
        <v>19</v>
      </c>
      <c r="AN581" s="209" t="s">
        <v>19</v>
      </c>
      <c r="AO581" s="234" t="s">
        <v>19</v>
      </c>
      <c r="AP581" s="235" t="s">
        <v>19</v>
      </c>
      <c r="AQ581" s="209" t="s">
        <v>19</v>
      </c>
      <c r="AR581" s="209" t="s">
        <v>19</v>
      </c>
      <c r="AS581" s="234" t="s">
        <v>19</v>
      </c>
      <c r="AT581" s="209" t="s">
        <v>19</v>
      </c>
      <c r="AU581" s="209" t="s">
        <v>19</v>
      </c>
      <c r="AV581" s="234" t="s">
        <v>19</v>
      </c>
      <c r="AW581" s="209" t="s">
        <v>19</v>
      </c>
      <c r="AX581" s="209" t="s">
        <v>19</v>
      </c>
      <c r="AY581" s="234" t="s">
        <v>19</v>
      </c>
      <c r="AZ581" s="209" t="s">
        <v>19</v>
      </c>
      <c r="BA581" s="209" t="s">
        <v>19</v>
      </c>
      <c r="BB581" s="234" t="s">
        <v>25</v>
      </c>
      <c r="BC581" s="235" t="s">
        <v>25</v>
      </c>
      <c r="BD581" s="188"/>
    </row>
    <row r="582" spans="1:56" ht="12.75" customHeight="1" x14ac:dyDescent="0.25">
      <c r="A582" s="238">
        <v>45257.458897083328</v>
      </c>
      <c r="B582" s="233" t="s">
        <v>304</v>
      </c>
      <c r="C582" s="209" t="s">
        <v>587</v>
      </c>
      <c r="D582" s="232" t="s">
        <v>17</v>
      </c>
      <c r="E582" s="232" t="s">
        <v>515</v>
      </c>
      <c r="F582" s="209" t="s">
        <v>1159</v>
      </c>
      <c r="G582" s="232" t="s">
        <v>24</v>
      </c>
      <c r="H582" s="232">
        <v>12</v>
      </c>
      <c r="I582" s="209" t="s">
        <v>518</v>
      </c>
      <c r="J582" s="209" t="s">
        <v>560</v>
      </c>
      <c r="K582" s="209" t="s">
        <v>560</v>
      </c>
      <c r="L582" s="209" t="s">
        <v>531</v>
      </c>
      <c r="M582" s="188"/>
      <c r="N582" s="188"/>
      <c r="O582" s="188"/>
      <c r="P582" s="188"/>
      <c r="Q582" s="209" t="s">
        <v>25</v>
      </c>
      <c r="R582" s="209" t="s">
        <v>25</v>
      </c>
      <c r="S582" s="234" t="s">
        <v>25</v>
      </c>
      <c r="T582" s="209" t="s">
        <v>25</v>
      </c>
      <c r="U582" s="209" t="s">
        <v>25</v>
      </c>
      <c r="V582" s="234" t="s">
        <v>25</v>
      </c>
      <c r="W582" s="209" t="s">
        <v>25</v>
      </c>
      <c r="X582" s="209" t="s">
        <v>306</v>
      </c>
      <c r="Y582" s="234" t="s">
        <v>25</v>
      </c>
      <c r="Z582" s="209" t="s">
        <v>25</v>
      </c>
      <c r="AA582" s="209" t="s">
        <v>25</v>
      </c>
      <c r="AB582" s="234" t="s">
        <v>25</v>
      </c>
      <c r="AC582" s="235" t="s">
        <v>25</v>
      </c>
      <c r="AD582" s="209" t="s">
        <v>306</v>
      </c>
      <c r="AE582" s="209" t="s">
        <v>25</v>
      </c>
      <c r="AF582" s="234" t="s">
        <v>25</v>
      </c>
      <c r="AG582" s="209" t="s">
        <v>306</v>
      </c>
      <c r="AH582" s="209" t="s">
        <v>306</v>
      </c>
      <c r="AI582" s="234" t="s">
        <v>306</v>
      </c>
      <c r="AJ582" s="209" t="s">
        <v>306</v>
      </c>
      <c r="AK582" s="209" t="s">
        <v>25</v>
      </c>
      <c r="AL582" s="234" t="s">
        <v>25</v>
      </c>
      <c r="AM582" s="209" t="s">
        <v>306</v>
      </c>
      <c r="AN582" s="209" t="s">
        <v>306</v>
      </c>
      <c r="AO582" s="234" t="s">
        <v>306</v>
      </c>
      <c r="AP582" s="235" t="s">
        <v>306</v>
      </c>
      <c r="AQ582" s="209" t="s">
        <v>25</v>
      </c>
      <c r="AR582" s="209" t="s">
        <v>25</v>
      </c>
      <c r="AS582" s="234" t="s">
        <v>25</v>
      </c>
      <c r="AT582" s="209" t="s">
        <v>306</v>
      </c>
      <c r="AU582" s="209" t="s">
        <v>25</v>
      </c>
      <c r="AV582" s="234" t="s">
        <v>25</v>
      </c>
      <c r="AW582" s="209" t="s">
        <v>25</v>
      </c>
      <c r="AX582" s="209" t="s">
        <v>25</v>
      </c>
      <c r="AY582" s="234" t="s">
        <v>25</v>
      </c>
      <c r="AZ582" s="209" t="s">
        <v>25</v>
      </c>
      <c r="BA582" s="209" t="s">
        <v>25</v>
      </c>
      <c r="BB582" s="234" t="s">
        <v>25</v>
      </c>
      <c r="BC582" s="235" t="s">
        <v>25</v>
      </c>
      <c r="BD582" s="188"/>
    </row>
    <row r="583" spans="1:56" ht="12.75" customHeight="1" x14ac:dyDescent="0.25">
      <c r="A583" s="238">
        <v>45257.462451550928</v>
      </c>
      <c r="B583" s="233" t="s">
        <v>304</v>
      </c>
      <c r="C583" s="209" t="s">
        <v>587</v>
      </c>
      <c r="D583" s="232" t="s">
        <v>17</v>
      </c>
      <c r="E583" s="232" t="s">
        <v>515</v>
      </c>
      <c r="F583" s="209" t="s">
        <v>1160</v>
      </c>
      <c r="G583" s="232" t="s">
        <v>24</v>
      </c>
      <c r="H583" s="232">
        <v>12</v>
      </c>
      <c r="I583" s="209" t="s">
        <v>518</v>
      </c>
      <c r="J583" s="209" t="s">
        <v>560</v>
      </c>
      <c r="K583" s="209" t="s">
        <v>560</v>
      </c>
      <c r="L583" s="209" t="s">
        <v>518</v>
      </c>
      <c r="M583" s="209" t="s">
        <v>375</v>
      </c>
      <c r="N583" s="209" t="s">
        <v>589</v>
      </c>
      <c r="O583" s="209"/>
      <c r="P583" s="209"/>
      <c r="Q583" s="209" t="s">
        <v>25</v>
      </c>
      <c r="R583" s="209" t="s">
        <v>25</v>
      </c>
      <c r="S583" s="234" t="s">
        <v>25</v>
      </c>
      <c r="T583" s="209" t="s">
        <v>25</v>
      </c>
      <c r="U583" s="209" t="s">
        <v>25</v>
      </c>
      <c r="V583" s="234" t="s">
        <v>25</v>
      </c>
      <c r="W583" s="209" t="s">
        <v>306</v>
      </c>
      <c r="X583" s="209" t="s">
        <v>25</v>
      </c>
      <c r="Y583" s="234" t="s">
        <v>25</v>
      </c>
      <c r="Z583" s="209" t="s">
        <v>25</v>
      </c>
      <c r="AA583" s="209" t="s">
        <v>25</v>
      </c>
      <c r="AB583" s="234" t="s">
        <v>25</v>
      </c>
      <c r="AC583" s="235" t="s">
        <v>25</v>
      </c>
      <c r="AD583" s="209" t="s">
        <v>306</v>
      </c>
      <c r="AE583" s="209" t="s">
        <v>25</v>
      </c>
      <c r="AF583" s="234" t="s">
        <v>25</v>
      </c>
      <c r="AG583" s="209" t="s">
        <v>306</v>
      </c>
      <c r="AH583" s="209" t="s">
        <v>306</v>
      </c>
      <c r="AI583" s="234" t="s">
        <v>306</v>
      </c>
      <c r="AJ583" s="209" t="s">
        <v>25</v>
      </c>
      <c r="AK583" s="209" t="s">
        <v>25</v>
      </c>
      <c r="AL583" s="234" t="s">
        <v>25</v>
      </c>
      <c r="AM583" s="209" t="s">
        <v>25</v>
      </c>
      <c r="AN583" s="209" t="s">
        <v>25</v>
      </c>
      <c r="AO583" s="234" t="s">
        <v>25</v>
      </c>
      <c r="AP583" s="235" t="s">
        <v>25</v>
      </c>
      <c r="AQ583" s="209" t="s">
        <v>25</v>
      </c>
      <c r="AR583" s="209" t="s">
        <v>25</v>
      </c>
      <c r="AS583" s="234" t="s">
        <v>25</v>
      </c>
      <c r="AT583" s="209" t="s">
        <v>25</v>
      </c>
      <c r="AU583" s="209" t="s">
        <v>306</v>
      </c>
      <c r="AV583" s="234" t="s">
        <v>25</v>
      </c>
      <c r="AW583" s="209" t="s">
        <v>25</v>
      </c>
      <c r="AX583" s="209" t="s">
        <v>25</v>
      </c>
      <c r="AY583" s="234" t="s">
        <v>25</v>
      </c>
      <c r="AZ583" s="209" t="s">
        <v>25</v>
      </c>
      <c r="BA583" s="209" t="s">
        <v>25</v>
      </c>
      <c r="BB583" s="234" t="s">
        <v>25</v>
      </c>
      <c r="BC583" s="235" t="s">
        <v>25</v>
      </c>
      <c r="BD583" s="188"/>
    </row>
    <row r="584" spans="1:56" ht="12.75" customHeight="1" x14ac:dyDescent="0.25">
      <c r="A584" s="238">
        <v>45257.463548680556</v>
      </c>
      <c r="B584" s="233" t="s">
        <v>304</v>
      </c>
      <c r="C584" s="209" t="s">
        <v>587</v>
      </c>
      <c r="D584" s="232" t="s">
        <v>17</v>
      </c>
      <c r="E584" s="232" t="s">
        <v>515</v>
      </c>
      <c r="F584" s="209" t="s">
        <v>1161</v>
      </c>
      <c r="G584" s="232" t="s">
        <v>24</v>
      </c>
      <c r="H584" s="232">
        <v>11</v>
      </c>
      <c r="I584" s="209" t="s">
        <v>518</v>
      </c>
      <c r="J584" s="209" t="s">
        <v>560</v>
      </c>
      <c r="K584" s="209" t="s">
        <v>560</v>
      </c>
      <c r="L584" s="209" t="s">
        <v>518</v>
      </c>
      <c r="M584" s="209" t="s">
        <v>401</v>
      </c>
      <c r="N584" s="209" t="s">
        <v>589</v>
      </c>
      <c r="O584" s="209"/>
      <c r="P584" s="209"/>
      <c r="Q584" s="209" t="s">
        <v>25</v>
      </c>
      <c r="R584" s="209" t="s">
        <v>306</v>
      </c>
      <c r="S584" s="234" t="s">
        <v>25</v>
      </c>
      <c r="T584" s="209" t="s">
        <v>306</v>
      </c>
      <c r="U584" s="209" t="s">
        <v>25</v>
      </c>
      <c r="V584" s="234" t="s">
        <v>25</v>
      </c>
      <c r="W584" s="209" t="s">
        <v>306</v>
      </c>
      <c r="X584" s="209" t="s">
        <v>306</v>
      </c>
      <c r="Y584" s="234" t="s">
        <v>306</v>
      </c>
      <c r="Z584" s="209" t="s">
        <v>306</v>
      </c>
      <c r="AA584" s="209" t="s">
        <v>25</v>
      </c>
      <c r="AB584" s="234" t="s">
        <v>25</v>
      </c>
      <c r="AC584" s="235" t="s">
        <v>306</v>
      </c>
      <c r="AD584" s="209" t="s">
        <v>25</v>
      </c>
      <c r="AE584" s="209" t="s">
        <v>25</v>
      </c>
      <c r="AF584" s="234" t="s">
        <v>25</v>
      </c>
      <c r="AG584" s="209" t="s">
        <v>306</v>
      </c>
      <c r="AH584" s="209" t="s">
        <v>25</v>
      </c>
      <c r="AI584" s="234" t="s">
        <v>25</v>
      </c>
      <c r="AJ584" s="209" t="s">
        <v>306</v>
      </c>
      <c r="AK584" s="209" t="s">
        <v>25</v>
      </c>
      <c r="AL584" s="234" t="s">
        <v>25</v>
      </c>
      <c r="AM584" s="209" t="s">
        <v>19</v>
      </c>
      <c r="AN584" s="209" t="s">
        <v>306</v>
      </c>
      <c r="AO584" s="234" t="s">
        <v>306</v>
      </c>
      <c r="AP584" s="235" t="s">
        <v>306</v>
      </c>
      <c r="AQ584" s="209" t="s">
        <v>25</v>
      </c>
      <c r="AR584" s="209" t="s">
        <v>306</v>
      </c>
      <c r="AS584" s="234" t="s">
        <v>25</v>
      </c>
      <c r="AT584" s="209" t="s">
        <v>306</v>
      </c>
      <c r="AU584" s="209" t="s">
        <v>306</v>
      </c>
      <c r="AV584" s="234" t="s">
        <v>306</v>
      </c>
      <c r="AW584" s="209" t="s">
        <v>25</v>
      </c>
      <c r="AX584" s="209" t="s">
        <v>306</v>
      </c>
      <c r="AY584" s="234" t="s">
        <v>25</v>
      </c>
      <c r="AZ584" s="209" t="s">
        <v>306</v>
      </c>
      <c r="BA584" s="209" t="s">
        <v>25</v>
      </c>
      <c r="BB584" s="234" t="s">
        <v>25</v>
      </c>
      <c r="BC584" s="235" t="s">
        <v>25</v>
      </c>
      <c r="BD584" s="188"/>
    </row>
    <row r="585" spans="1:56" ht="12.75" customHeight="1" x14ac:dyDescent="0.25">
      <c r="A585" s="238">
        <v>45257.485088518515</v>
      </c>
      <c r="B585" s="233" t="s">
        <v>304</v>
      </c>
      <c r="C585" s="209" t="s">
        <v>587</v>
      </c>
      <c r="D585" s="232" t="s">
        <v>17</v>
      </c>
      <c r="E585" s="232" t="s">
        <v>515</v>
      </c>
      <c r="F585" s="209" t="s">
        <v>1162</v>
      </c>
      <c r="G585" s="232" t="s">
        <v>18</v>
      </c>
      <c r="H585" s="232">
        <v>12</v>
      </c>
      <c r="I585" s="209" t="s">
        <v>518</v>
      </c>
      <c r="J585" s="209" t="s">
        <v>560</v>
      </c>
      <c r="K585" s="209" t="s">
        <v>560</v>
      </c>
      <c r="L585" s="209" t="s">
        <v>518</v>
      </c>
      <c r="M585" s="209" t="s">
        <v>401</v>
      </c>
      <c r="N585" s="209" t="s">
        <v>589</v>
      </c>
      <c r="O585" s="209"/>
      <c r="P585" s="209"/>
      <c r="Q585" s="209" t="s">
        <v>19</v>
      </c>
      <c r="R585" s="209" t="s">
        <v>25</v>
      </c>
      <c r="S585" s="234" t="s">
        <v>306</v>
      </c>
      <c r="T585" s="209" t="s">
        <v>306</v>
      </c>
      <c r="U585" s="209" t="s">
        <v>25</v>
      </c>
      <c r="V585" s="234" t="s">
        <v>25</v>
      </c>
      <c r="W585" s="209" t="s">
        <v>19</v>
      </c>
      <c r="X585" s="209" t="s">
        <v>19</v>
      </c>
      <c r="Y585" s="234" t="s">
        <v>19</v>
      </c>
      <c r="Z585" s="209" t="s">
        <v>19</v>
      </c>
      <c r="AA585" s="209" t="s">
        <v>19</v>
      </c>
      <c r="AB585" s="234" t="s">
        <v>19</v>
      </c>
      <c r="AC585" s="235" t="s">
        <v>306</v>
      </c>
      <c r="AD585" s="209" t="s">
        <v>19</v>
      </c>
      <c r="AE585" s="209" t="s">
        <v>19</v>
      </c>
      <c r="AF585" s="234" t="s">
        <v>19</v>
      </c>
      <c r="AG585" s="209" t="s">
        <v>19</v>
      </c>
      <c r="AH585" s="209" t="s">
        <v>19</v>
      </c>
      <c r="AI585" s="234" t="s">
        <v>19</v>
      </c>
      <c r="AJ585" s="209" t="s">
        <v>19</v>
      </c>
      <c r="AK585" s="209" t="s">
        <v>19</v>
      </c>
      <c r="AL585" s="234" t="s">
        <v>19</v>
      </c>
      <c r="AM585" s="209" t="s">
        <v>19</v>
      </c>
      <c r="AN585" s="209" t="s">
        <v>19</v>
      </c>
      <c r="AO585" s="234" t="s">
        <v>19</v>
      </c>
      <c r="AP585" s="235" t="s">
        <v>19</v>
      </c>
      <c r="AQ585" s="209" t="s">
        <v>19</v>
      </c>
      <c r="AR585" s="209" t="s">
        <v>19</v>
      </c>
      <c r="AS585" s="234" t="s">
        <v>19</v>
      </c>
      <c r="AT585" s="209" t="s">
        <v>19</v>
      </c>
      <c r="AU585" s="209" t="s">
        <v>19</v>
      </c>
      <c r="AV585" s="234" t="s">
        <v>19</v>
      </c>
      <c r="AW585" s="209" t="s">
        <v>19</v>
      </c>
      <c r="AX585" s="209" t="s">
        <v>19</v>
      </c>
      <c r="AY585" s="234" t="s">
        <v>19</v>
      </c>
      <c r="AZ585" s="209" t="s">
        <v>19</v>
      </c>
      <c r="BA585" s="209" t="s">
        <v>19</v>
      </c>
      <c r="BB585" s="234" t="s">
        <v>25</v>
      </c>
      <c r="BC585" s="235" t="s">
        <v>25</v>
      </c>
      <c r="BD585" s="188"/>
    </row>
    <row r="586" spans="1:56" ht="12.75" customHeight="1" x14ac:dyDescent="0.25">
      <c r="A586" s="238">
        <v>45257.496617604163</v>
      </c>
      <c r="B586" s="233" t="s">
        <v>304</v>
      </c>
      <c r="C586" s="209" t="s">
        <v>587</v>
      </c>
      <c r="D586" s="232" t="s">
        <v>17</v>
      </c>
      <c r="E586" s="232" t="s">
        <v>515</v>
      </c>
      <c r="F586" s="209" t="s">
        <v>1163</v>
      </c>
      <c r="G586" s="232" t="s">
        <v>18</v>
      </c>
      <c r="H586" s="232">
        <v>12</v>
      </c>
      <c r="I586" s="209" t="s">
        <v>518</v>
      </c>
      <c r="J586" s="209" t="s">
        <v>560</v>
      </c>
      <c r="K586" s="209" t="s">
        <v>560</v>
      </c>
      <c r="L586" s="209" t="s">
        <v>518</v>
      </c>
      <c r="M586" s="209" t="s">
        <v>401</v>
      </c>
      <c r="N586" s="209" t="s">
        <v>589</v>
      </c>
      <c r="O586" s="209"/>
      <c r="P586" s="209"/>
      <c r="Q586" s="209" t="s">
        <v>25</v>
      </c>
      <c r="R586" s="209" t="s">
        <v>25</v>
      </c>
      <c r="S586" s="234" t="s">
        <v>25</v>
      </c>
      <c r="T586" s="209" t="s">
        <v>306</v>
      </c>
      <c r="U586" s="209" t="s">
        <v>25</v>
      </c>
      <c r="V586" s="234" t="s">
        <v>25</v>
      </c>
      <c r="W586" s="209" t="s">
        <v>25</v>
      </c>
      <c r="X586" s="209" t="s">
        <v>19</v>
      </c>
      <c r="Y586" s="234" t="s">
        <v>306</v>
      </c>
      <c r="Z586" s="209" t="s">
        <v>306</v>
      </c>
      <c r="AA586" s="209" t="s">
        <v>25</v>
      </c>
      <c r="AB586" s="234" t="s">
        <v>25</v>
      </c>
      <c r="AC586" s="235" t="s">
        <v>25</v>
      </c>
      <c r="AD586" s="209" t="s">
        <v>306</v>
      </c>
      <c r="AE586" s="209" t="s">
        <v>25</v>
      </c>
      <c r="AF586" s="234" t="s">
        <v>25</v>
      </c>
      <c r="AG586" s="209" t="s">
        <v>306</v>
      </c>
      <c r="AH586" s="209" t="s">
        <v>306</v>
      </c>
      <c r="AI586" s="234" t="s">
        <v>306</v>
      </c>
      <c r="AJ586" s="209" t="s">
        <v>25</v>
      </c>
      <c r="AK586" s="209" t="s">
        <v>25</v>
      </c>
      <c r="AL586" s="234" t="s">
        <v>25</v>
      </c>
      <c r="AM586" s="209" t="s">
        <v>19</v>
      </c>
      <c r="AN586" s="209" t="s">
        <v>19</v>
      </c>
      <c r="AO586" s="234" t="s">
        <v>19</v>
      </c>
      <c r="AP586" s="235" t="s">
        <v>306</v>
      </c>
      <c r="AQ586" s="209" t="s">
        <v>25</v>
      </c>
      <c r="AR586" s="209" t="s">
        <v>25</v>
      </c>
      <c r="AS586" s="234" t="s">
        <v>25</v>
      </c>
      <c r="AT586" s="209" t="s">
        <v>25</v>
      </c>
      <c r="AU586" s="209" t="s">
        <v>25</v>
      </c>
      <c r="AV586" s="234" t="s">
        <v>25</v>
      </c>
      <c r="AW586" s="209" t="s">
        <v>25</v>
      </c>
      <c r="AX586" s="209" t="s">
        <v>306</v>
      </c>
      <c r="AY586" s="234" t="s">
        <v>25</v>
      </c>
      <c r="AZ586" s="209" t="s">
        <v>25</v>
      </c>
      <c r="BA586" s="209" t="s">
        <v>25</v>
      </c>
      <c r="BB586" s="234" t="s">
        <v>25</v>
      </c>
      <c r="BC586" s="235" t="s">
        <v>25</v>
      </c>
      <c r="BD586" s="188"/>
    </row>
    <row r="587" spans="1:56" ht="12.75" customHeight="1" x14ac:dyDescent="0.25">
      <c r="A587" s="238">
        <v>45257.498623310181</v>
      </c>
      <c r="B587" s="233" t="s">
        <v>304</v>
      </c>
      <c r="C587" s="209" t="s">
        <v>587</v>
      </c>
      <c r="D587" s="232" t="s">
        <v>17</v>
      </c>
      <c r="E587" s="232" t="s">
        <v>515</v>
      </c>
      <c r="F587" s="209" t="s">
        <v>1164</v>
      </c>
      <c r="G587" s="232" t="s">
        <v>18</v>
      </c>
      <c r="H587" s="232">
        <v>12</v>
      </c>
      <c r="I587" s="209" t="s">
        <v>518</v>
      </c>
      <c r="J587" s="209" t="s">
        <v>560</v>
      </c>
      <c r="K587" s="209" t="s">
        <v>560</v>
      </c>
      <c r="L587" s="209" t="s">
        <v>518</v>
      </c>
      <c r="M587" s="209" t="s">
        <v>412</v>
      </c>
      <c r="N587" s="209" t="s">
        <v>589</v>
      </c>
      <c r="O587" s="209"/>
      <c r="P587" s="209"/>
      <c r="Q587" s="209" t="s">
        <v>25</v>
      </c>
      <c r="R587" s="209" t="s">
        <v>25</v>
      </c>
      <c r="S587" s="234" t="s">
        <v>25</v>
      </c>
      <c r="T587" s="209" t="s">
        <v>306</v>
      </c>
      <c r="U587" s="209" t="s">
        <v>25</v>
      </c>
      <c r="V587" s="234" t="s">
        <v>25</v>
      </c>
      <c r="W587" s="209" t="s">
        <v>25</v>
      </c>
      <c r="X587" s="209" t="s">
        <v>306</v>
      </c>
      <c r="Y587" s="234" t="s">
        <v>25</v>
      </c>
      <c r="Z587" s="209" t="s">
        <v>306</v>
      </c>
      <c r="AA587" s="209" t="s">
        <v>25</v>
      </c>
      <c r="AB587" s="234" t="s">
        <v>25</v>
      </c>
      <c r="AC587" s="235" t="s">
        <v>25</v>
      </c>
      <c r="AD587" s="209" t="s">
        <v>306</v>
      </c>
      <c r="AE587" s="209" t="s">
        <v>306</v>
      </c>
      <c r="AF587" s="234" t="s">
        <v>306</v>
      </c>
      <c r="AG587" s="209" t="s">
        <v>306</v>
      </c>
      <c r="AH587" s="209" t="s">
        <v>19</v>
      </c>
      <c r="AI587" s="234" t="s">
        <v>306</v>
      </c>
      <c r="AJ587" s="209" t="s">
        <v>306</v>
      </c>
      <c r="AK587" s="209" t="s">
        <v>306</v>
      </c>
      <c r="AL587" s="234" t="s">
        <v>306</v>
      </c>
      <c r="AM587" s="209" t="s">
        <v>19</v>
      </c>
      <c r="AN587" s="209" t="s">
        <v>19</v>
      </c>
      <c r="AO587" s="234" t="s">
        <v>19</v>
      </c>
      <c r="AP587" s="235" t="s">
        <v>306</v>
      </c>
      <c r="AQ587" s="209" t="s">
        <v>25</v>
      </c>
      <c r="AR587" s="209" t="s">
        <v>306</v>
      </c>
      <c r="AS587" s="234" t="s">
        <v>25</v>
      </c>
      <c r="AT587" s="209" t="s">
        <v>25</v>
      </c>
      <c r="AU587" s="209" t="s">
        <v>25</v>
      </c>
      <c r="AV587" s="234" t="s">
        <v>25</v>
      </c>
      <c r="AW587" s="209" t="s">
        <v>25</v>
      </c>
      <c r="AX587" s="209" t="s">
        <v>25</v>
      </c>
      <c r="AY587" s="234" t="s">
        <v>25</v>
      </c>
      <c r="AZ587" s="209" t="s">
        <v>25</v>
      </c>
      <c r="BA587" s="209" t="s">
        <v>25</v>
      </c>
      <c r="BB587" s="234" t="s">
        <v>25</v>
      </c>
      <c r="BC587" s="235" t="s">
        <v>25</v>
      </c>
      <c r="BD587" s="188"/>
    </row>
    <row r="588" spans="1:56" ht="12.75" customHeight="1" x14ac:dyDescent="0.25">
      <c r="A588" s="238">
        <v>45257.499647766206</v>
      </c>
      <c r="B588" s="233" t="s">
        <v>304</v>
      </c>
      <c r="C588" s="209" t="s">
        <v>587</v>
      </c>
      <c r="D588" s="232" t="s">
        <v>17</v>
      </c>
      <c r="E588" s="232" t="s">
        <v>515</v>
      </c>
      <c r="F588" s="209" t="s">
        <v>1165</v>
      </c>
      <c r="G588" s="232" t="s">
        <v>18</v>
      </c>
      <c r="H588" s="232">
        <v>11</v>
      </c>
      <c r="I588" s="209" t="s">
        <v>518</v>
      </c>
      <c r="J588" s="209" t="s">
        <v>560</v>
      </c>
      <c r="K588" s="209" t="s">
        <v>560</v>
      </c>
      <c r="L588" s="209" t="s">
        <v>518</v>
      </c>
      <c r="M588" s="209" t="s">
        <v>412</v>
      </c>
      <c r="N588" s="209" t="s">
        <v>589</v>
      </c>
      <c r="O588" s="209"/>
      <c r="P588" s="209"/>
      <c r="Q588" s="209" t="s">
        <v>25</v>
      </c>
      <c r="R588" s="209" t="s">
        <v>25</v>
      </c>
      <c r="S588" s="234" t="s">
        <v>25</v>
      </c>
      <c r="T588" s="209" t="s">
        <v>306</v>
      </c>
      <c r="U588" s="209" t="s">
        <v>25</v>
      </c>
      <c r="V588" s="234" t="s">
        <v>25</v>
      </c>
      <c r="W588" s="209" t="s">
        <v>306</v>
      </c>
      <c r="X588" s="209" t="s">
        <v>306</v>
      </c>
      <c r="Y588" s="234" t="s">
        <v>306</v>
      </c>
      <c r="Z588" s="209" t="s">
        <v>25</v>
      </c>
      <c r="AA588" s="209" t="s">
        <v>25</v>
      </c>
      <c r="AB588" s="234" t="s">
        <v>25</v>
      </c>
      <c r="AC588" s="235" t="s">
        <v>25</v>
      </c>
      <c r="AD588" s="209" t="s">
        <v>306</v>
      </c>
      <c r="AE588" s="209" t="s">
        <v>25</v>
      </c>
      <c r="AF588" s="234" t="s">
        <v>25</v>
      </c>
      <c r="AG588" s="209" t="s">
        <v>306</v>
      </c>
      <c r="AH588" s="209" t="s">
        <v>306</v>
      </c>
      <c r="AI588" s="234" t="s">
        <v>306</v>
      </c>
      <c r="AJ588" s="209" t="s">
        <v>25</v>
      </c>
      <c r="AK588" s="209" t="s">
        <v>306</v>
      </c>
      <c r="AL588" s="234" t="s">
        <v>25</v>
      </c>
      <c r="AM588" s="209" t="s">
        <v>306</v>
      </c>
      <c r="AN588" s="209" t="s">
        <v>25</v>
      </c>
      <c r="AO588" s="234" t="s">
        <v>25</v>
      </c>
      <c r="AP588" s="235" t="s">
        <v>306</v>
      </c>
      <c r="AQ588" s="209" t="s">
        <v>25</v>
      </c>
      <c r="AR588" s="209" t="s">
        <v>25</v>
      </c>
      <c r="AS588" s="234" t="s">
        <v>25</v>
      </c>
      <c r="AT588" s="209" t="s">
        <v>25</v>
      </c>
      <c r="AU588" s="209" t="s">
        <v>25</v>
      </c>
      <c r="AV588" s="234" t="s">
        <v>25</v>
      </c>
      <c r="AW588" s="209" t="s">
        <v>25</v>
      </c>
      <c r="AX588" s="209" t="s">
        <v>25</v>
      </c>
      <c r="AY588" s="234" t="s">
        <v>25</v>
      </c>
      <c r="AZ588" s="209" t="s">
        <v>25</v>
      </c>
      <c r="BA588" s="209" t="s">
        <v>25</v>
      </c>
      <c r="BB588" s="234" t="s">
        <v>25</v>
      </c>
      <c r="BC588" s="235" t="s">
        <v>25</v>
      </c>
      <c r="BD588" s="188"/>
    </row>
    <row r="589" spans="1:56" ht="12.75" customHeight="1" x14ac:dyDescent="0.25">
      <c r="A589" s="238">
        <v>45257.499893101849</v>
      </c>
      <c r="B589" s="233" t="s">
        <v>304</v>
      </c>
      <c r="C589" s="209" t="s">
        <v>587</v>
      </c>
      <c r="D589" s="232" t="s">
        <v>17</v>
      </c>
      <c r="E589" s="232" t="s">
        <v>515</v>
      </c>
      <c r="F589" s="209" t="s">
        <v>1166</v>
      </c>
      <c r="G589" s="232" t="s">
        <v>18</v>
      </c>
      <c r="H589" s="232">
        <v>11</v>
      </c>
      <c r="I589" s="209" t="s">
        <v>518</v>
      </c>
      <c r="J589" s="209" t="s">
        <v>560</v>
      </c>
      <c r="K589" s="209" t="s">
        <v>560</v>
      </c>
      <c r="L589" s="209" t="s">
        <v>518</v>
      </c>
      <c r="M589" s="209" t="s">
        <v>375</v>
      </c>
      <c r="N589" s="209" t="s">
        <v>589</v>
      </c>
      <c r="O589" s="209"/>
      <c r="P589" s="209"/>
      <c r="Q589" s="209" t="s">
        <v>19</v>
      </c>
      <c r="R589" s="209" t="s">
        <v>25</v>
      </c>
      <c r="S589" s="234" t="s">
        <v>306</v>
      </c>
      <c r="T589" s="209" t="s">
        <v>306</v>
      </c>
      <c r="U589" s="209" t="s">
        <v>25</v>
      </c>
      <c r="V589" s="234" t="s">
        <v>25</v>
      </c>
      <c r="W589" s="209" t="s">
        <v>19</v>
      </c>
      <c r="X589" s="209" t="s">
        <v>19</v>
      </c>
      <c r="Y589" s="234" t="s">
        <v>19</v>
      </c>
      <c r="Z589" s="209" t="s">
        <v>19</v>
      </c>
      <c r="AA589" s="209" t="s">
        <v>19</v>
      </c>
      <c r="AB589" s="234" t="s">
        <v>19</v>
      </c>
      <c r="AC589" s="235" t="s">
        <v>306</v>
      </c>
      <c r="AD589" s="209" t="s">
        <v>19</v>
      </c>
      <c r="AE589" s="209" t="s">
        <v>19</v>
      </c>
      <c r="AF589" s="234" t="s">
        <v>19</v>
      </c>
      <c r="AG589" s="209" t="s">
        <v>19</v>
      </c>
      <c r="AH589" s="209" t="s">
        <v>19</v>
      </c>
      <c r="AI589" s="234" t="s">
        <v>19</v>
      </c>
      <c r="AJ589" s="209" t="s">
        <v>19</v>
      </c>
      <c r="AK589" s="209" t="s">
        <v>19</v>
      </c>
      <c r="AL589" s="234" t="s">
        <v>19</v>
      </c>
      <c r="AM589" s="209" t="s">
        <v>19</v>
      </c>
      <c r="AN589" s="209" t="s">
        <v>19</v>
      </c>
      <c r="AO589" s="234" t="s">
        <v>19</v>
      </c>
      <c r="AP589" s="235" t="s">
        <v>19</v>
      </c>
      <c r="AQ589" s="209" t="s">
        <v>19</v>
      </c>
      <c r="AR589" s="209" t="s">
        <v>19</v>
      </c>
      <c r="AS589" s="234" t="s">
        <v>19</v>
      </c>
      <c r="AT589" s="209" t="s">
        <v>19</v>
      </c>
      <c r="AU589" s="209" t="s">
        <v>19</v>
      </c>
      <c r="AV589" s="234" t="s">
        <v>19</v>
      </c>
      <c r="AW589" s="209" t="s">
        <v>19</v>
      </c>
      <c r="AX589" s="209" t="s">
        <v>19</v>
      </c>
      <c r="AY589" s="234" t="s">
        <v>19</v>
      </c>
      <c r="AZ589" s="209" t="s">
        <v>19</v>
      </c>
      <c r="BA589" s="209" t="s">
        <v>19</v>
      </c>
      <c r="BB589" s="234" t="s">
        <v>306</v>
      </c>
      <c r="BC589" s="235" t="s">
        <v>25</v>
      </c>
      <c r="BD589" s="188"/>
    </row>
    <row r="590" spans="1:56" ht="12.75" customHeight="1" x14ac:dyDescent="0.25">
      <c r="A590" s="238">
        <v>45257.500789479163</v>
      </c>
      <c r="B590" s="233" t="s">
        <v>304</v>
      </c>
      <c r="C590" s="209" t="s">
        <v>587</v>
      </c>
      <c r="D590" s="232" t="s">
        <v>17</v>
      </c>
      <c r="E590" s="232" t="s">
        <v>515</v>
      </c>
      <c r="F590" s="209" t="s">
        <v>1167</v>
      </c>
      <c r="G590" s="232" t="s">
        <v>24</v>
      </c>
      <c r="H590" s="232">
        <v>11</v>
      </c>
      <c r="I590" s="209" t="s">
        <v>518</v>
      </c>
      <c r="J590" s="209" t="s">
        <v>560</v>
      </c>
      <c r="K590" s="209" t="s">
        <v>560</v>
      </c>
      <c r="L590" s="209" t="s">
        <v>518</v>
      </c>
      <c r="M590" s="209" t="s">
        <v>401</v>
      </c>
      <c r="N590" s="209" t="s">
        <v>589</v>
      </c>
      <c r="O590" s="209"/>
      <c r="P590" s="209"/>
      <c r="Q590" s="209" t="s">
        <v>25</v>
      </c>
      <c r="R590" s="209" t="s">
        <v>306</v>
      </c>
      <c r="S590" s="234" t="s">
        <v>25</v>
      </c>
      <c r="T590" s="209" t="s">
        <v>306</v>
      </c>
      <c r="U590" s="209" t="s">
        <v>25</v>
      </c>
      <c r="V590" s="234" t="s">
        <v>25</v>
      </c>
      <c r="W590" s="209" t="s">
        <v>25</v>
      </c>
      <c r="X590" s="209" t="s">
        <v>25</v>
      </c>
      <c r="Y590" s="234" t="s">
        <v>25</v>
      </c>
      <c r="Z590" s="209" t="s">
        <v>306</v>
      </c>
      <c r="AA590" s="209" t="s">
        <v>19</v>
      </c>
      <c r="AB590" s="234" t="s">
        <v>306</v>
      </c>
      <c r="AC590" s="235" t="s">
        <v>306</v>
      </c>
      <c r="AD590" s="209" t="s">
        <v>306</v>
      </c>
      <c r="AE590" s="209" t="s">
        <v>25</v>
      </c>
      <c r="AF590" s="234" t="s">
        <v>25</v>
      </c>
      <c r="AG590" s="209" t="s">
        <v>25</v>
      </c>
      <c r="AH590" s="209" t="s">
        <v>306</v>
      </c>
      <c r="AI590" s="234" t="s">
        <v>25</v>
      </c>
      <c r="AJ590" s="209" t="s">
        <v>306</v>
      </c>
      <c r="AK590" s="209" t="s">
        <v>306</v>
      </c>
      <c r="AL590" s="234" t="s">
        <v>306</v>
      </c>
      <c r="AM590" s="209" t="s">
        <v>306</v>
      </c>
      <c r="AN590" s="209" t="s">
        <v>19</v>
      </c>
      <c r="AO590" s="234" t="s">
        <v>306</v>
      </c>
      <c r="AP590" s="235" t="s">
        <v>306</v>
      </c>
      <c r="AQ590" s="209" t="s">
        <v>25</v>
      </c>
      <c r="AR590" s="209" t="s">
        <v>25</v>
      </c>
      <c r="AS590" s="234" t="s">
        <v>25</v>
      </c>
      <c r="AT590" s="209" t="s">
        <v>25</v>
      </c>
      <c r="AU590" s="209" t="s">
        <v>25</v>
      </c>
      <c r="AV590" s="234" t="s">
        <v>25</v>
      </c>
      <c r="AW590" s="209" t="s">
        <v>25</v>
      </c>
      <c r="AX590" s="209" t="s">
        <v>25</v>
      </c>
      <c r="AY590" s="234" t="s">
        <v>25</v>
      </c>
      <c r="AZ590" s="209" t="s">
        <v>25</v>
      </c>
      <c r="BA590" s="209" t="s">
        <v>25</v>
      </c>
      <c r="BB590" s="234" t="s">
        <v>306</v>
      </c>
      <c r="BC590" s="235" t="s">
        <v>25</v>
      </c>
      <c r="BD590" s="188"/>
    </row>
    <row r="591" spans="1:56" ht="12.75" customHeight="1" x14ac:dyDescent="0.25">
      <c r="A591" s="238">
        <v>45257.502023032408</v>
      </c>
      <c r="B591" s="233" t="s">
        <v>304</v>
      </c>
      <c r="C591" s="209" t="s">
        <v>587</v>
      </c>
      <c r="D591" s="232" t="s">
        <v>17</v>
      </c>
      <c r="E591" s="232" t="s">
        <v>515</v>
      </c>
      <c r="F591" s="209" t="s">
        <v>1168</v>
      </c>
      <c r="G591" s="232" t="s">
        <v>24</v>
      </c>
      <c r="H591" s="232">
        <v>12</v>
      </c>
      <c r="I591" s="209" t="s">
        <v>518</v>
      </c>
      <c r="J591" s="209" t="s">
        <v>560</v>
      </c>
      <c r="K591" s="209" t="s">
        <v>560</v>
      </c>
      <c r="L591" s="209" t="s">
        <v>518</v>
      </c>
      <c r="M591" s="209" t="s">
        <v>375</v>
      </c>
      <c r="N591" s="209" t="s">
        <v>589</v>
      </c>
      <c r="O591" s="209"/>
      <c r="P591" s="209"/>
      <c r="Q591" s="209" t="s">
        <v>25</v>
      </c>
      <c r="R591" s="209" t="s">
        <v>306</v>
      </c>
      <c r="S591" s="234" t="s">
        <v>25</v>
      </c>
      <c r="T591" s="209" t="s">
        <v>19</v>
      </c>
      <c r="U591" s="209" t="s">
        <v>19</v>
      </c>
      <c r="V591" s="234" t="s">
        <v>19</v>
      </c>
      <c r="W591" s="209" t="s">
        <v>306</v>
      </c>
      <c r="X591" s="209" t="s">
        <v>306</v>
      </c>
      <c r="Y591" s="234" t="s">
        <v>306</v>
      </c>
      <c r="Z591" s="209" t="s">
        <v>19</v>
      </c>
      <c r="AA591" s="209" t="s">
        <v>19</v>
      </c>
      <c r="AB591" s="234" t="s">
        <v>19</v>
      </c>
      <c r="AC591" s="235" t="s">
        <v>306</v>
      </c>
      <c r="AD591" s="209" t="s">
        <v>19</v>
      </c>
      <c r="AE591" s="209" t="s">
        <v>19</v>
      </c>
      <c r="AF591" s="234" t="s">
        <v>19</v>
      </c>
      <c r="AG591" s="209" t="s">
        <v>306</v>
      </c>
      <c r="AH591" s="209" t="s">
        <v>19</v>
      </c>
      <c r="AI591" s="234" t="s">
        <v>306</v>
      </c>
      <c r="AJ591" s="209" t="s">
        <v>306</v>
      </c>
      <c r="AK591" s="209" t="s">
        <v>306</v>
      </c>
      <c r="AL591" s="234" t="s">
        <v>306</v>
      </c>
      <c r="AM591" s="209" t="s">
        <v>306</v>
      </c>
      <c r="AN591" s="209" t="s">
        <v>306</v>
      </c>
      <c r="AO591" s="234" t="s">
        <v>306</v>
      </c>
      <c r="AP591" s="235" t="s">
        <v>306</v>
      </c>
      <c r="AQ591" s="209" t="s">
        <v>306</v>
      </c>
      <c r="AR591" s="209" t="s">
        <v>306</v>
      </c>
      <c r="AS591" s="234" t="s">
        <v>306</v>
      </c>
      <c r="AT591" s="209" t="s">
        <v>25</v>
      </c>
      <c r="AU591" s="209" t="s">
        <v>19</v>
      </c>
      <c r="AV591" s="234" t="s">
        <v>306</v>
      </c>
      <c r="AW591" s="209" t="s">
        <v>19</v>
      </c>
      <c r="AX591" s="209" t="s">
        <v>306</v>
      </c>
      <c r="AY591" s="234" t="s">
        <v>306</v>
      </c>
      <c r="AZ591" s="209" t="s">
        <v>306</v>
      </c>
      <c r="BA591" s="209" t="s">
        <v>19</v>
      </c>
      <c r="BB591" s="234" t="s">
        <v>306</v>
      </c>
      <c r="BC591" s="235" t="s">
        <v>306</v>
      </c>
      <c r="BD591" s="188"/>
    </row>
    <row r="592" spans="1:56" ht="12.75" customHeight="1" x14ac:dyDescent="0.25">
      <c r="A592" s="238">
        <v>45257.503220185186</v>
      </c>
      <c r="B592" s="233" t="s">
        <v>304</v>
      </c>
      <c r="C592" s="209" t="s">
        <v>587</v>
      </c>
      <c r="D592" s="232" t="s">
        <v>17</v>
      </c>
      <c r="E592" s="232" t="s">
        <v>515</v>
      </c>
      <c r="F592" s="209" t="s">
        <v>1169</v>
      </c>
      <c r="G592" s="232" t="s">
        <v>24</v>
      </c>
      <c r="H592" s="232">
        <v>12</v>
      </c>
      <c r="I592" s="209" t="s">
        <v>518</v>
      </c>
      <c r="J592" s="209" t="s">
        <v>560</v>
      </c>
      <c r="K592" s="209" t="s">
        <v>560</v>
      </c>
      <c r="L592" s="209" t="s">
        <v>518</v>
      </c>
      <c r="M592" s="209" t="s">
        <v>401</v>
      </c>
      <c r="N592" s="209" t="s">
        <v>589</v>
      </c>
      <c r="O592" s="209"/>
      <c r="P592" s="209"/>
      <c r="Q592" s="209" t="s">
        <v>25</v>
      </c>
      <c r="R592" s="209" t="s">
        <v>25</v>
      </c>
      <c r="S592" s="234" t="s">
        <v>25</v>
      </c>
      <c r="T592" s="209" t="s">
        <v>306</v>
      </c>
      <c r="U592" s="209" t="s">
        <v>25</v>
      </c>
      <c r="V592" s="234" t="s">
        <v>25</v>
      </c>
      <c r="W592" s="209" t="s">
        <v>19</v>
      </c>
      <c r="X592" s="209" t="s">
        <v>19</v>
      </c>
      <c r="Y592" s="234" t="s">
        <v>19</v>
      </c>
      <c r="Z592" s="209" t="s">
        <v>306</v>
      </c>
      <c r="AA592" s="209" t="s">
        <v>25</v>
      </c>
      <c r="AB592" s="234" t="s">
        <v>25</v>
      </c>
      <c r="AC592" s="235" t="s">
        <v>306</v>
      </c>
      <c r="AD592" s="209" t="s">
        <v>306</v>
      </c>
      <c r="AE592" s="209" t="s">
        <v>306</v>
      </c>
      <c r="AF592" s="234" t="s">
        <v>306</v>
      </c>
      <c r="AG592" s="209" t="s">
        <v>25</v>
      </c>
      <c r="AH592" s="209" t="s">
        <v>19</v>
      </c>
      <c r="AI592" s="234" t="s">
        <v>306</v>
      </c>
      <c r="AJ592" s="209" t="s">
        <v>306</v>
      </c>
      <c r="AK592" s="209" t="s">
        <v>306</v>
      </c>
      <c r="AL592" s="234" t="s">
        <v>306</v>
      </c>
      <c r="AM592" s="209" t="s">
        <v>19</v>
      </c>
      <c r="AN592" s="209" t="s">
        <v>19</v>
      </c>
      <c r="AO592" s="234" t="s">
        <v>19</v>
      </c>
      <c r="AP592" s="235" t="s">
        <v>306</v>
      </c>
      <c r="AQ592" s="209" t="s">
        <v>25</v>
      </c>
      <c r="AR592" s="209" t="s">
        <v>306</v>
      </c>
      <c r="AS592" s="234" t="s">
        <v>25</v>
      </c>
      <c r="AT592" s="209" t="s">
        <v>25</v>
      </c>
      <c r="AU592" s="209" t="s">
        <v>25</v>
      </c>
      <c r="AV592" s="234" t="s">
        <v>25</v>
      </c>
      <c r="AW592" s="209" t="s">
        <v>306</v>
      </c>
      <c r="AX592" s="209" t="s">
        <v>25</v>
      </c>
      <c r="AY592" s="234" t="s">
        <v>25</v>
      </c>
      <c r="AZ592" s="209" t="s">
        <v>306</v>
      </c>
      <c r="BA592" s="209" t="s">
        <v>25</v>
      </c>
      <c r="BB592" s="234" t="s">
        <v>25</v>
      </c>
      <c r="BC592" s="235" t="s">
        <v>306</v>
      </c>
      <c r="BD592" s="188"/>
    </row>
    <row r="593" spans="1:56" ht="12.75" customHeight="1" x14ac:dyDescent="0.25">
      <c r="A593" s="238">
        <v>45257.504535995366</v>
      </c>
      <c r="B593" s="233" t="s">
        <v>304</v>
      </c>
      <c r="C593" s="209" t="s">
        <v>587</v>
      </c>
      <c r="D593" s="232" t="s">
        <v>17</v>
      </c>
      <c r="E593" s="232" t="s">
        <v>515</v>
      </c>
      <c r="F593" s="209" t="s">
        <v>1170</v>
      </c>
      <c r="G593" s="232" t="s">
        <v>18</v>
      </c>
      <c r="H593" s="232">
        <v>13</v>
      </c>
      <c r="I593" s="209" t="s">
        <v>518</v>
      </c>
      <c r="J593" s="209" t="s">
        <v>560</v>
      </c>
      <c r="K593" s="209" t="s">
        <v>560</v>
      </c>
      <c r="L593" s="209" t="s">
        <v>518</v>
      </c>
      <c r="M593" s="209" t="s">
        <v>368</v>
      </c>
      <c r="N593" s="209" t="s">
        <v>589</v>
      </c>
      <c r="O593" s="209"/>
      <c r="P593" s="209"/>
      <c r="Q593" s="209" t="s">
        <v>25</v>
      </c>
      <c r="R593" s="209" t="s">
        <v>25</v>
      </c>
      <c r="S593" s="234" t="s">
        <v>25</v>
      </c>
      <c r="T593" s="209" t="s">
        <v>25</v>
      </c>
      <c r="U593" s="209" t="s">
        <v>306</v>
      </c>
      <c r="V593" s="234" t="s">
        <v>25</v>
      </c>
      <c r="W593" s="209" t="s">
        <v>25</v>
      </c>
      <c r="X593" s="209" t="s">
        <v>25</v>
      </c>
      <c r="Y593" s="234" t="s">
        <v>25</v>
      </c>
      <c r="Z593" s="209" t="s">
        <v>25</v>
      </c>
      <c r="AA593" s="209" t="s">
        <v>25</v>
      </c>
      <c r="AB593" s="234" t="s">
        <v>25</v>
      </c>
      <c r="AC593" s="235" t="s">
        <v>25</v>
      </c>
      <c r="AD593" s="209" t="s">
        <v>306</v>
      </c>
      <c r="AE593" s="209" t="s">
        <v>306</v>
      </c>
      <c r="AF593" s="234" t="s">
        <v>306</v>
      </c>
      <c r="AG593" s="209" t="s">
        <v>25</v>
      </c>
      <c r="AH593" s="209" t="s">
        <v>25</v>
      </c>
      <c r="AI593" s="234" t="s">
        <v>25</v>
      </c>
      <c r="AJ593" s="209" t="s">
        <v>19</v>
      </c>
      <c r="AK593" s="209" t="s">
        <v>306</v>
      </c>
      <c r="AL593" s="234" t="s">
        <v>306</v>
      </c>
      <c r="AM593" s="209" t="s">
        <v>306</v>
      </c>
      <c r="AN593" s="209" t="s">
        <v>306</v>
      </c>
      <c r="AO593" s="234" t="s">
        <v>306</v>
      </c>
      <c r="AP593" s="235" t="s">
        <v>306</v>
      </c>
      <c r="AQ593" s="209" t="s">
        <v>25</v>
      </c>
      <c r="AR593" s="209" t="s">
        <v>25</v>
      </c>
      <c r="AS593" s="234" t="s">
        <v>25</v>
      </c>
      <c r="AT593" s="209" t="s">
        <v>25</v>
      </c>
      <c r="AU593" s="209" t="s">
        <v>306</v>
      </c>
      <c r="AV593" s="234" t="s">
        <v>25</v>
      </c>
      <c r="AW593" s="209" t="s">
        <v>25</v>
      </c>
      <c r="AX593" s="209" t="s">
        <v>25</v>
      </c>
      <c r="AY593" s="234" t="s">
        <v>25</v>
      </c>
      <c r="AZ593" s="209" t="s">
        <v>25</v>
      </c>
      <c r="BA593" s="209" t="s">
        <v>25</v>
      </c>
      <c r="BB593" s="234" t="s">
        <v>25</v>
      </c>
      <c r="BC593" s="235" t="s">
        <v>25</v>
      </c>
      <c r="BD593" s="188"/>
    </row>
    <row r="594" spans="1:56" ht="12.75" customHeight="1" x14ac:dyDescent="0.25">
      <c r="A594" s="238">
        <v>45257.505530462964</v>
      </c>
      <c r="B594" s="233" t="s">
        <v>304</v>
      </c>
      <c r="C594" s="209" t="s">
        <v>587</v>
      </c>
      <c r="D594" s="232" t="s">
        <v>17</v>
      </c>
      <c r="E594" s="232" t="s">
        <v>515</v>
      </c>
      <c r="F594" s="209" t="s">
        <v>1171</v>
      </c>
      <c r="G594" s="232" t="s">
        <v>18</v>
      </c>
      <c r="H594" s="232">
        <v>11</v>
      </c>
      <c r="I594" s="209" t="s">
        <v>518</v>
      </c>
      <c r="J594" s="209" t="s">
        <v>560</v>
      </c>
      <c r="K594" s="209" t="s">
        <v>560</v>
      </c>
      <c r="L594" s="209" t="s">
        <v>518</v>
      </c>
      <c r="M594" s="209" t="s">
        <v>389</v>
      </c>
      <c r="N594" s="209" t="s">
        <v>589</v>
      </c>
      <c r="O594" s="209"/>
      <c r="P594" s="209"/>
      <c r="Q594" s="209" t="s">
        <v>306</v>
      </c>
      <c r="R594" s="209" t="s">
        <v>306</v>
      </c>
      <c r="S594" s="234" t="s">
        <v>306</v>
      </c>
      <c r="T594" s="209" t="s">
        <v>306</v>
      </c>
      <c r="U594" s="209" t="s">
        <v>19</v>
      </c>
      <c r="V594" s="234" t="s">
        <v>306</v>
      </c>
      <c r="W594" s="209" t="s">
        <v>306</v>
      </c>
      <c r="X594" s="209" t="s">
        <v>306</v>
      </c>
      <c r="Y594" s="234" t="s">
        <v>306</v>
      </c>
      <c r="Z594" s="209" t="s">
        <v>19</v>
      </c>
      <c r="AA594" s="209" t="s">
        <v>19</v>
      </c>
      <c r="AB594" s="234" t="s">
        <v>19</v>
      </c>
      <c r="AC594" s="235" t="s">
        <v>306</v>
      </c>
      <c r="AD594" s="209" t="s">
        <v>19</v>
      </c>
      <c r="AE594" s="209" t="s">
        <v>306</v>
      </c>
      <c r="AF594" s="234" t="s">
        <v>306</v>
      </c>
      <c r="AG594" s="209" t="s">
        <v>306</v>
      </c>
      <c r="AH594" s="209" t="s">
        <v>19</v>
      </c>
      <c r="AI594" s="234" t="s">
        <v>306</v>
      </c>
      <c r="AJ594" s="209" t="s">
        <v>306</v>
      </c>
      <c r="AK594" s="209" t="s">
        <v>306</v>
      </c>
      <c r="AL594" s="234" t="s">
        <v>306</v>
      </c>
      <c r="AM594" s="209" t="s">
        <v>306</v>
      </c>
      <c r="AN594" s="209" t="s">
        <v>306</v>
      </c>
      <c r="AO594" s="234" t="s">
        <v>306</v>
      </c>
      <c r="AP594" s="235" t="s">
        <v>306</v>
      </c>
      <c r="AQ594" s="209" t="s">
        <v>306</v>
      </c>
      <c r="AR594" s="209" t="s">
        <v>19</v>
      </c>
      <c r="AS594" s="234" t="s">
        <v>306</v>
      </c>
      <c r="AT594" s="209" t="s">
        <v>25</v>
      </c>
      <c r="AU594" s="209" t="s">
        <v>19</v>
      </c>
      <c r="AV594" s="234" t="s">
        <v>306</v>
      </c>
      <c r="AW594" s="209" t="s">
        <v>306</v>
      </c>
      <c r="AX594" s="209" t="s">
        <v>306</v>
      </c>
      <c r="AY594" s="234" t="s">
        <v>306</v>
      </c>
      <c r="AZ594" s="209" t="s">
        <v>19</v>
      </c>
      <c r="BA594" s="209" t="s">
        <v>306</v>
      </c>
      <c r="BB594" s="234" t="s">
        <v>25</v>
      </c>
      <c r="BC594" s="235" t="s">
        <v>25</v>
      </c>
      <c r="BD594" s="188"/>
    </row>
    <row r="595" spans="1:56" ht="12.75" customHeight="1" x14ac:dyDescent="0.25">
      <c r="A595" s="238">
        <v>45257.507862881946</v>
      </c>
      <c r="B595" s="233" t="s">
        <v>304</v>
      </c>
      <c r="C595" s="209" t="s">
        <v>587</v>
      </c>
      <c r="D595" s="232" t="s">
        <v>17</v>
      </c>
      <c r="E595" s="232" t="s">
        <v>515</v>
      </c>
      <c r="F595" s="209" t="s">
        <v>1172</v>
      </c>
      <c r="G595" s="232" t="s">
        <v>18</v>
      </c>
      <c r="H595" s="232">
        <v>11</v>
      </c>
      <c r="I595" s="209" t="s">
        <v>518</v>
      </c>
      <c r="J595" s="209" t="s">
        <v>560</v>
      </c>
      <c r="K595" s="209" t="s">
        <v>560</v>
      </c>
      <c r="L595" s="209" t="s">
        <v>531</v>
      </c>
      <c r="M595" s="188"/>
      <c r="N595" s="188"/>
      <c r="O595" s="188"/>
      <c r="P595" s="188"/>
      <c r="Q595" s="209" t="s">
        <v>25</v>
      </c>
      <c r="R595" s="209" t="s">
        <v>25</v>
      </c>
      <c r="S595" s="234" t="s">
        <v>25</v>
      </c>
      <c r="T595" s="209" t="s">
        <v>306</v>
      </c>
      <c r="U595" s="209" t="s">
        <v>25</v>
      </c>
      <c r="V595" s="234" t="s">
        <v>25</v>
      </c>
      <c r="W595" s="209" t="s">
        <v>25</v>
      </c>
      <c r="X595" s="209" t="s">
        <v>19</v>
      </c>
      <c r="Y595" s="234" t="s">
        <v>306</v>
      </c>
      <c r="Z595" s="209" t="s">
        <v>306</v>
      </c>
      <c r="AA595" s="209" t="s">
        <v>19</v>
      </c>
      <c r="AB595" s="234" t="s">
        <v>306</v>
      </c>
      <c r="AC595" s="235" t="s">
        <v>306</v>
      </c>
      <c r="AD595" s="209" t="s">
        <v>25</v>
      </c>
      <c r="AE595" s="209" t="s">
        <v>306</v>
      </c>
      <c r="AF595" s="234" t="s">
        <v>25</v>
      </c>
      <c r="AG595" s="209" t="s">
        <v>25</v>
      </c>
      <c r="AH595" s="209" t="s">
        <v>306</v>
      </c>
      <c r="AI595" s="234" t="s">
        <v>25</v>
      </c>
      <c r="AJ595" s="209" t="s">
        <v>25</v>
      </c>
      <c r="AK595" s="209" t="s">
        <v>19</v>
      </c>
      <c r="AL595" s="234" t="s">
        <v>306</v>
      </c>
      <c r="AM595" s="209" t="s">
        <v>19</v>
      </c>
      <c r="AN595" s="209" t="s">
        <v>19</v>
      </c>
      <c r="AO595" s="234" t="s">
        <v>19</v>
      </c>
      <c r="AP595" s="235" t="s">
        <v>306</v>
      </c>
      <c r="AQ595" s="209" t="s">
        <v>19</v>
      </c>
      <c r="AR595" s="209" t="s">
        <v>19</v>
      </c>
      <c r="AS595" s="234" t="s">
        <v>19</v>
      </c>
      <c r="AT595" s="209" t="s">
        <v>25</v>
      </c>
      <c r="AU595" s="209" t="s">
        <v>25</v>
      </c>
      <c r="AV595" s="234" t="s">
        <v>25</v>
      </c>
      <c r="AW595" s="209" t="s">
        <v>25</v>
      </c>
      <c r="AX595" s="209" t="s">
        <v>25</v>
      </c>
      <c r="AY595" s="234" t="s">
        <v>25</v>
      </c>
      <c r="AZ595" s="209" t="s">
        <v>19</v>
      </c>
      <c r="BA595" s="209" t="s">
        <v>25</v>
      </c>
      <c r="BB595" s="234" t="s">
        <v>306</v>
      </c>
      <c r="BC595" s="235" t="s">
        <v>306</v>
      </c>
      <c r="BD595" s="188"/>
    </row>
    <row r="596" spans="1:56" ht="12.75" customHeight="1" x14ac:dyDescent="0.25">
      <c r="A596" s="238">
        <v>45257.508936863422</v>
      </c>
      <c r="B596" s="233" t="s">
        <v>304</v>
      </c>
      <c r="C596" s="209" t="s">
        <v>587</v>
      </c>
      <c r="D596" s="232" t="s">
        <v>17</v>
      </c>
      <c r="E596" s="232" t="s">
        <v>515</v>
      </c>
      <c r="F596" s="209" t="s">
        <v>1173</v>
      </c>
      <c r="G596" s="232" t="s">
        <v>18</v>
      </c>
      <c r="H596" s="232">
        <v>12</v>
      </c>
      <c r="I596" s="209" t="s">
        <v>518</v>
      </c>
      <c r="J596" s="209" t="s">
        <v>560</v>
      </c>
      <c r="K596" s="209" t="s">
        <v>560</v>
      </c>
      <c r="L596" s="209" t="s">
        <v>531</v>
      </c>
      <c r="M596" s="188"/>
      <c r="N596" s="188"/>
      <c r="O596" s="188"/>
      <c r="P596" s="188"/>
      <c r="Q596" s="209" t="s">
        <v>25</v>
      </c>
      <c r="R596" s="209" t="s">
        <v>25</v>
      </c>
      <c r="S596" s="234" t="s">
        <v>25</v>
      </c>
      <c r="T596" s="209" t="s">
        <v>25</v>
      </c>
      <c r="U596" s="209" t="s">
        <v>25</v>
      </c>
      <c r="V596" s="234" t="s">
        <v>25</v>
      </c>
      <c r="W596" s="209" t="s">
        <v>25</v>
      </c>
      <c r="X596" s="209" t="s">
        <v>25</v>
      </c>
      <c r="Y596" s="234" t="s">
        <v>25</v>
      </c>
      <c r="Z596" s="209" t="s">
        <v>306</v>
      </c>
      <c r="AA596" s="209" t="s">
        <v>306</v>
      </c>
      <c r="AB596" s="234" t="s">
        <v>306</v>
      </c>
      <c r="AC596" s="235" t="s">
        <v>25</v>
      </c>
      <c r="AD596" s="209" t="s">
        <v>306</v>
      </c>
      <c r="AE596" s="209" t="s">
        <v>306</v>
      </c>
      <c r="AF596" s="234" t="s">
        <v>306</v>
      </c>
      <c r="AG596" s="209" t="s">
        <v>306</v>
      </c>
      <c r="AH596" s="209" t="s">
        <v>306</v>
      </c>
      <c r="AI596" s="234" t="s">
        <v>306</v>
      </c>
      <c r="AJ596" s="209" t="s">
        <v>25</v>
      </c>
      <c r="AK596" s="209" t="s">
        <v>25</v>
      </c>
      <c r="AL596" s="234" t="s">
        <v>25</v>
      </c>
      <c r="AM596" s="209" t="s">
        <v>306</v>
      </c>
      <c r="AN596" s="209" t="s">
        <v>306</v>
      </c>
      <c r="AO596" s="234" t="s">
        <v>306</v>
      </c>
      <c r="AP596" s="235" t="s">
        <v>306</v>
      </c>
      <c r="AQ596" s="209" t="s">
        <v>25</v>
      </c>
      <c r="AR596" s="209" t="s">
        <v>306</v>
      </c>
      <c r="AS596" s="234" t="s">
        <v>25</v>
      </c>
      <c r="AT596" s="209" t="s">
        <v>25</v>
      </c>
      <c r="AU596" s="209" t="s">
        <v>25</v>
      </c>
      <c r="AV596" s="234" t="s">
        <v>25</v>
      </c>
      <c r="AW596" s="209" t="s">
        <v>25</v>
      </c>
      <c r="AX596" s="209" t="s">
        <v>25</v>
      </c>
      <c r="AY596" s="234" t="s">
        <v>25</v>
      </c>
      <c r="AZ596" s="209" t="s">
        <v>306</v>
      </c>
      <c r="BA596" s="209" t="s">
        <v>25</v>
      </c>
      <c r="BB596" s="234" t="s">
        <v>25</v>
      </c>
      <c r="BC596" s="235" t="s">
        <v>306</v>
      </c>
      <c r="BD596" s="188"/>
    </row>
    <row r="597" spans="1:56" ht="12.75" customHeight="1" x14ac:dyDescent="0.25">
      <c r="A597" s="238">
        <v>45257.51212068287</v>
      </c>
      <c r="B597" s="233" t="s">
        <v>304</v>
      </c>
      <c r="C597" s="209" t="s">
        <v>587</v>
      </c>
      <c r="D597" s="232" t="s">
        <v>17</v>
      </c>
      <c r="E597" s="232" t="s">
        <v>515</v>
      </c>
      <c r="F597" s="209" t="s">
        <v>1174</v>
      </c>
      <c r="G597" s="232" t="s">
        <v>18</v>
      </c>
      <c r="H597" s="232">
        <v>12</v>
      </c>
      <c r="I597" s="209" t="s">
        <v>518</v>
      </c>
      <c r="J597" s="209" t="s">
        <v>560</v>
      </c>
      <c r="K597" s="209" t="s">
        <v>560</v>
      </c>
      <c r="L597" s="209" t="s">
        <v>518</v>
      </c>
      <c r="M597" s="209" t="s">
        <v>401</v>
      </c>
      <c r="N597" s="209" t="s">
        <v>589</v>
      </c>
      <c r="O597" s="209"/>
      <c r="P597" s="209"/>
      <c r="Q597" s="209" t="s">
        <v>25</v>
      </c>
      <c r="R597" s="209" t="s">
        <v>19</v>
      </c>
      <c r="S597" s="234" t="s">
        <v>306</v>
      </c>
      <c r="T597" s="209" t="s">
        <v>19</v>
      </c>
      <c r="U597" s="209" t="s">
        <v>25</v>
      </c>
      <c r="V597" s="234" t="s">
        <v>306</v>
      </c>
      <c r="W597" s="209" t="s">
        <v>25</v>
      </c>
      <c r="X597" s="209" t="s">
        <v>19</v>
      </c>
      <c r="Y597" s="234" t="s">
        <v>306</v>
      </c>
      <c r="Z597" s="209" t="s">
        <v>19</v>
      </c>
      <c r="AA597" s="209" t="s">
        <v>19</v>
      </c>
      <c r="AB597" s="234" t="s">
        <v>19</v>
      </c>
      <c r="AC597" s="235" t="s">
        <v>306</v>
      </c>
      <c r="AD597" s="209" t="s">
        <v>25</v>
      </c>
      <c r="AE597" s="209" t="s">
        <v>19</v>
      </c>
      <c r="AF597" s="234" t="s">
        <v>306</v>
      </c>
      <c r="AG597" s="209" t="s">
        <v>25</v>
      </c>
      <c r="AH597" s="209" t="s">
        <v>19</v>
      </c>
      <c r="AI597" s="234" t="s">
        <v>306</v>
      </c>
      <c r="AJ597" s="209" t="s">
        <v>19</v>
      </c>
      <c r="AK597" s="209" t="s">
        <v>25</v>
      </c>
      <c r="AL597" s="234" t="s">
        <v>306</v>
      </c>
      <c r="AM597" s="209" t="s">
        <v>19</v>
      </c>
      <c r="AN597" s="209" t="s">
        <v>19</v>
      </c>
      <c r="AO597" s="234" t="s">
        <v>19</v>
      </c>
      <c r="AP597" s="235" t="s">
        <v>306</v>
      </c>
      <c r="AQ597" s="209" t="s">
        <v>25</v>
      </c>
      <c r="AR597" s="209" t="s">
        <v>19</v>
      </c>
      <c r="AS597" s="234" t="s">
        <v>306</v>
      </c>
      <c r="AT597" s="209" t="s">
        <v>25</v>
      </c>
      <c r="AU597" s="209" t="s">
        <v>25</v>
      </c>
      <c r="AV597" s="234" t="s">
        <v>25</v>
      </c>
      <c r="AW597" s="209" t="s">
        <v>25</v>
      </c>
      <c r="AX597" s="209" t="s">
        <v>306</v>
      </c>
      <c r="AY597" s="234" t="s">
        <v>25</v>
      </c>
      <c r="AZ597" s="209" t="s">
        <v>306</v>
      </c>
      <c r="BA597" s="209" t="s">
        <v>25</v>
      </c>
      <c r="BB597" s="234" t="s">
        <v>25</v>
      </c>
      <c r="BC597" s="235" t="s">
        <v>25</v>
      </c>
      <c r="BD597" s="188"/>
    </row>
    <row r="598" spans="1:56" ht="12.75" customHeight="1" x14ac:dyDescent="0.25">
      <c r="A598" s="238">
        <v>44797.44342354167</v>
      </c>
      <c r="B598" s="137" t="s">
        <v>304</v>
      </c>
      <c r="C598" s="211" t="s">
        <v>595</v>
      </c>
      <c r="D598" s="211" t="s">
        <v>17</v>
      </c>
      <c r="E598" s="232" t="s">
        <v>515</v>
      </c>
      <c r="F598" s="188" t="s">
        <v>1175</v>
      </c>
      <c r="G598" s="211" t="s">
        <v>24</v>
      </c>
      <c r="H598" s="211">
        <v>12</v>
      </c>
      <c r="I598" s="188" t="s">
        <v>518</v>
      </c>
      <c r="J598" s="188" t="s">
        <v>560</v>
      </c>
      <c r="K598" s="209" t="s">
        <v>560</v>
      </c>
      <c r="L598" s="188" t="s">
        <v>518</v>
      </c>
      <c r="M598" s="188" t="s">
        <v>375</v>
      </c>
      <c r="N598" s="188"/>
      <c r="O598" s="188"/>
      <c r="P598" s="188"/>
      <c r="Q598" s="188" t="s">
        <v>25</v>
      </c>
      <c r="R598" s="188" t="s">
        <v>306</v>
      </c>
      <c r="S598" s="234" t="s">
        <v>25</v>
      </c>
      <c r="T598" s="188" t="s">
        <v>306</v>
      </c>
      <c r="U598" s="188" t="s">
        <v>25</v>
      </c>
      <c r="V598" s="234" t="s">
        <v>25</v>
      </c>
      <c r="W598" s="188" t="s">
        <v>25</v>
      </c>
      <c r="X598" s="188" t="s">
        <v>25</v>
      </c>
      <c r="Y598" s="234" t="s">
        <v>25</v>
      </c>
      <c r="Z598" s="188" t="s">
        <v>19</v>
      </c>
      <c r="AA598" s="188" t="s">
        <v>25</v>
      </c>
      <c r="AB598" s="234" t="s">
        <v>306</v>
      </c>
      <c r="AC598" s="235" t="s">
        <v>25</v>
      </c>
      <c r="AD598" s="188" t="s">
        <v>306</v>
      </c>
      <c r="AE598" s="188" t="s">
        <v>25</v>
      </c>
      <c r="AF598" s="234" t="s">
        <v>25</v>
      </c>
      <c r="AG598" s="188" t="s">
        <v>306</v>
      </c>
      <c r="AH598" s="188" t="s">
        <v>306</v>
      </c>
      <c r="AI598" s="234" t="s">
        <v>306</v>
      </c>
      <c r="AJ598" s="188" t="s">
        <v>306</v>
      </c>
      <c r="AK598" s="188" t="s">
        <v>306</v>
      </c>
      <c r="AL598" s="234" t="s">
        <v>306</v>
      </c>
      <c r="AM598" s="188" t="s">
        <v>306</v>
      </c>
      <c r="AN598" s="188" t="s">
        <v>306</v>
      </c>
      <c r="AO598" s="234" t="s">
        <v>306</v>
      </c>
      <c r="AP598" s="235" t="s">
        <v>306</v>
      </c>
      <c r="AQ598" s="188" t="s">
        <v>25</v>
      </c>
      <c r="AR598" s="188" t="s">
        <v>25</v>
      </c>
      <c r="AS598" s="234" t="s">
        <v>25</v>
      </c>
      <c r="AT598" s="188" t="s">
        <v>306</v>
      </c>
      <c r="AU598" s="188" t="s">
        <v>306</v>
      </c>
      <c r="AV598" s="234" t="s">
        <v>306</v>
      </c>
      <c r="AW598" s="188" t="s">
        <v>306</v>
      </c>
      <c r="AX598" s="188" t="s">
        <v>19</v>
      </c>
      <c r="AY598" s="234" t="s">
        <v>306</v>
      </c>
      <c r="AZ598" s="188" t="s">
        <v>306</v>
      </c>
      <c r="BA598" s="188" t="s">
        <v>19</v>
      </c>
      <c r="BB598" s="234" t="s">
        <v>306</v>
      </c>
      <c r="BC598" s="235" t="s">
        <v>306</v>
      </c>
      <c r="BD598" s="188"/>
    </row>
    <row r="599" spans="1:56" ht="12.75" customHeight="1" x14ac:dyDescent="0.25">
      <c r="A599" s="238">
        <v>44797.452113692125</v>
      </c>
      <c r="B599" s="137" t="s">
        <v>304</v>
      </c>
      <c r="C599" s="211" t="s">
        <v>595</v>
      </c>
      <c r="D599" s="211" t="s">
        <v>17</v>
      </c>
      <c r="E599" s="232" t="s">
        <v>515</v>
      </c>
      <c r="F599" s="188" t="s">
        <v>559</v>
      </c>
      <c r="G599" s="211" t="s">
        <v>24</v>
      </c>
      <c r="H599" s="211">
        <v>12</v>
      </c>
      <c r="I599" s="188" t="s">
        <v>518</v>
      </c>
      <c r="J599" s="188" t="s">
        <v>560</v>
      </c>
      <c r="K599" s="209" t="s">
        <v>560</v>
      </c>
      <c r="L599" s="188" t="s">
        <v>518</v>
      </c>
      <c r="M599" s="188" t="s">
        <v>375</v>
      </c>
      <c r="N599" s="188"/>
      <c r="O599" s="188"/>
      <c r="P599" s="188"/>
      <c r="Q599" s="188" t="s">
        <v>19</v>
      </c>
      <c r="R599" s="188" t="s">
        <v>25</v>
      </c>
      <c r="S599" s="234" t="s">
        <v>306</v>
      </c>
      <c r="T599" s="188" t="s">
        <v>19</v>
      </c>
      <c r="U599" s="188" t="s">
        <v>25</v>
      </c>
      <c r="V599" s="234" t="s">
        <v>306</v>
      </c>
      <c r="W599" s="188" t="s">
        <v>25</v>
      </c>
      <c r="X599" s="188" t="s">
        <v>25</v>
      </c>
      <c r="Y599" s="234" t="s">
        <v>25</v>
      </c>
      <c r="Z599" s="188" t="s">
        <v>19</v>
      </c>
      <c r="AA599" s="188" t="s">
        <v>25</v>
      </c>
      <c r="AB599" s="234" t="s">
        <v>306</v>
      </c>
      <c r="AC599" s="235" t="s">
        <v>306</v>
      </c>
      <c r="AD599" s="188" t="s">
        <v>306</v>
      </c>
      <c r="AE599" s="188" t="s">
        <v>25</v>
      </c>
      <c r="AF599" s="234" t="s">
        <v>25</v>
      </c>
      <c r="AG599" s="188" t="s">
        <v>306</v>
      </c>
      <c r="AH599" s="188" t="s">
        <v>19</v>
      </c>
      <c r="AI599" s="234" t="s">
        <v>306</v>
      </c>
      <c r="AJ599" s="188" t="s">
        <v>306</v>
      </c>
      <c r="AK599" s="188" t="s">
        <v>19</v>
      </c>
      <c r="AL599" s="234" t="s">
        <v>306</v>
      </c>
      <c r="AM599" s="188" t="s">
        <v>19</v>
      </c>
      <c r="AN599" s="188" t="s">
        <v>19</v>
      </c>
      <c r="AO599" s="234" t="s">
        <v>19</v>
      </c>
      <c r="AP599" s="235" t="s">
        <v>306</v>
      </c>
      <c r="AQ599" s="188" t="s">
        <v>25</v>
      </c>
      <c r="AR599" s="188" t="s">
        <v>25</v>
      </c>
      <c r="AS599" s="234" t="s">
        <v>25</v>
      </c>
      <c r="AT599" s="188" t="s">
        <v>306</v>
      </c>
      <c r="AU599" s="188" t="s">
        <v>25</v>
      </c>
      <c r="AV599" s="234" t="s">
        <v>25</v>
      </c>
      <c r="AW599" s="188" t="s">
        <v>19</v>
      </c>
      <c r="AX599" s="188" t="s">
        <v>19</v>
      </c>
      <c r="AY599" s="234" t="s">
        <v>19</v>
      </c>
      <c r="AZ599" s="188" t="s">
        <v>306</v>
      </c>
      <c r="BA599" s="188" t="s">
        <v>19</v>
      </c>
      <c r="BB599" s="234" t="s">
        <v>306</v>
      </c>
      <c r="BC599" s="235" t="s">
        <v>306</v>
      </c>
      <c r="BD599" s="188"/>
    </row>
    <row r="600" spans="1:56" ht="12.75" customHeight="1" x14ac:dyDescent="0.25">
      <c r="A600" s="238">
        <v>44797.462536458333</v>
      </c>
      <c r="B600" s="137" t="s">
        <v>304</v>
      </c>
      <c r="C600" s="211" t="s">
        <v>595</v>
      </c>
      <c r="D600" s="211" t="s">
        <v>17</v>
      </c>
      <c r="E600" s="232" t="s">
        <v>515</v>
      </c>
      <c r="F600" s="188" t="s">
        <v>1176</v>
      </c>
      <c r="G600" s="211" t="s">
        <v>18</v>
      </c>
      <c r="H600" s="211">
        <v>12</v>
      </c>
      <c r="I600" s="188" t="s">
        <v>518</v>
      </c>
      <c r="J600" s="188" t="s">
        <v>560</v>
      </c>
      <c r="K600" s="209" t="s">
        <v>560</v>
      </c>
      <c r="L600" s="188" t="s">
        <v>518</v>
      </c>
      <c r="M600" s="188" t="s">
        <v>375</v>
      </c>
      <c r="N600" s="188"/>
      <c r="O600" s="188"/>
      <c r="P600" s="188"/>
      <c r="Q600" s="188" t="s">
        <v>25</v>
      </c>
      <c r="R600" s="188" t="s">
        <v>25</v>
      </c>
      <c r="S600" s="234" t="s">
        <v>25</v>
      </c>
      <c r="T600" s="188" t="s">
        <v>19</v>
      </c>
      <c r="U600" s="188" t="s">
        <v>25</v>
      </c>
      <c r="V600" s="234" t="s">
        <v>306</v>
      </c>
      <c r="W600" s="188" t="s">
        <v>25</v>
      </c>
      <c r="X600" s="188" t="s">
        <v>25</v>
      </c>
      <c r="Y600" s="234" t="s">
        <v>25</v>
      </c>
      <c r="Z600" s="188" t="s">
        <v>19</v>
      </c>
      <c r="AA600" s="188" t="s">
        <v>25</v>
      </c>
      <c r="AB600" s="234" t="s">
        <v>306</v>
      </c>
      <c r="AC600" s="235" t="s">
        <v>25</v>
      </c>
      <c r="AD600" s="188" t="s">
        <v>306</v>
      </c>
      <c r="AE600" s="188" t="s">
        <v>306</v>
      </c>
      <c r="AF600" s="234" t="s">
        <v>306</v>
      </c>
      <c r="AG600" s="188" t="s">
        <v>19</v>
      </c>
      <c r="AH600" s="188" t="s">
        <v>19</v>
      </c>
      <c r="AI600" s="234" t="s">
        <v>19</v>
      </c>
      <c r="AJ600" s="188" t="s">
        <v>19</v>
      </c>
      <c r="AK600" s="188" t="s">
        <v>19</v>
      </c>
      <c r="AL600" s="234" t="s">
        <v>19</v>
      </c>
      <c r="AM600" s="188" t="s">
        <v>19</v>
      </c>
      <c r="AN600" s="188" t="s">
        <v>19</v>
      </c>
      <c r="AO600" s="234" t="s">
        <v>19</v>
      </c>
      <c r="AP600" s="235" t="s">
        <v>19</v>
      </c>
      <c r="AQ600" s="188" t="s">
        <v>306</v>
      </c>
      <c r="AR600" s="188" t="s">
        <v>25</v>
      </c>
      <c r="AS600" s="234" t="s">
        <v>25</v>
      </c>
      <c r="AT600" s="188" t="s">
        <v>306</v>
      </c>
      <c r="AU600" s="188" t="s">
        <v>25</v>
      </c>
      <c r="AV600" s="234" t="s">
        <v>25</v>
      </c>
      <c r="AW600" s="188" t="s">
        <v>19</v>
      </c>
      <c r="AX600" s="188" t="s">
        <v>19</v>
      </c>
      <c r="AY600" s="234" t="s">
        <v>19</v>
      </c>
      <c r="AZ600" s="188" t="s">
        <v>306</v>
      </c>
      <c r="BA600" s="188" t="s">
        <v>19</v>
      </c>
      <c r="BB600" s="234" t="s">
        <v>306</v>
      </c>
      <c r="BC600" s="235" t="s">
        <v>25</v>
      </c>
      <c r="BD600" s="188"/>
    </row>
    <row r="601" spans="1:56" ht="12.75" customHeight="1" x14ac:dyDescent="0.25">
      <c r="A601" s="238">
        <v>44797.463980428241</v>
      </c>
      <c r="B601" s="137" t="s">
        <v>304</v>
      </c>
      <c r="C601" s="211" t="s">
        <v>595</v>
      </c>
      <c r="D601" s="211" t="s">
        <v>17</v>
      </c>
      <c r="E601" s="232" t="s">
        <v>515</v>
      </c>
      <c r="F601" s="188" t="s">
        <v>1177</v>
      </c>
      <c r="G601" s="211" t="s">
        <v>24</v>
      </c>
      <c r="H601" s="211">
        <v>13</v>
      </c>
      <c r="I601" s="188" t="s">
        <v>518</v>
      </c>
      <c r="J601" s="188" t="s">
        <v>560</v>
      </c>
      <c r="K601" s="209" t="s">
        <v>560</v>
      </c>
      <c r="L601" s="188" t="s">
        <v>518</v>
      </c>
      <c r="M601" s="188" t="s">
        <v>375</v>
      </c>
      <c r="N601" s="188"/>
      <c r="O601" s="188"/>
      <c r="P601" s="188"/>
      <c r="Q601" s="188" t="s">
        <v>25</v>
      </c>
      <c r="R601" s="188" t="s">
        <v>25</v>
      </c>
      <c r="S601" s="234" t="s">
        <v>25</v>
      </c>
      <c r="T601" s="188" t="s">
        <v>25</v>
      </c>
      <c r="U601" s="188" t="s">
        <v>25</v>
      </c>
      <c r="V601" s="234" t="s">
        <v>25</v>
      </c>
      <c r="W601" s="188" t="s">
        <v>25</v>
      </c>
      <c r="X601" s="188" t="s">
        <v>25</v>
      </c>
      <c r="Y601" s="234" t="s">
        <v>25</v>
      </c>
      <c r="Z601" s="188" t="s">
        <v>25</v>
      </c>
      <c r="AA601" s="188" t="s">
        <v>25</v>
      </c>
      <c r="AB601" s="234" t="s">
        <v>25</v>
      </c>
      <c r="AC601" s="235" t="s">
        <v>25</v>
      </c>
      <c r="AD601" s="188" t="s">
        <v>25</v>
      </c>
      <c r="AE601" s="188" t="s">
        <v>25</v>
      </c>
      <c r="AF601" s="234" t="s">
        <v>25</v>
      </c>
      <c r="AG601" s="188" t="s">
        <v>25</v>
      </c>
      <c r="AH601" s="188" t="s">
        <v>25</v>
      </c>
      <c r="AI601" s="234" t="s">
        <v>25</v>
      </c>
      <c r="AJ601" s="188" t="s">
        <v>25</v>
      </c>
      <c r="AK601" s="188" t="s">
        <v>25</v>
      </c>
      <c r="AL601" s="234" t="s">
        <v>25</v>
      </c>
      <c r="AM601" s="188" t="s">
        <v>25</v>
      </c>
      <c r="AN601" s="188" t="s">
        <v>25</v>
      </c>
      <c r="AO601" s="234" t="s">
        <v>25</v>
      </c>
      <c r="AP601" s="235" t="s">
        <v>25</v>
      </c>
      <c r="AQ601" s="188" t="s">
        <v>25</v>
      </c>
      <c r="AR601" s="188" t="s">
        <v>25</v>
      </c>
      <c r="AS601" s="234" t="s">
        <v>25</v>
      </c>
      <c r="AT601" s="188" t="s">
        <v>25</v>
      </c>
      <c r="AU601" s="188" t="s">
        <v>25</v>
      </c>
      <c r="AV601" s="234" t="s">
        <v>25</v>
      </c>
      <c r="AW601" s="188" t="s">
        <v>25</v>
      </c>
      <c r="AX601" s="188" t="s">
        <v>25</v>
      </c>
      <c r="AY601" s="234" t="s">
        <v>25</v>
      </c>
      <c r="AZ601" s="188" t="s">
        <v>25</v>
      </c>
      <c r="BA601" s="188" t="s">
        <v>25</v>
      </c>
      <c r="BB601" s="234" t="s">
        <v>25</v>
      </c>
      <c r="BC601" s="235" t="s">
        <v>25</v>
      </c>
      <c r="BD601" s="188"/>
    </row>
    <row r="602" spans="1:56" ht="12.75" customHeight="1" x14ac:dyDescent="0.25">
      <c r="A602" s="238">
        <v>44797.475990844905</v>
      </c>
      <c r="B602" s="137" t="s">
        <v>304</v>
      </c>
      <c r="C602" s="211" t="s">
        <v>595</v>
      </c>
      <c r="D602" s="211" t="s">
        <v>17</v>
      </c>
      <c r="E602" s="232" t="s">
        <v>515</v>
      </c>
      <c r="F602" s="188" t="s">
        <v>1178</v>
      </c>
      <c r="G602" s="211" t="s">
        <v>18</v>
      </c>
      <c r="H602" s="211">
        <v>13</v>
      </c>
      <c r="I602" s="188" t="s">
        <v>518</v>
      </c>
      <c r="J602" s="188" t="s">
        <v>560</v>
      </c>
      <c r="K602" s="209" t="s">
        <v>560</v>
      </c>
      <c r="L602" s="188" t="s">
        <v>518</v>
      </c>
      <c r="M602" s="188" t="s">
        <v>368</v>
      </c>
      <c r="N602" s="188"/>
      <c r="O602" s="188"/>
      <c r="P602" s="188"/>
      <c r="Q602" s="188" t="s">
        <v>25</v>
      </c>
      <c r="R602" s="188" t="s">
        <v>25</v>
      </c>
      <c r="S602" s="234" t="s">
        <v>25</v>
      </c>
      <c r="T602" s="188" t="s">
        <v>306</v>
      </c>
      <c r="U602" s="188" t="s">
        <v>25</v>
      </c>
      <c r="V602" s="234" t="s">
        <v>25</v>
      </c>
      <c r="W602" s="188" t="s">
        <v>25</v>
      </c>
      <c r="X602" s="188" t="s">
        <v>25</v>
      </c>
      <c r="Y602" s="234" t="s">
        <v>25</v>
      </c>
      <c r="Z602" s="188" t="s">
        <v>306</v>
      </c>
      <c r="AA602" s="188" t="s">
        <v>25</v>
      </c>
      <c r="AB602" s="234" t="s">
        <v>25</v>
      </c>
      <c r="AC602" s="235" t="s">
        <v>25</v>
      </c>
      <c r="AD602" s="188" t="s">
        <v>306</v>
      </c>
      <c r="AE602" s="188" t="s">
        <v>306</v>
      </c>
      <c r="AF602" s="234" t="s">
        <v>306</v>
      </c>
      <c r="AG602" s="188" t="s">
        <v>25</v>
      </c>
      <c r="AH602" s="188" t="s">
        <v>25</v>
      </c>
      <c r="AI602" s="234" t="s">
        <v>25</v>
      </c>
      <c r="AJ602" s="188" t="s">
        <v>25</v>
      </c>
      <c r="AK602" s="188" t="s">
        <v>306</v>
      </c>
      <c r="AL602" s="234" t="s">
        <v>25</v>
      </c>
      <c r="AM602" s="188" t="s">
        <v>25</v>
      </c>
      <c r="AN602" s="188" t="s">
        <v>306</v>
      </c>
      <c r="AO602" s="234" t="s">
        <v>25</v>
      </c>
      <c r="AP602" s="235" t="s">
        <v>25</v>
      </c>
      <c r="AQ602" s="188" t="s">
        <v>25</v>
      </c>
      <c r="AR602" s="188" t="s">
        <v>25</v>
      </c>
      <c r="AS602" s="234" t="s">
        <v>25</v>
      </c>
      <c r="AT602" s="188" t="s">
        <v>25</v>
      </c>
      <c r="AU602" s="188" t="s">
        <v>306</v>
      </c>
      <c r="AV602" s="234" t="s">
        <v>25</v>
      </c>
      <c r="AW602" s="188" t="s">
        <v>25</v>
      </c>
      <c r="AX602" s="188" t="s">
        <v>306</v>
      </c>
      <c r="AY602" s="234" t="s">
        <v>25</v>
      </c>
      <c r="AZ602" s="188" t="s">
        <v>25</v>
      </c>
      <c r="BA602" s="188" t="s">
        <v>25</v>
      </c>
      <c r="BB602" s="234" t="s">
        <v>306</v>
      </c>
      <c r="BC602" s="235" t="s">
        <v>306</v>
      </c>
      <c r="BD602" s="188"/>
    </row>
    <row r="603" spans="1:56" ht="12.75" customHeight="1" x14ac:dyDescent="0.25">
      <c r="A603" s="238">
        <v>44797.671221041666</v>
      </c>
      <c r="B603" s="137" t="s">
        <v>304</v>
      </c>
      <c r="C603" s="211" t="s">
        <v>595</v>
      </c>
      <c r="D603" s="211" t="s">
        <v>17</v>
      </c>
      <c r="E603" s="232" t="s">
        <v>515</v>
      </c>
      <c r="F603" s="188" t="s">
        <v>1179</v>
      </c>
      <c r="G603" s="211" t="s">
        <v>24</v>
      </c>
      <c r="H603" s="211">
        <v>11</v>
      </c>
      <c r="I603" s="188" t="s">
        <v>518</v>
      </c>
      <c r="J603" s="188" t="s">
        <v>560</v>
      </c>
      <c r="K603" s="209" t="s">
        <v>560</v>
      </c>
      <c r="L603" s="188" t="s">
        <v>518</v>
      </c>
      <c r="M603" s="188" t="s">
        <v>375</v>
      </c>
      <c r="N603" s="188"/>
      <c r="O603" s="188"/>
      <c r="P603" s="188"/>
      <c r="Q603" s="188" t="s">
        <v>25</v>
      </c>
      <c r="R603" s="188" t="s">
        <v>306</v>
      </c>
      <c r="S603" s="234" t="s">
        <v>25</v>
      </c>
      <c r="T603" s="188" t="s">
        <v>306</v>
      </c>
      <c r="U603" s="188" t="s">
        <v>25</v>
      </c>
      <c r="V603" s="234" t="s">
        <v>25</v>
      </c>
      <c r="W603" s="188" t="s">
        <v>25</v>
      </c>
      <c r="X603" s="188" t="s">
        <v>306</v>
      </c>
      <c r="Y603" s="234" t="s">
        <v>25</v>
      </c>
      <c r="Z603" s="188" t="s">
        <v>25</v>
      </c>
      <c r="AA603" s="188" t="s">
        <v>25</v>
      </c>
      <c r="AB603" s="234" t="s">
        <v>25</v>
      </c>
      <c r="AC603" s="235" t="s">
        <v>25</v>
      </c>
      <c r="AD603" s="188" t="s">
        <v>306</v>
      </c>
      <c r="AE603" s="188" t="s">
        <v>25</v>
      </c>
      <c r="AF603" s="234" t="s">
        <v>25</v>
      </c>
      <c r="AG603" s="188" t="s">
        <v>25</v>
      </c>
      <c r="AH603" s="188" t="s">
        <v>306</v>
      </c>
      <c r="AI603" s="234" t="s">
        <v>25</v>
      </c>
      <c r="AJ603" s="188" t="s">
        <v>306</v>
      </c>
      <c r="AK603" s="188" t="s">
        <v>306</v>
      </c>
      <c r="AL603" s="234" t="s">
        <v>306</v>
      </c>
      <c r="AM603" s="188" t="s">
        <v>306</v>
      </c>
      <c r="AN603" s="188" t="s">
        <v>25</v>
      </c>
      <c r="AO603" s="234" t="s">
        <v>25</v>
      </c>
      <c r="AP603" s="235" t="s">
        <v>306</v>
      </c>
      <c r="AQ603" s="188" t="s">
        <v>25</v>
      </c>
      <c r="AR603" s="188" t="s">
        <v>25</v>
      </c>
      <c r="AS603" s="234" t="s">
        <v>25</v>
      </c>
      <c r="AT603" s="188" t="s">
        <v>25</v>
      </c>
      <c r="AU603" s="188" t="s">
        <v>25</v>
      </c>
      <c r="AV603" s="234" t="s">
        <v>25</v>
      </c>
      <c r="AW603" s="188" t="s">
        <v>25</v>
      </c>
      <c r="AX603" s="188" t="s">
        <v>25</v>
      </c>
      <c r="AY603" s="234" t="s">
        <v>25</v>
      </c>
      <c r="AZ603" s="188" t="s">
        <v>306</v>
      </c>
      <c r="BA603" s="188" t="s">
        <v>25</v>
      </c>
      <c r="BB603" s="234" t="s">
        <v>306</v>
      </c>
      <c r="BC603" s="235" t="s">
        <v>306</v>
      </c>
      <c r="BD603" s="188"/>
    </row>
    <row r="604" spans="1:56" ht="12.75" customHeight="1" x14ac:dyDescent="0.25">
      <c r="A604" s="238">
        <v>44797.741719537036</v>
      </c>
      <c r="B604" s="137" t="s">
        <v>304</v>
      </c>
      <c r="C604" s="211" t="s">
        <v>595</v>
      </c>
      <c r="D604" s="211" t="s">
        <v>17</v>
      </c>
      <c r="E604" s="232" t="s">
        <v>515</v>
      </c>
      <c r="F604" s="188" t="s">
        <v>1180</v>
      </c>
      <c r="G604" s="211" t="s">
        <v>24</v>
      </c>
      <c r="H604" s="211">
        <v>12</v>
      </c>
      <c r="I604" s="188" t="s">
        <v>518</v>
      </c>
      <c r="J604" s="188" t="s">
        <v>560</v>
      </c>
      <c r="K604" s="209" t="s">
        <v>560</v>
      </c>
      <c r="L604" s="188" t="s">
        <v>518</v>
      </c>
      <c r="M604" s="188" t="s">
        <v>389</v>
      </c>
      <c r="N604" s="188"/>
      <c r="O604" s="188"/>
      <c r="P604" s="188"/>
      <c r="Q604" s="188" t="s">
        <v>25</v>
      </c>
      <c r="R604" s="188" t="s">
        <v>25</v>
      </c>
      <c r="S604" s="234" t="s">
        <v>25</v>
      </c>
      <c r="T604" s="188" t="s">
        <v>306</v>
      </c>
      <c r="U604" s="188" t="s">
        <v>25</v>
      </c>
      <c r="V604" s="234" t="s">
        <v>25</v>
      </c>
      <c r="W604" s="188" t="s">
        <v>25</v>
      </c>
      <c r="X604" s="188" t="s">
        <v>19</v>
      </c>
      <c r="Y604" s="234" t="s">
        <v>306</v>
      </c>
      <c r="Z604" s="188" t="s">
        <v>25</v>
      </c>
      <c r="AA604" s="188" t="s">
        <v>306</v>
      </c>
      <c r="AB604" s="234" t="s">
        <v>25</v>
      </c>
      <c r="AC604" s="235" t="s">
        <v>25</v>
      </c>
      <c r="AD604" s="188" t="s">
        <v>25</v>
      </c>
      <c r="AE604" s="188" t="s">
        <v>25</v>
      </c>
      <c r="AF604" s="234" t="s">
        <v>25</v>
      </c>
      <c r="AG604" s="188" t="s">
        <v>306</v>
      </c>
      <c r="AH604" s="188" t="s">
        <v>19</v>
      </c>
      <c r="AI604" s="234" t="s">
        <v>306</v>
      </c>
      <c r="AJ604" s="188" t="s">
        <v>19</v>
      </c>
      <c r="AK604" s="188" t="s">
        <v>306</v>
      </c>
      <c r="AL604" s="234" t="s">
        <v>306</v>
      </c>
      <c r="AM604" s="188" t="s">
        <v>19</v>
      </c>
      <c r="AN604" s="188" t="s">
        <v>306</v>
      </c>
      <c r="AO604" s="234" t="s">
        <v>306</v>
      </c>
      <c r="AP604" s="235" t="s">
        <v>306</v>
      </c>
      <c r="AQ604" s="188" t="s">
        <v>306</v>
      </c>
      <c r="AR604" s="188" t="s">
        <v>25</v>
      </c>
      <c r="AS604" s="234" t="s">
        <v>25</v>
      </c>
      <c r="AT604" s="188" t="s">
        <v>25</v>
      </c>
      <c r="AU604" s="188" t="s">
        <v>306</v>
      </c>
      <c r="AV604" s="234" t="s">
        <v>25</v>
      </c>
      <c r="AW604" s="188" t="s">
        <v>25</v>
      </c>
      <c r="AX604" s="188" t="s">
        <v>25</v>
      </c>
      <c r="AY604" s="234" t="s">
        <v>25</v>
      </c>
      <c r="AZ604" s="188" t="s">
        <v>306</v>
      </c>
      <c r="BA604" s="188" t="s">
        <v>25</v>
      </c>
      <c r="BB604" s="234" t="s">
        <v>25</v>
      </c>
      <c r="BC604" s="235" t="s">
        <v>25</v>
      </c>
      <c r="BD604" s="188"/>
    </row>
    <row r="605" spans="1:56" ht="12.75" customHeight="1" x14ac:dyDescent="0.25">
      <c r="A605" s="238">
        <v>44797.75207800926</v>
      </c>
      <c r="B605" s="137" t="s">
        <v>304</v>
      </c>
      <c r="C605" s="211" t="s">
        <v>595</v>
      </c>
      <c r="D605" s="211" t="s">
        <v>17</v>
      </c>
      <c r="E605" s="232" t="s">
        <v>515</v>
      </c>
      <c r="F605" s="188" t="s">
        <v>1181</v>
      </c>
      <c r="G605" s="211" t="s">
        <v>18</v>
      </c>
      <c r="H605" s="211">
        <v>12</v>
      </c>
      <c r="I605" s="188" t="s">
        <v>518</v>
      </c>
      <c r="J605" s="188" t="s">
        <v>560</v>
      </c>
      <c r="K605" s="209" t="s">
        <v>560</v>
      </c>
      <c r="L605" s="188" t="s">
        <v>518</v>
      </c>
      <c r="M605" s="188" t="s">
        <v>412</v>
      </c>
      <c r="N605" s="188"/>
      <c r="O605" s="188"/>
      <c r="P605" s="188"/>
      <c r="Q605" s="188" t="s">
        <v>25</v>
      </c>
      <c r="R605" s="188" t="s">
        <v>25</v>
      </c>
      <c r="S605" s="234" t="s">
        <v>25</v>
      </c>
      <c r="T605" s="188" t="s">
        <v>25</v>
      </c>
      <c r="U605" s="188" t="s">
        <v>25</v>
      </c>
      <c r="V605" s="234" t="s">
        <v>25</v>
      </c>
      <c r="W605" s="188" t="s">
        <v>306</v>
      </c>
      <c r="X605" s="188" t="s">
        <v>306</v>
      </c>
      <c r="Y605" s="234" t="s">
        <v>306</v>
      </c>
      <c r="Z605" s="188" t="s">
        <v>25</v>
      </c>
      <c r="AA605" s="188" t="s">
        <v>306</v>
      </c>
      <c r="AB605" s="234" t="s">
        <v>25</v>
      </c>
      <c r="AC605" s="235" t="s">
        <v>25</v>
      </c>
      <c r="AD605" s="188" t="s">
        <v>25</v>
      </c>
      <c r="AE605" s="188" t="s">
        <v>25</v>
      </c>
      <c r="AF605" s="234" t="s">
        <v>25</v>
      </c>
      <c r="AG605" s="188" t="s">
        <v>25</v>
      </c>
      <c r="AH605" s="188" t="s">
        <v>306</v>
      </c>
      <c r="AI605" s="234" t="s">
        <v>25</v>
      </c>
      <c r="AJ605" s="188" t="s">
        <v>25</v>
      </c>
      <c r="AK605" s="188" t="s">
        <v>25</v>
      </c>
      <c r="AL605" s="234" t="s">
        <v>25</v>
      </c>
      <c r="AM605" s="188" t="s">
        <v>25</v>
      </c>
      <c r="AN605" s="188" t="s">
        <v>25</v>
      </c>
      <c r="AO605" s="234" t="s">
        <v>25</v>
      </c>
      <c r="AP605" s="235" t="s">
        <v>25</v>
      </c>
      <c r="AQ605" s="188" t="s">
        <v>25</v>
      </c>
      <c r="AR605" s="188" t="s">
        <v>25</v>
      </c>
      <c r="AS605" s="234" t="s">
        <v>25</v>
      </c>
      <c r="AT605" s="188" t="s">
        <v>25</v>
      </c>
      <c r="AU605" s="188" t="s">
        <v>25</v>
      </c>
      <c r="AV605" s="234" t="s">
        <v>25</v>
      </c>
      <c r="AW605" s="188" t="s">
        <v>25</v>
      </c>
      <c r="AX605" s="188" t="s">
        <v>25</v>
      </c>
      <c r="AY605" s="234" t="s">
        <v>25</v>
      </c>
      <c r="AZ605" s="188" t="s">
        <v>25</v>
      </c>
      <c r="BA605" s="188" t="s">
        <v>25</v>
      </c>
      <c r="BB605" s="234" t="s">
        <v>25</v>
      </c>
      <c r="BC605" s="235" t="s">
        <v>25</v>
      </c>
      <c r="BD605" s="188"/>
    </row>
    <row r="606" spans="1:56" ht="12.75" customHeight="1" x14ac:dyDescent="0.25">
      <c r="A606" s="238">
        <v>44797.762456666664</v>
      </c>
      <c r="B606" s="137" t="s">
        <v>304</v>
      </c>
      <c r="C606" s="211" t="s">
        <v>595</v>
      </c>
      <c r="D606" s="211" t="s">
        <v>17</v>
      </c>
      <c r="E606" s="232" t="s">
        <v>515</v>
      </c>
      <c r="F606" s="188" t="s">
        <v>561</v>
      </c>
      <c r="G606" s="211" t="s">
        <v>24</v>
      </c>
      <c r="H606" s="211">
        <v>11</v>
      </c>
      <c r="I606" s="188" t="s">
        <v>518</v>
      </c>
      <c r="J606" s="188" t="s">
        <v>560</v>
      </c>
      <c r="K606" s="209" t="s">
        <v>560</v>
      </c>
      <c r="L606" s="188" t="s">
        <v>518</v>
      </c>
      <c r="M606" s="188" t="s">
        <v>375</v>
      </c>
      <c r="N606" s="188"/>
      <c r="O606" s="188"/>
      <c r="P606" s="188"/>
      <c r="Q606" s="188" t="s">
        <v>25</v>
      </c>
      <c r="R606" s="188" t="s">
        <v>19</v>
      </c>
      <c r="S606" s="234" t="s">
        <v>306</v>
      </c>
      <c r="T606" s="188" t="s">
        <v>306</v>
      </c>
      <c r="U606" s="188" t="s">
        <v>25</v>
      </c>
      <c r="V606" s="234" t="s">
        <v>25</v>
      </c>
      <c r="W606" s="188" t="s">
        <v>25</v>
      </c>
      <c r="X606" s="188" t="s">
        <v>306</v>
      </c>
      <c r="Y606" s="234" t="s">
        <v>25</v>
      </c>
      <c r="Z606" s="188" t="s">
        <v>306</v>
      </c>
      <c r="AA606" s="188" t="s">
        <v>19</v>
      </c>
      <c r="AB606" s="234" t="s">
        <v>306</v>
      </c>
      <c r="AC606" s="235" t="s">
        <v>306</v>
      </c>
      <c r="AD606" s="188" t="s">
        <v>25</v>
      </c>
      <c r="AE606" s="188" t="s">
        <v>25</v>
      </c>
      <c r="AF606" s="234" t="s">
        <v>25</v>
      </c>
      <c r="AG606" s="188" t="s">
        <v>306</v>
      </c>
      <c r="AH606" s="188" t="s">
        <v>306</v>
      </c>
      <c r="AI606" s="234" t="s">
        <v>306</v>
      </c>
      <c r="AJ606" s="188" t="s">
        <v>306</v>
      </c>
      <c r="AK606" s="188" t="s">
        <v>306</v>
      </c>
      <c r="AL606" s="234" t="s">
        <v>306</v>
      </c>
      <c r="AM606" s="188" t="s">
        <v>19</v>
      </c>
      <c r="AN606" s="188" t="s">
        <v>19</v>
      </c>
      <c r="AO606" s="234" t="s">
        <v>19</v>
      </c>
      <c r="AP606" s="235" t="s">
        <v>306</v>
      </c>
      <c r="AQ606" s="188" t="s">
        <v>306</v>
      </c>
      <c r="AR606" s="188" t="s">
        <v>306</v>
      </c>
      <c r="AS606" s="234" t="s">
        <v>306</v>
      </c>
      <c r="AT606" s="188" t="s">
        <v>25</v>
      </c>
      <c r="AU606" s="188" t="s">
        <v>25</v>
      </c>
      <c r="AV606" s="234" t="s">
        <v>25</v>
      </c>
      <c r="AW606" s="188" t="s">
        <v>306</v>
      </c>
      <c r="AX606" s="188" t="s">
        <v>306</v>
      </c>
      <c r="AY606" s="234" t="s">
        <v>306</v>
      </c>
      <c r="AZ606" s="188" t="s">
        <v>306</v>
      </c>
      <c r="BA606" s="188" t="s">
        <v>25</v>
      </c>
      <c r="BB606" s="234" t="s">
        <v>306</v>
      </c>
      <c r="BC606" s="235" t="s">
        <v>306</v>
      </c>
      <c r="BD606" s="188"/>
    </row>
    <row r="607" spans="1:56" ht="12.75" customHeight="1" x14ac:dyDescent="0.25">
      <c r="A607" s="238">
        <v>44797.769274687496</v>
      </c>
      <c r="B607" s="137" t="s">
        <v>304</v>
      </c>
      <c r="C607" s="211" t="s">
        <v>595</v>
      </c>
      <c r="D607" s="211" t="s">
        <v>17</v>
      </c>
      <c r="E607" s="232" t="s">
        <v>515</v>
      </c>
      <c r="F607" s="188" t="s">
        <v>1182</v>
      </c>
      <c r="G607" s="211" t="s">
        <v>24</v>
      </c>
      <c r="H607" s="211">
        <v>11</v>
      </c>
      <c r="I607" s="188" t="s">
        <v>518</v>
      </c>
      <c r="J607" s="188" t="s">
        <v>560</v>
      </c>
      <c r="K607" s="209" t="s">
        <v>560</v>
      </c>
      <c r="L607" s="188" t="s">
        <v>518</v>
      </c>
      <c r="M607" s="188" t="s">
        <v>375</v>
      </c>
      <c r="N607" s="188"/>
      <c r="O607" s="188"/>
      <c r="P607" s="188"/>
      <c r="Q607" s="188" t="s">
        <v>25</v>
      </c>
      <c r="R607" s="188" t="s">
        <v>25</v>
      </c>
      <c r="S607" s="234" t="s">
        <v>25</v>
      </c>
      <c r="T607" s="188" t="s">
        <v>25</v>
      </c>
      <c r="U607" s="188" t="s">
        <v>25</v>
      </c>
      <c r="V607" s="234" t="s">
        <v>25</v>
      </c>
      <c r="W607" s="188" t="s">
        <v>306</v>
      </c>
      <c r="X607" s="188" t="s">
        <v>306</v>
      </c>
      <c r="Y607" s="234" t="s">
        <v>306</v>
      </c>
      <c r="Z607" s="188" t="s">
        <v>25</v>
      </c>
      <c r="AA607" s="188" t="s">
        <v>306</v>
      </c>
      <c r="AB607" s="234" t="s">
        <v>25</v>
      </c>
      <c r="AC607" s="235" t="s">
        <v>25</v>
      </c>
      <c r="AD607" s="188" t="s">
        <v>25</v>
      </c>
      <c r="AE607" s="188" t="s">
        <v>306</v>
      </c>
      <c r="AF607" s="234" t="s">
        <v>25</v>
      </c>
      <c r="AG607" s="188" t="s">
        <v>306</v>
      </c>
      <c r="AH607" s="188" t="s">
        <v>306</v>
      </c>
      <c r="AI607" s="234" t="s">
        <v>306</v>
      </c>
      <c r="AJ607" s="188" t="s">
        <v>306</v>
      </c>
      <c r="AK607" s="188" t="s">
        <v>306</v>
      </c>
      <c r="AL607" s="234" t="s">
        <v>306</v>
      </c>
      <c r="AM607" s="188" t="s">
        <v>19</v>
      </c>
      <c r="AN607" s="188" t="s">
        <v>19</v>
      </c>
      <c r="AO607" s="234" t="s">
        <v>19</v>
      </c>
      <c r="AP607" s="235" t="s">
        <v>306</v>
      </c>
      <c r="AQ607" s="188" t="s">
        <v>25</v>
      </c>
      <c r="AR607" s="188" t="s">
        <v>25</v>
      </c>
      <c r="AS607" s="234" t="s">
        <v>25</v>
      </c>
      <c r="AT607" s="188" t="s">
        <v>25</v>
      </c>
      <c r="AU607" s="188" t="s">
        <v>25</v>
      </c>
      <c r="AV607" s="234" t="s">
        <v>25</v>
      </c>
      <c r="AW607" s="188" t="s">
        <v>25</v>
      </c>
      <c r="AX607" s="188" t="s">
        <v>25</v>
      </c>
      <c r="AY607" s="234" t="s">
        <v>25</v>
      </c>
      <c r="AZ607" s="188" t="s">
        <v>25</v>
      </c>
      <c r="BA607" s="188" t="s">
        <v>25</v>
      </c>
      <c r="BB607" s="234" t="s">
        <v>306</v>
      </c>
      <c r="BC607" s="235" t="s">
        <v>306</v>
      </c>
      <c r="BD607" s="188"/>
    </row>
    <row r="608" spans="1:56" ht="12.75" customHeight="1" x14ac:dyDescent="0.25">
      <c r="A608" s="238">
        <v>44797.78842571759</v>
      </c>
      <c r="B608" s="137" t="s">
        <v>304</v>
      </c>
      <c r="C608" s="211" t="s">
        <v>595</v>
      </c>
      <c r="D608" s="211" t="s">
        <v>17</v>
      </c>
      <c r="E608" s="232" t="s">
        <v>515</v>
      </c>
      <c r="F608" s="188" t="s">
        <v>1183</v>
      </c>
      <c r="G608" s="211" t="s">
        <v>24</v>
      </c>
      <c r="H608" s="211">
        <v>12</v>
      </c>
      <c r="I608" s="188" t="s">
        <v>518</v>
      </c>
      <c r="J608" s="188" t="s">
        <v>560</v>
      </c>
      <c r="K608" s="209" t="s">
        <v>560</v>
      </c>
      <c r="L608" s="188" t="s">
        <v>518</v>
      </c>
      <c r="M608" s="188" t="s">
        <v>412</v>
      </c>
      <c r="N608" s="188"/>
      <c r="O608" s="188"/>
      <c r="P608" s="188"/>
      <c r="Q608" s="188" t="s">
        <v>25</v>
      </c>
      <c r="R608" s="188" t="s">
        <v>25</v>
      </c>
      <c r="S608" s="234" t="s">
        <v>25</v>
      </c>
      <c r="T608" s="188" t="s">
        <v>19</v>
      </c>
      <c r="U608" s="188" t="s">
        <v>25</v>
      </c>
      <c r="V608" s="234" t="s">
        <v>306</v>
      </c>
      <c r="W608" s="188" t="s">
        <v>25</v>
      </c>
      <c r="X608" s="188" t="s">
        <v>19</v>
      </c>
      <c r="Y608" s="234" t="s">
        <v>306</v>
      </c>
      <c r="Z608" s="188" t="s">
        <v>25</v>
      </c>
      <c r="AA608" s="188" t="s">
        <v>25</v>
      </c>
      <c r="AB608" s="234" t="s">
        <v>25</v>
      </c>
      <c r="AC608" s="235" t="s">
        <v>25</v>
      </c>
      <c r="AD608" s="188" t="s">
        <v>25</v>
      </c>
      <c r="AE608" s="188" t="s">
        <v>25</v>
      </c>
      <c r="AF608" s="234" t="s">
        <v>25</v>
      </c>
      <c r="AG608" s="188" t="s">
        <v>306</v>
      </c>
      <c r="AH608" s="188" t="s">
        <v>19</v>
      </c>
      <c r="AI608" s="234" t="s">
        <v>306</v>
      </c>
      <c r="AJ608" s="188" t="s">
        <v>19</v>
      </c>
      <c r="AK608" s="188" t="s">
        <v>19</v>
      </c>
      <c r="AL608" s="234" t="s">
        <v>19</v>
      </c>
      <c r="AM608" s="188" t="s">
        <v>19</v>
      </c>
      <c r="AN608" s="188" t="s">
        <v>19</v>
      </c>
      <c r="AO608" s="234" t="s">
        <v>19</v>
      </c>
      <c r="AP608" s="235" t="s">
        <v>306</v>
      </c>
      <c r="AQ608" s="188" t="s">
        <v>25</v>
      </c>
      <c r="AR608" s="188" t="s">
        <v>306</v>
      </c>
      <c r="AS608" s="234" t="s">
        <v>25</v>
      </c>
      <c r="AT608" s="188" t="s">
        <v>25</v>
      </c>
      <c r="AU608" s="188" t="s">
        <v>25</v>
      </c>
      <c r="AV608" s="234" t="s">
        <v>25</v>
      </c>
      <c r="AW608" s="188" t="s">
        <v>25</v>
      </c>
      <c r="AX608" s="188" t="s">
        <v>306</v>
      </c>
      <c r="AY608" s="234" t="s">
        <v>25</v>
      </c>
      <c r="AZ608" s="188" t="s">
        <v>25</v>
      </c>
      <c r="BA608" s="188" t="s">
        <v>25</v>
      </c>
      <c r="BB608" s="234" t="s">
        <v>25</v>
      </c>
      <c r="BC608" s="235" t="s">
        <v>25</v>
      </c>
      <c r="BD608" s="188"/>
    </row>
    <row r="609" spans="1:56" ht="12.75" customHeight="1" x14ac:dyDescent="0.25">
      <c r="A609" s="238">
        <v>44797.799244664347</v>
      </c>
      <c r="B609" s="137" t="s">
        <v>304</v>
      </c>
      <c r="C609" s="211" t="s">
        <v>595</v>
      </c>
      <c r="D609" s="211" t="s">
        <v>17</v>
      </c>
      <c r="E609" s="232" t="s">
        <v>515</v>
      </c>
      <c r="F609" s="188" t="s">
        <v>1184</v>
      </c>
      <c r="G609" s="211" t="s">
        <v>24</v>
      </c>
      <c r="H609" s="211">
        <v>11</v>
      </c>
      <c r="I609" s="188" t="s">
        <v>518</v>
      </c>
      <c r="J609" s="188" t="s">
        <v>560</v>
      </c>
      <c r="K609" s="209" t="s">
        <v>560</v>
      </c>
      <c r="L609" s="188" t="s">
        <v>518</v>
      </c>
      <c r="M609" s="188" t="s">
        <v>412</v>
      </c>
      <c r="N609" s="188"/>
      <c r="O609" s="188"/>
      <c r="P609" s="188"/>
      <c r="Q609" s="188" t="s">
        <v>25</v>
      </c>
      <c r="R609" s="188" t="s">
        <v>306</v>
      </c>
      <c r="S609" s="234" t="s">
        <v>25</v>
      </c>
      <c r="T609" s="188" t="s">
        <v>306</v>
      </c>
      <c r="U609" s="188" t="s">
        <v>25</v>
      </c>
      <c r="V609" s="234" t="s">
        <v>25</v>
      </c>
      <c r="W609" s="188" t="s">
        <v>19</v>
      </c>
      <c r="X609" s="188" t="s">
        <v>306</v>
      </c>
      <c r="Y609" s="234" t="s">
        <v>306</v>
      </c>
      <c r="Z609" s="188" t="s">
        <v>25</v>
      </c>
      <c r="AA609" s="188" t="s">
        <v>25</v>
      </c>
      <c r="AB609" s="234" t="s">
        <v>25</v>
      </c>
      <c r="AC609" s="235" t="s">
        <v>306</v>
      </c>
      <c r="AD609" s="188" t="s">
        <v>25</v>
      </c>
      <c r="AE609" s="188" t="s">
        <v>25</v>
      </c>
      <c r="AF609" s="234" t="s">
        <v>25</v>
      </c>
      <c r="AG609" s="188" t="s">
        <v>306</v>
      </c>
      <c r="AH609" s="188" t="s">
        <v>19</v>
      </c>
      <c r="AI609" s="234" t="s">
        <v>306</v>
      </c>
      <c r="AJ609" s="188" t="s">
        <v>25</v>
      </c>
      <c r="AK609" s="188" t="s">
        <v>306</v>
      </c>
      <c r="AL609" s="234" t="s">
        <v>25</v>
      </c>
      <c r="AM609" s="188" t="s">
        <v>19</v>
      </c>
      <c r="AN609" s="188" t="s">
        <v>19</v>
      </c>
      <c r="AO609" s="234" t="s">
        <v>19</v>
      </c>
      <c r="AP609" s="235" t="s">
        <v>306</v>
      </c>
      <c r="AQ609" s="188" t="s">
        <v>25</v>
      </c>
      <c r="AR609" s="188" t="s">
        <v>25</v>
      </c>
      <c r="AS609" s="234" t="s">
        <v>25</v>
      </c>
      <c r="AT609" s="188" t="s">
        <v>25</v>
      </c>
      <c r="AU609" s="188" t="s">
        <v>306</v>
      </c>
      <c r="AV609" s="234" t="s">
        <v>25</v>
      </c>
      <c r="AW609" s="188" t="s">
        <v>25</v>
      </c>
      <c r="AX609" s="188" t="s">
        <v>25</v>
      </c>
      <c r="AY609" s="234" t="s">
        <v>25</v>
      </c>
      <c r="AZ609" s="188" t="s">
        <v>25</v>
      </c>
      <c r="BA609" s="188" t="s">
        <v>25</v>
      </c>
      <c r="BB609" s="234" t="s">
        <v>306</v>
      </c>
      <c r="BC609" s="235" t="s">
        <v>306</v>
      </c>
      <c r="BD609" s="188"/>
    </row>
    <row r="610" spans="1:56" ht="12.75" customHeight="1" x14ac:dyDescent="0.25">
      <c r="A610" s="238">
        <v>44797.882173668986</v>
      </c>
      <c r="B610" s="137" t="s">
        <v>304</v>
      </c>
      <c r="C610" s="211" t="s">
        <v>595</v>
      </c>
      <c r="D610" s="211" t="s">
        <v>17</v>
      </c>
      <c r="E610" s="232" t="s">
        <v>515</v>
      </c>
      <c r="F610" s="188" t="s">
        <v>1185</v>
      </c>
      <c r="G610" s="211" t="s">
        <v>18</v>
      </c>
      <c r="H610" s="211">
        <v>11</v>
      </c>
      <c r="I610" s="188" t="s">
        <v>518</v>
      </c>
      <c r="J610" s="188" t="s">
        <v>560</v>
      </c>
      <c r="K610" s="209" t="s">
        <v>560</v>
      </c>
      <c r="L610" s="188" t="s">
        <v>518</v>
      </c>
      <c r="M610" s="188" t="s">
        <v>412</v>
      </c>
      <c r="N610" s="188"/>
      <c r="O610" s="188"/>
      <c r="P610" s="188"/>
      <c r="Q610" s="188" t="s">
        <v>25</v>
      </c>
      <c r="R610" s="188" t="s">
        <v>306</v>
      </c>
      <c r="S610" s="234" t="s">
        <v>25</v>
      </c>
      <c r="T610" s="188" t="s">
        <v>306</v>
      </c>
      <c r="U610" s="188" t="s">
        <v>19</v>
      </c>
      <c r="V610" s="234" t="s">
        <v>306</v>
      </c>
      <c r="W610" s="188" t="s">
        <v>19</v>
      </c>
      <c r="X610" s="188" t="s">
        <v>19</v>
      </c>
      <c r="Y610" s="234" t="s">
        <v>19</v>
      </c>
      <c r="Z610" s="188" t="s">
        <v>25</v>
      </c>
      <c r="AA610" s="188" t="s">
        <v>19</v>
      </c>
      <c r="AB610" s="234" t="s">
        <v>306</v>
      </c>
      <c r="AC610" s="235" t="s">
        <v>306</v>
      </c>
      <c r="AD610" s="188" t="s">
        <v>25</v>
      </c>
      <c r="AE610" s="188" t="s">
        <v>306</v>
      </c>
      <c r="AF610" s="234" t="s">
        <v>25</v>
      </c>
      <c r="AG610" s="188" t="s">
        <v>19</v>
      </c>
      <c r="AH610" s="188" t="s">
        <v>19</v>
      </c>
      <c r="AI610" s="234" t="s">
        <v>19</v>
      </c>
      <c r="AJ610" s="188" t="s">
        <v>19</v>
      </c>
      <c r="AK610" s="188" t="s">
        <v>306</v>
      </c>
      <c r="AL610" s="234" t="s">
        <v>306</v>
      </c>
      <c r="AM610" s="188" t="s">
        <v>306</v>
      </c>
      <c r="AN610" s="188" t="s">
        <v>19</v>
      </c>
      <c r="AO610" s="234" t="s">
        <v>306</v>
      </c>
      <c r="AP610" s="235" t="s">
        <v>306</v>
      </c>
      <c r="AQ610" s="188" t="s">
        <v>19</v>
      </c>
      <c r="AR610" s="188" t="s">
        <v>306</v>
      </c>
      <c r="AS610" s="234" t="s">
        <v>306</v>
      </c>
      <c r="AT610" s="188" t="s">
        <v>25</v>
      </c>
      <c r="AU610" s="188" t="s">
        <v>19</v>
      </c>
      <c r="AV610" s="234" t="s">
        <v>306</v>
      </c>
      <c r="AW610" s="188" t="s">
        <v>25</v>
      </c>
      <c r="AX610" s="188" t="s">
        <v>306</v>
      </c>
      <c r="AY610" s="234" t="s">
        <v>25</v>
      </c>
      <c r="AZ610" s="188" t="s">
        <v>25</v>
      </c>
      <c r="BA610" s="188" t="s">
        <v>306</v>
      </c>
      <c r="BB610" s="234" t="s">
        <v>25</v>
      </c>
      <c r="BC610" s="235" t="s">
        <v>25</v>
      </c>
      <c r="BD610" s="188"/>
    </row>
    <row r="611" spans="1:56" ht="12.75" customHeight="1" x14ac:dyDescent="0.25">
      <c r="A611" s="238">
        <v>44797.885238564813</v>
      </c>
      <c r="B611" s="137" t="s">
        <v>304</v>
      </c>
      <c r="C611" s="211" t="s">
        <v>595</v>
      </c>
      <c r="D611" s="211" t="s">
        <v>17</v>
      </c>
      <c r="E611" s="232" t="s">
        <v>515</v>
      </c>
      <c r="F611" s="188" t="s">
        <v>1186</v>
      </c>
      <c r="G611" s="211" t="s">
        <v>18</v>
      </c>
      <c r="H611" s="211">
        <v>11</v>
      </c>
      <c r="I611" s="188" t="s">
        <v>518</v>
      </c>
      <c r="J611" s="188" t="s">
        <v>560</v>
      </c>
      <c r="K611" s="209" t="s">
        <v>560</v>
      </c>
      <c r="L611" s="188" t="s">
        <v>518</v>
      </c>
      <c r="M611" s="188" t="s">
        <v>375</v>
      </c>
      <c r="N611" s="188"/>
      <c r="O611" s="188"/>
      <c r="P611" s="188"/>
      <c r="Q611" s="188" t="s">
        <v>25</v>
      </c>
      <c r="R611" s="188" t="s">
        <v>306</v>
      </c>
      <c r="S611" s="234" t="s">
        <v>25</v>
      </c>
      <c r="T611" s="188" t="s">
        <v>306</v>
      </c>
      <c r="U611" s="188" t="s">
        <v>25</v>
      </c>
      <c r="V611" s="234" t="s">
        <v>25</v>
      </c>
      <c r="W611" s="188" t="s">
        <v>25</v>
      </c>
      <c r="X611" s="188" t="s">
        <v>25</v>
      </c>
      <c r="Y611" s="234" t="s">
        <v>25</v>
      </c>
      <c r="Z611" s="188" t="s">
        <v>306</v>
      </c>
      <c r="AA611" s="188" t="s">
        <v>19</v>
      </c>
      <c r="AB611" s="234" t="s">
        <v>306</v>
      </c>
      <c r="AC611" s="235" t="s">
        <v>306</v>
      </c>
      <c r="AD611" s="188" t="s">
        <v>25</v>
      </c>
      <c r="AE611" s="188" t="s">
        <v>25</v>
      </c>
      <c r="AF611" s="234" t="s">
        <v>25</v>
      </c>
      <c r="AG611" s="188" t="s">
        <v>306</v>
      </c>
      <c r="AH611" s="188" t="s">
        <v>306</v>
      </c>
      <c r="AI611" s="234" t="s">
        <v>306</v>
      </c>
      <c r="AJ611" s="188" t="s">
        <v>25</v>
      </c>
      <c r="AK611" s="188" t="s">
        <v>25</v>
      </c>
      <c r="AL611" s="234" t="s">
        <v>25</v>
      </c>
      <c r="AM611" s="188" t="s">
        <v>306</v>
      </c>
      <c r="AN611" s="188" t="s">
        <v>306</v>
      </c>
      <c r="AO611" s="234" t="s">
        <v>306</v>
      </c>
      <c r="AP611" s="235" t="s">
        <v>25</v>
      </c>
      <c r="AQ611" s="188" t="s">
        <v>25</v>
      </c>
      <c r="AR611" s="188" t="s">
        <v>25</v>
      </c>
      <c r="AS611" s="234" t="s">
        <v>25</v>
      </c>
      <c r="AT611" s="188" t="s">
        <v>25</v>
      </c>
      <c r="AU611" s="188" t="s">
        <v>306</v>
      </c>
      <c r="AV611" s="234" t="s">
        <v>25</v>
      </c>
      <c r="AW611" s="188" t="s">
        <v>306</v>
      </c>
      <c r="AX611" s="188" t="s">
        <v>25</v>
      </c>
      <c r="AY611" s="234" t="s">
        <v>25</v>
      </c>
      <c r="AZ611" s="188" t="s">
        <v>306</v>
      </c>
      <c r="BA611" s="188" t="s">
        <v>25</v>
      </c>
      <c r="BB611" s="234" t="s">
        <v>306</v>
      </c>
      <c r="BC611" s="235" t="s">
        <v>306</v>
      </c>
      <c r="BD611" s="188"/>
    </row>
    <row r="612" spans="1:56" ht="12.75" customHeight="1" x14ac:dyDescent="0.25">
      <c r="A612" s="238">
        <v>44797.893671574071</v>
      </c>
      <c r="B612" s="137" t="s">
        <v>304</v>
      </c>
      <c r="C612" s="211" t="s">
        <v>595</v>
      </c>
      <c r="D612" s="211" t="s">
        <v>17</v>
      </c>
      <c r="E612" s="232" t="s">
        <v>515</v>
      </c>
      <c r="F612" s="188" t="s">
        <v>1187</v>
      </c>
      <c r="G612" s="211" t="s">
        <v>18</v>
      </c>
      <c r="H612" s="211">
        <v>11</v>
      </c>
      <c r="I612" s="188" t="s">
        <v>518</v>
      </c>
      <c r="J612" s="188" t="s">
        <v>560</v>
      </c>
      <c r="K612" s="209" t="s">
        <v>560</v>
      </c>
      <c r="L612" s="188" t="s">
        <v>518</v>
      </c>
      <c r="M612" s="188" t="s">
        <v>375</v>
      </c>
      <c r="N612" s="188"/>
      <c r="O612" s="188"/>
      <c r="P612" s="188"/>
      <c r="Q612" s="188" t="s">
        <v>25</v>
      </c>
      <c r="R612" s="188" t="s">
        <v>25</v>
      </c>
      <c r="S612" s="234" t="s">
        <v>25</v>
      </c>
      <c r="T612" s="188" t="s">
        <v>306</v>
      </c>
      <c r="U612" s="188" t="s">
        <v>25</v>
      </c>
      <c r="V612" s="234" t="s">
        <v>25</v>
      </c>
      <c r="W612" s="188" t="s">
        <v>306</v>
      </c>
      <c r="X612" s="188" t="s">
        <v>306</v>
      </c>
      <c r="Y612" s="234" t="s">
        <v>306</v>
      </c>
      <c r="Z612" s="188" t="s">
        <v>19</v>
      </c>
      <c r="AA612" s="188" t="s">
        <v>25</v>
      </c>
      <c r="AB612" s="234" t="s">
        <v>306</v>
      </c>
      <c r="AC612" s="235" t="s">
        <v>306</v>
      </c>
      <c r="AD612" s="188" t="s">
        <v>19</v>
      </c>
      <c r="AE612" s="188" t="s">
        <v>306</v>
      </c>
      <c r="AF612" s="234" t="s">
        <v>306</v>
      </c>
      <c r="AG612" s="188" t="s">
        <v>306</v>
      </c>
      <c r="AH612" s="188" t="s">
        <v>306</v>
      </c>
      <c r="AI612" s="234" t="s">
        <v>306</v>
      </c>
      <c r="AJ612" s="188" t="s">
        <v>25</v>
      </c>
      <c r="AK612" s="188" t="s">
        <v>306</v>
      </c>
      <c r="AL612" s="234" t="s">
        <v>25</v>
      </c>
      <c r="AM612" s="188" t="s">
        <v>19</v>
      </c>
      <c r="AN612" s="188" t="s">
        <v>306</v>
      </c>
      <c r="AO612" s="234" t="s">
        <v>306</v>
      </c>
      <c r="AP612" s="235" t="s">
        <v>306</v>
      </c>
      <c r="AQ612" s="188" t="s">
        <v>25</v>
      </c>
      <c r="AR612" s="188" t="s">
        <v>306</v>
      </c>
      <c r="AS612" s="234" t="s">
        <v>25</v>
      </c>
      <c r="AT612" s="188" t="s">
        <v>25</v>
      </c>
      <c r="AU612" s="188" t="s">
        <v>19</v>
      </c>
      <c r="AV612" s="234" t="s">
        <v>306</v>
      </c>
      <c r="AW612" s="188" t="s">
        <v>19</v>
      </c>
      <c r="AX612" s="188" t="s">
        <v>306</v>
      </c>
      <c r="AY612" s="234" t="s">
        <v>306</v>
      </c>
      <c r="AZ612" s="188" t="s">
        <v>25</v>
      </c>
      <c r="BA612" s="188" t="s">
        <v>25</v>
      </c>
      <c r="BB612" s="234" t="s">
        <v>25</v>
      </c>
      <c r="BC612" s="235" t="s">
        <v>25</v>
      </c>
      <c r="BD612" s="188"/>
    </row>
    <row r="613" spans="1:56" ht="12.75" customHeight="1" x14ac:dyDescent="0.25">
      <c r="A613" s="238">
        <v>44797.897196030091</v>
      </c>
      <c r="B613" s="137" t="s">
        <v>304</v>
      </c>
      <c r="C613" s="211" t="s">
        <v>595</v>
      </c>
      <c r="D613" s="211" t="s">
        <v>17</v>
      </c>
      <c r="E613" s="232" t="s">
        <v>515</v>
      </c>
      <c r="F613" s="188" t="s">
        <v>1188</v>
      </c>
      <c r="G613" s="211" t="s">
        <v>18</v>
      </c>
      <c r="H613" s="211">
        <v>12</v>
      </c>
      <c r="I613" s="188" t="s">
        <v>518</v>
      </c>
      <c r="J613" s="188" t="s">
        <v>560</v>
      </c>
      <c r="K613" s="209" t="s">
        <v>560</v>
      </c>
      <c r="L613" s="188" t="s">
        <v>518</v>
      </c>
      <c r="M613" s="188" t="s">
        <v>389</v>
      </c>
      <c r="N613" s="188"/>
      <c r="O613" s="188"/>
      <c r="P613" s="188"/>
      <c r="Q613" s="188" t="s">
        <v>25</v>
      </c>
      <c r="R613" s="188" t="s">
        <v>25</v>
      </c>
      <c r="S613" s="234" t="s">
        <v>25</v>
      </c>
      <c r="T613" s="188" t="s">
        <v>25</v>
      </c>
      <c r="U613" s="188" t="s">
        <v>25</v>
      </c>
      <c r="V613" s="234" t="s">
        <v>25</v>
      </c>
      <c r="W613" s="188" t="s">
        <v>25</v>
      </c>
      <c r="X613" s="188" t="s">
        <v>25</v>
      </c>
      <c r="Y613" s="234" t="s">
        <v>25</v>
      </c>
      <c r="Z613" s="188" t="s">
        <v>25</v>
      </c>
      <c r="AA613" s="188" t="s">
        <v>25</v>
      </c>
      <c r="AB613" s="234" t="s">
        <v>25</v>
      </c>
      <c r="AC613" s="235" t="s">
        <v>25</v>
      </c>
      <c r="AD613" s="188" t="s">
        <v>25</v>
      </c>
      <c r="AE613" s="188" t="s">
        <v>25</v>
      </c>
      <c r="AF613" s="234" t="s">
        <v>25</v>
      </c>
      <c r="AG613" s="188" t="s">
        <v>25</v>
      </c>
      <c r="AH613" s="188" t="s">
        <v>19</v>
      </c>
      <c r="AI613" s="234" t="s">
        <v>306</v>
      </c>
      <c r="AJ613" s="188" t="s">
        <v>25</v>
      </c>
      <c r="AK613" s="188" t="s">
        <v>25</v>
      </c>
      <c r="AL613" s="234" t="s">
        <v>25</v>
      </c>
      <c r="AM613" s="188" t="s">
        <v>25</v>
      </c>
      <c r="AN613" s="188" t="s">
        <v>25</v>
      </c>
      <c r="AO613" s="234" t="s">
        <v>25</v>
      </c>
      <c r="AP613" s="235" t="s">
        <v>25</v>
      </c>
      <c r="AQ613" s="188" t="s">
        <v>19</v>
      </c>
      <c r="AR613" s="188" t="s">
        <v>25</v>
      </c>
      <c r="AS613" s="234" t="s">
        <v>306</v>
      </c>
      <c r="AT613" s="188" t="s">
        <v>25</v>
      </c>
      <c r="AU613" s="188" t="s">
        <v>25</v>
      </c>
      <c r="AV613" s="234" t="s">
        <v>25</v>
      </c>
      <c r="AW613" s="188" t="s">
        <v>25</v>
      </c>
      <c r="AX613" s="188" t="s">
        <v>25</v>
      </c>
      <c r="AY613" s="234" t="s">
        <v>25</v>
      </c>
      <c r="AZ613" s="188" t="s">
        <v>25</v>
      </c>
      <c r="BA613" s="188" t="s">
        <v>25</v>
      </c>
      <c r="BB613" s="234" t="s">
        <v>306</v>
      </c>
      <c r="BC613" s="235" t="s">
        <v>306</v>
      </c>
      <c r="BD613" s="188"/>
    </row>
    <row r="614" spans="1:56" ht="12.75" customHeight="1" x14ac:dyDescent="0.25">
      <c r="A614" s="238">
        <v>44797.900182372687</v>
      </c>
      <c r="B614" s="137" t="s">
        <v>304</v>
      </c>
      <c r="C614" s="211" t="s">
        <v>595</v>
      </c>
      <c r="D614" s="211" t="s">
        <v>17</v>
      </c>
      <c r="E614" s="232" t="s">
        <v>515</v>
      </c>
      <c r="F614" s="188" t="s">
        <v>1189</v>
      </c>
      <c r="G614" s="211" t="s">
        <v>18</v>
      </c>
      <c r="H614" s="211">
        <v>11</v>
      </c>
      <c r="I614" s="188" t="s">
        <v>518</v>
      </c>
      <c r="J614" s="188" t="s">
        <v>560</v>
      </c>
      <c r="K614" s="209" t="s">
        <v>560</v>
      </c>
      <c r="L614" s="188" t="s">
        <v>518</v>
      </c>
      <c r="M614" s="188" t="s">
        <v>375</v>
      </c>
      <c r="N614" s="188"/>
      <c r="O614" s="188"/>
      <c r="P614" s="188"/>
      <c r="Q614" s="188" t="s">
        <v>25</v>
      </c>
      <c r="R614" s="188" t="s">
        <v>25</v>
      </c>
      <c r="S614" s="234" t="s">
        <v>25</v>
      </c>
      <c r="T614" s="188" t="s">
        <v>19</v>
      </c>
      <c r="U614" s="188" t="s">
        <v>25</v>
      </c>
      <c r="V614" s="234" t="s">
        <v>306</v>
      </c>
      <c r="W614" s="188" t="s">
        <v>19</v>
      </c>
      <c r="X614" s="188" t="s">
        <v>19</v>
      </c>
      <c r="Y614" s="234" t="s">
        <v>19</v>
      </c>
      <c r="Z614" s="188" t="s">
        <v>25</v>
      </c>
      <c r="AA614" s="188" t="s">
        <v>306</v>
      </c>
      <c r="AB614" s="234" t="s">
        <v>25</v>
      </c>
      <c r="AC614" s="235" t="s">
        <v>306</v>
      </c>
      <c r="AD614" s="188" t="s">
        <v>25</v>
      </c>
      <c r="AE614" s="188" t="s">
        <v>25</v>
      </c>
      <c r="AF614" s="234" t="s">
        <v>25</v>
      </c>
      <c r="AG614" s="188" t="s">
        <v>306</v>
      </c>
      <c r="AH614" s="188" t="s">
        <v>306</v>
      </c>
      <c r="AI614" s="234" t="s">
        <v>306</v>
      </c>
      <c r="AJ614" s="188" t="s">
        <v>25</v>
      </c>
      <c r="AK614" s="188" t="s">
        <v>306</v>
      </c>
      <c r="AL614" s="234" t="s">
        <v>25</v>
      </c>
      <c r="AM614" s="188" t="s">
        <v>19</v>
      </c>
      <c r="AN614" s="188" t="s">
        <v>19</v>
      </c>
      <c r="AO614" s="234" t="s">
        <v>19</v>
      </c>
      <c r="AP614" s="235" t="s">
        <v>306</v>
      </c>
      <c r="AQ614" s="188" t="s">
        <v>19</v>
      </c>
      <c r="AR614" s="188" t="s">
        <v>25</v>
      </c>
      <c r="AS614" s="234" t="s">
        <v>306</v>
      </c>
      <c r="AT614" s="188" t="s">
        <v>25</v>
      </c>
      <c r="AU614" s="188" t="s">
        <v>25</v>
      </c>
      <c r="AV614" s="234" t="s">
        <v>25</v>
      </c>
      <c r="AW614" s="188" t="s">
        <v>25</v>
      </c>
      <c r="AX614" s="188" t="s">
        <v>25</v>
      </c>
      <c r="AY614" s="234" t="s">
        <v>25</v>
      </c>
      <c r="AZ614" s="188" t="s">
        <v>25</v>
      </c>
      <c r="BA614" s="188" t="s">
        <v>25</v>
      </c>
      <c r="BB614" s="234" t="s">
        <v>306</v>
      </c>
      <c r="BC614" s="235" t="s">
        <v>306</v>
      </c>
      <c r="BD614" s="188"/>
    </row>
    <row r="615" spans="1:56" ht="12.75" customHeight="1" x14ac:dyDescent="0.25">
      <c r="A615" s="238">
        <v>44797.916224108798</v>
      </c>
      <c r="B615" s="137" t="s">
        <v>304</v>
      </c>
      <c r="C615" s="211" t="s">
        <v>595</v>
      </c>
      <c r="D615" s="211" t="s">
        <v>17</v>
      </c>
      <c r="E615" s="232" t="s">
        <v>515</v>
      </c>
      <c r="F615" s="188" t="s">
        <v>1190</v>
      </c>
      <c r="G615" s="211" t="s">
        <v>18</v>
      </c>
      <c r="H615" s="211">
        <v>12</v>
      </c>
      <c r="I615" s="188" t="s">
        <v>518</v>
      </c>
      <c r="J615" s="188" t="s">
        <v>560</v>
      </c>
      <c r="K615" s="209" t="s">
        <v>560</v>
      </c>
      <c r="L615" s="188" t="s">
        <v>518</v>
      </c>
      <c r="M615" s="188" t="s">
        <v>412</v>
      </c>
      <c r="N615" s="188"/>
      <c r="O615" s="188"/>
      <c r="P615" s="188"/>
      <c r="Q615" s="188" t="s">
        <v>25</v>
      </c>
      <c r="R615" s="188" t="s">
        <v>25</v>
      </c>
      <c r="S615" s="234" t="s">
        <v>25</v>
      </c>
      <c r="T615" s="188" t="s">
        <v>25</v>
      </c>
      <c r="U615" s="188" t="s">
        <v>25</v>
      </c>
      <c r="V615" s="234" t="s">
        <v>25</v>
      </c>
      <c r="W615" s="188" t="s">
        <v>25</v>
      </c>
      <c r="X615" s="188" t="s">
        <v>19</v>
      </c>
      <c r="Y615" s="234" t="s">
        <v>306</v>
      </c>
      <c r="Z615" s="188" t="s">
        <v>25</v>
      </c>
      <c r="AA615" s="188" t="s">
        <v>25</v>
      </c>
      <c r="AB615" s="234" t="s">
        <v>25</v>
      </c>
      <c r="AC615" s="235" t="s">
        <v>25</v>
      </c>
      <c r="AD615" s="188" t="s">
        <v>306</v>
      </c>
      <c r="AE615" s="188" t="s">
        <v>25</v>
      </c>
      <c r="AF615" s="234" t="s">
        <v>25</v>
      </c>
      <c r="AG615" s="188" t="s">
        <v>306</v>
      </c>
      <c r="AH615" s="188" t="s">
        <v>306</v>
      </c>
      <c r="AI615" s="234" t="s">
        <v>306</v>
      </c>
      <c r="AJ615" s="188" t="s">
        <v>25</v>
      </c>
      <c r="AK615" s="188" t="s">
        <v>306</v>
      </c>
      <c r="AL615" s="234" t="s">
        <v>25</v>
      </c>
      <c r="AM615" s="188" t="s">
        <v>306</v>
      </c>
      <c r="AN615" s="188" t="s">
        <v>306</v>
      </c>
      <c r="AO615" s="234" t="s">
        <v>306</v>
      </c>
      <c r="AP615" s="235" t="s">
        <v>306</v>
      </c>
      <c r="AQ615" s="188" t="s">
        <v>25</v>
      </c>
      <c r="AR615" s="188" t="s">
        <v>25</v>
      </c>
      <c r="AS615" s="234" t="s">
        <v>25</v>
      </c>
      <c r="AT615" s="188" t="s">
        <v>306</v>
      </c>
      <c r="AU615" s="188" t="s">
        <v>306</v>
      </c>
      <c r="AV615" s="234" t="s">
        <v>306</v>
      </c>
      <c r="AW615" s="188" t="s">
        <v>19</v>
      </c>
      <c r="AX615" s="188" t="s">
        <v>25</v>
      </c>
      <c r="AY615" s="234" t="s">
        <v>306</v>
      </c>
      <c r="AZ615" s="188" t="s">
        <v>25</v>
      </c>
      <c r="BA615" s="188" t="s">
        <v>25</v>
      </c>
      <c r="BB615" s="234" t="s">
        <v>25</v>
      </c>
      <c r="BC615" s="235" t="s">
        <v>25</v>
      </c>
      <c r="BD615" s="188"/>
    </row>
    <row r="616" spans="1:56" ht="12.75" customHeight="1" x14ac:dyDescent="0.25">
      <c r="A616" s="238">
        <v>44797.937489293981</v>
      </c>
      <c r="B616" s="137" t="s">
        <v>304</v>
      </c>
      <c r="C616" s="211" t="s">
        <v>595</v>
      </c>
      <c r="D616" s="211" t="s">
        <v>17</v>
      </c>
      <c r="E616" s="232" t="s">
        <v>515</v>
      </c>
      <c r="F616" s="188" t="s">
        <v>1191</v>
      </c>
      <c r="G616" s="211" t="s">
        <v>18</v>
      </c>
      <c r="H616" s="211">
        <v>11</v>
      </c>
      <c r="I616" s="188" t="s">
        <v>518</v>
      </c>
      <c r="J616" s="188" t="s">
        <v>560</v>
      </c>
      <c r="K616" s="209" t="s">
        <v>560</v>
      </c>
      <c r="L616" s="188" t="s">
        <v>518</v>
      </c>
      <c r="M616" s="188" t="s">
        <v>375</v>
      </c>
      <c r="N616" s="188"/>
      <c r="O616" s="188"/>
      <c r="P616" s="188"/>
      <c r="Q616" s="188" t="s">
        <v>25</v>
      </c>
      <c r="R616" s="188" t="s">
        <v>25</v>
      </c>
      <c r="S616" s="234" t="s">
        <v>25</v>
      </c>
      <c r="T616" s="188" t="s">
        <v>19</v>
      </c>
      <c r="U616" s="188" t="s">
        <v>25</v>
      </c>
      <c r="V616" s="234" t="s">
        <v>306</v>
      </c>
      <c r="W616" s="188" t="s">
        <v>19</v>
      </c>
      <c r="X616" s="188" t="s">
        <v>19</v>
      </c>
      <c r="Y616" s="234" t="s">
        <v>19</v>
      </c>
      <c r="Z616" s="188" t="s">
        <v>306</v>
      </c>
      <c r="AA616" s="188" t="s">
        <v>19</v>
      </c>
      <c r="AB616" s="234" t="s">
        <v>306</v>
      </c>
      <c r="AC616" s="235" t="s">
        <v>306</v>
      </c>
      <c r="AD616" s="188" t="s">
        <v>306</v>
      </c>
      <c r="AE616" s="188" t="s">
        <v>306</v>
      </c>
      <c r="AF616" s="234" t="s">
        <v>306</v>
      </c>
      <c r="AG616" s="188" t="s">
        <v>19</v>
      </c>
      <c r="AH616" s="188" t="s">
        <v>19</v>
      </c>
      <c r="AI616" s="234" t="s">
        <v>19</v>
      </c>
      <c r="AJ616" s="188" t="s">
        <v>306</v>
      </c>
      <c r="AK616" s="188" t="s">
        <v>306</v>
      </c>
      <c r="AL616" s="234" t="s">
        <v>306</v>
      </c>
      <c r="AM616" s="188" t="s">
        <v>19</v>
      </c>
      <c r="AN616" s="188" t="s">
        <v>19</v>
      </c>
      <c r="AO616" s="234" t="s">
        <v>19</v>
      </c>
      <c r="AP616" s="235" t="s">
        <v>306</v>
      </c>
      <c r="AQ616" s="188" t="s">
        <v>25</v>
      </c>
      <c r="AR616" s="188" t="s">
        <v>19</v>
      </c>
      <c r="AS616" s="234" t="s">
        <v>306</v>
      </c>
      <c r="AT616" s="188" t="s">
        <v>25</v>
      </c>
      <c r="AU616" s="188" t="s">
        <v>25</v>
      </c>
      <c r="AV616" s="234" t="s">
        <v>25</v>
      </c>
      <c r="AW616" s="188" t="s">
        <v>25</v>
      </c>
      <c r="AX616" s="188" t="s">
        <v>306</v>
      </c>
      <c r="AY616" s="234" t="s">
        <v>25</v>
      </c>
      <c r="AZ616" s="188" t="s">
        <v>25</v>
      </c>
      <c r="BA616" s="188" t="s">
        <v>25</v>
      </c>
      <c r="BB616" s="234" t="s">
        <v>25</v>
      </c>
      <c r="BC616" s="235" t="s">
        <v>25</v>
      </c>
      <c r="BD616" s="188"/>
    </row>
    <row r="617" spans="1:56" ht="12.75" customHeight="1" x14ac:dyDescent="0.25">
      <c r="A617" s="238">
        <v>44797.958977719907</v>
      </c>
      <c r="B617" s="137" t="s">
        <v>304</v>
      </c>
      <c r="C617" s="211" t="s">
        <v>595</v>
      </c>
      <c r="D617" s="211" t="s">
        <v>17</v>
      </c>
      <c r="E617" s="232" t="s">
        <v>515</v>
      </c>
      <c r="F617" s="188" t="s">
        <v>1192</v>
      </c>
      <c r="G617" s="211" t="s">
        <v>18</v>
      </c>
      <c r="H617" s="211">
        <v>12</v>
      </c>
      <c r="I617" s="188" t="s">
        <v>518</v>
      </c>
      <c r="J617" s="188" t="s">
        <v>560</v>
      </c>
      <c r="K617" s="209" t="s">
        <v>560</v>
      </c>
      <c r="L617" s="188" t="s">
        <v>518</v>
      </c>
      <c r="M617" s="188" t="s">
        <v>375</v>
      </c>
      <c r="N617" s="188"/>
      <c r="O617" s="188"/>
      <c r="P617" s="188"/>
      <c r="Q617" s="188" t="s">
        <v>25</v>
      </c>
      <c r="R617" s="188" t="s">
        <v>306</v>
      </c>
      <c r="S617" s="234" t="s">
        <v>25</v>
      </c>
      <c r="T617" s="188" t="s">
        <v>306</v>
      </c>
      <c r="U617" s="188" t="s">
        <v>19</v>
      </c>
      <c r="V617" s="234" t="s">
        <v>306</v>
      </c>
      <c r="W617" s="188" t="s">
        <v>19</v>
      </c>
      <c r="X617" s="188" t="s">
        <v>306</v>
      </c>
      <c r="Y617" s="234" t="s">
        <v>306</v>
      </c>
      <c r="Z617" s="188" t="s">
        <v>25</v>
      </c>
      <c r="AA617" s="188" t="s">
        <v>306</v>
      </c>
      <c r="AB617" s="234" t="s">
        <v>25</v>
      </c>
      <c r="AC617" s="235" t="s">
        <v>306</v>
      </c>
      <c r="AD617" s="188" t="s">
        <v>19</v>
      </c>
      <c r="AE617" s="188" t="s">
        <v>306</v>
      </c>
      <c r="AF617" s="234" t="s">
        <v>306</v>
      </c>
      <c r="AG617" s="188" t="s">
        <v>19</v>
      </c>
      <c r="AH617" s="188" t="s">
        <v>306</v>
      </c>
      <c r="AI617" s="234" t="s">
        <v>306</v>
      </c>
      <c r="AJ617" s="188" t="s">
        <v>25</v>
      </c>
      <c r="AK617" s="188" t="s">
        <v>25</v>
      </c>
      <c r="AL617" s="234" t="s">
        <v>25</v>
      </c>
      <c r="AM617" s="188" t="s">
        <v>19</v>
      </c>
      <c r="AN617" s="188" t="s">
        <v>306</v>
      </c>
      <c r="AO617" s="234" t="s">
        <v>306</v>
      </c>
      <c r="AP617" s="235" t="s">
        <v>306</v>
      </c>
      <c r="AQ617" s="188" t="s">
        <v>25</v>
      </c>
      <c r="AR617" s="188" t="s">
        <v>25</v>
      </c>
      <c r="AS617" s="234" t="s">
        <v>25</v>
      </c>
      <c r="AT617" s="188" t="s">
        <v>25</v>
      </c>
      <c r="AU617" s="188" t="s">
        <v>25</v>
      </c>
      <c r="AV617" s="234" t="s">
        <v>25</v>
      </c>
      <c r="AW617" s="188" t="s">
        <v>25</v>
      </c>
      <c r="AX617" s="188" t="s">
        <v>306</v>
      </c>
      <c r="AY617" s="234" t="s">
        <v>25</v>
      </c>
      <c r="AZ617" s="188" t="s">
        <v>19</v>
      </c>
      <c r="BA617" s="188" t="s">
        <v>25</v>
      </c>
      <c r="BB617" s="234" t="s">
        <v>25</v>
      </c>
      <c r="BC617" s="235" t="s">
        <v>25</v>
      </c>
      <c r="BD617" s="188"/>
    </row>
    <row r="618" spans="1:56" ht="12.75" customHeight="1" x14ac:dyDescent="0.25">
      <c r="A618" s="238">
        <v>44797.961641030095</v>
      </c>
      <c r="B618" s="137" t="s">
        <v>304</v>
      </c>
      <c r="C618" s="211" t="s">
        <v>595</v>
      </c>
      <c r="D618" s="211" t="s">
        <v>17</v>
      </c>
      <c r="E618" s="232" t="s">
        <v>515</v>
      </c>
      <c r="F618" s="188" t="s">
        <v>1193</v>
      </c>
      <c r="G618" s="211" t="s">
        <v>18</v>
      </c>
      <c r="H618" s="211">
        <v>11</v>
      </c>
      <c r="I618" s="188" t="s">
        <v>518</v>
      </c>
      <c r="J618" s="188" t="s">
        <v>560</v>
      </c>
      <c r="K618" s="209" t="s">
        <v>560</v>
      </c>
      <c r="L618" s="188" t="s">
        <v>518</v>
      </c>
      <c r="M618" s="188" t="s">
        <v>375</v>
      </c>
      <c r="N618" s="188"/>
      <c r="O618" s="188"/>
      <c r="P618" s="188"/>
      <c r="Q618" s="188" t="s">
        <v>25</v>
      </c>
      <c r="R618" s="188" t="s">
        <v>25</v>
      </c>
      <c r="S618" s="234" t="s">
        <v>25</v>
      </c>
      <c r="T618" s="188" t="s">
        <v>25</v>
      </c>
      <c r="U618" s="188" t="s">
        <v>25</v>
      </c>
      <c r="V618" s="234" t="s">
        <v>25</v>
      </c>
      <c r="W618" s="188" t="s">
        <v>25</v>
      </c>
      <c r="X618" s="188" t="s">
        <v>19</v>
      </c>
      <c r="Y618" s="234" t="s">
        <v>306</v>
      </c>
      <c r="Z618" s="188" t="s">
        <v>25</v>
      </c>
      <c r="AA618" s="188" t="s">
        <v>19</v>
      </c>
      <c r="AB618" s="234" t="s">
        <v>306</v>
      </c>
      <c r="AC618" s="235" t="s">
        <v>25</v>
      </c>
      <c r="AD618" s="188" t="s">
        <v>25</v>
      </c>
      <c r="AE618" s="188" t="s">
        <v>25</v>
      </c>
      <c r="AF618" s="234" t="s">
        <v>25</v>
      </c>
      <c r="AG618" s="188" t="s">
        <v>25</v>
      </c>
      <c r="AH618" s="188" t="s">
        <v>19</v>
      </c>
      <c r="AI618" s="234" t="s">
        <v>306</v>
      </c>
      <c r="AJ618" s="188" t="s">
        <v>25</v>
      </c>
      <c r="AK618" s="188" t="s">
        <v>19</v>
      </c>
      <c r="AL618" s="234" t="s">
        <v>306</v>
      </c>
      <c r="AM618" s="188" t="s">
        <v>19</v>
      </c>
      <c r="AN618" s="188" t="s">
        <v>19</v>
      </c>
      <c r="AO618" s="234" t="s">
        <v>19</v>
      </c>
      <c r="AP618" s="235" t="s">
        <v>306</v>
      </c>
      <c r="AQ618" s="188" t="s">
        <v>25</v>
      </c>
      <c r="AR618" s="188" t="s">
        <v>25</v>
      </c>
      <c r="AS618" s="234" t="s">
        <v>25</v>
      </c>
      <c r="AT618" s="188" t="s">
        <v>19</v>
      </c>
      <c r="AU618" s="188" t="s">
        <v>25</v>
      </c>
      <c r="AV618" s="234" t="s">
        <v>306</v>
      </c>
      <c r="AW618" s="188" t="s">
        <v>25</v>
      </c>
      <c r="AX618" s="188" t="s">
        <v>25</v>
      </c>
      <c r="AY618" s="234" t="s">
        <v>25</v>
      </c>
      <c r="AZ618" s="188" t="s">
        <v>19</v>
      </c>
      <c r="BA618" s="188" t="s">
        <v>25</v>
      </c>
      <c r="BB618" s="234" t="s">
        <v>19</v>
      </c>
      <c r="BC618" s="235" t="s">
        <v>19</v>
      </c>
      <c r="BD618" s="188"/>
    </row>
    <row r="619" spans="1:56" ht="12.75" customHeight="1" x14ac:dyDescent="0.25">
      <c r="A619" s="238">
        <v>44797.965020937496</v>
      </c>
      <c r="B619" s="137" t="s">
        <v>304</v>
      </c>
      <c r="C619" s="211" t="s">
        <v>595</v>
      </c>
      <c r="D619" s="211" t="s">
        <v>17</v>
      </c>
      <c r="E619" s="232" t="s">
        <v>515</v>
      </c>
      <c r="F619" s="188" t="s">
        <v>1194</v>
      </c>
      <c r="G619" s="211" t="s">
        <v>18</v>
      </c>
      <c r="H619" s="211">
        <v>12</v>
      </c>
      <c r="I619" s="188" t="s">
        <v>518</v>
      </c>
      <c r="J619" s="188" t="s">
        <v>560</v>
      </c>
      <c r="K619" s="209" t="s">
        <v>560</v>
      </c>
      <c r="L619" s="188" t="s">
        <v>518</v>
      </c>
      <c r="M619" s="188" t="s">
        <v>412</v>
      </c>
      <c r="N619" s="188"/>
      <c r="O619" s="188"/>
      <c r="P619" s="188"/>
      <c r="Q619" s="188" t="s">
        <v>25</v>
      </c>
      <c r="R619" s="188" t="s">
        <v>25</v>
      </c>
      <c r="S619" s="234" t="s">
        <v>25</v>
      </c>
      <c r="T619" s="188" t="s">
        <v>19</v>
      </c>
      <c r="U619" s="188" t="s">
        <v>25</v>
      </c>
      <c r="V619" s="234" t="s">
        <v>306</v>
      </c>
      <c r="W619" s="188" t="s">
        <v>19</v>
      </c>
      <c r="X619" s="188" t="s">
        <v>25</v>
      </c>
      <c r="Y619" s="234" t="s">
        <v>306</v>
      </c>
      <c r="Z619" s="188" t="s">
        <v>19</v>
      </c>
      <c r="AA619" s="188" t="s">
        <v>25</v>
      </c>
      <c r="AB619" s="234" t="s">
        <v>306</v>
      </c>
      <c r="AC619" s="235" t="s">
        <v>306</v>
      </c>
      <c r="AD619" s="188" t="s">
        <v>19</v>
      </c>
      <c r="AE619" s="188" t="s">
        <v>19</v>
      </c>
      <c r="AF619" s="234" t="s">
        <v>19</v>
      </c>
      <c r="AG619" s="188" t="s">
        <v>19</v>
      </c>
      <c r="AH619" s="188" t="s">
        <v>19</v>
      </c>
      <c r="AI619" s="234" t="s">
        <v>19</v>
      </c>
      <c r="AJ619" s="188" t="s">
        <v>19</v>
      </c>
      <c r="AK619" s="188" t="s">
        <v>19</v>
      </c>
      <c r="AL619" s="234" t="s">
        <v>19</v>
      </c>
      <c r="AM619" s="188" t="s">
        <v>19</v>
      </c>
      <c r="AN619" s="188" t="s">
        <v>19</v>
      </c>
      <c r="AO619" s="234" t="s">
        <v>19</v>
      </c>
      <c r="AP619" s="235" t="s">
        <v>19</v>
      </c>
      <c r="AQ619" s="188" t="s">
        <v>19</v>
      </c>
      <c r="AR619" s="188" t="s">
        <v>19</v>
      </c>
      <c r="AS619" s="234" t="s">
        <v>19</v>
      </c>
      <c r="AT619" s="188" t="s">
        <v>19</v>
      </c>
      <c r="AU619" s="188" t="s">
        <v>25</v>
      </c>
      <c r="AV619" s="234" t="s">
        <v>306</v>
      </c>
      <c r="AW619" s="188" t="s">
        <v>19</v>
      </c>
      <c r="AX619" s="188" t="s">
        <v>306</v>
      </c>
      <c r="AY619" s="234" t="s">
        <v>306</v>
      </c>
      <c r="AZ619" s="188" t="s">
        <v>19</v>
      </c>
      <c r="BA619" s="188" t="s">
        <v>25</v>
      </c>
      <c r="BB619" s="234" t="s">
        <v>25</v>
      </c>
      <c r="BC619" s="235" t="s">
        <v>306</v>
      </c>
      <c r="BD619" s="188"/>
    </row>
    <row r="620" spans="1:56" ht="12.75" customHeight="1" x14ac:dyDescent="0.25">
      <c r="A620" s="238">
        <v>44797.9680156713</v>
      </c>
      <c r="B620" s="137" t="s">
        <v>304</v>
      </c>
      <c r="C620" s="211" t="s">
        <v>595</v>
      </c>
      <c r="D620" s="211" t="s">
        <v>17</v>
      </c>
      <c r="E620" s="232" t="s">
        <v>515</v>
      </c>
      <c r="F620" s="188" t="s">
        <v>1195</v>
      </c>
      <c r="G620" s="211" t="s">
        <v>24</v>
      </c>
      <c r="H620" s="211">
        <v>11</v>
      </c>
      <c r="I620" s="188" t="s">
        <v>518</v>
      </c>
      <c r="J620" s="188" t="s">
        <v>560</v>
      </c>
      <c r="K620" s="209" t="s">
        <v>560</v>
      </c>
      <c r="L620" s="188" t="s">
        <v>518</v>
      </c>
      <c r="M620" s="188" t="s">
        <v>412</v>
      </c>
      <c r="N620" s="188"/>
      <c r="O620" s="188"/>
      <c r="P620" s="188"/>
      <c r="Q620" s="188" t="s">
        <v>25</v>
      </c>
      <c r="R620" s="188" t="s">
        <v>25</v>
      </c>
      <c r="S620" s="234" t="s">
        <v>25</v>
      </c>
      <c r="T620" s="188" t="s">
        <v>19</v>
      </c>
      <c r="U620" s="188" t="s">
        <v>25</v>
      </c>
      <c r="V620" s="234" t="s">
        <v>306</v>
      </c>
      <c r="W620" s="188" t="s">
        <v>306</v>
      </c>
      <c r="X620" s="188" t="s">
        <v>25</v>
      </c>
      <c r="Y620" s="234" t="s">
        <v>25</v>
      </c>
      <c r="Z620" s="188" t="s">
        <v>25</v>
      </c>
      <c r="AA620" s="188" t="s">
        <v>19</v>
      </c>
      <c r="AB620" s="234" t="s">
        <v>306</v>
      </c>
      <c r="AC620" s="235" t="s">
        <v>306</v>
      </c>
      <c r="AD620" s="188" t="s">
        <v>306</v>
      </c>
      <c r="AE620" s="188" t="s">
        <v>306</v>
      </c>
      <c r="AF620" s="234" t="s">
        <v>306</v>
      </c>
      <c r="AG620" s="188" t="s">
        <v>306</v>
      </c>
      <c r="AH620" s="188" t="s">
        <v>19</v>
      </c>
      <c r="AI620" s="234" t="s">
        <v>306</v>
      </c>
      <c r="AJ620" s="188" t="s">
        <v>306</v>
      </c>
      <c r="AK620" s="188" t="s">
        <v>19</v>
      </c>
      <c r="AL620" s="234" t="s">
        <v>306</v>
      </c>
      <c r="AM620" s="188" t="s">
        <v>19</v>
      </c>
      <c r="AN620" s="188" t="s">
        <v>19</v>
      </c>
      <c r="AO620" s="234" t="s">
        <v>19</v>
      </c>
      <c r="AP620" s="235" t="s">
        <v>306</v>
      </c>
      <c r="AQ620" s="188" t="s">
        <v>19</v>
      </c>
      <c r="AR620" s="188" t="s">
        <v>306</v>
      </c>
      <c r="AS620" s="234" t="s">
        <v>306</v>
      </c>
      <c r="AT620" s="188" t="s">
        <v>25</v>
      </c>
      <c r="AU620" s="188" t="s">
        <v>25</v>
      </c>
      <c r="AV620" s="234" t="s">
        <v>25</v>
      </c>
      <c r="AW620" s="188" t="s">
        <v>19</v>
      </c>
      <c r="AX620" s="188" t="s">
        <v>306</v>
      </c>
      <c r="AY620" s="234" t="s">
        <v>306</v>
      </c>
      <c r="AZ620" s="188" t="s">
        <v>25</v>
      </c>
      <c r="BA620" s="188" t="s">
        <v>25</v>
      </c>
      <c r="BB620" s="234" t="s">
        <v>25</v>
      </c>
      <c r="BC620" s="235" t="s">
        <v>306</v>
      </c>
      <c r="BD620" s="188"/>
    </row>
    <row r="621" spans="1:56" ht="12.75" customHeight="1" x14ac:dyDescent="0.25">
      <c r="A621" s="238">
        <v>44798.033604942131</v>
      </c>
      <c r="B621" s="137" t="s">
        <v>304</v>
      </c>
      <c r="C621" s="211" t="s">
        <v>595</v>
      </c>
      <c r="D621" s="211" t="s">
        <v>17</v>
      </c>
      <c r="E621" s="232" t="s">
        <v>515</v>
      </c>
      <c r="F621" s="188" t="s">
        <v>1196</v>
      </c>
      <c r="G621" s="211" t="s">
        <v>18</v>
      </c>
      <c r="H621" s="211">
        <v>11</v>
      </c>
      <c r="I621" s="188" t="s">
        <v>518</v>
      </c>
      <c r="J621" s="188" t="s">
        <v>560</v>
      </c>
      <c r="K621" s="209" t="s">
        <v>560</v>
      </c>
      <c r="L621" s="188" t="s">
        <v>518</v>
      </c>
      <c r="M621" s="188" t="s">
        <v>412</v>
      </c>
      <c r="N621" s="188"/>
      <c r="O621" s="188"/>
      <c r="P621" s="188"/>
      <c r="Q621" s="188" t="s">
        <v>25</v>
      </c>
      <c r="R621" s="188" t="s">
        <v>25</v>
      </c>
      <c r="S621" s="234" t="s">
        <v>25</v>
      </c>
      <c r="T621" s="188" t="s">
        <v>19</v>
      </c>
      <c r="U621" s="188" t="s">
        <v>25</v>
      </c>
      <c r="V621" s="234" t="s">
        <v>306</v>
      </c>
      <c r="W621" s="188" t="s">
        <v>25</v>
      </c>
      <c r="X621" s="188" t="s">
        <v>306</v>
      </c>
      <c r="Y621" s="234" t="s">
        <v>25</v>
      </c>
      <c r="Z621" s="188" t="s">
        <v>25</v>
      </c>
      <c r="AA621" s="188" t="s">
        <v>25</v>
      </c>
      <c r="AB621" s="234" t="s">
        <v>25</v>
      </c>
      <c r="AC621" s="235" t="s">
        <v>25</v>
      </c>
      <c r="AD621" s="188" t="s">
        <v>306</v>
      </c>
      <c r="AE621" s="188" t="s">
        <v>25</v>
      </c>
      <c r="AF621" s="234" t="s">
        <v>25</v>
      </c>
      <c r="AG621" s="188" t="s">
        <v>25</v>
      </c>
      <c r="AH621" s="188" t="s">
        <v>25</v>
      </c>
      <c r="AI621" s="234" t="s">
        <v>25</v>
      </c>
      <c r="AJ621" s="188" t="s">
        <v>25</v>
      </c>
      <c r="AK621" s="188" t="s">
        <v>25</v>
      </c>
      <c r="AL621" s="234" t="s">
        <v>25</v>
      </c>
      <c r="AM621" s="188" t="s">
        <v>306</v>
      </c>
      <c r="AN621" s="188" t="s">
        <v>19</v>
      </c>
      <c r="AO621" s="234" t="s">
        <v>306</v>
      </c>
      <c r="AP621" s="235" t="s">
        <v>25</v>
      </c>
      <c r="AQ621" s="188" t="s">
        <v>25</v>
      </c>
      <c r="AR621" s="188" t="s">
        <v>306</v>
      </c>
      <c r="AS621" s="234" t="s">
        <v>25</v>
      </c>
      <c r="AT621" s="188" t="s">
        <v>25</v>
      </c>
      <c r="AU621" s="188" t="s">
        <v>25</v>
      </c>
      <c r="AV621" s="234" t="s">
        <v>25</v>
      </c>
      <c r="AW621" s="188" t="s">
        <v>19</v>
      </c>
      <c r="AX621" s="188" t="s">
        <v>306</v>
      </c>
      <c r="AY621" s="234" t="s">
        <v>306</v>
      </c>
      <c r="AZ621" s="188" t="s">
        <v>25</v>
      </c>
      <c r="BA621" s="188" t="s">
        <v>25</v>
      </c>
      <c r="BB621" s="234" t="s">
        <v>25</v>
      </c>
      <c r="BC621" s="235" t="s">
        <v>25</v>
      </c>
      <c r="BD621" s="188"/>
    </row>
    <row r="622" spans="1:56" ht="12.75" customHeight="1" x14ac:dyDescent="0.25">
      <c r="A622" s="238">
        <v>44798.036564722221</v>
      </c>
      <c r="B622" s="137" t="s">
        <v>304</v>
      </c>
      <c r="C622" s="211" t="s">
        <v>595</v>
      </c>
      <c r="D622" s="211" t="s">
        <v>17</v>
      </c>
      <c r="E622" s="232" t="s">
        <v>515</v>
      </c>
      <c r="F622" s="188" t="s">
        <v>1197</v>
      </c>
      <c r="G622" s="211" t="s">
        <v>18</v>
      </c>
      <c r="H622" s="211">
        <v>11</v>
      </c>
      <c r="I622" s="188" t="s">
        <v>518</v>
      </c>
      <c r="J622" s="188" t="s">
        <v>560</v>
      </c>
      <c r="K622" s="209" t="s">
        <v>560</v>
      </c>
      <c r="L622" s="188" t="s">
        <v>518</v>
      </c>
      <c r="M622" s="188" t="s">
        <v>412</v>
      </c>
      <c r="N622" s="188"/>
      <c r="O622" s="188"/>
      <c r="P622" s="188"/>
      <c r="Q622" s="188" t="s">
        <v>25</v>
      </c>
      <c r="R622" s="188" t="s">
        <v>306</v>
      </c>
      <c r="S622" s="234" t="s">
        <v>25</v>
      </c>
      <c r="T622" s="188" t="s">
        <v>19</v>
      </c>
      <c r="U622" s="188" t="s">
        <v>25</v>
      </c>
      <c r="V622" s="234" t="s">
        <v>306</v>
      </c>
      <c r="W622" s="188" t="s">
        <v>306</v>
      </c>
      <c r="X622" s="188" t="s">
        <v>19</v>
      </c>
      <c r="Y622" s="234" t="s">
        <v>306</v>
      </c>
      <c r="Z622" s="188" t="s">
        <v>306</v>
      </c>
      <c r="AA622" s="188" t="s">
        <v>19</v>
      </c>
      <c r="AB622" s="234" t="s">
        <v>306</v>
      </c>
      <c r="AC622" s="235" t="s">
        <v>306</v>
      </c>
      <c r="AD622" s="188" t="s">
        <v>306</v>
      </c>
      <c r="AE622" s="188" t="s">
        <v>25</v>
      </c>
      <c r="AF622" s="234" t="s">
        <v>25</v>
      </c>
      <c r="AG622" s="188" t="s">
        <v>306</v>
      </c>
      <c r="AH622" s="188" t="s">
        <v>19</v>
      </c>
      <c r="AI622" s="234" t="s">
        <v>306</v>
      </c>
      <c r="AJ622" s="188" t="s">
        <v>25</v>
      </c>
      <c r="AK622" s="188" t="s">
        <v>306</v>
      </c>
      <c r="AL622" s="234" t="s">
        <v>25</v>
      </c>
      <c r="AM622" s="188" t="s">
        <v>19</v>
      </c>
      <c r="AN622" s="188" t="s">
        <v>19</v>
      </c>
      <c r="AO622" s="234" t="s">
        <v>19</v>
      </c>
      <c r="AP622" s="235" t="s">
        <v>306</v>
      </c>
      <c r="AQ622" s="188" t="s">
        <v>25</v>
      </c>
      <c r="AR622" s="188" t="s">
        <v>19</v>
      </c>
      <c r="AS622" s="234" t="s">
        <v>306</v>
      </c>
      <c r="AT622" s="188" t="s">
        <v>25</v>
      </c>
      <c r="AU622" s="188" t="s">
        <v>25</v>
      </c>
      <c r="AV622" s="234" t="s">
        <v>25</v>
      </c>
      <c r="AW622" s="188" t="s">
        <v>19</v>
      </c>
      <c r="AX622" s="188" t="s">
        <v>306</v>
      </c>
      <c r="AY622" s="234" t="s">
        <v>306</v>
      </c>
      <c r="AZ622" s="188" t="s">
        <v>25</v>
      </c>
      <c r="BA622" s="188" t="s">
        <v>19</v>
      </c>
      <c r="BB622" s="234" t="s">
        <v>306</v>
      </c>
      <c r="BC622" s="235" t="s">
        <v>25</v>
      </c>
      <c r="BD622" s="188"/>
    </row>
    <row r="623" spans="1:56" ht="12.75" customHeight="1" x14ac:dyDescent="0.25">
      <c r="A623" s="238">
        <v>44798.039254699077</v>
      </c>
      <c r="B623" s="137" t="s">
        <v>304</v>
      </c>
      <c r="C623" s="211" t="s">
        <v>595</v>
      </c>
      <c r="D623" s="211" t="s">
        <v>17</v>
      </c>
      <c r="E623" s="232" t="s">
        <v>515</v>
      </c>
      <c r="F623" s="188" t="s">
        <v>1198</v>
      </c>
      <c r="G623" s="211" t="s">
        <v>18</v>
      </c>
      <c r="H623" s="211">
        <v>12</v>
      </c>
      <c r="I623" s="188" t="s">
        <v>518</v>
      </c>
      <c r="J623" s="188" t="s">
        <v>560</v>
      </c>
      <c r="K623" s="209" t="s">
        <v>560</v>
      </c>
      <c r="L623" s="188" t="s">
        <v>518</v>
      </c>
      <c r="M623" s="188" t="s">
        <v>412</v>
      </c>
      <c r="N623" s="188"/>
      <c r="O623" s="188"/>
      <c r="P623" s="188"/>
      <c r="Q623" s="188" t="s">
        <v>25</v>
      </c>
      <c r="R623" s="188" t="s">
        <v>25</v>
      </c>
      <c r="S623" s="234" t="s">
        <v>25</v>
      </c>
      <c r="T623" s="188" t="s">
        <v>19</v>
      </c>
      <c r="U623" s="188" t="s">
        <v>25</v>
      </c>
      <c r="V623" s="234" t="s">
        <v>306</v>
      </c>
      <c r="W623" s="188" t="s">
        <v>25</v>
      </c>
      <c r="X623" s="188" t="s">
        <v>25</v>
      </c>
      <c r="Y623" s="234" t="s">
        <v>25</v>
      </c>
      <c r="Z623" s="188" t="s">
        <v>25</v>
      </c>
      <c r="AA623" s="188" t="s">
        <v>19</v>
      </c>
      <c r="AB623" s="234" t="s">
        <v>306</v>
      </c>
      <c r="AC623" s="235" t="s">
        <v>25</v>
      </c>
      <c r="AD623" s="188" t="s">
        <v>306</v>
      </c>
      <c r="AE623" s="188" t="s">
        <v>306</v>
      </c>
      <c r="AF623" s="234" t="s">
        <v>306</v>
      </c>
      <c r="AG623" s="188" t="s">
        <v>25</v>
      </c>
      <c r="AH623" s="188" t="s">
        <v>19</v>
      </c>
      <c r="AI623" s="234" t="s">
        <v>306</v>
      </c>
      <c r="AJ623" s="188" t="s">
        <v>306</v>
      </c>
      <c r="AK623" s="188" t="s">
        <v>306</v>
      </c>
      <c r="AL623" s="234" t="s">
        <v>306</v>
      </c>
      <c r="AM623" s="188" t="s">
        <v>306</v>
      </c>
      <c r="AN623" s="188" t="s">
        <v>306</v>
      </c>
      <c r="AO623" s="234" t="s">
        <v>306</v>
      </c>
      <c r="AP623" s="235" t="s">
        <v>306</v>
      </c>
      <c r="AQ623" s="188" t="s">
        <v>25</v>
      </c>
      <c r="AR623" s="188" t="s">
        <v>19</v>
      </c>
      <c r="AS623" s="234" t="s">
        <v>306</v>
      </c>
      <c r="AT623" s="188" t="s">
        <v>25</v>
      </c>
      <c r="AU623" s="188" t="s">
        <v>25</v>
      </c>
      <c r="AV623" s="234" t="s">
        <v>25</v>
      </c>
      <c r="AW623" s="188" t="s">
        <v>19</v>
      </c>
      <c r="AX623" s="188" t="s">
        <v>306</v>
      </c>
      <c r="AY623" s="234" t="s">
        <v>306</v>
      </c>
      <c r="AZ623" s="188" t="s">
        <v>25</v>
      </c>
      <c r="BA623" s="188" t="s">
        <v>25</v>
      </c>
      <c r="BB623" s="234" t="s">
        <v>306</v>
      </c>
      <c r="BC623" s="235" t="s">
        <v>25</v>
      </c>
      <c r="BD623" s="188"/>
    </row>
    <row r="624" spans="1:56" ht="12.75" customHeight="1" x14ac:dyDescent="0.25">
      <c r="A624" s="238">
        <v>44798.067717071761</v>
      </c>
      <c r="B624" s="137" t="s">
        <v>304</v>
      </c>
      <c r="C624" s="211" t="s">
        <v>595</v>
      </c>
      <c r="D624" s="211" t="s">
        <v>17</v>
      </c>
      <c r="E624" s="232" t="s">
        <v>515</v>
      </c>
      <c r="F624" s="188" t="s">
        <v>1199</v>
      </c>
      <c r="G624" s="211" t="s">
        <v>18</v>
      </c>
      <c r="H624" s="211">
        <v>11</v>
      </c>
      <c r="I624" s="188" t="s">
        <v>518</v>
      </c>
      <c r="J624" s="188" t="s">
        <v>560</v>
      </c>
      <c r="K624" s="209" t="s">
        <v>560</v>
      </c>
      <c r="L624" s="188" t="s">
        <v>518</v>
      </c>
      <c r="M624" s="188" t="s">
        <v>375</v>
      </c>
      <c r="N624" s="188"/>
      <c r="O624" s="188"/>
      <c r="P624" s="188"/>
      <c r="Q624" s="188" t="s">
        <v>25</v>
      </c>
      <c r="R624" s="188" t="s">
        <v>25</v>
      </c>
      <c r="S624" s="234" t="s">
        <v>25</v>
      </c>
      <c r="T624" s="188" t="s">
        <v>25</v>
      </c>
      <c r="U624" s="188" t="s">
        <v>25</v>
      </c>
      <c r="V624" s="234" t="s">
        <v>25</v>
      </c>
      <c r="W624" s="188" t="s">
        <v>25</v>
      </c>
      <c r="X624" s="188" t="s">
        <v>25</v>
      </c>
      <c r="Y624" s="234" t="s">
        <v>25</v>
      </c>
      <c r="Z624" s="188" t="s">
        <v>25</v>
      </c>
      <c r="AA624" s="188" t="s">
        <v>25</v>
      </c>
      <c r="AB624" s="234" t="s">
        <v>25</v>
      </c>
      <c r="AC624" s="235" t="s">
        <v>25</v>
      </c>
      <c r="AD624" s="188" t="s">
        <v>25</v>
      </c>
      <c r="AE624" s="188" t="s">
        <v>25</v>
      </c>
      <c r="AF624" s="234" t="s">
        <v>25</v>
      </c>
      <c r="AG624" s="188" t="s">
        <v>25</v>
      </c>
      <c r="AH624" s="188" t="s">
        <v>25</v>
      </c>
      <c r="AI624" s="234" t="s">
        <v>25</v>
      </c>
      <c r="AJ624" s="188" t="s">
        <v>25</v>
      </c>
      <c r="AK624" s="188" t="s">
        <v>25</v>
      </c>
      <c r="AL624" s="234" t="s">
        <v>25</v>
      </c>
      <c r="AM624" s="188" t="s">
        <v>25</v>
      </c>
      <c r="AN624" s="188" t="s">
        <v>25</v>
      </c>
      <c r="AO624" s="234" t="s">
        <v>25</v>
      </c>
      <c r="AP624" s="235" t="s">
        <v>25</v>
      </c>
      <c r="AQ624" s="188" t="s">
        <v>25</v>
      </c>
      <c r="AR624" s="188" t="s">
        <v>25</v>
      </c>
      <c r="AS624" s="234" t="s">
        <v>25</v>
      </c>
      <c r="AT624" s="188" t="s">
        <v>25</v>
      </c>
      <c r="AU624" s="188" t="s">
        <v>306</v>
      </c>
      <c r="AV624" s="234" t="s">
        <v>25</v>
      </c>
      <c r="AW624" s="188" t="s">
        <v>306</v>
      </c>
      <c r="AX624" s="188" t="s">
        <v>25</v>
      </c>
      <c r="AY624" s="234" t="s">
        <v>25</v>
      </c>
      <c r="AZ624" s="188" t="s">
        <v>25</v>
      </c>
      <c r="BA624" s="188" t="s">
        <v>19</v>
      </c>
      <c r="BB624" s="234" t="s">
        <v>25</v>
      </c>
      <c r="BC624" s="235" t="s">
        <v>25</v>
      </c>
      <c r="BD624" s="188"/>
    </row>
    <row r="625" spans="1:56" ht="12.75" customHeight="1" x14ac:dyDescent="0.25">
      <c r="A625" s="238">
        <v>44798.094158506945</v>
      </c>
      <c r="B625" s="137" t="s">
        <v>304</v>
      </c>
      <c r="C625" s="211" t="s">
        <v>595</v>
      </c>
      <c r="D625" s="211" t="s">
        <v>17</v>
      </c>
      <c r="E625" s="232" t="s">
        <v>515</v>
      </c>
      <c r="F625" s="188" t="s">
        <v>1200</v>
      </c>
      <c r="G625" s="211" t="s">
        <v>18</v>
      </c>
      <c r="H625" s="211">
        <v>12</v>
      </c>
      <c r="I625" s="188" t="s">
        <v>518</v>
      </c>
      <c r="J625" s="188" t="s">
        <v>560</v>
      </c>
      <c r="K625" s="209" t="s">
        <v>560</v>
      </c>
      <c r="L625" s="188" t="s">
        <v>518</v>
      </c>
      <c r="M625" s="188" t="s">
        <v>375</v>
      </c>
      <c r="N625" s="188"/>
      <c r="O625" s="188"/>
      <c r="P625" s="188"/>
      <c r="Q625" s="188" t="s">
        <v>25</v>
      </c>
      <c r="R625" s="188" t="s">
        <v>25</v>
      </c>
      <c r="S625" s="234" t="s">
        <v>25</v>
      </c>
      <c r="T625" s="188" t="s">
        <v>306</v>
      </c>
      <c r="U625" s="188" t="s">
        <v>25</v>
      </c>
      <c r="V625" s="234" t="s">
        <v>25</v>
      </c>
      <c r="W625" s="188" t="s">
        <v>25</v>
      </c>
      <c r="X625" s="188" t="s">
        <v>25</v>
      </c>
      <c r="Y625" s="234" t="s">
        <v>25</v>
      </c>
      <c r="Z625" s="188" t="s">
        <v>25</v>
      </c>
      <c r="AA625" s="188" t="s">
        <v>25</v>
      </c>
      <c r="AB625" s="234" t="s">
        <v>25</v>
      </c>
      <c r="AC625" s="235" t="s">
        <v>25</v>
      </c>
      <c r="AD625" s="188" t="s">
        <v>25</v>
      </c>
      <c r="AE625" s="188" t="s">
        <v>306</v>
      </c>
      <c r="AF625" s="234" t="s">
        <v>25</v>
      </c>
      <c r="AG625" s="188" t="s">
        <v>25</v>
      </c>
      <c r="AH625" s="188" t="s">
        <v>306</v>
      </c>
      <c r="AI625" s="234" t="s">
        <v>25</v>
      </c>
      <c r="AJ625" s="188" t="s">
        <v>25</v>
      </c>
      <c r="AK625" s="188" t="s">
        <v>25</v>
      </c>
      <c r="AL625" s="234" t="s">
        <v>25</v>
      </c>
      <c r="AM625" s="188" t="s">
        <v>25</v>
      </c>
      <c r="AN625" s="188" t="s">
        <v>306</v>
      </c>
      <c r="AO625" s="234" t="s">
        <v>25</v>
      </c>
      <c r="AP625" s="235" t="s">
        <v>25</v>
      </c>
      <c r="AQ625" s="188" t="s">
        <v>306</v>
      </c>
      <c r="AR625" s="188" t="s">
        <v>25</v>
      </c>
      <c r="AS625" s="234" t="s">
        <v>25</v>
      </c>
      <c r="AT625" s="188" t="s">
        <v>25</v>
      </c>
      <c r="AU625" s="188" t="s">
        <v>25</v>
      </c>
      <c r="AV625" s="234" t="s">
        <v>25</v>
      </c>
      <c r="AW625" s="188" t="s">
        <v>306</v>
      </c>
      <c r="AX625" s="188" t="s">
        <v>25</v>
      </c>
      <c r="AY625" s="234" t="s">
        <v>25</v>
      </c>
      <c r="AZ625" s="188" t="s">
        <v>25</v>
      </c>
      <c r="BA625" s="188" t="s">
        <v>306</v>
      </c>
      <c r="BB625" s="234" t="s">
        <v>19</v>
      </c>
      <c r="BC625" s="235" t="s">
        <v>306</v>
      </c>
      <c r="BD625" s="188"/>
    </row>
    <row r="626" spans="1:56" ht="12.75" customHeight="1" x14ac:dyDescent="0.25">
      <c r="A626" s="238">
        <v>44798.096787905088</v>
      </c>
      <c r="B626" s="137" t="s">
        <v>304</v>
      </c>
      <c r="C626" s="211" t="s">
        <v>595</v>
      </c>
      <c r="D626" s="211" t="s">
        <v>17</v>
      </c>
      <c r="E626" s="232" t="s">
        <v>515</v>
      </c>
      <c r="F626" s="188" t="s">
        <v>1201</v>
      </c>
      <c r="G626" s="211" t="s">
        <v>24</v>
      </c>
      <c r="H626" s="211">
        <v>12</v>
      </c>
      <c r="I626" s="188" t="s">
        <v>518</v>
      </c>
      <c r="J626" s="188" t="s">
        <v>560</v>
      </c>
      <c r="K626" s="209" t="s">
        <v>560</v>
      </c>
      <c r="L626" s="188" t="s">
        <v>518</v>
      </c>
      <c r="M626" s="188" t="s">
        <v>375</v>
      </c>
      <c r="N626" s="188"/>
      <c r="O626" s="188"/>
      <c r="P626" s="188"/>
      <c r="Q626" s="188" t="s">
        <v>306</v>
      </c>
      <c r="R626" s="188" t="s">
        <v>25</v>
      </c>
      <c r="S626" s="234" t="s">
        <v>25</v>
      </c>
      <c r="T626" s="188" t="s">
        <v>19</v>
      </c>
      <c r="U626" s="188" t="s">
        <v>19</v>
      </c>
      <c r="V626" s="234" t="s">
        <v>19</v>
      </c>
      <c r="W626" s="188" t="s">
        <v>25</v>
      </c>
      <c r="X626" s="188" t="s">
        <v>306</v>
      </c>
      <c r="Y626" s="234" t="s">
        <v>25</v>
      </c>
      <c r="Z626" s="188" t="s">
        <v>306</v>
      </c>
      <c r="AA626" s="188" t="s">
        <v>25</v>
      </c>
      <c r="AB626" s="234" t="s">
        <v>25</v>
      </c>
      <c r="AC626" s="235" t="s">
        <v>306</v>
      </c>
      <c r="AD626" s="188" t="s">
        <v>19</v>
      </c>
      <c r="AE626" s="188" t="s">
        <v>306</v>
      </c>
      <c r="AF626" s="234" t="s">
        <v>306</v>
      </c>
      <c r="AG626" s="188" t="s">
        <v>306</v>
      </c>
      <c r="AH626" s="188" t="s">
        <v>19</v>
      </c>
      <c r="AI626" s="234" t="s">
        <v>306</v>
      </c>
      <c r="AJ626" s="188" t="s">
        <v>19</v>
      </c>
      <c r="AK626" s="188" t="s">
        <v>25</v>
      </c>
      <c r="AL626" s="234" t="s">
        <v>306</v>
      </c>
      <c r="AM626" s="188" t="s">
        <v>19</v>
      </c>
      <c r="AN626" s="188" t="s">
        <v>19</v>
      </c>
      <c r="AO626" s="234" t="s">
        <v>19</v>
      </c>
      <c r="AP626" s="235" t="s">
        <v>306</v>
      </c>
      <c r="AQ626" s="188" t="s">
        <v>19</v>
      </c>
      <c r="AR626" s="188" t="s">
        <v>19</v>
      </c>
      <c r="AS626" s="234" t="s">
        <v>19</v>
      </c>
      <c r="AT626" s="188" t="s">
        <v>19</v>
      </c>
      <c r="AU626" s="188" t="s">
        <v>25</v>
      </c>
      <c r="AV626" s="234" t="s">
        <v>306</v>
      </c>
      <c r="AW626" s="188" t="s">
        <v>19</v>
      </c>
      <c r="AX626" s="188" t="s">
        <v>306</v>
      </c>
      <c r="AY626" s="234" t="s">
        <v>306</v>
      </c>
      <c r="AZ626" s="188" t="s">
        <v>25</v>
      </c>
      <c r="BA626" s="188" t="s">
        <v>19</v>
      </c>
      <c r="BB626" s="234" t="s">
        <v>25</v>
      </c>
      <c r="BC626" s="235" t="s">
        <v>25</v>
      </c>
      <c r="BD626" s="188"/>
    </row>
    <row r="627" spans="1:56" ht="12.75" customHeight="1" x14ac:dyDescent="0.25">
      <c r="A627" s="238">
        <v>44798.316376909723</v>
      </c>
      <c r="B627" s="137" t="s">
        <v>304</v>
      </c>
      <c r="C627" s="211" t="s">
        <v>595</v>
      </c>
      <c r="D627" s="211" t="s">
        <v>17</v>
      </c>
      <c r="E627" s="232" t="s">
        <v>515</v>
      </c>
      <c r="F627" s="188" t="s">
        <v>1202</v>
      </c>
      <c r="G627" s="211" t="s">
        <v>24</v>
      </c>
      <c r="H627" s="211">
        <v>13</v>
      </c>
      <c r="I627" s="188" t="s">
        <v>518</v>
      </c>
      <c r="J627" s="188" t="s">
        <v>560</v>
      </c>
      <c r="K627" s="209" t="s">
        <v>560</v>
      </c>
      <c r="L627" s="188" t="s">
        <v>518</v>
      </c>
      <c r="M627" s="188" t="s">
        <v>389</v>
      </c>
      <c r="N627" s="188"/>
      <c r="O627" s="188"/>
      <c r="P627" s="188"/>
      <c r="Q627" s="188" t="s">
        <v>25</v>
      </c>
      <c r="R627" s="188" t="s">
        <v>25</v>
      </c>
      <c r="S627" s="234" t="s">
        <v>25</v>
      </c>
      <c r="T627" s="188" t="s">
        <v>25</v>
      </c>
      <c r="U627" s="188" t="s">
        <v>25</v>
      </c>
      <c r="V627" s="234" t="s">
        <v>25</v>
      </c>
      <c r="W627" s="188" t="s">
        <v>25</v>
      </c>
      <c r="X627" s="188" t="s">
        <v>306</v>
      </c>
      <c r="Y627" s="234" t="s">
        <v>25</v>
      </c>
      <c r="Z627" s="188" t="s">
        <v>306</v>
      </c>
      <c r="AA627" s="188" t="s">
        <v>306</v>
      </c>
      <c r="AB627" s="234" t="s">
        <v>306</v>
      </c>
      <c r="AC627" s="235" t="s">
        <v>25</v>
      </c>
      <c r="AD627" s="188" t="s">
        <v>306</v>
      </c>
      <c r="AE627" s="188" t="s">
        <v>306</v>
      </c>
      <c r="AF627" s="234" t="s">
        <v>306</v>
      </c>
      <c r="AG627" s="188" t="s">
        <v>306</v>
      </c>
      <c r="AH627" s="188" t="s">
        <v>306</v>
      </c>
      <c r="AI627" s="234" t="s">
        <v>306</v>
      </c>
      <c r="AJ627" s="188" t="s">
        <v>306</v>
      </c>
      <c r="AK627" s="188" t="s">
        <v>306</v>
      </c>
      <c r="AL627" s="234" t="s">
        <v>306</v>
      </c>
      <c r="AM627" s="188" t="s">
        <v>306</v>
      </c>
      <c r="AN627" s="188" t="s">
        <v>306</v>
      </c>
      <c r="AO627" s="234" t="s">
        <v>306</v>
      </c>
      <c r="AP627" s="235" t="s">
        <v>306</v>
      </c>
      <c r="AQ627" s="188" t="s">
        <v>306</v>
      </c>
      <c r="AR627" s="188" t="s">
        <v>306</v>
      </c>
      <c r="AS627" s="234" t="s">
        <v>306</v>
      </c>
      <c r="AT627" s="188" t="s">
        <v>306</v>
      </c>
      <c r="AU627" s="188" t="s">
        <v>306</v>
      </c>
      <c r="AV627" s="234" t="s">
        <v>306</v>
      </c>
      <c r="AW627" s="188" t="s">
        <v>306</v>
      </c>
      <c r="AX627" s="188" t="s">
        <v>306</v>
      </c>
      <c r="AY627" s="234" t="s">
        <v>306</v>
      </c>
      <c r="AZ627" s="188" t="s">
        <v>306</v>
      </c>
      <c r="BA627" s="188" t="s">
        <v>306</v>
      </c>
      <c r="BB627" s="234" t="s">
        <v>25</v>
      </c>
      <c r="BC627" s="235" t="s">
        <v>25</v>
      </c>
      <c r="BD627" s="188"/>
    </row>
    <row r="628" spans="1:56" ht="12.75" customHeight="1" x14ac:dyDescent="0.25">
      <c r="A628" s="238">
        <v>44798.324928344911</v>
      </c>
      <c r="B628" s="137" t="s">
        <v>304</v>
      </c>
      <c r="C628" s="211" t="s">
        <v>595</v>
      </c>
      <c r="D628" s="211" t="s">
        <v>17</v>
      </c>
      <c r="E628" s="232" t="s">
        <v>515</v>
      </c>
      <c r="F628" s="188" t="s">
        <v>562</v>
      </c>
      <c r="G628" s="211" t="s">
        <v>24</v>
      </c>
      <c r="H628" s="211">
        <v>12</v>
      </c>
      <c r="I628" s="188" t="s">
        <v>518</v>
      </c>
      <c r="J628" s="188" t="s">
        <v>560</v>
      </c>
      <c r="K628" s="209" t="s">
        <v>560</v>
      </c>
      <c r="L628" s="188" t="s">
        <v>518</v>
      </c>
      <c r="M628" s="188" t="s">
        <v>368</v>
      </c>
      <c r="N628" s="188"/>
      <c r="O628" s="188"/>
      <c r="P628" s="188"/>
      <c r="Q628" s="188" t="s">
        <v>306</v>
      </c>
      <c r="R628" s="188" t="s">
        <v>19</v>
      </c>
      <c r="S628" s="234" t="s">
        <v>306</v>
      </c>
      <c r="T628" s="188" t="s">
        <v>25</v>
      </c>
      <c r="U628" s="188" t="s">
        <v>25</v>
      </c>
      <c r="V628" s="234" t="s">
        <v>25</v>
      </c>
      <c r="W628" s="188" t="s">
        <v>25</v>
      </c>
      <c r="X628" s="188" t="s">
        <v>19</v>
      </c>
      <c r="Y628" s="234" t="s">
        <v>306</v>
      </c>
      <c r="Z628" s="188" t="s">
        <v>306</v>
      </c>
      <c r="AA628" s="188" t="s">
        <v>25</v>
      </c>
      <c r="AB628" s="234" t="s">
        <v>25</v>
      </c>
      <c r="AC628" s="235" t="s">
        <v>306</v>
      </c>
      <c r="AD628" s="188" t="s">
        <v>306</v>
      </c>
      <c r="AE628" s="188" t="s">
        <v>25</v>
      </c>
      <c r="AF628" s="234" t="s">
        <v>25</v>
      </c>
      <c r="AG628" s="188" t="s">
        <v>306</v>
      </c>
      <c r="AH628" s="188" t="s">
        <v>306</v>
      </c>
      <c r="AI628" s="234" t="s">
        <v>306</v>
      </c>
      <c r="AJ628" s="188" t="s">
        <v>25</v>
      </c>
      <c r="AK628" s="188" t="s">
        <v>306</v>
      </c>
      <c r="AL628" s="234" t="s">
        <v>25</v>
      </c>
      <c r="AM628" s="188" t="s">
        <v>19</v>
      </c>
      <c r="AN628" s="188" t="s">
        <v>306</v>
      </c>
      <c r="AO628" s="234" t="s">
        <v>306</v>
      </c>
      <c r="AP628" s="235" t="s">
        <v>306</v>
      </c>
      <c r="AQ628" s="188" t="s">
        <v>25</v>
      </c>
      <c r="AR628" s="188" t="s">
        <v>19</v>
      </c>
      <c r="AS628" s="234" t="s">
        <v>306</v>
      </c>
      <c r="AT628" s="188" t="s">
        <v>25</v>
      </c>
      <c r="AU628" s="188" t="s">
        <v>25</v>
      </c>
      <c r="AV628" s="234" t="s">
        <v>25</v>
      </c>
      <c r="AW628" s="188" t="s">
        <v>306</v>
      </c>
      <c r="AX628" s="188" t="s">
        <v>25</v>
      </c>
      <c r="AY628" s="234" t="s">
        <v>25</v>
      </c>
      <c r="AZ628" s="188" t="s">
        <v>25</v>
      </c>
      <c r="BA628" s="188" t="s">
        <v>306</v>
      </c>
      <c r="BB628" s="234" t="s">
        <v>306</v>
      </c>
      <c r="BC628" s="235" t="s">
        <v>25</v>
      </c>
      <c r="BD628" s="188"/>
    </row>
    <row r="629" spans="1:56" ht="12.75" customHeight="1" x14ac:dyDescent="0.25">
      <c r="A629" s="238">
        <v>44798.327211840282</v>
      </c>
      <c r="B629" s="137" t="s">
        <v>304</v>
      </c>
      <c r="C629" s="211" t="s">
        <v>595</v>
      </c>
      <c r="D629" s="211" t="s">
        <v>17</v>
      </c>
      <c r="E629" s="232" t="s">
        <v>515</v>
      </c>
      <c r="F629" s="188" t="s">
        <v>1203</v>
      </c>
      <c r="G629" s="211" t="s">
        <v>24</v>
      </c>
      <c r="H629" s="211">
        <v>12</v>
      </c>
      <c r="I629" s="188" t="s">
        <v>518</v>
      </c>
      <c r="J629" s="188" t="s">
        <v>560</v>
      </c>
      <c r="K629" s="209" t="s">
        <v>560</v>
      </c>
      <c r="L629" s="188" t="s">
        <v>518</v>
      </c>
      <c r="M629" s="188" t="s">
        <v>368</v>
      </c>
      <c r="N629" s="188"/>
      <c r="O629" s="188"/>
      <c r="P629" s="188"/>
      <c r="Q629" s="188" t="s">
        <v>25</v>
      </c>
      <c r="R629" s="188" t="s">
        <v>25</v>
      </c>
      <c r="S629" s="234" t="s">
        <v>25</v>
      </c>
      <c r="T629" s="188" t="s">
        <v>306</v>
      </c>
      <c r="U629" s="188" t="s">
        <v>306</v>
      </c>
      <c r="V629" s="234" t="s">
        <v>306</v>
      </c>
      <c r="W629" s="188" t="s">
        <v>19</v>
      </c>
      <c r="X629" s="188" t="s">
        <v>25</v>
      </c>
      <c r="Y629" s="234" t="s">
        <v>306</v>
      </c>
      <c r="Z629" s="188" t="s">
        <v>25</v>
      </c>
      <c r="AA629" s="188" t="s">
        <v>306</v>
      </c>
      <c r="AB629" s="234" t="s">
        <v>25</v>
      </c>
      <c r="AC629" s="235" t="s">
        <v>306</v>
      </c>
      <c r="AD629" s="188" t="s">
        <v>306</v>
      </c>
      <c r="AE629" s="188" t="s">
        <v>19</v>
      </c>
      <c r="AF629" s="234" t="s">
        <v>306</v>
      </c>
      <c r="AG629" s="188" t="s">
        <v>306</v>
      </c>
      <c r="AH629" s="188" t="s">
        <v>25</v>
      </c>
      <c r="AI629" s="234" t="s">
        <v>25</v>
      </c>
      <c r="AJ629" s="188" t="s">
        <v>19</v>
      </c>
      <c r="AK629" s="188" t="s">
        <v>25</v>
      </c>
      <c r="AL629" s="234" t="s">
        <v>306</v>
      </c>
      <c r="AM629" s="188" t="s">
        <v>19</v>
      </c>
      <c r="AN629" s="188" t="s">
        <v>19</v>
      </c>
      <c r="AO629" s="234" t="s">
        <v>19</v>
      </c>
      <c r="AP629" s="235" t="s">
        <v>306</v>
      </c>
      <c r="AQ629" s="188" t="s">
        <v>19</v>
      </c>
      <c r="AR629" s="188" t="s">
        <v>25</v>
      </c>
      <c r="AS629" s="234" t="s">
        <v>306</v>
      </c>
      <c r="AT629" s="188" t="s">
        <v>25</v>
      </c>
      <c r="AU629" s="188" t="s">
        <v>306</v>
      </c>
      <c r="AV629" s="234" t="s">
        <v>25</v>
      </c>
      <c r="AW629" s="188" t="s">
        <v>19</v>
      </c>
      <c r="AX629" s="188" t="s">
        <v>25</v>
      </c>
      <c r="AY629" s="234" t="s">
        <v>306</v>
      </c>
      <c r="AZ629" s="188" t="s">
        <v>306</v>
      </c>
      <c r="BA629" s="188" t="s">
        <v>306</v>
      </c>
      <c r="BB629" s="234" t="s">
        <v>306</v>
      </c>
      <c r="BC629" s="235" t="s">
        <v>306</v>
      </c>
      <c r="BD629" s="188"/>
    </row>
    <row r="630" spans="1:56" ht="12.75" customHeight="1" x14ac:dyDescent="0.25">
      <c r="A630" s="238">
        <v>44798.331187222226</v>
      </c>
      <c r="B630" s="137" t="s">
        <v>304</v>
      </c>
      <c r="C630" s="211" t="s">
        <v>595</v>
      </c>
      <c r="D630" s="211" t="s">
        <v>17</v>
      </c>
      <c r="E630" s="232" t="s">
        <v>515</v>
      </c>
      <c r="F630" s="188" t="s">
        <v>1204</v>
      </c>
      <c r="G630" s="211" t="s">
        <v>24</v>
      </c>
      <c r="H630" s="211">
        <v>12</v>
      </c>
      <c r="I630" s="188" t="s">
        <v>518</v>
      </c>
      <c r="J630" s="188" t="s">
        <v>560</v>
      </c>
      <c r="K630" s="209" t="s">
        <v>560</v>
      </c>
      <c r="L630" s="188" t="s">
        <v>518</v>
      </c>
      <c r="M630" s="188" t="s">
        <v>368</v>
      </c>
      <c r="N630" s="188"/>
      <c r="O630" s="188"/>
      <c r="P630" s="188"/>
      <c r="Q630" s="188" t="s">
        <v>25</v>
      </c>
      <c r="R630" s="188" t="s">
        <v>25</v>
      </c>
      <c r="S630" s="234" t="s">
        <v>25</v>
      </c>
      <c r="T630" s="188" t="s">
        <v>306</v>
      </c>
      <c r="U630" s="188" t="s">
        <v>25</v>
      </c>
      <c r="V630" s="234" t="s">
        <v>25</v>
      </c>
      <c r="W630" s="188" t="s">
        <v>306</v>
      </c>
      <c r="X630" s="188" t="s">
        <v>306</v>
      </c>
      <c r="Y630" s="234" t="s">
        <v>306</v>
      </c>
      <c r="Z630" s="188" t="s">
        <v>25</v>
      </c>
      <c r="AA630" s="188" t="s">
        <v>25</v>
      </c>
      <c r="AB630" s="234" t="s">
        <v>25</v>
      </c>
      <c r="AC630" s="235" t="s">
        <v>25</v>
      </c>
      <c r="AD630" s="188" t="s">
        <v>306</v>
      </c>
      <c r="AE630" s="188" t="s">
        <v>25</v>
      </c>
      <c r="AF630" s="234" t="s">
        <v>25</v>
      </c>
      <c r="AG630" s="188" t="s">
        <v>306</v>
      </c>
      <c r="AH630" s="188" t="s">
        <v>19</v>
      </c>
      <c r="AI630" s="234" t="s">
        <v>306</v>
      </c>
      <c r="AJ630" s="188" t="s">
        <v>306</v>
      </c>
      <c r="AK630" s="188" t="s">
        <v>25</v>
      </c>
      <c r="AL630" s="234" t="s">
        <v>25</v>
      </c>
      <c r="AM630" s="188" t="s">
        <v>306</v>
      </c>
      <c r="AN630" s="188" t="s">
        <v>306</v>
      </c>
      <c r="AO630" s="234" t="s">
        <v>306</v>
      </c>
      <c r="AP630" s="235" t="s">
        <v>306</v>
      </c>
      <c r="AQ630" s="188" t="s">
        <v>25</v>
      </c>
      <c r="AR630" s="188" t="s">
        <v>306</v>
      </c>
      <c r="AS630" s="234" t="s">
        <v>25</v>
      </c>
      <c r="AT630" s="188" t="s">
        <v>25</v>
      </c>
      <c r="AU630" s="188" t="s">
        <v>306</v>
      </c>
      <c r="AV630" s="234" t="s">
        <v>25</v>
      </c>
      <c r="AW630" s="188" t="s">
        <v>306</v>
      </c>
      <c r="AX630" s="188" t="s">
        <v>25</v>
      </c>
      <c r="AY630" s="234" t="s">
        <v>25</v>
      </c>
      <c r="AZ630" s="188" t="s">
        <v>25</v>
      </c>
      <c r="BA630" s="188" t="s">
        <v>25</v>
      </c>
      <c r="BB630" s="234" t="s">
        <v>306</v>
      </c>
      <c r="BC630" s="235" t="s">
        <v>306</v>
      </c>
      <c r="BD630" s="188"/>
    </row>
    <row r="631" spans="1:56" ht="12.75" customHeight="1" x14ac:dyDescent="0.25">
      <c r="A631" s="238">
        <v>44798.378501724539</v>
      </c>
      <c r="B631" s="137" t="s">
        <v>304</v>
      </c>
      <c r="C631" s="211" t="s">
        <v>595</v>
      </c>
      <c r="D631" s="211" t="s">
        <v>17</v>
      </c>
      <c r="E631" s="232" t="s">
        <v>515</v>
      </c>
      <c r="F631" s="188" t="s">
        <v>1205</v>
      </c>
      <c r="G631" s="211" t="s">
        <v>18</v>
      </c>
      <c r="H631" s="211">
        <v>11</v>
      </c>
      <c r="I631" s="188" t="s">
        <v>518</v>
      </c>
      <c r="J631" s="188" t="s">
        <v>560</v>
      </c>
      <c r="K631" s="209" t="s">
        <v>560</v>
      </c>
      <c r="L631" s="188" t="s">
        <v>518</v>
      </c>
      <c r="M631" s="188" t="s">
        <v>375</v>
      </c>
      <c r="N631" s="188"/>
      <c r="O631" s="188"/>
      <c r="P631" s="188"/>
      <c r="Q631" s="188" t="s">
        <v>25</v>
      </c>
      <c r="R631" s="188" t="s">
        <v>25</v>
      </c>
      <c r="S631" s="234" t="s">
        <v>25</v>
      </c>
      <c r="T631" s="188" t="s">
        <v>25</v>
      </c>
      <c r="U631" s="188" t="s">
        <v>25</v>
      </c>
      <c r="V631" s="234" t="s">
        <v>25</v>
      </c>
      <c r="W631" s="188" t="s">
        <v>25</v>
      </c>
      <c r="X631" s="188" t="s">
        <v>25</v>
      </c>
      <c r="Y631" s="234" t="s">
        <v>25</v>
      </c>
      <c r="Z631" s="188" t="s">
        <v>306</v>
      </c>
      <c r="AA631" s="188" t="s">
        <v>25</v>
      </c>
      <c r="AB631" s="234" t="s">
        <v>25</v>
      </c>
      <c r="AC631" s="235" t="s">
        <v>25</v>
      </c>
      <c r="AD631" s="188" t="s">
        <v>25</v>
      </c>
      <c r="AE631" s="188" t="s">
        <v>25</v>
      </c>
      <c r="AF631" s="234" t="s">
        <v>25</v>
      </c>
      <c r="AG631" s="188" t="s">
        <v>306</v>
      </c>
      <c r="AH631" s="188" t="s">
        <v>25</v>
      </c>
      <c r="AI631" s="234" t="s">
        <v>25</v>
      </c>
      <c r="AJ631" s="188" t="s">
        <v>25</v>
      </c>
      <c r="AK631" s="188" t="s">
        <v>25</v>
      </c>
      <c r="AL631" s="234" t="s">
        <v>25</v>
      </c>
      <c r="AM631" s="188" t="s">
        <v>306</v>
      </c>
      <c r="AN631" s="188" t="s">
        <v>306</v>
      </c>
      <c r="AO631" s="234" t="s">
        <v>306</v>
      </c>
      <c r="AP631" s="235" t="s">
        <v>25</v>
      </c>
      <c r="AQ631" s="188" t="s">
        <v>306</v>
      </c>
      <c r="AR631" s="188" t="s">
        <v>25</v>
      </c>
      <c r="AS631" s="234" t="s">
        <v>25</v>
      </c>
      <c r="AT631" s="188" t="s">
        <v>25</v>
      </c>
      <c r="AU631" s="188" t="s">
        <v>306</v>
      </c>
      <c r="AV631" s="234" t="s">
        <v>25</v>
      </c>
      <c r="AW631" s="188" t="s">
        <v>25</v>
      </c>
      <c r="AX631" s="188" t="s">
        <v>25</v>
      </c>
      <c r="AY631" s="234" t="s">
        <v>25</v>
      </c>
      <c r="AZ631" s="188" t="s">
        <v>306</v>
      </c>
      <c r="BA631" s="188" t="s">
        <v>25</v>
      </c>
      <c r="BB631" s="234" t="s">
        <v>306</v>
      </c>
      <c r="BC631" s="235" t="s">
        <v>306</v>
      </c>
      <c r="BD631" s="188"/>
    </row>
    <row r="632" spans="1:56" ht="12.75" customHeight="1" x14ac:dyDescent="0.25">
      <c r="A632" s="238">
        <v>44798.381278819448</v>
      </c>
      <c r="B632" s="137" t="s">
        <v>304</v>
      </c>
      <c r="C632" s="211" t="s">
        <v>595</v>
      </c>
      <c r="D632" s="211" t="s">
        <v>17</v>
      </c>
      <c r="E632" s="232" t="s">
        <v>515</v>
      </c>
      <c r="F632" s="188" t="s">
        <v>1206</v>
      </c>
      <c r="G632" s="211" t="s">
        <v>18</v>
      </c>
      <c r="H632" s="211">
        <v>11</v>
      </c>
      <c r="I632" s="188" t="s">
        <v>518</v>
      </c>
      <c r="J632" s="188" t="s">
        <v>560</v>
      </c>
      <c r="K632" s="209" t="s">
        <v>560</v>
      </c>
      <c r="L632" s="188" t="s">
        <v>518</v>
      </c>
      <c r="M632" s="188" t="s">
        <v>412</v>
      </c>
      <c r="N632" s="188"/>
      <c r="O632" s="188"/>
      <c r="P632" s="188"/>
      <c r="Q632" s="188" t="s">
        <v>25</v>
      </c>
      <c r="R632" s="188" t="s">
        <v>25</v>
      </c>
      <c r="S632" s="234" t="s">
        <v>25</v>
      </c>
      <c r="T632" s="188" t="s">
        <v>306</v>
      </c>
      <c r="U632" s="188" t="s">
        <v>25</v>
      </c>
      <c r="V632" s="234" t="s">
        <v>25</v>
      </c>
      <c r="W632" s="188" t="s">
        <v>25</v>
      </c>
      <c r="X632" s="188" t="s">
        <v>19</v>
      </c>
      <c r="Y632" s="234" t="s">
        <v>306</v>
      </c>
      <c r="Z632" s="188" t="s">
        <v>25</v>
      </c>
      <c r="AA632" s="188" t="s">
        <v>19</v>
      </c>
      <c r="AB632" s="234" t="s">
        <v>306</v>
      </c>
      <c r="AC632" s="235" t="s">
        <v>306</v>
      </c>
      <c r="AD632" s="188" t="s">
        <v>25</v>
      </c>
      <c r="AE632" s="188" t="s">
        <v>25</v>
      </c>
      <c r="AF632" s="234" t="s">
        <v>25</v>
      </c>
      <c r="AG632" s="188" t="s">
        <v>25</v>
      </c>
      <c r="AH632" s="188" t="s">
        <v>19</v>
      </c>
      <c r="AI632" s="234" t="s">
        <v>306</v>
      </c>
      <c r="AJ632" s="188" t="s">
        <v>19</v>
      </c>
      <c r="AK632" s="188" t="s">
        <v>25</v>
      </c>
      <c r="AL632" s="234" t="s">
        <v>306</v>
      </c>
      <c r="AM632" s="188" t="s">
        <v>19</v>
      </c>
      <c r="AN632" s="188" t="s">
        <v>19</v>
      </c>
      <c r="AO632" s="234" t="s">
        <v>19</v>
      </c>
      <c r="AP632" s="235" t="s">
        <v>306</v>
      </c>
      <c r="AQ632" s="188" t="s">
        <v>25</v>
      </c>
      <c r="AR632" s="188" t="s">
        <v>19</v>
      </c>
      <c r="AS632" s="234" t="s">
        <v>306</v>
      </c>
      <c r="AT632" s="188" t="s">
        <v>25</v>
      </c>
      <c r="AU632" s="188" t="s">
        <v>25</v>
      </c>
      <c r="AV632" s="234" t="s">
        <v>25</v>
      </c>
      <c r="AW632" s="188" t="s">
        <v>19</v>
      </c>
      <c r="AX632" s="188" t="s">
        <v>25</v>
      </c>
      <c r="AY632" s="234" t="s">
        <v>306</v>
      </c>
      <c r="AZ632" s="188" t="s">
        <v>19</v>
      </c>
      <c r="BA632" s="188" t="s">
        <v>25</v>
      </c>
      <c r="BB632" s="234" t="s">
        <v>25</v>
      </c>
      <c r="BC632" s="235" t="s">
        <v>25</v>
      </c>
      <c r="BD632" s="188"/>
    </row>
    <row r="633" spans="1:56" ht="12.75" customHeight="1" x14ac:dyDescent="0.25">
      <c r="A633" s="238">
        <v>44798.383508460647</v>
      </c>
      <c r="B633" s="137" t="s">
        <v>304</v>
      </c>
      <c r="C633" s="211" t="s">
        <v>595</v>
      </c>
      <c r="D633" s="211" t="s">
        <v>17</v>
      </c>
      <c r="E633" s="232" t="s">
        <v>515</v>
      </c>
      <c r="F633" s="188" t="s">
        <v>563</v>
      </c>
      <c r="G633" s="211" t="s">
        <v>18</v>
      </c>
      <c r="H633" s="211">
        <v>12</v>
      </c>
      <c r="I633" s="188" t="s">
        <v>518</v>
      </c>
      <c r="J633" s="188" t="s">
        <v>560</v>
      </c>
      <c r="K633" s="209" t="s">
        <v>560</v>
      </c>
      <c r="L633" s="188" t="s">
        <v>518</v>
      </c>
      <c r="M633" s="188" t="s">
        <v>375</v>
      </c>
      <c r="N633" s="188"/>
      <c r="O633" s="188"/>
      <c r="P633" s="188"/>
      <c r="Q633" s="188" t="s">
        <v>19</v>
      </c>
      <c r="R633" s="188" t="s">
        <v>25</v>
      </c>
      <c r="S633" s="234" t="s">
        <v>306</v>
      </c>
      <c r="T633" s="188" t="s">
        <v>25</v>
      </c>
      <c r="U633" s="188" t="s">
        <v>25</v>
      </c>
      <c r="V633" s="234" t="s">
        <v>25</v>
      </c>
      <c r="W633" s="188" t="s">
        <v>25</v>
      </c>
      <c r="X633" s="188" t="s">
        <v>25</v>
      </c>
      <c r="Y633" s="234" t="s">
        <v>25</v>
      </c>
      <c r="Z633" s="188" t="s">
        <v>25</v>
      </c>
      <c r="AA633" s="188" t="s">
        <v>25</v>
      </c>
      <c r="AB633" s="234" t="s">
        <v>25</v>
      </c>
      <c r="AC633" s="235" t="s">
        <v>25</v>
      </c>
      <c r="AD633" s="188" t="s">
        <v>25</v>
      </c>
      <c r="AE633" s="188" t="s">
        <v>25</v>
      </c>
      <c r="AF633" s="234" t="s">
        <v>25</v>
      </c>
      <c r="AG633" s="188" t="s">
        <v>306</v>
      </c>
      <c r="AH633" s="188" t="s">
        <v>25</v>
      </c>
      <c r="AI633" s="234" t="s">
        <v>25</v>
      </c>
      <c r="AJ633" s="188" t="s">
        <v>25</v>
      </c>
      <c r="AK633" s="188" t="s">
        <v>25</v>
      </c>
      <c r="AL633" s="234" t="s">
        <v>25</v>
      </c>
      <c r="AM633" s="188" t="s">
        <v>306</v>
      </c>
      <c r="AN633" s="188" t="s">
        <v>306</v>
      </c>
      <c r="AO633" s="234" t="s">
        <v>306</v>
      </c>
      <c r="AP633" s="235" t="s">
        <v>25</v>
      </c>
      <c r="AQ633" s="188" t="s">
        <v>306</v>
      </c>
      <c r="AR633" s="188" t="s">
        <v>25</v>
      </c>
      <c r="AS633" s="234" t="s">
        <v>25</v>
      </c>
      <c r="AT633" s="188" t="s">
        <v>25</v>
      </c>
      <c r="AU633" s="188" t="s">
        <v>306</v>
      </c>
      <c r="AV633" s="234" t="s">
        <v>25</v>
      </c>
      <c r="AW633" s="188" t="s">
        <v>25</v>
      </c>
      <c r="AX633" s="188" t="s">
        <v>25</v>
      </c>
      <c r="AY633" s="234" t="s">
        <v>25</v>
      </c>
      <c r="AZ633" s="188" t="s">
        <v>306</v>
      </c>
      <c r="BA633" s="188" t="s">
        <v>25</v>
      </c>
      <c r="BB633" s="234" t="s">
        <v>25</v>
      </c>
      <c r="BC633" s="235" t="s">
        <v>306</v>
      </c>
      <c r="BD633" s="188"/>
    </row>
    <row r="634" spans="1:56" ht="12.75" customHeight="1" x14ac:dyDescent="0.25">
      <c r="A634" s="238">
        <v>44798.386845682871</v>
      </c>
      <c r="B634" s="137" t="s">
        <v>304</v>
      </c>
      <c r="C634" s="211" t="s">
        <v>595</v>
      </c>
      <c r="D634" s="211" t="s">
        <v>17</v>
      </c>
      <c r="E634" s="232" t="s">
        <v>515</v>
      </c>
      <c r="F634" s="188" t="s">
        <v>564</v>
      </c>
      <c r="G634" s="211" t="s">
        <v>24</v>
      </c>
      <c r="H634" s="211">
        <v>11</v>
      </c>
      <c r="I634" s="188" t="s">
        <v>518</v>
      </c>
      <c r="J634" s="188" t="s">
        <v>560</v>
      </c>
      <c r="K634" s="209" t="s">
        <v>560</v>
      </c>
      <c r="L634" s="188" t="s">
        <v>518</v>
      </c>
      <c r="M634" s="188" t="s">
        <v>412</v>
      </c>
      <c r="N634" s="188"/>
      <c r="O634" s="188"/>
      <c r="P634" s="188"/>
      <c r="Q634" s="188" t="s">
        <v>19</v>
      </c>
      <c r="R634" s="188" t="s">
        <v>25</v>
      </c>
      <c r="S634" s="234" t="s">
        <v>306</v>
      </c>
      <c r="T634" s="188" t="s">
        <v>306</v>
      </c>
      <c r="U634" s="188" t="s">
        <v>25</v>
      </c>
      <c r="V634" s="234" t="s">
        <v>25</v>
      </c>
      <c r="W634" s="188" t="s">
        <v>25</v>
      </c>
      <c r="X634" s="188" t="s">
        <v>19</v>
      </c>
      <c r="Y634" s="234" t="s">
        <v>306</v>
      </c>
      <c r="Z634" s="188" t="s">
        <v>306</v>
      </c>
      <c r="AA634" s="188" t="s">
        <v>19</v>
      </c>
      <c r="AB634" s="234" t="s">
        <v>306</v>
      </c>
      <c r="AC634" s="235" t="s">
        <v>306</v>
      </c>
      <c r="AD634" s="188" t="s">
        <v>306</v>
      </c>
      <c r="AE634" s="188" t="s">
        <v>306</v>
      </c>
      <c r="AF634" s="234" t="s">
        <v>306</v>
      </c>
      <c r="AG634" s="188" t="s">
        <v>25</v>
      </c>
      <c r="AH634" s="188" t="s">
        <v>25</v>
      </c>
      <c r="AI634" s="234" t="s">
        <v>25</v>
      </c>
      <c r="AJ634" s="188" t="s">
        <v>19</v>
      </c>
      <c r="AK634" s="188" t="s">
        <v>19</v>
      </c>
      <c r="AL634" s="234" t="s">
        <v>19</v>
      </c>
      <c r="AM634" s="188" t="s">
        <v>25</v>
      </c>
      <c r="AN634" s="188" t="s">
        <v>19</v>
      </c>
      <c r="AO634" s="234" t="s">
        <v>306</v>
      </c>
      <c r="AP634" s="235" t="s">
        <v>306</v>
      </c>
      <c r="AQ634" s="188" t="s">
        <v>19</v>
      </c>
      <c r="AR634" s="188" t="s">
        <v>25</v>
      </c>
      <c r="AS634" s="234" t="s">
        <v>306</v>
      </c>
      <c r="AT634" s="188" t="s">
        <v>19</v>
      </c>
      <c r="AU634" s="188" t="s">
        <v>25</v>
      </c>
      <c r="AV634" s="234" t="s">
        <v>306</v>
      </c>
      <c r="AW634" s="188" t="s">
        <v>25</v>
      </c>
      <c r="AX634" s="188" t="s">
        <v>19</v>
      </c>
      <c r="AY634" s="234" t="s">
        <v>306</v>
      </c>
      <c r="AZ634" s="188" t="s">
        <v>25</v>
      </c>
      <c r="BA634" s="188" t="s">
        <v>19</v>
      </c>
      <c r="BB634" s="234" t="s">
        <v>306</v>
      </c>
      <c r="BC634" s="235" t="s">
        <v>306</v>
      </c>
      <c r="BD634" s="188"/>
    </row>
    <row r="635" spans="1:56" ht="12.75" customHeight="1" x14ac:dyDescent="0.25">
      <c r="A635" s="238">
        <v>44798.427067488425</v>
      </c>
      <c r="B635" s="137" t="s">
        <v>304</v>
      </c>
      <c r="C635" s="211" t="s">
        <v>595</v>
      </c>
      <c r="D635" s="211" t="s">
        <v>17</v>
      </c>
      <c r="E635" s="232" t="s">
        <v>515</v>
      </c>
      <c r="F635" s="188" t="s">
        <v>1207</v>
      </c>
      <c r="G635" s="211" t="s">
        <v>18</v>
      </c>
      <c r="H635" s="211">
        <v>11</v>
      </c>
      <c r="I635" s="188" t="s">
        <v>518</v>
      </c>
      <c r="J635" s="188" t="s">
        <v>560</v>
      </c>
      <c r="K635" s="209" t="s">
        <v>560</v>
      </c>
      <c r="L635" s="188" t="s">
        <v>518</v>
      </c>
      <c r="M635" s="188" t="s">
        <v>401</v>
      </c>
      <c r="N635" s="188"/>
      <c r="O635" s="188"/>
      <c r="P635" s="188"/>
      <c r="Q635" s="188" t="s">
        <v>25</v>
      </c>
      <c r="R635" s="188" t="s">
        <v>25</v>
      </c>
      <c r="S635" s="234" t="s">
        <v>25</v>
      </c>
      <c r="T635" s="188" t="s">
        <v>19</v>
      </c>
      <c r="U635" s="188" t="s">
        <v>25</v>
      </c>
      <c r="V635" s="234" t="s">
        <v>306</v>
      </c>
      <c r="W635" s="188" t="s">
        <v>19</v>
      </c>
      <c r="X635" s="188" t="s">
        <v>19</v>
      </c>
      <c r="Y635" s="234" t="s">
        <v>19</v>
      </c>
      <c r="Z635" s="188" t="s">
        <v>306</v>
      </c>
      <c r="AA635" s="188" t="s">
        <v>19</v>
      </c>
      <c r="AB635" s="234" t="s">
        <v>306</v>
      </c>
      <c r="AC635" s="235" t="s">
        <v>306</v>
      </c>
      <c r="AD635" s="188" t="s">
        <v>306</v>
      </c>
      <c r="AE635" s="188" t="s">
        <v>306</v>
      </c>
      <c r="AF635" s="234" t="s">
        <v>306</v>
      </c>
      <c r="AG635" s="188" t="s">
        <v>306</v>
      </c>
      <c r="AH635" s="188" t="s">
        <v>306</v>
      </c>
      <c r="AI635" s="234" t="s">
        <v>306</v>
      </c>
      <c r="AJ635" s="188" t="s">
        <v>19</v>
      </c>
      <c r="AK635" s="188" t="s">
        <v>19</v>
      </c>
      <c r="AL635" s="234" t="s">
        <v>19</v>
      </c>
      <c r="AM635" s="188" t="s">
        <v>19</v>
      </c>
      <c r="AN635" s="188" t="s">
        <v>19</v>
      </c>
      <c r="AO635" s="234" t="s">
        <v>19</v>
      </c>
      <c r="AP635" s="235" t="s">
        <v>306</v>
      </c>
      <c r="AQ635" s="188" t="s">
        <v>306</v>
      </c>
      <c r="AR635" s="188" t="s">
        <v>25</v>
      </c>
      <c r="AS635" s="234" t="s">
        <v>25</v>
      </c>
      <c r="AT635" s="188" t="s">
        <v>25</v>
      </c>
      <c r="AU635" s="188" t="s">
        <v>306</v>
      </c>
      <c r="AV635" s="234" t="s">
        <v>25</v>
      </c>
      <c r="AW635" s="188" t="s">
        <v>25</v>
      </c>
      <c r="AX635" s="188" t="s">
        <v>25</v>
      </c>
      <c r="AY635" s="234" t="s">
        <v>25</v>
      </c>
      <c r="AZ635" s="188" t="s">
        <v>25</v>
      </c>
      <c r="BA635" s="188" t="s">
        <v>19</v>
      </c>
      <c r="BB635" s="234" t="s">
        <v>25</v>
      </c>
      <c r="BC635" s="235" t="s">
        <v>306</v>
      </c>
      <c r="BD635" s="188"/>
    </row>
    <row r="636" spans="1:56" ht="12.75" customHeight="1" x14ac:dyDescent="0.25">
      <c r="A636" s="238">
        <v>44798.430048113427</v>
      </c>
      <c r="B636" s="137" t="s">
        <v>304</v>
      </c>
      <c r="C636" s="211" t="s">
        <v>595</v>
      </c>
      <c r="D636" s="211" t="s">
        <v>17</v>
      </c>
      <c r="E636" s="232" t="s">
        <v>515</v>
      </c>
      <c r="F636" s="188" t="s">
        <v>1208</v>
      </c>
      <c r="G636" s="211" t="s">
        <v>18</v>
      </c>
      <c r="H636" s="211">
        <v>11</v>
      </c>
      <c r="I636" s="188" t="s">
        <v>518</v>
      </c>
      <c r="J636" s="188" t="s">
        <v>560</v>
      </c>
      <c r="K636" s="209" t="s">
        <v>560</v>
      </c>
      <c r="L636" s="188" t="s">
        <v>518</v>
      </c>
      <c r="M636" s="188" t="s">
        <v>412</v>
      </c>
      <c r="N636" s="188"/>
      <c r="O636" s="188"/>
      <c r="P636" s="188"/>
      <c r="Q636" s="188" t="s">
        <v>25</v>
      </c>
      <c r="R636" s="188" t="s">
        <v>25</v>
      </c>
      <c r="S636" s="234" t="s">
        <v>25</v>
      </c>
      <c r="T636" s="188" t="s">
        <v>306</v>
      </c>
      <c r="U636" s="188" t="s">
        <v>25</v>
      </c>
      <c r="V636" s="234" t="s">
        <v>25</v>
      </c>
      <c r="W636" s="188" t="s">
        <v>306</v>
      </c>
      <c r="X636" s="188" t="s">
        <v>306</v>
      </c>
      <c r="Y636" s="234" t="s">
        <v>306</v>
      </c>
      <c r="Z636" s="188" t="s">
        <v>25</v>
      </c>
      <c r="AA636" s="188" t="s">
        <v>25</v>
      </c>
      <c r="AB636" s="234" t="s">
        <v>25</v>
      </c>
      <c r="AC636" s="235" t="s">
        <v>25</v>
      </c>
      <c r="AD636" s="188" t="s">
        <v>25</v>
      </c>
      <c r="AE636" s="188" t="s">
        <v>25</v>
      </c>
      <c r="AF636" s="234" t="s">
        <v>25</v>
      </c>
      <c r="AG636" s="188" t="s">
        <v>25</v>
      </c>
      <c r="AH636" s="188" t="s">
        <v>306</v>
      </c>
      <c r="AI636" s="234" t="s">
        <v>25</v>
      </c>
      <c r="AJ636" s="188" t="s">
        <v>19</v>
      </c>
      <c r="AK636" s="188" t="s">
        <v>25</v>
      </c>
      <c r="AL636" s="234" t="s">
        <v>306</v>
      </c>
      <c r="AM636" s="188" t="s">
        <v>306</v>
      </c>
      <c r="AN636" s="188" t="s">
        <v>306</v>
      </c>
      <c r="AO636" s="234" t="s">
        <v>306</v>
      </c>
      <c r="AP636" s="235" t="s">
        <v>306</v>
      </c>
      <c r="AQ636" s="188" t="s">
        <v>25</v>
      </c>
      <c r="AR636" s="188" t="s">
        <v>25</v>
      </c>
      <c r="AS636" s="234" t="s">
        <v>25</v>
      </c>
      <c r="AT636" s="188" t="s">
        <v>25</v>
      </c>
      <c r="AU636" s="188" t="s">
        <v>306</v>
      </c>
      <c r="AV636" s="234" t="s">
        <v>25</v>
      </c>
      <c r="AW636" s="188" t="s">
        <v>25</v>
      </c>
      <c r="AX636" s="188" t="s">
        <v>25</v>
      </c>
      <c r="AY636" s="234" t="s">
        <v>25</v>
      </c>
      <c r="AZ636" s="188" t="s">
        <v>306</v>
      </c>
      <c r="BA636" s="188" t="s">
        <v>306</v>
      </c>
      <c r="BB636" s="234" t="s">
        <v>25</v>
      </c>
      <c r="BC636" s="235" t="s">
        <v>25</v>
      </c>
      <c r="BD636" s="188"/>
    </row>
    <row r="637" spans="1:56" ht="12.75" customHeight="1" x14ac:dyDescent="0.25">
      <c r="A637" s="238">
        <v>44798.440943807873</v>
      </c>
      <c r="B637" s="137" t="s">
        <v>304</v>
      </c>
      <c r="C637" s="211" t="s">
        <v>595</v>
      </c>
      <c r="D637" s="211" t="s">
        <v>17</v>
      </c>
      <c r="E637" s="232" t="s">
        <v>515</v>
      </c>
      <c r="F637" s="188" t="s">
        <v>565</v>
      </c>
      <c r="G637" s="211" t="s">
        <v>24</v>
      </c>
      <c r="H637" s="211">
        <v>11</v>
      </c>
      <c r="I637" s="188" t="s">
        <v>518</v>
      </c>
      <c r="J637" s="188" t="s">
        <v>560</v>
      </c>
      <c r="K637" s="209" t="s">
        <v>560</v>
      </c>
      <c r="L637" s="188" t="s">
        <v>518</v>
      </c>
      <c r="M637" s="188" t="s">
        <v>412</v>
      </c>
      <c r="N637" s="188"/>
      <c r="O637" s="188"/>
      <c r="P637" s="188"/>
      <c r="Q637" s="188" t="s">
        <v>306</v>
      </c>
      <c r="R637" s="188" t="s">
        <v>306</v>
      </c>
      <c r="S637" s="234" t="s">
        <v>306</v>
      </c>
      <c r="T637" s="188" t="s">
        <v>19</v>
      </c>
      <c r="U637" s="188" t="s">
        <v>25</v>
      </c>
      <c r="V637" s="234" t="s">
        <v>306</v>
      </c>
      <c r="W637" s="188" t="s">
        <v>306</v>
      </c>
      <c r="X637" s="188" t="s">
        <v>19</v>
      </c>
      <c r="Y637" s="234" t="s">
        <v>306</v>
      </c>
      <c r="Z637" s="188" t="s">
        <v>19</v>
      </c>
      <c r="AA637" s="188" t="s">
        <v>306</v>
      </c>
      <c r="AB637" s="234" t="s">
        <v>306</v>
      </c>
      <c r="AC637" s="235" t="s">
        <v>306</v>
      </c>
      <c r="AD637" s="188" t="s">
        <v>306</v>
      </c>
      <c r="AE637" s="188" t="s">
        <v>306</v>
      </c>
      <c r="AF637" s="234" t="s">
        <v>306</v>
      </c>
      <c r="AG637" s="188" t="s">
        <v>25</v>
      </c>
      <c r="AH637" s="188" t="s">
        <v>306</v>
      </c>
      <c r="AI637" s="234" t="s">
        <v>25</v>
      </c>
      <c r="AJ637" s="188" t="s">
        <v>25</v>
      </c>
      <c r="AK637" s="188" t="s">
        <v>306</v>
      </c>
      <c r="AL637" s="234" t="s">
        <v>25</v>
      </c>
      <c r="AM637" s="188" t="s">
        <v>19</v>
      </c>
      <c r="AN637" s="188" t="s">
        <v>306</v>
      </c>
      <c r="AO637" s="234" t="s">
        <v>306</v>
      </c>
      <c r="AP637" s="235" t="s">
        <v>306</v>
      </c>
      <c r="AQ637" s="188" t="s">
        <v>19</v>
      </c>
      <c r="AR637" s="188" t="s">
        <v>25</v>
      </c>
      <c r="AS637" s="234" t="s">
        <v>306</v>
      </c>
      <c r="AT637" s="188" t="s">
        <v>25</v>
      </c>
      <c r="AU637" s="188" t="s">
        <v>25</v>
      </c>
      <c r="AV637" s="234" t="s">
        <v>25</v>
      </c>
      <c r="AW637" s="188" t="s">
        <v>306</v>
      </c>
      <c r="AX637" s="188" t="s">
        <v>25</v>
      </c>
      <c r="AY637" s="234" t="s">
        <v>25</v>
      </c>
      <c r="AZ637" s="188" t="s">
        <v>19</v>
      </c>
      <c r="BA637" s="188" t="s">
        <v>19</v>
      </c>
      <c r="BB637" s="234" t="s">
        <v>25</v>
      </c>
      <c r="BC637" s="235" t="s">
        <v>25</v>
      </c>
      <c r="BD637" s="188"/>
    </row>
    <row r="638" spans="1:56" ht="12.75" customHeight="1" x14ac:dyDescent="0.25">
      <c r="A638" s="238">
        <v>44798.447639201389</v>
      </c>
      <c r="B638" s="137" t="s">
        <v>304</v>
      </c>
      <c r="C638" s="211" t="s">
        <v>595</v>
      </c>
      <c r="D638" s="211" t="s">
        <v>17</v>
      </c>
      <c r="E638" s="232" t="s">
        <v>515</v>
      </c>
      <c r="F638" s="188" t="s">
        <v>1209</v>
      </c>
      <c r="G638" s="211" t="s">
        <v>18</v>
      </c>
      <c r="H638" s="211">
        <v>12</v>
      </c>
      <c r="I638" s="188" t="s">
        <v>518</v>
      </c>
      <c r="J638" s="188" t="s">
        <v>560</v>
      </c>
      <c r="K638" s="209" t="s">
        <v>560</v>
      </c>
      <c r="L638" s="188" t="s">
        <v>518</v>
      </c>
      <c r="M638" s="188" t="s">
        <v>375</v>
      </c>
      <c r="N638" s="188"/>
      <c r="O638" s="188"/>
      <c r="P638" s="188"/>
      <c r="Q638" s="188" t="s">
        <v>25</v>
      </c>
      <c r="R638" s="188" t="s">
        <v>25</v>
      </c>
      <c r="S638" s="234" t="s">
        <v>25</v>
      </c>
      <c r="T638" s="188" t="s">
        <v>25</v>
      </c>
      <c r="U638" s="188" t="s">
        <v>25</v>
      </c>
      <c r="V638" s="234" t="s">
        <v>25</v>
      </c>
      <c r="W638" s="188" t="s">
        <v>306</v>
      </c>
      <c r="X638" s="188" t="s">
        <v>306</v>
      </c>
      <c r="Y638" s="234" t="s">
        <v>306</v>
      </c>
      <c r="Z638" s="188" t="s">
        <v>306</v>
      </c>
      <c r="AA638" s="188" t="s">
        <v>306</v>
      </c>
      <c r="AB638" s="234" t="s">
        <v>306</v>
      </c>
      <c r="AC638" s="235" t="s">
        <v>25</v>
      </c>
      <c r="AD638" s="188" t="s">
        <v>306</v>
      </c>
      <c r="AE638" s="188" t="s">
        <v>306</v>
      </c>
      <c r="AF638" s="234" t="s">
        <v>306</v>
      </c>
      <c r="AG638" s="188" t="s">
        <v>306</v>
      </c>
      <c r="AH638" s="188" t="s">
        <v>25</v>
      </c>
      <c r="AI638" s="234" t="s">
        <v>25</v>
      </c>
      <c r="AJ638" s="188" t="s">
        <v>306</v>
      </c>
      <c r="AK638" s="188" t="s">
        <v>25</v>
      </c>
      <c r="AL638" s="234" t="s">
        <v>25</v>
      </c>
      <c r="AM638" s="188" t="s">
        <v>25</v>
      </c>
      <c r="AN638" s="188" t="s">
        <v>25</v>
      </c>
      <c r="AO638" s="234" t="s">
        <v>25</v>
      </c>
      <c r="AP638" s="235" t="s">
        <v>25</v>
      </c>
      <c r="AQ638" s="188" t="s">
        <v>25</v>
      </c>
      <c r="AR638" s="188" t="s">
        <v>25</v>
      </c>
      <c r="AS638" s="234" t="s">
        <v>25</v>
      </c>
      <c r="AT638" s="188" t="s">
        <v>25</v>
      </c>
      <c r="AU638" s="188" t="s">
        <v>25</v>
      </c>
      <c r="AV638" s="234" t="s">
        <v>25</v>
      </c>
      <c r="AW638" s="188" t="s">
        <v>25</v>
      </c>
      <c r="AX638" s="188" t="s">
        <v>306</v>
      </c>
      <c r="AY638" s="234" t="s">
        <v>25</v>
      </c>
      <c r="AZ638" s="188" t="s">
        <v>25</v>
      </c>
      <c r="BA638" s="188" t="s">
        <v>19</v>
      </c>
      <c r="BB638" s="234" t="s">
        <v>25</v>
      </c>
      <c r="BC638" s="235" t="s">
        <v>25</v>
      </c>
      <c r="BD638" s="188"/>
    </row>
    <row r="639" spans="1:56" ht="12.75" customHeight="1" x14ac:dyDescent="0.25">
      <c r="A639" s="238">
        <v>45264.735014942125</v>
      </c>
      <c r="B639" s="233" t="s">
        <v>384</v>
      </c>
      <c r="C639" s="209" t="s">
        <v>587</v>
      </c>
      <c r="D639" s="232" t="s">
        <v>17</v>
      </c>
      <c r="E639" s="232" t="s">
        <v>515</v>
      </c>
      <c r="F639" s="209" t="s">
        <v>1210</v>
      </c>
      <c r="G639" s="232" t="s">
        <v>24</v>
      </c>
      <c r="H639" s="232">
        <v>11</v>
      </c>
      <c r="I639" s="209" t="s">
        <v>518</v>
      </c>
      <c r="J639" s="209" t="s">
        <v>560</v>
      </c>
      <c r="K639" s="209" t="s">
        <v>560</v>
      </c>
      <c r="L639" s="209" t="s">
        <v>531</v>
      </c>
      <c r="M639" s="188"/>
      <c r="N639" s="188"/>
      <c r="O639" s="188"/>
      <c r="P639" s="188"/>
      <c r="Q639" s="209" t="s">
        <v>25</v>
      </c>
      <c r="R639" s="209" t="s">
        <v>306</v>
      </c>
      <c r="S639" s="234" t="s">
        <v>25</v>
      </c>
      <c r="T639" s="209" t="s">
        <v>306</v>
      </c>
      <c r="U639" s="209" t="s">
        <v>306</v>
      </c>
      <c r="V639" s="234" t="s">
        <v>306</v>
      </c>
      <c r="W639" s="209" t="s">
        <v>306</v>
      </c>
      <c r="X639" s="209" t="s">
        <v>306</v>
      </c>
      <c r="Y639" s="234" t="s">
        <v>306</v>
      </c>
      <c r="Z639" s="209" t="s">
        <v>306</v>
      </c>
      <c r="AA639" s="209" t="s">
        <v>306</v>
      </c>
      <c r="AB639" s="234" t="s">
        <v>306</v>
      </c>
      <c r="AC639" s="235" t="s">
        <v>306</v>
      </c>
      <c r="AD639" s="209" t="s">
        <v>306</v>
      </c>
      <c r="AE639" s="209" t="s">
        <v>306</v>
      </c>
      <c r="AF639" s="234" t="s">
        <v>306</v>
      </c>
      <c r="AG639" s="209" t="s">
        <v>306</v>
      </c>
      <c r="AH639" s="209" t="s">
        <v>306</v>
      </c>
      <c r="AI639" s="234" t="s">
        <v>306</v>
      </c>
      <c r="AJ639" s="209" t="s">
        <v>306</v>
      </c>
      <c r="AK639" s="209" t="s">
        <v>306</v>
      </c>
      <c r="AL639" s="234" t="s">
        <v>306</v>
      </c>
      <c r="AM639" s="209" t="s">
        <v>306</v>
      </c>
      <c r="AN639" s="209" t="s">
        <v>19</v>
      </c>
      <c r="AO639" s="234" t="s">
        <v>306</v>
      </c>
      <c r="AP639" s="235" t="s">
        <v>306</v>
      </c>
      <c r="AQ639" s="209" t="s">
        <v>19</v>
      </c>
      <c r="AR639" s="209" t="s">
        <v>25</v>
      </c>
      <c r="AS639" s="234" t="s">
        <v>306</v>
      </c>
      <c r="AT639" s="209" t="s">
        <v>19</v>
      </c>
      <c r="AU639" s="209" t="s">
        <v>19</v>
      </c>
      <c r="AV639" s="234" t="s">
        <v>19</v>
      </c>
      <c r="AW639" s="209" t="s">
        <v>19</v>
      </c>
      <c r="AX639" s="209" t="s">
        <v>19</v>
      </c>
      <c r="AY639" s="234" t="s">
        <v>19</v>
      </c>
      <c r="AZ639" s="209" t="s">
        <v>19</v>
      </c>
      <c r="BA639" s="209" t="s">
        <v>25</v>
      </c>
      <c r="BB639" s="234" t="s">
        <v>25</v>
      </c>
      <c r="BC639" s="235" t="s">
        <v>306</v>
      </c>
      <c r="BD639" s="188"/>
    </row>
    <row r="640" spans="1:56" ht="12.75" customHeight="1" x14ac:dyDescent="0.25">
      <c r="A640" s="238">
        <v>45264.751226006949</v>
      </c>
      <c r="B640" s="233" t="s">
        <v>384</v>
      </c>
      <c r="C640" s="209" t="s">
        <v>587</v>
      </c>
      <c r="D640" s="232" t="s">
        <v>17</v>
      </c>
      <c r="E640" s="232" t="s">
        <v>515</v>
      </c>
      <c r="F640" s="209" t="s">
        <v>1211</v>
      </c>
      <c r="G640" s="232" t="s">
        <v>24</v>
      </c>
      <c r="H640" s="232">
        <v>12</v>
      </c>
      <c r="I640" s="209" t="s">
        <v>518</v>
      </c>
      <c r="J640" s="209" t="s">
        <v>560</v>
      </c>
      <c r="K640" s="209" t="s">
        <v>560</v>
      </c>
      <c r="L640" s="209" t="s">
        <v>531</v>
      </c>
      <c r="M640" s="188"/>
      <c r="N640" s="188"/>
      <c r="O640" s="188"/>
      <c r="P640" s="188"/>
      <c r="Q640" s="209" t="s">
        <v>25</v>
      </c>
      <c r="R640" s="209" t="s">
        <v>25</v>
      </c>
      <c r="S640" s="234" t="s">
        <v>25</v>
      </c>
      <c r="T640" s="209" t="s">
        <v>25</v>
      </c>
      <c r="U640" s="209" t="s">
        <v>25</v>
      </c>
      <c r="V640" s="234" t="s">
        <v>25</v>
      </c>
      <c r="W640" s="209" t="s">
        <v>19</v>
      </c>
      <c r="X640" s="209" t="s">
        <v>25</v>
      </c>
      <c r="Y640" s="234" t="s">
        <v>306</v>
      </c>
      <c r="Z640" s="209" t="s">
        <v>25</v>
      </c>
      <c r="AA640" s="209" t="s">
        <v>25</v>
      </c>
      <c r="AB640" s="234" t="s">
        <v>25</v>
      </c>
      <c r="AC640" s="235" t="s">
        <v>25</v>
      </c>
      <c r="AD640" s="209" t="s">
        <v>19</v>
      </c>
      <c r="AE640" s="209" t="s">
        <v>19</v>
      </c>
      <c r="AF640" s="234" t="s">
        <v>19</v>
      </c>
      <c r="AG640" s="209" t="s">
        <v>19</v>
      </c>
      <c r="AH640" s="209" t="s">
        <v>19</v>
      </c>
      <c r="AI640" s="234" t="s">
        <v>19</v>
      </c>
      <c r="AJ640" s="209" t="s">
        <v>19</v>
      </c>
      <c r="AK640" s="209" t="s">
        <v>19</v>
      </c>
      <c r="AL640" s="234" t="s">
        <v>19</v>
      </c>
      <c r="AM640" s="209" t="s">
        <v>19</v>
      </c>
      <c r="AN640" s="209" t="s">
        <v>19</v>
      </c>
      <c r="AO640" s="234" t="s">
        <v>19</v>
      </c>
      <c r="AP640" s="235" t="s">
        <v>19</v>
      </c>
      <c r="AQ640" s="209" t="s">
        <v>19</v>
      </c>
      <c r="AR640" s="209" t="s">
        <v>25</v>
      </c>
      <c r="AS640" s="234" t="s">
        <v>306</v>
      </c>
      <c r="AT640" s="209" t="s">
        <v>19</v>
      </c>
      <c r="AU640" s="209" t="s">
        <v>19</v>
      </c>
      <c r="AV640" s="234" t="s">
        <v>19</v>
      </c>
      <c r="AW640" s="209" t="s">
        <v>19</v>
      </c>
      <c r="AX640" s="209" t="s">
        <v>19</v>
      </c>
      <c r="AY640" s="234" t="s">
        <v>19</v>
      </c>
      <c r="AZ640" s="209" t="s">
        <v>19</v>
      </c>
      <c r="BA640" s="209" t="s">
        <v>25</v>
      </c>
      <c r="BB640" s="234" t="s">
        <v>25</v>
      </c>
      <c r="BC640" s="235" t="s">
        <v>306</v>
      </c>
      <c r="BD640" s="188"/>
    </row>
    <row r="641" spans="1:56" ht="12.75" customHeight="1" x14ac:dyDescent="0.25">
      <c r="A641" s="238">
        <v>45264.765833379628</v>
      </c>
      <c r="B641" s="233" t="s">
        <v>384</v>
      </c>
      <c r="C641" s="209" t="s">
        <v>587</v>
      </c>
      <c r="D641" s="232" t="s">
        <v>17</v>
      </c>
      <c r="E641" s="232" t="s">
        <v>515</v>
      </c>
      <c r="F641" s="209" t="s">
        <v>1212</v>
      </c>
      <c r="G641" s="232" t="s">
        <v>18</v>
      </c>
      <c r="H641" s="232">
        <v>12</v>
      </c>
      <c r="I641" s="209" t="s">
        <v>518</v>
      </c>
      <c r="J641" s="209" t="s">
        <v>560</v>
      </c>
      <c r="K641" s="209" t="s">
        <v>560</v>
      </c>
      <c r="L641" s="209" t="s">
        <v>531</v>
      </c>
      <c r="M641" s="188"/>
      <c r="N641" s="188"/>
      <c r="O641" s="188"/>
      <c r="P641" s="188"/>
      <c r="Q641" s="209" t="s">
        <v>25</v>
      </c>
      <c r="R641" s="209" t="s">
        <v>25</v>
      </c>
      <c r="S641" s="234" t="s">
        <v>25</v>
      </c>
      <c r="T641" s="209" t="s">
        <v>306</v>
      </c>
      <c r="U641" s="209" t="s">
        <v>25</v>
      </c>
      <c r="V641" s="234" t="s">
        <v>25</v>
      </c>
      <c r="W641" s="209" t="s">
        <v>25</v>
      </c>
      <c r="X641" s="209" t="s">
        <v>25</v>
      </c>
      <c r="Y641" s="234" t="s">
        <v>25</v>
      </c>
      <c r="Z641" s="209" t="s">
        <v>25</v>
      </c>
      <c r="AA641" s="209" t="s">
        <v>25</v>
      </c>
      <c r="AB641" s="234" t="s">
        <v>25</v>
      </c>
      <c r="AC641" s="235" t="s">
        <v>25</v>
      </c>
      <c r="AD641" s="209" t="s">
        <v>306</v>
      </c>
      <c r="AE641" s="209" t="s">
        <v>25</v>
      </c>
      <c r="AF641" s="234" t="s">
        <v>25</v>
      </c>
      <c r="AG641" s="209" t="s">
        <v>25</v>
      </c>
      <c r="AH641" s="209" t="s">
        <v>306</v>
      </c>
      <c r="AI641" s="234" t="s">
        <v>25</v>
      </c>
      <c r="AJ641" s="209" t="s">
        <v>25</v>
      </c>
      <c r="AK641" s="209" t="s">
        <v>25</v>
      </c>
      <c r="AL641" s="234" t="s">
        <v>25</v>
      </c>
      <c r="AM641" s="209" t="s">
        <v>25</v>
      </c>
      <c r="AN641" s="209" t="s">
        <v>25</v>
      </c>
      <c r="AO641" s="234" t="s">
        <v>25</v>
      </c>
      <c r="AP641" s="235" t="s">
        <v>25</v>
      </c>
      <c r="AQ641" s="209" t="s">
        <v>25</v>
      </c>
      <c r="AR641" s="209" t="s">
        <v>25</v>
      </c>
      <c r="AS641" s="234" t="s">
        <v>25</v>
      </c>
      <c r="AT641" s="209" t="s">
        <v>25</v>
      </c>
      <c r="AU641" s="209" t="s">
        <v>306</v>
      </c>
      <c r="AV641" s="234" t="s">
        <v>25</v>
      </c>
      <c r="AW641" s="209" t="s">
        <v>306</v>
      </c>
      <c r="AX641" s="209" t="s">
        <v>306</v>
      </c>
      <c r="AY641" s="234" t="s">
        <v>306</v>
      </c>
      <c r="AZ641" s="209" t="s">
        <v>306</v>
      </c>
      <c r="BA641" s="209" t="s">
        <v>25</v>
      </c>
      <c r="BB641" s="234" t="s">
        <v>25</v>
      </c>
      <c r="BC641" s="235" t="s">
        <v>25</v>
      </c>
      <c r="BD641" s="188"/>
    </row>
    <row r="642" spans="1:56" ht="12.75" customHeight="1" x14ac:dyDescent="0.25">
      <c r="A642" s="238">
        <v>45264.933253402778</v>
      </c>
      <c r="B642" s="233" t="s">
        <v>384</v>
      </c>
      <c r="C642" s="209" t="s">
        <v>587</v>
      </c>
      <c r="D642" s="232" t="s">
        <v>17</v>
      </c>
      <c r="E642" s="232" t="s">
        <v>515</v>
      </c>
      <c r="F642" s="209" t="s">
        <v>1213</v>
      </c>
      <c r="G642" s="232" t="s">
        <v>24</v>
      </c>
      <c r="H642" s="232">
        <v>12</v>
      </c>
      <c r="I642" s="209" t="s">
        <v>518</v>
      </c>
      <c r="J642" s="209" t="s">
        <v>560</v>
      </c>
      <c r="K642" s="209" t="s">
        <v>560</v>
      </c>
      <c r="L642" s="209" t="s">
        <v>531</v>
      </c>
      <c r="M642" s="188"/>
      <c r="N642" s="188"/>
      <c r="O642" s="188"/>
      <c r="P642" s="188"/>
      <c r="Q642" s="209" t="s">
        <v>25</v>
      </c>
      <c r="R642" s="209" t="s">
        <v>25</v>
      </c>
      <c r="S642" s="234" t="s">
        <v>25</v>
      </c>
      <c r="T642" s="209" t="s">
        <v>306</v>
      </c>
      <c r="U642" s="209" t="s">
        <v>306</v>
      </c>
      <c r="V642" s="234" t="s">
        <v>306</v>
      </c>
      <c r="W642" s="209" t="s">
        <v>306</v>
      </c>
      <c r="X642" s="209" t="s">
        <v>306</v>
      </c>
      <c r="Y642" s="234" t="s">
        <v>306</v>
      </c>
      <c r="Z642" s="209" t="s">
        <v>25</v>
      </c>
      <c r="AA642" s="209" t="s">
        <v>306</v>
      </c>
      <c r="AB642" s="234" t="s">
        <v>25</v>
      </c>
      <c r="AC642" s="235" t="s">
        <v>306</v>
      </c>
      <c r="AD642" s="209" t="s">
        <v>25</v>
      </c>
      <c r="AE642" s="209" t="s">
        <v>25</v>
      </c>
      <c r="AF642" s="234" t="s">
        <v>25</v>
      </c>
      <c r="AG642" s="209" t="s">
        <v>25</v>
      </c>
      <c r="AH642" s="209" t="s">
        <v>306</v>
      </c>
      <c r="AI642" s="234" t="s">
        <v>25</v>
      </c>
      <c r="AJ642" s="209" t="s">
        <v>25</v>
      </c>
      <c r="AK642" s="209" t="s">
        <v>306</v>
      </c>
      <c r="AL642" s="234" t="s">
        <v>25</v>
      </c>
      <c r="AM642" s="209" t="s">
        <v>306</v>
      </c>
      <c r="AN642" s="209" t="s">
        <v>306</v>
      </c>
      <c r="AO642" s="234" t="s">
        <v>306</v>
      </c>
      <c r="AP642" s="235" t="s">
        <v>25</v>
      </c>
      <c r="AQ642" s="209" t="s">
        <v>25</v>
      </c>
      <c r="AR642" s="209" t="s">
        <v>25</v>
      </c>
      <c r="AS642" s="234" t="s">
        <v>25</v>
      </c>
      <c r="AT642" s="209" t="s">
        <v>25</v>
      </c>
      <c r="AU642" s="209" t="s">
        <v>25</v>
      </c>
      <c r="AV642" s="234" t="s">
        <v>25</v>
      </c>
      <c r="AW642" s="209" t="s">
        <v>25</v>
      </c>
      <c r="AX642" s="209" t="s">
        <v>306</v>
      </c>
      <c r="AY642" s="234" t="s">
        <v>25</v>
      </c>
      <c r="AZ642" s="209" t="s">
        <v>306</v>
      </c>
      <c r="BA642" s="209" t="s">
        <v>306</v>
      </c>
      <c r="BB642" s="234" t="s">
        <v>306</v>
      </c>
      <c r="BC642" s="235" t="s">
        <v>25</v>
      </c>
      <c r="BD642" s="188"/>
    </row>
    <row r="643" spans="1:56" ht="12.75" customHeight="1" x14ac:dyDescent="0.25">
      <c r="A643" s="238">
        <v>45265.408775787037</v>
      </c>
      <c r="B643" s="233" t="s">
        <v>384</v>
      </c>
      <c r="C643" s="209" t="s">
        <v>587</v>
      </c>
      <c r="D643" s="232" t="s">
        <v>17</v>
      </c>
      <c r="E643" s="232" t="s">
        <v>515</v>
      </c>
      <c r="F643" s="209" t="s">
        <v>1214</v>
      </c>
      <c r="G643" s="232" t="s">
        <v>18</v>
      </c>
      <c r="H643" s="232">
        <v>13</v>
      </c>
      <c r="I643" s="209" t="s">
        <v>518</v>
      </c>
      <c r="J643" s="209" t="s">
        <v>560</v>
      </c>
      <c r="K643" s="209" t="s">
        <v>560</v>
      </c>
      <c r="L643" s="209" t="s">
        <v>518</v>
      </c>
      <c r="M643" s="209" t="s">
        <v>412</v>
      </c>
      <c r="N643" s="209" t="s">
        <v>589</v>
      </c>
      <c r="O643" s="209"/>
      <c r="P643" s="209"/>
      <c r="Q643" s="209" t="s">
        <v>25</v>
      </c>
      <c r="R643" s="209" t="s">
        <v>25</v>
      </c>
      <c r="S643" s="234" t="s">
        <v>25</v>
      </c>
      <c r="T643" s="209" t="s">
        <v>306</v>
      </c>
      <c r="U643" s="209" t="s">
        <v>306</v>
      </c>
      <c r="V643" s="234" t="s">
        <v>306</v>
      </c>
      <c r="W643" s="209" t="s">
        <v>306</v>
      </c>
      <c r="X643" s="209" t="s">
        <v>25</v>
      </c>
      <c r="Y643" s="234" t="s">
        <v>25</v>
      </c>
      <c r="Z643" s="209" t="s">
        <v>25</v>
      </c>
      <c r="AA643" s="209" t="s">
        <v>306</v>
      </c>
      <c r="AB643" s="234" t="s">
        <v>25</v>
      </c>
      <c r="AC643" s="235" t="s">
        <v>25</v>
      </c>
      <c r="AD643" s="209" t="s">
        <v>306</v>
      </c>
      <c r="AE643" s="209" t="s">
        <v>25</v>
      </c>
      <c r="AF643" s="234" t="s">
        <v>25</v>
      </c>
      <c r="AG643" s="209" t="s">
        <v>306</v>
      </c>
      <c r="AH643" s="209" t="s">
        <v>306</v>
      </c>
      <c r="AI643" s="234" t="s">
        <v>306</v>
      </c>
      <c r="AJ643" s="209" t="s">
        <v>25</v>
      </c>
      <c r="AK643" s="209" t="s">
        <v>306</v>
      </c>
      <c r="AL643" s="234" t="s">
        <v>25</v>
      </c>
      <c r="AM643" s="209" t="s">
        <v>19</v>
      </c>
      <c r="AN643" s="209" t="s">
        <v>25</v>
      </c>
      <c r="AO643" s="234" t="s">
        <v>306</v>
      </c>
      <c r="AP643" s="235" t="s">
        <v>306</v>
      </c>
      <c r="AQ643" s="209" t="s">
        <v>306</v>
      </c>
      <c r="AR643" s="209" t="s">
        <v>306</v>
      </c>
      <c r="AS643" s="234" t="s">
        <v>306</v>
      </c>
      <c r="AT643" s="209" t="s">
        <v>25</v>
      </c>
      <c r="AU643" s="209" t="s">
        <v>25</v>
      </c>
      <c r="AV643" s="234" t="s">
        <v>25</v>
      </c>
      <c r="AW643" s="209" t="s">
        <v>19</v>
      </c>
      <c r="AX643" s="209" t="s">
        <v>306</v>
      </c>
      <c r="AY643" s="234" t="s">
        <v>306</v>
      </c>
      <c r="AZ643" s="209" t="s">
        <v>25</v>
      </c>
      <c r="BA643" s="209" t="s">
        <v>306</v>
      </c>
      <c r="BB643" s="234" t="s">
        <v>25</v>
      </c>
      <c r="BC643" s="235" t="s">
        <v>306</v>
      </c>
      <c r="BD643" s="188"/>
    </row>
    <row r="644" spans="1:56" ht="12.75" customHeight="1" x14ac:dyDescent="0.25">
      <c r="A644" s="238">
        <v>45265.415543599534</v>
      </c>
      <c r="B644" s="233" t="s">
        <v>384</v>
      </c>
      <c r="C644" s="209" t="s">
        <v>587</v>
      </c>
      <c r="D644" s="232" t="s">
        <v>17</v>
      </c>
      <c r="E644" s="232" t="s">
        <v>515</v>
      </c>
      <c r="F644" s="209" t="s">
        <v>1215</v>
      </c>
      <c r="G644" s="232" t="s">
        <v>18</v>
      </c>
      <c r="H644" s="232">
        <v>12</v>
      </c>
      <c r="I644" s="209" t="s">
        <v>518</v>
      </c>
      <c r="J644" s="209" t="s">
        <v>560</v>
      </c>
      <c r="K644" s="209" t="s">
        <v>560</v>
      </c>
      <c r="L644" s="209" t="s">
        <v>531</v>
      </c>
      <c r="M644" s="188"/>
      <c r="N644" s="188"/>
      <c r="O644" s="188"/>
      <c r="P644" s="188"/>
      <c r="Q644" s="209" t="s">
        <v>19</v>
      </c>
      <c r="R644" s="209" t="s">
        <v>19</v>
      </c>
      <c r="S644" s="234" t="s">
        <v>19</v>
      </c>
      <c r="T644" s="209" t="s">
        <v>19</v>
      </c>
      <c r="U644" s="209" t="s">
        <v>19</v>
      </c>
      <c r="V644" s="234" t="s">
        <v>19</v>
      </c>
      <c r="W644" s="209" t="s">
        <v>19</v>
      </c>
      <c r="X644" s="209" t="s">
        <v>19</v>
      </c>
      <c r="Y644" s="234" t="s">
        <v>19</v>
      </c>
      <c r="Z644" s="209" t="s">
        <v>19</v>
      </c>
      <c r="AA644" s="209" t="s">
        <v>19</v>
      </c>
      <c r="AB644" s="234" t="s">
        <v>19</v>
      </c>
      <c r="AC644" s="235" t="s">
        <v>19</v>
      </c>
      <c r="AD644" s="209" t="s">
        <v>19</v>
      </c>
      <c r="AE644" s="209" t="s">
        <v>19</v>
      </c>
      <c r="AF644" s="234" t="s">
        <v>19</v>
      </c>
      <c r="AG644" s="209" t="s">
        <v>19</v>
      </c>
      <c r="AH644" s="209" t="s">
        <v>19</v>
      </c>
      <c r="AI644" s="234" t="s">
        <v>19</v>
      </c>
      <c r="AJ644" s="209" t="s">
        <v>19</v>
      </c>
      <c r="AK644" s="209" t="s">
        <v>19</v>
      </c>
      <c r="AL644" s="234" t="s">
        <v>19</v>
      </c>
      <c r="AM644" s="209" t="s">
        <v>19</v>
      </c>
      <c r="AN644" s="209" t="s">
        <v>19</v>
      </c>
      <c r="AO644" s="234" t="s">
        <v>19</v>
      </c>
      <c r="AP644" s="235" t="s">
        <v>19</v>
      </c>
      <c r="AQ644" s="209" t="s">
        <v>19</v>
      </c>
      <c r="AR644" s="209" t="s">
        <v>19</v>
      </c>
      <c r="AS644" s="234" t="s">
        <v>19</v>
      </c>
      <c r="AT644" s="209" t="s">
        <v>19</v>
      </c>
      <c r="AU644" s="209" t="s">
        <v>25</v>
      </c>
      <c r="AV644" s="234" t="s">
        <v>306</v>
      </c>
      <c r="AW644" s="209" t="s">
        <v>25</v>
      </c>
      <c r="AX644" s="209" t="s">
        <v>19</v>
      </c>
      <c r="AY644" s="234" t="s">
        <v>306</v>
      </c>
      <c r="AZ644" s="209" t="s">
        <v>19</v>
      </c>
      <c r="BA644" s="209" t="s">
        <v>25</v>
      </c>
      <c r="BB644" s="234" t="s">
        <v>25</v>
      </c>
      <c r="BC644" s="235" t="s">
        <v>25</v>
      </c>
      <c r="BD644" s="188"/>
    </row>
    <row r="645" spans="1:56" ht="12.75" customHeight="1" x14ac:dyDescent="0.25">
      <c r="A645" s="238">
        <v>45265.417810312501</v>
      </c>
      <c r="B645" s="233" t="s">
        <v>384</v>
      </c>
      <c r="C645" s="209" t="s">
        <v>587</v>
      </c>
      <c r="D645" s="232" t="s">
        <v>17</v>
      </c>
      <c r="E645" s="232" t="s">
        <v>515</v>
      </c>
      <c r="F645" s="209" t="s">
        <v>1216</v>
      </c>
      <c r="G645" s="232" t="s">
        <v>18</v>
      </c>
      <c r="H645" s="232">
        <v>12</v>
      </c>
      <c r="I645" s="209" t="s">
        <v>518</v>
      </c>
      <c r="J645" s="209" t="s">
        <v>560</v>
      </c>
      <c r="K645" s="209" t="s">
        <v>560</v>
      </c>
      <c r="L645" s="209" t="s">
        <v>531</v>
      </c>
      <c r="M645" s="188"/>
      <c r="N645" s="188"/>
      <c r="O645" s="188"/>
      <c r="P645" s="188"/>
      <c r="Q645" s="209" t="s">
        <v>25</v>
      </c>
      <c r="R645" s="209" t="s">
        <v>25</v>
      </c>
      <c r="S645" s="234" t="s">
        <v>25</v>
      </c>
      <c r="T645" s="209" t="s">
        <v>306</v>
      </c>
      <c r="U645" s="209" t="s">
        <v>306</v>
      </c>
      <c r="V645" s="234" t="s">
        <v>306</v>
      </c>
      <c r="W645" s="209" t="s">
        <v>306</v>
      </c>
      <c r="X645" s="209" t="s">
        <v>306</v>
      </c>
      <c r="Y645" s="234" t="s">
        <v>306</v>
      </c>
      <c r="Z645" s="209" t="s">
        <v>25</v>
      </c>
      <c r="AA645" s="209" t="s">
        <v>19</v>
      </c>
      <c r="AB645" s="234" t="s">
        <v>306</v>
      </c>
      <c r="AC645" s="235" t="s">
        <v>306</v>
      </c>
      <c r="AD645" s="209" t="s">
        <v>25</v>
      </c>
      <c r="AE645" s="209" t="s">
        <v>25</v>
      </c>
      <c r="AF645" s="234" t="s">
        <v>25</v>
      </c>
      <c r="AG645" s="209" t="s">
        <v>25</v>
      </c>
      <c r="AH645" s="209" t="s">
        <v>306</v>
      </c>
      <c r="AI645" s="234" t="s">
        <v>25</v>
      </c>
      <c r="AJ645" s="209" t="s">
        <v>306</v>
      </c>
      <c r="AK645" s="209" t="s">
        <v>25</v>
      </c>
      <c r="AL645" s="234" t="s">
        <v>25</v>
      </c>
      <c r="AM645" s="209" t="s">
        <v>306</v>
      </c>
      <c r="AN645" s="209" t="s">
        <v>25</v>
      </c>
      <c r="AO645" s="234" t="s">
        <v>25</v>
      </c>
      <c r="AP645" s="235" t="s">
        <v>25</v>
      </c>
      <c r="AQ645" s="209" t="s">
        <v>25</v>
      </c>
      <c r="AR645" s="209" t="s">
        <v>25</v>
      </c>
      <c r="AS645" s="234" t="s">
        <v>25</v>
      </c>
      <c r="AT645" s="209" t="s">
        <v>306</v>
      </c>
      <c r="AU645" s="209" t="s">
        <v>306</v>
      </c>
      <c r="AV645" s="234" t="s">
        <v>306</v>
      </c>
      <c r="AW645" s="209" t="s">
        <v>25</v>
      </c>
      <c r="AX645" s="209" t="s">
        <v>25</v>
      </c>
      <c r="AY645" s="234" t="s">
        <v>25</v>
      </c>
      <c r="AZ645" s="209" t="s">
        <v>25</v>
      </c>
      <c r="BA645" s="209" t="s">
        <v>25</v>
      </c>
      <c r="BB645" s="234" t="s">
        <v>25</v>
      </c>
      <c r="BC645" s="235" t="s">
        <v>25</v>
      </c>
      <c r="BD645" s="188"/>
    </row>
    <row r="646" spans="1:56" ht="12.75" customHeight="1" x14ac:dyDescent="0.25">
      <c r="A646" s="238">
        <v>45265.427168680559</v>
      </c>
      <c r="B646" s="233" t="s">
        <v>384</v>
      </c>
      <c r="C646" s="209" t="s">
        <v>587</v>
      </c>
      <c r="D646" s="232" t="s">
        <v>17</v>
      </c>
      <c r="E646" s="232" t="s">
        <v>515</v>
      </c>
      <c r="F646" s="209" t="s">
        <v>1217</v>
      </c>
      <c r="G646" s="232" t="s">
        <v>18</v>
      </c>
      <c r="H646" s="232">
        <v>11</v>
      </c>
      <c r="I646" s="209" t="s">
        <v>518</v>
      </c>
      <c r="J646" s="209" t="s">
        <v>560</v>
      </c>
      <c r="K646" s="209" t="s">
        <v>560</v>
      </c>
      <c r="L646" s="209" t="s">
        <v>531</v>
      </c>
      <c r="M646" s="188"/>
      <c r="N646" s="188"/>
      <c r="O646" s="188"/>
      <c r="P646" s="188"/>
      <c r="Q646" s="209" t="s">
        <v>25</v>
      </c>
      <c r="R646" s="209" t="s">
        <v>25</v>
      </c>
      <c r="S646" s="234" t="s">
        <v>25</v>
      </c>
      <c r="T646" s="209" t="s">
        <v>306</v>
      </c>
      <c r="U646" s="209" t="s">
        <v>19</v>
      </c>
      <c r="V646" s="234" t="s">
        <v>306</v>
      </c>
      <c r="W646" s="209" t="s">
        <v>25</v>
      </c>
      <c r="X646" s="209" t="s">
        <v>25</v>
      </c>
      <c r="Y646" s="234" t="s">
        <v>25</v>
      </c>
      <c r="Z646" s="209" t="s">
        <v>306</v>
      </c>
      <c r="AA646" s="209" t="s">
        <v>19</v>
      </c>
      <c r="AB646" s="234" t="s">
        <v>306</v>
      </c>
      <c r="AC646" s="235" t="s">
        <v>306</v>
      </c>
      <c r="AD646" s="209" t="s">
        <v>306</v>
      </c>
      <c r="AE646" s="209" t="s">
        <v>25</v>
      </c>
      <c r="AF646" s="234" t="s">
        <v>25</v>
      </c>
      <c r="AG646" s="209" t="s">
        <v>25</v>
      </c>
      <c r="AH646" s="209" t="s">
        <v>25</v>
      </c>
      <c r="AI646" s="234" t="s">
        <v>25</v>
      </c>
      <c r="AJ646" s="209" t="s">
        <v>306</v>
      </c>
      <c r="AK646" s="209" t="s">
        <v>25</v>
      </c>
      <c r="AL646" s="234" t="s">
        <v>25</v>
      </c>
      <c r="AM646" s="209" t="s">
        <v>25</v>
      </c>
      <c r="AN646" s="209" t="s">
        <v>25</v>
      </c>
      <c r="AO646" s="234" t="s">
        <v>25</v>
      </c>
      <c r="AP646" s="235" t="s">
        <v>25</v>
      </c>
      <c r="AQ646" s="209" t="s">
        <v>25</v>
      </c>
      <c r="AR646" s="209" t="s">
        <v>25</v>
      </c>
      <c r="AS646" s="234" t="s">
        <v>25</v>
      </c>
      <c r="AT646" s="209" t="s">
        <v>25</v>
      </c>
      <c r="AU646" s="209" t="s">
        <v>25</v>
      </c>
      <c r="AV646" s="234" t="s">
        <v>25</v>
      </c>
      <c r="AW646" s="209" t="s">
        <v>25</v>
      </c>
      <c r="AX646" s="209" t="s">
        <v>25</v>
      </c>
      <c r="AY646" s="234" t="s">
        <v>25</v>
      </c>
      <c r="AZ646" s="209" t="s">
        <v>25</v>
      </c>
      <c r="BA646" s="209" t="s">
        <v>25</v>
      </c>
      <c r="BB646" s="234" t="s">
        <v>306</v>
      </c>
      <c r="BC646" s="235" t="s">
        <v>306</v>
      </c>
      <c r="BD646" s="188"/>
    </row>
    <row r="647" spans="1:56" ht="12.75" customHeight="1" x14ac:dyDescent="0.25">
      <c r="A647" s="238">
        <v>45265.477450590275</v>
      </c>
      <c r="B647" s="233" t="s">
        <v>384</v>
      </c>
      <c r="C647" s="209" t="s">
        <v>587</v>
      </c>
      <c r="D647" s="232" t="s">
        <v>17</v>
      </c>
      <c r="E647" s="232" t="s">
        <v>515</v>
      </c>
      <c r="F647" s="209" t="s">
        <v>1218</v>
      </c>
      <c r="G647" s="232" t="s">
        <v>18</v>
      </c>
      <c r="H647" s="232">
        <v>11</v>
      </c>
      <c r="I647" s="209" t="s">
        <v>518</v>
      </c>
      <c r="J647" s="209" t="s">
        <v>560</v>
      </c>
      <c r="K647" s="209" t="s">
        <v>560</v>
      </c>
      <c r="L647" s="209" t="s">
        <v>531</v>
      </c>
      <c r="M647" s="188"/>
      <c r="N647" s="188"/>
      <c r="O647" s="188"/>
      <c r="P647" s="188"/>
      <c r="Q647" s="209" t="s">
        <v>25</v>
      </c>
      <c r="R647" s="209" t="s">
        <v>25</v>
      </c>
      <c r="S647" s="234" t="s">
        <v>25</v>
      </c>
      <c r="T647" s="209" t="s">
        <v>25</v>
      </c>
      <c r="U647" s="209" t="s">
        <v>25</v>
      </c>
      <c r="V647" s="234" t="s">
        <v>25</v>
      </c>
      <c r="W647" s="209" t="s">
        <v>25</v>
      </c>
      <c r="X647" s="209" t="s">
        <v>25</v>
      </c>
      <c r="Y647" s="234" t="s">
        <v>25</v>
      </c>
      <c r="Z647" s="209" t="s">
        <v>19</v>
      </c>
      <c r="AA647" s="209" t="s">
        <v>25</v>
      </c>
      <c r="AB647" s="234" t="s">
        <v>306</v>
      </c>
      <c r="AC647" s="235" t="s">
        <v>25</v>
      </c>
      <c r="AD647" s="209" t="s">
        <v>25</v>
      </c>
      <c r="AE647" s="209" t="s">
        <v>25</v>
      </c>
      <c r="AF647" s="234" t="s">
        <v>25</v>
      </c>
      <c r="AG647" s="209" t="s">
        <v>25</v>
      </c>
      <c r="AH647" s="209" t="s">
        <v>19</v>
      </c>
      <c r="AI647" s="234" t="s">
        <v>306</v>
      </c>
      <c r="AJ647" s="209" t="s">
        <v>19</v>
      </c>
      <c r="AK647" s="209" t="s">
        <v>19</v>
      </c>
      <c r="AL647" s="234" t="s">
        <v>19</v>
      </c>
      <c r="AM647" s="209" t="s">
        <v>19</v>
      </c>
      <c r="AN647" s="209" t="s">
        <v>19</v>
      </c>
      <c r="AO647" s="234" t="s">
        <v>19</v>
      </c>
      <c r="AP647" s="235" t="s">
        <v>306</v>
      </c>
      <c r="AQ647" s="209" t="s">
        <v>25</v>
      </c>
      <c r="AR647" s="209" t="s">
        <v>25</v>
      </c>
      <c r="AS647" s="234" t="s">
        <v>25</v>
      </c>
      <c r="AT647" s="209" t="s">
        <v>25</v>
      </c>
      <c r="AU647" s="209" t="s">
        <v>25</v>
      </c>
      <c r="AV647" s="234" t="s">
        <v>25</v>
      </c>
      <c r="AW647" s="209" t="s">
        <v>25</v>
      </c>
      <c r="AX647" s="209" t="s">
        <v>25</v>
      </c>
      <c r="AY647" s="234" t="s">
        <v>25</v>
      </c>
      <c r="AZ647" s="209" t="s">
        <v>25</v>
      </c>
      <c r="BA647" s="209" t="s">
        <v>25</v>
      </c>
      <c r="BB647" s="234" t="s">
        <v>306</v>
      </c>
      <c r="BC647" s="235" t="s">
        <v>306</v>
      </c>
      <c r="BD647" s="188"/>
    </row>
    <row r="648" spans="1:56" ht="12.75" customHeight="1" x14ac:dyDescent="0.25">
      <c r="A648" s="238">
        <v>45265.522028333333</v>
      </c>
      <c r="B648" s="233" t="s">
        <v>384</v>
      </c>
      <c r="C648" s="209" t="s">
        <v>587</v>
      </c>
      <c r="D648" s="232" t="s">
        <v>17</v>
      </c>
      <c r="E648" s="232" t="s">
        <v>515</v>
      </c>
      <c r="F648" s="209" t="s">
        <v>1219</v>
      </c>
      <c r="G648" s="232" t="s">
        <v>24</v>
      </c>
      <c r="H648" s="232">
        <v>12</v>
      </c>
      <c r="I648" s="209" t="s">
        <v>518</v>
      </c>
      <c r="J648" s="209" t="s">
        <v>560</v>
      </c>
      <c r="K648" s="209" t="s">
        <v>560</v>
      </c>
      <c r="L648" s="209" t="s">
        <v>518</v>
      </c>
      <c r="M648" s="209" t="s">
        <v>412</v>
      </c>
      <c r="N648" s="209" t="s">
        <v>589</v>
      </c>
      <c r="O648" s="209"/>
      <c r="P648" s="209"/>
      <c r="Q648" s="209" t="s">
        <v>25</v>
      </c>
      <c r="R648" s="209" t="s">
        <v>306</v>
      </c>
      <c r="S648" s="234" t="s">
        <v>25</v>
      </c>
      <c r="T648" s="209" t="s">
        <v>25</v>
      </c>
      <c r="U648" s="209" t="s">
        <v>25</v>
      </c>
      <c r="V648" s="234" t="s">
        <v>25</v>
      </c>
      <c r="W648" s="209" t="s">
        <v>306</v>
      </c>
      <c r="X648" s="209" t="s">
        <v>25</v>
      </c>
      <c r="Y648" s="234" t="s">
        <v>25</v>
      </c>
      <c r="Z648" s="209" t="s">
        <v>25</v>
      </c>
      <c r="AA648" s="209" t="s">
        <v>19</v>
      </c>
      <c r="AB648" s="234" t="s">
        <v>306</v>
      </c>
      <c r="AC648" s="235" t="s">
        <v>25</v>
      </c>
      <c r="AD648" s="209" t="s">
        <v>25</v>
      </c>
      <c r="AE648" s="209" t="s">
        <v>25</v>
      </c>
      <c r="AF648" s="234" t="s">
        <v>25</v>
      </c>
      <c r="AG648" s="209" t="s">
        <v>25</v>
      </c>
      <c r="AH648" s="209" t="s">
        <v>19</v>
      </c>
      <c r="AI648" s="234" t="s">
        <v>306</v>
      </c>
      <c r="AJ648" s="209" t="s">
        <v>19</v>
      </c>
      <c r="AK648" s="209" t="s">
        <v>25</v>
      </c>
      <c r="AL648" s="234" t="s">
        <v>306</v>
      </c>
      <c r="AM648" s="209" t="s">
        <v>19</v>
      </c>
      <c r="AN648" s="209" t="s">
        <v>25</v>
      </c>
      <c r="AO648" s="234" t="s">
        <v>306</v>
      </c>
      <c r="AP648" s="235" t="s">
        <v>306</v>
      </c>
      <c r="AQ648" s="209" t="s">
        <v>25</v>
      </c>
      <c r="AR648" s="209" t="s">
        <v>25</v>
      </c>
      <c r="AS648" s="234" t="s">
        <v>25</v>
      </c>
      <c r="AT648" s="209" t="s">
        <v>25</v>
      </c>
      <c r="AU648" s="209" t="s">
        <v>25</v>
      </c>
      <c r="AV648" s="234" t="s">
        <v>25</v>
      </c>
      <c r="AW648" s="209" t="s">
        <v>25</v>
      </c>
      <c r="AX648" s="209" t="s">
        <v>19</v>
      </c>
      <c r="AY648" s="234" t="s">
        <v>306</v>
      </c>
      <c r="AZ648" s="209" t="s">
        <v>25</v>
      </c>
      <c r="BA648" s="209" t="s">
        <v>25</v>
      </c>
      <c r="BB648" s="234" t="s">
        <v>25</v>
      </c>
      <c r="BC648" s="235" t="s">
        <v>25</v>
      </c>
      <c r="BD648" s="188"/>
    </row>
    <row r="649" spans="1:56" ht="12.75" customHeight="1" x14ac:dyDescent="0.25">
      <c r="A649" s="238">
        <v>45265.524401817129</v>
      </c>
      <c r="B649" s="233" t="s">
        <v>384</v>
      </c>
      <c r="C649" s="209" t="s">
        <v>587</v>
      </c>
      <c r="D649" s="232" t="s">
        <v>17</v>
      </c>
      <c r="E649" s="232" t="s">
        <v>515</v>
      </c>
      <c r="F649" s="209" t="s">
        <v>1220</v>
      </c>
      <c r="G649" s="232" t="s">
        <v>18</v>
      </c>
      <c r="H649" s="232">
        <v>12</v>
      </c>
      <c r="I649" s="209" t="s">
        <v>518</v>
      </c>
      <c r="J649" s="209" t="s">
        <v>560</v>
      </c>
      <c r="K649" s="209" t="s">
        <v>560</v>
      </c>
      <c r="L649" s="209" t="s">
        <v>531</v>
      </c>
      <c r="M649" s="188"/>
      <c r="N649" s="188"/>
      <c r="O649" s="188"/>
      <c r="P649" s="188"/>
      <c r="Q649" s="209" t="s">
        <v>19</v>
      </c>
      <c r="R649" s="209" t="s">
        <v>25</v>
      </c>
      <c r="S649" s="234" t="s">
        <v>306</v>
      </c>
      <c r="T649" s="209" t="s">
        <v>306</v>
      </c>
      <c r="U649" s="209" t="s">
        <v>25</v>
      </c>
      <c r="V649" s="234" t="s">
        <v>25</v>
      </c>
      <c r="W649" s="209" t="s">
        <v>306</v>
      </c>
      <c r="X649" s="209" t="s">
        <v>306</v>
      </c>
      <c r="Y649" s="234" t="s">
        <v>306</v>
      </c>
      <c r="Z649" s="209" t="s">
        <v>25</v>
      </c>
      <c r="AA649" s="209" t="s">
        <v>25</v>
      </c>
      <c r="AB649" s="234" t="s">
        <v>25</v>
      </c>
      <c r="AC649" s="235" t="s">
        <v>306</v>
      </c>
      <c r="AD649" s="209" t="s">
        <v>306</v>
      </c>
      <c r="AE649" s="209" t="s">
        <v>19</v>
      </c>
      <c r="AF649" s="234" t="s">
        <v>306</v>
      </c>
      <c r="AG649" s="209" t="s">
        <v>25</v>
      </c>
      <c r="AH649" s="209" t="s">
        <v>25</v>
      </c>
      <c r="AI649" s="234" t="s">
        <v>25</v>
      </c>
      <c r="AJ649" s="209" t="s">
        <v>306</v>
      </c>
      <c r="AK649" s="209" t="s">
        <v>25</v>
      </c>
      <c r="AL649" s="234" t="s">
        <v>25</v>
      </c>
      <c r="AM649" s="209" t="s">
        <v>19</v>
      </c>
      <c r="AN649" s="209" t="s">
        <v>25</v>
      </c>
      <c r="AO649" s="234" t="s">
        <v>306</v>
      </c>
      <c r="AP649" s="235" t="s">
        <v>306</v>
      </c>
      <c r="AQ649" s="209" t="s">
        <v>19</v>
      </c>
      <c r="AR649" s="209" t="s">
        <v>306</v>
      </c>
      <c r="AS649" s="234" t="s">
        <v>306</v>
      </c>
      <c r="AT649" s="209" t="s">
        <v>25</v>
      </c>
      <c r="AU649" s="209" t="s">
        <v>306</v>
      </c>
      <c r="AV649" s="234" t="s">
        <v>25</v>
      </c>
      <c r="AW649" s="209" t="s">
        <v>25</v>
      </c>
      <c r="AX649" s="209" t="s">
        <v>19</v>
      </c>
      <c r="AY649" s="234" t="s">
        <v>306</v>
      </c>
      <c r="AZ649" s="209" t="s">
        <v>25</v>
      </c>
      <c r="BA649" s="209" t="s">
        <v>25</v>
      </c>
      <c r="BB649" s="234" t="s">
        <v>306</v>
      </c>
      <c r="BC649" s="235" t="s">
        <v>306</v>
      </c>
      <c r="BD649" s="188"/>
    </row>
    <row r="650" spans="1:56" ht="12.75" customHeight="1" x14ac:dyDescent="0.25">
      <c r="A650" s="238">
        <v>45265.527405277782</v>
      </c>
      <c r="B650" s="233" t="s">
        <v>384</v>
      </c>
      <c r="C650" s="209" t="s">
        <v>587</v>
      </c>
      <c r="D650" s="232" t="s">
        <v>17</v>
      </c>
      <c r="E650" s="232" t="s">
        <v>515</v>
      </c>
      <c r="F650" s="209" t="s">
        <v>1221</v>
      </c>
      <c r="G650" s="232" t="s">
        <v>24</v>
      </c>
      <c r="H650" s="232">
        <v>12</v>
      </c>
      <c r="I650" s="209" t="s">
        <v>518</v>
      </c>
      <c r="J650" s="209" t="s">
        <v>560</v>
      </c>
      <c r="K650" s="209" t="s">
        <v>560</v>
      </c>
      <c r="L650" s="209" t="s">
        <v>518</v>
      </c>
      <c r="M650" s="209" t="s">
        <v>412</v>
      </c>
      <c r="N650" s="209" t="s">
        <v>589</v>
      </c>
      <c r="O650" s="209"/>
      <c r="P650" s="209"/>
      <c r="Q650" s="209" t="s">
        <v>19</v>
      </c>
      <c r="R650" s="209" t="s">
        <v>19</v>
      </c>
      <c r="S650" s="234" t="s">
        <v>19</v>
      </c>
      <c r="T650" s="209" t="s">
        <v>306</v>
      </c>
      <c r="U650" s="209" t="s">
        <v>25</v>
      </c>
      <c r="V650" s="234" t="s">
        <v>25</v>
      </c>
      <c r="W650" s="209" t="s">
        <v>25</v>
      </c>
      <c r="X650" s="209" t="s">
        <v>306</v>
      </c>
      <c r="Y650" s="234" t="s">
        <v>25</v>
      </c>
      <c r="Z650" s="209" t="s">
        <v>19</v>
      </c>
      <c r="AA650" s="209" t="s">
        <v>306</v>
      </c>
      <c r="AB650" s="234" t="s">
        <v>306</v>
      </c>
      <c r="AC650" s="235" t="s">
        <v>306</v>
      </c>
      <c r="AD650" s="209" t="s">
        <v>25</v>
      </c>
      <c r="AE650" s="209" t="s">
        <v>306</v>
      </c>
      <c r="AF650" s="234" t="s">
        <v>25</v>
      </c>
      <c r="AG650" s="209" t="s">
        <v>19</v>
      </c>
      <c r="AH650" s="209" t="s">
        <v>25</v>
      </c>
      <c r="AI650" s="234" t="s">
        <v>306</v>
      </c>
      <c r="AJ650" s="209" t="s">
        <v>306</v>
      </c>
      <c r="AK650" s="209" t="s">
        <v>306</v>
      </c>
      <c r="AL650" s="234" t="s">
        <v>306</v>
      </c>
      <c r="AM650" s="209" t="s">
        <v>19</v>
      </c>
      <c r="AN650" s="209" t="s">
        <v>19</v>
      </c>
      <c r="AO650" s="234" t="s">
        <v>19</v>
      </c>
      <c r="AP650" s="235" t="s">
        <v>306</v>
      </c>
      <c r="AQ650" s="209" t="s">
        <v>25</v>
      </c>
      <c r="AR650" s="209" t="s">
        <v>306</v>
      </c>
      <c r="AS650" s="234" t="s">
        <v>25</v>
      </c>
      <c r="AT650" s="209" t="s">
        <v>19</v>
      </c>
      <c r="AU650" s="209" t="s">
        <v>25</v>
      </c>
      <c r="AV650" s="234" t="s">
        <v>306</v>
      </c>
      <c r="AW650" s="209" t="s">
        <v>25</v>
      </c>
      <c r="AX650" s="209" t="s">
        <v>306</v>
      </c>
      <c r="AY650" s="234" t="s">
        <v>25</v>
      </c>
      <c r="AZ650" s="209" t="s">
        <v>19</v>
      </c>
      <c r="BA650" s="209" t="s">
        <v>19</v>
      </c>
      <c r="BB650" s="234" t="s">
        <v>25</v>
      </c>
      <c r="BC650" s="235" t="s">
        <v>25</v>
      </c>
      <c r="BD650" s="188"/>
    </row>
    <row r="651" spans="1:56" ht="12.75" customHeight="1" x14ac:dyDescent="0.25">
      <c r="A651" s="238">
        <v>45265.529852013889</v>
      </c>
      <c r="B651" s="233" t="s">
        <v>384</v>
      </c>
      <c r="C651" s="209" t="s">
        <v>587</v>
      </c>
      <c r="D651" s="232" t="s">
        <v>17</v>
      </c>
      <c r="E651" s="232" t="s">
        <v>515</v>
      </c>
      <c r="F651" s="209" t="s">
        <v>1222</v>
      </c>
      <c r="G651" s="232" t="s">
        <v>18</v>
      </c>
      <c r="H651" s="232">
        <v>11</v>
      </c>
      <c r="I651" s="209" t="s">
        <v>518</v>
      </c>
      <c r="J651" s="209" t="s">
        <v>560</v>
      </c>
      <c r="K651" s="209" t="s">
        <v>560</v>
      </c>
      <c r="L651" s="209" t="s">
        <v>518</v>
      </c>
      <c r="M651" s="209" t="s">
        <v>412</v>
      </c>
      <c r="N651" s="209" t="s">
        <v>589</v>
      </c>
      <c r="O651" s="209"/>
      <c r="P651" s="209"/>
      <c r="Q651" s="209" t="s">
        <v>25</v>
      </c>
      <c r="R651" s="209" t="s">
        <v>25</v>
      </c>
      <c r="S651" s="234" t="s">
        <v>25</v>
      </c>
      <c r="T651" s="209" t="s">
        <v>25</v>
      </c>
      <c r="U651" s="209" t="s">
        <v>25</v>
      </c>
      <c r="V651" s="234" t="s">
        <v>25</v>
      </c>
      <c r="W651" s="209" t="s">
        <v>19</v>
      </c>
      <c r="X651" s="209" t="s">
        <v>19</v>
      </c>
      <c r="Y651" s="234" t="s">
        <v>19</v>
      </c>
      <c r="Z651" s="209" t="s">
        <v>25</v>
      </c>
      <c r="AA651" s="209" t="s">
        <v>306</v>
      </c>
      <c r="AB651" s="234" t="s">
        <v>25</v>
      </c>
      <c r="AC651" s="235" t="s">
        <v>306</v>
      </c>
      <c r="AD651" s="209" t="s">
        <v>306</v>
      </c>
      <c r="AE651" s="209" t="s">
        <v>25</v>
      </c>
      <c r="AF651" s="234" t="s">
        <v>25</v>
      </c>
      <c r="AG651" s="209" t="s">
        <v>25</v>
      </c>
      <c r="AH651" s="209" t="s">
        <v>306</v>
      </c>
      <c r="AI651" s="234" t="s">
        <v>25</v>
      </c>
      <c r="AJ651" s="209" t="s">
        <v>19</v>
      </c>
      <c r="AK651" s="209" t="s">
        <v>19</v>
      </c>
      <c r="AL651" s="234" t="s">
        <v>19</v>
      </c>
      <c r="AM651" s="209" t="s">
        <v>19</v>
      </c>
      <c r="AN651" s="209" t="s">
        <v>19</v>
      </c>
      <c r="AO651" s="234" t="s">
        <v>19</v>
      </c>
      <c r="AP651" s="235" t="s">
        <v>306</v>
      </c>
      <c r="AQ651" s="209" t="s">
        <v>25</v>
      </c>
      <c r="AR651" s="209" t="s">
        <v>25</v>
      </c>
      <c r="AS651" s="234" t="s">
        <v>25</v>
      </c>
      <c r="AT651" s="209" t="s">
        <v>25</v>
      </c>
      <c r="AU651" s="209" t="s">
        <v>25</v>
      </c>
      <c r="AV651" s="234" t="s">
        <v>25</v>
      </c>
      <c r="AW651" s="209" t="s">
        <v>25</v>
      </c>
      <c r="AX651" s="209" t="s">
        <v>25</v>
      </c>
      <c r="AY651" s="234" t="s">
        <v>25</v>
      </c>
      <c r="AZ651" s="209" t="s">
        <v>25</v>
      </c>
      <c r="BA651" s="209" t="s">
        <v>25</v>
      </c>
      <c r="BB651" s="234" t="s">
        <v>306</v>
      </c>
      <c r="BC651" s="235" t="s">
        <v>306</v>
      </c>
      <c r="BD651" s="188"/>
    </row>
    <row r="652" spans="1:56" ht="12.75" customHeight="1" x14ac:dyDescent="0.25">
      <c r="A652" s="238">
        <v>45266.859666631943</v>
      </c>
      <c r="B652" s="233" t="s">
        <v>384</v>
      </c>
      <c r="C652" s="209" t="s">
        <v>587</v>
      </c>
      <c r="D652" s="232" t="s">
        <v>17</v>
      </c>
      <c r="E652" s="232" t="s">
        <v>515</v>
      </c>
      <c r="F652" s="209" t="s">
        <v>1223</v>
      </c>
      <c r="G652" s="232" t="s">
        <v>18</v>
      </c>
      <c r="H652" s="232">
        <v>12</v>
      </c>
      <c r="I652" s="209" t="s">
        <v>518</v>
      </c>
      <c r="J652" s="209" t="s">
        <v>560</v>
      </c>
      <c r="K652" s="209" t="s">
        <v>560</v>
      </c>
      <c r="L652" s="209" t="s">
        <v>518</v>
      </c>
      <c r="M652" s="209" t="s">
        <v>375</v>
      </c>
      <c r="N652" s="209" t="s">
        <v>375</v>
      </c>
      <c r="O652" s="209"/>
      <c r="P652" s="209"/>
      <c r="Q652" s="209" t="s">
        <v>25</v>
      </c>
      <c r="R652" s="209" t="s">
        <v>25</v>
      </c>
      <c r="S652" s="234" t="s">
        <v>25</v>
      </c>
      <c r="T652" s="209" t="s">
        <v>25</v>
      </c>
      <c r="U652" s="209" t="s">
        <v>25</v>
      </c>
      <c r="V652" s="234" t="s">
        <v>25</v>
      </c>
      <c r="W652" s="209" t="s">
        <v>25</v>
      </c>
      <c r="X652" s="209" t="s">
        <v>25</v>
      </c>
      <c r="Y652" s="234" t="s">
        <v>25</v>
      </c>
      <c r="Z652" s="209" t="s">
        <v>25</v>
      </c>
      <c r="AA652" s="209" t="s">
        <v>25</v>
      </c>
      <c r="AB652" s="234" t="s">
        <v>25</v>
      </c>
      <c r="AC652" s="235" t="s">
        <v>25</v>
      </c>
      <c r="AD652" s="209" t="s">
        <v>25</v>
      </c>
      <c r="AE652" s="209" t="s">
        <v>306</v>
      </c>
      <c r="AF652" s="234" t="s">
        <v>25</v>
      </c>
      <c r="AG652" s="209" t="s">
        <v>25</v>
      </c>
      <c r="AH652" s="209" t="s">
        <v>25</v>
      </c>
      <c r="AI652" s="234" t="s">
        <v>25</v>
      </c>
      <c r="AJ652" s="209" t="s">
        <v>25</v>
      </c>
      <c r="AK652" s="209" t="s">
        <v>25</v>
      </c>
      <c r="AL652" s="234" t="s">
        <v>25</v>
      </c>
      <c r="AM652" s="209" t="s">
        <v>25</v>
      </c>
      <c r="AN652" s="209" t="s">
        <v>25</v>
      </c>
      <c r="AO652" s="234" t="s">
        <v>25</v>
      </c>
      <c r="AP652" s="235" t="s">
        <v>25</v>
      </c>
      <c r="AQ652" s="209" t="s">
        <v>25</v>
      </c>
      <c r="AR652" s="209" t="s">
        <v>25</v>
      </c>
      <c r="AS652" s="234" t="s">
        <v>25</v>
      </c>
      <c r="AT652" s="209" t="s">
        <v>25</v>
      </c>
      <c r="AU652" s="209" t="s">
        <v>25</v>
      </c>
      <c r="AV652" s="234" t="s">
        <v>25</v>
      </c>
      <c r="AW652" s="209" t="s">
        <v>25</v>
      </c>
      <c r="AX652" s="209" t="s">
        <v>25</v>
      </c>
      <c r="AY652" s="234" t="s">
        <v>25</v>
      </c>
      <c r="AZ652" s="209" t="s">
        <v>25</v>
      </c>
      <c r="BA652" s="209" t="s">
        <v>25</v>
      </c>
      <c r="BB652" s="234" t="s">
        <v>306</v>
      </c>
      <c r="BC652" s="235" t="s">
        <v>25</v>
      </c>
      <c r="BD652" s="188"/>
    </row>
    <row r="653" spans="1:56" ht="12.75" customHeight="1" x14ac:dyDescent="0.25">
      <c r="A653" s="238">
        <v>45266.867443206022</v>
      </c>
      <c r="B653" s="233" t="s">
        <v>384</v>
      </c>
      <c r="C653" s="209" t="s">
        <v>587</v>
      </c>
      <c r="D653" s="232" t="s">
        <v>17</v>
      </c>
      <c r="E653" s="232" t="s">
        <v>515</v>
      </c>
      <c r="F653" s="209" t="s">
        <v>1224</v>
      </c>
      <c r="G653" s="232" t="s">
        <v>18</v>
      </c>
      <c r="H653" s="232">
        <v>12</v>
      </c>
      <c r="I653" s="209" t="s">
        <v>518</v>
      </c>
      <c r="J653" s="209" t="s">
        <v>560</v>
      </c>
      <c r="K653" s="209" t="s">
        <v>560</v>
      </c>
      <c r="L653" s="209" t="s">
        <v>518</v>
      </c>
      <c r="M653" s="209" t="s">
        <v>412</v>
      </c>
      <c r="N653" s="209" t="s">
        <v>589</v>
      </c>
      <c r="O653" s="209"/>
      <c r="P653" s="209"/>
      <c r="Q653" s="209" t="s">
        <v>25</v>
      </c>
      <c r="R653" s="209" t="s">
        <v>25</v>
      </c>
      <c r="S653" s="234" t="s">
        <v>25</v>
      </c>
      <c r="T653" s="209" t="s">
        <v>306</v>
      </c>
      <c r="U653" s="209" t="s">
        <v>25</v>
      </c>
      <c r="V653" s="234" t="s">
        <v>25</v>
      </c>
      <c r="W653" s="209" t="s">
        <v>25</v>
      </c>
      <c r="X653" s="209" t="s">
        <v>25</v>
      </c>
      <c r="Y653" s="234" t="s">
        <v>25</v>
      </c>
      <c r="Z653" s="209" t="s">
        <v>25</v>
      </c>
      <c r="AA653" s="209" t="s">
        <v>25</v>
      </c>
      <c r="AB653" s="234" t="s">
        <v>25</v>
      </c>
      <c r="AC653" s="235" t="s">
        <v>25</v>
      </c>
      <c r="AD653" s="209" t="s">
        <v>25</v>
      </c>
      <c r="AE653" s="209" t="s">
        <v>25</v>
      </c>
      <c r="AF653" s="234" t="s">
        <v>25</v>
      </c>
      <c r="AG653" s="209" t="s">
        <v>25</v>
      </c>
      <c r="AH653" s="209" t="s">
        <v>25</v>
      </c>
      <c r="AI653" s="234" t="s">
        <v>25</v>
      </c>
      <c r="AJ653" s="209" t="s">
        <v>25</v>
      </c>
      <c r="AK653" s="209" t="s">
        <v>25</v>
      </c>
      <c r="AL653" s="234" t="s">
        <v>25</v>
      </c>
      <c r="AM653" s="209" t="s">
        <v>306</v>
      </c>
      <c r="AN653" s="209" t="s">
        <v>306</v>
      </c>
      <c r="AO653" s="234" t="s">
        <v>306</v>
      </c>
      <c r="AP653" s="235" t="s">
        <v>25</v>
      </c>
      <c r="AQ653" s="209" t="s">
        <v>306</v>
      </c>
      <c r="AR653" s="209" t="s">
        <v>25</v>
      </c>
      <c r="AS653" s="234" t="s">
        <v>25</v>
      </c>
      <c r="AT653" s="209" t="s">
        <v>306</v>
      </c>
      <c r="AU653" s="209" t="s">
        <v>306</v>
      </c>
      <c r="AV653" s="234" t="s">
        <v>306</v>
      </c>
      <c r="AW653" s="209" t="s">
        <v>25</v>
      </c>
      <c r="AX653" s="209" t="s">
        <v>25</v>
      </c>
      <c r="AY653" s="234" t="s">
        <v>25</v>
      </c>
      <c r="AZ653" s="209" t="s">
        <v>306</v>
      </c>
      <c r="BA653" s="209" t="s">
        <v>306</v>
      </c>
      <c r="BB653" s="234" t="s">
        <v>306</v>
      </c>
      <c r="BC653" s="235" t="s">
        <v>306</v>
      </c>
      <c r="BD653" s="188"/>
    </row>
    <row r="654" spans="1:56" ht="12.75" customHeight="1" x14ac:dyDescent="0.25">
      <c r="A654" s="238">
        <v>45266.873178333335</v>
      </c>
      <c r="B654" s="233" t="s">
        <v>384</v>
      </c>
      <c r="C654" s="209" t="s">
        <v>587</v>
      </c>
      <c r="D654" s="232" t="s">
        <v>17</v>
      </c>
      <c r="E654" s="232" t="s">
        <v>515</v>
      </c>
      <c r="F654" s="209" t="s">
        <v>1225</v>
      </c>
      <c r="G654" s="232" t="s">
        <v>24</v>
      </c>
      <c r="H654" s="232">
        <v>11</v>
      </c>
      <c r="I654" s="209" t="s">
        <v>518</v>
      </c>
      <c r="J654" s="209" t="s">
        <v>560</v>
      </c>
      <c r="K654" s="209" t="s">
        <v>560</v>
      </c>
      <c r="L654" s="209" t="s">
        <v>518</v>
      </c>
      <c r="M654" s="209" t="s">
        <v>412</v>
      </c>
      <c r="N654" s="209" t="s">
        <v>589</v>
      </c>
      <c r="O654" s="209"/>
      <c r="P654" s="209"/>
      <c r="Q654" s="209" t="s">
        <v>25</v>
      </c>
      <c r="R654" s="209" t="s">
        <v>25</v>
      </c>
      <c r="S654" s="234" t="s">
        <v>25</v>
      </c>
      <c r="T654" s="209" t="s">
        <v>25</v>
      </c>
      <c r="U654" s="209" t="s">
        <v>25</v>
      </c>
      <c r="V654" s="234" t="s">
        <v>25</v>
      </c>
      <c r="W654" s="209" t="s">
        <v>25</v>
      </c>
      <c r="X654" s="209" t="s">
        <v>25</v>
      </c>
      <c r="Y654" s="234" t="s">
        <v>25</v>
      </c>
      <c r="Z654" s="209" t="s">
        <v>25</v>
      </c>
      <c r="AA654" s="209" t="s">
        <v>25</v>
      </c>
      <c r="AB654" s="234" t="s">
        <v>25</v>
      </c>
      <c r="AC654" s="235" t="s">
        <v>25</v>
      </c>
      <c r="AD654" s="209" t="s">
        <v>25</v>
      </c>
      <c r="AE654" s="209" t="s">
        <v>25</v>
      </c>
      <c r="AF654" s="234" t="s">
        <v>25</v>
      </c>
      <c r="AG654" s="209" t="s">
        <v>25</v>
      </c>
      <c r="AH654" s="209" t="s">
        <v>25</v>
      </c>
      <c r="AI654" s="234" t="s">
        <v>25</v>
      </c>
      <c r="AJ654" s="209" t="s">
        <v>25</v>
      </c>
      <c r="AK654" s="209" t="s">
        <v>25</v>
      </c>
      <c r="AL654" s="234" t="s">
        <v>25</v>
      </c>
      <c r="AM654" s="209" t="s">
        <v>306</v>
      </c>
      <c r="AN654" s="209" t="s">
        <v>306</v>
      </c>
      <c r="AO654" s="234" t="s">
        <v>306</v>
      </c>
      <c r="AP654" s="235" t="s">
        <v>25</v>
      </c>
      <c r="AQ654" s="209" t="s">
        <v>306</v>
      </c>
      <c r="AR654" s="209" t="s">
        <v>25</v>
      </c>
      <c r="AS654" s="234" t="s">
        <v>25</v>
      </c>
      <c r="AT654" s="209" t="s">
        <v>25</v>
      </c>
      <c r="AU654" s="209" t="s">
        <v>25</v>
      </c>
      <c r="AV654" s="234" t="s">
        <v>25</v>
      </c>
      <c r="AW654" s="209" t="s">
        <v>306</v>
      </c>
      <c r="AX654" s="209" t="s">
        <v>25</v>
      </c>
      <c r="AY654" s="234" t="s">
        <v>25</v>
      </c>
      <c r="AZ654" s="209" t="s">
        <v>25</v>
      </c>
      <c r="BA654" s="209" t="s">
        <v>306</v>
      </c>
      <c r="BB654" s="234" t="s">
        <v>306</v>
      </c>
      <c r="BC654" s="235" t="s">
        <v>306</v>
      </c>
      <c r="BD654" s="188"/>
    </row>
    <row r="655" spans="1:56" ht="12.75" customHeight="1" x14ac:dyDescent="0.25">
      <c r="A655" s="238">
        <v>45266.875785775468</v>
      </c>
      <c r="B655" s="233" t="s">
        <v>384</v>
      </c>
      <c r="C655" s="209" t="s">
        <v>587</v>
      </c>
      <c r="D655" s="232" t="s">
        <v>17</v>
      </c>
      <c r="E655" s="232" t="s">
        <v>515</v>
      </c>
      <c r="F655" s="209" t="s">
        <v>1226</v>
      </c>
      <c r="G655" s="232" t="s">
        <v>24</v>
      </c>
      <c r="H655" s="232">
        <v>12</v>
      </c>
      <c r="I655" s="209" t="s">
        <v>518</v>
      </c>
      <c r="J655" s="209" t="s">
        <v>560</v>
      </c>
      <c r="K655" s="209" t="s">
        <v>560</v>
      </c>
      <c r="L655" s="209" t="s">
        <v>531</v>
      </c>
      <c r="M655" s="188"/>
      <c r="N655" s="188"/>
      <c r="O655" s="188"/>
      <c r="P655" s="188"/>
      <c r="Q655" s="209" t="s">
        <v>25</v>
      </c>
      <c r="R655" s="209" t="s">
        <v>25</v>
      </c>
      <c r="S655" s="234" t="s">
        <v>25</v>
      </c>
      <c r="T655" s="209" t="s">
        <v>25</v>
      </c>
      <c r="U655" s="209" t="s">
        <v>25</v>
      </c>
      <c r="V655" s="234" t="s">
        <v>25</v>
      </c>
      <c r="W655" s="209" t="s">
        <v>25</v>
      </c>
      <c r="X655" s="209" t="s">
        <v>25</v>
      </c>
      <c r="Y655" s="234" t="s">
        <v>25</v>
      </c>
      <c r="Z655" s="209" t="s">
        <v>25</v>
      </c>
      <c r="AA655" s="209" t="s">
        <v>25</v>
      </c>
      <c r="AB655" s="234" t="s">
        <v>25</v>
      </c>
      <c r="AC655" s="235" t="s">
        <v>25</v>
      </c>
      <c r="AD655" s="209" t="s">
        <v>25</v>
      </c>
      <c r="AE655" s="209" t="s">
        <v>25</v>
      </c>
      <c r="AF655" s="234" t="s">
        <v>25</v>
      </c>
      <c r="AG655" s="209" t="s">
        <v>25</v>
      </c>
      <c r="AH655" s="209" t="s">
        <v>25</v>
      </c>
      <c r="AI655" s="234" t="s">
        <v>25</v>
      </c>
      <c r="AJ655" s="209" t="s">
        <v>25</v>
      </c>
      <c r="AK655" s="209" t="s">
        <v>25</v>
      </c>
      <c r="AL655" s="234" t="s">
        <v>25</v>
      </c>
      <c r="AM655" s="209" t="s">
        <v>306</v>
      </c>
      <c r="AN655" s="209" t="s">
        <v>306</v>
      </c>
      <c r="AO655" s="234" t="s">
        <v>306</v>
      </c>
      <c r="AP655" s="235" t="s">
        <v>25</v>
      </c>
      <c r="AQ655" s="209" t="s">
        <v>306</v>
      </c>
      <c r="AR655" s="209" t="s">
        <v>25</v>
      </c>
      <c r="AS655" s="234" t="s">
        <v>25</v>
      </c>
      <c r="AT655" s="209" t="s">
        <v>25</v>
      </c>
      <c r="AU655" s="209" t="s">
        <v>25</v>
      </c>
      <c r="AV655" s="234" t="s">
        <v>25</v>
      </c>
      <c r="AW655" s="209" t="s">
        <v>25</v>
      </c>
      <c r="AX655" s="209" t="s">
        <v>25</v>
      </c>
      <c r="AY655" s="234" t="s">
        <v>25</v>
      </c>
      <c r="AZ655" s="209" t="s">
        <v>25</v>
      </c>
      <c r="BA655" s="209" t="s">
        <v>25</v>
      </c>
      <c r="BB655" s="234" t="s">
        <v>306</v>
      </c>
      <c r="BC655" s="235" t="s">
        <v>306</v>
      </c>
      <c r="BD655" s="188"/>
    </row>
    <row r="656" spans="1:56" ht="12.75" customHeight="1" x14ac:dyDescent="0.25">
      <c r="A656" s="238">
        <v>45266.878185844907</v>
      </c>
      <c r="B656" s="233" t="s">
        <v>384</v>
      </c>
      <c r="C656" s="209" t="s">
        <v>587</v>
      </c>
      <c r="D656" s="232" t="s">
        <v>17</v>
      </c>
      <c r="E656" s="232" t="s">
        <v>515</v>
      </c>
      <c r="F656" s="209" t="s">
        <v>1227</v>
      </c>
      <c r="G656" s="232" t="s">
        <v>24</v>
      </c>
      <c r="H656" s="232">
        <v>12</v>
      </c>
      <c r="I656" s="209" t="s">
        <v>518</v>
      </c>
      <c r="J656" s="209" t="s">
        <v>560</v>
      </c>
      <c r="K656" s="209" t="s">
        <v>560</v>
      </c>
      <c r="L656" s="209" t="s">
        <v>531</v>
      </c>
      <c r="M656" s="188"/>
      <c r="N656" s="188"/>
      <c r="O656" s="188"/>
      <c r="P656" s="188"/>
      <c r="Q656" s="209" t="s">
        <v>25</v>
      </c>
      <c r="R656" s="209" t="s">
        <v>25</v>
      </c>
      <c r="S656" s="234" t="s">
        <v>25</v>
      </c>
      <c r="T656" s="209" t="s">
        <v>25</v>
      </c>
      <c r="U656" s="209" t="s">
        <v>25</v>
      </c>
      <c r="V656" s="234" t="s">
        <v>25</v>
      </c>
      <c r="W656" s="209" t="s">
        <v>25</v>
      </c>
      <c r="X656" s="209" t="s">
        <v>25</v>
      </c>
      <c r="Y656" s="234" t="s">
        <v>25</v>
      </c>
      <c r="Z656" s="209" t="s">
        <v>25</v>
      </c>
      <c r="AA656" s="209" t="s">
        <v>19</v>
      </c>
      <c r="AB656" s="234" t="s">
        <v>306</v>
      </c>
      <c r="AC656" s="235" t="s">
        <v>25</v>
      </c>
      <c r="AD656" s="209" t="s">
        <v>25</v>
      </c>
      <c r="AE656" s="209" t="s">
        <v>306</v>
      </c>
      <c r="AF656" s="234" t="s">
        <v>25</v>
      </c>
      <c r="AG656" s="209" t="s">
        <v>25</v>
      </c>
      <c r="AH656" s="209" t="s">
        <v>306</v>
      </c>
      <c r="AI656" s="234" t="s">
        <v>25</v>
      </c>
      <c r="AJ656" s="209" t="s">
        <v>306</v>
      </c>
      <c r="AK656" s="209" t="s">
        <v>19</v>
      </c>
      <c r="AL656" s="234" t="s">
        <v>306</v>
      </c>
      <c r="AM656" s="209" t="s">
        <v>19</v>
      </c>
      <c r="AN656" s="209" t="s">
        <v>19</v>
      </c>
      <c r="AO656" s="234" t="s">
        <v>19</v>
      </c>
      <c r="AP656" s="235" t="s">
        <v>306</v>
      </c>
      <c r="AQ656" s="209" t="s">
        <v>25</v>
      </c>
      <c r="AR656" s="209" t="s">
        <v>25</v>
      </c>
      <c r="AS656" s="234" t="s">
        <v>25</v>
      </c>
      <c r="AT656" s="209" t="s">
        <v>25</v>
      </c>
      <c r="AU656" s="209" t="s">
        <v>25</v>
      </c>
      <c r="AV656" s="234" t="s">
        <v>25</v>
      </c>
      <c r="AW656" s="209" t="s">
        <v>306</v>
      </c>
      <c r="AX656" s="209" t="s">
        <v>25</v>
      </c>
      <c r="AY656" s="234" t="s">
        <v>25</v>
      </c>
      <c r="AZ656" s="209" t="s">
        <v>25</v>
      </c>
      <c r="BA656" s="209" t="s">
        <v>25</v>
      </c>
      <c r="BB656" s="234" t="s">
        <v>25</v>
      </c>
      <c r="BC656" s="235" t="s">
        <v>306</v>
      </c>
      <c r="BD656" s="188"/>
    </row>
    <row r="657" spans="1:56" ht="12.75" customHeight="1" x14ac:dyDescent="0.25">
      <c r="A657" s="238">
        <v>45266.880540358798</v>
      </c>
      <c r="B657" s="233" t="s">
        <v>384</v>
      </c>
      <c r="C657" s="209" t="s">
        <v>587</v>
      </c>
      <c r="D657" s="232" t="s">
        <v>17</v>
      </c>
      <c r="E657" s="232" t="s">
        <v>515</v>
      </c>
      <c r="F657" s="209" t="s">
        <v>1228</v>
      </c>
      <c r="G657" s="232" t="s">
        <v>18</v>
      </c>
      <c r="H657" s="232">
        <v>11</v>
      </c>
      <c r="I657" s="209" t="s">
        <v>518</v>
      </c>
      <c r="J657" s="209" t="s">
        <v>560</v>
      </c>
      <c r="K657" s="209" t="s">
        <v>560</v>
      </c>
      <c r="L657" s="209" t="s">
        <v>518</v>
      </c>
      <c r="M657" s="209" t="s">
        <v>375</v>
      </c>
      <c r="N657" s="209" t="s">
        <v>375</v>
      </c>
      <c r="O657" s="209"/>
      <c r="P657" s="209"/>
      <c r="Q657" s="209" t="s">
        <v>25</v>
      </c>
      <c r="R657" s="209" t="s">
        <v>19</v>
      </c>
      <c r="S657" s="234" t="s">
        <v>306</v>
      </c>
      <c r="T657" s="209" t="s">
        <v>25</v>
      </c>
      <c r="U657" s="209" t="s">
        <v>25</v>
      </c>
      <c r="V657" s="234" t="s">
        <v>25</v>
      </c>
      <c r="W657" s="209" t="s">
        <v>25</v>
      </c>
      <c r="X657" s="209" t="s">
        <v>25</v>
      </c>
      <c r="Y657" s="234" t="s">
        <v>25</v>
      </c>
      <c r="Z657" s="209" t="s">
        <v>306</v>
      </c>
      <c r="AA657" s="209" t="s">
        <v>19</v>
      </c>
      <c r="AB657" s="234" t="s">
        <v>306</v>
      </c>
      <c r="AC657" s="235" t="s">
        <v>306</v>
      </c>
      <c r="AD657" s="209" t="s">
        <v>306</v>
      </c>
      <c r="AE657" s="209" t="s">
        <v>306</v>
      </c>
      <c r="AF657" s="234" t="s">
        <v>306</v>
      </c>
      <c r="AG657" s="209" t="s">
        <v>25</v>
      </c>
      <c r="AH657" s="209" t="s">
        <v>19</v>
      </c>
      <c r="AI657" s="234" t="s">
        <v>306</v>
      </c>
      <c r="AJ657" s="209" t="s">
        <v>19</v>
      </c>
      <c r="AK657" s="209" t="s">
        <v>306</v>
      </c>
      <c r="AL657" s="234" t="s">
        <v>306</v>
      </c>
      <c r="AM657" s="209" t="s">
        <v>19</v>
      </c>
      <c r="AN657" s="209" t="s">
        <v>19</v>
      </c>
      <c r="AO657" s="234" t="s">
        <v>19</v>
      </c>
      <c r="AP657" s="235" t="s">
        <v>306</v>
      </c>
      <c r="AQ657" s="209" t="s">
        <v>306</v>
      </c>
      <c r="AR657" s="209" t="s">
        <v>19</v>
      </c>
      <c r="AS657" s="234" t="s">
        <v>306</v>
      </c>
      <c r="AT657" s="209" t="s">
        <v>306</v>
      </c>
      <c r="AU657" s="209" t="s">
        <v>25</v>
      </c>
      <c r="AV657" s="234" t="s">
        <v>25</v>
      </c>
      <c r="AW657" s="209" t="s">
        <v>25</v>
      </c>
      <c r="AX657" s="209" t="s">
        <v>306</v>
      </c>
      <c r="AY657" s="234" t="s">
        <v>25</v>
      </c>
      <c r="AZ657" s="209" t="s">
        <v>25</v>
      </c>
      <c r="BA657" s="209" t="s">
        <v>25</v>
      </c>
      <c r="BB657" s="234" t="s">
        <v>25</v>
      </c>
      <c r="BC657" s="235" t="s">
        <v>306</v>
      </c>
      <c r="BD657" s="188"/>
    </row>
    <row r="658" spans="1:56" ht="12.75" customHeight="1" x14ac:dyDescent="0.25">
      <c r="A658" s="238">
        <v>45266.888181724542</v>
      </c>
      <c r="B658" s="233" t="s">
        <v>384</v>
      </c>
      <c r="C658" s="209" t="s">
        <v>587</v>
      </c>
      <c r="D658" s="232" t="s">
        <v>17</v>
      </c>
      <c r="E658" s="232" t="s">
        <v>515</v>
      </c>
      <c r="F658" s="209" t="s">
        <v>1229</v>
      </c>
      <c r="G658" s="232" t="s">
        <v>18</v>
      </c>
      <c r="H658" s="232">
        <v>11</v>
      </c>
      <c r="I658" s="209" t="s">
        <v>518</v>
      </c>
      <c r="J658" s="209" t="s">
        <v>560</v>
      </c>
      <c r="K658" s="209" t="s">
        <v>560</v>
      </c>
      <c r="L658" s="209" t="s">
        <v>518</v>
      </c>
      <c r="M658" s="209" t="s">
        <v>375</v>
      </c>
      <c r="N658" s="209" t="s">
        <v>375</v>
      </c>
      <c r="O658" s="209"/>
      <c r="P658" s="209"/>
      <c r="Q658" s="209" t="s">
        <v>25</v>
      </c>
      <c r="R658" s="209" t="s">
        <v>25</v>
      </c>
      <c r="S658" s="234" t="s">
        <v>25</v>
      </c>
      <c r="T658" s="209" t="s">
        <v>25</v>
      </c>
      <c r="U658" s="209" t="s">
        <v>25</v>
      </c>
      <c r="V658" s="234" t="s">
        <v>25</v>
      </c>
      <c r="W658" s="209" t="s">
        <v>25</v>
      </c>
      <c r="X658" s="209" t="s">
        <v>25</v>
      </c>
      <c r="Y658" s="234" t="s">
        <v>25</v>
      </c>
      <c r="Z658" s="209" t="s">
        <v>25</v>
      </c>
      <c r="AA658" s="209" t="s">
        <v>25</v>
      </c>
      <c r="AB658" s="234" t="s">
        <v>25</v>
      </c>
      <c r="AC658" s="235" t="s">
        <v>25</v>
      </c>
      <c r="AD658" s="209" t="s">
        <v>25</v>
      </c>
      <c r="AE658" s="209" t="s">
        <v>25</v>
      </c>
      <c r="AF658" s="234" t="s">
        <v>25</v>
      </c>
      <c r="AG658" s="209" t="s">
        <v>25</v>
      </c>
      <c r="AH658" s="209" t="s">
        <v>25</v>
      </c>
      <c r="AI658" s="234" t="s">
        <v>25</v>
      </c>
      <c r="AJ658" s="209" t="s">
        <v>25</v>
      </c>
      <c r="AK658" s="209" t="s">
        <v>25</v>
      </c>
      <c r="AL658" s="234" t="s">
        <v>25</v>
      </c>
      <c r="AM658" s="209" t="s">
        <v>25</v>
      </c>
      <c r="AN658" s="209" t="s">
        <v>25</v>
      </c>
      <c r="AO658" s="234" t="s">
        <v>25</v>
      </c>
      <c r="AP658" s="235" t="s">
        <v>25</v>
      </c>
      <c r="AQ658" s="209" t="s">
        <v>25</v>
      </c>
      <c r="AR658" s="209" t="s">
        <v>25</v>
      </c>
      <c r="AS658" s="234" t="s">
        <v>25</v>
      </c>
      <c r="AT658" s="209" t="s">
        <v>25</v>
      </c>
      <c r="AU658" s="209" t="s">
        <v>25</v>
      </c>
      <c r="AV658" s="234" t="s">
        <v>25</v>
      </c>
      <c r="AW658" s="209" t="s">
        <v>306</v>
      </c>
      <c r="AX658" s="209" t="s">
        <v>25</v>
      </c>
      <c r="AY658" s="234" t="s">
        <v>25</v>
      </c>
      <c r="AZ658" s="209" t="s">
        <v>25</v>
      </c>
      <c r="BA658" s="209" t="s">
        <v>25</v>
      </c>
      <c r="BB658" s="234" t="s">
        <v>25</v>
      </c>
      <c r="BC658" s="235" t="s">
        <v>306</v>
      </c>
      <c r="BD658" s="188"/>
    </row>
    <row r="659" spans="1:56" ht="12.75" customHeight="1" x14ac:dyDescent="0.25">
      <c r="A659" s="238">
        <v>45266.89429246528</v>
      </c>
      <c r="B659" s="233" t="s">
        <v>384</v>
      </c>
      <c r="C659" s="209" t="s">
        <v>587</v>
      </c>
      <c r="D659" s="232" t="s">
        <v>17</v>
      </c>
      <c r="E659" s="232" t="s">
        <v>515</v>
      </c>
      <c r="F659" s="209" t="s">
        <v>1230</v>
      </c>
      <c r="G659" s="232" t="s">
        <v>24</v>
      </c>
      <c r="H659" s="232">
        <v>12</v>
      </c>
      <c r="I659" s="209" t="s">
        <v>518</v>
      </c>
      <c r="J659" s="209" t="s">
        <v>560</v>
      </c>
      <c r="K659" s="209" t="s">
        <v>560</v>
      </c>
      <c r="L659" s="209" t="s">
        <v>518</v>
      </c>
      <c r="M659" s="209" t="s">
        <v>401</v>
      </c>
      <c r="N659" s="209" t="s">
        <v>375</v>
      </c>
      <c r="O659" s="209"/>
      <c r="P659" s="209"/>
      <c r="Q659" s="209" t="s">
        <v>25</v>
      </c>
      <c r="R659" s="209" t="s">
        <v>25</v>
      </c>
      <c r="S659" s="234" t="s">
        <v>25</v>
      </c>
      <c r="T659" s="209" t="s">
        <v>25</v>
      </c>
      <c r="U659" s="209" t="s">
        <v>25</v>
      </c>
      <c r="V659" s="234" t="s">
        <v>25</v>
      </c>
      <c r="W659" s="209" t="s">
        <v>25</v>
      </c>
      <c r="X659" s="209" t="s">
        <v>25</v>
      </c>
      <c r="Y659" s="234" t="s">
        <v>25</v>
      </c>
      <c r="Z659" s="209" t="s">
        <v>25</v>
      </c>
      <c r="AA659" s="209" t="s">
        <v>25</v>
      </c>
      <c r="AB659" s="234" t="s">
        <v>25</v>
      </c>
      <c r="AC659" s="235" t="s">
        <v>25</v>
      </c>
      <c r="AD659" s="209" t="s">
        <v>25</v>
      </c>
      <c r="AE659" s="209" t="s">
        <v>306</v>
      </c>
      <c r="AF659" s="234" t="s">
        <v>25</v>
      </c>
      <c r="AG659" s="209" t="s">
        <v>25</v>
      </c>
      <c r="AH659" s="209" t="s">
        <v>25</v>
      </c>
      <c r="AI659" s="234" t="s">
        <v>25</v>
      </c>
      <c r="AJ659" s="209" t="s">
        <v>306</v>
      </c>
      <c r="AK659" s="209" t="s">
        <v>25</v>
      </c>
      <c r="AL659" s="234" t="s">
        <v>25</v>
      </c>
      <c r="AM659" s="209" t="s">
        <v>25</v>
      </c>
      <c r="AN659" s="209" t="s">
        <v>25</v>
      </c>
      <c r="AO659" s="234" t="s">
        <v>25</v>
      </c>
      <c r="AP659" s="235" t="s">
        <v>25</v>
      </c>
      <c r="AQ659" s="209" t="s">
        <v>25</v>
      </c>
      <c r="AR659" s="209" t="s">
        <v>306</v>
      </c>
      <c r="AS659" s="234" t="s">
        <v>25</v>
      </c>
      <c r="AT659" s="209" t="s">
        <v>25</v>
      </c>
      <c r="AU659" s="209" t="s">
        <v>25</v>
      </c>
      <c r="AV659" s="234" t="s">
        <v>25</v>
      </c>
      <c r="AW659" s="209" t="s">
        <v>25</v>
      </c>
      <c r="AX659" s="209" t="s">
        <v>25</v>
      </c>
      <c r="AY659" s="234" t="s">
        <v>25</v>
      </c>
      <c r="AZ659" s="209" t="s">
        <v>25</v>
      </c>
      <c r="BA659" s="209" t="s">
        <v>25</v>
      </c>
      <c r="BB659" s="234" t="s">
        <v>25</v>
      </c>
      <c r="BC659" s="235" t="s">
        <v>306</v>
      </c>
      <c r="BD659" s="188"/>
    </row>
    <row r="660" spans="1:56" ht="12.75" customHeight="1" x14ac:dyDescent="0.25">
      <c r="A660" s="238">
        <v>45266.896725752318</v>
      </c>
      <c r="B660" s="233" t="s">
        <v>384</v>
      </c>
      <c r="C660" s="209" t="s">
        <v>587</v>
      </c>
      <c r="D660" s="232" t="s">
        <v>17</v>
      </c>
      <c r="E660" s="232" t="s">
        <v>515</v>
      </c>
      <c r="F660" s="209" t="s">
        <v>1231</v>
      </c>
      <c r="G660" s="232" t="s">
        <v>24</v>
      </c>
      <c r="H660" s="232">
        <v>11</v>
      </c>
      <c r="I660" s="209" t="s">
        <v>518</v>
      </c>
      <c r="J660" s="209" t="s">
        <v>560</v>
      </c>
      <c r="K660" s="209" t="s">
        <v>560</v>
      </c>
      <c r="L660" s="209" t="s">
        <v>518</v>
      </c>
      <c r="M660" s="209" t="s">
        <v>368</v>
      </c>
      <c r="N660" s="209" t="s">
        <v>589</v>
      </c>
      <c r="O660" s="209"/>
      <c r="P660" s="209"/>
      <c r="Q660" s="209" t="s">
        <v>25</v>
      </c>
      <c r="R660" s="209" t="s">
        <v>306</v>
      </c>
      <c r="S660" s="234" t="s">
        <v>25</v>
      </c>
      <c r="T660" s="209" t="s">
        <v>306</v>
      </c>
      <c r="U660" s="209" t="s">
        <v>306</v>
      </c>
      <c r="V660" s="234" t="s">
        <v>306</v>
      </c>
      <c r="W660" s="209" t="s">
        <v>306</v>
      </c>
      <c r="X660" s="209" t="s">
        <v>306</v>
      </c>
      <c r="Y660" s="234" t="s">
        <v>306</v>
      </c>
      <c r="Z660" s="209" t="s">
        <v>306</v>
      </c>
      <c r="AA660" s="209" t="s">
        <v>306</v>
      </c>
      <c r="AB660" s="234" t="s">
        <v>306</v>
      </c>
      <c r="AC660" s="235" t="s">
        <v>306</v>
      </c>
      <c r="AD660" s="209" t="s">
        <v>306</v>
      </c>
      <c r="AE660" s="209" t="s">
        <v>306</v>
      </c>
      <c r="AF660" s="234" t="s">
        <v>306</v>
      </c>
      <c r="AG660" s="209" t="s">
        <v>306</v>
      </c>
      <c r="AH660" s="209" t="s">
        <v>306</v>
      </c>
      <c r="AI660" s="234" t="s">
        <v>306</v>
      </c>
      <c r="AJ660" s="209" t="s">
        <v>306</v>
      </c>
      <c r="AK660" s="209" t="s">
        <v>306</v>
      </c>
      <c r="AL660" s="234" t="s">
        <v>306</v>
      </c>
      <c r="AM660" s="209" t="s">
        <v>306</v>
      </c>
      <c r="AN660" s="209" t="s">
        <v>306</v>
      </c>
      <c r="AO660" s="234" t="s">
        <v>306</v>
      </c>
      <c r="AP660" s="235" t="s">
        <v>306</v>
      </c>
      <c r="AQ660" s="209" t="s">
        <v>306</v>
      </c>
      <c r="AR660" s="209" t="s">
        <v>306</v>
      </c>
      <c r="AS660" s="234" t="s">
        <v>306</v>
      </c>
      <c r="AT660" s="209" t="s">
        <v>306</v>
      </c>
      <c r="AU660" s="209" t="s">
        <v>306</v>
      </c>
      <c r="AV660" s="234" t="s">
        <v>306</v>
      </c>
      <c r="AW660" s="209" t="s">
        <v>306</v>
      </c>
      <c r="AX660" s="209" t="s">
        <v>306</v>
      </c>
      <c r="AY660" s="234" t="s">
        <v>306</v>
      </c>
      <c r="AZ660" s="209" t="s">
        <v>306</v>
      </c>
      <c r="BA660" s="209" t="s">
        <v>306</v>
      </c>
      <c r="BB660" s="234" t="s">
        <v>19</v>
      </c>
      <c r="BC660" s="235" t="s">
        <v>19</v>
      </c>
      <c r="BD660" s="188"/>
    </row>
    <row r="661" spans="1:56" ht="12.75" customHeight="1" x14ac:dyDescent="0.25">
      <c r="A661" s="238">
        <v>45266.90087834491</v>
      </c>
      <c r="B661" s="233" t="s">
        <v>384</v>
      </c>
      <c r="C661" s="209" t="s">
        <v>587</v>
      </c>
      <c r="D661" s="232" t="s">
        <v>17</v>
      </c>
      <c r="E661" s="232" t="s">
        <v>515</v>
      </c>
      <c r="F661" s="209" t="s">
        <v>1232</v>
      </c>
      <c r="G661" s="232" t="s">
        <v>18</v>
      </c>
      <c r="H661" s="232">
        <v>11</v>
      </c>
      <c r="I661" s="209" t="s">
        <v>518</v>
      </c>
      <c r="J661" s="209" t="s">
        <v>560</v>
      </c>
      <c r="K661" s="209" t="s">
        <v>560</v>
      </c>
      <c r="L661" s="209" t="s">
        <v>518</v>
      </c>
      <c r="M661" s="209" t="s">
        <v>368</v>
      </c>
      <c r="N661" s="209" t="s">
        <v>375</v>
      </c>
      <c r="O661" s="209"/>
      <c r="P661" s="209"/>
      <c r="Q661" s="209" t="s">
        <v>25</v>
      </c>
      <c r="R661" s="209" t="s">
        <v>19</v>
      </c>
      <c r="S661" s="234" t="s">
        <v>306</v>
      </c>
      <c r="T661" s="209" t="s">
        <v>25</v>
      </c>
      <c r="U661" s="209" t="s">
        <v>25</v>
      </c>
      <c r="V661" s="234" t="s">
        <v>25</v>
      </c>
      <c r="W661" s="209" t="s">
        <v>19</v>
      </c>
      <c r="X661" s="209" t="s">
        <v>25</v>
      </c>
      <c r="Y661" s="234" t="s">
        <v>306</v>
      </c>
      <c r="Z661" s="209" t="s">
        <v>306</v>
      </c>
      <c r="AA661" s="209" t="s">
        <v>25</v>
      </c>
      <c r="AB661" s="234" t="s">
        <v>25</v>
      </c>
      <c r="AC661" s="235" t="s">
        <v>306</v>
      </c>
      <c r="AD661" s="209" t="s">
        <v>25</v>
      </c>
      <c r="AE661" s="209" t="s">
        <v>25</v>
      </c>
      <c r="AF661" s="234" t="s">
        <v>25</v>
      </c>
      <c r="AG661" s="209" t="s">
        <v>25</v>
      </c>
      <c r="AH661" s="209" t="s">
        <v>306</v>
      </c>
      <c r="AI661" s="234" t="s">
        <v>25</v>
      </c>
      <c r="AJ661" s="209" t="s">
        <v>306</v>
      </c>
      <c r="AK661" s="209" t="s">
        <v>25</v>
      </c>
      <c r="AL661" s="234" t="s">
        <v>25</v>
      </c>
      <c r="AM661" s="209" t="s">
        <v>25</v>
      </c>
      <c r="AN661" s="209" t="s">
        <v>306</v>
      </c>
      <c r="AO661" s="234" t="s">
        <v>25</v>
      </c>
      <c r="AP661" s="235" t="s">
        <v>25</v>
      </c>
      <c r="AQ661" s="209" t="s">
        <v>25</v>
      </c>
      <c r="AR661" s="209" t="s">
        <v>19</v>
      </c>
      <c r="AS661" s="234" t="s">
        <v>306</v>
      </c>
      <c r="AT661" s="209" t="s">
        <v>25</v>
      </c>
      <c r="AU661" s="209" t="s">
        <v>25</v>
      </c>
      <c r="AV661" s="234" t="s">
        <v>25</v>
      </c>
      <c r="AW661" s="209" t="s">
        <v>25</v>
      </c>
      <c r="AX661" s="209" t="s">
        <v>25</v>
      </c>
      <c r="AY661" s="234" t="s">
        <v>25</v>
      </c>
      <c r="AZ661" s="209" t="s">
        <v>19</v>
      </c>
      <c r="BA661" s="209" t="s">
        <v>306</v>
      </c>
      <c r="BB661" s="234" t="s">
        <v>19</v>
      </c>
      <c r="BC661" s="235" t="s">
        <v>19</v>
      </c>
      <c r="BD661" s="188"/>
    </row>
    <row r="662" spans="1:56" ht="12.75" customHeight="1" x14ac:dyDescent="0.25">
      <c r="A662" s="238">
        <v>45266.90316347222</v>
      </c>
      <c r="B662" s="233" t="s">
        <v>384</v>
      </c>
      <c r="C662" s="209" t="s">
        <v>587</v>
      </c>
      <c r="D662" s="232" t="s">
        <v>17</v>
      </c>
      <c r="E662" s="232" t="s">
        <v>515</v>
      </c>
      <c r="F662" s="209" t="s">
        <v>1233</v>
      </c>
      <c r="G662" s="232" t="s">
        <v>24</v>
      </c>
      <c r="H662" s="232">
        <v>11</v>
      </c>
      <c r="I662" s="209" t="s">
        <v>518</v>
      </c>
      <c r="J662" s="209" t="s">
        <v>560</v>
      </c>
      <c r="K662" s="209" t="s">
        <v>560</v>
      </c>
      <c r="L662" s="209" t="s">
        <v>518</v>
      </c>
      <c r="M662" s="209" t="s">
        <v>368</v>
      </c>
      <c r="N662" s="209" t="s">
        <v>375</v>
      </c>
      <c r="O662" s="209"/>
      <c r="P662" s="209"/>
      <c r="Q662" s="209" t="s">
        <v>25</v>
      </c>
      <c r="R662" s="209" t="s">
        <v>306</v>
      </c>
      <c r="S662" s="234" t="s">
        <v>25</v>
      </c>
      <c r="T662" s="209" t="s">
        <v>306</v>
      </c>
      <c r="U662" s="209" t="s">
        <v>306</v>
      </c>
      <c r="V662" s="234" t="s">
        <v>306</v>
      </c>
      <c r="W662" s="209" t="s">
        <v>306</v>
      </c>
      <c r="X662" s="209" t="s">
        <v>306</v>
      </c>
      <c r="Y662" s="234" t="s">
        <v>306</v>
      </c>
      <c r="Z662" s="209" t="s">
        <v>306</v>
      </c>
      <c r="AA662" s="209" t="s">
        <v>306</v>
      </c>
      <c r="AB662" s="234" t="s">
        <v>306</v>
      </c>
      <c r="AC662" s="235" t="s">
        <v>306</v>
      </c>
      <c r="AD662" s="209" t="s">
        <v>306</v>
      </c>
      <c r="AE662" s="209" t="s">
        <v>306</v>
      </c>
      <c r="AF662" s="234" t="s">
        <v>306</v>
      </c>
      <c r="AG662" s="209" t="s">
        <v>306</v>
      </c>
      <c r="AH662" s="209" t="s">
        <v>306</v>
      </c>
      <c r="AI662" s="234" t="s">
        <v>306</v>
      </c>
      <c r="AJ662" s="209" t="s">
        <v>306</v>
      </c>
      <c r="AK662" s="209" t="s">
        <v>306</v>
      </c>
      <c r="AL662" s="234" t="s">
        <v>306</v>
      </c>
      <c r="AM662" s="209" t="s">
        <v>306</v>
      </c>
      <c r="AN662" s="209" t="s">
        <v>306</v>
      </c>
      <c r="AO662" s="234" t="s">
        <v>306</v>
      </c>
      <c r="AP662" s="235" t="s">
        <v>306</v>
      </c>
      <c r="AQ662" s="209" t="s">
        <v>306</v>
      </c>
      <c r="AR662" s="209" t="s">
        <v>306</v>
      </c>
      <c r="AS662" s="234" t="s">
        <v>306</v>
      </c>
      <c r="AT662" s="209" t="s">
        <v>306</v>
      </c>
      <c r="AU662" s="209" t="s">
        <v>306</v>
      </c>
      <c r="AV662" s="234" t="s">
        <v>306</v>
      </c>
      <c r="AW662" s="209" t="s">
        <v>306</v>
      </c>
      <c r="AX662" s="209" t="s">
        <v>306</v>
      </c>
      <c r="AY662" s="234" t="s">
        <v>306</v>
      </c>
      <c r="AZ662" s="209" t="s">
        <v>306</v>
      </c>
      <c r="BA662" s="209" t="s">
        <v>306</v>
      </c>
      <c r="BB662" s="234" t="s">
        <v>19</v>
      </c>
      <c r="BC662" s="235" t="s">
        <v>19</v>
      </c>
      <c r="BD662" s="188"/>
    </row>
    <row r="663" spans="1:56" ht="12.75" customHeight="1" x14ac:dyDescent="0.25">
      <c r="A663" s="238">
        <v>45266.905320949074</v>
      </c>
      <c r="B663" s="233" t="s">
        <v>384</v>
      </c>
      <c r="C663" s="209" t="s">
        <v>587</v>
      </c>
      <c r="D663" s="232" t="s">
        <v>17</v>
      </c>
      <c r="E663" s="232" t="s">
        <v>515</v>
      </c>
      <c r="F663" s="209" t="s">
        <v>1234</v>
      </c>
      <c r="G663" s="232" t="s">
        <v>18</v>
      </c>
      <c r="H663" s="232">
        <v>14</v>
      </c>
      <c r="I663" s="209" t="s">
        <v>518</v>
      </c>
      <c r="J663" s="209" t="s">
        <v>560</v>
      </c>
      <c r="K663" s="209" t="s">
        <v>560</v>
      </c>
      <c r="L663" s="209" t="s">
        <v>518</v>
      </c>
      <c r="M663" s="209" t="s">
        <v>375</v>
      </c>
      <c r="N663" s="209" t="s">
        <v>375</v>
      </c>
      <c r="O663" s="209"/>
      <c r="P663" s="209"/>
      <c r="Q663" s="209" t="s">
        <v>25</v>
      </c>
      <c r="R663" s="209" t="s">
        <v>25</v>
      </c>
      <c r="S663" s="234" t="s">
        <v>25</v>
      </c>
      <c r="T663" s="209" t="s">
        <v>25</v>
      </c>
      <c r="U663" s="209" t="s">
        <v>25</v>
      </c>
      <c r="V663" s="234" t="s">
        <v>25</v>
      </c>
      <c r="W663" s="209" t="s">
        <v>25</v>
      </c>
      <c r="X663" s="209" t="s">
        <v>25</v>
      </c>
      <c r="Y663" s="234" t="s">
        <v>25</v>
      </c>
      <c r="Z663" s="209" t="s">
        <v>25</v>
      </c>
      <c r="AA663" s="209" t="s">
        <v>25</v>
      </c>
      <c r="AB663" s="234" t="s">
        <v>25</v>
      </c>
      <c r="AC663" s="235" t="s">
        <v>25</v>
      </c>
      <c r="AD663" s="209" t="s">
        <v>25</v>
      </c>
      <c r="AE663" s="209" t="s">
        <v>25</v>
      </c>
      <c r="AF663" s="234" t="s">
        <v>25</v>
      </c>
      <c r="AG663" s="209" t="s">
        <v>25</v>
      </c>
      <c r="AH663" s="209" t="s">
        <v>19</v>
      </c>
      <c r="AI663" s="234" t="s">
        <v>306</v>
      </c>
      <c r="AJ663" s="209" t="s">
        <v>25</v>
      </c>
      <c r="AK663" s="209" t="s">
        <v>306</v>
      </c>
      <c r="AL663" s="234" t="s">
        <v>25</v>
      </c>
      <c r="AM663" s="209" t="s">
        <v>25</v>
      </c>
      <c r="AN663" s="209" t="s">
        <v>306</v>
      </c>
      <c r="AO663" s="234" t="s">
        <v>25</v>
      </c>
      <c r="AP663" s="235" t="s">
        <v>25</v>
      </c>
      <c r="AQ663" s="209" t="s">
        <v>306</v>
      </c>
      <c r="AR663" s="209" t="s">
        <v>25</v>
      </c>
      <c r="AS663" s="234" t="s">
        <v>25</v>
      </c>
      <c r="AT663" s="209" t="s">
        <v>25</v>
      </c>
      <c r="AU663" s="209" t="s">
        <v>25</v>
      </c>
      <c r="AV663" s="234" t="s">
        <v>25</v>
      </c>
      <c r="AW663" s="209" t="s">
        <v>25</v>
      </c>
      <c r="AX663" s="209" t="s">
        <v>306</v>
      </c>
      <c r="AY663" s="234" t="s">
        <v>25</v>
      </c>
      <c r="AZ663" s="209" t="s">
        <v>25</v>
      </c>
      <c r="BA663" s="209" t="s">
        <v>306</v>
      </c>
      <c r="BB663" s="234" t="s">
        <v>19</v>
      </c>
      <c r="BC663" s="235" t="s">
        <v>19</v>
      </c>
      <c r="BD663" s="188"/>
    </row>
    <row r="664" spans="1:56" ht="12.75" customHeight="1" x14ac:dyDescent="0.25">
      <c r="A664" s="238">
        <v>45266.907739560185</v>
      </c>
      <c r="B664" s="233" t="s">
        <v>384</v>
      </c>
      <c r="C664" s="209" t="s">
        <v>587</v>
      </c>
      <c r="D664" s="232" t="s">
        <v>17</v>
      </c>
      <c r="E664" s="232" t="s">
        <v>515</v>
      </c>
      <c r="F664" s="209" t="s">
        <v>1235</v>
      </c>
      <c r="G664" s="232" t="s">
        <v>18</v>
      </c>
      <c r="H664" s="232">
        <v>12</v>
      </c>
      <c r="I664" s="209" t="s">
        <v>518</v>
      </c>
      <c r="J664" s="209" t="s">
        <v>560</v>
      </c>
      <c r="K664" s="209" t="s">
        <v>560</v>
      </c>
      <c r="L664" s="209" t="s">
        <v>518</v>
      </c>
      <c r="M664" s="209" t="s">
        <v>412</v>
      </c>
      <c r="N664" s="209" t="s">
        <v>589</v>
      </c>
      <c r="O664" s="209"/>
      <c r="P664" s="209"/>
      <c r="Q664" s="209" t="s">
        <v>25</v>
      </c>
      <c r="R664" s="209" t="s">
        <v>19</v>
      </c>
      <c r="S664" s="234" t="s">
        <v>306</v>
      </c>
      <c r="T664" s="209" t="s">
        <v>306</v>
      </c>
      <c r="U664" s="209" t="s">
        <v>25</v>
      </c>
      <c r="V664" s="234" t="s">
        <v>25</v>
      </c>
      <c r="W664" s="209" t="s">
        <v>306</v>
      </c>
      <c r="X664" s="209" t="s">
        <v>306</v>
      </c>
      <c r="Y664" s="234" t="s">
        <v>306</v>
      </c>
      <c r="Z664" s="209" t="s">
        <v>19</v>
      </c>
      <c r="AA664" s="209" t="s">
        <v>19</v>
      </c>
      <c r="AB664" s="234" t="s">
        <v>19</v>
      </c>
      <c r="AC664" s="235" t="s">
        <v>306</v>
      </c>
      <c r="AD664" s="209" t="s">
        <v>25</v>
      </c>
      <c r="AE664" s="209" t="s">
        <v>306</v>
      </c>
      <c r="AF664" s="234" t="s">
        <v>25</v>
      </c>
      <c r="AG664" s="209" t="s">
        <v>306</v>
      </c>
      <c r="AH664" s="209" t="s">
        <v>25</v>
      </c>
      <c r="AI664" s="234" t="s">
        <v>25</v>
      </c>
      <c r="AJ664" s="209" t="s">
        <v>19</v>
      </c>
      <c r="AK664" s="209" t="s">
        <v>306</v>
      </c>
      <c r="AL664" s="234" t="s">
        <v>306</v>
      </c>
      <c r="AM664" s="209" t="s">
        <v>19</v>
      </c>
      <c r="AN664" s="209" t="s">
        <v>306</v>
      </c>
      <c r="AO664" s="234" t="s">
        <v>306</v>
      </c>
      <c r="AP664" s="235" t="s">
        <v>306</v>
      </c>
      <c r="AQ664" s="209" t="s">
        <v>306</v>
      </c>
      <c r="AR664" s="209" t="s">
        <v>306</v>
      </c>
      <c r="AS664" s="234" t="s">
        <v>306</v>
      </c>
      <c r="AT664" s="209" t="s">
        <v>19</v>
      </c>
      <c r="AU664" s="209" t="s">
        <v>25</v>
      </c>
      <c r="AV664" s="234" t="s">
        <v>306</v>
      </c>
      <c r="AW664" s="209" t="s">
        <v>306</v>
      </c>
      <c r="AX664" s="209" t="s">
        <v>19</v>
      </c>
      <c r="AY664" s="234" t="s">
        <v>306</v>
      </c>
      <c r="AZ664" s="209" t="s">
        <v>306</v>
      </c>
      <c r="BA664" s="209" t="s">
        <v>306</v>
      </c>
      <c r="BB664" s="234" t="s">
        <v>19</v>
      </c>
      <c r="BC664" s="235" t="s">
        <v>19</v>
      </c>
      <c r="BD664" s="188"/>
    </row>
    <row r="665" spans="1:56" ht="12.75" customHeight="1" x14ac:dyDescent="0.25">
      <c r="A665" s="238">
        <v>45266.911314016208</v>
      </c>
      <c r="B665" s="233" t="s">
        <v>384</v>
      </c>
      <c r="C665" s="209" t="s">
        <v>587</v>
      </c>
      <c r="D665" s="232" t="s">
        <v>17</v>
      </c>
      <c r="E665" s="232" t="s">
        <v>515</v>
      </c>
      <c r="F665" s="209" t="s">
        <v>1236</v>
      </c>
      <c r="G665" s="232" t="s">
        <v>24</v>
      </c>
      <c r="H665" s="232">
        <v>12</v>
      </c>
      <c r="I665" s="209" t="s">
        <v>518</v>
      </c>
      <c r="J665" s="209" t="s">
        <v>560</v>
      </c>
      <c r="K665" s="209" t="s">
        <v>560</v>
      </c>
      <c r="L665" s="209" t="s">
        <v>518</v>
      </c>
      <c r="M665" s="209" t="s">
        <v>375</v>
      </c>
      <c r="N665" s="209" t="s">
        <v>375</v>
      </c>
      <c r="O665" s="209"/>
      <c r="P665" s="209"/>
      <c r="Q665" s="209" t="s">
        <v>306</v>
      </c>
      <c r="R665" s="209" t="s">
        <v>306</v>
      </c>
      <c r="S665" s="234" t="s">
        <v>306</v>
      </c>
      <c r="T665" s="209" t="s">
        <v>25</v>
      </c>
      <c r="U665" s="209" t="s">
        <v>25</v>
      </c>
      <c r="V665" s="234" t="s">
        <v>25</v>
      </c>
      <c r="W665" s="209" t="s">
        <v>306</v>
      </c>
      <c r="X665" s="209" t="s">
        <v>306</v>
      </c>
      <c r="Y665" s="234" t="s">
        <v>306</v>
      </c>
      <c r="Z665" s="209" t="s">
        <v>306</v>
      </c>
      <c r="AA665" s="209" t="s">
        <v>306</v>
      </c>
      <c r="AB665" s="234" t="s">
        <v>306</v>
      </c>
      <c r="AC665" s="235" t="s">
        <v>306</v>
      </c>
      <c r="AD665" s="209" t="s">
        <v>25</v>
      </c>
      <c r="AE665" s="209" t="s">
        <v>25</v>
      </c>
      <c r="AF665" s="234" t="s">
        <v>25</v>
      </c>
      <c r="AG665" s="209" t="s">
        <v>19</v>
      </c>
      <c r="AH665" s="209" t="s">
        <v>19</v>
      </c>
      <c r="AI665" s="234" t="s">
        <v>19</v>
      </c>
      <c r="AJ665" s="209" t="s">
        <v>25</v>
      </c>
      <c r="AK665" s="209" t="s">
        <v>306</v>
      </c>
      <c r="AL665" s="234" t="s">
        <v>25</v>
      </c>
      <c r="AM665" s="209" t="s">
        <v>19</v>
      </c>
      <c r="AN665" s="209" t="s">
        <v>19</v>
      </c>
      <c r="AO665" s="234" t="s">
        <v>19</v>
      </c>
      <c r="AP665" s="235" t="s">
        <v>306</v>
      </c>
      <c r="AQ665" s="209" t="s">
        <v>25</v>
      </c>
      <c r="AR665" s="209" t="s">
        <v>25</v>
      </c>
      <c r="AS665" s="234" t="s">
        <v>25</v>
      </c>
      <c r="AT665" s="209" t="s">
        <v>25</v>
      </c>
      <c r="AU665" s="209" t="s">
        <v>25</v>
      </c>
      <c r="AV665" s="234" t="s">
        <v>25</v>
      </c>
      <c r="AW665" s="209" t="s">
        <v>306</v>
      </c>
      <c r="AX665" s="209" t="s">
        <v>25</v>
      </c>
      <c r="AY665" s="234" t="s">
        <v>25</v>
      </c>
      <c r="AZ665" s="209" t="s">
        <v>25</v>
      </c>
      <c r="BA665" s="209" t="s">
        <v>25</v>
      </c>
      <c r="BB665" s="234" t="s">
        <v>19</v>
      </c>
      <c r="BC665" s="235" t="s">
        <v>19</v>
      </c>
      <c r="BD665" s="188"/>
    </row>
    <row r="666" spans="1:56" ht="12.75" customHeight="1" x14ac:dyDescent="0.25">
      <c r="A666" s="238">
        <v>45266.91601818287</v>
      </c>
      <c r="B666" s="233" t="s">
        <v>384</v>
      </c>
      <c r="C666" s="209" t="s">
        <v>587</v>
      </c>
      <c r="D666" s="232" t="s">
        <v>17</v>
      </c>
      <c r="E666" s="232" t="s">
        <v>515</v>
      </c>
      <c r="F666" s="209" t="s">
        <v>1237</v>
      </c>
      <c r="G666" s="232" t="s">
        <v>18</v>
      </c>
      <c r="H666" s="232">
        <v>12</v>
      </c>
      <c r="I666" s="209" t="s">
        <v>518</v>
      </c>
      <c r="J666" s="209" t="s">
        <v>560</v>
      </c>
      <c r="K666" s="209" t="s">
        <v>560</v>
      </c>
      <c r="L666" s="209" t="s">
        <v>518</v>
      </c>
      <c r="M666" s="209" t="s">
        <v>412</v>
      </c>
      <c r="N666" s="209" t="s">
        <v>589</v>
      </c>
      <c r="O666" s="209"/>
      <c r="P666" s="209"/>
      <c r="Q666" s="209" t="s">
        <v>25</v>
      </c>
      <c r="R666" s="209" t="s">
        <v>25</v>
      </c>
      <c r="S666" s="234" t="s">
        <v>25</v>
      </c>
      <c r="T666" s="209" t="s">
        <v>25</v>
      </c>
      <c r="U666" s="209" t="s">
        <v>25</v>
      </c>
      <c r="V666" s="234" t="s">
        <v>25</v>
      </c>
      <c r="W666" s="209" t="s">
        <v>306</v>
      </c>
      <c r="X666" s="209" t="s">
        <v>25</v>
      </c>
      <c r="Y666" s="234" t="s">
        <v>25</v>
      </c>
      <c r="Z666" s="209" t="s">
        <v>306</v>
      </c>
      <c r="AA666" s="209" t="s">
        <v>306</v>
      </c>
      <c r="AB666" s="234" t="s">
        <v>306</v>
      </c>
      <c r="AC666" s="235" t="s">
        <v>25</v>
      </c>
      <c r="AD666" s="209" t="s">
        <v>19</v>
      </c>
      <c r="AE666" s="209" t="s">
        <v>19</v>
      </c>
      <c r="AF666" s="234" t="s">
        <v>19</v>
      </c>
      <c r="AG666" s="209" t="s">
        <v>306</v>
      </c>
      <c r="AH666" s="209" t="s">
        <v>306</v>
      </c>
      <c r="AI666" s="234" t="s">
        <v>306</v>
      </c>
      <c r="AJ666" s="209" t="s">
        <v>25</v>
      </c>
      <c r="AK666" s="209" t="s">
        <v>25</v>
      </c>
      <c r="AL666" s="234" t="s">
        <v>25</v>
      </c>
      <c r="AM666" s="209" t="s">
        <v>19</v>
      </c>
      <c r="AN666" s="209" t="s">
        <v>19</v>
      </c>
      <c r="AO666" s="234" t="s">
        <v>19</v>
      </c>
      <c r="AP666" s="235" t="s">
        <v>306</v>
      </c>
      <c r="AQ666" s="209" t="s">
        <v>25</v>
      </c>
      <c r="AR666" s="209" t="s">
        <v>25</v>
      </c>
      <c r="AS666" s="234" t="s">
        <v>25</v>
      </c>
      <c r="AT666" s="209" t="s">
        <v>25</v>
      </c>
      <c r="AU666" s="209" t="s">
        <v>25</v>
      </c>
      <c r="AV666" s="234" t="s">
        <v>25</v>
      </c>
      <c r="AW666" s="209" t="s">
        <v>306</v>
      </c>
      <c r="AX666" s="209" t="s">
        <v>25</v>
      </c>
      <c r="AY666" s="234" t="s">
        <v>25</v>
      </c>
      <c r="AZ666" s="209" t="s">
        <v>19</v>
      </c>
      <c r="BA666" s="209" t="s">
        <v>306</v>
      </c>
      <c r="BB666" s="234" t="s">
        <v>19</v>
      </c>
      <c r="BC666" s="235" t="s">
        <v>19</v>
      </c>
      <c r="BD666" s="188"/>
    </row>
    <row r="667" spans="1:56" ht="12.75" customHeight="1" x14ac:dyDescent="0.25">
      <c r="A667" s="238">
        <v>45266.918154293977</v>
      </c>
      <c r="B667" s="233" t="s">
        <v>384</v>
      </c>
      <c r="C667" s="209" t="s">
        <v>587</v>
      </c>
      <c r="D667" s="232" t="s">
        <v>17</v>
      </c>
      <c r="E667" s="232" t="s">
        <v>515</v>
      </c>
      <c r="F667" s="209" t="s">
        <v>1238</v>
      </c>
      <c r="G667" s="232" t="s">
        <v>24</v>
      </c>
      <c r="H667" s="232">
        <v>12</v>
      </c>
      <c r="I667" s="209" t="s">
        <v>518</v>
      </c>
      <c r="J667" s="209" t="s">
        <v>560</v>
      </c>
      <c r="K667" s="209" t="s">
        <v>560</v>
      </c>
      <c r="L667" s="209" t="s">
        <v>531</v>
      </c>
      <c r="M667" s="188"/>
      <c r="N667" s="188"/>
      <c r="O667" s="188"/>
      <c r="P667" s="188"/>
      <c r="Q667" s="209" t="s">
        <v>306</v>
      </c>
      <c r="R667" s="209" t="s">
        <v>306</v>
      </c>
      <c r="S667" s="234" t="s">
        <v>306</v>
      </c>
      <c r="T667" s="209" t="s">
        <v>306</v>
      </c>
      <c r="U667" s="209" t="s">
        <v>306</v>
      </c>
      <c r="V667" s="234" t="s">
        <v>306</v>
      </c>
      <c r="W667" s="209" t="s">
        <v>306</v>
      </c>
      <c r="X667" s="209" t="s">
        <v>306</v>
      </c>
      <c r="Y667" s="234" t="s">
        <v>306</v>
      </c>
      <c r="Z667" s="209" t="s">
        <v>306</v>
      </c>
      <c r="AA667" s="209" t="s">
        <v>306</v>
      </c>
      <c r="AB667" s="234" t="s">
        <v>306</v>
      </c>
      <c r="AC667" s="235" t="s">
        <v>306</v>
      </c>
      <c r="AD667" s="209" t="s">
        <v>306</v>
      </c>
      <c r="AE667" s="209" t="s">
        <v>306</v>
      </c>
      <c r="AF667" s="234" t="s">
        <v>306</v>
      </c>
      <c r="AG667" s="209" t="s">
        <v>25</v>
      </c>
      <c r="AH667" s="209" t="s">
        <v>306</v>
      </c>
      <c r="AI667" s="234" t="s">
        <v>25</v>
      </c>
      <c r="AJ667" s="209" t="s">
        <v>25</v>
      </c>
      <c r="AK667" s="209" t="s">
        <v>306</v>
      </c>
      <c r="AL667" s="234" t="s">
        <v>25</v>
      </c>
      <c r="AM667" s="209" t="s">
        <v>306</v>
      </c>
      <c r="AN667" s="209" t="s">
        <v>306</v>
      </c>
      <c r="AO667" s="234" t="s">
        <v>306</v>
      </c>
      <c r="AP667" s="235" t="s">
        <v>306</v>
      </c>
      <c r="AQ667" s="209" t="s">
        <v>25</v>
      </c>
      <c r="AR667" s="209" t="s">
        <v>25</v>
      </c>
      <c r="AS667" s="234" t="s">
        <v>25</v>
      </c>
      <c r="AT667" s="209" t="s">
        <v>25</v>
      </c>
      <c r="AU667" s="209" t="s">
        <v>25</v>
      </c>
      <c r="AV667" s="234" t="s">
        <v>25</v>
      </c>
      <c r="AW667" s="209" t="s">
        <v>25</v>
      </c>
      <c r="AX667" s="209" t="s">
        <v>25</v>
      </c>
      <c r="AY667" s="234" t="s">
        <v>25</v>
      </c>
      <c r="AZ667" s="209" t="s">
        <v>25</v>
      </c>
      <c r="BA667" s="209" t="s">
        <v>25</v>
      </c>
      <c r="BB667" s="234" t="s">
        <v>306</v>
      </c>
      <c r="BC667" s="235" t="s">
        <v>306</v>
      </c>
      <c r="BD667" s="188"/>
    </row>
    <row r="668" spans="1:56" ht="12.75" customHeight="1" x14ac:dyDescent="0.25">
      <c r="A668" s="238">
        <v>45268.143813206014</v>
      </c>
      <c r="B668" s="233" t="s">
        <v>384</v>
      </c>
      <c r="C668" s="209" t="s">
        <v>587</v>
      </c>
      <c r="D668" s="232" t="s">
        <v>17</v>
      </c>
      <c r="E668" s="232" t="s">
        <v>515</v>
      </c>
      <c r="F668" s="209" t="s">
        <v>1239</v>
      </c>
      <c r="G668" s="232" t="s">
        <v>18</v>
      </c>
      <c r="H668" s="232">
        <v>11</v>
      </c>
      <c r="I668" s="209" t="s">
        <v>518</v>
      </c>
      <c r="J668" s="209" t="s">
        <v>560</v>
      </c>
      <c r="K668" s="209" t="s">
        <v>560</v>
      </c>
      <c r="L668" s="209" t="s">
        <v>531</v>
      </c>
      <c r="M668" s="188"/>
      <c r="N668" s="188"/>
      <c r="O668" s="188"/>
      <c r="P668" s="188"/>
      <c r="Q668" s="209" t="s">
        <v>19</v>
      </c>
      <c r="R668" s="209" t="s">
        <v>25</v>
      </c>
      <c r="S668" s="234" t="s">
        <v>306</v>
      </c>
      <c r="T668" s="209" t="s">
        <v>25</v>
      </c>
      <c r="U668" s="209" t="s">
        <v>25</v>
      </c>
      <c r="V668" s="234" t="s">
        <v>25</v>
      </c>
      <c r="W668" s="209" t="s">
        <v>25</v>
      </c>
      <c r="X668" s="209" t="s">
        <v>25</v>
      </c>
      <c r="Y668" s="234" t="s">
        <v>25</v>
      </c>
      <c r="Z668" s="209" t="s">
        <v>25</v>
      </c>
      <c r="AA668" s="209" t="s">
        <v>306</v>
      </c>
      <c r="AB668" s="234" t="s">
        <v>25</v>
      </c>
      <c r="AC668" s="235" t="s">
        <v>25</v>
      </c>
      <c r="AD668" s="209" t="s">
        <v>306</v>
      </c>
      <c r="AE668" s="209" t="s">
        <v>25</v>
      </c>
      <c r="AF668" s="234" t="s">
        <v>25</v>
      </c>
      <c r="AG668" s="209" t="s">
        <v>25</v>
      </c>
      <c r="AH668" s="209" t="s">
        <v>19</v>
      </c>
      <c r="AI668" s="234" t="s">
        <v>306</v>
      </c>
      <c r="AJ668" s="209" t="s">
        <v>25</v>
      </c>
      <c r="AK668" s="209" t="s">
        <v>306</v>
      </c>
      <c r="AL668" s="234" t="s">
        <v>25</v>
      </c>
      <c r="AM668" s="209" t="s">
        <v>19</v>
      </c>
      <c r="AN668" s="209" t="s">
        <v>19</v>
      </c>
      <c r="AO668" s="234" t="s">
        <v>19</v>
      </c>
      <c r="AP668" s="235" t="s">
        <v>306</v>
      </c>
      <c r="AQ668" s="209" t="s">
        <v>306</v>
      </c>
      <c r="AR668" s="209" t="s">
        <v>25</v>
      </c>
      <c r="AS668" s="234" t="s">
        <v>25</v>
      </c>
      <c r="AT668" s="209" t="s">
        <v>25</v>
      </c>
      <c r="AU668" s="209" t="s">
        <v>306</v>
      </c>
      <c r="AV668" s="234" t="s">
        <v>25</v>
      </c>
      <c r="AW668" s="209" t="s">
        <v>306</v>
      </c>
      <c r="AX668" s="209" t="s">
        <v>25</v>
      </c>
      <c r="AY668" s="234" t="s">
        <v>25</v>
      </c>
      <c r="AZ668" s="209" t="s">
        <v>25</v>
      </c>
      <c r="BA668" s="209" t="s">
        <v>19</v>
      </c>
      <c r="BB668" s="234" t="s">
        <v>19</v>
      </c>
      <c r="BC668" s="235" t="s">
        <v>19</v>
      </c>
      <c r="BD668" s="188"/>
    </row>
    <row r="669" spans="1:56" ht="12.75" customHeight="1" x14ac:dyDescent="0.25">
      <c r="A669" s="238">
        <v>44788.594366053236</v>
      </c>
      <c r="B669" s="137" t="s">
        <v>384</v>
      </c>
      <c r="C669" s="211" t="s">
        <v>595</v>
      </c>
      <c r="D669" s="211" t="s">
        <v>17</v>
      </c>
      <c r="E669" s="232" t="s">
        <v>515</v>
      </c>
      <c r="F669" s="188" t="s">
        <v>1240</v>
      </c>
      <c r="G669" s="211" t="s">
        <v>18</v>
      </c>
      <c r="H669" s="211">
        <v>11</v>
      </c>
      <c r="I669" s="188" t="s">
        <v>518</v>
      </c>
      <c r="J669" s="188" t="s">
        <v>560</v>
      </c>
      <c r="K669" s="209" t="s">
        <v>560</v>
      </c>
      <c r="L669" s="188" t="s">
        <v>518</v>
      </c>
      <c r="M669" s="188" t="s">
        <v>412</v>
      </c>
      <c r="N669" s="188"/>
      <c r="O669" s="188"/>
      <c r="P669" s="188"/>
      <c r="Q669" s="188" t="s">
        <v>25</v>
      </c>
      <c r="R669" s="188" t="s">
        <v>25</v>
      </c>
      <c r="S669" s="234" t="s">
        <v>25</v>
      </c>
      <c r="T669" s="188" t="s">
        <v>25</v>
      </c>
      <c r="U669" s="188" t="s">
        <v>25</v>
      </c>
      <c r="V669" s="234" t="s">
        <v>25</v>
      </c>
      <c r="W669" s="188" t="s">
        <v>25</v>
      </c>
      <c r="X669" s="188" t="s">
        <v>25</v>
      </c>
      <c r="Y669" s="234" t="s">
        <v>25</v>
      </c>
      <c r="Z669" s="188" t="s">
        <v>25</v>
      </c>
      <c r="AA669" s="188" t="s">
        <v>25</v>
      </c>
      <c r="AB669" s="234" t="s">
        <v>25</v>
      </c>
      <c r="AC669" s="235" t="s">
        <v>25</v>
      </c>
      <c r="AD669" s="188" t="s">
        <v>25</v>
      </c>
      <c r="AE669" s="188" t="s">
        <v>25</v>
      </c>
      <c r="AF669" s="234" t="s">
        <v>25</v>
      </c>
      <c r="AG669" s="188" t="s">
        <v>25</v>
      </c>
      <c r="AH669" s="188" t="s">
        <v>25</v>
      </c>
      <c r="AI669" s="234" t="s">
        <v>25</v>
      </c>
      <c r="AJ669" s="188" t="s">
        <v>25</v>
      </c>
      <c r="AK669" s="188" t="s">
        <v>25</v>
      </c>
      <c r="AL669" s="234" t="s">
        <v>25</v>
      </c>
      <c r="AM669" s="188" t="s">
        <v>25</v>
      </c>
      <c r="AN669" s="188" t="s">
        <v>19</v>
      </c>
      <c r="AO669" s="234" t="s">
        <v>306</v>
      </c>
      <c r="AP669" s="235" t="s">
        <v>25</v>
      </c>
      <c r="AQ669" s="188" t="s">
        <v>25</v>
      </c>
      <c r="AR669" s="188" t="s">
        <v>19</v>
      </c>
      <c r="AS669" s="234" t="s">
        <v>306</v>
      </c>
      <c r="AT669" s="188" t="s">
        <v>25</v>
      </c>
      <c r="AU669" s="188" t="s">
        <v>25</v>
      </c>
      <c r="AV669" s="234" t="s">
        <v>25</v>
      </c>
      <c r="AW669" s="188" t="s">
        <v>25</v>
      </c>
      <c r="AX669" s="188" t="s">
        <v>25</v>
      </c>
      <c r="AY669" s="234" t="s">
        <v>25</v>
      </c>
      <c r="AZ669" s="188" t="s">
        <v>25</v>
      </c>
      <c r="BA669" s="188" t="s">
        <v>25</v>
      </c>
      <c r="BB669" s="234" t="s">
        <v>19</v>
      </c>
      <c r="BC669" s="235" t="s">
        <v>19</v>
      </c>
      <c r="BD669" s="188"/>
    </row>
    <row r="670" spans="1:56" ht="12.75" customHeight="1" x14ac:dyDescent="0.25">
      <c r="A670" s="238">
        <v>44788.596963159725</v>
      </c>
      <c r="B670" s="137" t="s">
        <v>384</v>
      </c>
      <c r="C670" s="211" t="s">
        <v>595</v>
      </c>
      <c r="D670" s="211" t="s">
        <v>17</v>
      </c>
      <c r="E670" s="232" t="s">
        <v>515</v>
      </c>
      <c r="F670" s="188" t="s">
        <v>1241</v>
      </c>
      <c r="G670" s="211" t="s">
        <v>18</v>
      </c>
      <c r="H670" s="211">
        <v>11</v>
      </c>
      <c r="I670" s="188" t="s">
        <v>518</v>
      </c>
      <c r="J670" s="188" t="s">
        <v>560</v>
      </c>
      <c r="K670" s="209" t="s">
        <v>560</v>
      </c>
      <c r="L670" s="188" t="s">
        <v>518</v>
      </c>
      <c r="M670" s="188" t="s">
        <v>412</v>
      </c>
      <c r="N670" s="188"/>
      <c r="O670" s="188"/>
      <c r="P670" s="188"/>
      <c r="Q670" s="188" t="s">
        <v>25</v>
      </c>
      <c r="R670" s="188" t="s">
        <v>25</v>
      </c>
      <c r="S670" s="234" t="s">
        <v>25</v>
      </c>
      <c r="T670" s="188" t="s">
        <v>25</v>
      </c>
      <c r="U670" s="188" t="s">
        <v>25</v>
      </c>
      <c r="V670" s="234" t="s">
        <v>25</v>
      </c>
      <c r="W670" s="188" t="s">
        <v>25</v>
      </c>
      <c r="X670" s="188" t="s">
        <v>25</v>
      </c>
      <c r="Y670" s="234" t="s">
        <v>25</v>
      </c>
      <c r="Z670" s="188" t="s">
        <v>25</v>
      </c>
      <c r="AA670" s="188" t="s">
        <v>25</v>
      </c>
      <c r="AB670" s="234" t="s">
        <v>25</v>
      </c>
      <c r="AC670" s="235" t="s">
        <v>25</v>
      </c>
      <c r="AD670" s="188" t="s">
        <v>25</v>
      </c>
      <c r="AE670" s="188" t="s">
        <v>25</v>
      </c>
      <c r="AF670" s="234" t="s">
        <v>25</v>
      </c>
      <c r="AG670" s="188" t="s">
        <v>25</v>
      </c>
      <c r="AH670" s="188" t="s">
        <v>25</v>
      </c>
      <c r="AI670" s="234" t="s">
        <v>25</v>
      </c>
      <c r="AJ670" s="188" t="s">
        <v>25</v>
      </c>
      <c r="AK670" s="188" t="s">
        <v>25</v>
      </c>
      <c r="AL670" s="234" t="s">
        <v>25</v>
      </c>
      <c r="AM670" s="188" t="s">
        <v>25</v>
      </c>
      <c r="AN670" s="188" t="s">
        <v>19</v>
      </c>
      <c r="AO670" s="234" t="s">
        <v>306</v>
      </c>
      <c r="AP670" s="235" t="s">
        <v>25</v>
      </c>
      <c r="AQ670" s="188" t="s">
        <v>25</v>
      </c>
      <c r="AR670" s="188" t="s">
        <v>19</v>
      </c>
      <c r="AS670" s="234" t="s">
        <v>306</v>
      </c>
      <c r="AT670" s="188" t="s">
        <v>25</v>
      </c>
      <c r="AU670" s="188" t="s">
        <v>25</v>
      </c>
      <c r="AV670" s="234" t="s">
        <v>25</v>
      </c>
      <c r="AW670" s="188" t="s">
        <v>25</v>
      </c>
      <c r="AX670" s="188" t="s">
        <v>25</v>
      </c>
      <c r="AY670" s="234" t="s">
        <v>25</v>
      </c>
      <c r="AZ670" s="188" t="s">
        <v>25</v>
      </c>
      <c r="BA670" s="188" t="s">
        <v>25</v>
      </c>
      <c r="BB670" s="234" t="s">
        <v>19</v>
      </c>
      <c r="BC670" s="235" t="s">
        <v>19</v>
      </c>
      <c r="BD670" s="188"/>
    </row>
    <row r="671" spans="1:56" ht="12.75" customHeight="1" x14ac:dyDescent="0.25">
      <c r="A671" s="238">
        <v>44788.59934980324</v>
      </c>
      <c r="B671" s="137" t="s">
        <v>384</v>
      </c>
      <c r="C671" s="211" t="s">
        <v>595</v>
      </c>
      <c r="D671" s="211" t="s">
        <v>17</v>
      </c>
      <c r="E671" s="232" t="s">
        <v>515</v>
      </c>
      <c r="F671" s="188" t="s">
        <v>1242</v>
      </c>
      <c r="G671" s="211" t="s">
        <v>18</v>
      </c>
      <c r="H671" s="211">
        <v>13</v>
      </c>
      <c r="I671" s="188" t="s">
        <v>518</v>
      </c>
      <c r="J671" s="188" t="s">
        <v>560</v>
      </c>
      <c r="K671" s="209" t="s">
        <v>560</v>
      </c>
      <c r="L671" s="188" t="s">
        <v>518</v>
      </c>
      <c r="M671" s="188" t="s">
        <v>412</v>
      </c>
      <c r="N671" s="188"/>
      <c r="O671" s="188"/>
      <c r="P671" s="188"/>
      <c r="Q671" s="188" t="s">
        <v>25</v>
      </c>
      <c r="R671" s="188" t="s">
        <v>25</v>
      </c>
      <c r="S671" s="234" t="s">
        <v>25</v>
      </c>
      <c r="T671" s="188" t="s">
        <v>25</v>
      </c>
      <c r="U671" s="188" t="s">
        <v>25</v>
      </c>
      <c r="V671" s="234" t="s">
        <v>25</v>
      </c>
      <c r="W671" s="188" t="s">
        <v>25</v>
      </c>
      <c r="X671" s="188" t="s">
        <v>306</v>
      </c>
      <c r="Y671" s="234" t="s">
        <v>25</v>
      </c>
      <c r="Z671" s="188" t="s">
        <v>25</v>
      </c>
      <c r="AA671" s="188" t="s">
        <v>25</v>
      </c>
      <c r="AB671" s="234" t="s">
        <v>25</v>
      </c>
      <c r="AC671" s="235" t="s">
        <v>25</v>
      </c>
      <c r="AD671" s="188" t="s">
        <v>25</v>
      </c>
      <c r="AE671" s="188" t="s">
        <v>306</v>
      </c>
      <c r="AF671" s="234" t="s">
        <v>25</v>
      </c>
      <c r="AG671" s="188" t="s">
        <v>25</v>
      </c>
      <c r="AH671" s="188" t="s">
        <v>306</v>
      </c>
      <c r="AI671" s="234" t="s">
        <v>25</v>
      </c>
      <c r="AJ671" s="188" t="s">
        <v>306</v>
      </c>
      <c r="AK671" s="188" t="s">
        <v>25</v>
      </c>
      <c r="AL671" s="234" t="s">
        <v>25</v>
      </c>
      <c r="AM671" s="188" t="s">
        <v>306</v>
      </c>
      <c r="AN671" s="188" t="s">
        <v>19</v>
      </c>
      <c r="AO671" s="234" t="s">
        <v>306</v>
      </c>
      <c r="AP671" s="235" t="s">
        <v>306</v>
      </c>
      <c r="AQ671" s="188" t="s">
        <v>306</v>
      </c>
      <c r="AR671" s="188" t="s">
        <v>19</v>
      </c>
      <c r="AS671" s="234" t="s">
        <v>306</v>
      </c>
      <c r="AT671" s="188" t="s">
        <v>25</v>
      </c>
      <c r="AU671" s="188" t="s">
        <v>25</v>
      </c>
      <c r="AV671" s="234" t="s">
        <v>25</v>
      </c>
      <c r="AW671" s="188" t="s">
        <v>306</v>
      </c>
      <c r="AX671" s="188" t="s">
        <v>306</v>
      </c>
      <c r="AY671" s="234" t="s">
        <v>306</v>
      </c>
      <c r="AZ671" s="188" t="s">
        <v>25</v>
      </c>
      <c r="BA671" s="188" t="s">
        <v>19</v>
      </c>
      <c r="BB671" s="234" t="s">
        <v>306</v>
      </c>
      <c r="BC671" s="235" t="s">
        <v>306</v>
      </c>
      <c r="BD671" s="188"/>
    </row>
    <row r="672" spans="1:56" ht="12.75" customHeight="1" x14ac:dyDescent="0.25">
      <c r="A672" s="238">
        <v>44788.603669583332</v>
      </c>
      <c r="B672" s="137" t="s">
        <v>384</v>
      </c>
      <c r="C672" s="211" t="s">
        <v>595</v>
      </c>
      <c r="D672" s="211" t="s">
        <v>17</v>
      </c>
      <c r="E672" s="232" t="s">
        <v>515</v>
      </c>
      <c r="F672" s="188" t="s">
        <v>1243</v>
      </c>
      <c r="G672" s="211" t="s">
        <v>24</v>
      </c>
      <c r="H672" s="211">
        <v>11</v>
      </c>
      <c r="I672" s="188" t="s">
        <v>518</v>
      </c>
      <c r="J672" s="188" t="s">
        <v>560</v>
      </c>
      <c r="K672" s="209" t="s">
        <v>560</v>
      </c>
      <c r="L672" s="188" t="s">
        <v>518</v>
      </c>
      <c r="M672" s="188" t="s">
        <v>412</v>
      </c>
      <c r="N672" s="188"/>
      <c r="O672" s="188"/>
      <c r="P672" s="188"/>
      <c r="Q672" s="188" t="s">
        <v>25</v>
      </c>
      <c r="R672" s="188" t="s">
        <v>25</v>
      </c>
      <c r="S672" s="234" t="s">
        <v>25</v>
      </c>
      <c r="T672" s="188" t="s">
        <v>25</v>
      </c>
      <c r="U672" s="188" t="s">
        <v>25</v>
      </c>
      <c r="V672" s="234" t="s">
        <v>25</v>
      </c>
      <c r="W672" s="188" t="s">
        <v>25</v>
      </c>
      <c r="X672" s="188" t="s">
        <v>306</v>
      </c>
      <c r="Y672" s="234" t="s">
        <v>25</v>
      </c>
      <c r="Z672" s="188" t="s">
        <v>306</v>
      </c>
      <c r="AA672" s="188" t="s">
        <v>25</v>
      </c>
      <c r="AB672" s="234" t="s">
        <v>25</v>
      </c>
      <c r="AC672" s="235" t="s">
        <v>25</v>
      </c>
      <c r="AD672" s="188" t="s">
        <v>25</v>
      </c>
      <c r="AE672" s="188" t="s">
        <v>306</v>
      </c>
      <c r="AF672" s="234" t="s">
        <v>25</v>
      </c>
      <c r="AG672" s="188" t="s">
        <v>25</v>
      </c>
      <c r="AH672" s="188" t="s">
        <v>306</v>
      </c>
      <c r="AI672" s="234" t="s">
        <v>25</v>
      </c>
      <c r="AJ672" s="188" t="s">
        <v>306</v>
      </c>
      <c r="AK672" s="188" t="s">
        <v>25</v>
      </c>
      <c r="AL672" s="234" t="s">
        <v>25</v>
      </c>
      <c r="AM672" s="188" t="s">
        <v>306</v>
      </c>
      <c r="AN672" s="188" t="s">
        <v>19</v>
      </c>
      <c r="AO672" s="234" t="s">
        <v>306</v>
      </c>
      <c r="AP672" s="235" t="s">
        <v>306</v>
      </c>
      <c r="AQ672" s="188" t="s">
        <v>306</v>
      </c>
      <c r="AR672" s="188" t="s">
        <v>19</v>
      </c>
      <c r="AS672" s="234" t="s">
        <v>306</v>
      </c>
      <c r="AT672" s="188" t="s">
        <v>25</v>
      </c>
      <c r="AU672" s="188" t="s">
        <v>25</v>
      </c>
      <c r="AV672" s="234" t="s">
        <v>25</v>
      </c>
      <c r="AW672" s="188" t="s">
        <v>306</v>
      </c>
      <c r="AX672" s="188" t="s">
        <v>306</v>
      </c>
      <c r="AY672" s="234" t="s">
        <v>306</v>
      </c>
      <c r="AZ672" s="188" t="s">
        <v>25</v>
      </c>
      <c r="BA672" s="188" t="s">
        <v>19</v>
      </c>
      <c r="BB672" s="234" t="s">
        <v>306</v>
      </c>
      <c r="BC672" s="235" t="s">
        <v>306</v>
      </c>
      <c r="BD672" s="188"/>
    </row>
    <row r="673" spans="1:56" ht="12.75" customHeight="1" x14ac:dyDescent="0.25">
      <c r="A673" s="238">
        <v>44788.665018807871</v>
      </c>
      <c r="B673" s="137" t="s">
        <v>384</v>
      </c>
      <c r="C673" s="211" t="s">
        <v>595</v>
      </c>
      <c r="D673" s="211" t="s">
        <v>17</v>
      </c>
      <c r="E673" s="232" t="s">
        <v>515</v>
      </c>
      <c r="F673" s="188" t="s">
        <v>1244</v>
      </c>
      <c r="G673" s="211" t="s">
        <v>18</v>
      </c>
      <c r="H673" s="211">
        <v>12</v>
      </c>
      <c r="I673" s="188" t="s">
        <v>518</v>
      </c>
      <c r="J673" s="188" t="s">
        <v>560</v>
      </c>
      <c r="K673" s="209" t="s">
        <v>560</v>
      </c>
      <c r="L673" s="188" t="s">
        <v>518</v>
      </c>
      <c r="M673" s="188" t="s">
        <v>412</v>
      </c>
      <c r="N673" s="188"/>
      <c r="O673" s="188"/>
      <c r="P673" s="188"/>
      <c r="Q673" s="188" t="s">
        <v>25</v>
      </c>
      <c r="R673" s="188" t="s">
        <v>25</v>
      </c>
      <c r="S673" s="234" t="s">
        <v>25</v>
      </c>
      <c r="T673" s="188" t="s">
        <v>25</v>
      </c>
      <c r="U673" s="188" t="s">
        <v>25</v>
      </c>
      <c r="V673" s="234" t="s">
        <v>25</v>
      </c>
      <c r="W673" s="188" t="s">
        <v>25</v>
      </c>
      <c r="X673" s="188" t="s">
        <v>25</v>
      </c>
      <c r="Y673" s="234" t="s">
        <v>25</v>
      </c>
      <c r="Z673" s="188" t="s">
        <v>25</v>
      </c>
      <c r="AA673" s="188" t="s">
        <v>25</v>
      </c>
      <c r="AB673" s="234" t="s">
        <v>25</v>
      </c>
      <c r="AC673" s="235" t="s">
        <v>25</v>
      </c>
      <c r="AD673" s="188" t="s">
        <v>25</v>
      </c>
      <c r="AE673" s="188" t="s">
        <v>25</v>
      </c>
      <c r="AF673" s="234" t="s">
        <v>25</v>
      </c>
      <c r="AG673" s="188" t="s">
        <v>306</v>
      </c>
      <c r="AH673" s="188" t="s">
        <v>306</v>
      </c>
      <c r="AI673" s="234" t="s">
        <v>306</v>
      </c>
      <c r="AJ673" s="188" t="s">
        <v>25</v>
      </c>
      <c r="AK673" s="188" t="s">
        <v>25</v>
      </c>
      <c r="AL673" s="234" t="s">
        <v>25</v>
      </c>
      <c r="AM673" s="188" t="s">
        <v>19</v>
      </c>
      <c r="AN673" s="188" t="s">
        <v>19</v>
      </c>
      <c r="AO673" s="234" t="s">
        <v>19</v>
      </c>
      <c r="AP673" s="235" t="s">
        <v>306</v>
      </c>
      <c r="AQ673" s="188" t="s">
        <v>25</v>
      </c>
      <c r="AR673" s="188" t="s">
        <v>19</v>
      </c>
      <c r="AS673" s="234" t="s">
        <v>306</v>
      </c>
      <c r="AT673" s="188" t="s">
        <v>25</v>
      </c>
      <c r="AU673" s="188" t="s">
        <v>19</v>
      </c>
      <c r="AV673" s="234" t="s">
        <v>306</v>
      </c>
      <c r="AW673" s="188" t="s">
        <v>25</v>
      </c>
      <c r="AX673" s="188" t="s">
        <v>25</v>
      </c>
      <c r="AY673" s="234" t="s">
        <v>25</v>
      </c>
      <c r="AZ673" s="188" t="s">
        <v>25</v>
      </c>
      <c r="BA673" s="188" t="s">
        <v>25</v>
      </c>
      <c r="BB673" s="234" t="s">
        <v>306</v>
      </c>
      <c r="BC673" s="235" t="s">
        <v>19</v>
      </c>
      <c r="BD673" s="188"/>
    </row>
    <row r="674" spans="1:56" ht="12.75" customHeight="1" x14ac:dyDescent="0.25">
      <c r="A674" s="238">
        <v>44788.668357662042</v>
      </c>
      <c r="B674" s="137" t="s">
        <v>384</v>
      </c>
      <c r="C674" s="211" t="s">
        <v>595</v>
      </c>
      <c r="D674" s="211" t="s">
        <v>17</v>
      </c>
      <c r="E674" s="232" t="s">
        <v>515</v>
      </c>
      <c r="F674" s="188" t="s">
        <v>1245</v>
      </c>
      <c r="G674" s="211" t="s">
        <v>24</v>
      </c>
      <c r="H674" s="211">
        <v>13</v>
      </c>
      <c r="I674" s="188" t="s">
        <v>518</v>
      </c>
      <c r="J674" s="188" t="s">
        <v>560</v>
      </c>
      <c r="K674" s="209" t="s">
        <v>560</v>
      </c>
      <c r="L674" s="188" t="s">
        <v>518</v>
      </c>
      <c r="M674" s="188" t="s">
        <v>412</v>
      </c>
      <c r="N674" s="188"/>
      <c r="O674" s="188"/>
      <c r="P674" s="188"/>
      <c r="Q674" s="188" t="s">
        <v>25</v>
      </c>
      <c r="R674" s="188" t="s">
        <v>25</v>
      </c>
      <c r="S674" s="234" t="s">
        <v>25</v>
      </c>
      <c r="T674" s="188" t="s">
        <v>25</v>
      </c>
      <c r="U674" s="188" t="s">
        <v>25</v>
      </c>
      <c r="V674" s="234" t="s">
        <v>25</v>
      </c>
      <c r="W674" s="188" t="s">
        <v>25</v>
      </c>
      <c r="X674" s="188" t="s">
        <v>25</v>
      </c>
      <c r="Y674" s="234" t="s">
        <v>25</v>
      </c>
      <c r="Z674" s="188" t="s">
        <v>25</v>
      </c>
      <c r="AA674" s="188" t="s">
        <v>25</v>
      </c>
      <c r="AB674" s="234" t="s">
        <v>25</v>
      </c>
      <c r="AC674" s="235" t="s">
        <v>25</v>
      </c>
      <c r="AD674" s="188" t="s">
        <v>25</v>
      </c>
      <c r="AE674" s="188" t="s">
        <v>25</v>
      </c>
      <c r="AF674" s="234" t="s">
        <v>25</v>
      </c>
      <c r="AG674" s="188" t="s">
        <v>25</v>
      </c>
      <c r="AH674" s="188" t="s">
        <v>306</v>
      </c>
      <c r="AI674" s="234" t="s">
        <v>25</v>
      </c>
      <c r="AJ674" s="188" t="s">
        <v>25</v>
      </c>
      <c r="AK674" s="188" t="s">
        <v>25</v>
      </c>
      <c r="AL674" s="234" t="s">
        <v>25</v>
      </c>
      <c r="AM674" s="188" t="s">
        <v>19</v>
      </c>
      <c r="AN674" s="188" t="s">
        <v>19</v>
      </c>
      <c r="AO674" s="234" t="s">
        <v>19</v>
      </c>
      <c r="AP674" s="235" t="s">
        <v>306</v>
      </c>
      <c r="AQ674" s="188" t="s">
        <v>25</v>
      </c>
      <c r="AR674" s="188" t="s">
        <v>19</v>
      </c>
      <c r="AS674" s="234" t="s">
        <v>306</v>
      </c>
      <c r="AT674" s="188" t="s">
        <v>25</v>
      </c>
      <c r="AU674" s="188" t="s">
        <v>25</v>
      </c>
      <c r="AV674" s="234" t="s">
        <v>25</v>
      </c>
      <c r="AW674" s="188" t="s">
        <v>25</v>
      </c>
      <c r="AX674" s="188" t="s">
        <v>25</v>
      </c>
      <c r="AY674" s="234" t="s">
        <v>25</v>
      </c>
      <c r="AZ674" s="188" t="s">
        <v>25</v>
      </c>
      <c r="BA674" s="188" t="s">
        <v>25</v>
      </c>
      <c r="BB674" s="234" t="s">
        <v>306</v>
      </c>
      <c r="BC674" s="235" t="s">
        <v>306</v>
      </c>
      <c r="BD674" s="188"/>
    </row>
    <row r="675" spans="1:56" ht="12.75" customHeight="1" x14ac:dyDescent="0.25">
      <c r="A675" s="238">
        <v>44788.713242118058</v>
      </c>
      <c r="B675" s="137" t="s">
        <v>384</v>
      </c>
      <c r="C675" s="211" t="s">
        <v>595</v>
      </c>
      <c r="D675" s="211" t="s">
        <v>17</v>
      </c>
      <c r="E675" s="232" t="s">
        <v>515</v>
      </c>
      <c r="F675" s="188" t="s">
        <v>1246</v>
      </c>
      <c r="G675" s="211" t="s">
        <v>18</v>
      </c>
      <c r="H675" s="211">
        <v>13</v>
      </c>
      <c r="I675" s="188" t="s">
        <v>518</v>
      </c>
      <c r="J675" s="188" t="s">
        <v>560</v>
      </c>
      <c r="K675" s="209" t="s">
        <v>560</v>
      </c>
      <c r="L675" s="188" t="s">
        <v>518</v>
      </c>
      <c r="M675" s="188" t="s">
        <v>412</v>
      </c>
      <c r="N675" s="188"/>
      <c r="O675" s="188"/>
      <c r="P675" s="188"/>
      <c r="Q675" s="188" t="s">
        <v>25</v>
      </c>
      <c r="R675" s="188" t="s">
        <v>25</v>
      </c>
      <c r="S675" s="234" t="s">
        <v>25</v>
      </c>
      <c r="T675" s="188" t="s">
        <v>25</v>
      </c>
      <c r="U675" s="188" t="s">
        <v>25</v>
      </c>
      <c r="V675" s="234" t="s">
        <v>25</v>
      </c>
      <c r="W675" s="188" t="s">
        <v>25</v>
      </c>
      <c r="X675" s="188" t="s">
        <v>25</v>
      </c>
      <c r="Y675" s="234" t="s">
        <v>25</v>
      </c>
      <c r="Z675" s="188" t="s">
        <v>25</v>
      </c>
      <c r="AA675" s="188" t="s">
        <v>306</v>
      </c>
      <c r="AB675" s="234" t="s">
        <v>25</v>
      </c>
      <c r="AC675" s="235" t="s">
        <v>25</v>
      </c>
      <c r="AD675" s="188" t="s">
        <v>25</v>
      </c>
      <c r="AE675" s="188" t="s">
        <v>25</v>
      </c>
      <c r="AF675" s="234" t="s">
        <v>25</v>
      </c>
      <c r="AG675" s="188" t="s">
        <v>25</v>
      </c>
      <c r="AH675" s="188" t="s">
        <v>25</v>
      </c>
      <c r="AI675" s="234" t="s">
        <v>25</v>
      </c>
      <c r="AJ675" s="188" t="s">
        <v>25</v>
      </c>
      <c r="AK675" s="188" t="s">
        <v>306</v>
      </c>
      <c r="AL675" s="234" t="s">
        <v>25</v>
      </c>
      <c r="AM675" s="188" t="s">
        <v>306</v>
      </c>
      <c r="AN675" s="188" t="s">
        <v>306</v>
      </c>
      <c r="AO675" s="234" t="s">
        <v>306</v>
      </c>
      <c r="AP675" s="235" t="s">
        <v>25</v>
      </c>
      <c r="AQ675" s="188" t="s">
        <v>25</v>
      </c>
      <c r="AR675" s="188" t="s">
        <v>19</v>
      </c>
      <c r="AS675" s="234" t="s">
        <v>306</v>
      </c>
      <c r="AT675" s="188" t="s">
        <v>25</v>
      </c>
      <c r="AU675" s="188" t="s">
        <v>306</v>
      </c>
      <c r="AV675" s="234" t="s">
        <v>25</v>
      </c>
      <c r="AW675" s="188" t="s">
        <v>25</v>
      </c>
      <c r="AX675" s="188" t="s">
        <v>25</v>
      </c>
      <c r="AY675" s="234" t="s">
        <v>25</v>
      </c>
      <c r="AZ675" s="188" t="s">
        <v>25</v>
      </c>
      <c r="BA675" s="188" t="s">
        <v>25</v>
      </c>
      <c r="BB675" s="234" t="s">
        <v>306</v>
      </c>
      <c r="BC675" s="235" t="s">
        <v>306</v>
      </c>
      <c r="BD675" s="188"/>
    </row>
    <row r="676" spans="1:56" ht="12.75" customHeight="1" x14ac:dyDescent="0.25">
      <c r="A676" s="238">
        <v>44788.715797210651</v>
      </c>
      <c r="B676" s="137" t="s">
        <v>384</v>
      </c>
      <c r="C676" s="211" t="s">
        <v>595</v>
      </c>
      <c r="D676" s="211" t="s">
        <v>17</v>
      </c>
      <c r="E676" s="232" t="s">
        <v>515</v>
      </c>
      <c r="F676" s="188" t="s">
        <v>1247</v>
      </c>
      <c r="G676" s="211" t="s">
        <v>24</v>
      </c>
      <c r="H676" s="211">
        <v>12</v>
      </c>
      <c r="I676" s="188" t="s">
        <v>518</v>
      </c>
      <c r="J676" s="188" t="s">
        <v>560</v>
      </c>
      <c r="K676" s="209" t="s">
        <v>560</v>
      </c>
      <c r="L676" s="188" t="s">
        <v>518</v>
      </c>
      <c r="M676" s="188" t="s">
        <v>412</v>
      </c>
      <c r="N676" s="188"/>
      <c r="O676" s="188"/>
      <c r="P676" s="188"/>
      <c r="Q676" s="188" t="s">
        <v>25</v>
      </c>
      <c r="R676" s="188" t="s">
        <v>25</v>
      </c>
      <c r="S676" s="234" t="s">
        <v>25</v>
      </c>
      <c r="T676" s="188" t="s">
        <v>25</v>
      </c>
      <c r="U676" s="188" t="s">
        <v>25</v>
      </c>
      <c r="V676" s="234" t="s">
        <v>25</v>
      </c>
      <c r="W676" s="188" t="s">
        <v>25</v>
      </c>
      <c r="X676" s="188" t="s">
        <v>25</v>
      </c>
      <c r="Y676" s="234" t="s">
        <v>25</v>
      </c>
      <c r="Z676" s="188" t="s">
        <v>25</v>
      </c>
      <c r="AA676" s="188" t="s">
        <v>25</v>
      </c>
      <c r="AB676" s="234" t="s">
        <v>25</v>
      </c>
      <c r="AC676" s="235" t="s">
        <v>25</v>
      </c>
      <c r="AD676" s="188" t="s">
        <v>25</v>
      </c>
      <c r="AE676" s="188" t="s">
        <v>25</v>
      </c>
      <c r="AF676" s="234" t="s">
        <v>25</v>
      </c>
      <c r="AG676" s="188" t="s">
        <v>25</v>
      </c>
      <c r="AH676" s="188" t="s">
        <v>306</v>
      </c>
      <c r="AI676" s="234" t="s">
        <v>25</v>
      </c>
      <c r="AJ676" s="188" t="s">
        <v>25</v>
      </c>
      <c r="AK676" s="188" t="s">
        <v>25</v>
      </c>
      <c r="AL676" s="234" t="s">
        <v>25</v>
      </c>
      <c r="AM676" s="188" t="s">
        <v>19</v>
      </c>
      <c r="AN676" s="188" t="s">
        <v>19</v>
      </c>
      <c r="AO676" s="234" t="s">
        <v>19</v>
      </c>
      <c r="AP676" s="235" t="s">
        <v>306</v>
      </c>
      <c r="AQ676" s="188" t="s">
        <v>25</v>
      </c>
      <c r="AR676" s="188" t="s">
        <v>19</v>
      </c>
      <c r="AS676" s="234" t="s">
        <v>306</v>
      </c>
      <c r="AT676" s="188" t="s">
        <v>25</v>
      </c>
      <c r="AU676" s="188" t="s">
        <v>25</v>
      </c>
      <c r="AV676" s="234" t="s">
        <v>25</v>
      </c>
      <c r="AW676" s="188" t="s">
        <v>25</v>
      </c>
      <c r="AX676" s="188" t="s">
        <v>25</v>
      </c>
      <c r="AY676" s="234" t="s">
        <v>25</v>
      </c>
      <c r="AZ676" s="188" t="s">
        <v>25</v>
      </c>
      <c r="BA676" s="188" t="s">
        <v>25</v>
      </c>
      <c r="BB676" s="234" t="s">
        <v>306</v>
      </c>
      <c r="BC676" s="235" t="s">
        <v>19</v>
      </c>
      <c r="BD676" s="188"/>
    </row>
    <row r="677" spans="1:56" ht="12.75" customHeight="1" x14ac:dyDescent="0.25">
      <c r="A677" s="238">
        <v>44788.720344814814</v>
      </c>
      <c r="B677" s="137" t="s">
        <v>384</v>
      </c>
      <c r="C677" s="211" t="s">
        <v>595</v>
      </c>
      <c r="D677" s="211" t="s">
        <v>17</v>
      </c>
      <c r="E677" s="232" t="s">
        <v>515</v>
      </c>
      <c r="F677" s="188" t="s">
        <v>1248</v>
      </c>
      <c r="G677" s="211" t="s">
        <v>24</v>
      </c>
      <c r="H677" s="211">
        <v>14</v>
      </c>
      <c r="I677" s="188" t="s">
        <v>518</v>
      </c>
      <c r="J677" s="188" t="s">
        <v>560</v>
      </c>
      <c r="K677" s="209" t="s">
        <v>560</v>
      </c>
      <c r="L677" s="188" t="s">
        <v>518</v>
      </c>
      <c r="M677" s="188" t="s">
        <v>412</v>
      </c>
      <c r="N677" s="188"/>
      <c r="O677" s="188"/>
      <c r="P677" s="188"/>
      <c r="Q677" s="188" t="s">
        <v>25</v>
      </c>
      <c r="R677" s="188" t="s">
        <v>25</v>
      </c>
      <c r="S677" s="234" t="s">
        <v>25</v>
      </c>
      <c r="T677" s="188" t="s">
        <v>25</v>
      </c>
      <c r="U677" s="188" t="s">
        <v>25</v>
      </c>
      <c r="V677" s="234" t="s">
        <v>25</v>
      </c>
      <c r="W677" s="188" t="s">
        <v>25</v>
      </c>
      <c r="X677" s="188" t="s">
        <v>306</v>
      </c>
      <c r="Y677" s="234" t="s">
        <v>25</v>
      </c>
      <c r="Z677" s="188" t="s">
        <v>306</v>
      </c>
      <c r="AA677" s="188" t="s">
        <v>25</v>
      </c>
      <c r="AB677" s="234" t="s">
        <v>25</v>
      </c>
      <c r="AC677" s="235" t="s">
        <v>25</v>
      </c>
      <c r="AD677" s="188" t="s">
        <v>25</v>
      </c>
      <c r="AE677" s="188" t="s">
        <v>306</v>
      </c>
      <c r="AF677" s="234" t="s">
        <v>25</v>
      </c>
      <c r="AG677" s="188" t="s">
        <v>25</v>
      </c>
      <c r="AH677" s="188" t="s">
        <v>306</v>
      </c>
      <c r="AI677" s="234" t="s">
        <v>25</v>
      </c>
      <c r="AJ677" s="188" t="s">
        <v>306</v>
      </c>
      <c r="AK677" s="188" t="s">
        <v>25</v>
      </c>
      <c r="AL677" s="234" t="s">
        <v>25</v>
      </c>
      <c r="AM677" s="188" t="s">
        <v>306</v>
      </c>
      <c r="AN677" s="188" t="s">
        <v>19</v>
      </c>
      <c r="AO677" s="234" t="s">
        <v>306</v>
      </c>
      <c r="AP677" s="235" t="s">
        <v>306</v>
      </c>
      <c r="AQ677" s="188" t="s">
        <v>306</v>
      </c>
      <c r="AR677" s="188" t="s">
        <v>19</v>
      </c>
      <c r="AS677" s="234" t="s">
        <v>306</v>
      </c>
      <c r="AT677" s="188" t="s">
        <v>25</v>
      </c>
      <c r="AU677" s="188" t="s">
        <v>25</v>
      </c>
      <c r="AV677" s="234" t="s">
        <v>25</v>
      </c>
      <c r="AW677" s="188" t="s">
        <v>306</v>
      </c>
      <c r="AX677" s="188" t="s">
        <v>306</v>
      </c>
      <c r="AY677" s="234" t="s">
        <v>306</v>
      </c>
      <c r="AZ677" s="188" t="s">
        <v>25</v>
      </c>
      <c r="BA677" s="188" t="s">
        <v>19</v>
      </c>
      <c r="BB677" s="234" t="s">
        <v>19</v>
      </c>
      <c r="BC677" s="235" t="s">
        <v>306</v>
      </c>
      <c r="BD677" s="188"/>
    </row>
    <row r="678" spans="1:56" ht="12.75" customHeight="1" x14ac:dyDescent="0.25">
      <c r="A678" s="238">
        <v>44788.732937048611</v>
      </c>
      <c r="B678" s="137" t="s">
        <v>384</v>
      </c>
      <c r="C678" s="211" t="s">
        <v>595</v>
      </c>
      <c r="D678" s="211" t="s">
        <v>17</v>
      </c>
      <c r="E678" s="232" t="s">
        <v>515</v>
      </c>
      <c r="F678" s="188" t="s">
        <v>1249</v>
      </c>
      <c r="G678" s="211" t="s">
        <v>18</v>
      </c>
      <c r="H678" s="211">
        <v>12</v>
      </c>
      <c r="I678" s="188" t="s">
        <v>518</v>
      </c>
      <c r="J678" s="188" t="s">
        <v>560</v>
      </c>
      <c r="K678" s="209" t="s">
        <v>560</v>
      </c>
      <c r="L678" s="188" t="s">
        <v>518</v>
      </c>
      <c r="M678" s="188" t="s">
        <v>412</v>
      </c>
      <c r="N678" s="188"/>
      <c r="O678" s="188"/>
      <c r="P678" s="188"/>
      <c r="Q678" s="188" t="s">
        <v>25</v>
      </c>
      <c r="R678" s="188" t="s">
        <v>25</v>
      </c>
      <c r="S678" s="234" t="s">
        <v>25</v>
      </c>
      <c r="T678" s="188" t="s">
        <v>25</v>
      </c>
      <c r="U678" s="188" t="s">
        <v>25</v>
      </c>
      <c r="V678" s="234" t="s">
        <v>25</v>
      </c>
      <c r="W678" s="188" t="s">
        <v>25</v>
      </c>
      <c r="X678" s="188" t="s">
        <v>25</v>
      </c>
      <c r="Y678" s="234" t="s">
        <v>25</v>
      </c>
      <c r="Z678" s="188" t="s">
        <v>25</v>
      </c>
      <c r="AA678" s="188" t="s">
        <v>25</v>
      </c>
      <c r="AB678" s="234" t="s">
        <v>25</v>
      </c>
      <c r="AC678" s="235" t="s">
        <v>25</v>
      </c>
      <c r="AD678" s="188" t="s">
        <v>306</v>
      </c>
      <c r="AE678" s="188" t="s">
        <v>25</v>
      </c>
      <c r="AF678" s="234" t="s">
        <v>25</v>
      </c>
      <c r="AG678" s="188" t="s">
        <v>25</v>
      </c>
      <c r="AH678" s="188" t="s">
        <v>306</v>
      </c>
      <c r="AI678" s="234" t="s">
        <v>25</v>
      </c>
      <c r="AJ678" s="188" t="s">
        <v>25</v>
      </c>
      <c r="AK678" s="188" t="s">
        <v>19</v>
      </c>
      <c r="AL678" s="234" t="s">
        <v>306</v>
      </c>
      <c r="AM678" s="188" t="s">
        <v>19</v>
      </c>
      <c r="AN678" s="188" t="s">
        <v>19</v>
      </c>
      <c r="AO678" s="234" t="s">
        <v>19</v>
      </c>
      <c r="AP678" s="235" t="s">
        <v>306</v>
      </c>
      <c r="AQ678" s="188" t="s">
        <v>25</v>
      </c>
      <c r="AR678" s="188" t="s">
        <v>19</v>
      </c>
      <c r="AS678" s="234" t="s">
        <v>306</v>
      </c>
      <c r="AT678" s="188" t="s">
        <v>25</v>
      </c>
      <c r="AU678" s="188" t="s">
        <v>25</v>
      </c>
      <c r="AV678" s="234" t="s">
        <v>25</v>
      </c>
      <c r="AW678" s="188" t="s">
        <v>25</v>
      </c>
      <c r="AX678" s="188" t="s">
        <v>25</v>
      </c>
      <c r="AY678" s="234" t="s">
        <v>25</v>
      </c>
      <c r="AZ678" s="188" t="s">
        <v>25</v>
      </c>
      <c r="BA678" s="188" t="s">
        <v>25</v>
      </c>
      <c r="BB678" s="234" t="s">
        <v>306</v>
      </c>
      <c r="BC678" s="235" t="s">
        <v>306</v>
      </c>
      <c r="BD678" s="188"/>
    </row>
    <row r="679" spans="1:56" ht="12.75" customHeight="1" x14ac:dyDescent="0.25">
      <c r="A679" s="238">
        <v>44789.747127650466</v>
      </c>
      <c r="B679" s="137" t="s">
        <v>384</v>
      </c>
      <c r="C679" s="211" t="s">
        <v>595</v>
      </c>
      <c r="D679" s="211" t="s">
        <v>17</v>
      </c>
      <c r="E679" s="232" t="s">
        <v>515</v>
      </c>
      <c r="F679" s="188" t="s">
        <v>1250</v>
      </c>
      <c r="G679" s="211" t="s">
        <v>24</v>
      </c>
      <c r="H679" s="211">
        <v>13</v>
      </c>
      <c r="I679" s="188" t="s">
        <v>518</v>
      </c>
      <c r="J679" s="188" t="s">
        <v>560</v>
      </c>
      <c r="K679" s="209" t="s">
        <v>560</v>
      </c>
      <c r="L679" s="188" t="s">
        <v>518</v>
      </c>
      <c r="M679" s="188" t="s">
        <v>412</v>
      </c>
      <c r="N679" s="188"/>
      <c r="O679" s="188"/>
      <c r="P679" s="188"/>
      <c r="Q679" s="188" t="s">
        <v>25</v>
      </c>
      <c r="R679" s="188" t="s">
        <v>306</v>
      </c>
      <c r="S679" s="234" t="s">
        <v>25</v>
      </c>
      <c r="T679" s="188" t="s">
        <v>25</v>
      </c>
      <c r="U679" s="188" t="s">
        <v>25</v>
      </c>
      <c r="V679" s="234" t="s">
        <v>25</v>
      </c>
      <c r="W679" s="188" t="s">
        <v>19</v>
      </c>
      <c r="X679" s="188" t="s">
        <v>25</v>
      </c>
      <c r="Y679" s="234" t="s">
        <v>306</v>
      </c>
      <c r="Z679" s="188" t="s">
        <v>25</v>
      </c>
      <c r="AA679" s="188" t="s">
        <v>306</v>
      </c>
      <c r="AB679" s="234" t="s">
        <v>25</v>
      </c>
      <c r="AC679" s="235" t="s">
        <v>25</v>
      </c>
      <c r="AD679" s="188" t="s">
        <v>25</v>
      </c>
      <c r="AE679" s="188" t="s">
        <v>25</v>
      </c>
      <c r="AF679" s="234" t="s">
        <v>25</v>
      </c>
      <c r="AG679" s="188" t="s">
        <v>25</v>
      </c>
      <c r="AH679" s="188" t="s">
        <v>306</v>
      </c>
      <c r="AI679" s="234" t="s">
        <v>25</v>
      </c>
      <c r="AJ679" s="188" t="s">
        <v>25</v>
      </c>
      <c r="AK679" s="188" t="s">
        <v>306</v>
      </c>
      <c r="AL679" s="234" t="s">
        <v>25</v>
      </c>
      <c r="AM679" s="188" t="s">
        <v>19</v>
      </c>
      <c r="AN679" s="188" t="s">
        <v>19</v>
      </c>
      <c r="AO679" s="234" t="s">
        <v>19</v>
      </c>
      <c r="AP679" s="235" t="s">
        <v>306</v>
      </c>
      <c r="AQ679" s="188" t="s">
        <v>25</v>
      </c>
      <c r="AR679" s="188" t="s">
        <v>306</v>
      </c>
      <c r="AS679" s="234" t="s">
        <v>25</v>
      </c>
      <c r="AT679" s="188" t="s">
        <v>25</v>
      </c>
      <c r="AU679" s="188" t="s">
        <v>306</v>
      </c>
      <c r="AV679" s="234" t="s">
        <v>25</v>
      </c>
      <c r="AW679" s="188" t="s">
        <v>25</v>
      </c>
      <c r="AX679" s="188" t="s">
        <v>25</v>
      </c>
      <c r="AY679" s="234" t="s">
        <v>25</v>
      </c>
      <c r="AZ679" s="188" t="s">
        <v>25</v>
      </c>
      <c r="BA679" s="188" t="s">
        <v>25</v>
      </c>
      <c r="BB679" s="234" t="s">
        <v>19</v>
      </c>
      <c r="BC679" s="235" t="s">
        <v>19</v>
      </c>
      <c r="BD679" s="188"/>
    </row>
    <row r="680" spans="1:56" ht="12.75" customHeight="1" x14ac:dyDescent="0.25">
      <c r="A680" s="238">
        <v>44789.749310833329</v>
      </c>
      <c r="B680" s="137" t="s">
        <v>384</v>
      </c>
      <c r="C680" s="211" t="s">
        <v>595</v>
      </c>
      <c r="D680" s="211" t="s">
        <v>17</v>
      </c>
      <c r="E680" s="232" t="s">
        <v>515</v>
      </c>
      <c r="F680" s="188" t="s">
        <v>1251</v>
      </c>
      <c r="G680" s="211" t="s">
        <v>18</v>
      </c>
      <c r="H680" s="211">
        <v>12</v>
      </c>
      <c r="I680" s="188" t="s">
        <v>518</v>
      </c>
      <c r="J680" s="188" t="s">
        <v>560</v>
      </c>
      <c r="K680" s="209" t="s">
        <v>560</v>
      </c>
      <c r="L680" s="188" t="s">
        <v>518</v>
      </c>
      <c r="M680" s="188" t="s">
        <v>412</v>
      </c>
      <c r="N680" s="188"/>
      <c r="O680" s="188"/>
      <c r="P680" s="188"/>
      <c r="Q680" s="188" t="s">
        <v>25</v>
      </c>
      <c r="R680" s="188" t="s">
        <v>25</v>
      </c>
      <c r="S680" s="234" t="s">
        <v>25</v>
      </c>
      <c r="T680" s="188" t="s">
        <v>25</v>
      </c>
      <c r="U680" s="188" t="s">
        <v>25</v>
      </c>
      <c r="V680" s="234" t="s">
        <v>25</v>
      </c>
      <c r="W680" s="188" t="s">
        <v>25</v>
      </c>
      <c r="X680" s="188" t="s">
        <v>25</v>
      </c>
      <c r="Y680" s="234" t="s">
        <v>25</v>
      </c>
      <c r="Z680" s="188" t="s">
        <v>25</v>
      </c>
      <c r="AA680" s="188" t="s">
        <v>25</v>
      </c>
      <c r="AB680" s="234" t="s">
        <v>25</v>
      </c>
      <c r="AC680" s="235" t="s">
        <v>25</v>
      </c>
      <c r="AD680" s="188" t="s">
        <v>25</v>
      </c>
      <c r="AE680" s="188" t="s">
        <v>25</v>
      </c>
      <c r="AF680" s="234" t="s">
        <v>25</v>
      </c>
      <c r="AG680" s="188" t="s">
        <v>25</v>
      </c>
      <c r="AH680" s="188" t="s">
        <v>25</v>
      </c>
      <c r="AI680" s="234" t="s">
        <v>25</v>
      </c>
      <c r="AJ680" s="188" t="s">
        <v>25</v>
      </c>
      <c r="AK680" s="188" t="s">
        <v>19</v>
      </c>
      <c r="AL680" s="234" t="s">
        <v>306</v>
      </c>
      <c r="AM680" s="188" t="s">
        <v>25</v>
      </c>
      <c r="AN680" s="188" t="s">
        <v>19</v>
      </c>
      <c r="AO680" s="234" t="s">
        <v>306</v>
      </c>
      <c r="AP680" s="235" t="s">
        <v>25</v>
      </c>
      <c r="AQ680" s="188" t="s">
        <v>25</v>
      </c>
      <c r="AR680" s="188" t="s">
        <v>19</v>
      </c>
      <c r="AS680" s="234" t="s">
        <v>306</v>
      </c>
      <c r="AT680" s="188" t="s">
        <v>25</v>
      </c>
      <c r="AU680" s="188" t="s">
        <v>25</v>
      </c>
      <c r="AV680" s="234" t="s">
        <v>25</v>
      </c>
      <c r="AW680" s="188" t="s">
        <v>25</v>
      </c>
      <c r="AX680" s="188" t="s">
        <v>25</v>
      </c>
      <c r="AY680" s="234" t="s">
        <v>25</v>
      </c>
      <c r="AZ680" s="188" t="s">
        <v>25</v>
      </c>
      <c r="BA680" s="188" t="s">
        <v>25</v>
      </c>
      <c r="BB680" s="234" t="s">
        <v>19</v>
      </c>
      <c r="BC680" s="235" t="s">
        <v>19</v>
      </c>
      <c r="BD680" s="188"/>
    </row>
    <row r="681" spans="1:56" ht="12.75" customHeight="1" x14ac:dyDescent="0.25">
      <c r="A681" s="238">
        <v>44789.757680891205</v>
      </c>
      <c r="B681" s="137" t="s">
        <v>384</v>
      </c>
      <c r="C681" s="211" t="s">
        <v>595</v>
      </c>
      <c r="D681" s="211" t="s">
        <v>17</v>
      </c>
      <c r="E681" s="232" t="s">
        <v>515</v>
      </c>
      <c r="F681" s="188" t="s">
        <v>1252</v>
      </c>
      <c r="G681" s="211" t="s">
        <v>24</v>
      </c>
      <c r="H681" s="211">
        <v>11</v>
      </c>
      <c r="I681" s="188" t="s">
        <v>518</v>
      </c>
      <c r="J681" s="188" t="s">
        <v>560</v>
      </c>
      <c r="K681" s="209" t="s">
        <v>560</v>
      </c>
      <c r="L681" s="188" t="s">
        <v>518</v>
      </c>
      <c r="M681" s="188" t="s">
        <v>412</v>
      </c>
      <c r="N681" s="188"/>
      <c r="O681" s="188"/>
      <c r="P681" s="188"/>
      <c r="Q681" s="188" t="s">
        <v>25</v>
      </c>
      <c r="R681" s="188" t="s">
        <v>25</v>
      </c>
      <c r="S681" s="234" t="s">
        <v>25</v>
      </c>
      <c r="T681" s="188" t="s">
        <v>25</v>
      </c>
      <c r="U681" s="188" t="s">
        <v>25</v>
      </c>
      <c r="V681" s="234" t="s">
        <v>25</v>
      </c>
      <c r="W681" s="188" t="s">
        <v>25</v>
      </c>
      <c r="X681" s="188" t="s">
        <v>25</v>
      </c>
      <c r="Y681" s="234" t="s">
        <v>25</v>
      </c>
      <c r="Z681" s="188" t="s">
        <v>25</v>
      </c>
      <c r="AA681" s="188" t="s">
        <v>25</v>
      </c>
      <c r="AB681" s="234" t="s">
        <v>25</v>
      </c>
      <c r="AC681" s="235" t="s">
        <v>25</v>
      </c>
      <c r="AD681" s="188" t="s">
        <v>25</v>
      </c>
      <c r="AE681" s="188" t="s">
        <v>25</v>
      </c>
      <c r="AF681" s="234" t="s">
        <v>25</v>
      </c>
      <c r="AG681" s="188" t="s">
        <v>25</v>
      </c>
      <c r="AH681" s="188" t="s">
        <v>306</v>
      </c>
      <c r="AI681" s="234" t="s">
        <v>25</v>
      </c>
      <c r="AJ681" s="188" t="s">
        <v>25</v>
      </c>
      <c r="AK681" s="188" t="s">
        <v>25</v>
      </c>
      <c r="AL681" s="234" t="s">
        <v>25</v>
      </c>
      <c r="AM681" s="188" t="s">
        <v>306</v>
      </c>
      <c r="AN681" s="188" t="s">
        <v>19</v>
      </c>
      <c r="AO681" s="234" t="s">
        <v>306</v>
      </c>
      <c r="AP681" s="235" t="s">
        <v>25</v>
      </c>
      <c r="AQ681" s="188" t="s">
        <v>25</v>
      </c>
      <c r="AR681" s="188" t="s">
        <v>25</v>
      </c>
      <c r="AS681" s="234" t="s">
        <v>25</v>
      </c>
      <c r="AT681" s="188" t="s">
        <v>25</v>
      </c>
      <c r="AU681" s="188" t="s">
        <v>25</v>
      </c>
      <c r="AV681" s="234" t="s">
        <v>25</v>
      </c>
      <c r="AW681" s="188" t="s">
        <v>25</v>
      </c>
      <c r="AX681" s="188" t="s">
        <v>25</v>
      </c>
      <c r="AY681" s="234" t="s">
        <v>25</v>
      </c>
      <c r="AZ681" s="188" t="s">
        <v>25</v>
      </c>
      <c r="BA681" s="188" t="s">
        <v>25</v>
      </c>
      <c r="BB681" s="234" t="s">
        <v>25</v>
      </c>
      <c r="BC681" s="235" t="s">
        <v>25</v>
      </c>
      <c r="BD681" s="209"/>
    </row>
    <row r="682" spans="1:56" ht="12.75" customHeight="1" x14ac:dyDescent="0.25">
      <c r="A682" s="238">
        <v>44789.771479907402</v>
      </c>
      <c r="B682" s="137" t="s">
        <v>384</v>
      </c>
      <c r="C682" s="211" t="s">
        <v>595</v>
      </c>
      <c r="D682" s="211" t="s">
        <v>17</v>
      </c>
      <c r="E682" s="232" t="s">
        <v>515</v>
      </c>
      <c r="F682" s="188" t="s">
        <v>1253</v>
      </c>
      <c r="G682" s="211" t="s">
        <v>18</v>
      </c>
      <c r="H682" s="211">
        <v>11</v>
      </c>
      <c r="I682" s="188" t="s">
        <v>518</v>
      </c>
      <c r="J682" s="188" t="s">
        <v>560</v>
      </c>
      <c r="K682" s="209" t="s">
        <v>560</v>
      </c>
      <c r="L682" s="188" t="s">
        <v>518</v>
      </c>
      <c r="M682" s="188" t="s">
        <v>412</v>
      </c>
      <c r="N682" s="188"/>
      <c r="O682" s="188"/>
      <c r="P682" s="188"/>
      <c r="Q682" s="188" t="s">
        <v>25</v>
      </c>
      <c r="R682" s="188" t="s">
        <v>25</v>
      </c>
      <c r="S682" s="234" t="s">
        <v>25</v>
      </c>
      <c r="T682" s="188" t="s">
        <v>25</v>
      </c>
      <c r="U682" s="188" t="s">
        <v>25</v>
      </c>
      <c r="V682" s="234" t="s">
        <v>25</v>
      </c>
      <c r="W682" s="188" t="s">
        <v>25</v>
      </c>
      <c r="X682" s="188" t="s">
        <v>25</v>
      </c>
      <c r="Y682" s="234" t="s">
        <v>25</v>
      </c>
      <c r="Z682" s="188" t="s">
        <v>25</v>
      </c>
      <c r="AA682" s="188" t="s">
        <v>306</v>
      </c>
      <c r="AB682" s="234" t="s">
        <v>25</v>
      </c>
      <c r="AC682" s="235" t="s">
        <v>25</v>
      </c>
      <c r="AD682" s="188" t="s">
        <v>306</v>
      </c>
      <c r="AE682" s="188" t="s">
        <v>19</v>
      </c>
      <c r="AF682" s="234" t="s">
        <v>306</v>
      </c>
      <c r="AG682" s="188" t="s">
        <v>306</v>
      </c>
      <c r="AH682" s="188" t="s">
        <v>19</v>
      </c>
      <c r="AI682" s="234" t="s">
        <v>306</v>
      </c>
      <c r="AJ682" s="188" t="s">
        <v>25</v>
      </c>
      <c r="AK682" s="188" t="s">
        <v>19</v>
      </c>
      <c r="AL682" s="234" t="s">
        <v>306</v>
      </c>
      <c r="AM682" s="188" t="s">
        <v>306</v>
      </c>
      <c r="AN682" s="188" t="s">
        <v>19</v>
      </c>
      <c r="AO682" s="234" t="s">
        <v>306</v>
      </c>
      <c r="AP682" s="235" t="s">
        <v>306</v>
      </c>
      <c r="AQ682" s="188" t="s">
        <v>306</v>
      </c>
      <c r="AR682" s="188" t="s">
        <v>306</v>
      </c>
      <c r="AS682" s="234" t="s">
        <v>306</v>
      </c>
      <c r="AT682" s="188" t="s">
        <v>19</v>
      </c>
      <c r="AU682" s="188" t="s">
        <v>25</v>
      </c>
      <c r="AV682" s="234" t="s">
        <v>306</v>
      </c>
      <c r="AW682" s="188" t="s">
        <v>19</v>
      </c>
      <c r="AX682" s="188" t="s">
        <v>306</v>
      </c>
      <c r="AY682" s="234" t="s">
        <v>306</v>
      </c>
      <c r="AZ682" s="188" t="s">
        <v>19</v>
      </c>
      <c r="BA682" s="188" t="s">
        <v>306</v>
      </c>
      <c r="BB682" s="234" t="s">
        <v>25</v>
      </c>
      <c r="BC682" s="235" t="s">
        <v>25</v>
      </c>
      <c r="BD682" s="209"/>
    </row>
    <row r="683" spans="1:56" ht="12.75" customHeight="1" x14ac:dyDescent="0.25">
      <c r="A683" s="238">
        <v>44789.776674618057</v>
      </c>
      <c r="B683" s="137" t="s">
        <v>384</v>
      </c>
      <c r="C683" s="211" t="s">
        <v>595</v>
      </c>
      <c r="D683" s="211" t="s">
        <v>17</v>
      </c>
      <c r="E683" s="232" t="s">
        <v>515</v>
      </c>
      <c r="F683" s="188" t="s">
        <v>1254</v>
      </c>
      <c r="G683" s="211" t="s">
        <v>24</v>
      </c>
      <c r="H683" s="211">
        <v>13</v>
      </c>
      <c r="I683" s="188" t="s">
        <v>518</v>
      </c>
      <c r="J683" s="188" t="s">
        <v>560</v>
      </c>
      <c r="K683" s="209" t="s">
        <v>560</v>
      </c>
      <c r="L683" s="188" t="s">
        <v>531</v>
      </c>
      <c r="M683" s="188" t="s">
        <v>614</v>
      </c>
      <c r="N683" s="188"/>
      <c r="O683" s="188"/>
      <c r="P683" s="188"/>
      <c r="Q683" s="188" t="s">
        <v>25</v>
      </c>
      <c r="R683" s="188" t="s">
        <v>25</v>
      </c>
      <c r="S683" s="234" t="s">
        <v>25</v>
      </c>
      <c r="T683" s="188" t="s">
        <v>19</v>
      </c>
      <c r="U683" s="188" t="s">
        <v>25</v>
      </c>
      <c r="V683" s="234" t="s">
        <v>306</v>
      </c>
      <c r="W683" s="188" t="s">
        <v>19</v>
      </c>
      <c r="X683" s="188" t="s">
        <v>19</v>
      </c>
      <c r="Y683" s="234" t="s">
        <v>19</v>
      </c>
      <c r="Z683" s="188" t="s">
        <v>19</v>
      </c>
      <c r="AA683" s="188" t="s">
        <v>19</v>
      </c>
      <c r="AB683" s="234" t="s">
        <v>19</v>
      </c>
      <c r="AC683" s="235" t="s">
        <v>306</v>
      </c>
      <c r="AD683" s="188" t="s">
        <v>19</v>
      </c>
      <c r="AE683" s="188" t="s">
        <v>19</v>
      </c>
      <c r="AF683" s="234" t="s">
        <v>19</v>
      </c>
      <c r="AG683" s="188" t="s">
        <v>19</v>
      </c>
      <c r="AH683" s="188" t="s">
        <v>19</v>
      </c>
      <c r="AI683" s="234" t="s">
        <v>19</v>
      </c>
      <c r="AJ683" s="188" t="s">
        <v>19</v>
      </c>
      <c r="AK683" s="188" t="s">
        <v>19</v>
      </c>
      <c r="AL683" s="234" t="s">
        <v>19</v>
      </c>
      <c r="AM683" s="188" t="s">
        <v>19</v>
      </c>
      <c r="AN683" s="188" t="s">
        <v>19</v>
      </c>
      <c r="AO683" s="234" t="s">
        <v>19</v>
      </c>
      <c r="AP683" s="235" t="s">
        <v>19</v>
      </c>
      <c r="AQ683" s="188" t="s">
        <v>25</v>
      </c>
      <c r="AR683" s="188" t="s">
        <v>19</v>
      </c>
      <c r="AS683" s="234" t="s">
        <v>306</v>
      </c>
      <c r="AT683" s="188" t="s">
        <v>25</v>
      </c>
      <c r="AU683" s="188" t="s">
        <v>25</v>
      </c>
      <c r="AV683" s="234" t="s">
        <v>25</v>
      </c>
      <c r="AW683" s="188" t="s">
        <v>19</v>
      </c>
      <c r="AX683" s="188" t="s">
        <v>25</v>
      </c>
      <c r="AY683" s="234" t="s">
        <v>306</v>
      </c>
      <c r="AZ683" s="188" t="s">
        <v>25</v>
      </c>
      <c r="BA683" s="188" t="s">
        <v>25</v>
      </c>
      <c r="BB683" s="234" t="s">
        <v>25</v>
      </c>
      <c r="BC683" s="235" t="s">
        <v>25</v>
      </c>
      <c r="BD683" s="209"/>
    </row>
    <row r="684" spans="1:56" ht="12.75" customHeight="1" x14ac:dyDescent="0.25">
      <c r="A684" s="238">
        <v>44789.784212037033</v>
      </c>
      <c r="B684" s="137" t="s">
        <v>384</v>
      </c>
      <c r="C684" s="211" t="s">
        <v>595</v>
      </c>
      <c r="D684" s="211" t="s">
        <v>17</v>
      </c>
      <c r="E684" s="232" t="s">
        <v>515</v>
      </c>
      <c r="F684" s="188" t="s">
        <v>1255</v>
      </c>
      <c r="G684" s="211" t="s">
        <v>24</v>
      </c>
      <c r="H684" s="211">
        <v>14</v>
      </c>
      <c r="I684" s="188" t="s">
        <v>518</v>
      </c>
      <c r="J684" s="188" t="s">
        <v>560</v>
      </c>
      <c r="K684" s="209" t="s">
        <v>560</v>
      </c>
      <c r="L684" s="188" t="s">
        <v>531</v>
      </c>
      <c r="M684" s="188" t="s">
        <v>614</v>
      </c>
      <c r="N684" s="188"/>
      <c r="O684" s="188"/>
      <c r="P684" s="188"/>
      <c r="Q684" s="188" t="s">
        <v>25</v>
      </c>
      <c r="R684" s="188" t="s">
        <v>25</v>
      </c>
      <c r="S684" s="234" t="s">
        <v>25</v>
      </c>
      <c r="T684" s="188" t="s">
        <v>19</v>
      </c>
      <c r="U684" s="188" t="s">
        <v>25</v>
      </c>
      <c r="V684" s="234" t="s">
        <v>306</v>
      </c>
      <c r="W684" s="188" t="s">
        <v>306</v>
      </c>
      <c r="X684" s="188" t="s">
        <v>19</v>
      </c>
      <c r="Y684" s="234" t="s">
        <v>306</v>
      </c>
      <c r="Z684" s="188" t="s">
        <v>25</v>
      </c>
      <c r="AA684" s="188" t="s">
        <v>19</v>
      </c>
      <c r="AB684" s="234" t="s">
        <v>306</v>
      </c>
      <c r="AC684" s="235" t="s">
        <v>306</v>
      </c>
      <c r="AD684" s="188" t="s">
        <v>19</v>
      </c>
      <c r="AE684" s="188" t="s">
        <v>25</v>
      </c>
      <c r="AF684" s="234" t="s">
        <v>306</v>
      </c>
      <c r="AG684" s="188" t="s">
        <v>19</v>
      </c>
      <c r="AH684" s="188" t="s">
        <v>19</v>
      </c>
      <c r="AI684" s="234" t="s">
        <v>19</v>
      </c>
      <c r="AJ684" s="188" t="s">
        <v>19</v>
      </c>
      <c r="AK684" s="188" t="s">
        <v>19</v>
      </c>
      <c r="AL684" s="234" t="s">
        <v>19</v>
      </c>
      <c r="AM684" s="188" t="s">
        <v>19</v>
      </c>
      <c r="AN684" s="188" t="s">
        <v>19</v>
      </c>
      <c r="AO684" s="234" t="s">
        <v>19</v>
      </c>
      <c r="AP684" s="235" t="s">
        <v>19</v>
      </c>
      <c r="AQ684" s="188" t="s">
        <v>25</v>
      </c>
      <c r="AR684" s="188" t="s">
        <v>19</v>
      </c>
      <c r="AS684" s="234" t="s">
        <v>306</v>
      </c>
      <c r="AT684" s="188" t="s">
        <v>25</v>
      </c>
      <c r="AU684" s="188" t="s">
        <v>25</v>
      </c>
      <c r="AV684" s="234" t="s">
        <v>25</v>
      </c>
      <c r="AW684" s="188" t="s">
        <v>19</v>
      </c>
      <c r="AX684" s="188" t="s">
        <v>25</v>
      </c>
      <c r="AY684" s="234" t="s">
        <v>306</v>
      </c>
      <c r="AZ684" s="188" t="s">
        <v>25</v>
      </c>
      <c r="BA684" s="188" t="s">
        <v>25</v>
      </c>
      <c r="BB684" s="234" t="s">
        <v>25</v>
      </c>
      <c r="BC684" s="235" t="s">
        <v>25</v>
      </c>
      <c r="BD684" s="209"/>
    </row>
    <row r="685" spans="1:56" ht="12.75" customHeight="1" x14ac:dyDescent="0.25">
      <c r="A685" s="238">
        <v>44789.786045624998</v>
      </c>
      <c r="B685" s="137" t="s">
        <v>384</v>
      </c>
      <c r="C685" s="211" t="s">
        <v>595</v>
      </c>
      <c r="D685" s="211" t="s">
        <v>17</v>
      </c>
      <c r="E685" s="232" t="s">
        <v>515</v>
      </c>
      <c r="F685" s="188" t="s">
        <v>1256</v>
      </c>
      <c r="G685" s="211" t="s">
        <v>24</v>
      </c>
      <c r="H685" s="211">
        <v>11</v>
      </c>
      <c r="I685" s="188" t="s">
        <v>518</v>
      </c>
      <c r="J685" s="188" t="s">
        <v>560</v>
      </c>
      <c r="K685" s="209" t="s">
        <v>560</v>
      </c>
      <c r="L685" s="188" t="s">
        <v>531</v>
      </c>
      <c r="M685" s="188" t="s">
        <v>614</v>
      </c>
      <c r="N685" s="188"/>
      <c r="O685" s="188"/>
      <c r="P685" s="188"/>
      <c r="Q685" s="188" t="s">
        <v>25</v>
      </c>
      <c r="R685" s="188" t="s">
        <v>306</v>
      </c>
      <c r="S685" s="234" t="s">
        <v>25</v>
      </c>
      <c r="T685" s="188" t="s">
        <v>19</v>
      </c>
      <c r="U685" s="188" t="s">
        <v>25</v>
      </c>
      <c r="V685" s="234" t="s">
        <v>306</v>
      </c>
      <c r="W685" s="188" t="s">
        <v>306</v>
      </c>
      <c r="X685" s="188" t="s">
        <v>19</v>
      </c>
      <c r="Y685" s="234" t="s">
        <v>306</v>
      </c>
      <c r="Z685" s="188" t="s">
        <v>19</v>
      </c>
      <c r="AA685" s="188" t="s">
        <v>19</v>
      </c>
      <c r="AB685" s="234" t="s">
        <v>19</v>
      </c>
      <c r="AC685" s="235" t="s">
        <v>306</v>
      </c>
      <c r="AD685" s="188" t="s">
        <v>19</v>
      </c>
      <c r="AE685" s="188" t="s">
        <v>306</v>
      </c>
      <c r="AF685" s="234" t="s">
        <v>306</v>
      </c>
      <c r="AG685" s="188" t="s">
        <v>19</v>
      </c>
      <c r="AH685" s="188" t="s">
        <v>19</v>
      </c>
      <c r="AI685" s="234" t="s">
        <v>19</v>
      </c>
      <c r="AJ685" s="188" t="s">
        <v>19</v>
      </c>
      <c r="AK685" s="188" t="s">
        <v>19</v>
      </c>
      <c r="AL685" s="234" t="s">
        <v>19</v>
      </c>
      <c r="AM685" s="188" t="s">
        <v>19</v>
      </c>
      <c r="AN685" s="188" t="s">
        <v>19</v>
      </c>
      <c r="AO685" s="234" t="s">
        <v>19</v>
      </c>
      <c r="AP685" s="235" t="s">
        <v>19</v>
      </c>
      <c r="AQ685" s="188" t="s">
        <v>19</v>
      </c>
      <c r="AR685" s="188" t="s">
        <v>19</v>
      </c>
      <c r="AS685" s="234" t="s">
        <v>19</v>
      </c>
      <c r="AT685" s="188" t="s">
        <v>25</v>
      </c>
      <c r="AU685" s="188" t="s">
        <v>25</v>
      </c>
      <c r="AV685" s="234" t="s">
        <v>25</v>
      </c>
      <c r="AW685" s="188" t="s">
        <v>19</v>
      </c>
      <c r="AX685" s="188" t="s">
        <v>25</v>
      </c>
      <c r="AY685" s="234" t="s">
        <v>306</v>
      </c>
      <c r="AZ685" s="188" t="s">
        <v>25</v>
      </c>
      <c r="BA685" s="188" t="s">
        <v>19</v>
      </c>
      <c r="BB685" s="234" t="s">
        <v>25</v>
      </c>
      <c r="BC685" s="235" t="s">
        <v>25</v>
      </c>
      <c r="BD685" s="209"/>
    </row>
    <row r="686" spans="1:56" ht="12.75" customHeight="1" x14ac:dyDescent="0.25">
      <c r="A686" s="238">
        <v>44789.788043645836</v>
      </c>
      <c r="B686" s="137" t="s">
        <v>384</v>
      </c>
      <c r="C686" s="211" t="s">
        <v>595</v>
      </c>
      <c r="D686" s="211" t="s">
        <v>17</v>
      </c>
      <c r="E686" s="232" t="s">
        <v>515</v>
      </c>
      <c r="F686" s="188" t="s">
        <v>1257</v>
      </c>
      <c r="G686" s="211" t="s">
        <v>24</v>
      </c>
      <c r="H686" s="211">
        <v>13</v>
      </c>
      <c r="I686" s="188" t="s">
        <v>518</v>
      </c>
      <c r="J686" s="188" t="s">
        <v>560</v>
      </c>
      <c r="K686" s="209" t="s">
        <v>560</v>
      </c>
      <c r="L686" s="188" t="s">
        <v>531</v>
      </c>
      <c r="M686" s="188" t="s">
        <v>614</v>
      </c>
      <c r="N686" s="188"/>
      <c r="O686" s="188"/>
      <c r="P686" s="188"/>
      <c r="Q686" s="188" t="s">
        <v>25</v>
      </c>
      <c r="R686" s="188" t="s">
        <v>25</v>
      </c>
      <c r="S686" s="234" t="s">
        <v>25</v>
      </c>
      <c r="T686" s="188" t="s">
        <v>19</v>
      </c>
      <c r="U686" s="188" t="s">
        <v>25</v>
      </c>
      <c r="V686" s="234" t="s">
        <v>306</v>
      </c>
      <c r="W686" s="188" t="s">
        <v>19</v>
      </c>
      <c r="X686" s="188" t="s">
        <v>19</v>
      </c>
      <c r="Y686" s="234" t="s">
        <v>19</v>
      </c>
      <c r="Z686" s="188" t="s">
        <v>25</v>
      </c>
      <c r="AA686" s="188" t="s">
        <v>19</v>
      </c>
      <c r="AB686" s="234" t="s">
        <v>306</v>
      </c>
      <c r="AC686" s="235" t="s">
        <v>306</v>
      </c>
      <c r="AD686" s="188" t="s">
        <v>19</v>
      </c>
      <c r="AE686" s="188" t="s">
        <v>306</v>
      </c>
      <c r="AF686" s="234" t="s">
        <v>306</v>
      </c>
      <c r="AG686" s="188" t="s">
        <v>19</v>
      </c>
      <c r="AH686" s="188" t="s">
        <v>19</v>
      </c>
      <c r="AI686" s="234" t="s">
        <v>19</v>
      </c>
      <c r="AJ686" s="188" t="s">
        <v>19</v>
      </c>
      <c r="AK686" s="188" t="s">
        <v>19</v>
      </c>
      <c r="AL686" s="234" t="s">
        <v>19</v>
      </c>
      <c r="AM686" s="188" t="s">
        <v>19</v>
      </c>
      <c r="AN686" s="188" t="s">
        <v>19</v>
      </c>
      <c r="AO686" s="234" t="s">
        <v>19</v>
      </c>
      <c r="AP686" s="235" t="s">
        <v>19</v>
      </c>
      <c r="AQ686" s="188" t="s">
        <v>25</v>
      </c>
      <c r="AR686" s="188" t="s">
        <v>19</v>
      </c>
      <c r="AS686" s="234" t="s">
        <v>306</v>
      </c>
      <c r="AT686" s="188" t="s">
        <v>25</v>
      </c>
      <c r="AU686" s="188" t="s">
        <v>25</v>
      </c>
      <c r="AV686" s="234" t="s">
        <v>25</v>
      </c>
      <c r="AW686" s="188" t="s">
        <v>19</v>
      </c>
      <c r="AX686" s="188" t="s">
        <v>25</v>
      </c>
      <c r="AY686" s="234" t="s">
        <v>306</v>
      </c>
      <c r="AZ686" s="188" t="s">
        <v>25</v>
      </c>
      <c r="BA686" s="188" t="s">
        <v>25</v>
      </c>
      <c r="BB686" s="234" t="s">
        <v>25</v>
      </c>
      <c r="BC686" s="235" t="s">
        <v>25</v>
      </c>
      <c r="BD686" s="209"/>
    </row>
    <row r="687" spans="1:56" ht="12.75" customHeight="1" x14ac:dyDescent="0.25">
      <c r="A687" s="238">
        <v>44789.789848912042</v>
      </c>
      <c r="B687" s="137" t="s">
        <v>384</v>
      </c>
      <c r="C687" s="211" t="s">
        <v>595</v>
      </c>
      <c r="D687" s="211" t="s">
        <v>17</v>
      </c>
      <c r="E687" s="232" t="s">
        <v>515</v>
      </c>
      <c r="F687" s="188" t="s">
        <v>1258</v>
      </c>
      <c r="G687" s="211" t="s">
        <v>18</v>
      </c>
      <c r="H687" s="211">
        <v>14</v>
      </c>
      <c r="I687" s="188" t="s">
        <v>518</v>
      </c>
      <c r="J687" s="188" t="s">
        <v>560</v>
      </c>
      <c r="K687" s="209" t="s">
        <v>560</v>
      </c>
      <c r="L687" s="188" t="s">
        <v>531</v>
      </c>
      <c r="M687" s="188" t="s">
        <v>614</v>
      </c>
      <c r="N687" s="188"/>
      <c r="O687" s="188"/>
      <c r="P687" s="188"/>
      <c r="Q687" s="188" t="s">
        <v>25</v>
      </c>
      <c r="R687" s="188" t="s">
        <v>25</v>
      </c>
      <c r="S687" s="234" t="s">
        <v>25</v>
      </c>
      <c r="T687" s="188" t="s">
        <v>19</v>
      </c>
      <c r="U687" s="188" t="s">
        <v>19</v>
      </c>
      <c r="V687" s="234" t="s">
        <v>19</v>
      </c>
      <c r="W687" s="188" t="s">
        <v>19</v>
      </c>
      <c r="X687" s="188" t="s">
        <v>19</v>
      </c>
      <c r="Y687" s="234" t="s">
        <v>19</v>
      </c>
      <c r="Z687" s="188" t="s">
        <v>25</v>
      </c>
      <c r="AA687" s="188" t="s">
        <v>19</v>
      </c>
      <c r="AB687" s="234" t="s">
        <v>306</v>
      </c>
      <c r="AC687" s="235" t="s">
        <v>306</v>
      </c>
      <c r="AD687" s="188" t="s">
        <v>19</v>
      </c>
      <c r="AE687" s="188" t="s">
        <v>25</v>
      </c>
      <c r="AF687" s="234" t="s">
        <v>306</v>
      </c>
      <c r="AG687" s="188" t="s">
        <v>19</v>
      </c>
      <c r="AH687" s="188" t="s">
        <v>19</v>
      </c>
      <c r="AI687" s="234" t="s">
        <v>19</v>
      </c>
      <c r="AJ687" s="188" t="s">
        <v>19</v>
      </c>
      <c r="AK687" s="188" t="s">
        <v>19</v>
      </c>
      <c r="AL687" s="234" t="s">
        <v>19</v>
      </c>
      <c r="AM687" s="188" t="s">
        <v>19</v>
      </c>
      <c r="AN687" s="188" t="s">
        <v>19</v>
      </c>
      <c r="AO687" s="234" t="s">
        <v>19</v>
      </c>
      <c r="AP687" s="235" t="s">
        <v>19</v>
      </c>
      <c r="AQ687" s="188" t="s">
        <v>25</v>
      </c>
      <c r="AR687" s="188" t="s">
        <v>25</v>
      </c>
      <c r="AS687" s="234" t="s">
        <v>25</v>
      </c>
      <c r="AT687" s="188" t="s">
        <v>25</v>
      </c>
      <c r="AU687" s="188" t="s">
        <v>25</v>
      </c>
      <c r="AV687" s="234" t="s">
        <v>25</v>
      </c>
      <c r="AW687" s="188" t="s">
        <v>25</v>
      </c>
      <c r="AX687" s="188" t="s">
        <v>25</v>
      </c>
      <c r="AY687" s="234" t="s">
        <v>25</v>
      </c>
      <c r="AZ687" s="188" t="s">
        <v>25</v>
      </c>
      <c r="BA687" s="188" t="s">
        <v>25</v>
      </c>
      <c r="BB687" s="234" t="s">
        <v>25</v>
      </c>
      <c r="BC687" s="235" t="s">
        <v>25</v>
      </c>
      <c r="BD687" s="209"/>
    </row>
    <row r="688" spans="1:56" ht="12.75" customHeight="1" x14ac:dyDescent="0.25">
      <c r="A688" s="238">
        <v>44789.792600104163</v>
      </c>
      <c r="B688" s="137" t="s">
        <v>384</v>
      </c>
      <c r="C688" s="211" t="s">
        <v>595</v>
      </c>
      <c r="D688" s="211" t="s">
        <v>17</v>
      </c>
      <c r="E688" s="232" t="s">
        <v>515</v>
      </c>
      <c r="F688" s="188" t="s">
        <v>1259</v>
      </c>
      <c r="G688" s="211" t="s">
        <v>24</v>
      </c>
      <c r="H688" s="211">
        <v>12</v>
      </c>
      <c r="I688" s="188" t="s">
        <v>518</v>
      </c>
      <c r="J688" s="188" t="s">
        <v>560</v>
      </c>
      <c r="K688" s="209" t="s">
        <v>560</v>
      </c>
      <c r="L688" s="188" t="s">
        <v>518</v>
      </c>
      <c r="M688" s="188" t="s">
        <v>412</v>
      </c>
      <c r="N688" s="188"/>
      <c r="O688" s="188"/>
      <c r="P688" s="188"/>
      <c r="Q688" s="188" t="s">
        <v>25</v>
      </c>
      <c r="R688" s="188" t="s">
        <v>306</v>
      </c>
      <c r="S688" s="234" t="s">
        <v>25</v>
      </c>
      <c r="T688" s="188" t="s">
        <v>19</v>
      </c>
      <c r="U688" s="188" t="s">
        <v>306</v>
      </c>
      <c r="V688" s="234" t="s">
        <v>306</v>
      </c>
      <c r="W688" s="188" t="s">
        <v>25</v>
      </c>
      <c r="X688" s="188" t="s">
        <v>306</v>
      </c>
      <c r="Y688" s="234" t="s">
        <v>25</v>
      </c>
      <c r="Z688" s="188" t="s">
        <v>25</v>
      </c>
      <c r="AA688" s="188" t="s">
        <v>306</v>
      </c>
      <c r="AB688" s="234" t="s">
        <v>25</v>
      </c>
      <c r="AC688" s="235" t="s">
        <v>306</v>
      </c>
      <c r="AD688" s="188" t="s">
        <v>19</v>
      </c>
      <c r="AE688" s="188" t="s">
        <v>306</v>
      </c>
      <c r="AF688" s="234" t="s">
        <v>306</v>
      </c>
      <c r="AG688" s="188" t="s">
        <v>19</v>
      </c>
      <c r="AH688" s="188" t="s">
        <v>19</v>
      </c>
      <c r="AI688" s="234" t="s">
        <v>19</v>
      </c>
      <c r="AJ688" s="188" t="s">
        <v>306</v>
      </c>
      <c r="AK688" s="188" t="s">
        <v>19</v>
      </c>
      <c r="AL688" s="234" t="s">
        <v>306</v>
      </c>
      <c r="AM688" s="188" t="s">
        <v>306</v>
      </c>
      <c r="AN688" s="188" t="s">
        <v>306</v>
      </c>
      <c r="AO688" s="234" t="s">
        <v>306</v>
      </c>
      <c r="AP688" s="235" t="s">
        <v>306</v>
      </c>
      <c r="AQ688" s="188" t="s">
        <v>19</v>
      </c>
      <c r="AR688" s="188" t="s">
        <v>306</v>
      </c>
      <c r="AS688" s="234" t="s">
        <v>306</v>
      </c>
      <c r="AT688" s="188" t="s">
        <v>19</v>
      </c>
      <c r="AU688" s="188" t="s">
        <v>25</v>
      </c>
      <c r="AV688" s="234" t="s">
        <v>306</v>
      </c>
      <c r="AW688" s="188" t="s">
        <v>25</v>
      </c>
      <c r="AX688" s="188" t="s">
        <v>25</v>
      </c>
      <c r="AY688" s="234" t="s">
        <v>25</v>
      </c>
      <c r="AZ688" s="188" t="s">
        <v>25</v>
      </c>
      <c r="BA688" s="188" t="s">
        <v>306</v>
      </c>
      <c r="BB688" s="234" t="s">
        <v>25</v>
      </c>
      <c r="BC688" s="235" t="s">
        <v>306</v>
      </c>
      <c r="BD688" s="209"/>
    </row>
    <row r="689" spans="1:56" ht="12.75" customHeight="1" x14ac:dyDescent="0.25">
      <c r="A689" s="238">
        <v>44789.794843668977</v>
      </c>
      <c r="B689" s="137" t="s">
        <v>384</v>
      </c>
      <c r="C689" s="211" t="s">
        <v>595</v>
      </c>
      <c r="D689" s="211" t="s">
        <v>17</v>
      </c>
      <c r="E689" s="232" t="s">
        <v>515</v>
      </c>
      <c r="F689" s="188" t="s">
        <v>566</v>
      </c>
      <c r="G689" s="211" t="s">
        <v>24</v>
      </c>
      <c r="H689" s="211">
        <v>11</v>
      </c>
      <c r="I689" s="188" t="s">
        <v>518</v>
      </c>
      <c r="J689" s="188" t="s">
        <v>560</v>
      </c>
      <c r="K689" s="209" t="s">
        <v>560</v>
      </c>
      <c r="L689" s="188" t="s">
        <v>518</v>
      </c>
      <c r="M689" s="188" t="s">
        <v>412</v>
      </c>
      <c r="N689" s="188"/>
      <c r="O689" s="188"/>
      <c r="P689" s="188"/>
      <c r="Q689" s="188" t="s">
        <v>306</v>
      </c>
      <c r="R689" s="188" t="s">
        <v>306</v>
      </c>
      <c r="S689" s="234" t="s">
        <v>306</v>
      </c>
      <c r="T689" s="188" t="s">
        <v>25</v>
      </c>
      <c r="U689" s="188" t="s">
        <v>306</v>
      </c>
      <c r="V689" s="234" t="s">
        <v>25</v>
      </c>
      <c r="W689" s="188" t="s">
        <v>25</v>
      </c>
      <c r="X689" s="188" t="s">
        <v>19</v>
      </c>
      <c r="Y689" s="234" t="s">
        <v>306</v>
      </c>
      <c r="Z689" s="188" t="s">
        <v>306</v>
      </c>
      <c r="AA689" s="188" t="s">
        <v>306</v>
      </c>
      <c r="AB689" s="234" t="s">
        <v>306</v>
      </c>
      <c r="AC689" s="235" t="s">
        <v>306</v>
      </c>
      <c r="AD689" s="188" t="s">
        <v>306</v>
      </c>
      <c r="AE689" s="188" t="s">
        <v>306</v>
      </c>
      <c r="AF689" s="234" t="s">
        <v>306</v>
      </c>
      <c r="AG689" s="188" t="s">
        <v>25</v>
      </c>
      <c r="AH689" s="188" t="s">
        <v>306</v>
      </c>
      <c r="AI689" s="234" t="s">
        <v>25</v>
      </c>
      <c r="AJ689" s="188" t="s">
        <v>25</v>
      </c>
      <c r="AK689" s="188" t="s">
        <v>306</v>
      </c>
      <c r="AL689" s="234" t="s">
        <v>25</v>
      </c>
      <c r="AM689" s="188" t="s">
        <v>306</v>
      </c>
      <c r="AN689" s="188" t="s">
        <v>25</v>
      </c>
      <c r="AO689" s="234" t="s">
        <v>25</v>
      </c>
      <c r="AP689" s="235" t="s">
        <v>306</v>
      </c>
      <c r="AQ689" s="188" t="s">
        <v>306</v>
      </c>
      <c r="AR689" s="188" t="s">
        <v>306</v>
      </c>
      <c r="AS689" s="234" t="s">
        <v>306</v>
      </c>
      <c r="AT689" s="188" t="s">
        <v>306</v>
      </c>
      <c r="AU689" s="188" t="s">
        <v>306</v>
      </c>
      <c r="AV689" s="234" t="s">
        <v>306</v>
      </c>
      <c r="AW689" s="188" t="s">
        <v>306</v>
      </c>
      <c r="AX689" s="188" t="s">
        <v>25</v>
      </c>
      <c r="AY689" s="234" t="s">
        <v>25</v>
      </c>
      <c r="AZ689" s="188" t="s">
        <v>306</v>
      </c>
      <c r="BA689" s="188" t="s">
        <v>306</v>
      </c>
      <c r="BB689" s="234" t="s">
        <v>306</v>
      </c>
      <c r="BC689" s="235" t="s">
        <v>306</v>
      </c>
      <c r="BD689" s="209"/>
    </row>
    <row r="690" spans="1:56" ht="12.75" customHeight="1" x14ac:dyDescent="0.25">
      <c r="A690" s="238">
        <v>44789.809611759258</v>
      </c>
      <c r="B690" s="137" t="s">
        <v>384</v>
      </c>
      <c r="C690" s="211" t="s">
        <v>595</v>
      </c>
      <c r="D690" s="211" t="s">
        <v>17</v>
      </c>
      <c r="E690" s="232" t="s">
        <v>515</v>
      </c>
      <c r="F690" s="188" t="s">
        <v>1260</v>
      </c>
      <c r="G690" s="211" t="s">
        <v>18</v>
      </c>
      <c r="H690" s="211">
        <v>11</v>
      </c>
      <c r="I690" s="188" t="s">
        <v>518</v>
      </c>
      <c r="J690" s="188" t="s">
        <v>560</v>
      </c>
      <c r="K690" s="209" t="s">
        <v>560</v>
      </c>
      <c r="L690" s="188" t="s">
        <v>518</v>
      </c>
      <c r="M690" s="188" t="s">
        <v>412</v>
      </c>
      <c r="N690" s="188"/>
      <c r="O690" s="188"/>
      <c r="P690" s="188"/>
      <c r="Q690" s="188" t="s">
        <v>25</v>
      </c>
      <c r="R690" s="188" t="s">
        <v>25</v>
      </c>
      <c r="S690" s="234" t="s">
        <v>25</v>
      </c>
      <c r="T690" s="188" t="s">
        <v>25</v>
      </c>
      <c r="U690" s="188" t="s">
        <v>25</v>
      </c>
      <c r="V690" s="234" t="s">
        <v>25</v>
      </c>
      <c r="W690" s="188" t="s">
        <v>25</v>
      </c>
      <c r="X690" s="188" t="s">
        <v>25</v>
      </c>
      <c r="Y690" s="234" t="s">
        <v>25</v>
      </c>
      <c r="Z690" s="188" t="s">
        <v>306</v>
      </c>
      <c r="AA690" s="188" t="s">
        <v>306</v>
      </c>
      <c r="AB690" s="234" t="s">
        <v>306</v>
      </c>
      <c r="AC690" s="235" t="s">
        <v>25</v>
      </c>
      <c r="AD690" s="188" t="s">
        <v>25</v>
      </c>
      <c r="AE690" s="188" t="s">
        <v>25</v>
      </c>
      <c r="AF690" s="234" t="s">
        <v>25</v>
      </c>
      <c r="AG690" s="188" t="s">
        <v>306</v>
      </c>
      <c r="AH690" s="188" t="s">
        <v>19</v>
      </c>
      <c r="AI690" s="234" t="s">
        <v>306</v>
      </c>
      <c r="AJ690" s="188" t="s">
        <v>25</v>
      </c>
      <c r="AK690" s="188" t="s">
        <v>19</v>
      </c>
      <c r="AL690" s="234" t="s">
        <v>306</v>
      </c>
      <c r="AM690" s="188" t="s">
        <v>19</v>
      </c>
      <c r="AN690" s="188" t="s">
        <v>19</v>
      </c>
      <c r="AO690" s="234" t="s">
        <v>19</v>
      </c>
      <c r="AP690" s="235" t="s">
        <v>306</v>
      </c>
      <c r="AQ690" s="188" t="s">
        <v>25</v>
      </c>
      <c r="AR690" s="188" t="s">
        <v>306</v>
      </c>
      <c r="AS690" s="234" t="s">
        <v>25</v>
      </c>
      <c r="AT690" s="188" t="s">
        <v>25</v>
      </c>
      <c r="AU690" s="188" t="s">
        <v>25</v>
      </c>
      <c r="AV690" s="234" t="s">
        <v>25</v>
      </c>
      <c r="AW690" s="188" t="s">
        <v>25</v>
      </c>
      <c r="AX690" s="188" t="s">
        <v>19</v>
      </c>
      <c r="AY690" s="234" t="s">
        <v>306</v>
      </c>
      <c r="AZ690" s="188" t="s">
        <v>25</v>
      </c>
      <c r="BA690" s="188" t="s">
        <v>25</v>
      </c>
      <c r="BB690" s="234" t="s">
        <v>25</v>
      </c>
      <c r="BC690" s="235" t="s">
        <v>25</v>
      </c>
      <c r="BD690" s="209"/>
    </row>
    <row r="691" spans="1:56" ht="12.75" customHeight="1" x14ac:dyDescent="0.25">
      <c r="A691" s="238">
        <v>44789.829672418986</v>
      </c>
      <c r="B691" s="137" t="s">
        <v>384</v>
      </c>
      <c r="C691" s="211" t="s">
        <v>595</v>
      </c>
      <c r="D691" s="211" t="s">
        <v>17</v>
      </c>
      <c r="E691" s="232" t="s">
        <v>515</v>
      </c>
      <c r="F691" s="188" t="s">
        <v>1261</v>
      </c>
      <c r="G691" s="211" t="s">
        <v>24</v>
      </c>
      <c r="H691" s="211">
        <v>11</v>
      </c>
      <c r="I691" s="188" t="s">
        <v>518</v>
      </c>
      <c r="J691" s="188" t="s">
        <v>560</v>
      </c>
      <c r="K691" s="209" t="s">
        <v>560</v>
      </c>
      <c r="L691" s="188" t="s">
        <v>518</v>
      </c>
      <c r="M691" s="188" t="s">
        <v>375</v>
      </c>
      <c r="N691" s="188"/>
      <c r="O691" s="188"/>
      <c r="P691" s="188"/>
      <c r="Q691" s="188" t="s">
        <v>306</v>
      </c>
      <c r="R691" s="188" t="s">
        <v>25</v>
      </c>
      <c r="S691" s="234" t="s">
        <v>25</v>
      </c>
      <c r="T691" s="188" t="s">
        <v>306</v>
      </c>
      <c r="U691" s="188" t="s">
        <v>25</v>
      </c>
      <c r="V691" s="234" t="s">
        <v>25</v>
      </c>
      <c r="W691" s="188" t="s">
        <v>25</v>
      </c>
      <c r="X691" s="188" t="s">
        <v>306</v>
      </c>
      <c r="Y691" s="234" t="s">
        <v>25</v>
      </c>
      <c r="Z691" s="188" t="s">
        <v>306</v>
      </c>
      <c r="AA691" s="188" t="s">
        <v>306</v>
      </c>
      <c r="AB691" s="234" t="s">
        <v>306</v>
      </c>
      <c r="AC691" s="235" t="s">
        <v>306</v>
      </c>
      <c r="AD691" s="188" t="s">
        <v>306</v>
      </c>
      <c r="AE691" s="188" t="s">
        <v>306</v>
      </c>
      <c r="AF691" s="234" t="s">
        <v>306</v>
      </c>
      <c r="AG691" s="188" t="s">
        <v>306</v>
      </c>
      <c r="AH691" s="188" t="s">
        <v>306</v>
      </c>
      <c r="AI691" s="234" t="s">
        <v>306</v>
      </c>
      <c r="AJ691" s="188" t="s">
        <v>306</v>
      </c>
      <c r="AK691" s="188" t="s">
        <v>306</v>
      </c>
      <c r="AL691" s="234" t="s">
        <v>306</v>
      </c>
      <c r="AM691" s="188" t="s">
        <v>25</v>
      </c>
      <c r="AN691" s="188" t="s">
        <v>306</v>
      </c>
      <c r="AO691" s="234" t="s">
        <v>25</v>
      </c>
      <c r="AP691" s="235" t="s">
        <v>306</v>
      </c>
      <c r="AQ691" s="188" t="s">
        <v>306</v>
      </c>
      <c r="AR691" s="188" t="s">
        <v>306</v>
      </c>
      <c r="AS691" s="234" t="s">
        <v>306</v>
      </c>
      <c r="AT691" s="188" t="s">
        <v>306</v>
      </c>
      <c r="AU691" s="188" t="s">
        <v>306</v>
      </c>
      <c r="AV691" s="234" t="s">
        <v>306</v>
      </c>
      <c r="AW691" s="188" t="s">
        <v>306</v>
      </c>
      <c r="AX691" s="188" t="s">
        <v>306</v>
      </c>
      <c r="AY691" s="234" t="s">
        <v>306</v>
      </c>
      <c r="AZ691" s="188" t="s">
        <v>306</v>
      </c>
      <c r="BA691" s="188" t="s">
        <v>306</v>
      </c>
      <c r="BB691" s="234" t="s">
        <v>25</v>
      </c>
      <c r="BC691" s="235" t="s">
        <v>25</v>
      </c>
      <c r="BD691" s="209"/>
    </row>
    <row r="692" spans="1:56" ht="12.75" customHeight="1" x14ac:dyDescent="0.25">
      <c r="A692" s="238">
        <v>44792.618894525462</v>
      </c>
      <c r="B692" s="137" t="s">
        <v>384</v>
      </c>
      <c r="C692" s="211" t="s">
        <v>595</v>
      </c>
      <c r="D692" s="211" t="s">
        <v>17</v>
      </c>
      <c r="E692" s="232" t="s">
        <v>515</v>
      </c>
      <c r="F692" s="188" t="s">
        <v>1262</v>
      </c>
      <c r="G692" s="211" t="s">
        <v>18</v>
      </c>
      <c r="H692" s="211">
        <v>12</v>
      </c>
      <c r="I692" s="188" t="s">
        <v>518</v>
      </c>
      <c r="J692" s="188" t="s">
        <v>560</v>
      </c>
      <c r="K692" s="209" t="s">
        <v>560</v>
      </c>
      <c r="L692" s="188" t="s">
        <v>518</v>
      </c>
      <c r="M692" s="188" t="s">
        <v>375</v>
      </c>
      <c r="N692" s="188"/>
      <c r="O692" s="188"/>
      <c r="P692" s="188"/>
      <c r="Q692" s="188" t="s">
        <v>25</v>
      </c>
      <c r="R692" s="188" t="s">
        <v>25</v>
      </c>
      <c r="S692" s="234" t="s">
        <v>25</v>
      </c>
      <c r="T692" s="188" t="s">
        <v>25</v>
      </c>
      <c r="U692" s="188" t="s">
        <v>25</v>
      </c>
      <c r="V692" s="234" t="s">
        <v>25</v>
      </c>
      <c r="W692" s="188" t="s">
        <v>25</v>
      </c>
      <c r="X692" s="188" t="s">
        <v>306</v>
      </c>
      <c r="Y692" s="234" t="s">
        <v>25</v>
      </c>
      <c r="Z692" s="188" t="s">
        <v>25</v>
      </c>
      <c r="AA692" s="188" t="s">
        <v>306</v>
      </c>
      <c r="AB692" s="234" t="s">
        <v>25</v>
      </c>
      <c r="AC692" s="235" t="s">
        <v>25</v>
      </c>
      <c r="AD692" s="188" t="s">
        <v>306</v>
      </c>
      <c r="AE692" s="188" t="s">
        <v>25</v>
      </c>
      <c r="AF692" s="234" t="s">
        <v>25</v>
      </c>
      <c r="AG692" s="188" t="s">
        <v>306</v>
      </c>
      <c r="AH692" s="188" t="s">
        <v>306</v>
      </c>
      <c r="AI692" s="234" t="s">
        <v>306</v>
      </c>
      <c r="AJ692" s="188" t="s">
        <v>306</v>
      </c>
      <c r="AK692" s="188" t="s">
        <v>306</v>
      </c>
      <c r="AL692" s="234" t="s">
        <v>306</v>
      </c>
      <c r="AM692" s="188" t="s">
        <v>306</v>
      </c>
      <c r="AN692" s="188" t="s">
        <v>306</v>
      </c>
      <c r="AO692" s="234" t="s">
        <v>306</v>
      </c>
      <c r="AP692" s="235" t="s">
        <v>306</v>
      </c>
      <c r="AQ692" s="188" t="s">
        <v>25</v>
      </c>
      <c r="AR692" s="188" t="s">
        <v>25</v>
      </c>
      <c r="AS692" s="234" t="s">
        <v>25</v>
      </c>
      <c r="AT692" s="188" t="s">
        <v>25</v>
      </c>
      <c r="AU692" s="188" t="s">
        <v>25</v>
      </c>
      <c r="AV692" s="234" t="s">
        <v>25</v>
      </c>
      <c r="AW692" s="188" t="s">
        <v>25</v>
      </c>
      <c r="AX692" s="188" t="s">
        <v>306</v>
      </c>
      <c r="AY692" s="234" t="s">
        <v>25</v>
      </c>
      <c r="AZ692" s="188" t="s">
        <v>25</v>
      </c>
      <c r="BA692" s="188" t="s">
        <v>25</v>
      </c>
      <c r="BB692" s="234" t="s">
        <v>25</v>
      </c>
      <c r="BC692" s="235" t="s">
        <v>306</v>
      </c>
      <c r="BD692" s="209"/>
    </row>
    <row r="693" spans="1:56" ht="12.75" customHeight="1" x14ac:dyDescent="0.25">
      <c r="A693" s="238">
        <v>45266.39430586806</v>
      </c>
      <c r="B693" s="233" t="s">
        <v>384</v>
      </c>
      <c r="C693" s="232" t="s">
        <v>587</v>
      </c>
      <c r="D693" s="232" t="s">
        <v>17</v>
      </c>
      <c r="E693" s="232" t="s">
        <v>605</v>
      </c>
      <c r="F693" s="209" t="s">
        <v>1263</v>
      </c>
      <c r="G693" s="232" t="s">
        <v>18</v>
      </c>
      <c r="H693" s="232">
        <v>16</v>
      </c>
      <c r="I693" s="209" t="s">
        <v>518</v>
      </c>
      <c r="J693" s="209" t="s">
        <v>560</v>
      </c>
      <c r="K693" s="209" t="s">
        <v>560</v>
      </c>
      <c r="L693" s="209" t="s">
        <v>531</v>
      </c>
      <c r="M693" s="188"/>
      <c r="N693" s="188"/>
      <c r="O693" s="232" t="s">
        <v>531</v>
      </c>
      <c r="P693" s="188"/>
      <c r="Q693" s="209" t="s">
        <v>25</v>
      </c>
      <c r="R693" s="209" t="s">
        <v>25</v>
      </c>
      <c r="S693" s="234" t="s">
        <v>25</v>
      </c>
      <c r="T693" s="209" t="s">
        <v>306</v>
      </c>
      <c r="U693" s="209" t="s">
        <v>306</v>
      </c>
      <c r="V693" s="234" t="s">
        <v>306</v>
      </c>
      <c r="W693" s="209" t="s">
        <v>19</v>
      </c>
      <c r="X693" s="209" t="s">
        <v>306</v>
      </c>
      <c r="Y693" s="234" t="s">
        <v>306</v>
      </c>
      <c r="Z693" s="209" t="s">
        <v>25</v>
      </c>
      <c r="AA693" s="209" t="s">
        <v>306</v>
      </c>
      <c r="AB693" s="234" t="s">
        <v>25</v>
      </c>
      <c r="AC693" s="235" t="s">
        <v>306</v>
      </c>
      <c r="AD693" s="209" t="s">
        <v>306</v>
      </c>
      <c r="AE693" s="209" t="s">
        <v>306</v>
      </c>
      <c r="AF693" s="234" t="s">
        <v>306</v>
      </c>
      <c r="AG693" s="209" t="s">
        <v>25</v>
      </c>
      <c r="AH693" s="209" t="s">
        <v>25</v>
      </c>
      <c r="AI693" s="234" t="s">
        <v>25</v>
      </c>
      <c r="AJ693" s="209" t="s">
        <v>25</v>
      </c>
      <c r="AK693" s="209" t="s">
        <v>25</v>
      </c>
      <c r="AL693" s="234" t="s">
        <v>25</v>
      </c>
      <c r="AM693" s="209" t="s">
        <v>25</v>
      </c>
      <c r="AN693" s="209" t="s">
        <v>25</v>
      </c>
      <c r="AO693" s="234" t="s">
        <v>25</v>
      </c>
      <c r="AP693" s="235" t="s">
        <v>25</v>
      </c>
      <c r="AQ693" s="209" t="s">
        <v>25</v>
      </c>
      <c r="AR693" s="209" t="s">
        <v>25</v>
      </c>
      <c r="AS693" s="234" t="s">
        <v>25</v>
      </c>
      <c r="AT693" s="209" t="s">
        <v>25</v>
      </c>
      <c r="AU693" s="209" t="s">
        <v>25</v>
      </c>
      <c r="AV693" s="234" t="s">
        <v>25</v>
      </c>
      <c r="AW693" s="209" t="s">
        <v>25</v>
      </c>
      <c r="AX693" s="209" t="s">
        <v>25</v>
      </c>
      <c r="AY693" s="234" t="s">
        <v>25</v>
      </c>
      <c r="AZ693" s="209" t="s">
        <v>25</v>
      </c>
      <c r="BA693" s="209" t="s">
        <v>25</v>
      </c>
      <c r="BB693" s="234" t="s">
        <v>25</v>
      </c>
      <c r="BC693" s="235" t="s">
        <v>25</v>
      </c>
      <c r="BD693" s="209"/>
    </row>
    <row r="694" spans="1:56" ht="12.75" customHeight="1" x14ac:dyDescent="0.25">
      <c r="A694" s="238">
        <v>45266.410260405093</v>
      </c>
      <c r="B694" s="233" t="s">
        <v>384</v>
      </c>
      <c r="C694" s="232" t="s">
        <v>587</v>
      </c>
      <c r="D694" s="232" t="s">
        <v>17</v>
      </c>
      <c r="E694" s="232" t="s">
        <v>605</v>
      </c>
      <c r="F694" s="209" t="s">
        <v>1264</v>
      </c>
      <c r="G694" s="232" t="s">
        <v>18</v>
      </c>
      <c r="H694" s="232">
        <v>15</v>
      </c>
      <c r="I694" s="209" t="s">
        <v>518</v>
      </c>
      <c r="J694" s="209" t="s">
        <v>560</v>
      </c>
      <c r="K694" s="209" t="s">
        <v>560</v>
      </c>
      <c r="L694" s="209" t="s">
        <v>531</v>
      </c>
      <c r="M694" s="188"/>
      <c r="N694" s="188"/>
      <c r="O694" s="232" t="s">
        <v>531</v>
      </c>
      <c r="P694" s="188"/>
      <c r="Q694" s="209" t="s">
        <v>25</v>
      </c>
      <c r="R694" s="209" t="s">
        <v>25</v>
      </c>
      <c r="S694" s="234" t="s">
        <v>25</v>
      </c>
      <c r="T694" s="209" t="s">
        <v>306</v>
      </c>
      <c r="U694" s="209" t="s">
        <v>25</v>
      </c>
      <c r="V694" s="234" t="s">
        <v>25</v>
      </c>
      <c r="W694" s="209" t="s">
        <v>306</v>
      </c>
      <c r="X694" s="209" t="s">
        <v>25</v>
      </c>
      <c r="Y694" s="234" t="s">
        <v>25</v>
      </c>
      <c r="Z694" s="209" t="s">
        <v>25</v>
      </c>
      <c r="AA694" s="209" t="s">
        <v>25</v>
      </c>
      <c r="AB694" s="234" t="s">
        <v>25</v>
      </c>
      <c r="AC694" s="235" t="s">
        <v>25</v>
      </c>
      <c r="AD694" s="209" t="s">
        <v>306</v>
      </c>
      <c r="AE694" s="209" t="s">
        <v>25</v>
      </c>
      <c r="AF694" s="234" t="s">
        <v>25</v>
      </c>
      <c r="AG694" s="209" t="s">
        <v>19</v>
      </c>
      <c r="AH694" s="209" t="s">
        <v>306</v>
      </c>
      <c r="AI694" s="234" t="s">
        <v>306</v>
      </c>
      <c r="AJ694" s="209" t="s">
        <v>25</v>
      </c>
      <c r="AK694" s="209" t="s">
        <v>19</v>
      </c>
      <c r="AL694" s="234" t="s">
        <v>306</v>
      </c>
      <c r="AM694" s="209" t="s">
        <v>19</v>
      </c>
      <c r="AN694" s="209" t="s">
        <v>19</v>
      </c>
      <c r="AO694" s="234" t="s">
        <v>19</v>
      </c>
      <c r="AP694" s="235" t="s">
        <v>306</v>
      </c>
      <c r="AQ694" s="209" t="s">
        <v>25</v>
      </c>
      <c r="AR694" s="209" t="s">
        <v>25</v>
      </c>
      <c r="AS694" s="234" t="s">
        <v>25</v>
      </c>
      <c r="AT694" s="209" t="s">
        <v>25</v>
      </c>
      <c r="AU694" s="209" t="s">
        <v>25</v>
      </c>
      <c r="AV694" s="234" t="s">
        <v>25</v>
      </c>
      <c r="AW694" s="209" t="s">
        <v>306</v>
      </c>
      <c r="AX694" s="209" t="s">
        <v>19</v>
      </c>
      <c r="AY694" s="234" t="s">
        <v>306</v>
      </c>
      <c r="AZ694" s="209" t="s">
        <v>25</v>
      </c>
      <c r="BA694" s="209" t="s">
        <v>25</v>
      </c>
      <c r="BB694" s="234" t="s">
        <v>25</v>
      </c>
      <c r="BC694" s="235" t="s">
        <v>306</v>
      </c>
      <c r="BD694" s="209"/>
    </row>
    <row r="695" spans="1:56" ht="12.75" customHeight="1" x14ac:dyDescent="0.25">
      <c r="A695" s="238">
        <v>45266.415710613423</v>
      </c>
      <c r="B695" s="233" t="s">
        <v>384</v>
      </c>
      <c r="C695" s="232" t="s">
        <v>587</v>
      </c>
      <c r="D695" s="232" t="s">
        <v>17</v>
      </c>
      <c r="E695" s="232" t="s">
        <v>605</v>
      </c>
      <c r="F695" s="209" t="s">
        <v>1265</v>
      </c>
      <c r="G695" s="232" t="s">
        <v>18</v>
      </c>
      <c r="H695" s="232">
        <v>16</v>
      </c>
      <c r="I695" s="209" t="s">
        <v>518</v>
      </c>
      <c r="J695" s="209" t="s">
        <v>560</v>
      </c>
      <c r="K695" s="209" t="s">
        <v>560</v>
      </c>
      <c r="L695" s="209" t="s">
        <v>531</v>
      </c>
      <c r="M695" s="188"/>
      <c r="N695" s="188"/>
      <c r="O695" s="232" t="s">
        <v>531</v>
      </c>
      <c r="P695" s="188"/>
      <c r="Q695" s="209" t="s">
        <v>306</v>
      </c>
      <c r="R695" s="209" t="s">
        <v>306</v>
      </c>
      <c r="S695" s="234" t="s">
        <v>306</v>
      </c>
      <c r="T695" s="209" t="s">
        <v>306</v>
      </c>
      <c r="U695" s="209" t="s">
        <v>25</v>
      </c>
      <c r="V695" s="234" t="s">
        <v>25</v>
      </c>
      <c r="W695" s="209" t="s">
        <v>306</v>
      </c>
      <c r="X695" s="209" t="s">
        <v>25</v>
      </c>
      <c r="Y695" s="234" t="s">
        <v>25</v>
      </c>
      <c r="Z695" s="209" t="s">
        <v>25</v>
      </c>
      <c r="AA695" s="209" t="s">
        <v>25</v>
      </c>
      <c r="AB695" s="234" t="s">
        <v>25</v>
      </c>
      <c r="AC695" s="235" t="s">
        <v>25</v>
      </c>
      <c r="AD695" s="209" t="s">
        <v>306</v>
      </c>
      <c r="AE695" s="209" t="s">
        <v>306</v>
      </c>
      <c r="AF695" s="234" t="s">
        <v>306</v>
      </c>
      <c r="AG695" s="209" t="s">
        <v>19</v>
      </c>
      <c r="AH695" s="209" t="s">
        <v>306</v>
      </c>
      <c r="AI695" s="234" t="s">
        <v>306</v>
      </c>
      <c r="AJ695" s="209" t="s">
        <v>306</v>
      </c>
      <c r="AK695" s="209" t="s">
        <v>19</v>
      </c>
      <c r="AL695" s="234" t="s">
        <v>306</v>
      </c>
      <c r="AM695" s="209" t="s">
        <v>19</v>
      </c>
      <c r="AN695" s="209" t="s">
        <v>19</v>
      </c>
      <c r="AO695" s="234" t="s">
        <v>19</v>
      </c>
      <c r="AP695" s="235" t="s">
        <v>306</v>
      </c>
      <c r="AQ695" s="209" t="s">
        <v>25</v>
      </c>
      <c r="AR695" s="209" t="s">
        <v>25</v>
      </c>
      <c r="AS695" s="234" t="s">
        <v>25</v>
      </c>
      <c r="AT695" s="209" t="s">
        <v>25</v>
      </c>
      <c r="AU695" s="209" t="s">
        <v>25</v>
      </c>
      <c r="AV695" s="234" t="s">
        <v>25</v>
      </c>
      <c r="AW695" s="209" t="s">
        <v>306</v>
      </c>
      <c r="AX695" s="209" t="s">
        <v>306</v>
      </c>
      <c r="AY695" s="234" t="s">
        <v>306</v>
      </c>
      <c r="AZ695" s="209" t="s">
        <v>25</v>
      </c>
      <c r="BA695" s="209" t="s">
        <v>25</v>
      </c>
      <c r="BB695" s="234" t="s">
        <v>25</v>
      </c>
      <c r="BC695" s="235" t="s">
        <v>25</v>
      </c>
      <c r="BD695" s="209"/>
    </row>
    <row r="696" spans="1:56" ht="12.75" customHeight="1" x14ac:dyDescent="0.25">
      <c r="A696" s="238">
        <v>45266.420018599536</v>
      </c>
      <c r="B696" s="233" t="s">
        <v>384</v>
      </c>
      <c r="C696" s="232" t="s">
        <v>587</v>
      </c>
      <c r="D696" s="232" t="s">
        <v>17</v>
      </c>
      <c r="E696" s="232" t="s">
        <v>605</v>
      </c>
      <c r="F696" s="209" t="s">
        <v>1266</v>
      </c>
      <c r="G696" s="232" t="s">
        <v>18</v>
      </c>
      <c r="H696" s="232">
        <v>17</v>
      </c>
      <c r="I696" s="209" t="s">
        <v>518</v>
      </c>
      <c r="J696" s="209" t="s">
        <v>560</v>
      </c>
      <c r="K696" s="209" t="s">
        <v>560</v>
      </c>
      <c r="L696" s="209" t="s">
        <v>531</v>
      </c>
      <c r="M696" s="188"/>
      <c r="N696" s="188"/>
      <c r="O696" s="232" t="s">
        <v>531</v>
      </c>
      <c r="P696" s="188"/>
      <c r="Q696" s="209" t="s">
        <v>25</v>
      </c>
      <c r="R696" s="209" t="s">
        <v>306</v>
      </c>
      <c r="S696" s="234" t="s">
        <v>25</v>
      </c>
      <c r="T696" s="209" t="s">
        <v>306</v>
      </c>
      <c r="U696" s="209" t="s">
        <v>25</v>
      </c>
      <c r="V696" s="234" t="s">
        <v>25</v>
      </c>
      <c r="W696" s="209" t="s">
        <v>19</v>
      </c>
      <c r="X696" s="209" t="s">
        <v>306</v>
      </c>
      <c r="Y696" s="234" t="s">
        <v>306</v>
      </c>
      <c r="Z696" s="209" t="s">
        <v>25</v>
      </c>
      <c r="AA696" s="209" t="s">
        <v>25</v>
      </c>
      <c r="AB696" s="234" t="s">
        <v>25</v>
      </c>
      <c r="AC696" s="235" t="s">
        <v>306</v>
      </c>
      <c r="AD696" s="209" t="s">
        <v>306</v>
      </c>
      <c r="AE696" s="209" t="s">
        <v>306</v>
      </c>
      <c r="AF696" s="234" t="s">
        <v>306</v>
      </c>
      <c r="AG696" s="209" t="s">
        <v>306</v>
      </c>
      <c r="AH696" s="209" t="s">
        <v>306</v>
      </c>
      <c r="AI696" s="234" t="s">
        <v>306</v>
      </c>
      <c r="AJ696" s="209" t="s">
        <v>25</v>
      </c>
      <c r="AK696" s="209" t="s">
        <v>25</v>
      </c>
      <c r="AL696" s="234" t="s">
        <v>25</v>
      </c>
      <c r="AM696" s="209" t="s">
        <v>306</v>
      </c>
      <c r="AN696" s="209" t="s">
        <v>306</v>
      </c>
      <c r="AO696" s="234" t="s">
        <v>306</v>
      </c>
      <c r="AP696" s="235" t="s">
        <v>306</v>
      </c>
      <c r="AQ696" s="209" t="s">
        <v>25</v>
      </c>
      <c r="AR696" s="209" t="s">
        <v>25</v>
      </c>
      <c r="AS696" s="234" t="s">
        <v>25</v>
      </c>
      <c r="AT696" s="209" t="s">
        <v>25</v>
      </c>
      <c r="AU696" s="209" t="s">
        <v>25</v>
      </c>
      <c r="AV696" s="234" t="s">
        <v>25</v>
      </c>
      <c r="AW696" s="209" t="s">
        <v>25</v>
      </c>
      <c r="AX696" s="209" t="s">
        <v>25</v>
      </c>
      <c r="AY696" s="234" t="s">
        <v>25</v>
      </c>
      <c r="AZ696" s="209" t="s">
        <v>25</v>
      </c>
      <c r="BA696" s="209" t="s">
        <v>25</v>
      </c>
      <c r="BB696" s="234" t="s">
        <v>306</v>
      </c>
      <c r="BC696" s="235" t="s">
        <v>306</v>
      </c>
      <c r="BD696" s="209"/>
    </row>
    <row r="697" spans="1:56" ht="12.75" customHeight="1" x14ac:dyDescent="0.25">
      <c r="A697" s="238">
        <v>45266.432925613422</v>
      </c>
      <c r="B697" s="233" t="s">
        <v>384</v>
      </c>
      <c r="C697" s="232" t="s">
        <v>587</v>
      </c>
      <c r="D697" s="232" t="s">
        <v>17</v>
      </c>
      <c r="E697" s="232" t="s">
        <v>605</v>
      </c>
      <c r="F697" s="209" t="s">
        <v>1267</v>
      </c>
      <c r="G697" s="232" t="s">
        <v>24</v>
      </c>
      <c r="H697" s="232">
        <v>17</v>
      </c>
      <c r="I697" s="209" t="s">
        <v>518</v>
      </c>
      <c r="J697" s="209" t="s">
        <v>560</v>
      </c>
      <c r="K697" s="209" t="s">
        <v>560</v>
      </c>
      <c r="L697" s="209" t="s">
        <v>531</v>
      </c>
      <c r="M697" s="188"/>
      <c r="N697" s="188"/>
      <c r="O697" s="232" t="s">
        <v>531</v>
      </c>
      <c r="P697" s="188"/>
      <c r="Q697" s="209" t="s">
        <v>25</v>
      </c>
      <c r="R697" s="209" t="s">
        <v>25</v>
      </c>
      <c r="S697" s="234" t="s">
        <v>25</v>
      </c>
      <c r="T697" s="209" t="s">
        <v>306</v>
      </c>
      <c r="U697" s="209" t="s">
        <v>25</v>
      </c>
      <c r="V697" s="234" t="s">
        <v>25</v>
      </c>
      <c r="W697" s="209" t="s">
        <v>306</v>
      </c>
      <c r="X697" s="209" t="s">
        <v>25</v>
      </c>
      <c r="Y697" s="234" t="s">
        <v>25</v>
      </c>
      <c r="Z697" s="209" t="s">
        <v>25</v>
      </c>
      <c r="AA697" s="209" t="s">
        <v>306</v>
      </c>
      <c r="AB697" s="234" t="s">
        <v>25</v>
      </c>
      <c r="AC697" s="235" t="s">
        <v>25</v>
      </c>
      <c r="AD697" s="209" t="s">
        <v>306</v>
      </c>
      <c r="AE697" s="209" t="s">
        <v>25</v>
      </c>
      <c r="AF697" s="234" t="s">
        <v>25</v>
      </c>
      <c r="AG697" s="209" t="s">
        <v>306</v>
      </c>
      <c r="AH697" s="209" t="s">
        <v>25</v>
      </c>
      <c r="AI697" s="234" t="s">
        <v>25</v>
      </c>
      <c r="AJ697" s="209" t="s">
        <v>25</v>
      </c>
      <c r="AK697" s="209" t="s">
        <v>306</v>
      </c>
      <c r="AL697" s="234" t="s">
        <v>25</v>
      </c>
      <c r="AM697" s="209" t="s">
        <v>306</v>
      </c>
      <c r="AN697" s="209" t="s">
        <v>306</v>
      </c>
      <c r="AO697" s="234" t="s">
        <v>306</v>
      </c>
      <c r="AP697" s="235" t="s">
        <v>306</v>
      </c>
      <c r="AQ697" s="209" t="s">
        <v>25</v>
      </c>
      <c r="AR697" s="209" t="s">
        <v>25</v>
      </c>
      <c r="AS697" s="234" t="s">
        <v>25</v>
      </c>
      <c r="AT697" s="209" t="s">
        <v>25</v>
      </c>
      <c r="AU697" s="209" t="s">
        <v>25</v>
      </c>
      <c r="AV697" s="234" t="s">
        <v>25</v>
      </c>
      <c r="AW697" s="209" t="s">
        <v>306</v>
      </c>
      <c r="AX697" s="209" t="s">
        <v>25</v>
      </c>
      <c r="AY697" s="234" t="s">
        <v>25</v>
      </c>
      <c r="AZ697" s="209" t="s">
        <v>25</v>
      </c>
      <c r="BA697" s="209" t="s">
        <v>25</v>
      </c>
      <c r="BB697" s="234" t="s">
        <v>25</v>
      </c>
      <c r="BC697" s="235" t="s">
        <v>25</v>
      </c>
      <c r="BD697" s="209"/>
    </row>
    <row r="698" spans="1:56" ht="12.75" customHeight="1" x14ac:dyDescent="0.25">
      <c r="A698" s="238">
        <v>45266.437867731482</v>
      </c>
      <c r="B698" s="233" t="s">
        <v>384</v>
      </c>
      <c r="C698" s="232" t="s">
        <v>587</v>
      </c>
      <c r="D698" s="232" t="s">
        <v>17</v>
      </c>
      <c r="E698" s="232" t="s">
        <v>605</v>
      </c>
      <c r="F698" s="209" t="s">
        <v>1268</v>
      </c>
      <c r="G698" s="232" t="s">
        <v>24</v>
      </c>
      <c r="H698" s="232">
        <v>16</v>
      </c>
      <c r="I698" s="209" t="s">
        <v>518</v>
      </c>
      <c r="J698" s="209" t="s">
        <v>560</v>
      </c>
      <c r="K698" s="209" t="s">
        <v>560</v>
      </c>
      <c r="L698" s="209" t="s">
        <v>531</v>
      </c>
      <c r="M698" s="188"/>
      <c r="N698" s="188"/>
      <c r="O698" s="232" t="s">
        <v>531</v>
      </c>
      <c r="P698" s="188"/>
      <c r="Q698" s="209" t="s">
        <v>306</v>
      </c>
      <c r="R698" s="209" t="s">
        <v>306</v>
      </c>
      <c r="S698" s="234" t="s">
        <v>306</v>
      </c>
      <c r="T698" s="209" t="s">
        <v>306</v>
      </c>
      <c r="U698" s="209" t="s">
        <v>25</v>
      </c>
      <c r="V698" s="234" t="s">
        <v>25</v>
      </c>
      <c r="W698" s="209" t="s">
        <v>306</v>
      </c>
      <c r="X698" s="209" t="s">
        <v>25</v>
      </c>
      <c r="Y698" s="234" t="s">
        <v>25</v>
      </c>
      <c r="Z698" s="209" t="s">
        <v>25</v>
      </c>
      <c r="AA698" s="209" t="s">
        <v>306</v>
      </c>
      <c r="AB698" s="234" t="s">
        <v>25</v>
      </c>
      <c r="AC698" s="235" t="s">
        <v>306</v>
      </c>
      <c r="AD698" s="209" t="s">
        <v>19</v>
      </c>
      <c r="AE698" s="209" t="s">
        <v>19</v>
      </c>
      <c r="AF698" s="234" t="s">
        <v>19</v>
      </c>
      <c r="AG698" s="209" t="s">
        <v>19</v>
      </c>
      <c r="AH698" s="209" t="s">
        <v>19</v>
      </c>
      <c r="AI698" s="234" t="s">
        <v>19</v>
      </c>
      <c r="AJ698" s="209" t="s">
        <v>25</v>
      </c>
      <c r="AK698" s="209" t="s">
        <v>19</v>
      </c>
      <c r="AL698" s="234" t="s">
        <v>306</v>
      </c>
      <c r="AM698" s="209" t="s">
        <v>19</v>
      </c>
      <c r="AN698" s="209" t="s">
        <v>19</v>
      </c>
      <c r="AO698" s="234" t="s">
        <v>19</v>
      </c>
      <c r="AP698" s="235" t="s">
        <v>19</v>
      </c>
      <c r="AQ698" s="209" t="s">
        <v>25</v>
      </c>
      <c r="AR698" s="209" t="s">
        <v>25</v>
      </c>
      <c r="AS698" s="234" t="s">
        <v>25</v>
      </c>
      <c r="AT698" s="209" t="s">
        <v>25</v>
      </c>
      <c r="AU698" s="209" t="s">
        <v>25</v>
      </c>
      <c r="AV698" s="234" t="s">
        <v>25</v>
      </c>
      <c r="AW698" s="209" t="s">
        <v>19</v>
      </c>
      <c r="AX698" s="209" t="s">
        <v>306</v>
      </c>
      <c r="AY698" s="234" t="s">
        <v>306</v>
      </c>
      <c r="AZ698" s="209" t="s">
        <v>25</v>
      </c>
      <c r="BA698" s="209" t="s">
        <v>25</v>
      </c>
      <c r="BB698" s="234" t="s">
        <v>25</v>
      </c>
      <c r="BC698" s="235" t="s">
        <v>25</v>
      </c>
      <c r="BD698" s="209"/>
    </row>
    <row r="699" spans="1:56" ht="12.75" customHeight="1" x14ac:dyDescent="0.25">
      <c r="A699" s="238">
        <v>45266.440283796299</v>
      </c>
      <c r="B699" s="233" t="s">
        <v>384</v>
      </c>
      <c r="C699" s="232" t="s">
        <v>587</v>
      </c>
      <c r="D699" s="232" t="s">
        <v>17</v>
      </c>
      <c r="E699" s="232" t="s">
        <v>605</v>
      </c>
      <c r="F699" s="209" t="s">
        <v>1269</v>
      </c>
      <c r="G699" s="232" t="s">
        <v>24</v>
      </c>
      <c r="H699" s="232">
        <v>16</v>
      </c>
      <c r="I699" s="209" t="s">
        <v>518</v>
      </c>
      <c r="J699" s="209" t="s">
        <v>560</v>
      </c>
      <c r="K699" s="209" t="s">
        <v>560</v>
      </c>
      <c r="L699" s="209" t="s">
        <v>531</v>
      </c>
      <c r="M699" s="188"/>
      <c r="N699" s="188"/>
      <c r="O699" s="232" t="s">
        <v>531</v>
      </c>
      <c r="P699" s="188"/>
      <c r="Q699" s="209" t="s">
        <v>25</v>
      </c>
      <c r="R699" s="209" t="s">
        <v>19</v>
      </c>
      <c r="S699" s="234" t="s">
        <v>306</v>
      </c>
      <c r="T699" s="209" t="s">
        <v>19</v>
      </c>
      <c r="U699" s="209" t="s">
        <v>19</v>
      </c>
      <c r="V699" s="234" t="s">
        <v>19</v>
      </c>
      <c r="W699" s="209" t="s">
        <v>19</v>
      </c>
      <c r="X699" s="209" t="s">
        <v>19</v>
      </c>
      <c r="Y699" s="234" t="s">
        <v>19</v>
      </c>
      <c r="Z699" s="209" t="s">
        <v>25</v>
      </c>
      <c r="AA699" s="209" t="s">
        <v>19</v>
      </c>
      <c r="AB699" s="234" t="s">
        <v>306</v>
      </c>
      <c r="AC699" s="235" t="s">
        <v>306</v>
      </c>
      <c r="AD699" s="209" t="s">
        <v>306</v>
      </c>
      <c r="AE699" s="209" t="s">
        <v>25</v>
      </c>
      <c r="AF699" s="234" t="s">
        <v>25</v>
      </c>
      <c r="AG699" s="209" t="s">
        <v>306</v>
      </c>
      <c r="AH699" s="209" t="s">
        <v>306</v>
      </c>
      <c r="AI699" s="234" t="s">
        <v>306</v>
      </c>
      <c r="AJ699" s="209" t="s">
        <v>306</v>
      </c>
      <c r="AK699" s="209" t="s">
        <v>306</v>
      </c>
      <c r="AL699" s="234" t="s">
        <v>306</v>
      </c>
      <c r="AM699" s="209" t="s">
        <v>19</v>
      </c>
      <c r="AN699" s="209" t="s">
        <v>19</v>
      </c>
      <c r="AO699" s="234" t="s">
        <v>19</v>
      </c>
      <c r="AP699" s="235" t="s">
        <v>306</v>
      </c>
      <c r="AQ699" s="209" t="s">
        <v>25</v>
      </c>
      <c r="AR699" s="209" t="s">
        <v>25</v>
      </c>
      <c r="AS699" s="234" t="s">
        <v>25</v>
      </c>
      <c r="AT699" s="209" t="s">
        <v>25</v>
      </c>
      <c r="AU699" s="209" t="s">
        <v>25</v>
      </c>
      <c r="AV699" s="234" t="s">
        <v>25</v>
      </c>
      <c r="AW699" s="209" t="s">
        <v>25</v>
      </c>
      <c r="AX699" s="209" t="s">
        <v>306</v>
      </c>
      <c r="AY699" s="234" t="s">
        <v>25</v>
      </c>
      <c r="AZ699" s="209" t="s">
        <v>25</v>
      </c>
      <c r="BA699" s="209" t="s">
        <v>25</v>
      </c>
      <c r="BB699" s="234" t="s">
        <v>306</v>
      </c>
      <c r="BC699" s="235" t="s">
        <v>25</v>
      </c>
      <c r="BD699" s="209"/>
    </row>
    <row r="700" spans="1:56" ht="12.75" customHeight="1" x14ac:dyDescent="0.25">
      <c r="A700" s="238">
        <v>45266.442662881949</v>
      </c>
      <c r="B700" s="233" t="s">
        <v>384</v>
      </c>
      <c r="C700" s="232" t="s">
        <v>587</v>
      </c>
      <c r="D700" s="232" t="s">
        <v>17</v>
      </c>
      <c r="E700" s="232" t="s">
        <v>605</v>
      </c>
      <c r="F700" s="209" t="s">
        <v>1270</v>
      </c>
      <c r="G700" s="232" t="s">
        <v>18</v>
      </c>
      <c r="H700" s="232">
        <v>15</v>
      </c>
      <c r="I700" s="209" t="s">
        <v>518</v>
      </c>
      <c r="J700" s="209" t="s">
        <v>560</v>
      </c>
      <c r="K700" s="209" t="s">
        <v>560</v>
      </c>
      <c r="L700" s="209" t="s">
        <v>531</v>
      </c>
      <c r="M700" s="188"/>
      <c r="N700" s="188"/>
      <c r="O700" s="232" t="s">
        <v>531</v>
      </c>
      <c r="P700" s="188"/>
      <c r="Q700" s="209" t="s">
        <v>25</v>
      </c>
      <c r="R700" s="209" t="s">
        <v>306</v>
      </c>
      <c r="S700" s="234" t="s">
        <v>25</v>
      </c>
      <c r="T700" s="209" t="s">
        <v>306</v>
      </c>
      <c r="U700" s="209" t="s">
        <v>25</v>
      </c>
      <c r="V700" s="234" t="s">
        <v>25</v>
      </c>
      <c r="W700" s="209" t="s">
        <v>306</v>
      </c>
      <c r="X700" s="209" t="s">
        <v>25</v>
      </c>
      <c r="Y700" s="234" t="s">
        <v>25</v>
      </c>
      <c r="Z700" s="209" t="s">
        <v>25</v>
      </c>
      <c r="AA700" s="209" t="s">
        <v>25</v>
      </c>
      <c r="AB700" s="234" t="s">
        <v>25</v>
      </c>
      <c r="AC700" s="235" t="s">
        <v>25</v>
      </c>
      <c r="AD700" s="209" t="s">
        <v>25</v>
      </c>
      <c r="AE700" s="209" t="s">
        <v>306</v>
      </c>
      <c r="AF700" s="234" t="s">
        <v>25</v>
      </c>
      <c r="AG700" s="209" t="s">
        <v>306</v>
      </c>
      <c r="AH700" s="209" t="s">
        <v>25</v>
      </c>
      <c r="AI700" s="234" t="s">
        <v>25</v>
      </c>
      <c r="AJ700" s="209" t="s">
        <v>25</v>
      </c>
      <c r="AK700" s="209" t="s">
        <v>306</v>
      </c>
      <c r="AL700" s="234" t="s">
        <v>25</v>
      </c>
      <c r="AM700" s="209" t="s">
        <v>306</v>
      </c>
      <c r="AN700" s="209" t="s">
        <v>306</v>
      </c>
      <c r="AO700" s="234" t="s">
        <v>306</v>
      </c>
      <c r="AP700" s="235" t="s">
        <v>306</v>
      </c>
      <c r="AQ700" s="209" t="s">
        <v>25</v>
      </c>
      <c r="AR700" s="209" t="s">
        <v>306</v>
      </c>
      <c r="AS700" s="234" t="s">
        <v>25</v>
      </c>
      <c r="AT700" s="209" t="s">
        <v>25</v>
      </c>
      <c r="AU700" s="209" t="s">
        <v>25</v>
      </c>
      <c r="AV700" s="234" t="s">
        <v>25</v>
      </c>
      <c r="AW700" s="209" t="s">
        <v>19</v>
      </c>
      <c r="AX700" s="209" t="s">
        <v>306</v>
      </c>
      <c r="AY700" s="234" t="s">
        <v>306</v>
      </c>
      <c r="AZ700" s="209" t="s">
        <v>25</v>
      </c>
      <c r="BA700" s="209" t="s">
        <v>306</v>
      </c>
      <c r="BB700" s="234" t="s">
        <v>306</v>
      </c>
      <c r="BC700" s="235" t="s">
        <v>306</v>
      </c>
      <c r="BD700" s="209"/>
    </row>
    <row r="701" spans="1:56" ht="12.75" customHeight="1" x14ac:dyDescent="0.25">
      <c r="A701" s="238">
        <v>45266.452836863427</v>
      </c>
      <c r="B701" s="233" t="s">
        <v>384</v>
      </c>
      <c r="C701" s="232" t="s">
        <v>587</v>
      </c>
      <c r="D701" s="232" t="s">
        <v>17</v>
      </c>
      <c r="E701" s="232" t="s">
        <v>605</v>
      </c>
      <c r="F701" s="209" t="s">
        <v>1271</v>
      </c>
      <c r="G701" s="232" t="s">
        <v>24</v>
      </c>
      <c r="H701" s="232">
        <v>15</v>
      </c>
      <c r="I701" s="209" t="s">
        <v>518</v>
      </c>
      <c r="J701" s="209" t="s">
        <v>560</v>
      </c>
      <c r="K701" s="209" t="s">
        <v>560</v>
      </c>
      <c r="L701" s="209" t="s">
        <v>531</v>
      </c>
      <c r="M701" s="188"/>
      <c r="N701" s="188"/>
      <c r="O701" s="232" t="s">
        <v>531</v>
      </c>
      <c r="P701" s="188"/>
      <c r="Q701" s="209" t="s">
        <v>25</v>
      </c>
      <c r="R701" s="209" t="s">
        <v>25</v>
      </c>
      <c r="S701" s="234" t="s">
        <v>25</v>
      </c>
      <c r="T701" s="209" t="s">
        <v>306</v>
      </c>
      <c r="U701" s="209" t="s">
        <v>25</v>
      </c>
      <c r="V701" s="234" t="s">
        <v>25</v>
      </c>
      <c r="W701" s="209" t="s">
        <v>25</v>
      </c>
      <c r="X701" s="209" t="s">
        <v>25</v>
      </c>
      <c r="Y701" s="234" t="s">
        <v>25</v>
      </c>
      <c r="Z701" s="209" t="s">
        <v>25</v>
      </c>
      <c r="AA701" s="209" t="s">
        <v>25</v>
      </c>
      <c r="AB701" s="234" t="s">
        <v>25</v>
      </c>
      <c r="AC701" s="235" t="s">
        <v>25</v>
      </c>
      <c r="AD701" s="209" t="s">
        <v>306</v>
      </c>
      <c r="AE701" s="209" t="s">
        <v>306</v>
      </c>
      <c r="AF701" s="234" t="s">
        <v>306</v>
      </c>
      <c r="AG701" s="209" t="s">
        <v>19</v>
      </c>
      <c r="AH701" s="209" t="s">
        <v>25</v>
      </c>
      <c r="AI701" s="234" t="s">
        <v>306</v>
      </c>
      <c r="AJ701" s="209" t="s">
        <v>25</v>
      </c>
      <c r="AK701" s="209" t="s">
        <v>19</v>
      </c>
      <c r="AL701" s="234" t="s">
        <v>306</v>
      </c>
      <c r="AM701" s="209" t="s">
        <v>306</v>
      </c>
      <c r="AN701" s="209" t="s">
        <v>19</v>
      </c>
      <c r="AO701" s="234" t="s">
        <v>306</v>
      </c>
      <c r="AP701" s="235" t="s">
        <v>306</v>
      </c>
      <c r="AQ701" s="209" t="s">
        <v>25</v>
      </c>
      <c r="AR701" s="209" t="s">
        <v>25</v>
      </c>
      <c r="AS701" s="234" t="s">
        <v>25</v>
      </c>
      <c r="AT701" s="209" t="s">
        <v>25</v>
      </c>
      <c r="AU701" s="209" t="s">
        <v>25</v>
      </c>
      <c r="AV701" s="234" t="s">
        <v>25</v>
      </c>
      <c r="AW701" s="209" t="s">
        <v>25</v>
      </c>
      <c r="AX701" s="209" t="s">
        <v>25</v>
      </c>
      <c r="AY701" s="234" t="s">
        <v>25</v>
      </c>
      <c r="AZ701" s="209" t="s">
        <v>306</v>
      </c>
      <c r="BA701" s="209" t="s">
        <v>25</v>
      </c>
      <c r="BB701" s="234" t="s">
        <v>306</v>
      </c>
      <c r="BC701" s="235" t="s">
        <v>306</v>
      </c>
      <c r="BD701" s="209"/>
    </row>
    <row r="702" spans="1:56" ht="12.75" customHeight="1" x14ac:dyDescent="0.25">
      <c r="A702" s="238">
        <v>45266.45506518519</v>
      </c>
      <c r="B702" s="233" t="s">
        <v>384</v>
      </c>
      <c r="C702" s="232" t="s">
        <v>587</v>
      </c>
      <c r="D702" s="232" t="s">
        <v>17</v>
      </c>
      <c r="E702" s="232" t="s">
        <v>605</v>
      </c>
      <c r="F702" s="209" t="s">
        <v>1272</v>
      </c>
      <c r="G702" s="232" t="s">
        <v>18</v>
      </c>
      <c r="H702" s="232">
        <v>17</v>
      </c>
      <c r="I702" s="209" t="s">
        <v>518</v>
      </c>
      <c r="J702" s="209" t="s">
        <v>560</v>
      </c>
      <c r="K702" s="209" t="s">
        <v>560</v>
      </c>
      <c r="L702" s="209" t="s">
        <v>531</v>
      </c>
      <c r="M702" s="188"/>
      <c r="N702" s="188"/>
      <c r="O702" s="232" t="s">
        <v>531</v>
      </c>
      <c r="P702" s="188"/>
      <c r="Q702" s="209" t="s">
        <v>25</v>
      </c>
      <c r="R702" s="209" t="s">
        <v>306</v>
      </c>
      <c r="S702" s="234" t="s">
        <v>25</v>
      </c>
      <c r="T702" s="209" t="s">
        <v>306</v>
      </c>
      <c r="U702" s="209" t="s">
        <v>25</v>
      </c>
      <c r="V702" s="234" t="s">
        <v>25</v>
      </c>
      <c r="W702" s="209" t="s">
        <v>306</v>
      </c>
      <c r="X702" s="209" t="s">
        <v>25</v>
      </c>
      <c r="Y702" s="234" t="s">
        <v>25</v>
      </c>
      <c r="Z702" s="209" t="s">
        <v>306</v>
      </c>
      <c r="AA702" s="209" t="s">
        <v>19</v>
      </c>
      <c r="AB702" s="234" t="s">
        <v>306</v>
      </c>
      <c r="AC702" s="235" t="s">
        <v>306</v>
      </c>
      <c r="AD702" s="209" t="s">
        <v>306</v>
      </c>
      <c r="AE702" s="209" t="s">
        <v>19</v>
      </c>
      <c r="AF702" s="234" t="s">
        <v>306</v>
      </c>
      <c r="AG702" s="209" t="s">
        <v>306</v>
      </c>
      <c r="AH702" s="209" t="s">
        <v>25</v>
      </c>
      <c r="AI702" s="234" t="s">
        <v>25</v>
      </c>
      <c r="AJ702" s="209" t="s">
        <v>25</v>
      </c>
      <c r="AK702" s="209" t="s">
        <v>25</v>
      </c>
      <c r="AL702" s="234" t="s">
        <v>25</v>
      </c>
      <c r="AM702" s="209" t="s">
        <v>306</v>
      </c>
      <c r="AN702" s="209" t="s">
        <v>306</v>
      </c>
      <c r="AO702" s="234" t="s">
        <v>306</v>
      </c>
      <c r="AP702" s="235" t="s">
        <v>306</v>
      </c>
      <c r="AQ702" s="209" t="s">
        <v>25</v>
      </c>
      <c r="AR702" s="209" t="s">
        <v>25</v>
      </c>
      <c r="AS702" s="234" t="s">
        <v>25</v>
      </c>
      <c r="AT702" s="209" t="s">
        <v>25</v>
      </c>
      <c r="AU702" s="209" t="s">
        <v>25</v>
      </c>
      <c r="AV702" s="234" t="s">
        <v>25</v>
      </c>
      <c r="AW702" s="209" t="s">
        <v>306</v>
      </c>
      <c r="AX702" s="209" t="s">
        <v>25</v>
      </c>
      <c r="AY702" s="234" t="s">
        <v>25</v>
      </c>
      <c r="AZ702" s="209" t="s">
        <v>25</v>
      </c>
      <c r="BA702" s="209" t="s">
        <v>25</v>
      </c>
      <c r="BB702" s="234" t="s">
        <v>25</v>
      </c>
      <c r="BC702" s="235" t="s">
        <v>25</v>
      </c>
      <c r="BD702" s="209"/>
    </row>
    <row r="703" spans="1:56" ht="12.75" customHeight="1" x14ac:dyDescent="0.25">
      <c r="A703" s="238">
        <v>45266.459625810181</v>
      </c>
      <c r="B703" s="233" t="s">
        <v>384</v>
      </c>
      <c r="C703" s="232" t="s">
        <v>587</v>
      </c>
      <c r="D703" s="232" t="s">
        <v>17</v>
      </c>
      <c r="E703" s="232" t="s">
        <v>605</v>
      </c>
      <c r="F703" s="209" t="s">
        <v>1273</v>
      </c>
      <c r="G703" s="232" t="s">
        <v>18</v>
      </c>
      <c r="H703" s="232">
        <v>15</v>
      </c>
      <c r="I703" s="209" t="s">
        <v>518</v>
      </c>
      <c r="J703" s="209" t="s">
        <v>560</v>
      </c>
      <c r="K703" s="209" t="s">
        <v>560</v>
      </c>
      <c r="L703" s="209" t="s">
        <v>531</v>
      </c>
      <c r="M703" s="188"/>
      <c r="N703" s="188"/>
      <c r="O703" s="232" t="s">
        <v>531</v>
      </c>
      <c r="P703" s="188"/>
      <c r="Q703" s="209" t="s">
        <v>25</v>
      </c>
      <c r="R703" s="209" t="s">
        <v>306</v>
      </c>
      <c r="S703" s="234" t="s">
        <v>25</v>
      </c>
      <c r="T703" s="209" t="s">
        <v>306</v>
      </c>
      <c r="U703" s="209" t="s">
        <v>306</v>
      </c>
      <c r="V703" s="234" t="s">
        <v>306</v>
      </c>
      <c r="W703" s="209" t="s">
        <v>25</v>
      </c>
      <c r="X703" s="209" t="s">
        <v>25</v>
      </c>
      <c r="Y703" s="234" t="s">
        <v>25</v>
      </c>
      <c r="Z703" s="209" t="s">
        <v>25</v>
      </c>
      <c r="AA703" s="209" t="s">
        <v>306</v>
      </c>
      <c r="AB703" s="234" t="s">
        <v>25</v>
      </c>
      <c r="AC703" s="235" t="s">
        <v>25</v>
      </c>
      <c r="AD703" s="209" t="s">
        <v>19</v>
      </c>
      <c r="AE703" s="209" t="s">
        <v>306</v>
      </c>
      <c r="AF703" s="234" t="s">
        <v>306</v>
      </c>
      <c r="AG703" s="209" t="s">
        <v>19</v>
      </c>
      <c r="AH703" s="209" t="s">
        <v>306</v>
      </c>
      <c r="AI703" s="234" t="s">
        <v>306</v>
      </c>
      <c r="AJ703" s="209" t="s">
        <v>306</v>
      </c>
      <c r="AK703" s="209" t="s">
        <v>306</v>
      </c>
      <c r="AL703" s="234" t="s">
        <v>306</v>
      </c>
      <c r="AM703" s="209" t="s">
        <v>19</v>
      </c>
      <c r="AN703" s="209" t="s">
        <v>25</v>
      </c>
      <c r="AO703" s="234" t="s">
        <v>306</v>
      </c>
      <c r="AP703" s="235" t="s">
        <v>306</v>
      </c>
      <c r="AQ703" s="209" t="s">
        <v>25</v>
      </c>
      <c r="AR703" s="209" t="s">
        <v>25</v>
      </c>
      <c r="AS703" s="234" t="s">
        <v>25</v>
      </c>
      <c r="AT703" s="209" t="s">
        <v>25</v>
      </c>
      <c r="AU703" s="209" t="s">
        <v>25</v>
      </c>
      <c r="AV703" s="234" t="s">
        <v>25</v>
      </c>
      <c r="AW703" s="209" t="s">
        <v>25</v>
      </c>
      <c r="AX703" s="209" t="s">
        <v>306</v>
      </c>
      <c r="AY703" s="234" t="s">
        <v>25</v>
      </c>
      <c r="AZ703" s="209" t="s">
        <v>25</v>
      </c>
      <c r="BA703" s="209" t="s">
        <v>25</v>
      </c>
      <c r="BB703" s="234" t="s">
        <v>25</v>
      </c>
      <c r="BC703" s="235" t="s">
        <v>25</v>
      </c>
      <c r="BD703" s="209"/>
    </row>
    <row r="704" spans="1:56" ht="12.75" customHeight="1" x14ac:dyDescent="0.25">
      <c r="A704" s="238">
        <v>45266.467880798613</v>
      </c>
      <c r="B704" s="233" t="s">
        <v>384</v>
      </c>
      <c r="C704" s="232" t="s">
        <v>587</v>
      </c>
      <c r="D704" s="232" t="s">
        <v>17</v>
      </c>
      <c r="E704" s="232" t="s">
        <v>605</v>
      </c>
      <c r="F704" s="209" t="s">
        <v>1274</v>
      </c>
      <c r="G704" s="232" t="s">
        <v>24</v>
      </c>
      <c r="H704" s="232">
        <v>16</v>
      </c>
      <c r="I704" s="209" t="s">
        <v>518</v>
      </c>
      <c r="J704" s="209" t="s">
        <v>560</v>
      </c>
      <c r="K704" s="209" t="s">
        <v>560</v>
      </c>
      <c r="L704" s="209" t="s">
        <v>531</v>
      </c>
      <c r="M704" s="188"/>
      <c r="N704" s="188"/>
      <c r="O704" s="232" t="s">
        <v>531</v>
      </c>
      <c r="P704" s="188"/>
      <c r="Q704" s="209" t="s">
        <v>25</v>
      </c>
      <c r="R704" s="209" t="s">
        <v>25</v>
      </c>
      <c r="S704" s="234" t="s">
        <v>25</v>
      </c>
      <c r="T704" s="209" t="s">
        <v>306</v>
      </c>
      <c r="U704" s="209" t="s">
        <v>25</v>
      </c>
      <c r="V704" s="234" t="s">
        <v>25</v>
      </c>
      <c r="W704" s="209" t="s">
        <v>25</v>
      </c>
      <c r="X704" s="209" t="s">
        <v>306</v>
      </c>
      <c r="Y704" s="234" t="s">
        <v>25</v>
      </c>
      <c r="Z704" s="209" t="s">
        <v>25</v>
      </c>
      <c r="AA704" s="209" t="s">
        <v>25</v>
      </c>
      <c r="AB704" s="234" t="s">
        <v>25</v>
      </c>
      <c r="AC704" s="235" t="s">
        <v>25</v>
      </c>
      <c r="AD704" s="209" t="s">
        <v>25</v>
      </c>
      <c r="AE704" s="209" t="s">
        <v>25</v>
      </c>
      <c r="AF704" s="234" t="s">
        <v>25</v>
      </c>
      <c r="AG704" s="209" t="s">
        <v>306</v>
      </c>
      <c r="AH704" s="209" t="s">
        <v>306</v>
      </c>
      <c r="AI704" s="234" t="s">
        <v>306</v>
      </c>
      <c r="AJ704" s="209" t="s">
        <v>25</v>
      </c>
      <c r="AK704" s="209" t="s">
        <v>25</v>
      </c>
      <c r="AL704" s="234" t="s">
        <v>25</v>
      </c>
      <c r="AM704" s="209" t="s">
        <v>19</v>
      </c>
      <c r="AN704" s="209" t="s">
        <v>19</v>
      </c>
      <c r="AO704" s="234" t="s">
        <v>19</v>
      </c>
      <c r="AP704" s="235" t="s">
        <v>306</v>
      </c>
      <c r="AQ704" s="209" t="s">
        <v>25</v>
      </c>
      <c r="AR704" s="209" t="s">
        <v>25</v>
      </c>
      <c r="AS704" s="234" t="s">
        <v>25</v>
      </c>
      <c r="AT704" s="209" t="s">
        <v>25</v>
      </c>
      <c r="AU704" s="209" t="s">
        <v>25</v>
      </c>
      <c r="AV704" s="234" t="s">
        <v>25</v>
      </c>
      <c r="AW704" s="209" t="s">
        <v>25</v>
      </c>
      <c r="AX704" s="209" t="s">
        <v>25</v>
      </c>
      <c r="AY704" s="234" t="s">
        <v>25</v>
      </c>
      <c r="AZ704" s="209" t="s">
        <v>25</v>
      </c>
      <c r="BA704" s="209" t="s">
        <v>25</v>
      </c>
      <c r="BB704" s="234" t="s">
        <v>25</v>
      </c>
      <c r="BC704" s="235" t="s">
        <v>25</v>
      </c>
      <c r="BD704" s="209"/>
    </row>
    <row r="705" spans="1:56" ht="12.75" customHeight="1" x14ac:dyDescent="0.25">
      <c r="A705" s="238">
        <v>45266.469800798615</v>
      </c>
      <c r="B705" s="233" t="s">
        <v>384</v>
      </c>
      <c r="C705" s="232" t="s">
        <v>587</v>
      </c>
      <c r="D705" s="232" t="s">
        <v>17</v>
      </c>
      <c r="E705" s="232" t="s">
        <v>605</v>
      </c>
      <c r="F705" s="209" t="s">
        <v>1275</v>
      </c>
      <c r="G705" s="232" t="s">
        <v>24</v>
      </c>
      <c r="H705" s="232">
        <v>16</v>
      </c>
      <c r="I705" s="209" t="s">
        <v>518</v>
      </c>
      <c r="J705" s="209" t="s">
        <v>560</v>
      </c>
      <c r="K705" s="209" t="s">
        <v>560</v>
      </c>
      <c r="L705" s="209" t="s">
        <v>531</v>
      </c>
      <c r="M705" s="188"/>
      <c r="N705" s="188"/>
      <c r="O705" s="232" t="s">
        <v>531</v>
      </c>
      <c r="P705" s="188"/>
      <c r="Q705" s="209" t="s">
        <v>25</v>
      </c>
      <c r="R705" s="209" t="s">
        <v>25</v>
      </c>
      <c r="S705" s="234" t="s">
        <v>25</v>
      </c>
      <c r="T705" s="209" t="s">
        <v>25</v>
      </c>
      <c r="U705" s="209" t="s">
        <v>25</v>
      </c>
      <c r="V705" s="234" t="s">
        <v>25</v>
      </c>
      <c r="W705" s="209" t="s">
        <v>306</v>
      </c>
      <c r="X705" s="209" t="s">
        <v>25</v>
      </c>
      <c r="Y705" s="234" t="s">
        <v>25</v>
      </c>
      <c r="Z705" s="209" t="s">
        <v>25</v>
      </c>
      <c r="AA705" s="209" t="s">
        <v>25</v>
      </c>
      <c r="AB705" s="234" t="s">
        <v>25</v>
      </c>
      <c r="AC705" s="235" t="s">
        <v>25</v>
      </c>
      <c r="AD705" s="209" t="s">
        <v>306</v>
      </c>
      <c r="AE705" s="209" t="s">
        <v>25</v>
      </c>
      <c r="AF705" s="234" t="s">
        <v>25</v>
      </c>
      <c r="AG705" s="209" t="s">
        <v>25</v>
      </c>
      <c r="AH705" s="209" t="s">
        <v>19</v>
      </c>
      <c r="AI705" s="234" t="s">
        <v>306</v>
      </c>
      <c r="AJ705" s="209" t="s">
        <v>25</v>
      </c>
      <c r="AK705" s="209" t="s">
        <v>25</v>
      </c>
      <c r="AL705" s="234" t="s">
        <v>25</v>
      </c>
      <c r="AM705" s="209" t="s">
        <v>19</v>
      </c>
      <c r="AN705" s="209" t="s">
        <v>19</v>
      </c>
      <c r="AO705" s="234" t="s">
        <v>19</v>
      </c>
      <c r="AP705" s="235" t="s">
        <v>306</v>
      </c>
      <c r="AQ705" s="209" t="s">
        <v>25</v>
      </c>
      <c r="AR705" s="209" t="s">
        <v>25</v>
      </c>
      <c r="AS705" s="234" t="s">
        <v>25</v>
      </c>
      <c r="AT705" s="209" t="s">
        <v>25</v>
      </c>
      <c r="AU705" s="209" t="s">
        <v>25</v>
      </c>
      <c r="AV705" s="234" t="s">
        <v>25</v>
      </c>
      <c r="AW705" s="209" t="s">
        <v>25</v>
      </c>
      <c r="AX705" s="209" t="s">
        <v>25</v>
      </c>
      <c r="AY705" s="234" t="s">
        <v>25</v>
      </c>
      <c r="AZ705" s="209" t="s">
        <v>25</v>
      </c>
      <c r="BA705" s="209" t="s">
        <v>25</v>
      </c>
      <c r="BB705" s="234" t="s">
        <v>306</v>
      </c>
      <c r="BC705" s="235" t="s">
        <v>306</v>
      </c>
      <c r="BD705" s="209"/>
    </row>
    <row r="706" spans="1:56" ht="12.75" customHeight="1" x14ac:dyDescent="0.25">
      <c r="A706" s="238">
        <v>45267.722681736108</v>
      </c>
      <c r="B706" s="233" t="s">
        <v>384</v>
      </c>
      <c r="C706" s="232" t="s">
        <v>587</v>
      </c>
      <c r="D706" s="232" t="s">
        <v>17</v>
      </c>
      <c r="E706" s="232" t="s">
        <v>605</v>
      </c>
      <c r="F706" s="209" t="s">
        <v>1276</v>
      </c>
      <c r="G706" s="232" t="s">
        <v>18</v>
      </c>
      <c r="H706" s="232">
        <v>16</v>
      </c>
      <c r="I706" s="209" t="s">
        <v>518</v>
      </c>
      <c r="J706" s="209" t="s">
        <v>560</v>
      </c>
      <c r="K706" s="209" t="s">
        <v>560</v>
      </c>
      <c r="L706" s="209" t="s">
        <v>531</v>
      </c>
      <c r="M706" s="188"/>
      <c r="N706" s="188"/>
      <c r="O706" s="232" t="s">
        <v>531</v>
      </c>
      <c r="P706" s="188"/>
      <c r="Q706" s="209" t="s">
        <v>25</v>
      </c>
      <c r="R706" s="209" t="s">
        <v>306</v>
      </c>
      <c r="S706" s="234" t="s">
        <v>25</v>
      </c>
      <c r="T706" s="209" t="s">
        <v>25</v>
      </c>
      <c r="U706" s="209" t="s">
        <v>25</v>
      </c>
      <c r="V706" s="234" t="s">
        <v>25</v>
      </c>
      <c r="W706" s="209" t="s">
        <v>306</v>
      </c>
      <c r="X706" s="209" t="s">
        <v>25</v>
      </c>
      <c r="Y706" s="234" t="s">
        <v>25</v>
      </c>
      <c r="Z706" s="209" t="s">
        <v>25</v>
      </c>
      <c r="AA706" s="209" t="s">
        <v>25</v>
      </c>
      <c r="AB706" s="234" t="s">
        <v>25</v>
      </c>
      <c r="AC706" s="235" t="s">
        <v>25</v>
      </c>
      <c r="AD706" s="209" t="s">
        <v>306</v>
      </c>
      <c r="AE706" s="209" t="s">
        <v>306</v>
      </c>
      <c r="AF706" s="234" t="s">
        <v>306</v>
      </c>
      <c r="AG706" s="209" t="s">
        <v>25</v>
      </c>
      <c r="AH706" s="209" t="s">
        <v>306</v>
      </c>
      <c r="AI706" s="234" t="s">
        <v>25</v>
      </c>
      <c r="AJ706" s="209" t="s">
        <v>25</v>
      </c>
      <c r="AK706" s="209" t="s">
        <v>25</v>
      </c>
      <c r="AL706" s="234" t="s">
        <v>25</v>
      </c>
      <c r="AM706" s="209" t="s">
        <v>306</v>
      </c>
      <c r="AN706" s="209" t="s">
        <v>306</v>
      </c>
      <c r="AO706" s="234" t="s">
        <v>306</v>
      </c>
      <c r="AP706" s="235" t="s">
        <v>306</v>
      </c>
      <c r="AQ706" s="209" t="s">
        <v>25</v>
      </c>
      <c r="AR706" s="209" t="s">
        <v>25</v>
      </c>
      <c r="AS706" s="234" t="s">
        <v>25</v>
      </c>
      <c r="AT706" s="209" t="s">
        <v>25</v>
      </c>
      <c r="AU706" s="209" t="s">
        <v>25</v>
      </c>
      <c r="AV706" s="234" t="s">
        <v>25</v>
      </c>
      <c r="AW706" s="209" t="s">
        <v>25</v>
      </c>
      <c r="AX706" s="209" t="s">
        <v>25</v>
      </c>
      <c r="AY706" s="234" t="s">
        <v>25</v>
      </c>
      <c r="AZ706" s="209" t="s">
        <v>25</v>
      </c>
      <c r="BA706" s="209" t="s">
        <v>25</v>
      </c>
      <c r="BB706" s="234" t="s">
        <v>25</v>
      </c>
      <c r="BC706" s="235" t="s">
        <v>25</v>
      </c>
      <c r="BD706" s="209"/>
    </row>
    <row r="707" spans="1:56" ht="12.75" customHeight="1" x14ac:dyDescent="0.25">
      <c r="A707" s="238">
        <v>45267.724672627315</v>
      </c>
      <c r="B707" s="233" t="s">
        <v>384</v>
      </c>
      <c r="C707" s="232" t="s">
        <v>587</v>
      </c>
      <c r="D707" s="232" t="s">
        <v>17</v>
      </c>
      <c r="E707" s="232" t="s">
        <v>605</v>
      </c>
      <c r="F707" s="209" t="s">
        <v>1277</v>
      </c>
      <c r="G707" s="232" t="s">
        <v>24</v>
      </c>
      <c r="H707" s="232">
        <v>17</v>
      </c>
      <c r="I707" s="209" t="s">
        <v>518</v>
      </c>
      <c r="J707" s="209" t="s">
        <v>560</v>
      </c>
      <c r="K707" s="209" t="s">
        <v>560</v>
      </c>
      <c r="L707" s="209" t="s">
        <v>531</v>
      </c>
      <c r="M707" s="188"/>
      <c r="N707" s="188"/>
      <c r="O707" s="232" t="s">
        <v>531</v>
      </c>
      <c r="P707" s="188"/>
      <c r="Q707" s="209" t="s">
        <v>25</v>
      </c>
      <c r="R707" s="209" t="s">
        <v>25</v>
      </c>
      <c r="S707" s="234" t="s">
        <v>25</v>
      </c>
      <c r="T707" s="209" t="s">
        <v>25</v>
      </c>
      <c r="U707" s="209" t="s">
        <v>25</v>
      </c>
      <c r="V707" s="234" t="s">
        <v>25</v>
      </c>
      <c r="W707" s="209" t="s">
        <v>25</v>
      </c>
      <c r="X707" s="209" t="s">
        <v>25</v>
      </c>
      <c r="Y707" s="234" t="s">
        <v>25</v>
      </c>
      <c r="Z707" s="209" t="s">
        <v>25</v>
      </c>
      <c r="AA707" s="209" t="s">
        <v>25</v>
      </c>
      <c r="AB707" s="234" t="s">
        <v>25</v>
      </c>
      <c r="AC707" s="235" t="s">
        <v>25</v>
      </c>
      <c r="AD707" s="209" t="s">
        <v>25</v>
      </c>
      <c r="AE707" s="209" t="s">
        <v>25</v>
      </c>
      <c r="AF707" s="234" t="s">
        <v>25</v>
      </c>
      <c r="AG707" s="209" t="s">
        <v>25</v>
      </c>
      <c r="AH707" s="209" t="s">
        <v>25</v>
      </c>
      <c r="AI707" s="234" t="s">
        <v>25</v>
      </c>
      <c r="AJ707" s="209" t="s">
        <v>25</v>
      </c>
      <c r="AK707" s="209" t="s">
        <v>25</v>
      </c>
      <c r="AL707" s="234" t="s">
        <v>25</v>
      </c>
      <c r="AM707" s="209" t="s">
        <v>25</v>
      </c>
      <c r="AN707" s="209" t="s">
        <v>25</v>
      </c>
      <c r="AO707" s="234" t="s">
        <v>25</v>
      </c>
      <c r="AP707" s="235" t="s">
        <v>25</v>
      </c>
      <c r="AQ707" s="209" t="s">
        <v>25</v>
      </c>
      <c r="AR707" s="209" t="s">
        <v>25</v>
      </c>
      <c r="AS707" s="234" t="s">
        <v>25</v>
      </c>
      <c r="AT707" s="209" t="s">
        <v>25</v>
      </c>
      <c r="AU707" s="209" t="s">
        <v>25</v>
      </c>
      <c r="AV707" s="234" t="s">
        <v>25</v>
      </c>
      <c r="AW707" s="209" t="s">
        <v>25</v>
      </c>
      <c r="AX707" s="209" t="s">
        <v>25</v>
      </c>
      <c r="AY707" s="234" t="s">
        <v>25</v>
      </c>
      <c r="AZ707" s="209" t="s">
        <v>25</v>
      </c>
      <c r="BA707" s="209" t="s">
        <v>25</v>
      </c>
      <c r="BB707" s="234" t="s">
        <v>25</v>
      </c>
      <c r="BC707" s="235" t="s">
        <v>25</v>
      </c>
      <c r="BD707" s="209"/>
    </row>
    <row r="708" spans="1:56" ht="12.75" customHeight="1" x14ac:dyDescent="0.25">
      <c r="A708" s="238">
        <v>45267.72699145833</v>
      </c>
      <c r="B708" s="233" t="s">
        <v>384</v>
      </c>
      <c r="C708" s="232" t="s">
        <v>587</v>
      </c>
      <c r="D708" s="232" t="s">
        <v>17</v>
      </c>
      <c r="E708" s="232" t="s">
        <v>605</v>
      </c>
      <c r="F708" s="209" t="s">
        <v>1278</v>
      </c>
      <c r="G708" s="232" t="s">
        <v>24</v>
      </c>
      <c r="H708" s="232">
        <v>16</v>
      </c>
      <c r="I708" s="209" t="s">
        <v>518</v>
      </c>
      <c r="J708" s="209" t="s">
        <v>560</v>
      </c>
      <c r="K708" s="209" t="s">
        <v>560</v>
      </c>
      <c r="L708" s="209" t="s">
        <v>531</v>
      </c>
      <c r="M708" s="188"/>
      <c r="N708" s="188"/>
      <c r="O708" s="232" t="s">
        <v>531</v>
      </c>
      <c r="P708" s="188"/>
      <c r="Q708" s="209" t="s">
        <v>306</v>
      </c>
      <c r="R708" s="209" t="s">
        <v>306</v>
      </c>
      <c r="S708" s="234" t="s">
        <v>306</v>
      </c>
      <c r="T708" s="209" t="s">
        <v>19</v>
      </c>
      <c r="U708" s="209" t="s">
        <v>25</v>
      </c>
      <c r="V708" s="234" t="s">
        <v>306</v>
      </c>
      <c r="W708" s="209" t="s">
        <v>306</v>
      </c>
      <c r="X708" s="209" t="s">
        <v>306</v>
      </c>
      <c r="Y708" s="234" t="s">
        <v>306</v>
      </c>
      <c r="Z708" s="209" t="s">
        <v>25</v>
      </c>
      <c r="AA708" s="209" t="s">
        <v>306</v>
      </c>
      <c r="AB708" s="234" t="s">
        <v>25</v>
      </c>
      <c r="AC708" s="235" t="s">
        <v>306</v>
      </c>
      <c r="AD708" s="209" t="s">
        <v>306</v>
      </c>
      <c r="AE708" s="209" t="s">
        <v>19</v>
      </c>
      <c r="AF708" s="234" t="s">
        <v>306</v>
      </c>
      <c r="AG708" s="209" t="s">
        <v>306</v>
      </c>
      <c r="AH708" s="209" t="s">
        <v>19</v>
      </c>
      <c r="AI708" s="234" t="s">
        <v>306</v>
      </c>
      <c r="AJ708" s="209" t="s">
        <v>25</v>
      </c>
      <c r="AK708" s="209" t="s">
        <v>306</v>
      </c>
      <c r="AL708" s="234" t="s">
        <v>25</v>
      </c>
      <c r="AM708" s="209" t="s">
        <v>19</v>
      </c>
      <c r="AN708" s="209" t="s">
        <v>19</v>
      </c>
      <c r="AO708" s="234" t="s">
        <v>19</v>
      </c>
      <c r="AP708" s="235" t="s">
        <v>306</v>
      </c>
      <c r="AQ708" s="209" t="s">
        <v>19</v>
      </c>
      <c r="AR708" s="209" t="s">
        <v>19</v>
      </c>
      <c r="AS708" s="234" t="s">
        <v>19</v>
      </c>
      <c r="AT708" s="209" t="s">
        <v>306</v>
      </c>
      <c r="AU708" s="209" t="s">
        <v>25</v>
      </c>
      <c r="AV708" s="234" t="s">
        <v>25</v>
      </c>
      <c r="AW708" s="209" t="s">
        <v>19</v>
      </c>
      <c r="AX708" s="209" t="s">
        <v>306</v>
      </c>
      <c r="AY708" s="234" t="s">
        <v>306</v>
      </c>
      <c r="AZ708" s="209" t="s">
        <v>25</v>
      </c>
      <c r="BA708" s="209" t="s">
        <v>25</v>
      </c>
      <c r="BB708" s="234" t="s">
        <v>306</v>
      </c>
      <c r="BC708" s="235" t="s">
        <v>306</v>
      </c>
      <c r="BD708" s="209"/>
    </row>
    <row r="709" spans="1:56" ht="12.75" customHeight="1" x14ac:dyDescent="0.25">
      <c r="A709" s="238">
        <v>45267.729458136571</v>
      </c>
      <c r="B709" s="233" t="s">
        <v>384</v>
      </c>
      <c r="C709" s="232" t="s">
        <v>587</v>
      </c>
      <c r="D709" s="232" t="s">
        <v>17</v>
      </c>
      <c r="E709" s="232" t="s">
        <v>605</v>
      </c>
      <c r="F709" s="209" t="s">
        <v>1279</v>
      </c>
      <c r="G709" s="232" t="s">
        <v>18</v>
      </c>
      <c r="H709" s="232">
        <v>15</v>
      </c>
      <c r="I709" s="209" t="s">
        <v>518</v>
      </c>
      <c r="J709" s="209" t="s">
        <v>560</v>
      </c>
      <c r="K709" s="209" t="s">
        <v>560</v>
      </c>
      <c r="L709" s="209" t="s">
        <v>531</v>
      </c>
      <c r="M709" s="188"/>
      <c r="N709" s="188"/>
      <c r="O709" s="232" t="s">
        <v>531</v>
      </c>
      <c r="P709" s="188"/>
      <c r="Q709" s="209" t="s">
        <v>25</v>
      </c>
      <c r="R709" s="209" t="s">
        <v>306</v>
      </c>
      <c r="S709" s="234" t="s">
        <v>25</v>
      </c>
      <c r="T709" s="209" t="s">
        <v>306</v>
      </c>
      <c r="U709" s="209" t="s">
        <v>25</v>
      </c>
      <c r="V709" s="234" t="s">
        <v>25</v>
      </c>
      <c r="W709" s="209" t="s">
        <v>306</v>
      </c>
      <c r="X709" s="209" t="s">
        <v>25</v>
      </c>
      <c r="Y709" s="234" t="s">
        <v>25</v>
      </c>
      <c r="Z709" s="209" t="s">
        <v>25</v>
      </c>
      <c r="AA709" s="209" t="s">
        <v>306</v>
      </c>
      <c r="AB709" s="234" t="s">
        <v>25</v>
      </c>
      <c r="AC709" s="235" t="s">
        <v>25</v>
      </c>
      <c r="AD709" s="209" t="s">
        <v>25</v>
      </c>
      <c r="AE709" s="209" t="s">
        <v>25</v>
      </c>
      <c r="AF709" s="234" t="s">
        <v>25</v>
      </c>
      <c r="AG709" s="209" t="s">
        <v>25</v>
      </c>
      <c r="AH709" s="209" t="s">
        <v>306</v>
      </c>
      <c r="AI709" s="234" t="s">
        <v>25</v>
      </c>
      <c r="AJ709" s="209" t="s">
        <v>25</v>
      </c>
      <c r="AK709" s="209" t="s">
        <v>306</v>
      </c>
      <c r="AL709" s="234" t="s">
        <v>25</v>
      </c>
      <c r="AM709" s="209" t="s">
        <v>25</v>
      </c>
      <c r="AN709" s="209" t="s">
        <v>19</v>
      </c>
      <c r="AO709" s="234" t="s">
        <v>306</v>
      </c>
      <c r="AP709" s="235" t="s">
        <v>25</v>
      </c>
      <c r="AQ709" s="209" t="s">
        <v>306</v>
      </c>
      <c r="AR709" s="209" t="s">
        <v>19</v>
      </c>
      <c r="AS709" s="234" t="s">
        <v>306</v>
      </c>
      <c r="AT709" s="209" t="s">
        <v>25</v>
      </c>
      <c r="AU709" s="209" t="s">
        <v>25</v>
      </c>
      <c r="AV709" s="234" t="s">
        <v>25</v>
      </c>
      <c r="AW709" s="209" t="s">
        <v>25</v>
      </c>
      <c r="AX709" s="209" t="s">
        <v>306</v>
      </c>
      <c r="AY709" s="234" t="s">
        <v>25</v>
      </c>
      <c r="AZ709" s="209" t="s">
        <v>306</v>
      </c>
      <c r="BA709" s="209" t="s">
        <v>25</v>
      </c>
      <c r="BB709" s="234" t="s">
        <v>25</v>
      </c>
      <c r="BC709" s="235" t="s">
        <v>25</v>
      </c>
      <c r="BD709" s="209"/>
    </row>
    <row r="710" spans="1:56" ht="12.75" customHeight="1" x14ac:dyDescent="0.25">
      <c r="A710" s="238">
        <v>45267.732050416671</v>
      </c>
      <c r="B710" s="233" t="s">
        <v>384</v>
      </c>
      <c r="C710" s="232" t="s">
        <v>587</v>
      </c>
      <c r="D710" s="232" t="s">
        <v>17</v>
      </c>
      <c r="E710" s="232" t="s">
        <v>605</v>
      </c>
      <c r="F710" s="209" t="s">
        <v>1280</v>
      </c>
      <c r="G710" s="232" t="s">
        <v>18</v>
      </c>
      <c r="H710" s="232">
        <v>15</v>
      </c>
      <c r="I710" s="209" t="s">
        <v>518</v>
      </c>
      <c r="J710" s="209" t="s">
        <v>560</v>
      </c>
      <c r="K710" s="209" t="s">
        <v>560</v>
      </c>
      <c r="L710" s="209" t="s">
        <v>518</v>
      </c>
      <c r="M710" s="209" t="s">
        <v>375</v>
      </c>
      <c r="N710" s="209" t="s">
        <v>375</v>
      </c>
      <c r="O710" s="232" t="s">
        <v>518</v>
      </c>
      <c r="P710" s="209" t="s">
        <v>1281</v>
      </c>
      <c r="Q710" s="209" t="s">
        <v>25</v>
      </c>
      <c r="R710" s="209" t="s">
        <v>19</v>
      </c>
      <c r="S710" s="234" t="s">
        <v>306</v>
      </c>
      <c r="T710" s="209" t="s">
        <v>306</v>
      </c>
      <c r="U710" s="209" t="s">
        <v>306</v>
      </c>
      <c r="V710" s="234" t="s">
        <v>306</v>
      </c>
      <c r="W710" s="209" t="s">
        <v>19</v>
      </c>
      <c r="X710" s="209" t="s">
        <v>306</v>
      </c>
      <c r="Y710" s="234" t="s">
        <v>306</v>
      </c>
      <c r="Z710" s="209" t="s">
        <v>306</v>
      </c>
      <c r="AA710" s="209" t="s">
        <v>306</v>
      </c>
      <c r="AB710" s="234" t="s">
        <v>306</v>
      </c>
      <c r="AC710" s="235" t="s">
        <v>306</v>
      </c>
      <c r="AD710" s="209" t="s">
        <v>306</v>
      </c>
      <c r="AE710" s="209" t="s">
        <v>25</v>
      </c>
      <c r="AF710" s="234" t="s">
        <v>25</v>
      </c>
      <c r="AG710" s="209" t="s">
        <v>25</v>
      </c>
      <c r="AH710" s="209" t="s">
        <v>306</v>
      </c>
      <c r="AI710" s="234" t="s">
        <v>25</v>
      </c>
      <c r="AJ710" s="209" t="s">
        <v>25</v>
      </c>
      <c r="AK710" s="209" t="s">
        <v>306</v>
      </c>
      <c r="AL710" s="234" t="s">
        <v>25</v>
      </c>
      <c r="AM710" s="209" t="s">
        <v>19</v>
      </c>
      <c r="AN710" s="209" t="s">
        <v>19</v>
      </c>
      <c r="AO710" s="234" t="s">
        <v>19</v>
      </c>
      <c r="AP710" s="235" t="s">
        <v>306</v>
      </c>
      <c r="AQ710" s="209" t="s">
        <v>25</v>
      </c>
      <c r="AR710" s="209" t="s">
        <v>306</v>
      </c>
      <c r="AS710" s="234" t="s">
        <v>25</v>
      </c>
      <c r="AT710" s="209" t="s">
        <v>25</v>
      </c>
      <c r="AU710" s="209" t="s">
        <v>25</v>
      </c>
      <c r="AV710" s="234" t="s">
        <v>25</v>
      </c>
      <c r="AW710" s="209" t="s">
        <v>25</v>
      </c>
      <c r="AX710" s="209" t="s">
        <v>306</v>
      </c>
      <c r="AY710" s="234" t="s">
        <v>25</v>
      </c>
      <c r="AZ710" s="209" t="s">
        <v>25</v>
      </c>
      <c r="BA710" s="209" t="s">
        <v>25</v>
      </c>
      <c r="BB710" s="234" t="s">
        <v>25</v>
      </c>
      <c r="BC710" s="235" t="s">
        <v>306</v>
      </c>
      <c r="BD710" s="209"/>
    </row>
    <row r="711" spans="1:56" ht="12.75" customHeight="1" x14ac:dyDescent="0.25">
      <c r="A711" s="238">
        <v>45267.734429537042</v>
      </c>
      <c r="B711" s="233" t="s">
        <v>384</v>
      </c>
      <c r="C711" s="232" t="s">
        <v>587</v>
      </c>
      <c r="D711" s="232" t="s">
        <v>17</v>
      </c>
      <c r="E711" s="232" t="s">
        <v>605</v>
      </c>
      <c r="F711" s="209" t="s">
        <v>1282</v>
      </c>
      <c r="G711" s="232" t="s">
        <v>18</v>
      </c>
      <c r="H711" s="232">
        <v>17</v>
      </c>
      <c r="I711" s="209" t="s">
        <v>518</v>
      </c>
      <c r="J711" s="209" t="s">
        <v>560</v>
      </c>
      <c r="K711" s="209" t="s">
        <v>560</v>
      </c>
      <c r="L711" s="209" t="s">
        <v>531</v>
      </c>
      <c r="M711" s="188"/>
      <c r="N711" s="188"/>
      <c r="O711" s="232" t="s">
        <v>531</v>
      </c>
      <c r="P711" s="188"/>
      <c r="Q711" s="209" t="s">
        <v>25</v>
      </c>
      <c r="R711" s="209" t="s">
        <v>306</v>
      </c>
      <c r="S711" s="234" t="s">
        <v>25</v>
      </c>
      <c r="T711" s="209" t="s">
        <v>306</v>
      </c>
      <c r="U711" s="209" t="s">
        <v>25</v>
      </c>
      <c r="V711" s="234" t="s">
        <v>25</v>
      </c>
      <c r="W711" s="209" t="s">
        <v>25</v>
      </c>
      <c r="X711" s="209" t="s">
        <v>25</v>
      </c>
      <c r="Y711" s="234" t="s">
        <v>25</v>
      </c>
      <c r="Z711" s="209" t="s">
        <v>306</v>
      </c>
      <c r="AA711" s="209" t="s">
        <v>19</v>
      </c>
      <c r="AB711" s="234" t="s">
        <v>306</v>
      </c>
      <c r="AC711" s="235" t="s">
        <v>306</v>
      </c>
      <c r="AD711" s="209" t="s">
        <v>306</v>
      </c>
      <c r="AE711" s="209" t="s">
        <v>306</v>
      </c>
      <c r="AF711" s="234" t="s">
        <v>306</v>
      </c>
      <c r="AG711" s="209" t="s">
        <v>19</v>
      </c>
      <c r="AH711" s="209" t="s">
        <v>25</v>
      </c>
      <c r="AI711" s="234" t="s">
        <v>306</v>
      </c>
      <c r="AJ711" s="209" t="s">
        <v>19</v>
      </c>
      <c r="AK711" s="209" t="s">
        <v>19</v>
      </c>
      <c r="AL711" s="234" t="s">
        <v>19</v>
      </c>
      <c r="AM711" s="209" t="s">
        <v>19</v>
      </c>
      <c r="AN711" s="209" t="s">
        <v>19</v>
      </c>
      <c r="AO711" s="234" t="s">
        <v>19</v>
      </c>
      <c r="AP711" s="235" t="s">
        <v>306</v>
      </c>
      <c r="AQ711" s="209" t="s">
        <v>25</v>
      </c>
      <c r="AR711" s="209" t="s">
        <v>25</v>
      </c>
      <c r="AS711" s="234" t="s">
        <v>25</v>
      </c>
      <c r="AT711" s="209" t="s">
        <v>25</v>
      </c>
      <c r="AU711" s="209" t="s">
        <v>25</v>
      </c>
      <c r="AV711" s="234" t="s">
        <v>25</v>
      </c>
      <c r="AW711" s="209" t="s">
        <v>19</v>
      </c>
      <c r="AX711" s="209" t="s">
        <v>19</v>
      </c>
      <c r="AY711" s="234" t="s">
        <v>19</v>
      </c>
      <c r="AZ711" s="209" t="s">
        <v>25</v>
      </c>
      <c r="BA711" s="209" t="s">
        <v>25</v>
      </c>
      <c r="BB711" s="234" t="s">
        <v>25</v>
      </c>
      <c r="BC711" s="235" t="s">
        <v>306</v>
      </c>
      <c r="BD711" s="209"/>
    </row>
    <row r="712" spans="1:56" ht="12.75" customHeight="1" x14ac:dyDescent="0.25">
      <c r="A712" s="238">
        <v>45267.736765416666</v>
      </c>
      <c r="B712" s="233" t="s">
        <v>384</v>
      </c>
      <c r="C712" s="232" t="s">
        <v>587</v>
      </c>
      <c r="D712" s="232" t="s">
        <v>17</v>
      </c>
      <c r="E712" s="232" t="s">
        <v>605</v>
      </c>
      <c r="F712" s="209" t="s">
        <v>1283</v>
      </c>
      <c r="G712" s="232" t="s">
        <v>24</v>
      </c>
      <c r="H712" s="232">
        <v>17</v>
      </c>
      <c r="I712" s="209" t="s">
        <v>518</v>
      </c>
      <c r="J712" s="209" t="s">
        <v>560</v>
      </c>
      <c r="K712" s="209" t="s">
        <v>560</v>
      </c>
      <c r="L712" s="209" t="s">
        <v>531</v>
      </c>
      <c r="M712" s="188"/>
      <c r="N712" s="188"/>
      <c r="O712" s="232" t="s">
        <v>531</v>
      </c>
      <c r="P712" s="188"/>
      <c r="Q712" s="209" t="s">
        <v>25</v>
      </c>
      <c r="R712" s="209" t="s">
        <v>25</v>
      </c>
      <c r="S712" s="234" t="s">
        <v>25</v>
      </c>
      <c r="T712" s="209" t="s">
        <v>306</v>
      </c>
      <c r="U712" s="209" t="s">
        <v>25</v>
      </c>
      <c r="V712" s="234" t="s">
        <v>25</v>
      </c>
      <c r="W712" s="209" t="s">
        <v>306</v>
      </c>
      <c r="X712" s="209" t="s">
        <v>25</v>
      </c>
      <c r="Y712" s="234" t="s">
        <v>25</v>
      </c>
      <c r="Z712" s="209" t="s">
        <v>25</v>
      </c>
      <c r="AA712" s="209" t="s">
        <v>25</v>
      </c>
      <c r="AB712" s="234" t="s">
        <v>25</v>
      </c>
      <c r="AC712" s="235" t="s">
        <v>25</v>
      </c>
      <c r="AD712" s="209" t="s">
        <v>19</v>
      </c>
      <c r="AE712" s="209" t="s">
        <v>19</v>
      </c>
      <c r="AF712" s="234" t="s">
        <v>19</v>
      </c>
      <c r="AG712" s="209" t="s">
        <v>306</v>
      </c>
      <c r="AH712" s="209" t="s">
        <v>306</v>
      </c>
      <c r="AI712" s="234" t="s">
        <v>306</v>
      </c>
      <c r="AJ712" s="209" t="s">
        <v>25</v>
      </c>
      <c r="AK712" s="209" t="s">
        <v>306</v>
      </c>
      <c r="AL712" s="234" t="s">
        <v>25</v>
      </c>
      <c r="AM712" s="209" t="s">
        <v>25</v>
      </c>
      <c r="AN712" s="209" t="s">
        <v>306</v>
      </c>
      <c r="AO712" s="234" t="s">
        <v>25</v>
      </c>
      <c r="AP712" s="235" t="s">
        <v>306</v>
      </c>
      <c r="AQ712" s="209" t="s">
        <v>25</v>
      </c>
      <c r="AR712" s="209" t="s">
        <v>25</v>
      </c>
      <c r="AS712" s="234" t="s">
        <v>25</v>
      </c>
      <c r="AT712" s="209" t="s">
        <v>25</v>
      </c>
      <c r="AU712" s="209" t="s">
        <v>25</v>
      </c>
      <c r="AV712" s="234" t="s">
        <v>25</v>
      </c>
      <c r="AW712" s="209" t="s">
        <v>25</v>
      </c>
      <c r="AX712" s="209" t="s">
        <v>306</v>
      </c>
      <c r="AY712" s="234" t="s">
        <v>25</v>
      </c>
      <c r="AZ712" s="209" t="s">
        <v>25</v>
      </c>
      <c r="BA712" s="209" t="s">
        <v>25</v>
      </c>
      <c r="BB712" s="234" t="s">
        <v>25</v>
      </c>
      <c r="BC712" s="235" t="s">
        <v>306</v>
      </c>
      <c r="BD712" s="209"/>
    </row>
    <row r="713" spans="1:56" ht="12.75" customHeight="1" x14ac:dyDescent="0.25">
      <c r="A713" s="238">
        <v>45267.743612881939</v>
      </c>
      <c r="B713" s="233" t="s">
        <v>384</v>
      </c>
      <c r="C713" s="232" t="s">
        <v>587</v>
      </c>
      <c r="D713" s="232" t="s">
        <v>17</v>
      </c>
      <c r="E713" s="232" t="s">
        <v>605</v>
      </c>
      <c r="F713" s="209" t="s">
        <v>1284</v>
      </c>
      <c r="G713" s="232" t="s">
        <v>24</v>
      </c>
      <c r="H713" s="232">
        <v>16</v>
      </c>
      <c r="I713" s="209" t="s">
        <v>518</v>
      </c>
      <c r="J713" s="209" t="s">
        <v>560</v>
      </c>
      <c r="K713" s="209" t="s">
        <v>560</v>
      </c>
      <c r="L713" s="209" t="s">
        <v>531</v>
      </c>
      <c r="M713" s="188"/>
      <c r="N713" s="188"/>
      <c r="O713" s="232" t="s">
        <v>531</v>
      </c>
      <c r="P713" s="188"/>
      <c r="Q713" s="209" t="s">
        <v>306</v>
      </c>
      <c r="R713" s="209" t="s">
        <v>306</v>
      </c>
      <c r="S713" s="234" t="s">
        <v>306</v>
      </c>
      <c r="T713" s="209" t="s">
        <v>306</v>
      </c>
      <c r="U713" s="209" t="s">
        <v>306</v>
      </c>
      <c r="V713" s="234" t="s">
        <v>306</v>
      </c>
      <c r="W713" s="209" t="s">
        <v>306</v>
      </c>
      <c r="X713" s="209" t="s">
        <v>306</v>
      </c>
      <c r="Y713" s="234" t="s">
        <v>306</v>
      </c>
      <c r="Z713" s="209" t="s">
        <v>306</v>
      </c>
      <c r="AA713" s="209" t="s">
        <v>306</v>
      </c>
      <c r="AB713" s="234" t="s">
        <v>306</v>
      </c>
      <c r="AC713" s="235" t="s">
        <v>306</v>
      </c>
      <c r="AD713" s="209" t="s">
        <v>306</v>
      </c>
      <c r="AE713" s="209" t="s">
        <v>306</v>
      </c>
      <c r="AF713" s="234" t="s">
        <v>306</v>
      </c>
      <c r="AG713" s="209" t="s">
        <v>306</v>
      </c>
      <c r="AH713" s="209" t="s">
        <v>306</v>
      </c>
      <c r="AI713" s="234" t="s">
        <v>306</v>
      </c>
      <c r="AJ713" s="209" t="s">
        <v>25</v>
      </c>
      <c r="AK713" s="209" t="s">
        <v>306</v>
      </c>
      <c r="AL713" s="234" t="s">
        <v>25</v>
      </c>
      <c r="AM713" s="209" t="s">
        <v>306</v>
      </c>
      <c r="AN713" s="209" t="s">
        <v>306</v>
      </c>
      <c r="AO713" s="234" t="s">
        <v>306</v>
      </c>
      <c r="AP713" s="235" t="s">
        <v>306</v>
      </c>
      <c r="AQ713" s="209" t="s">
        <v>306</v>
      </c>
      <c r="AR713" s="209" t="s">
        <v>306</v>
      </c>
      <c r="AS713" s="234" t="s">
        <v>306</v>
      </c>
      <c r="AT713" s="209" t="s">
        <v>25</v>
      </c>
      <c r="AU713" s="209" t="s">
        <v>25</v>
      </c>
      <c r="AV713" s="234" t="s">
        <v>25</v>
      </c>
      <c r="AW713" s="209" t="s">
        <v>306</v>
      </c>
      <c r="AX713" s="209" t="s">
        <v>306</v>
      </c>
      <c r="AY713" s="234" t="s">
        <v>306</v>
      </c>
      <c r="AZ713" s="209" t="s">
        <v>306</v>
      </c>
      <c r="BA713" s="209" t="s">
        <v>306</v>
      </c>
      <c r="BB713" s="234" t="s">
        <v>25</v>
      </c>
      <c r="BC713" s="235" t="s">
        <v>306</v>
      </c>
      <c r="BD713" s="209"/>
    </row>
    <row r="714" spans="1:56" ht="12.75" customHeight="1" x14ac:dyDescent="0.25">
      <c r="A714" s="238">
        <v>45267.756976342593</v>
      </c>
      <c r="B714" s="233" t="s">
        <v>384</v>
      </c>
      <c r="C714" s="232" t="s">
        <v>587</v>
      </c>
      <c r="D714" s="232" t="s">
        <v>17</v>
      </c>
      <c r="E714" s="232" t="s">
        <v>605</v>
      </c>
      <c r="F714" s="209" t="s">
        <v>1285</v>
      </c>
      <c r="G714" s="232" t="s">
        <v>18</v>
      </c>
      <c r="H714" s="232">
        <v>16</v>
      </c>
      <c r="I714" s="209" t="s">
        <v>518</v>
      </c>
      <c r="J714" s="209" t="s">
        <v>560</v>
      </c>
      <c r="K714" s="209" t="s">
        <v>560</v>
      </c>
      <c r="L714" s="209" t="s">
        <v>531</v>
      </c>
      <c r="M714" s="188"/>
      <c r="N714" s="188"/>
      <c r="O714" s="232" t="s">
        <v>531</v>
      </c>
      <c r="P714" s="188"/>
      <c r="Q714" s="209" t="s">
        <v>25</v>
      </c>
      <c r="R714" s="209" t="s">
        <v>25</v>
      </c>
      <c r="S714" s="234" t="s">
        <v>25</v>
      </c>
      <c r="T714" s="209" t="s">
        <v>25</v>
      </c>
      <c r="U714" s="209" t="s">
        <v>25</v>
      </c>
      <c r="V714" s="234" t="s">
        <v>25</v>
      </c>
      <c r="W714" s="209" t="s">
        <v>25</v>
      </c>
      <c r="X714" s="209" t="s">
        <v>25</v>
      </c>
      <c r="Y714" s="234" t="s">
        <v>25</v>
      </c>
      <c r="Z714" s="209" t="s">
        <v>25</v>
      </c>
      <c r="AA714" s="209" t="s">
        <v>25</v>
      </c>
      <c r="AB714" s="234" t="s">
        <v>25</v>
      </c>
      <c r="AC714" s="235" t="s">
        <v>25</v>
      </c>
      <c r="AD714" s="209" t="s">
        <v>25</v>
      </c>
      <c r="AE714" s="209" t="s">
        <v>25</v>
      </c>
      <c r="AF714" s="234" t="s">
        <v>25</v>
      </c>
      <c r="AG714" s="209" t="s">
        <v>25</v>
      </c>
      <c r="AH714" s="209" t="s">
        <v>25</v>
      </c>
      <c r="AI714" s="234" t="s">
        <v>25</v>
      </c>
      <c r="AJ714" s="209" t="s">
        <v>25</v>
      </c>
      <c r="AK714" s="209" t="s">
        <v>25</v>
      </c>
      <c r="AL714" s="234" t="s">
        <v>25</v>
      </c>
      <c r="AM714" s="209" t="s">
        <v>25</v>
      </c>
      <c r="AN714" s="209" t="s">
        <v>25</v>
      </c>
      <c r="AO714" s="234" t="s">
        <v>25</v>
      </c>
      <c r="AP714" s="235" t="s">
        <v>25</v>
      </c>
      <c r="AQ714" s="209" t="s">
        <v>25</v>
      </c>
      <c r="AR714" s="209" t="s">
        <v>25</v>
      </c>
      <c r="AS714" s="234" t="s">
        <v>25</v>
      </c>
      <c r="AT714" s="209" t="s">
        <v>25</v>
      </c>
      <c r="AU714" s="209" t="s">
        <v>25</v>
      </c>
      <c r="AV714" s="234" t="s">
        <v>25</v>
      </c>
      <c r="AW714" s="209" t="s">
        <v>25</v>
      </c>
      <c r="AX714" s="209" t="s">
        <v>25</v>
      </c>
      <c r="AY714" s="234" t="s">
        <v>25</v>
      </c>
      <c r="AZ714" s="209" t="s">
        <v>25</v>
      </c>
      <c r="BA714" s="209" t="s">
        <v>25</v>
      </c>
      <c r="BB714" s="234" t="s">
        <v>306</v>
      </c>
      <c r="BC714" s="235" t="s">
        <v>306</v>
      </c>
      <c r="BD714" s="209"/>
    </row>
    <row r="715" spans="1:56" ht="12.75" customHeight="1" x14ac:dyDescent="0.25">
      <c r="A715" s="238">
        <v>45267.759728425925</v>
      </c>
      <c r="B715" s="233" t="s">
        <v>384</v>
      </c>
      <c r="C715" s="232" t="s">
        <v>587</v>
      </c>
      <c r="D715" s="232" t="s">
        <v>17</v>
      </c>
      <c r="E715" s="232" t="s">
        <v>605</v>
      </c>
      <c r="F715" s="209" t="s">
        <v>1286</v>
      </c>
      <c r="G715" s="232" t="s">
        <v>18</v>
      </c>
      <c r="H715" s="232">
        <v>17</v>
      </c>
      <c r="I715" s="209" t="s">
        <v>518</v>
      </c>
      <c r="J715" s="209" t="s">
        <v>560</v>
      </c>
      <c r="K715" s="209" t="s">
        <v>560</v>
      </c>
      <c r="L715" s="209" t="s">
        <v>518</v>
      </c>
      <c r="M715" s="209" t="s">
        <v>368</v>
      </c>
      <c r="N715" s="209" t="s">
        <v>375</v>
      </c>
      <c r="O715" s="232" t="s">
        <v>518</v>
      </c>
      <c r="P715" s="209" t="s">
        <v>671</v>
      </c>
      <c r="Q715" s="209" t="s">
        <v>25</v>
      </c>
      <c r="R715" s="209" t="s">
        <v>25</v>
      </c>
      <c r="S715" s="234" t="s">
        <v>25</v>
      </c>
      <c r="T715" s="209" t="s">
        <v>306</v>
      </c>
      <c r="U715" s="209" t="s">
        <v>306</v>
      </c>
      <c r="V715" s="234" t="s">
        <v>306</v>
      </c>
      <c r="W715" s="209" t="s">
        <v>306</v>
      </c>
      <c r="X715" s="209" t="s">
        <v>306</v>
      </c>
      <c r="Y715" s="234" t="s">
        <v>306</v>
      </c>
      <c r="Z715" s="209" t="s">
        <v>25</v>
      </c>
      <c r="AA715" s="209" t="s">
        <v>25</v>
      </c>
      <c r="AB715" s="234" t="s">
        <v>25</v>
      </c>
      <c r="AC715" s="235" t="s">
        <v>25</v>
      </c>
      <c r="AD715" s="209" t="s">
        <v>306</v>
      </c>
      <c r="AE715" s="209" t="s">
        <v>25</v>
      </c>
      <c r="AF715" s="234" t="s">
        <v>25</v>
      </c>
      <c r="AG715" s="209" t="s">
        <v>306</v>
      </c>
      <c r="AH715" s="209" t="s">
        <v>306</v>
      </c>
      <c r="AI715" s="234" t="s">
        <v>306</v>
      </c>
      <c r="AJ715" s="209" t="s">
        <v>25</v>
      </c>
      <c r="AK715" s="209" t="s">
        <v>25</v>
      </c>
      <c r="AL715" s="234" t="s">
        <v>25</v>
      </c>
      <c r="AM715" s="209" t="s">
        <v>306</v>
      </c>
      <c r="AN715" s="209" t="s">
        <v>306</v>
      </c>
      <c r="AO715" s="234" t="s">
        <v>306</v>
      </c>
      <c r="AP715" s="235" t="s">
        <v>306</v>
      </c>
      <c r="AQ715" s="209" t="s">
        <v>25</v>
      </c>
      <c r="AR715" s="209" t="s">
        <v>25</v>
      </c>
      <c r="AS715" s="234" t="s">
        <v>25</v>
      </c>
      <c r="AT715" s="209" t="s">
        <v>25</v>
      </c>
      <c r="AU715" s="209" t="s">
        <v>25</v>
      </c>
      <c r="AV715" s="234" t="s">
        <v>25</v>
      </c>
      <c r="AW715" s="209" t="s">
        <v>25</v>
      </c>
      <c r="AX715" s="209" t="s">
        <v>25</v>
      </c>
      <c r="AY715" s="234" t="s">
        <v>25</v>
      </c>
      <c r="AZ715" s="209" t="s">
        <v>25</v>
      </c>
      <c r="BA715" s="209" t="s">
        <v>25</v>
      </c>
      <c r="BB715" s="234" t="s">
        <v>25</v>
      </c>
      <c r="BC715" s="235" t="s">
        <v>25</v>
      </c>
      <c r="BD715" s="209"/>
    </row>
    <row r="716" spans="1:56" ht="12.75" customHeight="1" x14ac:dyDescent="0.25">
      <c r="A716" s="238">
        <v>45267.76573831019</v>
      </c>
      <c r="B716" s="233" t="s">
        <v>384</v>
      </c>
      <c r="C716" s="232" t="s">
        <v>587</v>
      </c>
      <c r="D716" s="232" t="s">
        <v>17</v>
      </c>
      <c r="E716" s="232" t="s">
        <v>605</v>
      </c>
      <c r="F716" s="209" t="s">
        <v>1287</v>
      </c>
      <c r="G716" s="232" t="s">
        <v>18</v>
      </c>
      <c r="H716" s="232">
        <v>17</v>
      </c>
      <c r="I716" s="209" t="s">
        <v>518</v>
      </c>
      <c r="J716" s="209" t="s">
        <v>560</v>
      </c>
      <c r="K716" s="209" t="s">
        <v>560</v>
      </c>
      <c r="L716" s="209" t="s">
        <v>531</v>
      </c>
      <c r="M716" s="188"/>
      <c r="N716" s="188"/>
      <c r="O716" s="232" t="s">
        <v>518</v>
      </c>
      <c r="P716" s="209" t="s">
        <v>816</v>
      </c>
      <c r="Q716" s="209" t="s">
        <v>25</v>
      </c>
      <c r="R716" s="209" t="s">
        <v>25</v>
      </c>
      <c r="S716" s="234" t="s">
        <v>25</v>
      </c>
      <c r="T716" s="209" t="s">
        <v>25</v>
      </c>
      <c r="U716" s="209" t="s">
        <v>25</v>
      </c>
      <c r="V716" s="234" t="s">
        <v>25</v>
      </c>
      <c r="W716" s="209" t="s">
        <v>306</v>
      </c>
      <c r="X716" s="209" t="s">
        <v>25</v>
      </c>
      <c r="Y716" s="234" t="s">
        <v>25</v>
      </c>
      <c r="Z716" s="209" t="s">
        <v>25</v>
      </c>
      <c r="AA716" s="209" t="s">
        <v>25</v>
      </c>
      <c r="AB716" s="234" t="s">
        <v>25</v>
      </c>
      <c r="AC716" s="235" t="s">
        <v>25</v>
      </c>
      <c r="AD716" s="209" t="s">
        <v>306</v>
      </c>
      <c r="AE716" s="209" t="s">
        <v>306</v>
      </c>
      <c r="AF716" s="234" t="s">
        <v>306</v>
      </c>
      <c r="AG716" s="209" t="s">
        <v>25</v>
      </c>
      <c r="AH716" s="209" t="s">
        <v>25</v>
      </c>
      <c r="AI716" s="234" t="s">
        <v>25</v>
      </c>
      <c r="AJ716" s="209" t="s">
        <v>25</v>
      </c>
      <c r="AK716" s="209" t="s">
        <v>25</v>
      </c>
      <c r="AL716" s="234" t="s">
        <v>25</v>
      </c>
      <c r="AM716" s="209" t="s">
        <v>306</v>
      </c>
      <c r="AN716" s="209" t="s">
        <v>19</v>
      </c>
      <c r="AO716" s="234" t="s">
        <v>306</v>
      </c>
      <c r="AP716" s="235" t="s">
        <v>306</v>
      </c>
      <c r="AQ716" s="209" t="s">
        <v>306</v>
      </c>
      <c r="AR716" s="209" t="s">
        <v>25</v>
      </c>
      <c r="AS716" s="234" t="s">
        <v>25</v>
      </c>
      <c r="AT716" s="209" t="s">
        <v>25</v>
      </c>
      <c r="AU716" s="209" t="s">
        <v>25</v>
      </c>
      <c r="AV716" s="234" t="s">
        <v>25</v>
      </c>
      <c r="AW716" s="209" t="s">
        <v>25</v>
      </c>
      <c r="AX716" s="209" t="s">
        <v>306</v>
      </c>
      <c r="AY716" s="234" t="s">
        <v>25</v>
      </c>
      <c r="AZ716" s="209" t="s">
        <v>25</v>
      </c>
      <c r="BA716" s="209" t="s">
        <v>25</v>
      </c>
      <c r="BB716" s="234" t="s">
        <v>306</v>
      </c>
      <c r="BC716" s="235" t="s">
        <v>306</v>
      </c>
      <c r="BD716" s="209"/>
    </row>
    <row r="717" spans="1:56" ht="12.75" customHeight="1" x14ac:dyDescent="0.25">
      <c r="A717" s="238">
        <v>45267.768956863423</v>
      </c>
      <c r="B717" s="233" t="s">
        <v>384</v>
      </c>
      <c r="C717" s="232" t="s">
        <v>587</v>
      </c>
      <c r="D717" s="232" t="s">
        <v>17</v>
      </c>
      <c r="E717" s="232" t="s">
        <v>605</v>
      </c>
      <c r="F717" s="209" t="s">
        <v>1288</v>
      </c>
      <c r="G717" s="232" t="s">
        <v>24</v>
      </c>
      <c r="H717" s="232">
        <v>15</v>
      </c>
      <c r="I717" s="209" t="s">
        <v>518</v>
      </c>
      <c r="J717" s="209" t="s">
        <v>560</v>
      </c>
      <c r="K717" s="209" t="s">
        <v>560</v>
      </c>
      <c r="L717" s="209" t="s">
        <v>531</v>
      </c>
      <c r="M717" s="188"/>
      <c r="N717" s="188"/>
      <c r="O717" s="232" t="s">
        <v>518</v>
      </c>
      <c r="P717" s="209" t="s">
        <v>638</v>
      </c>
      <c r="Q717" s="209" t="s">
        <v>25</v>
      </c>
      <c r="R717" s="209" t="s">
        <v>306</v>
      </c>
      <c r="S717" s="234" t="s">
        <v>25</v>
      </c>
      <c r="T717" s="209" t="s">
        <v>25</v>
      </c>
      <c r="U717" s="209" t="s">
        <v>25</v>
      </c>
      <c r="V717" s="234" t="s">
        <v>25</v>
      </c>
      <c r="W717" s="209" t="s">
        <v>25</v>
      </c>
      <c r="X717" s="209" t="s">
        <v>25</v>
      </c>
      <c r="Y717" s="234" t="s">
        <v>25</v>
      </c>
      <c r="Z717" s="209" t="s">
        <v>25</v>
      </c>
      <c r="AA717" s="209" t="s">
        <v>25</v>
      </c>
      <c r="AB717" s="234" t="s">
        <v>25</v>
      </c>
      <c r="AC717" s="235" t="s">
        <v>25</v>
      </c>
      <c r="AD717" s="209" t="s">
        <v>25</v>
      </c>
      <c r="AE717" s="209" t="s">
        <v>25</v>
      </c>
      <c r="AF717" s="234" t="s">
        <v>25</v>
      </c>
      <c r="AG717" s="209" t="s">
        <v>306</v>
      </c>
      <c r="AH717" s="209" t="s">
        <v>306</v>
      </c>
      <c r="AI717" s="234" t="s">
        <v>306</v>
      </c>
      <c r="AJ717" s="209" t="s">
        <v>306</v>
      </c>
      <c r="AK717" s="209" t="s">
        <v>306</v>
      </c>
      <c r="AL717" s="234" t="s">
        <v>306</v>
      </c>
      <c r="AM717" s="209" t="s">
        <v>306</v>
      </c>
      <c r="AN717" s="209" t="s">
        <v>306</v>
      </c>
      <c r="AO717" s="234" t="s">
        <v>306</v>
      </c>
      <c r="AP717" s="235" t="s">
        <v>306</v>
      </c>
      <c r="AQ717" s="209" t="s">
        <v>25</v>
      </c>
      <c r="AR717" s="209" t="s">
        <v>25</v>
      </c>
      <c r="AS717" s="234" t="s">
        <v>25</v>
      </c>
      <c r="AT717" s="209" t="s">
        <v>25</v>
      </c>
      <c r="AU717" s="209" t="s">
        <v>25</v>
      </c>
      <c r="AV717" s="234" t="s">
        <v>25</v>
      </c>
      <c r="AW717" s="209" t="s">
        <v>25</v>
      </c>
      <c r="AX717" s="209" t="s">
        <v>25</v>
      </c>
      <c r="AY717" s="234" t="s">
        <v>25</v>
      </c>
      <c r="AZ717" s="209" t="s">
        <v>25</v>
      </c>
      <c r="BA717" s="209" t="s">
        <v>25</v>
      </c>
      <c r="BB717" s="234" t="s">
        <v>306</v>
      </c>
      <c r="BC717" s="235" t="s">
        <v>306</v>
      </c>
      <c r="BD717" s="209"/>
    </row>
    <row r="718" spans="1:56" ht="12.75" customHeight="1" x14ac:dyDescent="0.25">
      <c r="A718" s="238">
        <v>45280.618326597221</v>
      </c>
      <c r="B718" s="233" t="s">
        <v>384</v>
      </c>
      <c r="C718" s="232" t="s">
        <v>587</v>
      </c>
      <c r="D718" s="232" t="s">
        <v>17</v>
      </c>
      <c r="E718" s="232" t="s">
        <v>605</v>
      </c>
      <c r="F718" s="209" t="s">
        <v>1289</v>
      </c>
      <c r="G718" s="232" t="s">
        <v>24</v>
      </c>
      <c r="H718" s="232">
        <v>15</v>
      </c>
      <c r="I718" s="209" t="s">
        <v>518</v>
      </c>
      <c r="J718" s="209" t="s">
        <v>560</v>
      </c>
      <c r="K718" s="209" t="s">
        <v>560</v>
      </c>
      <c r="L718" s="209" t="s">
        <v>518</v>
      </c>
      <c r="M718" s="209" t="s">
        <v>368</v>
      </c>
      <c r="N718" s="209" t="s">
        <v>375</v>
      </c>
      <c r="O718" s="232" t="s">
        <v>518</v>
      </c>
      <c r="P718" s="209" t="s">
        <v>824</v>
      </c>
      <c r="Q718" s="209" t="s">
        <v>25</v>
      </c>
      <c r="R718" s="209" t="s">
        <v>25</v>
      </c>
      <c r="S718" s="234" t="s">
        <v>25</v>
      </c>
      <c r="T718" s="209" t="s">
        <v>25</v>
      </c>
      <c r="U718" s="209" t="s">
        <v>25</v>
      </c>
      <c r="V718" s="234" t="s">
        <v>25</v>
      </c>
      <c r="W718" s="209" t="s">
        <v>306</v>
      </c>
      <c r="X718" s="209" t="s">
        <v>25</v>
      </c>
      <c r="Y718" s="234" t="s">
        <v>25</v>
      </c>
      <c r="Z718" s="209" t="s">
        <v>25</v>
      </c>
      <c r="AA718" s="209" t="s">
        <v>25</v>
      </c>
      <c r="AB718" s="234" t="s">
        <v>25</v>
      </c>
      <c r="AC718" s="235" t="s">
        <v>25</v>
      </c>
      <c r="AD718" s="209" t="s">
        <v>306</v>
      </c>
      <c r="AE718" s="209" t="s">
        <v>25</v>
      </c>
      <c r="AF718" s="234" t="s">
        <v>25</v>
      </c>
      <c r="AG718" s="209" t="s">
        <v>306</v>
      </c>
      <c r="AH718" s="209" t="s">
        <v>25</v>
      </c>
      <c r="AI718" s="234" t="s">
        <v>25</v>
      </c>
      <c r="AJ718" s="209" t="s">
        <v>25</v>
      </c>
      <c r="AK718" s="209" t="s">
        <v>25</v>
      </c>
      <c r="AL718" s="234" t="s">
        <v>25</v>
      </c>
      <c r="AM718" s="209" t="s">
        <v>306</v>
      </c>
      <c r="AN718" s="209" t="s">
        <v>25</v>
      </c>
      <c r="AO718" s="234" t="s">
        <v>25</v>
      </c>
      <c r="AP718" s="235" t="s">
        <v>25</v>
      </c>
      <c r="AQ718" s="209" t="s">
        <v>25</v>
      </c>
      <c r="AR718" s="209" t="s">
        <v>25</v>
      </c>
      <c r="AS718" s="234" t="s">
        <v>25</v>
      </c>
      <c r="AT718" s="209" t="s">
        <v>25</v>
      </c>
      <c r="AU718" s="209" t="s">
        <v>25</v>
      </c>
      <c r="AV718" s="234" t="s">
        <v>25</v>
      </c>
      <c r="AW718" s="209" t="s">
        <v>25</v>
      </c>
      <c r="AX718" s="209" t="s">
        <v>25</v>
      </c>
      <c r="AY718" s="234" t="s">
        <v>25</v>
      </c>
      <c r="AZ718" s="209" t="s">
        <v>25</v>
      </c>
      <c r="BA718" s="209" t="s">
        <v>25</v>
      </c>
      <c r="BB718" s="234" t="s">
        <v>25</v>
      </c>
      <c r="BC718" s="235" t="s">
        <v>25</v>
      </c>
      <c r="BD718" s="209"/>
    </row>
    <row r="719" spans="1:56" ht="12.75" customHeight="1" x14ac:dyDescent="0.25">
      <c r="A719" s="238">
        <v>45280.621686851853</v>
      </c>
      <c r="B719" s="233" t="s">
        <v>384</v>
      </c>
      <c r="C719" s="232" t="s">
        <v>587</v>
      </c>
      <c r="D719" s="232" t="s">
        <v>17</v>
      </c>
      <c r="E719" s="232" t="s">
        <v>605</v>
      </c>
      <c r="F719" s="209" t="s">
        <v>1290</v>
      </c>
      <c r="G719" s="232" t="s">
        <v>18</v>
      </c>
      <c r="H719" s="232">
        <v>16</v>
      </c>
      <c r="I719" s="209" t="s">
        <v>518</v>
      </c>
      <c r="J719" s="209" t="s">
        <v>560</v>
      </c>
      <c r="K719" s="209" t="s">
        <v>560</v>
      </c>
      <c r="L719" s="209" t="s">
        <v>518</v>
      </c>
      <c r="M719" s="209" t="s">
        <v>375</v>
      </c>
      <c r="N719" s="209" t="s">
        <v>375</v>
      </c>
      <c r="O719" s="232" t="s">
        <v>518</v>
      </c>
      <c r="P719" s="209" t="s">
        <v>1291</v>
      </c>
      <c r="Q719" s="209" t="s">
        <v>25</v>
      </c>
      <c r="R719" s="209" t="s">
        <v>25</v>
      </c>
      <c r="S719" s="234" t="s">
        <v>25</v>
      </c>
      <c r="T719" s="209" t="s">
        <v>306</v>
      </c>
      <c r="U719" s="209" t="s">
        <v>25</v>
      </c>
      <c r="V719" s="234" t="s">
        <v>25</v>
      </c>
      <c r="W719" s="209" t="s">
        <v>25</v>
      </c>
      <c r="X719" s="209" t="s">
        <v>25</v>
      </c>
      <c r="Y719" s="234" t="s">
        <v>25</v>
      </c>
      <c r="Z719" s="209" t="s">
        <v>25</v>
      </c>
      <c r="AA719" s="209" t="s">
        <v>25</v>
      </c>
      <c r="AB719" s="234" t="s">
        <v>25</v>
      </c>
      <c r="AC719" s="235" t="s">
        <v>25</v>
      </c>
      <c r="AD719" s="209" t="s">
        <v>19</v>
      </c>
      <c r="AE719" s="209" t="s">
        <v>25</v>
      </c>
      <c r="AF719" s="234" t="s">
        <v>306</v>
      </c>
      <c r="AG719" s="209" t="s">
        <v>306</v>
      </c>
      <c r="AH719" s="209" t="s">
        <v>25</v>
      </c>
      <c r="AI719" s="234" t="s">
        <v>25</v>
      </c>
      <c r="AJ719" s="209" t="s">
        <v>25</v>
      </c>
      <c r="AK719" s="209" t="s">
        <v>25</v>
      </c>
      <c r="AL719" s="234" t="s">
        <v>25</v>
      </c>
      <c r="AM719" s="209" t="s">
        <v>19</v>
      </c>
      <c r="AN719" s="209" t="s">
        <v>19</v>
      </c>
      <c r="AO719" s="234" t="s">
        <v>19</v>
      </c>
      <c r="AP719" s="235" t="s">
        <v>306</v>
      </c>
      <c r="AQ719" s="209" t="s">
        <v>25</v>
      </c>
      <c r="AR719" s="209" t="s">
        <v>25</v>
      </c>
      <c r="AS719" s="234" t="s">
        <v>25</v>
      </c>
      <c r="AT719" s="209" t="s">
        <v>25</v>
      </c>
      <c r="AU719" s="209" t="s">
        <v>25</v>
      </c>
      <c r="AV719" s="234" t="s">
        <v>25</v>
      </c>
      <c r="AW719" s="209" t="s">
        <v>25</v>
      </c>
      <c r="AX719" s="209" t="s">
        <v>25</v>
      </c>
      <c r="AY719" s="234" t="s">
        <v>25</v>
      </c>
      <c r="AZ719" s="209" t="s">
        <v>25</v>
      </c>
      <c r="BA719" s="209" t="s">
        <v>25</v>
      </c>
      <c r="BB719" s="234" t="s">
        <v>25</v>
      </c>
      <c r="BC719" s="235" t="s">
        <v>25</v>
      </c>
      <c r="BD719" s="209"/>
    </row>
    <row r="720" spans="1:56" ht="12.75" customHeight="1" x14ac:dyDescent="0.25">
      <c r="A720" s="238">
        <v>45281.854155682871</v>
      </c>
      <c r="B720" s="233" t="s">
        <v>384</v>
      </c>
      <c r="C720" s="232" t="s">
        <v>587</v>
      </c>
      <c r="D720" s="232" t="s">
        <v>17</v>
      </c>
      <c r="E720" s="232" t="s">
        <v>605</v>
      </c>
      <c r="F720" s="209" t="s">
        <v>1292</v>
      </c>
      <c r="G720" s="232" t="s">
        <v>18</v>
      </c>
      <c r="H720" s="232">
        <v>16</v>
      </c>
      <c r="I720" s="209" t="s">
        <v>518</v>
      </c>
      <c r="J720" s="209" t="s">
        <v>560</v>
      </c>
      <c r="K720" s="209" t="s">
        <v>560</v>
      </c>
      <c r="L720" s="209" t="s">
        <v>518</v>
      </c>
      <c r="M720" s="209" t="s">
        <v>375</v>
      </c>
      <c r="N720" s="209" t="s">
        <v>375</v>
      </c>
      <c r="O720" s="232" t="s">
        <v>531</v>
      </c>
      <c r="P720" s="188"/>
      <c r="Q720" s="209" t="s">
        <v>306</v>
      </c>
      <c r="R720" s="209" t="s">
        <v>306</v>
      </c>
      <c r="S720" s="234" t="s">
        <v>306</v>
      </c>
      <c r="T720" s="209" t="s">
        <v>306</v>
      </c>
      <c r="U720" s="209" t="s">
        <v>306</v>
      </c>
      <c r="V720" s="234" t="s">
        <v>306</v>
      </c>
      <c r="W720" s="209" t="s">
        <v>306</v>
      </c>
      <c r="X720" s="209" t="s">
        <v>306</v>
      </c>
      <c r="Y720" s="234" t="s">
        <v>306</v>
      </c>
      <c r="Z720" s="209" t="s">
        <v>306</v>
      </c>
      <c r="AA720" s="209" t="s">
        <v>306</v>
      </c>
      <c r="AB720" s="234" t="s">
        <v>306</v>
      </c>
      <c r="AC720" s="235" t="s">
        <v>306</v>
      </c>
      <c r="AD720" s="209" t="s">
        <v>306</v>
      </c>
      <c r="AE720" s="209" t="s">
        <v>306</v>
      </c>
      <c r="AF720" s="234" t="s">
        <v>306</v>
      </c>
      <c r="AG720" s="209" t="s">
        <v>306</v>
      </c>
      <c r="AH720" s="209" t="s">
        <v>306</v>
      </c>
      <c r="AI720" s="234" t="s">
        <v>306</v>
      </c>
      <c r="AJ720" s="209" t="s">
        <v>306</v>
      </c>
      <c r="AK720" s="209" t="s">
        <v>306</v>
      </c>
      <c r="AL720" s="234" t="s">
        <v>306</v>
      </c>
      <c r="AM720" s="209" t="s">
        <v>19</v>
      </c>
      <c r="AN720" s="209" t="s">
        <v>19</v>
      </c>
      <c r="AO720" s="234" t="s">
        <v>19</v>
      </c>
      <c r="AP720" s="235" t="s">
        <v>306</v>
      </c>
      <c r="AQ720" s="209" t="s">
        <v>25</v>
      </c>
      <c r="AR720" s="209" t="s">
        <v>25</v>
      </c>
      <c r="AS720" s="234" t="s">
        <v>25</v>
      </c>
      <c r="AT720" s="209" t="s">
        <v>25</v>
      </c>
      <c r="AU720" s="209" t="s">
        <v>25</v>
      </c>
      <c r="AV720" s="234" t="s">
        <v>25</v>
      </c>
      <c r="AW720" s="209" t="s">
        <v>19</v>
      </c>
      <c r="AX720" s="209" t="s">
        <v>306</v>
      </c>
      <c r="AY720" s="234" t="s">
        <v>306</v>
      </c>
      <c r="AZ720" s="209" t="s">
        <v>25</v>
      </c>
      <c r="BA720" s="209" t="s">
        <v>25</v>
      </c>
      <c r="BB720" s="234" t="s">
        <v>25</v>
      </c>
      <c r="BC720" s="235" t="s">
        <v>25</v>
      </c>
      <c r="BD720" s="209"/>
    </row>
    <row r="721" spans="1:56" ht="12.75" customHeight="1" x14ac:dyDescent="0.25">
      <c r="A721" s="238">
        <v>45281.860524942131</v>
      </c>
      <c r="B721" s="233" t="s">
        <v>384</v>
      </c>
      <c r="C721" s="232" t="s">
        <v>587</v>
      </c>
      <c r="D721" s="232" t="s">
        <v>17</v>
      </c>
      <c r="E721" s="232" t="s">
        <v>605</v>
      </c>
      <c r="F721" s="209" t="s">
        <v>1293</v>
      </c>
      <c r="G721" s="232" t="s">
        <v>18</v>
      </c>
      <c r="H721" s="232">
        <v>16</v>
      </c>
      <c r="I721" s="209" t="s">
        <v>518</v>
      </c>
      <c r="J721" s="209" t="s">
        <v>560</v>
      </c>
      <c r="K721" s="209" t="s">
        <v>560</v>
      </c>
      <c r="L721" s="209" t="s">
        <v>518</v>
      </c>
      <c r="M721" s="209" t="s">
        <v>368</v>
      </c>
      <c r="N721" s="209" t="s">
        <v>368</v>
      </c>
      <c r="O721" s="232" t="s">
        <v>518</v>
      </c>
      <c r="P721" s="209" t="s">
        <v>608</v>
      </c>
      <c r="Q721" s="209" t="s">
        <v>25</v>
      </c>
      <c r="R721" s="209" t="s">
        <v>25</v>
      </c>
      <c r="S721" s="234" t="s">
        <v>25</v>
      </c>
      <c r="T721" s="209" t="s">
        <v>25</v>
      </c>
      <c r="U721" s="209" t="s">
        <v>25</v>
      </c>
      <c r="V721" s="234" t="s">
        <v>25</v>
      </c>
      <c r="W721" s="209" t="s">
        <v>25</v>
      </c>
      <c r="X721" s="209" t="s">
        <v>306</v>
      </c>
      <c r="Y721" s="234" t="s">
        <v>25</v>
      </c>
      <c r="Z721" s="209" t="s">
        <v>25</v>
      </c>
      <c r="AA721" s="209" t="s">
        <v>25</v>
      </c>
      <c r="AB721" s="234" t="s">
        <v>25</v>
      </c>
      <c r="AC721" s="235" t="s">
        <v>25</v>
      </c>
      <c r="AD721" s="209" t="s">
        <v>25</v>
      </c>
      <c r="AE721" s="209" t="s">
        <v>25</v>
      </c>
      <c r="AF721" s="234" t="s">
        <v>25</v>
      </c>
      <c r="AG721" s="209" t="s">
        <v>25</v>
      </c>
      <c r="AH721" s="209" t="s">
        <v>306</v>
      </c>
      <c r="AI721" s="234" t="s">
        <v>25</v>
      </c>
      <c r="AJ721" s="209" t="s">
        <v>25</v>
      </c>
      <c r="AK721" s="209" t="s">
        <v>306</v>
      </c>
      <c r="AL721" s="234" t="s">
        <v>25</v>
      </c>
      <c r="AM721" s="209" t="s">
        <v>19</v>
      </c>
      <c r="AN721" s="209" t="s">
        <v>19</v>
      </c>
      <c r="AO721" s="234" t="s">
        <v>19</v>
      </c>
      <c r="AP721" s="235" t="s">
        <v>306</v>
      </c>
      <c r="AQ721" s="209" t="s">
        <v>25</v>
      </c>
      <c r="AR721" s="209" t="s">
        <v>25</v>
      </c>
      <c r="AS721" s="234" t="s">
        <v>25</v>
      </c>
      <c r="AT721" s="209" t="s">
        <v>25</v>
      </c>
      <c r="AU721" s="209" t="s">
        <v>25</v>
      </c>
      <c r="AV721" s="234" t="s">
        <v>25</v>
      </c>
      <c r="AW721" s="209" t="s">
        <v>19</v>
      </c>
      <c r="AX721" s="209" t="s">
        <v>306</v>
      </c>
      <c r="AY721" s="234" t="s">
        <v>306</v>
      </c>
      <c r="AZ721" s="209" t="s">
        <v>25</v>
      </c>
      <c r="BA721" s="209" t="s">
        <v>25</v>
      </c>
      <c r="BB721" s="234" t="s">
        <v>25</v>
      </c>
      <c r="BC721" s="235" t="s">
        <v>306</v>
      </c>
      <c r="BD721" s="209"/>
    </row>
    <row r="722" spans="1:56" ht="12.75" customHeight="1" x14ac:dyDescent="0.25">
      <c r="A722" s="238">
        <v>45281.925078055559</v>
      </c>
      <c r="B722" s="233" t="s">
        <v>384</v>
      </c>
      <c r="C722" s="232" t="s">
        <v>587</v>
      </c>
      <c r="D722" s="232" t="s">
        <v>17</v>
      </c>
      <c r="E722" s="232" t="s">
        <v>605</v>
      </c>
      <c r="F722" s="209" t="s">
        <v>1294</v>
      </c>
      <c r="G722" s="232" t="s">
        <v>18</v>
      </c>
      <c r="H722" s="232">
        <v>16</v>
      </c>
      <c r="I722" s="209" t="s">
        <v>518</v>
      </c>
      <c r="J722" s="209" t="s">
        <v>560</v>
      </c>
      <c r="K722" s="209" t="s">
        <v>560</v>
      </c>
      <c r="L722" s="209" t="s">
        <v>518</v>
      </c>
      <c r="M722" s="209" t="s">
        <v>368</v>
      </c>
      <c r="N722" s="209" t="s">
        <v>375</v>
      </c>
      <c r="O722" s="232" t="s">
        <v>518</v>
      </c>
      <c r="P722" s="209" t="s">
        <v>671</v>
      </c>
      <c r="Q722" s="209" t="s">
        <v>25</v>
      </c>
      <c r="R722" s="209" t="s">
        <v>25</v>
      </c>
      <c r="S722" s="234" t="s">
        <v>25</v>
      </c>
      <c r="T722" s="209" t="s">
        <v>306</v>
      </c>
      <c r="U722" s="209" t="s">
        <v>25</v>
      </c>
      <c r="V722" s="234" t="s">
        <v>25</v>
      </c>
      <c r="W722" s="209" t="s">
        <v>25</v>
      </c>
      <c r="X722" s="209" t="s">
        <v>306</v>
      </c>
      <c r="Y722" s="234" t="s">
        <v>25</v>
      </c>
      <c r="Z722" s="209" t="s">
        <v>25</v>
      </c>
      <c r="AA722" s="209" t="s">
        <v>25</v>
      </c>
      <c r="AB722" s="234" t="s">
        <v>25</v>
      </c>
      <c r="AC722" s="235" t="s">
        <v>25</v>
      </c>
      <c r="AD722" s="209" t="s">
        <v>306</v>
      </c>
      <c r="AE722" s="209" t="s">
        <v>25</v>
      </c>
      <c r="AF722" s="234" t="s">
        <v>25</v>
      </c>
      <c r="AG722" s="209" t="s">
        <v>306</v>
      </c>
      <c r="AH722" s="209" t="s">
        <v>25</v>
      </c>
      <c r="AI722" s="234" t="s">
        <v>25</v>
      </c>
      <c r="AJ722" s="209" t="s">
        <v>306</v>
      </c>
      <c r="AK722" s="209" t="s">
        <v>25</v>
      </c>
      <c r="AL722" s="234" t="s">
        <v>25</v>
      </c>
      <c r="AM722" s="209" t="s">
        <v>306</v>
      </c>
      <c r="AN722" s="209" t="s">
        <v>25</v>
      </c>
      <c r="AO722" s="234" t="s">
        <v>25</v>
      </c>
      <c r="AP722" s="235" t="s">
        <v>25</v>
      </c>
      <c r="AQ722" s="209" t="s">
        <v>306</v>
      </c>
      <c r="AR722" s="209" t="s">
        <v>25</v>
      </c>
      <c r="AS722" s="234" t="s">
        <v>25</v>
      </c>
      <c r="AT722" s="209" t="s">
        <v>25</v>
      </c>
      <c r="AU722" s="209" t="s">
        <v>25</v>
      </c>
      <c r="AV722" s="234" t="s">
        <v>25</v>
      </c>
      <c r="AW722" s="209" t="s">
        <v>25</v>
      </c>
      <c r="AX722" s="209" t="s">
        <v>306</v>
      </c>
      <c r="AY722" s="234" t="s">
        <v>25</v>
      </c>
      <c r="AZ722" s="209" t="s">
        <v>25</v>
      </c>
      <c r="BA722" s="209" t="s">
        <v>25</v>
      </c>
      <c r="BB722" s="234" t="s">
        <v>306</v>
      </c>
      <c r="BC722" s="235" t="s">
        <v>306</v>
      </c>
      <c r="BD722" s="209"/>
    </row>
    <row r="723" spans="1:56" ht="12.75" customHeight="1" x14ac:dyDescent="0.25">
      <c r="A723" s="238">
        <v>45281.928232592589</v>
      </c>
      <c r="B723" s="233" t="s">
        <v>384</v>
      </c>
      <c r="C723" s="232" t="s">
        <v>587</v>
      </c>
      <c r="D723" s="232" t="s">
        <v>17</v>
      </c>
      <c r="E723" s="232" t="s">
        <v>605</v>
      </c>
      <c r="F723" s="209" t="s">
        <v>1295</v>
      </c>
      <c r="G723" s="232" t="s">
        <v>24</v>
      </c>
      <c r="H723" s="232">
        <v>16</v>
      </c>
      <c r="I723" s="209" t="s">
        <v>518</v>
      </c>
      <c r="J723" s="209" t="s">
        <v>560</v>
      </c>
      <c r="K723" s="209" t="s">
        <v>560</v>
      </c>
      <c r="L723" s="209" t="s">
        <v>518</v>
      </c>
      <c r="M723" s="209" t="s">
        <v>368</v>
      </c>
      <c r="N723" s="209" t="s">
        <v>375</v>
      </c>
      <c r="O723" s="232" t="s">
        <v>518</v>
      </c>
      <c r="P723" s="209" t="s">
        <v>671</v>
      </c>
      <c r="Q723" s="209" t="s">
        <v>25</v>
      </c>
      <c r="R723" s="209" t="s">
        <v>25</v>
      </c>
      <c r="S723" s="234" t="s">
        <v>25</v>
      </c>
      <c r="T723" s="209" t="s">
        <v>25</v>
      </c>
      <c r="U723" s="209" t="s">
        <v>25</v>
      </c>
      <c r="V723" s="234" t="s">
        <v>25</v>
      </c>
      <c r="W723" s="209" t="s">
        <v>306</v>
      </c>
      <c r="X723" s="209" t="s">
        <v>306</v>
      </c>
      <c r="Y723" s="234" t="s">
        <v>306</v>
      </c>
      <c r="Z723" s="209" t="s">
        <v>25</v>
      </c>
      <c r="AA723" s="209" t="s">
        <v>25</v>
      </c>
      <c r="AB723" s="234" t="s">
        <v>25</v>
      </c>
      <c r="AC723" s="235" t="s">
        <v>25</v>
      </c>
      <c r="AD723" s="209" t="s">
        <v>306</v>
      </c>
      <c r="AE723" s="209" t="s">
        <v>306</v>
      </c>
      <c r="AF723" s="234" t="s">
        <v>306</v>
      </c>
      <c r="AG723" s="209" t="s">
        <v>25</v>
      </c>
      <c r="AH723" s="209" t="s">
        <v>306</v>
      </c>
      <c r="AI723" s="234" t="s">
        <v>25</v>
      </c>
      <c r="AJ723" s="209" t="s">
        <v>25</v>
      </c>
      <c r="AK723" s="209" t="s">
        <v>25</v>
      </c>
      <c r="AL723" s="234" t="s">
        <v>25</v>
      </c>
      <c r="AM723" s="209" t="s">
        <v>306</v>
      </c>
      <c r="AN723" s="209" t="s">
        <v>19</v>
      </c>
      <c r="AO723" s="234" t="s">
        <v>306</v>
      </c>
      <c r="AP723" s="235" t="s">
        <v>306</v>
      </c>
      <c r="AQ723" s="209" t="s">
        <v>25</v>
      </c>
      <c r="AR723" s="209" t="s">
        <v>25</v>
      </c>
      <c r="AS723" s="234" t="s">
        <v>25</v>
      </c>
      <c r="AT723" s="209" t="s">
        <v>25</v>
      </c>
      <c r="AU723" s="209" t="s">
        <v>25</v>
      </c>
      <c r="AV723" s="234" t="s">
        <v>25</v>
      </c>
      <c r="AW723" s="209" t="s">
        <v>306</v>
      </c>
      <c r="AX723" s="209" t="s">
        <v>25</v>
      </c>
      <c r="AY723" s="234" t="s">
        <v>25</v>
      </c>
      <c r="AZ723" s="209" t="s">
        <v>25</v>
      </c>
      <c r="BA723" s="209" t="s">
        <v>25</v>
      </c>
      <c r="BB723" s="234" t="s">
        <v>25</v>
      </c>
      <c r="BC723" s="235" t="s">
        <v>306</v>
      </c>
      <c r="BD723" s="209"/>
    </row>
    <row r="724" spans="1:56" ht="12.75" customHeight="1" x14ac:dyDescent="0.25">
      <c r="A724" s="238">
        <v>45281.931358437505</v>
      </c>
      <c r="B724" s="233" t="s">
        <v>384</v>
      </c>
      <c r="C724" s="232" t="s">
        <v>587</v>
      </c>
      <c r="D724" s="232" t="s">
        <v>17</v>
      </c>
      <c r="E724" s="232" t="s">
        <v>605</v>
      </c>
      <c r="F724" s="209" t="s">
        <v>1296</v>
      </c>
      <c r="G724" s="232" t="s">
        <v>18</v>
      </c>
      <c r="H724" s="232">
        <v>15</v>
      </c>
      <c r="I724" s="209" t="s">
        <v>518</v>
      </c>
      <c r="J724" s="209" t="s">
        <v>560</v>
      </c>
      <c r="K724" s="209" t="s">
        <v>560</v>
      </c>
      <c r="L724" s="209" t="s">
        <v>518</v>
      </c>
      <c r="M724" s="209" t="s">
        <v>412</v>
      </c>
      <c r="N724" s="209" t="s">
        <v>589</v>
      </c>
      <c r="O724" s="232" t="s">
        <v>518</v>
      </c>
      <c r="P724" s="209" t="s">
        <v>1297</v>
      </c>
      <c r="Q724" s="209" t="s">
        <v>25</v>
      </c>
      <c r="R724" s="209" t="s">
        <v>25</v>
      </c>
      <c r="S724" s="234" t="s">
        <v>25</v>
      </c>
      <c r="T724" s="209" t="s">
        <v>25</v>
      </c>
      <c r="U724" s="209" t="s">
        <v>25</v>
      </c>
      <c r="V724" s="234" t="s">
        <v>25</v>
      </c>
      <c r="W724" s="209" t="s">
        <v>25</v>
      </c>
      <c r="X724" s="209" t="s">
        <v>25</v>
      </c>
      <c r="Y724" s="234" t="s">
        <v>25</v>
      </c>
      <c r="Z724" s="209" t="s">
        <v>25</v>
      </c>
      <c r="AA724" s="209" t="s">
        <v>25</v>
      </c>
      <c r="AB724" s="234" t="s">
        <v>25</v>
      </c>
      <c r="AC724" s="235" t="s">
        <v>25</v>
      </c>
      <c r="AD724" s="209" t="s">
        <v>25</v>
      </c>
      <c r="AE724" s="209" t="s">
        <v>25</v>
      </c>
      <c r="AF724" s="234" t="s">
        <v>25</v>
      </c>
      <c r="AG724" s="209" t="s">
        <v>306</v>
      </c>
      <c r="AH724" s="209" t="s">
        <v>25</v>
      </c>
      <c r="AI724" s="234" t="s">
        <v>25</v>
      </c>
      <c r="AJ724" s="209" t="s">
        <v>25</v>
      </c>
      <c r="AK724" s="209" t="s">
        <v>25</v>
      </c>
      <c r="AL724" s="234" t="s">
        <v>25</v>
      </c>
      <c r="AM724" s="209" t="s">
        <v>306</v>
      </c>
      <c r="AN724" s="209" t="s">
        <v>306</v>
      </c>
      <c r="AO724" s="234" t="s">
        <v>306</v>
      </c>
      <c r="AP724" s="235" t="s">
        <v>25</v>
      </c>
      <c r="AQ724" s="209" t="s">
        <v>306</v>
      </c>
      <c r="AR724" s="209" t="s">
        <v>25</v>
      </c>
      <c r="AS724" s="234" t="s">
        <v>25</v>
      </c>
      <c r="AT724" s="209" t="s">
        <v>25</v>
      </c>
      <c r="AU724" s="209" t="s">
        <v>25</v>
      </c>
      <c r="AV724" s="234" t="s">
        <v>25</v>
      </c>
      <c r="AW724" s="209" t="s">
        <v>306</v>
      </c>
      <c r="AX724" s="209" t="s">
        <v>25</v>
      </c>
      <c r="AY724" s="234" t="s">
        <v>25</v>
      </c>
      <c r="AZ724" s="209" t="s">
        <v>25</v>
      </c>
      <c r="BA724" s="209" t="s">
        <v>25</v>
      </c>
      <c r="BB724" s="234" t="s">
        <v>25</v>
      </c>
      <c r="BC724" s="235" t="s">
        <v>25</v>
      </c>
      <c r="BD724" s="209"/>
    </row>
    <row r="725" spans="1:56" ht="12.75" customHeight="1" x14ac:dyDescent="0.25">
      <c r="A725" s="238">
        <v>45281.937113703709</v>
      </c>
      <c r="B725" s="233" t="s">
        <v>384</v>
      </c>
      <c r="C725" s="232" t="s">
        <v>587</v>
      </c>
      <c r="D725" s="232" t="s">
        <v>17</v>
      </c>
      <c r="E725" s="232" t="s">
        <v>605</v>
      </c>
      <c r="F725" s="209" t="s">
        <v>1298</v>
      </c>
      <c r="G725" s="232" t="s">
        <v>18</v>
      </c>
      <c r="H725" s="232">
        <v>16</v>
      </c>
      <c r="I725" s="209" t="s">
        <v>518</v>
      </c>
      <c r="J725" s="209" t="s">
        <v>560</v>
      </c>
      <c r="K725" s="209" t="s">
        <v>560</v>
      </c>
      <c r="L725" s="209" t="s">
        <v>518</v>
      </c>
      <c r="M725" s="209" t="s">
        <v>368</v>
      </c>
      <c r="N725" s="209" t="s">
        <v>375</v>
      </c>
      <c r="O725" s="232" t="s">
        <v>531</v>
      </c>
      <c r="P725" s="188"/>
      <c r="Q725" s="209" t="s">
        <v>25</v>
      </c>
      <c r="R725" s="209" t="s">
        <v>306</v>
      </c>
      <c r="S725" s="234" t="s">
        <v>25</v>
      </c>
      <c r="T725" s="209" t="s">
        <v>306</v>
      </c>
      <c r="U725" s="209" t="s">
        <v>306</v>
      </c>
      <c r="V725" s="234" t="s">
        <v>306</v>
      </c>
      <c r="W725" s="209" t="s">
        <v>19</v>
      </c>
      <c r="X725" s="209" t="s">
        <v>306</v>
      </c>
      <c r="Y725" s="234" t="s">
        <v>306</v>
      </c>
      <c r="Z725" s="209" t="s">
        <v>25</v>
      </c>
      <c r="AA725" s="209" t="s">
        <v>306</v>
      </c>
      <c r="AB725" s="234" t="s">
        <v>25</v>
      </c>
      <c r="AC725" s="235" t="s">
        <v>306</v>
      </c>
      <c r="AD725" s="209" t="s">
        <v>25</v>
      </c>
      <c r="AE725" s="209" t="s">
        <v>25</v>
      </c>
      <c r="AF725" s="234" t="s">
        <v>25</v>
      </c>
      <c r="AG725" s="209" t="s">
        <v>306</v>
      </c>
      <c r="AH725" s="209" t="s">
        <v>25</v>
      </c>
      <c r="AI725" s="234" t="s">
        <v>25</v>
      </c>
      <c r="AJ725" s="209" t="s">
        <v>306</v>
      </c>
      <c r="AK725" s="209" t="s">
        <v>25</v>
      </c>
      <c r="AL725" s="234" t="s">
        <v>25</v>
      </c>
      <c r="AM725" s="209" t="s">
        <v>25</v>
      </c>
      <c r="AN725" s="209" t="s">
        <v>306</v>
      </c>
      <c r="AO725" s="234" t="s">
        <v>25</v>
      </c>
      <c r="AP725" s="235" t="s">
        <v>25</v>
      </c>
      <c r="AQ725" s="209" t="s">
        <v>25</v>
      </c>
      <c r="AR725" s="209" t="s">
        <v>25</v>
      </c>
      <c r="AS725" s="234" t="s">
        <v>25</v>
      </c>
      <c r="AT725" s="209" t="s">
        <v>25</v>
      </c>
      <c r="AU725" s="209" t="s">
        <v>25</v>
      </c>
      <c r="AV725" s="234" t="s">
        <v>25</v>
      </c>
      <c r="AW725" s="209" t="s">
        <v>25</v>
      </c>
      <c r="AX725" s="209" t="s">
        <v>25</v>
      </c>
      <c r="AY725" s="234" t="s">
        <v>25</v>
      </c>
      <c r="AZ725" s="209" t="s">
        <v>25</v>
      </c>
      <c r="BA725" s="209" t="s">
        <v>25</v>
      </c>
      <c r="BB725" s="234" t="s">
        <v>25</v>
      </c>
      <c r="BC725" s="235" t="s">
        <v>25</v>
      </c>
      <c r="BD725" s="209"/>
    </row>
    <row r="726" spans="1:56" ht="12.75" customHeight="1" x14ac:dyDescent="0.25">
      <c r="A726" s="238">
        <v>45281.960878414349</v>
      </c>
      <c r="B726" s="233" t="s">
        <v>384</v>
      </c>
      <c r="C726" s="232" t="s">
        <v>587</v>
      </c>
      <c r="D726" s="232" t="s">
        <v>17</v>
      </c>
      <c r="E726" s="232" t="s">
        <v>605</v>
      </c>
      <c r="F726" s="209" t="s">
        <v>1299</v>
      </c>
      <c r="G726" s="232" t="s">
        <v>24</v>
      </c>
      <c r="H726" s="232">
        <v>17</v>
      </c>
      <c r="I726" s="209" t="s">
        <v>518</v>
      </c>
      <c r="J726" s="209" t="s">
        <v>560</v>
      </c>
      <c r="K726" s="209" t="s">
        <v>560</v>
      </c>
      <c r="L726" s="209" t="s">
        <v>518</v>
      </c>
      <c r="M726" s="209" t="s">
        <v>375</v>
      </c>
      <c r="N726" s="209" t="s">
        <v>589</v>
      </c>
      <c r="O726" s="232" t="s">
        <v>518</v>
      </c>
      <c r="P726" s="209" t="s">
        <v>657</v>
      </c>
      <c r="Q726" s="209" t="s">
        <v>306</v>
      </c>
      <c r="R726" s="209" t="s">
        <v>306</v>
      </c>
      <c r="S726" s="234" t="s">
        <v>306</v>
      </c>
      <c r="T726" s="209" t="s">
        <v>306</v>
      </c>
      <c r="U726" s="209" t="s">
        <v>25</v>
      </c>
      <c r="V726" s="234" t="s">
        <v>25</v>
      </c>
      <c r="W726" s="209" t="s">
        <v>306</v>
      </c>
      <c r="X726" s="209" t="s">
        <v>306</v>
      </c>
      <c r="Y726" s="234" t="s">
        <v>306</v>
      </c>
      <c r="Z726" s="209" t="s">
        <v>25</v>
      </c>
      <c r="AA726" s="209" t="s">
        <v>306</v>
      </c>
      <c r="AB726" s="234" t="s">
        <v>25</v>
      </c>
      <c r="AC726" s="235" t="s">
        <v>306</v>
      </c>
      <c r="AD726" s="209" t="s">
        <v>306</v>
      </c>
      <c r="AE726" s="209" t="s">
        <v>306</v>
      </c>
      <c r="AF726" s="234" t="s">
        <v>306</v>
      </c>
      <c r="AG726" s="209" t="s">
        <v>306</v>
      </c>
      <c r="AH726" s="209" t="s">
        <v>25</v>
      </c>
      <c r="AI726" s="234" t="s">
        <v>25</v>
      </c>
      <c r="AJ726" s="209" t="s">
        <v>25</v>
      </c>
      <c r="AK726" s="209" t="s">
        <v>306</v>
      </c>
      <c r="AL726" s="234" t="s">
        <v>25</v>
      </c>
      <c r="AM726" s="209" t="s">
        <v>19</v>
      </c>
      <c r="AN726" s="209" t="s">
        <v>306</v>
      </c>
      <c r="AO726" s="234" t="s">
        <v>306</v>
      </c>
      <c r="AP726" s="235" t="s">
        <v>306</v>
      </c>
      <c r="AQ726" s="209" t="s">
        <v>25</v>
      </c>
      <c r="AR726" s="209" t="s">
        <v>25</v>
      </c>
      <c r="AS726" s="234" t="s">
        <v>25</v>
      </c>
      <c r="AT726" s="209" t="s">
        <v>25</v>
      </c>
      <c r="AU726" s="209" t="s">
        <v>25</v>
      </c>
      <c r="AV726" s="234" t="s">
        <v>25</v>
      </c>
      <c r="AW726" s="209" t="s">
        <v>306</v>
      </c>
      <c r="AX726" s="209" t="s">
        <v>25</v>
      </c>
      <c r="AY726" s="234" t="s">
        <v>25</v>
      </c>
      <c r="AZ726" s="209" t="s">
        <v>25</v>
      </c>
      <c r="BA726" s="209" t="s">
        <v>25</v>
      </c>
      <c r="BB726" s="234" t="s">
        <v>25</v>
      </c>
      <c r="BC726" s="235" t="s">
        <v>25</v>
      </c>
      <c r="BD726" s="209"/>
    </row>
    <row r="727" spans="1:56" ht="12.75" customHeight="1" x14ac:dyDescent="0.25">
      <c r="A727" s="238">
        <v>45281.963185034721</v>
      </c>
      <c r="B727" s="233" t="s">
        <v>384</v>
      </c>
      <c r="C727" s="232" t="s">
        <v>587</v>
      </c>
      <c r="D727" s="232" t="s">
        <v>17</v>
      </c>
      <c r="E727" s="232" t="s">
        <v>605</v>
      </c>
      <c r="F727" s="209" t="s">
        <v>1300</v>
      </c>
      <c r="G727" s="232" t="s">
        <v>24</v>
      </c>
      <c r="H727" s="232">
        <v>16</v>
      </c>
      <c r="I727" s="209" t="s">
        <v>518</v>
      </c>
      <c r="J727" s="209" t="s">
        <v>560</v>
      </c>
      <c r="K727" s="209" t="s">
        <v>560</v>
      </c>
      <c r="L727" s="209" t="s">
        <v>518</v>
      </c>
      <c r="M727" s="209" t="s">
        <v>368</v>
      </c>
      <c r="N727" s="209" t="s">
        <v>375</v>
      </c>
      <c r="O727" s="232" t="s">
        <v>518</v>
      </c>
      <c r="P727" s="209" t="s">
        <v>816</v>
      </c>
      <c r="Q727" s="209" t="s">
        <v>25</v>
      </c>
      <c r="R727" s="209" t="s">
        <v>25</v>
      </c>
      <c r="S727" s="234" t="s">
        <v>25</v>
      </c>
      <c r="T727" s="209" t="s">
        <v>19</v>
      </c>
      <c r="U727" s="209" t="s">
        <v>25</v>
      </c>
      <c r="V727" s="234" t="s">
        <v>306</v>
      </c>
      <c r="W727" s="209" t="s">
        <v>25</v>
      </c>
      <c r="X727" s="209" t="s">
        <v>25</v>
      </c>
      <c r="Y727" s="234" t="s">
        <v>25</v>
      </c>
      <c r="Z727" s="209" t="s">
        <v>25</v>
      </c>
      <c r="AA727" s="209" t="s">
        <v>25</v>
      </c>
      <c r="AB727" s="234" t="s">
        <v>25</v>
      </c>
      <c r="AC727" s="235" t="s">
        <v>25</v>
      </c>
      <c r="AD727" s="209" t="s">
        <v>306</v>
      </c>
      <c r="AE727" s="209" t="s">
        <v>25</v>
      </c>
      <c r="AF727" s="234" t="s">
        <v>25</v>
      </c>
      <c r="AG727" s="209" t="s">
        <v>25</v>
      </c>
      <c r="AH727" s="209" t="s">
        <v>25</v>
      </c>
      <c r="AI727" s="234" t="s">
        <v>25</v>
      </c>
      <c r="AJ727" s="209" t="s">
        <v>25</v>
      </c>
      <c r="AK727" s="209" t="s">
        <v>25</v>
      </c>
      <c r="AL727" s="234" t="s">
        <v>25</v>
      </c>
      <c r="AM727" s="209" t="s">
        <v>306</v>
      </c>
      <c r="AN727" s="209" t="s">
        <v>25</v>
      </c>
      <c r="AO727" s="234" t="s">
        <v>25</v>
      </c>
      <c r="AP727" s="235" t="s">
        <v>25</v>
      </c>
      <c r="AQ727" s="209" t="s">
        <v>25</v>
      </c>
      <c r="AR727" s="209" t="s">
        <v>25</v>
      </c>
      <c r="AS727" s="234" t="s">
        <v>25</v>
      </c>
      <c r="AT727" s="209" t="s">
        <v>25</v>
      </c>
      <c r="AU727" s="209" t="s">
        <v>25</v>
      </c>
      <c r="AV727" s="234" t="s">
        <v>25</v>
      </c>
      <c r="AW727" s="209" t="s">
        <v>25</v>
      </c>
      <c r="AX727" s="209" t="s">
        <v>25</v>
      </c>
      <c r="AY727" s="234" t="s">
        <v>25</v>
      </c>
      <c r="AZ727" s="209" t="s">
        <v>19</v>
      </c>
      <c r="BA727" s="209" t="s">
        <v>25</v>
      </c>
      <c r="BB727" s="234" t="s">
        <v>306</v>
      </c>
      <c r="BC727" s="235" t="s">
        <v>306</v>
      </c>
      <c r="BD727" s="209"/>
    </row>
    <row r="728" spans="1:56" ht="12.75" customHeight="1" x14ac:dyDescent="0.25">
      <c r="A728" s="238">
        <v>45281.965648541664</v>
      </c>
      <c r="B728" s="233" t="s">
        <v>384</v>
      </c>
      <c r="C728" s="232" t="s">
        <v>587</v>
      </c>
      <c r="D728" s="232" t="s">
        <v>17</v>
      </c>
      <c r="E728" s="232" t="s">
        <v>605</v>
      </c>
      <c r="F728" s="209" t="s">
        <v>1301</v>
      </c>
      <c r="G728" s="232" t="s">
        <v>24</v>
      </c>
      <c r="H728" s="232">
        <v>15</v>
      </c>
      <c r="I728" s="209" t="s">
        <v>518</v>
      </c>
      <c r="J728" s="209" t="s">
        <v>560</v>
      </c>
      <c r="K728" s="209" t="s">
        <v>560</v>
      </c>
      <c r="L728" s="209" t="s">
        <v>518</v>
      </c>
      <c r="M728" s="209" t="s">
        <v>412</v>
      </c>
      <c r="N728" s="209" t="s">
        <v>589</v>
      </c>
      <c r="O728" s="232" t="s">
        <v>518</v>
      </c>
      <c r="P728" s="209" t="s">
        <v>671</v>
      </c>
      <c r="Q728" s="209" t="s">
        <v>25</v>
      </c>
      <c r="R728" s="209" t="s">
        <v>25</v>
      </c>
      <c r="S728" s="234" t="s">
        <v>25</v>
      </c>
      <c r="T728" s="209" t="s">
        <v>306</v>
      </c>
      <c r="U728" s="209" t="s">
        <v>25</v>
      </c>
      <c r="V728" s="234" t="s">
        <v>25</v>
      </c>
      <c r="W728" s="209" t="s">
        <v>25</v>
      </c>
      <c r="X728" s="209" t="s">
        <v>25</v>
      </c>
      <c r="Y728" s="234" t="s">
        <v>25</v>
      </c>
      <c r="Z728" s="209" t="s">
        <v>306</v>
      </c>
      <c r="AA728" s="209" t="s">
        <v>25</v>
      </c>
      <c r="AB728" s="234" t="s">
        <v>25</v>
      </c>
      <c r="AC728" s="235" t="s">
        <v>25</v>
      </c>
      <c r="AD728" s="209" t="s">
        <v>25</v>
      </c>
      <c r="AE728" s="209" t="s">
        <v>306</v>
      </c>
      <c r="AF728" s="234" t="s">
        <v>25</v>
      </c>
      <c r="AG728" s="209" t="s">
        <v>306</v>
      </c>
      <c r="AH728" s="209" t="s">
        <v>306</v>
      </c>
      <c r="AI728" s="234" t="s">
        <v>306</v>
      </c>
      <c r="AJ728" s="209" t="s">
        <v>25</v>
      </c>
      <c r="AK728" s="209" t="s">
        <v>306</v>
      </c>
      <c r="AL728" s="234" t="s">
        <v>25</v>
      </c>
      <c r="AM728" s="209" t="s">
        <v>306</v>
      </c>
      <c r="AN728" s="209" t="s">
        <v>306</v>
      </c>
      <c r="AO728" s="234" t="s">
        <v>306</v>
      </c>
      <c r="AP728" s="235" t="s">
        <v>306</v>
      </c>
      <c r="AQ728" s="209" t="s">
        <v>25</v>
      </c>
      <c r="AR728" s="209" t="s">
        <v>25</v>
      </c>
      <c r="AS728" s="234" t="s">
        <v>25</v>
      </c>
      <c r="AT728" s="209" t="s">
        <v>25</v>
      </c>
      <c r="AU728" s="209" t="s">
        <v>25</v>
      </c>
      <c r="AV728" s="234" t="s">
        <v>25</v>
      </c>
      <c r="AW728" s="209" t="s">
        <v>306</v>
      </c>
      <c r="AX728" s="209" t="s">
        <v>25</v>
      </c>
      <c r="AY728" s="234" t="s">
        <v>25</v>
      </c>
      <c r="AZ728" s="209" t="s">
        <v>306</v>
      </c>
      <c r="BA728" s="209" t="s">
        <v>25</v>
      </c>
      <c r="BB728" s="234" t="s">
        <v>25</v>
      </c>
      <c r="BC728" s="235" t="s">
        <v>25</v>
      </c>
      <c r="BD728" s="209"/>
    </row>
    <row r="729" spans="1:56" ht="12.75" customHeight="1" x14ac:dyDescent="0.25">
      <c r="A729" s="238">
        <v>45281.967998460648</v>
      </c>
      <c r="B729" s="233" t="s">
        <v>384</v>
      </c>
      <c r="C729" s="232" t="s">
        <v>587</v>
      </c>
      <c r="D729" s="232" t="s">
        <v>17</v>
      </c>
      <c r="E729" s="232" t="s">
        <v>605</v>
      </c>
      <c r="F729" s="209" t="s">
        <v>1302</v>
      </c>
      <c r="G729" s="232" t="s">
        <v>18</v>
      </c>
      <c r="H729" s="232">
        <v>16</v>
      </c>
      <c r="I729" s="209" t="s">
        <v>518</v>
      </c>
      <c r="J729" s="209" t="s">
        <v>560</v>
      </c>
      <c r="K729" s="209" t="s">
        <v>560</v>
      </c>
      <c r="L729" s="209" t="s">
        <v>518</v>
      </c>
      <c r="M729" s="209" t="s">
        <v>375</v>
      </c>
      <c r="N729" s="209" t="s">
        <v>589</v>
      </c>
      <c r="O729" s="232" t="s">
        <v>518</v>
      </c>
      <c r="P729" s="209" t="s">
        <v>671</v>
      </c>
      <c r="Q729" s="209" t="s">
        <v>25</v>
      </c>
      <c r="R729" s="209" t="s">
        <v>25</v>
      </c>
      <c r="S729" s="234" t="s">
        <v>25</v>
      </c>
      <c r="T729" s="209" t="s">
        <v>25</v>
      </c>
      <c r="U729" s="209" t="s">
        <v>25</v>
      </c>
      <c r="V729" s="234" t="s">
        <v>25</v>
      </c>
      <c r="W729" s="209" t="s">
        <v>25</v>
      </c>
      <c r="X729" s="209" t="s">
        <v>25</v>
      </c>
      <c r="Y729" s="234" t="s">
        <v>25</v>
      </c>
      <c r="Z729" s="209" t="s">
        <v>25</v>
      </c>
      <c r="AA729" s="209" t="s">
        <v>25</v>
      </c>
      <c r="AB729" s="234" t="s">
        <v>25</v>
      </c>
      <c r="AC729" s="235" t="s">
        <v>25</v>
      </c>
      <c r="AD729" s="209" t="s">
        <v>306</v>
      </c>
      <c r="AE729" s="209" t="s">
        <v>306</v>
      </c>
      <c r="AF729" s="234" t="s">
        <v>306</v>
      </c>
      <c r="AG729" s="209" t="s">
        <v>306</v>
      </c>
      <c r="AH729" s="209" t="s">
        <v>25</v>
      </c>
      <c r="AI729" s="234" t="s">
        <v>25</v>
      </c>
      <c r="AJ729" s="209" t="s">
        <v>25</v>
      </c>
      <c r="AK729" s="209" t="s">
        <v>25</v>
      </c>
      <c r="AL729" s="234" t="s">
        <v>25</v>
      </c>
      <c r="AM729" s="209" t="s">
        <v>306</v>
      </c>
      <c r="AN729" s="209" t="s">
        <v>19</v>
      </c>
      <c r="AO729" s="234" t="s">
        <v>306</v>
      </c>
      <c r="AP729" s="235" t="s">
        <v>306</v>
      </c>
      <c r="AQ729" s="209" t="s">
        <v>25</v>
      </c>
      <c r="AR729" s="209" t="s">
        <v>25</v>
      </c>
      <c r="AS729" s="234" t="s">
        <v>25</v>
      </c>
      <c r="AT729" s="209" t="s">
        <v>25</v>
      </c>
      <c r="AU729" s="209" t="s">
        <v>25</v>
      </c>
      <c r="AV729" s="234" t="s">
        <v>25</v>
      </c>
      <c r="AW729" s="209" t="s">
        <v>306</v>
      </c>
      <c r="AX729" s="209" t="s">
        <v>25</v>
      </c>
      <c r="AY729" s="234" t="s">
        <v>25</v>
      </c>
      <c r="AZ729" s="209" t="s">
        <v>25</v>
      </c>
      <c r="BA729" s="209" t="s">
        <v>25</v>
      </c>
      <c r="BB729" s="234" t="s">
        <v>25</v>
      </c>
      <c r="BC729" s="235" t="s">
        <v>25</v>
      </c>
      <c r="BD729" s="209"/>
    </row>
    <row r="730" spans="1:56" ht="12.75" customHeight="1" x14ac:dyDescent="0.25">
      <c r="A730" s="238">
        <v>45281.970399791666</v>
      </c>
      <c r="B730" s="233" t="s">
        <v>384</v>
      </c>
      <c r="C730" s="232" t="s">
        <v>587</v>
      </c>
      <c r="D730" s="232" t="s">
        <v>17</v>
      </c>
      <c r="E730" s="232" t="s">
        <v>605</v>
      </c>
      <c r="F730" s="209" t="s">
        <v>1303</v>
      </c>
      <c r="G730" s="232" t="s">
        <v>24</v>
      </c>
      <c r="H730" s="232">
        <v>16</v>
      </c>
      <c r="I730" s="209" t="s">
        <v>518</v>
      </c>
      <c r="J730" s="209" t="s">
        <v>560</v>
      </c>
      <c r="K730" s="209" t="s">
        <v>560</v>
      </c>
      <c r="L730" s="209" t="s">
        <v>518</v>
      </c>
      <c r="M730" s="209" t="s">
        <v>368</v>
      </c>
      <c r="N730" s="209" t="s">
        <v>375</v>
      </c>
      <c r="O730" s="232" t="s">
        <v>518</v>
      </c>
      <c r="P730" s="209" t="s">
        <v>671</v>
      </c>
      <c r="Q730" s="209" t="s">
        <v>25</v>
      </c>
      <c r="R730" s="209" t="s">
        <v>25</v>
      </c>
      <c r="S730" s="234" t="s">
        <v>25</v>
      </c>
      <c r="T730" s="209" t="s">
        <v>25</v>
      </c>
      <c r="U730" s="209" t="s">
        <v>25</v>
      </c>
      <c r="V730" s="234" t="s">
        <v>25</v>
      </c>
      <c r="W730" s="209" t="s">
        <v>25</v>
      </c>
      <c r="X730" s="209" t="s">
        <v>25</v>
      </c>
      <c r="Y730" s="234" t="s">
        <v>25</v>
      </c>
      <c r="Z730" s="209" t="s">
        <v>25</v>
      </c>
      <c r="AA730" s="209" t="s">
        <v>25</v>
      </c>
      <c r="AB730" s="234" t="s">
        <v>25</v>
      </c>
      <c r="AC730" s="235" t="s">
        <v>25</v>
      </c>
      <c r="AD730" s="209" t="s">
        <v>306</v>
      </c>
      <c r="AE730" s="209" t="s">
        <v>25</v>
      </c>
      <c r="AF730" s="234" t="s">
        <v>25</v>
      </c>
      <c r="AG730" s="209" t="s">
        <v>25</v>
      </c>
      <c r="AH730" s="209" t="s">
        <v>25</v>
      </c>
      <c r="AI730" s="234" t="s">
        <v>25</v>
      </c>
      <c r="AJ730" s="209" t="s">
        <v>25</v>
      </c>
      <c r="AK730" s="209" t="s">
        <v>25</v>
      </c>
      <c r="AL730" s="234" t="s">
        <v>25</v>
      </c>
      <c r="AM730" s="209" t="s">
        <v>306</v>
      </c>
      <c r="AN730" s="209" t="s">
        <v>25</v>
      </c>
      <c r="AO730" s="234" t="s">
        <v>25</v>
      </c>
      <c r="AP730" s="235" t="s">
        <v>25</v>
      </c>
      <c r="AQ730" s="209" t="s">
        <v>25</v>
      </c>
      <c r="AR730" s="209" t="s">
        <v>25</v>
      </c>
      <c r="AS730" s="234" t="s">
        <v>25</v>
      </c>
      <c r="AT730" s="209" t="s">
        <v>25</v>
      </c>
      <c r="AU730" s="209" t="s">
        <v>25</v>
      </c>
      <c r="AV730" s="234" t="s">
        <v>25</v>
      </c>
      <c r="AW730" s="209" t="s">
        <v>25</v>
      </c>
      <c r="AX730" s="209" t="s">
        <v>25</v>
      </c>
      <c r="AY730" s="234" t="s">
        <v>25</v>
      </c>
      <c r="AZ730" s="209" t="s">
        <v>25</v>
      </c>
      <c r="BA730" s="209" t="s">
        <v>25</v>
      </c>
      <c r="BB730" s="234" t="s">
        <v>25</v>
      </c>
      <c r="BC730" s="235" t="s">
        <v>25</v>
      </c>
      <c r="BD730" s="209"/>
    </row>
    <row r="731" spans="1:56" ht="12.75" customHeight="1" x14ac:dyDescent="0.25">
      <c r="A731" s="238">
        <v>45281.972881134257</v>
      </c>
      <c r="B731" s="233" t="s">
        <v>384</v>
      </c>
      <c r="C731" s="232" t="s">
        <v>587</v>
      </c>
      <c r="D731" s="232" t="s">
        <v>17</v>
      </c>
      <c r="E731" s="232" t="s">
        <v>605</v>
      </c>
      <c r="F731" s="209" t="s">
        <v>1304</v>
      </c>
      <c r="G731" s="232" t="s">
        <v>18</v>
      </c>
      <c r="H731" s="232">
        <v>18</v>
      </c>
      <c r="I731" s="209" t="s">
        <v>518</v>
      </c>
      <c r="J731" s="209" t="s">
        <v>560</v>
      </c>
      <c r="K731" s="209" t="s">
        <v>560</v>
      </c>
      <c r="L731" s="209" t="s">
        <v>518</v>
      </c>
      <c r="M731" s="209" t="s">
        <v>375</v>
      </c>
      <c r="N731" s="209" t="s">
        <v>375</v>
      </c>
      <c r="O731" s="232" t="s">
        <v>518</v>
      </c>
      <c r="P731" s="209" t="s">
        <v>816</v>
      </c>
      <c r="Q731" s="209" t="s">
        <v>25</v>
      </c>
      <c r="R731" s="209" t="s">
        <v>25</v>
      </c>
      <c r="S731" s="234" t="s">
        <v>25</v>
      </c>
      <c r="T731" s="209" t="s">
        <v>25</v>
      </c>
      <c r="U731" s="209" t="s">
        <v>25</v>
      </c>
      <c r="V731" s="234" t="s">
        <v>25</v>
      </c>
      <c r="W731" s="209" t="s">
        <v>25</v>
      </c>
      <c r="X731" s="209" t="s">
        <v>25</v>
      </c>
      <c r="Y731" s="234" t="s">
        <v>25</v>
      </c>
      <c r="Z731" s="209" t="s">
        <v>25</v>
      </c>
      <c r="AA731" s="209" t="s">
        <v>306</v>
      </c>
      <c r="AB731" s="234" t="s">
        <v>25</v>
      </c>
      <c r="AC731" s="235" t="s">
        <v>25</v>
      </c>
      <c r="AD731" s="209" t="s">
        <v>306</v>
      </c>
      <c r="AE731" s="209" t="s">
        <v>306</v>
      </c>
      <c r="AF731" s="234" t="s">
        <v>306</v>
      </c>
      <c r="AG731" s="209" t="s">
        <v>306</v>
      </c>
      <c r="AH731" s="209" t="s">
        <v>306</v>
      </c>
      <c r="AI731" s="234" t="s">
        <v>306</v>
      </c>
      <c r="AJ731" s="209" t="s">
        <v>25</v>
      </c>
      <c r="AK731" s="209" t="s">
        <v>25</v>
      </c>
      <c r="AL731" s="234" t="s">
        <v>25</v>
      </c>
      <c r="AM731" s="209" t="s">
        <v>306</v>
      </c>
      <c r="AN731" s="209" t="s">
        <v>306</v>
      </c>
      <c r="AO731" s="234" t="s">
        <v>306</v>
      </c>
      <c r="AP731" s="235" t="s">
        <v>306</v>
      </c>
      <c r="AQ731" s="209" t="s">
        <v>25</v>
      </c>
      <c r="AR731" s="209" t="s">
        <v>25</v>
      </c>
      <c r="AS731" s="234" t="s">
        <v>25</v>
      </c>
      <c r="AT731" s="209" t="s">
        <v>25</v>
      </c>
      <c r="AU731" s="209" t="s">
        <v>25</v>
      </c>
      <c r="AV731" s="234" t="s">
        <v>25</v>
      </c>
      <c r="AW731" s="209" t="s">
        <v>25</v>
      </c>
      <c r="AX731" s="209" t="s">
        <v>25</v>
      </c>
      <c r="AY731" s="234" t="s">
        <v>25</v>
      </c>
      <c r="AZ731" s="209" t="s">
        <v>25</v>
      </c>
      <c r="BA731" s="209" t="s">
        <v>25</v>
      </c>
      <c r="BB731" s="234" t="s">
        <v>25</v>
      </c>
      <c r="BC731" s="235" t="s">
        <v>25</v>
      </c>
      <c r="BD731" s="209"/>
    </row>
    <row r="732" spans="1:56" ht="12.75" customHeight="1" x14ac:dyDescent="0.25">
      <c r="A732" s="238">
        <v>45281.976051111109</v>
      </c>
      <c r="B732" s="233" t="s">
        <v>384</v>
      </c>
      <c r="C732" s="232" t="s">
        <v>587</v>
      </c>
      <c r="D732" s="232" t="s">
        <v>17</v>
      </c>
      <c r="E732" s="232" t="s">
        <v>605</v>
      </c>
      <c r="F732" s="209" t="s">
        <v>1305</v>
      </c>
      <c r="G732" s="232" t="s">
        <v>18</v>
      </c>
      <c r="H732" s="232">
        <v>16</v>
      </c>
      <c r="I732" s="209" t="s">
        <v>518</v>
      </c>
      <c r="J732" s="209" t="s">
        <v>560</v>
      </c>
      <c r="K732" s="209" t="s">
        <v>560</v>
      </c>
      <c r="L732" s="209" t="s">
        <v>518</v>
      </c>
      <c r="M732" s="209" t="s">
        <v>401</v>
      </c>
      <c r="N732" s="209" t="s">
        <v>375</v>
      </c>
      <c r="O732" s="232" t="s">
        <v>531</v>
      </c>
      <c r="P732" s="188"/>
      <c r="Q732" s="209" t="s">
        <v>306</v>
      </c>
      <c r="R732" s="209" t="s">
        <v>25</v>
      </c>
      <c r="S732" s="234" t="s">
        <v>25</v>
      </c>
      <c r="T732" s="209" t="s">
        <v>25</v>
      </c>
      <c r="U732" s="209" t="s">
        <v>25</v>
      </c>
      <c r="V732" s="234" t="s">
        <v>25</v>
      </c>
      <c r="W732" s="209" t="s">
        <v>306</v>
      </c>
      <c r="X732" s="209" t="s">
        <v>25</v>
      </c>
      <c r="Y732" s="234" t="s">
        <v>25</v>
      </c>
      <c r="Z732" s="209" t="s">
        <v>306</v>
      </c>
      <c r="AA732" s="209" t="s">
        <v>306</v>
      </c>
      <c r="AB732" s="234" t="s">
        <v>306</v>
      </c>
      <c r="AC732" s="235" t="s">
        <v>25</v>
      </c>
      <c r="AD732" s="209" t="s">
        <v>306</v>
      </c>
      <c r="AE732" s="209" t="s">
        <v>25</v>
      </c>
      <c r="AF732" s="234" t="s">
        <v>25</v>
      </c>
      <c r="AG732" s="209" t="s">
        <v>306</v>
      </c>
      <c r="AH732" s="209" t="s">
        <v>306</v>
      </c>
      <c r="AI732" s="234" t="s">
        <v>306</v>
      </c>
      <c r="AJ732" s="209" t="s">
        <v>306</v>
      </c>
      <c r="AK732" s="209" t="s">
        <v>306</v>
      </c>
      <c r="AL732" s="234" t="s">
        <v>306</v>
      </c>
      <c r="AM732" s="209" t="s">
        <v>306</v>
      </c>
      <c r="AN732" s="209" t="s">
        <v>19</v>
      </c>
      <c r="AO732" s="234" t="s">
        <v>306</v>
      </c>
      <c r="AP732" s="235" t="s">
        <v>306</v>
      </c>
      <c r="AQ732" s="209" t="s">
        <v>306</v>
      </c>
      <c r="AR732" s="209" t="s">
        <v>306</v>
      </c>
      <c r="AS732" s="234" t="s">
        <v>306</v>
      </c>
      <c r="AT732" s="209" t="s">
        <v>25</v>
      </c>
      <c r="AU732" s="209" t="s">
        <v>306</v>
      </c>
      <c r="AV732" s="234" t="s">
        <v>25</v>
      </c>
      <c r="AW732" s="209" t="s">
        <v>306</v>
      </c>
      <c r="AX732" s="209" t="s">
        <v>25</v>
      </c>
      <c r="AY732" s="234" t="s">
        <v>25</v>
      </c>
      <c r="AZ732" s="209" t="s">
        <v>306</v>
      </c>
      <c r="BA732" s="209" t="s">
        <v>306</v>
      </c>
      <c r="BB732" s="234" t="s">
        <v>25</v>
      </c>
      <c r="BC732" s="235" t="s">
        <v>25</v>
      </c>
      <c r="BD732" s="209"/>
    </row>
    <row r="733" spans="1:56" ht="12.75" customHeight="1" x14ac:dyDescent="0.25">
      <c r="A733" s="238">
        <v>45281.979326493056</v>
      </c>
      <c r="B733" s="233" t="s">
        <v>384</v>
      </c>
      <c r="C733" s="232" t="s">
        <v>587</v>
      </c>
      <c r="D733" s="232" t="s">
        <v>17</v>
      </c>
      <c r="E733" s="232" t="s">
        <v>605</v>
      </c>
      <c r="F733" s="209" t="s">
        <v>1306</v>
      </c>
      <c r="G733" s="232" t="s">
        <v>24</v>
      </c>
      <c r="H733" s="232">
        <v>17</v>
      </c>
      <c r="I733" s="209" t="s">
        <v>518</v>
      </c>
      <c r="J733" s="209" t="s">
        <v>560</v>
      </c>
      <c r="K733" s="209" t="s">
        <v>560</v>
      </c>
      <c r="L733" s="209" t="s">
        <v>518</v>
      </c>
      <c r="M733" s="209" t="s">
        <v>401</v>
      </c>
      <c r="N733" s="209" t="s">
        <v>375</v>
      </c>
      <c r="O733" s="232" t="s">
        <v>531</v>
      </c>
      <c r="P733" s="188"/>
      <c r="Q733" s="209" t="s">
        <v>306</v>
      </c>
      <c r="R733" s="209" t="s">
        <v>25</v>
      </c>
      <c r="S733" s="234" t="s">
        <v>25</v>
      </c>
      <c r="T733" s="209" t="s">
        <v>25</v>
      </c>
      <c r="U733" s="209" t="s">
        <v>25</v>
      </c>
      <c r="V733" s="234" t="s">
        <v>25</v>
      </c>
      <c r="W733" s="209" t="s">
        <v>306</v>
      </c>
      <c r="X733" s="209" t="s">
        <v>25</v>
      </c>
      <c r="Y733" s="234" t="s">
        <v>25</v>
      </c>
      <c r="Z733" s="209" t="s">
        <v>306</v>
      </c>
      <c r="AA733" s="209" t="s">
        <v>306</v>
      </c>
      <c r="AB733" s="234" t="s">
        <v>306</v>
      </c>
      <c r="AC733" s="235" t="s">
        <v>25</v>
      </c>
      <c r="AD733" s="209" t="s">
        <v>306</v>
      </c>
      <c r="AE733" s="209" t="s">
        <v>306</v>
      </c>
      <c r="AF733" s="234" t="s">
        <v>306</v>
      </c>
      <c r="AG733" s="209" t="s">
        <v>306</v>
      </c>
      <c r="AH733" s="209" t="s">
        <v>306</v>
      </c>
      <c r="AI733" s="234" t="s">
        <v>306</v>
      </c>
      <c r="AJ733" s="209" t="s">
        <v>25</v>
      </c>
      <c r="AK733" s="209" t="s">
        <v>306</v>
      </c>
      <c r="AL733" s="234" t="s">
        <v>25</v>
      </c>
      <c r="AM733" s="209" t="s">
        <v>306</v>
      </c>
      <c r="AN733" s="209" t="s">
        <v>306</v>
      </c>
      <c r="AO733" s="234" t="s">
        <v>306</v>
      </c>
      <c r="AP733" s="235" t="s">
        <v>306</v>
      </c>
      <c r="AQ733" s="209" t="s">
        <v>25</v>
      </c>
      <c r="AR733" s="209" t="s">
        <v>25</v>
      </c>
      <c r="AS733" s="234" t="s">
        <v>25</v>
      </c>
      <c r="AT733" s="209" t="s">
        <v>25</v>
      </c>
      <c r="AU733" s="209" t="s">
        <v>306</v>
      </c>
      <c r="AV733" s="234" t="s">
        <v>25</v>
      </c>
      <c r="AW733" s="209" t="s">
        <v>306</v>
      </c>
      <c r="AX733" s="209" t="s">
        <v>306</v>
      </c>
      <c r="AY733" s="234" t="s">
        <v>306</v>
      </c>
      <c r="AZ733" s="209" t="s">
        <v>25</v>
      </c>
      <c r="BA733" s="209" t="s">
        <v>25</v>
      </c>
      <c r="BB733" s="234" t="s">
        <v>25</v>
      </c>
      <c r="BC733" s="235" t="s">
        <v>25</v>
      </c>
      <c r="BD733" s="209"/>
    </row>
    <row r="734" spans="1:56" ht="12.75" customHeight="1" x14ac:dyDescent="0.25">
      <c r="A734" s="211">
        <v>3</v>
      </c>
      <c r="B734" s="137" t="s">
        <v>384</v>
      </c>
      <c r="C734" s="211" t="s">
        <v>595</v>
      </c>
      <c r="D734" s="211" t="s">
        <v>17</v>
      </c>
      <c r="E734" s="232" t="s">
        <v>605</v>
      </c>
      <c r="F734" s="188" t="s">
        <v>1307</v>
      </c>
      <c r="G734" s="211" t="s">
        <v>18</v>
      </c>
      <c r="H734" s="211">
        <v>15</v>
      </c>
      <c r="I734" s="188" t="s">
        <v>518</v>
      </c>
      <c r="J734" s="188" t="s">
        <v>560</v>
      </c>
      <c r="K734" s="209" t="s">
        <v>560</v>
      </c>
      <c r="L734" s="188" t="s">
        <v>531</v>
      </c>
      <c r="M734" s="188" t="s">
        <v>666</v>
      </c>
      <c r="N734" s="188"/>
      <c r="O734" s="211" t="s">
        <v>518</v>
      </c>
      <c r="P734" s="188" t="s">
        <v>671</v>
      </c>
      <c r="Q734" s="188" t="s">
        <v>25</v>
      </c>
      <c r="R734" s="188" t="s">
        <v>25</v>
      </c>
      <c r="S734" s="234" t="s">
        <v>25</v>
      </c>
      <c r="T734" s="188" t="s">
        <v>306</v>
      </c>
      <c r="U734" s="188" t="s">
        <v>25</v>
      </c>
      <c r="V734" s="234" t="s">
        <v>25</v>
      </c>
      <c r="W734" s="188" t="s">
        <v>306</v>
      </c>
      <c r="X734" s="188" t="s">
        <v>306</v>
      </c>
      <c r="Y734" s="234" t="s">
        <v>306</v>
      </c>
      <c r="Z734" s="188" t="s">
        <v>25</v>
      </c>
      <c r="AA734" s="188" t="s">
        <v>25</v>
      </c>
      <c r="AB734" s="234" t="s">
        <v>25</v>
      </c>
      <c r="AC734" s="235" t="s">
        <v>25</v>
      </c>
      <c r="AD734" s="188" t="s">
        <v>19</v>
      </c>
      <c r="AE734" s="188" t="s">
        <v>306</v>
      </c>
      <c r="AF734" s="234" t="s">
        <v>306</v>
      </c>
      <c r="AG734" s="188" t="s">
        <v>306</v>
      </c>
      <c r="AH734" s="188" t="s">
        <v>306</v>
      </c>
      <c r="AI734" s="234" t="s">
        <v>306</v>
      </c>
      <c r="AJ734" s="188" t="s">
        <v>25</v>
      </c>
      <c r="AK734" s="188" t="s">
        <v>306</v>
      </c>
      <c r="AL734" s="234" t="s">
        <v>25</v>
      </c>
      <c r="AM734" s="188" t="s">
        <v>19</v>
      </c>
      <c r="AN734" s="188" t="s">
        <v>19</v>
      </c>
      <c r="AO734" s="234" t="s">
        <v>19</v>
      </c>
      <c r="AP734" s="235" t="s">
        <v>306</v>
      </c>
      <c r="AQ734" s="188" t="s">
        <v>25</v>
      </c>
      <c r="AR734" s="188" t="s">
        <v>25</v>
      </c>
      <c r="AS734" s="234" t="s">
        <v>25</v>
      </c>
      <c r="AT734" s="188" t="s">
        <v>25</v>
      </c>
      <c r="AU734" s="188" t="s">
        <v>25</v>
      </c>
      <c r="AV734" s="234" t="s">
        <v>25</v>
      </c>
      <c r="AW734" s="188" t="s">
        <v>306</v>
      </c>
      <c r="AX734" s="188" t="s">
        <v>25</v>
      </c>
      <c r="AY734" s="234" t="s">
        <v>25</v>
      </c>
      <c r="AZ734" s="188" t="s">
        <v>306</v>
      </c>
      <c r="BA734" s="188" t="s">
        <v>25</v>
      </c>
      <c r="BB734" s="234" t="s">
        <v>25</v>
      </c>
      <c r="BC734" s="235" t="s">
        <v>25</v>
      </c>
      <c r="BD734" s="209"/>
    </row>
    <row r="735" spans="1:56" ht="12.75" customHeight="1" x14ac:dyDescent="0.25">
      <c r="A735" s="211">
        <v>4</v>
      </c>
      <c r="B735" s="137" t="s">
        <v>384</v>
      </c>
      <c r="C735" s="211" t="s">
        <v>595</v>
      </c>
      <c r="D735" s="211" t="s">
        <v>17</v>
      </c>
      <c r="E735" s="232" t="s">
        <v>605</v>
      </c>
      <c r="F735" s="188" t="s">
        <v>1308</v>
      </c>
      <c r="G735" s="211" t="s">
        <v>18</v>
      </c>
      <c r="H735" s="211">
        <v>16</v>
      </c>
      <c r="I735" s="188" t="s">
        <v>518</v>
      </c>
      <c r="J735" s="188" t="s">
        <v>560</v>
      </c>
      <c r="K735" s="209" t="s">
        <v>560</v>
      </c>
      <c r="L735" s="188" t="s">
        <v>531</v>
      </c>
      <c r="M735" s="188" t="s">
        <v>666</v>
      </c>
      <c r="N735" s="188"/>
      <c r="O735" s="211" t="s">
        <v>531</v>
      </c>
      <c r="P735" s="188" t="s">
        <v>640</v>
      </c>
      <c r="Q735" s="188" t="s">
        <v>25</v>
      </c>
      <c r="R735" s="188" t="s">
        <v>25</v>
      </c>
      <c r="S735" s="234" t="s">
        <v>25</v>
      </c>
      <c r="T735" s="188" t="s">
        <v>25</v>
      </c>
      <c r="U735" s="188" t="s">
        <v>25</v>
      </c>
      <c r="V735" s="234" t="s">
        <v>25</v>
      </c>
      <c r="W735" s="188" t="s">
        <v>25</v>
      </c>
      <c r="X735" s="188" t="s">
        <v>306</v>
      </c>
      <c r="Y735" s="234" t="s">
        <v>25</v>
      </c>
      <c r="Z735" s="188" t="s">
        <v>25</v>
      </c>
      <c r="AA735" s="188" t="s">
        <v>25</v>
      </c>
      <c r="AB735" s="234" t="s">
        <v>25</v>
      </c>
      <c r="AC735" s="235" t="s">
        <v>25</v>
      </c>
      <c r="AD735" s="188" t="s">
        <v>25</v>
      </c>
      <c r="AE735" s="188" t="s">
        <v>25</v>
      </c>
      <c r="AF735" s="234" t="s">
        <v>25</v>
      </c>
      <c r="AG735" s="188" t="s">
        <v>306</v>
      </c>
      <c r="AH735" s="188" t="s">
        <v>306</v>
      </c>
      <c r="AI735" s="234" t="s">
        <v>306</v>
      </c>
      <c r="AJ735" s="188" t="s">
        <v>25</v>
      </c>
      <c r="AK735" s="188" t="s">
        <v>306</v>
      </c>
      <c r="AL735" s="234" t="s">
        <v>25</v>
      </c>
      <c r="AM735" s="188" t="s">
        <v>306</v>
      </c>
      <c r="AN735" s="188" t="s">
        <v>19</v>
      </c>
      <c r="AO735" s="234" t="s">
        <v>306</v>
      </c>
      <c r="AP735" s="235" t="s">
        <v>306</v>
      </c>
      <c r="AQ735" s="188" t="s">
        <v>25</v>
      </c>
      <c r="AR735" s="188" t="s">
        <v>25</v>
      </c>
      <c r="AS735" s="234" t="s">
        <v>25</v>
      </c>
      <c r="AT735" s="188" t="s">
        <v>25</v>
      </c>
      <c r="AU735" s="188" t="s">
        <v>25</v>
      </c>
      <c r="AV735" s="234" t="s">
        <v>25</v>
      </c>
      <c r="AW735" s="188" t="s">
        <v>25</v>
      </c>
      <c r="AX735" s="188" t="s">
        <v>306</v>
      </c>
      <c r="AY735" s="234" t="s">
        <v>25</v>
      </c>
      <c r="AZ735" s="188" t="s">
        <v>25</v>
      </c>
      <c r="BA735" s="188" t="s">
        <v>25</v>
      </c>
      <c r="BB735" s="234" t="s">
        <v>25</v>
      </c>
      <c r="BC735" s="235" t="s">
        <v>25</v>
      </c>
      <c r="BD735" s="209"/>
    </row>
    <row r="736" spans="1:56" ht="12.75" customHeight="1" x14ac:dyDescent="0.25">
      <c r="A736" s="211">
        <v>7</v>
      </c>
      <c r="B736" s="137" t="s">
        <v>384</v>
      </c>
      <c r="C736" s="211" t="s">
        <v>595</v>
      </c>
      <c r="D736" s="211" t="s">
        <v>17</v>
      </c>
      <c r="E736" s="232" t="s">
        <v>605</v>
      </c>
      <c r="F736" s="188" t="s">
        <v>1309</v>
      </c>
      <c r="G736" s="211" t="s">
        <v>24</v>
      </c>
      <c r="H736" s="211">
        <v>16</v>
      </c>
      <c r="I736" s="188" t="s">
        <v>518</v>
      </c>
      <c r="J736" s="188" t="s">
        <v>560</v>
      </c>
      <c r="K736" s="209" t="s">
        <v>560</v>
      </c>
      <c r="L736" s="188" t="s">
        <v>531</v>
      </c>
      <c r="M736" s="188" t="s">
        <v>666</v>
      </c>
      <c r="N736" s="188"/>
      <c r="O736" s="211" t="s">
        <v>531</v>
      </c>
      <c r="P736" s="188" t="s">
        <v>640</v>
      </c>
      <c r="Q736" s="188" t="s">
        <v>306</v>
      </c>
      <c r="R736" s="188" t="s">
        <v>25</v>
      </c>
      <c r="S736" s="234" t="s">
        <v>25</v>
      </c>
      <c r="T736" s="188" t="s">
        <v>25</v>
      </c>
      <c r="U736" s="188" t="s">
        <v>25</v>
      </c>
      <c r="V736" s="234" t="s">
        <v>25</v>
      </c>
      <c r="W736" s="188" t="s">
        <v>25</v>
      </c>
      <c r="X736" s="188" t="s">
        <v>306</v>
      </c>
      <c r="Y736" s="234" t="s">
        <v>25</v>
      </c>
      <c r="Z736" s="188" t="s">
        <v>25</v>
      </c>
      <c r="AA736" s="188" t="s">
        <v>25</v>
      </c>
      <c r="AB736" s="234" t="s">
        <v>25</v>
      </c>
      <c r="AC736" s="235" t="s">
        <v>25</v>
      </c>
      <c r="AD736" s="188" t="s">
        <v>306</v>
      </c>
      <c r="AE736" s="188" t="s">
        <v>25</v>
      </c>
      <c r="AF736" s="234" t="s">
        <v>25</v>
      </c>
      <c r="AG736" s="188" t="s">
        <v>306</v>
      </c>
      <c r="AH736" s="188" t="s">
        <v>306</v>
      </c>
      <c r="AI736" s="234" t="s">
        <v>306</v>
      </c>
      <c r="AJ736" s="188" t="s">
        <v>25</v>
      </c>
      <c r="AK736" s="188" t="s">
        <v>306</v>
      </c>
      <c r="AL736" s="234" t="s">
        <v>25</v>
      </c>
      <c r="AM736" s="188" t="s">
        <v>306</v>
      </c>
      <c r="AN736" s="188" t="s">
        <v>306</v>
      </c>
      <c r="AO736" s="234" t="s">
        <v>306</v>
      </c>
      <c r="AP736" s="235" t="s">
        <v>306</v>
      </c>
      <c r="AQ736" s="188" t="s">
        <v>25</v>
      </c>
      <c r="AR736" s="188" t="s">
        <v>25</v>
      </c>
      <c r="AS736" s="234" t="s">
        <v>25</v>
      </c>
      <c r="AT736" s="188" t="s">
        <v>25</v>
      </c>
      <c r="AU736" s="188" t="s">
        <v>25</v>
      </c>
      <c r="AV736" s="234" t="s">
        <v>25</v>
      </c>
      <c r="AW736" s="188" t="s">
        <v>25</v>
      </c>
      <c r="AX736" s="188" t="s">
        <v>25</v>
      </c>
      <c r="AY736" s="234" t="s">
        <v>25</v>
      </c>
      <c r="AZ736" s="188" t="s">
        <v>25</v>
      </c>
      <c r="BA736" s="188" t="s">
        <v>25</v>
      </c>
      <c r="BB736" s="234" t="s">
        <v>25</v>
      </c>
      <c r="BC736" s="235" t="s">
        <v>25</v>
      </c>
      <c r="BD736" s="209"/>
    </row>
    <row r="737" spans="1:56" ht="12.75" customHeight="1" x14ac:dyDescent="0.25">
      <c r="A737" s="211">
        <v>16</v>
      </c>
      <c r="B737" s="137" t="s">
        <v>384</v>
      </c>
      <c r="C737" s="211" t="s">
        <v>595</v>
      </c>
      <c r="D737" s="211" t="s">
        <v>17</v>
      </c>
      <c r="E737" s="232" t="s">
        <v>605</v>
      </c>
      <c r="F737" s="188" t="s">
        <v>1310</v>
      </c>
      <c r="G737" s="211" t="s">
        <v>24</v>
      </c>
      <c r="H737" s="211">
        <v>16</v>
      </c>
      <c r="I737" s="188" t="s">
        <v>518</v>
      </c>
      <c r="J737" s="188" t="s">
        <v>560</v>
      </c>
      <c r="K737" s="209" t="s">
        <v>560</v>
      </c>
      <c r="L737" s="188" t="s">
        <v>518</v>
      </c>
      <c r="M737" s="188" t="s">
        <v>412</v>
      </c>
      <c r="N737" s="188"/>
      <c r="O737" s="211" t="s">
        <v>531</v>
      </c>
      <c r="P737" s="188" t="s">
        <v>640</v>
      </c>
      <c r="Q737" s="188" t="s">
        <v>306</v>
      </c>
      <c r="R737" s="188" t="s">
        <v>306</v>
      </c>
      <c r="S737" s="234" t="s">
        <v>306</v>
      </c>
      <c r="T737" s="188" t="s">
        <v>306</v>
      </c>
      <c r="U737" s="188" t="s">
        <v>306</v>
      </c>
      <c r="V737" s="234" t="s">
        <v>306</v>
      </c>
      <c r="W737" s="188" t="s">
        <v>19</v>
      </c>
      <c r="X737" s="188" t="s">
        <v>306</v>
      </c>
      <c r="Y737" s="234" t="s">
        <v>306</v>
      </c>
      <c r="Z737" s="188" t="s">
        <v>19</v>
      </c>
      <c r="AA737" s="188" t="s">
        <v>19</v>
      </c>
      <c r="AB737" s="234" t="s">
        <v>19</v>
      </c>
      <c r="AC737" s="235" t="s">
        <v>306</v>
      </c>
      <c r="AD737" s="188" t="s">
        <v>19</v>
      </c>
      <c r="AE737" s="188" t="s">
        <v>19</v>
      </c>
      <c r="AF737" s="234" t="s">
        <v>19</v>
      </c>
      <c r="AG737" s="188" t="s">
        <v>19</v>
      </c>
      <c r="AH737" s="188" t="s">
        <v>19</v>
      </c>
      <c r="AI737" s="234" t="s">
        <v>19</v>
      </c>
      <c r="AJ737" s="188" t="s">
        <v>306</v>
      </c>
      <c r="AK737" s="188" t="s">
        <v>19</v>
      </c>
      <c r="AL737" s="234" t="s">
        <v>306</v>
      </c>
      <c r="AM737" s="188" t="s">
        <v>19</v>
      </c>
      <c r="AN737" s="188" t="s">
        <v>19</v>
      </c>
      <c r="AO737" s="234" t="s">
        <v>19</v>
      </c>
      <c r="AP737" s="235" t="s">
        <v>19</v>
      </c>
      <c r="AQ737" s="188" t="s">
        <v>306</v>
      </c>
      <c r="AR737" s="188" t="s">
        <v>19</v>
      </c>
      <c r="AS737" s="234" t="s">
        <v>306</v>
      </c>
      <c r="AT737" s="188" t="s">
        <v>25</v>
      </c>
      <c r="AU737" s="188" t="s">
        <v>25</v>
      </c>
      <c r="AV737" s="234" t="s">
        <v>25</v>
      </c>
      <c r="AW737" s="188" t="s">
        <v>306</v>
      </c>
      <c r="AX737" s="188" t="s">
        <v>306</v>
      </c>
      <c r="AY737" s="234" t="s">
        <v>306</v>
      </c>
      <c r="AZ737" s="188" t="s">
        <v>306</v>
      </c>
      <c r="BA737" s="188" t="s">
        <v>306</v>
      </c>
      <c r="BB737" s="234" t="s">
        <v>306</v>
      </c>
      <c r="BC737" s="235" t="s">
        <v>19</v>
      </c>
      <c r="BD737" s="209"/>
    </row>
    <row r="738" spans="1:56" ht="12.75" customHeight="1" x14ac:dyDescent="0.25">
      <c r="A738" s="211">
        <v>23</v>
      </c>
      <c r="B738" s="137" t="s">
        <v>384</v>
      </c>
      <c r="C738" s="211" t="s">
        <v>595</v>
      </c>
      <c r="D738" s="211" t="s">
        <v>17</v>
      </c>
      <c r="E738" s="232" t="s">
        <v>605</v>
      </c>
      <c r="F738" s="188" t="s">
        <v>1311</v>
      </c>
      <c r="G738" s="211" t="s">
        <v>18</v>
      </c>
      <c r="H738" s="211">
        <v>19</v>
      </c>
      <c r="I738" s="188" t="s">
        <v>518</v>
      </c>
      <c r="J738" s="188" t="s">
        <v>560</v>
      </c>
      <c r="K738" s="209" t="s">
        <v>560</v>
      </c>
      <c r="L738" s="188" t="s">
        <v>518</v>
      </c>
      <c r="M738" s="188" t="s">
        <v>412</v>
      </c>
      <c r="N738" s="188"/>
      <c r="O738" s="211" t="s">
        <v>531</v>
      </c>
      <c r="P738" s="188" t="s">
        <v>640</v>
      </c>
      <c r="Q738" s="188" t="s">
        <v>306</v>
      </c>
      <c r="R738" s="188" t="s">
        <v>19</v>
      </c>
      <c r="S738" s="234" t="s">
        <v>306</v>
      </c>
      <c r="T738" s="188" t="s">
        <v>306</v>
      </c>
      <c r="U738" s="188" t="s">
        <v>306</v>
      </c>
      <c r="V738" s="234" t="s">
        <v>306</v>
      </c>
      <c r="W738" s="188" t="s">
        <v>19</v>
      </c>
      <c r="X738" s="188" t="s">
        <v>306</v>
      </c>
      <c r="Y738" s="234" t="s">
        <v>306</v>
      </c>
      <c r="Z738" s="188" t="s">
        <v>19</v>
      </c>
      <c r="AA738" s="188" t="s">
        <v>306</v>
      </c>
      <c r="AB738" s="234" t="s">
        <v>306</v>
      </c>
      <c r="AC738" s="235" t="s">
        <v>306</v>
      </c>
      <c r="AD738" s="188" t="s">
        <v>25</v>
      </c>
      <c r="AE738" s="188" t="s">
        <v>19</v>
      </c>
      <c r="AF738" s="234" t="s">
        <v>306</v>
      </c>
      <c r="AG738" s="188" t="s">
        <v>19</v>
      </c>
      <c r="AH738" s="188" t="s">
        <v>306</v>
      </c>
      <c r="AI738" s="234" t="s">
        <v>306</v>
      </c>
      <c r="AJ738" s="188" t="s">
        <v>19</v>
      </c>
      <c r="AK738" s="188" t="s">
        <v>19</v>
      </c>
      <c r="AL738" s="234" t="s">
        <v>19</v>
      </c>
      <c r="AM738" s="188" t="s">
        <v>19</v>
      </c>
      <c r="AN738" s="188" t="s">
        <v>306</v>
      </c>
      <c r="AO738" s="234" t="s">
        <v>306</v>
      </c>
      <c r="AP738" s="235" t="s">
        <v>306</v>
      </c>
      <c r="AQ738" s="188" t="s">
        <v>19</v>
      </c>
      <c r="AR738" s="188" t="s">
        <v>306</v>
      </c>
      <c r="AS738" s="234" t="s">
        <v>306</v>
      </c>
      <c r="AT738" s="188" t="s">
        <v>25</v>
      </c>
      <c r="AU738" s="188" t="s">
        <v>19</v>
      </c>
      <c r="AV738" s="234" t="s">
        <v>306</v>
      </c>
      <c r="AW738" s="188" t="s">
        <v>19</v>
      </c>
      <c r="AX738" s="188" t="s">
        <v>19</v>
      </c>
      <c r="AY738" s="234" t="s">
        <v>19</v>
      </c>
      <c r="AZ738" s="188" t="s">
        <v>19</v>
      </c>
      <c r="BA738" s="188" t="s">
        <v>19</v>
      </c>
      <c r="BB738" s="234" t="s">
        <v>25</v>
      </c>
      <c r="BC738" s="235" t="s">
        <v>25</v>
      </c>
      <c r="BD738" s="209"/>
    </row>
    <row r="739" spans="1:56" ht="12.75" customHeight="1" x14ac:dyDescent="0.25">
      <c r="A739" s="211">
        <v>30</v>
      </c>
      <c r="B739" s="137" t="s">
        <v>384</v>
      </c>
      <c r="C739" s="211" t="s">
        <v>595</v>
      </c>
      <c r="D739" s="211" t="s">
        <v>17</v>
      </c>
      <c r="E739" s="232" t="s">
        <v>605</v>
      </c>
      <c r="F739" s="188" t="s">
        <v>1312</v>
      </c>
      <c r="G739" s="211" t="s">
        <v>18</v>
      </c>
      <c r="H739" s="211">
        <v>17</v>
      </c>
      <c r="I739" s="188" t="s">
        <v>518</v>
      </c>
      <c r="J739" s="188" t="s">
        <v>560</v>
      </c>
      <c r="K739" s="209" t="s">
        <v>560</v>
      </c>
      <c r="L739" s="188" t="s">
        <v>518</v>
      </c>
      <c r="M739" s="188" t="s">
        <v>412</v>
      </c>
      <c r="N739" s="188"/>
      <c r="O739" s="211" t="s">
        <v>531</v>
      </c>
      <c r="P739" s="188" t="s">
        <v>640</v>
      </c>
      <c r="Q739" s="188" t="s">
        <v>25</v>
      </c>
      <c r="R739" s="188" t="s">
        <v>25</v>
      </c>
      <c r="S739" s="234" t="s">
        <v>25</v>
      </c>
      <c r="T739" s="188" t="s">
        <v>306</v>
      </c>
      <c r="U739" s="188" t="s">
        <v>306</v>
      </c>
      <c r="V739" s="234" t="s">
        <v>306</v>
      </c>
      <c r="W739" s="188" t="s">
        <v>306</v>
      </c>
      <c r="X739" s="188" t="s">
        <v>306</v>
      </c>
      <c r="Y739" s="234" t="s">
        <v>306</v>
      </c>
      <c r="Z739" s="188" t="s">
        <v>25</v>
      </c>
      <c r="AA739" s="188" t="s">
        <v>25</v>
      </c>
      <c r="AB739" s="234" t="s">
        <v>25</v>
      </c>
      <c r="AC739" s="235" t="s">
        <v>25</v>
      </c>
      <c r="AD739" s="188" t="s">
        <v>306</v>
      </c>
      <c r="AE739" s="188" t="s">
        <v>306</v>
      </c>
      <c r="AF739" s="234" t="s">
        <v>306</v>
      </c>
      <c r="AG739" s="188" t="s">
        <v>306</v>
      </c>
      <c r="AH739" s="188" t="s">
        <v>306</v>
      </c>
      <c r="AI739" s="234" t="s">
        <v>306</v>
      </c>
      <c r="AJ739" s="188" t="s">
        <v>306</v>
      </c>
      <c r="AK739" s="188" t="s">
        <v>306</v>
      </c>
      <c r="AL739" s="234" t="s">
        <v>306</v>
      </c>
      <c r="AM739" s="188" t="s">
        <v>19</v>
      </c>
      <c r="AN739" s="188" t="s">
        <v>19</v>
      </c>
      <c r="AO739" s="234" t="s">
        <v>19</v>
      </c>
      <c r="AP739" s="235" t="s">
        <v>306</v>
      </c>
      <c r="AQ739" s="188" t="s">
        <v>25</v>
      </c>
      <c r="AR739" s="188" t="s">
        <v>306</v>
      </c>
      <c r="AS739" s="234" t="s">
        <v>25</v>
      </c>
      <c r="AT739" s="188" t="s">
        <v>25</v>
      </c>
      <c r="AU739" s="188" t="s">
        <v>25</v>
      </c>
      <c r="AV739" s="234" t="s">
        <v>25</v>
      </c>
      <c r="AW739" s="188" t="s">
        <v>25</v>
      </c>
      <c r="AX739" s="188" t="s">
        <v>25</v>
      </c>
      <c r="AY739" s="234" t="s">
        <v>25</v>
      </c>
      <c r="AZ739" s="188" t="s">
        <v>25</v>
      </c>
      <c r="BA739" s="188" t="s">
        <v>25</v>
      </c>
      <c r="BB739" s="234" t="s">
        <v>306</v>
      </c>
      <c r="BC739" s="235" t="s">
        <v>306</v>
      </c>
      <c r="BD739" s="209"/>
    </row>
    <row r="740" spans="1:56" ht="12.75" customHeight="1" x14ac:dyDescent="0.25">
      <c r="A740" s="211">
        <v>32</v>
      </c>
      <c r="B740" s="137" t="s">
        <v>384</v>
      </c>
      <c r="C740" s="211" t="s">
        <v>595</v>
      </c>
      <c r="D740" s="211" t="s">
        <v>17</v>
      </c>
      <c r="E740" s="232" t="s">
        <v>605</v>
      </c>
      <c r="F740" s="188" t="s">
        <v>1313</v>
      </c>
      <c r="G740" s="211" t="s">
        <v>18</v>
      </c>
      <c r="H740" s="211">
        <v>15</v>
      </c>
      <c r="I740" s="188" t="s">
        <v>518</v>
      </c>
      <c r="J740" s="188" t="s">
        <v>560</v>
      </c>
      <c r="K740" s="209" t="s">
        <v>560</v>
      </c>
      <c r="L740" s="188" t="s">
        <v>531</v>
      </c>
      <c r="M740" s="188" t="s">
        <v>666</v>
      </c>
      <c r="N740" s="188"/>
      <c r="O740" s="211" t="s">
        <v>531</v>
      </c>
      <c r="P740" s="188" t="s">
        <v>640</v>
      </c>
      <c r="Q740" s="188" t="s">
        <v>306</v>
      </c>
      <c r="R740" s="188" t="s">
        <v>306</v>
      </c>
      <c r="S740" s="234" t="s">
        <v>306</v>
      </c>
      <c r="T740" s="188" t="s">
        <v>306</v>
      </c>
      <c r="U740" s="188" t="s">
        <v>306</v>
      </c>
      <c r="V740" s="234" t="s">
        <v>306</v>
      </c>
      <c r="W740" s="188" t="s">
        <v>306</v>
      </c>
      <c r="X740" s="188" t="s">
        <v>306</v>
      </c>
      <c r="Y740" s="234" t="s">
        <v>306</v>
      </c>
      <c r="Z740" s="188" t="s">
        <v>306</v>
      </c>
      <c r="AA740" s="188" t="s">
        <v>306</v>
      </c>
      <c r="AB740" s="234" t="s">
        <v>306</v>
      </c>
      <c r="AC740" s="235" t="s">
        <v>306</v>
      </c>
      <c r="AD740" s="188" t="s">
        <v>25</v>
      </c>
      <c r="AE740" s="188" t="s">
        <v>25</v>
      </c>
      <c r="AF740" s="234" t="s">
        <v>25</v>
      </c>
      <c r="AG740" s="188" t="s">
        <v>306</v>
      </c>
      <c r="AH740" s="188" t="s">
        <v>306</v>
      </c>
      <c r="AI740" s="234" t="s">
        <v>306</v>
      </c>
      <c r="AJ740" s="188" t="s">
        <v>306</v>
      </c>
      <c r="AK740" s="188" t="s">
        <v>306</v>
      </c>
      <c r="AL740" s="234" t="s">
        <v>306</v>
      </c>
      <c r="AM740" s="188" t="s">
        <v>19</v>
      </c>
      <c r="AN740" s="188" t="s">
        <v>19</v>
      </c>
      <c r="AO740" s="234" t="s">
        <v>19</v>
      </c>
      <c r="AP740" s="235" t="s">
        <v>306</v>
      </c>
      <c r="AQ740" s="188" t="s">
        <v>25</v>
      </c>
      <c r="AR740" s="188" t="s">
        <v>25</v>
      </c>
      <c r="AS740" s="234" t="s">
        <v>25</v>
      </c>
      <c r="AT740" s="188" t="s">
        <v>25</v>
      </c>
      <c r="AU740" s="188" t="s">
        <v>25</v>
      </c>
      <c r="AV740" s="234" t="s">
        <v>25</v>
      </c>
      <c r="AW740" s="188" t="s">
        <v>306</v>
      </c>
      <c r="AX740" s="188" t="s">
        <v>25</v>
      </c>
      <c r="AY740" s="234" t="s">
        <v>25</v>
      </c>
      <c r="AZ740" s="188" t="s">
        <v>25</v>
      </c>
      <c r="BA740" s="188" t="s">
        <v>25</v>
      </c>
      <c r="BB740" s="234" t="s">
        <v>25</v>
      </c>
      <c r="BC740" s="235" t="s">
        <v>25</v>
      </c>
      <c r="BD740" s="209"/>
    </row>
    <row r="741" spans="1:56" ht="12.75" customHeight="1" x14ac:dyDescent="0.25">
      <c r="A741" s="211">
        <v>36</v>
      </c>
      <c r="B741" s="137" t="s">
        <v>384</v>
      </c>
      <c r="C741" s="211" t="s">
        <v>595</v>
      </c>
      <c r="D741" s="211" t="s">
        <v>17</v>
      </c>
      <c r="E741" s="232" t="s">
        <v>605</v>
      </c>
      <c r="F741" s="188" t="s">
        <v>1314</v>
      </c>
      <c r="G741" s="211" t="s">
        <v>18</v>
      </c>
      <c r="H741" s="211">
        <v>14</v>
      </c>
      <c r="I741" s="188" t="s">
        <v>518</v>
      </c>
      <c r="J741" s="188" t="s">
        <v>560</v>
      </c>
      <c r="K741" s="209" t="s">
        <v>560</v>
      </c>
      <c r="L741" s="188" t="s">
        <v>518</v>
      </c>
      <c r="M741" s="188" t="s">
        <v>412</v>
      </c>
      <c r="N741" s="188"/>
      <c r="O741" s="211" t="s">
        <v>531</v>
      </c>
      <c r="P741" s="188" t="s">
        <v>640</v>
      </c>
      <c r="Q741" s="188" t="s">
        <v>25</v>
      </c>
      <c r="R741" s="188" t="s">
        <v>306</v>
      </c>
      <c r="S741" s="234" t="s">
        <v>25</v>
      </c>
      <c r="T741" s="188" t="s">
        <v>306</v>
      </c>
      <c r="U741" s="188" t="s">
        <v>306</v>
      </c>
      <c r="V741" s="234" t="s">
        <v>306</v>
      </c>
      <c r="W741" s="188" t="s">
        <v>306</v>
      </c>
      <c r="X741" s="188" t="s">
        <v>306</v>
      </c>
      <c r="Y741" s="234" t="s">
        <v>306</v>
      </c>
      <c r="Z741" s="188" t="s">
        <v>306</v>
      </c>
      <c r="AA741" s="188" t="s">
        <v>25</v>
      </c>
      <c r="AB741" s="234" t="s">
        <v>25</v>
      </c>
      <c r="AC741" s="235" t="s">
        <v>306</v>
      </c>
      <c r="AD741" s="188" t="s">
        <v>25</v>
      </c>
      <c r="AE741" s="188" t="s">
        <v>25</v>
      </c>
      <c r="AF741" s="234" t="s">
        <v>25</v>
      </c>
      <c r="AG741" s="188" t="s">
        <v>306</v>
      </c>
      <c r="AH741" s="188" t="s">
        <v>25</v>
      </c>
      <c r="AI741" s="234" t="s">
        <v>25</v>
      </c>
      <c r="AJ741" s="188" t="s">
        <v>25</v>
      </c>
      <c r="AK741" s="188" t="s">
        <v>25</v>
      </c>
      <c r="AL741" s="234" t="s">
        <v>25</v>
      </c>
      <c r="AM741" s="188" t="s">
        <v>19</v>
      </c>
      <c r="AN741" s="188" t="s">
        <v>19</v>
      </c>
      <c r="AO741" s="234" t="s">
        <v>19</v>
      </c>
      <c r="AP741" s="235" t="s">
        <v>306</v>
      </c>
      <c r="AQ741" s="188" t="s">
        <v>306</v>
      </c>
      <c r="AR741" s="188" t="s">
        <v>25</v>
      </c>
      <c r="AS741" s="234" t="s">
        <v>25</v>
      </c>
      <c r="AT741" s="188" t="s">
        <v>25</v>
      </c>
      <c r="AU741" s="188" t="s">
        <v>25</v>
      </c>
      <c r="AV741" s="234" t="s">
        <v>25</v>
      </c>
      <c r="AW741" s="188" t="s">
        <v>25</v>
      </c>
      <c r="AX741" s="188" t="s">
        <v>306</v>
      </c>
      <c r="AY741" s="234" t="s">
        <v>25</v>
      </c>
      <c r="AZ741" s="188" t="s">
        <v>25</v>
      </c>
      <c r="BA741" s="188" t="s">
        <v>25</v>
      </c>
      <c r="BB741" s="234" t="s">
        <v>25</v>
      </c>
      <c r="BC741" s="235" t="s">
        <v>25</v>
      </c>
      <c r="BD741" s="209"/>
    </row>
    <row r="742" spans="1:56" ht="12.75" customHeight="1" x14ac:dyDescent="0.25">
      <c r="A742" s="211">
        <v>37</v>
      </c>
      <c r="B742" s="137" t="s">
        <v>384</v>
      </c>
      <c r="C742" s="211" t="s">
        <v>595</v>
      </c>
      <c r="D742" s="211" t="s">
        <v>17</v>
      </c>
      <c r="E742" s="232" t="s">
        <v>605</v>
      </c>
      <c r="F742" s="188" t="s">
        <v>1315</v>
      </c>
      <c r="G742" s="211" t="s">
        <v>18</v>
      </c>
      <c r="H742" s="211">
        <v>16</v>
      </c>
      <c r="I742" s="188" t="s">
        <v>518</v>
      </c>
      <c r="J742" s="188" t="s">
        <v>560</v>
      </c>
      <c r="K742" s="209" t="s">
        <v>560</v>
      </c>
      <c r="L742" s="188" t="s">
        <v>518</v>
      </c>
      <c r="M742" s="188" t="s">
        <v>412</v>
      </c>
      <c r="N742" s="188"/>
      <c r="O742" s="211" t="s">
        <v>531</v>
      </c>
      <c r="P742" s="188" t="s">
        <v>640</v>
      </c>
      <c r="Q742" s="188" t="s">
        <v>25</v>
      </c>
      <c r="R742" s="188" t="s">
        <v>306</v>
      </c>
      <c r="S742" s="234" t="s">
        <v>25</v>
      </c>
      <c r="T742" s="188" t="s">
        <v>306</v>
      </c>
      <c r="U742" s="188" t="s">
        <v>306</v>
      </c>
      <c r="V742" s="234" t="s">
        <v>306</v>
      </c>
      <c r="W742" s="188" t="s">
        <v>19</v>
      </c>
      <c r="X742" s="188" t="s">
        <v>19</v>
      </c>
      <c r="Y742" s="234" t="s">
        <v>19</v>
      </c>
      <c r="Z742" s="188" t="s">
        <v>25</v>
      </c>
      <c r="AA742" s="188" t="s">
        <v>306</v>
      </c>
      <c r="AB742" s="234" t="s">
        <v>25</v>
      </c>
      <c r="AC742" s="235" t="s">
        <v>306</v>
      </c>
      <c r="AD742" s="188" t="s">
        <v>19</v>
      </c>
      <c r="AE742" s="188" t="s">
        <v>19</v>
      </c>
      <c r="AF742" s="234" t="s">
        <v>19</v>
      </c>
      <c r="AG742" s="188" t="s">
        <v>306</v>
      </c>
      <c r="AH742" s="188" t="s">
        <v>306</v>
      </c>
      <c r="AI742" s="234" t="s">
        <v>306</v>
      </c>
      <c r="AJ742" s="188" t="s">
        <v>306</v>
      </c>
      <c r="AK742" s="188" t="s">
        <v>25</v>
      </c>
      <c r="AL742" s="234" t="s">
        <v>25</v>
      </c>
      <c r="AM742" s="188" t="s">
        <v>19</v>
      </c>
      <c r="AN742" s="188" t="s">
        <v>306</v>
      </c>
      <c r="AO742" s="234" t="s">
        <v>306</v>
      </c>
      <c r="AP742" s="235" t="s">
        <v>306</v>
      </c>
      <c r="AQ742" s="188" t="s">
        <v>25</v>
      </c>
      <c r="AR742" s="188" t="s">
        <v>25</v>
      </c>
      <c r="AS742" s="234" t="s">
        <v>25</v>
      </c>
      <c r="AT742" s="188" t="s">
        <v>25</v>
      </c>
      <c r="AU742" s="188" t="s">
        <v>25</v>
      </c>
      <c r="AV742" s="234" t="s">
        <v>25</v>
      </c>
      <c r="AW742" s="188" t="s">
        <v>306</v>
      </c>
      <c r="AX742" s="188" t="s">
        <v>306</v>
      </c>
      <c r="AY742" s="234" t="s">
        <v>306</v>
      </c>
      <c r="AZ742" s="188" t="s">
        <v>25</v>
      </c>
      <c r="BA742" s="188" t="s">
        <v>25</v>
      </c>
      <c r="BB742" s="234" t="s">
        <v>25</v>
      </c>
      <c r="BC742" s="235" t="s">
        <v>25</v>
      </c>
      <c r="BD742" s="209"/>
    </row>
    <row r="743" spans="1:56" ht="12.75" customHeight="1" x14ac:dyDescent="0.25">
      <c r="A743" s="211">
        <v>38</v>
      </c>
      <c r="B743" s="137" t="s">
        <v>384</v>
      </c>
      <c r="C743" s="211" t="s">
        <v>595</v>
      </c>
      <c r="D743" s="211" t="s">
        <v>17</v>
      </c>
      <c r="E743" s="232" t="s">
        <v>605</v>
      </c>
      <c r="F743" s="188" t="s">
        <v>1316</v>
      </c>
      <c r="G743" s="211" t="s">
        <v>24</v>
      </c>
      <c r="H743" s="211">
        <v>16</v>
      </c>
      <c r="I743" s="188" t="s">
        <v>518</v>
      </c>
      <c r="J743" s="188" t="s">
        <v>560</v>
      </c>
      <c r="K743" s="209" t="s">
        <v>560</v>
      </c>
      <c r="L743" s="188" t="s">
        <v>518</v>
      </c>
      <c r="M743" s="188" t="s">
        <v>412</v>
      </c>
      <c r="N743" s="188"/>
      <c r="O743" s="211" t="s">
        <v>531</v>
      </c>
      <c r="P743" s="188" t="s">
        <v>640</v>
      </c>
      <c r="Q743" s="188" t="s">
        <v>306</v>
      </c>
      <c r="R743" s="188" t="s">
        <v>306</v>
      </c>
      <c r="S743" s="234" t="s">
        <v>306</v>
      </c>
      <c r="T743" s="188" t="s">
        <v>25</v>
      </c>
      <c r="U743" s="188" t="s">
        <v>25</v>
      </c>
      <c r="V743" s="234" t="s">
        <v>25</v>
      </c>
      <c r="W743" s="188" t="s">
        <v>306</v>
      </c>
      <c r="X743" s="188" t="s">
        <v>306</v>
      </c>
      <c r="Y743" s="234" t="s">
        <v>306</v>
      </c>
      <c r="Z743" s="188" t="s">
        <v>306</v>
      </c>
      <c r="AA743" s="188" t="s">
        <v>25</v>
      </c>
      <c r="AB743" s="234" t="s">
        <v>25</v>
      </c>
      <c r="AC743" s="235" t="s">
        <v>306</v>
      </c>
      <c r="AD743" s="188" t="s">
        <v>306</v>
      </c>
      <c r="AE743" s="188" t="s">
        <v>306</v>
      </c>
      <c r="AF743" s="234" t="s">
        <v>306</v>
      </c>
      <c r="AG743" s="188" t="s">
        <v>306</v>
      </c>
      <c r="AH743" s="188" t="s">
        <v>306</v>
      </c>
      <c r="AI743" s="234" t="s">
        <v>306</v>
      </c>
      <c r="AJ743" s="188" t="s">
        <v>25</v>
      </c>
      <c r="AK743" s="188" t="s">
        <v>306</v>
      </c>
      <c r="AL743" s="234" t="s">
        <v>25</v>
      </c>
      <c r="AM743" s="188" t="s">
        <v>19</v>
      </c>
      <c r="AN743" s="188" t="s">
        <v>19</v>
      </c>
      <c r="AO743" s="234" t="s">
        <v>19</v>
      </c>
      <c r="AP743" s="235" t="s">
        <v>306</v>
      </c>
      <c r="AQ743" s="188" t="s">
        <v>25</v>
      </c>
      <c r="AR743" s="188" t="s">
        <v>306</v>
      </c>
      <c r="AS743" s="234" t="s">
        <v>25</v>
      </c>
      <c r="AT743" s="188" t="s">
        <v>25</v>
      </c>
      <c r="AU743" s="188" t="s">
        <v>25</v>
      </c>
      <c r="AV743" s="234" t="s">
        <v>25</v>
      </c>
      <c r="AW743" s="188" t="s">
        <v>25</v>
      </c>
      <c r="AX743" s="188" t="s">
        <v>306</v>
      </c>
      <c r="AY743" s="234" t="s">
        <v>25</v>
      </c>
      <c r="AZ743" s="188" t="s">
        <v>25</v>
      </c>
      <c r="BA743" s="188" t="s">
        <v>25</v>
      </c>
      <c r="BB743" s="234" t="s">
        <v>25</v>
      </c>
      <c r="BC743" s="235" t="s">
        <v>25</v>
      </c>
      <c r="BD743" s="209"/>
    </row>
    <row r="744" spans="1:56" ht="12.75" customHeight="1" x14ac:dyDescent="0.25">
      <c r="A744" s="211">
        <v>39</v>
      </c>
      <c r="B744" s="137" t="s">
        <v>384</v>
      </c>
      <c r="C744" s="211" t="s">
        <v>595</v>
      </c>
      <c r="D744" s="211" t="s">
        <v>17</v>
      </c>
      <c r="E744" s="232" t="s">
        <v>605</v>
      </c>
      <c r="F744" s="188" t="s">
        <v>1317</v>
      </c>
      <c r="G744" s="211" t="s">
        <v>18</v>
      </c>
      <c r="H744" s="211">
        <v>15</v>
      </c>
      <c r="I744" s="188" t="s">
        <v>518</v>
      </c>
      <c r="J744" s="188" t="s">
        <v>560</v>
      </c>
      <c r="K744" s="209" t="s">
        <v>560</v>
      </c>
      <c r="L744" s="188" t="s">
        <v>518</v>
      </c>
      <c r="M744" s="188" t="s">
        <v>412</v>
      </c>
      <c r="N744" s="188"/>
      <c r="O744" s="211" t="s">
        <v>531</v>
      </c>
      <c r="P744" s="188" t="s">
        <v>640</v>
      </c>
      <c r="Q744" s="188" t="s">
        <v>25</v>
      </c>
      <c r="R744" s="188" t="s">
        <v>306</v>
      </c>
      <c r="S744" s="234" t="s">
        <v>25</v>
      </c>
      <c r="T744" s="188" t="s">
        <v>306</v>
      </c>
      <c r="U744" s="188" t="s">
        <v>306</v>
      </c>
      <c r="V744" s="234" t="s">
        <v>306</v>
      </c>
      <c r="W744" s="188" t="s">
        <v>19</v>
      </c>
      <c r="X744" s="188" t="s">
        <v>306</v>
      </c>
      <c r="Y744" s="234" t="s">
        <v>306</v>
      </c>
      <c r="Z744" s="188" t="s">
        <v>25</v>
      </c>
      <c r="AA744" s="188" t="s">
        <v>25</v>
      </c>
      <c r="AB744" s="234" t="s">
        <v>25</v>
      </c>
      <c r="AC744" s="235" t="s">
        <v>306</v>
      </c>
      <c r="AD744" s="188" t="s">
        <v>306</v>
      </c>
      <c r="AE744" s="188" t="s">
        <v>25</v>
      </c>
      <c r="AF744" s="234" t="s">
        <v>25</v>
      </c>
      <c r="AG744" s="188" t="s">
        <v>306</v>
      </c>
      <c r="AH744" s="188" t="s">
        <v>306</v>
      </c>
      <c r="AI744" s="234" t="s">
        <v>306</v>
      </c>
      <c r="AJ744" s="188" t="s">
        <v>25</v>
      </c>
      <c r="AK744" s="188" t="s">
        <v>306</v>
      </c>
      <c r="AL744" s="234" t="s">
        <v>25</v>
      </c>
      <c r="AM744" s="188" t="s">
        <v>19</v>
      </c>
      <c r="AN744" s="188" t="s">
        <v>19</v>
      </c>
      <c r="AO744" s="234" t="s">
        <v>19</v>
      </c>
      <c r="AP744" s="235" t="s">
        <v>306</v>
      </c>
      <c r="AQ744" s="188" t="s">
        <v>19</v>
      </c>
      <c r="AR744" s="188" t="s">
        <v>25</v>
      </c>
      <c r="AS744" s="234" t="s">
        <v>306</v>
      </c>
      <c r="AT744" s="188" t="s">
        <v>25</v>
      </c>
      <c r="AU744" s="188" t="s">
        <v>25</v>
      </c>
      <c r="AV744" s="234" t="s">
        <v>25</v>
      </c>
      <c r="AW744" s="188" t="s">
        <v>306</v>
      </c>
      <c r="AX744" s="188" t="s">
        <v>306</v>
      </c>
      <c r="AY744" s="234" t="s">
        <v>306</v>
      </c>
      <c r="AZ744" s="188" t="s">
        <v>25</v>
      </c>
      <c r="BA744" s="188" t="s">
        <v>25</v>
      </c>
      <c r="BB744" s="234" t="s">
        <v>25</v>
      </c>
      <c r="BC744" s="235" t="s">
        <v>25</v>
      </c>
      <c r="BD744" s="209"/>
    </row>
    <row r="745" spans="1:56" ht="12.75" customHeight="1" x14ac:dyDescent="0.25">
      <c r="A745" s="211">
        <v>40</v>
      </c>
      <c r="B745" s="137" t="s">
        <v>384</v>
      </c>
      <c r="C745" s="211" t="s">
        <v>595</v>
      </c>
      <c r="D745" s="211" t="s">
        <v>17</v>
      </c>
      <c r="E745" s="232" t="s">
        <v>605</v>
      </c>
      <c r="F745" s="188" t="s">
        <v>1318</v>
      </c>
      <c r="G745" s="211" t="s">
        <v>18</v>
      </c>
      <c r="H745" s="211">
        <v>15</v>
      </c>
      <c r="I745" s="188" t="s">
        <v>518</v>
      </c>
      <c r="J745" s="188" t="s">
        <v>560</v>
      </c>
      <c r="K745" s="209" t="s">
        <v>560</v>
      </c>
      <c r="L745" s="188" t="s">
        <v>518</v>
      </c>
      <c r="M745" s="188" t="s">
        <v>412</v>
      </c>
      <c r="N745" s="188"/>
      <c r="O745" s="211" t="s">
        <v>518</v>
      </c>
      <c r="P745" s="188" t="s">
        <v>1319</v>
      </c>
      <c r="Q745" s="188" t="s">
        <v>25</v>
      </c>
      <c r="R745" s="188" t="s">
        <v>25</v>
      </c>
      <c r="S745" s="234" t="s">
        <v>25</v>
      </c>
      <c r="T745" s="188" t="s">
        <v>25</v>
      </c>
      <c r="U745" s="188" t="s">
        <v>25</v>
      </c>
      <c r="V745" s="234" t="s">
        <v>25</v>
      </c>
      <c r="W745" s="188" t="s">
        <v>25</v>
      </c>
      <c r="X745" s="188" t="s">
        <v>25</v>
      </c>
      <c r="Y745" s="234" t="s">
        <v>25</v>
      </c>
      <c r="Z745" s="188" t="s">
        <v>25</v>
      </c>
      <c r="AA745" s="188" t="s">
        <v>25</v>
      </c>
      <c r="AB745" s="234" t="s">
        <v>25</v>
      </c>
      <c r="AC745" s="235" t="s">
        <v>25</v>
      </c>
      <c r="AD745" s="188" t="s">
        <v>306</v>
      </c>
      <c r="AE745" s="188" t="s">
        <v>25</v>
      </c>
      <c r="AF745" s="234" t="s">
        <v>25</v>
      </c>
      <c r="AG745" s="188" t="s">
        <v>25</v>
      </c>
      <c r="AH745" s="188" t="s">
        <v>25</v>
      </c>
      <c r="AI745" s="234" t="s">
        <v>25</v>
      </c>
      <c r="AJ745" s="188" t="s">
        <v>25</v>
      </c>
      <c r="AK745" s="188" t="s">
        <v>25</v>
      </c>
      <c r="AL745" s="234" t="s">
        <v>25</v>
      </c>
      <c r="AM745" s="188" t="s">
        <v>25</v>
      </c>
      <c r="AN745" s="188" t="s">
        <v>25</v>
      </c>
      <c r="AO745" s="234" t="s">
        <v>25</v>
      </c>
      <c r="AP745" s="235" t="s">
        <v>25</v>
      </c>
      <c r="AQ745" s="188" t="s">
        <v>25</v>
      </c>
      <c r="AR745" s="188" t="s">
        <v>25</v>
      </c>
      <c r="AS745" s="234" t="s">
        <v>25</v>
      </c>
      <c r="AT745" s="188" t="s">
        <v>25</v>
      </c>
      <c r="AU745" s="188" t="s">
        <v>25</v>
      </c>
      <c r="AV745" s="234" t="s">
        <v>25</v>
      </c>
      <c r="AW745" s="188" t="s">
        <v>25</v>
      </c>
      <c r="AX745" s="188" t="s">
        <v>25</v>
      </c>
      <c r="AY745" s="234" t="s">
        <v>25</v>
      </c>
      <c r="AZ745" s="188" t="s">
        <v>25</v>
      </c>
      <c r="BA745" s="188" t="s">
        <v>25</v>
      </c>
      <c r="BB745" s="234" t="s">
        <v>25</v>
      </c>
      <c r="BC745" s="235" t="s">
        <v>25</v>
      </c>
      <c r="BD745" s="209"/>
    </row>
    <row r="746" spans="1:56" ht="12.75" customHeight="1" x14ac:dyDescent="0.25">
      <c r="A746" s="211">
        <v>43</v>
      </c>
      <c r="B746" s="137" t="s">
        <v>384</v>
      </c>
      <c r="C746" s="211" t="s">
        <v>595</v>
      </c>
      <c r="D746" s="211" t="s">
        <v>17</v>
      </c>
      <c r="E746" s="232" t="s">
        <v>605</v>
      </c>
      <c r="F746" s="188" t="s">
        <v>1320</v>
      </c>
      <c r="G746" s="211" t="s">
        <v>18</v>
      </c>
      <c r="H746" s="211">
        <v>15</v>
      </c>
      <c r="I746" s="188" t="s">
        <v>518</v>
      </c>
      <c r="J746" s="188" t="s">
        <v>560</v>
      </c>
      <c r="K746" s="209" t="s">
        <v>560</v>
      </c>
      <c r="L746" s="188" t="s">
        <v>518</v>
      </c>
      <c r="M746" s="188" t="s">
        <v>412</v>
      </c>
      <c r="N746" s="188"/>
      <c r="O746" s="211" t="s">
        <v>518</v>
      </c>
      <c r="P746" s="188" t="s">
        <v>841</v>
      </c>
      <c r="Q746" s="188" t="s">
        <v>306</v>
      </c>
      <c r="R746" s="188" t="s">
        <v>306</v>
      </c>
      <c r="S746" s="234" t="s">
        <v>306</v>
      </c>
      <c r="T746" s="188" t="s">
        <v>25</v>
      </c>
      <c r="U746" s="188" t="s">
        <v>25</v>
      </c>
      <c r="V746" s="234" t="s">
        <v>25</v>
      </c>
      <c r="W746" s="188" t="s">
        <v>306</v>
      </c>
      <c r="X746" s="188" t="s">
        <v>306</v>
      </c>
      <c r="Y746" s="234" t="s">
        <v>306</v>
      </c>
      <c r="Z746" s="188" t="s">
        <v>306</v>
      </c>
      <c r="AA746" s="188" t="s">
        <v>25</v>
      </c>
      <c r="AB746" s="234" t="s">
        <v>25</v>
      </c>
      <c r="AC746" s="235" t="s">
        <v>306</v>
      </c>
      <c r="AD746" s="188" t="s">
        <v>306</v>
      </c>
      <c r="AE746" s="188" t="s">
        <v>306</v>
      </c>
      <c r="AF746" s="234" t="s">
        <v>306</v>
      </c>
      <c r="AG746" s="188" t="s">
        <v>306</v>
      </c>
      <c r="AH746" s="188" t="s">
        <v>306</v>
      </c>
      <c r="AI746" s="234" t="s">
        <v>306</v>
      </c>
      <c r="AJ746" s="188" t="s">
        <v>25</v>
      </c>
      <c r="AK746" s="188" t="s">
        <v>306</v>
      </c>
      <c r="AL746" s="234" t="s">
        <v>25</v>
      </c>
      <c r="AM746" s="188" t="s">
        <v>19</v>
      </c>
      <c r="AN746" s="188" t="s">
        <v>19</v>
      </c>
      <c r="AO746" s="234" t="s">
        <v>19</v>
      </c>
      <c r="AP746" s="235" t="s">
        <v>306</v>
      </c>
      <c r="AQ746" s="188" t="s">
        <v>25</v>
      </c>
      <c r="AR746" s="188" t="s">
        <v>306</v>
      </c>
      <c r="AS746" s="234" t="s">
        <v>25</v>
      </c>
      <c r="AT746" s="188" t="s">
        <v>25</v>
      </c>
      <c r="AU746" s="188" t="s">
        <v>25</v>
      </c>
      <c r="AV746" s="234" t="s">
        <v>25</v>
      </c>
      <c r="AW746" s="188" t="s">
        <v>25</v>
      </c>
      <c r="AX746" s="188" t="s">
        <v>306</v>
      </c>
      <c r="AY746" s="234" t="s">
        <v>25</v>
      </c>
      <c r="AZ746" s="188" t="s">
        <v>25</v>
      </c>
      <c r="BA746" s="188" t="s">
        <v>25</v>
      </c>
      <c r="BB746" s="234" t="s">
        <v>25</v>
      </c>
      <c r="BC746" s="235" t="s">
        <v>25</v>
      </c>
      <c r="BD746" s="209"/>
    </row>
    <row r="747" spans="1:56" ht="12.75" customHeight="1" x14ac:dyDescent="0.25">
      <c r="A747" s="211">
        <v>47</v>
      </c>
      <c r="B747" s="137" t="s">
        <v>384</v>
      </c>
      <c r="C747" s="211" t="s">
        <v>595</v>
      </c>
      <c r="D747" s="211" t="s">
        <v>17</v>
      </c>
      <c r="E747" s="232" t="s">
        <v>605</v>
      </c>
      <c r="F747" s="188" t="s">
        <v>1321</v>
      </c>
      <c r="G747" s="211" t="s">
        <v>24</v>
      </c>
      <c r="H747" s="211">
        <v>16</v>
      </c>
      <c r="I747" s="188" t="s">
        <v>518</v>
      </c>
      <c r="J747" s="188" t="s">
        <v>560</v>
      </c>
      <c r="K747" s="209" t="s">
        <v>560</v>
      </c>
      <c r="L747" s="188" t="s">
        <v>531</v>
      </c>
      <c r="M747" s="188" t="s">
        <v>666</v>
      </c>
      <c r="N747" s="188"/>
      <c r="O747" s="211" t="s">
        <v>531</v>
      </c>
      <c r="P747" s="188" t="s">
        <v>640</v>
      </c>
      <c r="Q747" s="188" t="s">
        <v>25</v>
      </c>
      <c r="R747" s="188" t="s">
        <v>25</v>
      </c>
      <c r="S747" s="234" t="s">
        <v>25</v>
      </c>
      <c r="T747" s="188" t="s">
        <v>25</v>
      </c>
      <c r="U747" s="188" t="s">
        <v>25</v>
      </c>
      <c r="V747" s="234" t="s">
        <v>25</v>
      </c>
      <c r="W747" s="188" t="s">
        <v>19</v>
      </c>
      <c r="X747" s="188" t="s">
        <v>306</v>
      </c>
      <c r="Y747" s="234" t="s">
        <v>306</v>
      </c>
      <c r="Z747" s="188" t="s">
        <v>25</v>
      </c>
      <c r="AA747" s="188" t="s">
        <v>306</v>
      </c>
      <c r="AB747" s="234" t="s">
        <v>25</v>
      </c>
      <c r="AC747" s="235" t="s">
        <v>25</v>
      </c>
      <c r="AD747" s="188" t="s">
        <v>25</v>
      </c>
      <c r="AE747" s="188" t="s">
        <v>25</v>
      </c>
      <c r="AF747" s="234" t="s">
        <v>25</v>
      </c>
      <c r="AG747" s="188" t="s">
        <v>306</v>
      </c>
      <c r="AH747" s="188" t="s">
        <v>306</v>
      </c>
      <c r="AI747" s="234" t="s">
        <v>306</v>
      </c>
      <c r="AJ747" s="188" t="s">
        <v>25</v>
      </c>
      <c r="AK747" s="188" t="s">
        <v>306</v>
      </c>
      <c r="AL747" s="234" t="s">
        <v>25</v>
      </c>
      <c r="AM747" s="188" t="s">
        <v>19</v>
      </c>
      <c r="AN747" s="188" t="s">
        <v>306</v>
      </c>
      <c r="AO747" s="234" t="s">
        <v>306</v>
      </c>
      <c r="AP747" s="235" t="s">
        <v>306</v>
      </c>
      <c r="AQ747" s="188" t="s">
        <v>25</v>
      </c>
      <c r="AR747" s="188" t="s">
        <v>25</v>
      </c>
      <c r="AS747" s="234" t="s">
        <v>25</v>
      </c>
      <c r="AT747" s="188" t="s">
        <v>25</v>
      </c>
      <c r="AU747" s="188" t="s">
        <v>25</v>
      </c>
      <c r="AV747" s="234" t="s">
        <v>25</v>
      </c>
      <c r="AW747" s="188" t="s">
        <v>25</v>
      </c>
      <c r="AX747" s="188" t="s">
        <v>306</v>
      </c>
      <c r="AY747" s="234" t="s">
        <v>25</v>
      </c>
      <c r="AZ747" s="188" t="s">
        <v>25</v>
      </c>
      <c r="BA747" s="188" t="s">
        <v>25</v>
      </c>
      <c r="BB747" s="234" t="s">
        <v>25</v>
      </c>
      <c r="BC747" s="235" t="s">
        <v>25</v>
      </c>
      <c r="BD747" s="209"/>
    </row>
    <row r="748" spans="1:56" ht="12.75" customHeight="1" x14ac:dyDescent="0.25">
      <c r="A748" s="211">
        <v>48</v>
      </c>
      <c r="B748" s="137" t="s">
        <v>384</v>
      </c>
      <c r="C748" s="211" t="s">
        <v>595</v>
      </c>
      <c r="D748" s="211" t="s">
        <v>17</v>
      </c>
      <c r="E748" s="232" t="s">
        <v>605</v>
      </c>
      <c r="F748" s="188" t="s">
        <v>1322</v>
      </c>
      <c r="G748" s="211" t="s">
        <v>24</v>
      </c>
      <c r="H748" s="211">
        <v>17</v>
      </c>
      <c r="I748" s="188" t="s">
        <v>518</v>
      </c>
      <c r="J748" s="188" t="s">
        <v>560</v>
      </c>
      <c r="K748" s="209" t="s">
        <v>560</v>
      </c>
      <c r="L748" s="188" t="s">
        <v>518</v>
      </c>
      <c r="M748" s="188" t="s">
        <v>412</v>
      </c>
      <c r="N748" s="188"/>
      <c r="O748" s="211" t="s">
        <v>531</v>
      </c>
      <c r="P748" s="188" t="s">
        <v>640</v>
      </c>
      <c r="Q748" s="188" t="s">
        <v>306</v>
      </c>
      <c r="R748" s="188" t="s">
        <v>19</v>
      </c>
      <c r="S748" s="234" t="s">
        <v>306</v>
      </c>
      <c r="T748" s="188" t="s">
        <v>25</v>
      </c>
      <c r="U748" s="188" t="s">
        <v>25</v>
      </c>
      <c r="V748" s="234" t="s">
        <v>25</v>
      </c>
      <c r="W748" s="188" t="s">
        <v>19</v>
      </c>
      <c r="X748" s="188" t="s">
        <v>306</v>
      </c>
      <c r="Y748" s="234" t="s">
        <v>306</v>
      </c>
      <c r="Z748" s="188" t="s">
        <v>19</v>
      </c>
      <c r="AA748" s="188" t="s">
        <v>19</v>
      </c>
      <c r="AB748" s="234" t="s">
        <v>19</v>
      </c>
      <c r="AC748" s="235" t="s">
        <v>306</v>
      </c>
      <c r="AD748" s="188" t="s">
        <v>306</v>
      </c>
      <c r="AE748" s="188" t="s">
        <v>306</v>
      </c>
      <c r="AF748" s="234" t="s">
        <v>306</v>
      </c>
      <c r="AG748" s="188" t="s">
        <v>19</v>
      </c>
      <c r="AH748" s="188" t="s">
        <v>19</v>
      </c>
      <c r="AI748" s="234" t="s">
        <v>19</v>
      </c>
      <c r="AJ748" s="188" t="s">
        <v>306</v>
      </c>
      <c r="AK748" s="188" t="s">
        <v>306</v>
      </c>
      <c r="AL748" s="234" t="s">
        <v>306</v>
      </c>
      <c r="AM748" s="188" t="s">
        <v>306</v>
      </c>
      <c r="AN748" s="188" t="s">
        <v>19</v>
      </c>
      <c r="AO748" s="234" t="s">
        <v>306</v>
      </c>
      <c r="AP748" s="235" t="s">
        <v>306</v>
      </c>
      <c r="AQ748" s="188" t="s">
        <v>306</v>
      </c>
      <c r="AR748" s="188" t="s">
        <v>306</v>
      </c>
      <c r="AS748" s="234" t="s">
        <v>306</v>
      </c>
      <c r="AT748" s="188" t="s">
        <v>25</v>
      </c>
      <c r="AU748" s="188" t="s">
        <v>25</v>
      </c>
      <c r="AV748" s="234" t="s">
        <v>25</v>
      </c>
      <c r="AW748" s="188" t="s">
        <v>306</v>
      </c>
      <c r="AX748" s="188" t="s">
        <v>306</v>
      </c>
      <c r="AY748" s="234" t="s">
        <v>306</v>
      </c>
      <c r="AZ748" s="188" t="s">
        <v>19</v>
      </c>
      <c r="BA748" s="188" t="s">
        <v>19</v>
      </c>
      <c r="BB748" s="234" t="s">
        <v>25</v>
      </c>
      <c r="BC748" s="235" t="s">
        <v>306</v>
      </c>
      <c r="BD748" s="209"/>
    </row>
    <row r="749" spans="1:56" ht="12.75" customHeight="1" x14ac:dyDescent="0.25">
      <c r="A749" s="211">
        <v>49</v>
      </c>
      <c r="B749" s="137" t="s">
        <v>384</v>
      </c>
      <c r="C749" s="211" t="s">
        <v>595</v>
      </c>
      <c r="D749" s="211" t="s">
        <v>17</v>
      </c>
      <c r="E749" s="232" t="s">
        <v>605</v>
      </c>
      <c r="F749" s="188" t="s">
        <v>1323</v>
      </c>
      <c r="G749" s="211" t="s">
        <v>18</v>
      </c>
      <c r="H749" s="211">
        <v>17</v>
      </c>
      <c r="I749" s="188" t="s">
        <v>518</v>
      </c>
      <c r="J749" s="188" t="s">
        <v>560</v>
      </c>
      <c r="K749" s="209" t="s">
        <v>560</v>
      </c>
      <c r="L749" s="188" t="s">
        <v>518</v>
      </c>
      <c r="M749" s="188" t="s">
        <v>412</v>
      </c>
      <c r="N749" s="188"/>
      <c r="O749" s="211" t="s">
        <v>531</v>
      </c>
      <c r="P749" s="188" t="s">
        <v>640</v>
      </c>
      <c r="Q749" s="188" t="s">
        <v>25</v>
      </c>
      <c r="R749" s="188" t="s">
        <v>25</v>
      </c>
      <c r="S749" s="234" t="s">
        <v>25</v>
      </c>
      <c r="T749" s="188" t="s">
        <v>25</v>
      </c>
      <c r="U749" s="188" t="s">
        <v>25</v>
      </c>
      <c r="V749" s="234" t="s">
        <v>25</v>
      </c>
      <c r="W749" s="188" t="s">
        <v>306</v>
      </c>
      <c r="X749" s="188" t="s">
        <v>25</v>
      </c>
      <c r="Y749" s="234" t="s">
        <v>25</v>
      </c>
      <c r="Z749" s="188" t="s">
        <v>19</v>
      </c>
      <c r="AA749" s="188" t="s">
        <v>25</v>
      </c>
      <c r="AB749" s="234" t="s">
        <v>306</v>
      </c>
      <c r="AC749" s="235" t="s">
        <v>25</v>
      </c>
      <c r="AD749" s="188" t="s">
        <v>25</v>
      </c>
      <c r="AE749" s="188" t="s">
        <v>306</v>
      </c>
      <c r="AF749" s="234" t="s">
        <v>25</v>
      </c>
      <c r="AG749" s="188" t="s">
        <v>25</v>
      </c>
      <c r="AH749" s="188" t="s">
        <v>25</v>
      </c>
      <c r="AI749" s="234" t="s">
        <v>25</v>
      </c>
      <c r="AJ749" s="188" t="s">
        <v>25</v>
      </c>
      <c r="AK749" s="188" t="s">
        <v>25</v>
      </c>
      <c r="AL749" s="234" t="s">
        <v>25</v>
      </c>
      <c r="AM749" s="188" t="s">
        <v>306</v>
      </c>
      <c r="AN749" s="188" t="s">
        <v>306</v>
      </c>
      <c r="AO749" s="234" t="s">
        <v>306</v>
      </c>
      <c r="AP749" s="235" t="s">
        <v>25</v>
      </c>
      <c r="AQ749" s="188" t="s">
        <v>25</v>
      </c>
      <c r="AR749" s="188" t="s">
        <v>25</v>
      </c>
      <c r="AS749" s="234" t="s">
        <v>25</v>
      </c>
      <c r="AT749" s="188" t="s">
        <v>25</v>
      </c>
      <c r="AU749" s="188" t="s">
        <v>25</v>
      </c>
      <c r="AV749" s="234" t="s">
        <v>25</v>
      </c>
      <c r="AW749" s="188" t="s">
        <v>25</v>
      </c>
      <c r="AX749" s="188" t="s">
        <v>25</v>
      </c>
      <c r="AY749" s="234" t="s">
        <v>25</v>
      </c>
      <c r="AZ749" s="188" t="s">
        <v>25</v>
      </c>
      <c r="BA749" s="188" t="s">
        <v>25</v>
      </c>
      <c r="BB749" s="234" t="s">
        <v>25</v>
      </c>
      <c r="BC749" s="235" t="s">
        <v>25</v>
      </c>
      <c r="BD749" s="209"/>
    </row>
    <row r="750" spans="1:56" ht="12.75" customHeight="1" x14ac:dyDescent="0.25">
      <c r="A750" s="211">
        <v>51</v>
      </c>
      <c r="B750" s="137" t="s">
        <v>384</v>
      </c>
      <c r="C750" s="211" t="s">
        <v>595</v>
      </c>
      <c r="D750" s="211" t="s">
        <v>17</v>
      </c>
      <c r="E750" s="232" t="s">
        <v>605</v>
      </c>
      <c r="F750" s="188" t="s">
        <v>1324</v>
      </c>
      <c r="G750" s="211" t="s">
        <v>18</v>
      </c>
      <c r="H750" s="211">
        <v>15</v>
      </c>
      <c r="I750" s="188" t="s">
        <v>518</v>
      </c>
      <c r="J750" s="188" t="s">
        <v>560</v>
      </c>
      <c r="K750" s="209" t="s">
        <v>560</v>
      </c>
      <c r="L750" s="188" t="s">
        <v>518</v>
      </c>
      <c r="M750" s="188" t="s">
        <v>412</v>
      </c>
      <c r="N750" s="188"/>
      <c r="O750" s="211" t="s">
        <v>531</v>
      </c>
      <c r="P750" s="188" t="s">
        <v>640</v>
      </c>
      <c r="Q750" s="188" t="s">
        <v>25</v>
      </c>
      <c r="R750" s="188" t="s">
        <v>25</v>
      </c>
      <c r="S750" s="234" t="s">
        <v>25</v>
      </c>
      <c r="T750" s="188" t="s">
        <v>25</v>
      </c>
      <c r="U750" s="188" t="s">
        <v>25</v>
      </c>
      <c r="V750" s="234" t="s">
        <v>25</v>
      </c>
      <c r="W750" s="188" t="s">
        <v>25</v>
      </c>
      <c r="X750" s="188" t="s">
        <v>25</v>
      </c>
      <c r="Y750" s="234" t="s">
        <v>25</v>
      </c>
      <c r="Z750" s="188" t="s">
        <v>25</v>
      </c>
      <c r="AA750" s="188" t="s">
        <v>25</v>
      </c>
      <c r="AB750" s="234" t="s">
        <v>25</v>
      </c>
      <c r="AC750" s="235" t="s">
        <v>25</v>
      </c>
      <c r="AD750" s="188" t="s">
        <v>25</v>
      </c>
      <c r="AE750" s="188" t="s">
        <v>25</v>
      </c>
      <c r="AF750" s="234" t="s">
        <v>25</v>
      </c>
      <c r="AG750" s="188" t="s">
        <v>25</v>
      </c>
      <c r="AH750" s="188" t="s">
        <v>25</v>
      </c>
      <c r="AI750" s="234" t="s">
        <v>25</v>
      </c>
      <c r="AJ750" s="188" t="s">
        <v>25</v>
      </c>
      <c r="AK750" s="188" t="s">
        <v>25</v>
      </c>
      <c r="AL750" s="234" t="s">
        <v>25</v>
      </c>
      <c r="AM750" s="188" t="s">
        <v>25</v>
      </c>
      <c r="AN750" s="188" t="s">
        <v>25</v>
      </c>
      <c r="AO750" s="234" t="s">
        <v>25</v>
      </c>
      <c r="AP750" s="235" t="s">
        <v>25</v>
      </c>
      <c r="AQ750" s="188" t="s">
        <v>25</v>
      </c>
      <c r="AR750" s="188" t="s">
        <v>25</v>
      </c>
      <c r="AS750" s="234" t="s">
        <v>25</v>
      </c>
      <c r="AT750" s="188" t="s">
        <v>25</v>
      </c>
      <c r="AU750" s="188" t="s">
        <v>25</v>
      </c>
      <c r="AV750" s="234" t="s">
        <v>25</v>
      </c>
      <c r="AW750" s="188" t="s">
        <v>306</v>
      </c>
      <c r="AX750" s="188" t="s">
        <v>306</v>
      </c>
      <c r="AY750" s="234" t="s">
        <v>306</v>
      </c>
      <c r="AZ750" s="188" t="s">
        <v>25</v>
      </c>
      <c r="BA750" s="188" t="s">
        <v>25</v>
      </c>
      <c r="BB750" s="234" t="s">
        <v>25</v>
      </c>
      <c r="BC750" s="235" t="s">
        <v>25</v>
      </c>
      <c r="BD750" s="209"/>
    </row>
    <row r="751" spans="1:56" ht="12.75" customHeight="1" x14ac:dyDescent="0.25">
      <c r="A751" s="211">
        <v>54</v>
      </c>
      <c r="B751" s="137" t="s">
        <v>384</v>
      </c>
      <c r="C751" s="211" t="s">
        <v>595</v>
      </c>
      <c r="D751" s="211" t="s">
        <v>17</v>
      </c>
      <c r="E751" s="232" t="s">
        <v>605</v>
      </c>
      <c r="F751" s="188" t="s">
        <v>1325</v>
      </c>
      <c r="G751" s="211" t="s">
        <v>18</v>
      </c>
      <c r="H751" s="211">
        <v>16</v>
      </c>
      <c r="I751" s="188" t="s">
        <v>518</v>
      </c>
      <c r="J751" s="188" t="s">
        <v>560</v>
      </c>
      <c r="K751" s="209" t="s">
        <v>560</v>
      </c>
      <c r="L751" s="188" t="s">
        <v>531</v>
      </c>
      <c r="M751" s="188" t="s">
        <v>666</v>
      </c>
      <c r="N751" s="188"/>
      <c r="O751" s="211" t="s">
        <v>518</v>
      </c>
      <c r="P751" s="188" t="s">
        <v>1319</v>
      </c>
      <c r="Q751" s="188" t="s">
        <v>25</v>
      </c>
      <c r="R751" s="188" t="s">
        <v>25</v>
      </c>
      <c r="S751" s="234" t="s">
        <v>25</v>
      </c>
      <c r="T751" s="188" t="s">
        <v>25</v>
      </c>
      <c r="U751" s="188" t="s">
        <v>25</v>
      </c>
      <c r="V751" s="234" t="s">
        <v>25</v>
      </c>
      <c r="W751" s="188" t="s">
        <v>25</v>
      </c>
      <c r="X751" s="188" t="s">
        <v>25</v>
      </c>
      <c r="Y751" s="234" t="s">
        <v>25</v>
      </c>
      <c r="Z751" s="188" t="s">
        <v>25</v>
      </c>
      <c r="AA751" s="188" t="s">
        <v>25</v>
      </c>
      <c r="AB751" s="234" t="s">
        <v>25</v>
      </c>
      <c r="AC751" s="235" t="s">
        <v>25</v>
      </c>
      <c r="AD751" s="188" t="s">
        <v>25</v>
      </c>
      <c r="AE751" s="188" t="s">
        <v>25</v>
      </c>
      <c r="AF751" s="234" t="s">
        <v>25</v>
      </c>
      <c r="AG751" s="188" t="s">
        <v>25</v>
      </c>
      <c r="AH751" s="188" t="s">
        <v>25</v>
      </c>
      <c r="AI751" s="234" t="s">
        <v>25</v>
      </c>
      <c r="AJ751" s="188" t="s">
        <v>25</v>
      </c>
      <c r="AK751" s="188" t="s">
        <v>25</v>
      </c>
      <c r="AL751" s="234" t="s">
        <v>25</v>
      </c>
      <c r="AM751" s="188" t="s">
        <v>25</v>
      </c>
      <c r="AN751" s="188" t="s">
        <v>25</v>
      </c>
      <c r="AO751" s="234" t="s">
        <v>25</v>
      </c>
      <c r="AP751" s="235" t="s">
        <v>25</v>
      </c>
      <c r="AQ751" s="188" t="s">
        <v>25</v>
      </c>
      <c r="AR751" s="188" t="s">
        <v>25</v>
      </c>
      <c r="AS751" s="234" t="s">
        <v>25</v>
      </c>
      <c r="AT751" s="188" t="s">
        <v>25</v>
      </c>
      <c r="AU751" s="188" t="s">
        <v>25</v>
      </c>
      <c r="AV751" s="234" t="s">
        <v>25</v>
      </c>
      <c r="AW751" s="188" t="s">
        <v>25</v>
      </c>
      <c r="AX751" s="188" t="s">
        <v>25</v>
      </c>
      <c r="AY751" s="234" t="s">
        <v>25</v>
      </c>
      <c r="AZ751" s="188" t="s">
        <v>25</v>
      </c>
      <c r="BA751" s="188" t="s">
        <v>25</v>
      </c>
      <c r="BB751" s="234" t="s">
        <v>25</v>
      </c>
      <c r="BC751" s="235" t="s">
        <v>25</v>
      </c>
      <c r="BD751" s="209"/>
    </row>
    <row r="752" spans="1:56" ht="12.75" customHeight="1" x14ac:dyDescent="0.25">
      <c r="A752" s="211">
        <v>55</v>
      </c>
      <c r="B752" s="137" t="s">
        <v>384</v>
      </c>
      <c r="C752" s="211" t="s">
        <v>595</v>
      </c>
      <c r="D752" s="211" t="s">
        <v>17</v>
      </c>
      <c r="E752" s="232" t="s">
        <v>605</v>
      </c>
      <c r="F752" s="188" t="s">
        <v>1326</v>
      </c>
      <c r="G752" s="211" t="s">
        <v>18</v>
      </c>
      <c r="H752" s="211">
        <v>16</v>
      </c>
      <c r="I752" s="188" t="s">
        <v>518</v>
      </c>
      <c r="J752" s="188" t="s">
        <v>560</v>
      </c>
      <c r="K752" s="209" t="s">
        <v>560</v>
      </c>
      <c r="L752" s="188" t="s">
        <v>531</v>
      </c>
      <c r="M752" s="188" t="s">
        <v>666</v>
      </c>
      <c r="N752" s="188"/>
      <c r="O752" s="211" t="s">
        <v>518</v>
      </c>
      <c r="P752" s="188" t="s">
        <v>841</v>
      </c>
      <c r="Q752" s="188" t="s">
        <v>25</v>
      </c>
      <c r="R752" s="188" t="s">
        <v>25</v>
      </c>
      <c r="S752" s="234" t="s">
        <v>25</v>
      </c>
      <c r="T752" s="188" t="s">
        <v>25</v>
      </c>
      <c r="U752" s="188" t="s">
        <v>25</v>
      </c>
      <c r="V752" s="234" t="s">
        <v>25</v>
      </c>
      <c r="W752" s="188" t="s">
        <v>25</v>
      </c>
      <c r="X752" s="188" t="s">
        <v>25</v>
      </c>
      <c r="Y752" s="234" t="s">
        <v>25</v>
      </c>
      <c r="Z752" s="188" t="s">
        <v>25</v>
      </c>
      <c r="AA752" s="188" t="s">
        <v>25</v>
      </c>
      <c r="AB752" s="234" t="s">
        <v>25</v>
      </c>
      <c r="AC752" s="235" t="s">
        <v>25</v>
      </c>
      <c r="AD752" s="188" t="s">
        <v>25</v>
      </c>
      <c r="AE752" s="188" t="s">
        <v>25</v>
      </c>
      <c r="AF752" s="234" t="s">
        <v>25</v>
      </c>
      <c r="AG752" s="188" t="s">
        <v>25</v>
      </c>
      <c r="AH752" s="188" t="s">
        <v>25</v>
      </c>
      <c r="AI752" s="234" t="s">
        <v>25</v>
      </c>
      <c r="AJ752" s="188" t="s">
        <v>25</v>
      </c>
      <c r="AK752" s="188" t="s">
        <v>25</v>
      </c>
      <c r="AL752" s="234" t="s">
        <v>25</v>
      </c>
      <c r="AM752" s="188" t="s">
        <v>25</v>
      </c>
      <c r="AN752" s="188" t="s">
        <v>25</v>
      </c>
      <c r="AO752" s="234" t="s">
        <v>25</v>
      </c>
      <c r="AP752" s="235" t="s">
        <v>25</v>
      </c>
      <c r="AQ752" s="188" t="s">
        <v>25</v>
      </c>
      <c r="AR752" s="188" t="s">
        <v>25</v>
      </c>
      <c r="AS752" s="234" t="s">
        <v>25</v>
      </c>
      <c r="AT752" s="188" t="s">
        <v>25</v>
      </c>
      <c r="AU752" s="188" t="s">
        <v>25</v>
      </c>
      <c r="AV752" s="234" t="s">
        <v>25</v>
      </c>
      <c r="AW752" s="188" t="s">
        <v>25</v>
      </c>
      <c r="AX752" s="188" t="s">
        <v>25</v>
      </c>
      <c r="AY752" s="234" t="s">
        <v>25</v>
      </c>
      <c r="AZ752" s="188" t="s">
        <v>25</v>
      </c>
      <c r="BA752" s="188" t="s">
        <v>25</v>
      </c>
      <c r="BB752" s="234" t="s">
        <v>25</v>
      </c>
      <c r="BC752" s="235" t="s">
        <v>25</v>
      </c>
      <c r="BD752" s="209"/>
    </row>
    <row r="753" spans="1:56" ht="12.75" customHeight="1" x14ac:dyDescent="0.25">
      <c r="A753" s="211">
        <v>61</v>
      </c>
      <c r="B753" s="137" t="s">
        <v>384</v>
      </c>
      <c r="C753" s="211" t="s">
        <v>595</v>
      </c>
      <c r="D753" s="211" t="s">
        <v>17</v>
      </c>
      <c r="E753" s="232" t="s">
        <v>605</v>
      </c>
      <c r="F753" s="188" t="s">
        <v>1327</v>
      </c>
      <c r="G753" s="211" t="s">
        <v>24</v>
      </c>
      <c r="H753" s="211">
        <v>16</v>
      </c>
      <c r="I753" s="188" t="s">
        <v>518</v>
      </c>
      <c r="J753" s="188" t="s">
        <v>560</v>
      </c>
      <c r="K753" s="209" t="s">
        <v>560</v>
      </c>
      <c r="L753" s="188" t="s">
        <v>531</v>
      </c>
      <c r="M753" s="188" t="s">
        <v>666</v>
      </c>
      <c r="N753" s="188"/>
      <c r="O753" s="211" t="s">
        <v>531</v>
      </c>
      <c r="P753" s="188" t="s">
        <v>640</v>
      </c>
      <c r="Q753" s="188" t="s">
        <v>25</v>
      </c>
      <c r="R753" s="188" t="s">
        <v>25</v>
      </c>
      <c r="S753" s="234" t="s">
        <v>25</v>
      </c>
      <c r="T753" s="188" t="s">
        <v>25</v>
      </c>
      <c r="U753" s="188" t="s">
        <v>25</v>
      </c>
      <c r="V753" s="234" t="s">
        <v>25</v>
      </c>
      <c r="W753" s="188" t="s">
        <v>306</v>
      </c>
      <c r="X753" s="188" t="s">
        <v>19</v>
      </c>
      <c r="Y753" s="234" t="s">
        <v>306</v>
      </c>
      <c r="Z753" s="188" t="s">
        <v>25</v>
      </c>
      <c r="AA753" s="188" t="s">
        <v>19</v>
      </c>
      <c r="AB753" s="234" t="s">
        <v>306</v>
      </c>
      <c r="AC753" s="235" t="s">
        <v>306</v>
      </c>
      <c r="AD753" s="188" t="s">
        <v>25</v>
      </c>
      <c r="AE753" s="188" t="s">
        <v>25</v>
      </c>
      <c r="AF753" s="234" t="s">
        <v>25</v>
      </c>
      <c r="AG753" s="188" t="s">
        <v>19</v>
      </c>
      <c r="AH753" s="188" t="s">
        <v>19</v>
      </c>
      <c r="AI753" s="234" t="s">
        <v>19</v>
      </c>
      <c r="AJ753" s="188" t="s">
        <v>25</v>
      </c>
      <c r="AK753" s="188" t="s">
        <v>25</v>
      </c>
      <c r="AL753" s="234" t="s">
        <v>25</v>
      </c>
      <c r="AM753" s="188" t="s">
        <v>19</v>
      </c>
      <c r="AN753" s="188" t="s">
        <v>19</v>
      </c>
      <c r="AO753" s="234" t="s">
        <v>19</v>
      </c>
      <c r="AP753" s="235" t="s">
        <v>306</v>
      </c>
      <c r="AQ753" s="188" t="s">
        <v>25</v>
      </c>
      <c r="AR753" s="188" t="s">
        <v>25</v>
      </c>
      <c r="AS753" s="234" t="s">
        <v>25</v>
      </c>
      <c r="AT753" s="188" t="s">
        <v>25</v>
      </c>
      <c r="AU753" s="188" t="s">
        <v>25</v>
      </c>
      <c r="AV753" s="234" t="s">
        <v>25</v>
      </c>
      <c r="AW753" s="188" t="s">
        <v>25</v>
      </c>
      <c r="AX753" s="188" t="s">
        <v>306</v>
      </c>
      <c r="AY753" s="234" t="s">
        <v>25</v>
      </c>
      <c r="AZ753" s="188" t="s">
        <v>25</v>
      </c>
      <c r="BA753" s="188" t="s">
        <v>25</v>
      </c>
      <c r="BB753" s="234" t="s">
        <v>25</v>
      </c>
      <c r="BC753" s="235" t="s">
        <v>25</v>
      </c>
      <c r="BD753" s="209"/>
    </row>
    <row r="754" spans="1:56" ht="12.75" customHeight="1" x14ac:dyDescent="0.25">
      <c r="A754" s="211">
        <v>62</v>
      </c>
      <c r="B754" s="137" t="s">
        <v>384</v>
      </c>
      <c r="C754" s="211" t="s">
        <v>595</v>
      </c>
      <c r="D754" s="211" t="s">
        <v>17</v>
      </c>
      <c r="E754" s="232" t="s">
        <v>605</v>
      </c>
      <c r="F754" s="188" t="s">
        <v>1328</v>
      </c>
      <c r="G754" s="211" t="s">
        <v>24</v>
      </c>
      <c r="H754" s="211">
        <v>15</v>
      </c>
      <c r="I754" s="188" t="s">
        <v>518</v>
      </c>
      <c r="J754" s="188" t="s">
        <v>560</v>
      </c>
      <c r="K754" s="209" t="s">
        <v>560</v>
      </c>
      <c r="L754" s="188" t="s">
        <v>531</v>
      </c>
      <c r="M754" s="188" t="s">
        <v>666</v>
      </c>
      <c r="N754" s="188"/>
      <c r="O754" s="211" t="s">
        <v>531</v>
      </c>
      <c r="P754" s="188" t="s">
        <v>640</v>
      </c>
      <c r="Q754" s="188" t="s">
        <v>306</v>
      </c>
      <c r="R754" s="188" t="s">
        <v>306</v>
      </c>
      <c r="S754" s="234" t="s">
        <v>306</v>
      </c>
      <c r="T754" s="188" t="s">
        <v>306</v>
      </c>
      <c r="U754" s="188" t="s">
        <v>25</v>
      </c>
      <c r="V754" s="234" t="s">
        <v>25</v>
      </c>
      <c r="W754" s="188" t="s">
        <v>306</v>
      </c>
      <c r="X754" s="188" t="s">
        <v>306</v>
      </c>
      <c r="Y754" s="234" t="s">
        <v>306</v>
      </c>
      <c r="Z754" s="188" t="s">
        <v>306</v>
      </c>
      <c r="AA754" s="188" t="s">
        <v>306</v>
      </c>
      <c r="AB754" s="234" t="s">
        <v>306</v>
      </c>
      <c r="AC754" s="235" t="s">
        <v>306</v>
      </c>
      <c r="AD754" s="188" t="s">
        <v>306</v>
      </c>
      <c r="AE754" s="188" t="s">
        <v>25</v>
      </c>
      <c r="AF754" s="234" t="s">
        <v>25</v>
      </c>
      <c r="AG754" s="188" t="s">
        <v>306</v>
      </c>
      <c r="AH754" s="188" t="s">
        <v>306</v>
      </c>
      <c r="AI754" s="234" t="s">
        <v>306</v>
      </c>
      <c r="AJ754" s="188" t="s">
        <v>306</v>
      </c>
      <c r="AK754" s="188" t="s">
        <v>19</v>
      </c>
      <c r="AL754" s="234" t="s">
        <v>306</v>
      </c>
      <c r="AM754" s="188" t="s">
        <v>19</v>
      </c>
      <c r="AN754" s="188" t="s">
        <v>306</v>
      </c>
      <c r="AO754" s="234" t="s">
        <v>306</v>
      </c>
      <c r="AP754" s="235" t="s">
        <v>306</v>
      </c>
      <c r="AQ754" s="188" t="s">
        <v>306</v>
      </c>
      <c r="AR754" s="188" t="s">
        <v>25</v>
      </c>
      <c r="AS754" s="234" t="s">
        <v>25</v>
      </c>
      <c r="AT754" s="188" t="s">
        <v>306</v>
      </c>
      <c r="AU754" s="188" t="s">
        <v>25</v>
      </c>
      <c r="AV754" s="234" t="s">
        <v>25</v>
      </c>
      <c r="AW754" s="188" t="s">
        <v>306</v>
      </c>
      <c r="AX754" s="188" t="s">
        <v>306</v>
      </c>
      <c r="AY754" s="234" t="s">
        <v>306</v>
      </c>
      <c r="AZ754" s="188" t="s">
        <v>25</v>
      </c>
      <c r="BA754" s="188" t="s">
        <v>25</v>
      </c>
      <c r="BB754" s="234" t="s">
        <v>25</v>
      </c>
      <c r="BC754" s="235" t="s">
        <v>25</v>
      </c>
      <c r="BD754" s="209"/>
    </row>
    <row r="755" spans="1:56" ht="12.75" customHeight="1" x14ac:dyDescent="0.25">
      <c r="A755" s="211">
        <v>64</v>
      </c>
      <c r="B755" s="137" t="s">
        <v>384</v>
      </c>
      <c r="C755" s="211" t="s">
        <v>595</v>
      </c>
      <c r="D755" s="211" t="s">
        <v>17</v>
      </c>
      <c r="E755" s="232" t="s">
        <v>605</v>
      </c>
      <c r="F755" s="188" t="s">
        <v>1329</v>
      </c>
      <c r="G755" s="211" t="s">
        <v>18</v>
      </c>
      <c r="H755" s="211">
        <v>15</v>
      </c>
      <c r="I755" s="188" t="s">
        <v>518</v>
      </c>
      <c r="J755" s="188" t="s">
        <v>560</v>
      </c>
      <c r="K755" s="209" t="s">
        <v>560</v>
      </c>
      <c r="L755" s="188" t="s">
        <v>531</v>
      </c>
      <c r="M755" s="188" t="s">
        <v>666</v>
      </c>
      <c r="N755" s="188"/>
      <c r="O755" s="211" t="s">
        <v>531</v>
      </c>
      <c r="P755" s="188" t="s">
        <v>640</v>
      </c>
      <c r="Q755" s="188" t="s">
        <v>306</v>
      </c>
      <c r="R755" s="188" t="s">
        <v>306</v>
      </c>
      <c r="S755" s="234" t="s">
        <v>306</v>
      </c>
      <c r="T755" s="188" t="s">
        <v>19</v>
      </c>
      <c r="U755" s="188" t="s">
        <v>25</v>
      </c>
      <c r="V755" s="234" t="s">
        <v>306</v>
      </c>
      <c r="W755" s="188" t="s">
        <v>306</v>
      </c>
      <c r="X755" s="188" t="s">
        <v>25</v>
      </c>
      <c r="Y755" s="234" t="s">
        <v>25</v>
      </c>
      <c r="Z755" s="188" t="s">
        <v>19</v>
      </c>
      <c r="AA755" s="188" t="s">
        <v>19</v>
      </c>
      <c r="AB755" s="234" t="s">
        <v>19</v>
      </c>
      <c r="AC755" s="235" t="s">
        <v>306</v>
      </c>
      <c r="AD755" s="188" t="s">
        <v>19</v>
      </c>
      <c r="AE755" s="188" t="s">
        <v>19</v>
      </c>
      <c r="AF755" s="234" t="s">
        <v>19</v>
      </c>
      <c r="AG755" s="188" t="s">
        <v>19</v>
      </c>
      <c r="AH755" s="188" t="s">
        <v>19</v>
      </c>
      <c r="AI755" s="234" t="s">
        <v>19</v>
      </c>
      <c r="AJ755" s="188" t="s">
        <v>306</v>
      </c>
      <c r="AK755" s="188" t="s">
        <v>19</v>
      </c>
      <c r="AL755" s="234" t="s">
        <v>306</v>
      </c>
      <c r="AM755" s="188" t="s">
        <v>19</v>
      </c>
      <c r="AN755" s="188" t="s">
        <v>19</v>
      </c>
      <c r="AO755" s="234" t="s">
        <v>19</v>
      </c>
      <c r="AP755" s="235" t="s">
        <v>19</v>
      </c>
      <c r="AQ755" s="188" t="s">
        <v>306</v>
      </c>
      <c r="AR755" s="188" t="s">
        <v>19</v>
      </c>
      <c r="AS755" s="234" t="s">
        <v>306</v>
      </c>
      <c r="AT755" s="188" t="s">
        <v>25</v>
      </c>
      <c r="AU755" s="188" t="s">
        <v>25</v>
      </c>
      <c r="AV755" s="234" t="s">
        <v>25</v>
      </c>
      <c r="AW755" s="188" t="s">
        <v>19</v>
      </c>
      <c r="AX755" s="188" t="s">
        <v>19</v>
      </c>
      <c r="AY755" s="234" t="s">
        <v>19</v>
      </c>
      <c r="AZ755" s="188" t="s">
        <v>306</v>
      </c>
      <c r="BA755" s="188" t="s">
        <v>25</v>
      </c>
      <c r="BB755" s="234" t="s">
        <v>25</v>
      </c>
      <c r="BC755" s="235" t="s">
        <v>25</v>
      </c>
      <c r="BD755" s="209"/>
    </row>
    <row r="756" spans="1:56" ht="12.75" customHeight="1" x14ac:dyDescent="0.25">
      <c r="A756" s="211">
        <v>66</v>
      </c>
      <c r="B756" s="137" t="s">
        <v>384</v>
      </c>
      <c r="C756" s="211" t="s">
        <v>595</v>
      </c>
      <c r="D756" s="211" t="s">
        <v>17</v>
      </c>
      <c r="E756" s="232" t="s">
        <v>605</v>
      </c>
      <c r="F756" s="188" t="s">
        <v>1330</v>
      </c>
      <c r="G756" s="211" t="s">
        <v>24</v>
      </c>
      <c r="H756" s="211">
        <v>18</v>
      </c>
      <c r="I756" s="188" t="s">
        <v>518</v>
      </c>
      <c r="J756" s="188" t="s">
        <v>560</v>
      </c>
      <c r="K756" s="209" t="s">
        <v>560</v>
      </c>
      <c r="L756" s="188" t="s">
        <v>531</v>
      </c>
      <c r="M756" s="188" t="s">
        <v>666</v>
      </c>
      <c r="N756" s="188"/>
      <c r="O756" s="211" t="s">
        <v>531</v>
      </c>
      <c r="P756" s="188" t="s">
        <v>640</v>
      </c>
      <c r="Q756" s="188" t="s">
        <v>306</v>
      </c>
      <c r="R756" s="188" t="s">
        <v>306</v>
      </c>
      <c r="S756" s="234" t="s">
        <v>306</v>
      </c>
      <c r="T756" s="188" t="s">
        <v>306</v>
      </c>
      <c r="U756" s="188" t="s">
        <v>306</v>
      </c>
      <c r="V756" s="234" t="s">
        <v>306</v>
      </c>
      <c r="W756" s="188" t="s">
        <v>306</v>
      </c>
      <c r="X756" s="188" t="s">
        <v>306</v>
      </c>
      <c r="Y756" s="234" t="s">
        <v>306</v>
      </c>
      <c r="Z756" s="188" t="s">
        <v>306</v>
      </c>
      <c r="AA756" s="188" t="s">
        <v>306</v>
      </c>
      <c r="AB756" s="234" t="s">
        <v>306</v>
      </c>
      <c r="AC756" s="235" t="s">
        <v>306</v>
      </c>
      <c r="AD756" s="188" t="s">
        <v>306</v>
      </c>
      <c r="AE756" s="188" t="s">
        <v>306</v>
      </c>
      <c r="AF756" s="234" t="s">
        <v>306</v>
      </c>
      <c r="AG756" s="188" t="s">
        <v>19</v>
      </c>
      <c r="AH756" s="188" t="s">
        <v>306</v>
      </c>
      <c r="AI756" s="234" t="s">
        <v>306</v>
      </c>
      <c r="AJ756" s="188" t="s">
        <v>306</v>
      </c>
      <c r="AK756" s="188" t="s">
        <v>306</v>
      </c>
      <c r="AL756" s="234" t="s">
        <v>306</v>
      </c>
      <c r="AM756" s="188" t="s">
        <v>19</v>
      </c>
      <c r="AN756" s="188" t="s">
        <v>19</v>
      </c>
      <c r="AO756" s="234" t="s">
        <v>19</v>
      </c>
      <c r="AP756" s="235" t="s">
        <v>306</v>
      </c>
      <c r="AQ756" s="188" t="s">
        <v>306</v>
      </c>
      <c r="AR756" s="188" t="s">
        <v>306</v>
      </c>
      <c r="AS756" s="234" t="s">
        <v>306</v>
      </c>
      <c r="AT756" s="188" t="s">
        <v>25</v>
      </c>
      <c r="AU756" s="188" t="s">
        <v>25</v>
      </c>
      <c r="AV756" s="234" t="s">
        <v>25</v>
      </c>
      <c r="AW756" s="188" t="s">
        <v>306</v>
      </c>
      <c r="AX756" s="188" t="s">
        <v>19</v>
      </c>
      <c r="AY756" s="234" t="s">
        <v>306</v>
      </c>
      <c r="AZ756" s="188" t="s">
        <v>19</v>
      </c>
      <c r="BA756" s="188" t="s">
        <v>306</v>
      </c>
      <c r="BB756" s="234" t="s">
        <v>25</v>
      </c>
      <c r="BC756" s="235" t="s">
        <v>25</v>
      </c>
      <c r="BD756" s="209"/>
    </row>
    <row r="757" spans="1:56" ht="12.75" customHeight="1" x14ac:dyDescent="0.25">
      <c r="A757" s="211">
        <v>69</v>
      </c>
      <c r="B757" s="137" t="s">
        <v>384</v>
      </c>
      <c r="C757" s="211" t="s">
        <v>595</v>
      </c>
      <c r="D757" s="211" t="s">
        <v>17</v>
      </c>
      <c r="E757" s="232" t="s">
        <v>605</v>
      </c>
      <c r="F757" s="188" t="s">
        <v>1331</v>
      </c>
      <c r="G757" s="211" t="s">
        <v>18</v>
      </c>
      <c r="H757" s="211">
        <v>15</v>
      </c>
      <c r="I757" s="188" t="s">
        <v>518</v>
      </c>
      <c r="J757" s="188" t="s">
        <v>560</v>
      </c>
      <c r="K757" s="209" t="s">
        <v>560</v>
      </c>
      <c r="L757" s="188" t="s">
        <v>531</v>
      </c>
      <c r="M757" s="188" t="s">
        <v>666</v>
      </c>
      <c r="N757" s="188"/>
      <c r="O757" s="211" t="s">
        <v>531</v>
      </c>
      <c r="P757" s="188" t="s">
        <v>640</v>
      </c>
      <c r="Q757" s="188" t="s">
        <v>25</v>
      </c>
      <c r="R757" s="188" t="s">
        <v>25</v>
      </c>
      <c r="S757" s="234" t="s">
        <v>25</v>
      </c>
      <c r="T757" s="188" t="s">
        <v>25</v>
      </c>
      <c r="U757" s="188" t="s">
        <v>25</v>
      </c>
      <c r="V757" s="234" t="s">
        <v>25</v>
      </c>
      <c r="W757" s="188" t="s">
        <v>306</v>
      </c>
      <c r="X757" s="188" t="s">
        <v>306</v>
      </c>
      <c r="Y757" s="234" t="s">
        <v>306</v>
      </c>
      <c r="Z757" s="188" t="s">
        <v>25</v>
      </c>
      <c r="AA757" s="188" t="s">
        <v>25</v>
      </c>
      <c r="AB757" s="234" t="s">
        <v>25</v>
      </c>
      <c r="AC757" s="235" t="s">
        <v>25</v>
      </c>
      <c r="AD757" s="188" t="s">
        <v>306</v>
      </c>
      <c r="AE757" s="188" t="s">
        <v>25</v>
      </c>
      <c r="AF757" s="234" t="s">
        <v>25</v>
      </c>
      <c r="AG757" s="188" t="s">
        <v>25</v>
      </c>
      <c r="AH757" s="188" t="s">
        <v>25</v>
      </c>
      <c r="AI757" s="234" t="s">
        <v>25</v>
      </c>
      <c r="AJ757" s="188" t="s">
        <v>25</v>
      </c>
      <c r="AK757" s="188" t="s">
        <v>25</v>
      </c>
      <c r="AL757" s="234" t="s">
        <v>25</v>
      </c>
      <c r="AM757" s="188" t="s">
        <v>25</v>
      </c>
      <c r="AN757" s="188" t="s">
        <v>25</v>
      </c>
      <c r="AO757" s="234" t="s">
        <v>25</v>
      </c>
      <c r="AP757" s="235" t="s">
        <v>25</v>
      </c>
      <c r="AQ757" s="188" t="s">
        <v>25</v>
      </c>
      <c r="AR757" s="188" t="s">
        <v>25</v>
      </c>
      <c r="AS757" s="234" t="s">
        <v>25</v>
      </c>
      <c r="AT757" s="188" t="s">
        <v>25</v>
      </c>
      <c r="AU757" s="188" t="s">
        <v>25</v>
      </c>
      <c r="AV757" s="234" t="s">
        <v>25</v>
      </c>
      <c r="AW757" s="188" t="s">
        <v>306</v>
      </c>
      <c r="AX757" s="188" t="s">
        <v>306</v>
      </c>
      <c r="AY757" s="234" t="s">
        <v>306</v>
      </c>
      <c r="AZ757" s="188" t="s">
        <v>25</v>
      </c>
      <c r="BA757" s="188" t="s">
        <v>25</v>
      </c>
      <c r="BB757" s="234" t="s">
        <v>25</v>
      </c>
      <c r="BC757" s="235" t="s">
        <v>25</v>
      </c>
      <c r="BD757" s="209"/>
    </row>
    <row r="758" spans="1:56" ht="12.75" customHeight="1" x14ac:dyDescent="0.25">
      <c r="A758" s="211">
        <v>70</v>
      </c>
      <c r="B758" s="137" t="s">
        <v>384</v>
      </c>
      <c r="C758" s="211" t="s">
        <v>595</v>
      </c>
      <c r="D758" s="211" t="s">
        <v>17</v>
      </c>
      <c r="E758" s="232" t="s">
        <v>605</v>
      </c>
      <c r="F758" s="188" t="s">
        <v>1332</v>
      </c>
      <c r="G758" s="211" t="s">
        <v>18</v>
      </c>
      <c r="H758" s="211">
        <v>16</v>
      </c>
      <c r="I758" s="188" t="s">
        <v>518</v>
      </c>
      <c r="J758" s="188" t="s">
        <v>560</v>
      </c>
      <c r="K758" s="209" t="s">
        <v>560</v>
      </c>
      <c r="L758" s="188" t="s">
        <v>531</v>
      </c>
      <c r="M758" s="188" t="s">
        <v>666</v>
      </c>
      <c r="N758" s="188"/>
      <c r="O758" s="211" t="s">
        <v>531</v>
      </c>
      <c r="P758" s="188" t="s">
        <v>640</v>
      </c>
      <c r="Q758" s="188" t="s">
        <v>306</v>
      </c>
      <c r="R758" s="188" t="s">
        <v>25</v>
      </c>
      <c r="S758" s="234" t="s">
        <v>25</v>
      </c>
      <c r="T758" s="188" t="s">
        <v>306</v>
      </c>
      <c r="U758" s="188" t="s">
        <v>306</v>
      </c>
      <c r="V758" s="234" t="s">
        <v>306</v>
      </c>
      <c r="W758" s="188" t="s">
        <v>19</v>
      </c>
      <c r="X758" s="188" t="s">
        <v>19</v>
      </c>
      <c r="Y758" s="234" t="s">
        <v>19</v>
      </c>
      <c r="Z758" s="188" t="s">
        <v>25</v>
      </c>
      <c r="AA758" s="188" t="s">
        <v>19</v>
      </c>
      <c r="AB758" s="234" t="s">
        <v>306</v>
      </c>
      <c r="AC758" s="235" t="s">
        <v>306</v>
      </c>
      <c r="AD758" s="188" t="s">
        <v>25</v>
      </c>
      <c r="AE758" s="188" t="s">
        <v>25</v>
      </c>
      <c r="AF758" s="234" t="s">
        <v>25</v>
      </c>
      <c r="AG758" s="188" t="s">
        <v>306</v>
      </c>
      <c r="AH758" s="188" t="s">
        <v>306</v>
      </c>
      <c r="AI758" s="234" t="s">
        <v>306</v>
      </c>
      <c r="AJ758" s="188" t="s">
        <v>306</v>
      </c>
      <c r="AK758" s="188" t="s">
        <v>19</v>
      </c>
      <c r="AL758" s="234" t="s">
        <v>306</v>
      </c>
      <c r="AM758" s="188" t="s">
        <v>19</v>
      </c>
      <c r="AN758" s="188" t="s">
        <v>306</v>
      </c>
      <c r="AO758" s="234" t="s">
        <v>306</v>
      </c>
      <c r="AP758" s="235" t="s">
        <v>306</v>
      </c>
      <c r="AQ758" s="188" t="s">
        <v>306</v>
      </c>
      <c r="AR758" s="188" t="s">
        <v>25</v>
      </c>
      <c r="AS758" s="234" t="s">
        <v>25</v>
      </c>
      <c r="AT758" s="188" t="s">
        <v>25</v>
      </c>
      <c r="AU758" s="188" t="s">
        <v>25</v>
      </c>
      <c r="AV758" s="234" t="s">
        <v>25</v>
      </c>
      <c r="AW758" s="188" t="s">
        <v>19</v>
      </c>
      <c r="AX758" s="188" t="s">
        <v>25</v>
      </c>
      <c r="AY758" s="234" t="s">
        <v>306</v>
      </c>
      <c r="AZ758" s="188" t="s">
        <v>25</v>
      </c>
      <c r="BA758" s="188" t="s">
        <v>25</v>
      </c>
      <c r="BB758" s="234" t="s">
        <v>25</v>
      </c>
      <c r="BC758" s="235" t="s">
        <v>25</v>
      </c>
      <c r="BD758" s="209"/>
    </row>
    <row r="759" spans="1:56" ht="12.75" customHeight="1" x14ac:dyDescent="0.25">
      <c r="A759" s="211">
        <v>73</v>
      </c>
      <c r="B759" s="137" t="s">
        <v>384</v>
      </c>
      <c r="C759" s="211" t="s">
        <v>595</v>
      </c>
      <c r="D759" s="211" t="s">
        <v>17</v>
      </c>
      <c r="E759" s="232" t="s">
        <v>605</v>
      </c>
      <c r="F759" s="188" t="s">
        <v>1333</v>
      </c>
      <c r="G759" s="211" t="s">
        <v>24</v>
      </c>
      <c r="H759" s="211">
        <v>15</v>
      </c>
      <c r="I759" s="188" t="s">
        <v>518</v>
      </c>
      <c r="J759" s="188" t="s">
        <v>560</v>
      </c>
      <c r="K759" s="209" t="s">
        <v>560</v>
      </c>
      <c r="L759" s="188" t="s">
        <v>518</v>
      </c>
      <c r="M759" s="188" t="s">
        <v>368</v>
      </c>
      <c r="N759" s="188"/>
      <c r="O759" s="211" t="s">
        <v>531</v>
      </c>
      <c r="P759" s="188" t="s">
        <v>640</v>
      </c>
      <c r="Q759" s="188" t="s">
        <v>306</v>
      </c>
      <c r="R759" s="188" t="s">
        <v>25</v>
      </c>
      <c r="S759" s="234" t="s">
        <v>25</v>
      </c>
      <c r="T759" s="188" t="s">
        <v>306</v>
      </c>
      <c r="U759" s="188" t="s">
        <v>19</v>
      </c>
      <c r="V759" s="234" t="s">
        <v>306</v>
      </c>
      <c r="W759" s="188" t="s">
        <v>306</v>
      </c>
      <c r="X759" s="188" t="s">
        <v>19</v>
      </c>
      <c r="Y759" s="234" t="s">
        <v>306</v>
      </c>
      <c r="Z759" s="188" t="s">
        <v>25</v>
      </c>
      <c r="AA759" s="188" t="s">
        <v>25</v>
      </c>
      <c r="AB759" s="234" t="s">
        <v>25</v>
      </c>
      <c r="AC759" s="235" t="s">
        <v>306</v>
      </c>
      <c r="AD759" s="188" t="s">
        <v>306</v>
      </c>
      <c r="AE759" s="188" t="s">
        <v>19</v>
      </c>
      <c r="AF759" s="234" t="s">
        <v>306</v>
      </c>
      <c r="AG759" s="188" t="s">
        <v>25</v>
      </c>
      <c r="AH759" s="188" t="s">
        <v>306</v>
      </c>
      <c r="AI759" s="234" t="s">
        <v>25</v>
      </c>
      <c r="AJ759" s="188" t="s">
        <v>306</v>
      </c>
      <c r="AK759" s="188" t="s">
        <v>306</v>
      </c>
      <c r="AL759" s="234" t="s">
        <v>306</v>
      </c>
      <c r="AM759" s="188" t="s">
        <v>19</v>
      </c>
      <c r="AN759" s="188" t="s">
        <v>19</v>
      </c>
      <c r="AO759" s="234" t="s">
        <v>19</v>
      </c>
      <c r="AP759" s="235" t="s">
        <v>306</v>
      </c>
      <c r="AQ759" s="188" t="s">
        <v>25</v>
      </c>
      <c r="AR759" s="188" t="s">
        <v>25</v>
      </c>
      <c r="AS759" s="234" t="s">
        <v>25</v>
      </c>
      <c r="AT759" s="188" t="s">
        <v>25</v>
      </c>
      <c r="AU759" s="188" t="s">
        <v>25</v>
      </c>
      <c r="AV759" s="234" t="s">
        <v>25</v>
      </c>
      <c r="AW759" s="188" t="s">
        <v>25</v>
      </c>
      <c r="AX759" s="188" t="s">
        <v>25</v>
      </c>
      <c r="AY759" s="234" t="s">
        <v>25</v>
      </c>
      <c r="AZ759" s="188" t="s">
        <v>25</v>
      </c>
      <c r="BA759" s="188" t="s">
        <v>25</v>
      </c>
      <c r="BB759" s="234" t="s">
        <v>25</v>
      </c>
      <c r="BC759" s="235" t="s">
        <v>306</v>
      </c>
      <c r="BD759" s="209"/>
    </row>
    <row r="760" spans="1:56" ht="12.75" customHeight="1" x14ac:dyDescent="0.25">
      <c r="A760" s="238">
        <v>45260.406622581024</v>
      </c>
      <c r="B760" s="233" t="s">
        <v>395</v>
      </c>
      <c r="C760" s="209" t="s">
        <v>587</v>
      </c>
      <c r="D760" s="232" t="s">
        <v>17</v>
      </c>
      <c r="E760" s="232" t="s">
        <v>515</v>
      </c>
      <c r="F760" s="209" t="s">
        <v>1334</v>
      </c>
      <c r="G760" s="232" t="s">
        <v>24</v>
      </c>
      <c r="H760" s="232">
        <v>12</v>
      </c>
      <c r="I760" s="209" t="s">
        <v>518</v>
      </c>
      <c r="J760" s="209" t="s">
        <v>560</v>
      </c>
      <c r="K760" s="209" t="s">
        <v>560</v>
      </c>
      <c r="L760" s="209" t="s">
        <v>531</v>
      </c>
      <c r="M760" s="188"/>
      <c r="N760" s="188"/>
      <c r="O760" s="188"/>
      <c r="P760" s="188"/>
      <c r="Q760" s="209" t="s">
        <v>306</v>
      </c>
      <c r="R760" s="209" t="s">
        <v>19</v>
      </c>
      <c r="S760" s="234" t="s">
        <v>306</v>
      </c>
      <c r="T760" s="209" t="s">
        <v>19</v>
      </c>
      <c r="U760" s="209" t="s">
        <v>25</v>
      </c>
      <c r="V760" s="234" t="s">
        <v>306</v>
      </c>
      <c r="W760" s="209" t="s">
        <v>19</v>
      </c>
      <c r="X760" s="209" t="s">
        <v>19</v>
      </c>
      <c r="Y760" s="234" t="s">
        <v>19</v>
      </c>
      <c r="Z760" s="209" t="s">
        <v>19</v>
      </c>
      <c r="AA760" s="209" t="s">
        <v>19</v>
      </c>
      <c r="AB760" s="234" t="s">
        <v>19</v>
      </c>
      <c r="AC760" s="235" t="s">
        <v>19</v>
      </c>
      <c r="AD760" s="209" t="s">
        <v>306</v>
      </c>
      <c r="AE760" s="209" t="s">
        <v>25</v>
      </c>
      <c r="AF760" s="234" t="s">
        <v>25</v>
      </c>
      <c r="AG760" s="209" t="s">
        <v>19</v>
      </c>
      <c r="AH760" s="209" t="s">
        <v>19</v>
      </c>
      <c r="AI760" s="234" t="s">
        <v>19</v>
      </c>
      <c r="AJ760" s="209" t="s">
        <v>19</v>
      </c>
      <c r="AK760" s="209" t="s">
        <v>19</v>
      </c>
      <c r="AL760" s="234" t="s">
        <v>19</v>
      </c>
      <c r="AM760" s="209" t="s">
        <v>19</v>
      </c>
      <c r="AN760" s="209" t="s">
        <v>19</v>
      </c>
      <c r="AO760" s="234" t="s">
        <v>19</v>
      </c>
      <c r="AP760" s="235" t="s">
        <v>19</v>
      </c>
      <c r="AQ760" s="209" t="s">
        <v>25</v>
      </c>
      <c r="AR760" s="209" t="s">
        <v>19</v>
      </c>
      <c r="AS760" s="234" t="s">
        <v>306</v>
      </c>
      <c r="AT760" s="209" t="s">
        <v>25</v>
      </c>
      <c r="AU760" s="209" t="s">
        <v>25</v>
      </c>
      <c r="AV760" s="234" t="s">
        <v>25</v>
      </c>
      <c r="AW760" s="209" t="s">
        <v>25</v>
      </c>
      <c r="AX760" s="209" t="s">
        <v>25</v>
      </c>
      <c r="AY760" s="234" t="s">
        <v>25</v>
      </c>
      <c r="AZ760" s="209" t="s">
        <v>19</v>
      </c>
      <c r="BA760" s="209" t="s">
        <v>25</v>
      </c>
      <c r="BB760" s="234" t="s">
        <v>25</v>
      </c>
      <c r="BC760" s="235" t="s">
        <v>306</v>
      </c>
      <c r="BD760" s="209"/>
    </row>
    <row r="761" spans="1:56" ht="12.75" customHeight="1" x14ac:dyDescent="0.25">
      <c r="A761" s="238">
        <v>45261.361604664351</v>
      </c>
      <c r="B761" s="233" t="s">
        <v>395</v>
      </c>
      <c r="C761" s="209" t="s">
        <v>587</v>
      </c>
      <c r="D761" s="232" t="s">
        <v>17</v>
      </c>
      <c r="E761" s="232" t="s">
        <v>515</v>
      </c>
      <c r="F761" s="209" t="s">
        <v>1335</v>
      </c>
      <c r="G761" s="232" t="s">
        <v>18</v>
      </c>
      <c r="H761" s="232">
        <v>12</v>
      </c>
      <c r="I761" s="209" t="s">
        <v>518</v>
      </c>
      <c r="J761" s="209" t="s">
        <v>560</v>
      </c>
      <c r="K761" s="209" t="s">
        <v>560</v>
      </c>
      <c r="L761" s="209" t="s">
        <v>518</v>
      </c>
      <c r="M761" s="209" t="s">
        <v>375</v>
      </c>
      <c r="N761" s="209" t="s">
        <v>589</v>
      </c>
      <c r="O761" s="209"/>
      <c r="P761" s="209"/>
      <c r="Q761" s="209" t="s">
        <v>306</v>
      </c>
      <c r="R761" s="209" t="s">
        <v>25</v>
      </c>
      <c r="S761" s="234" t="s">
        <v>25</v>
      </c>
      <c r="T761" s="209" t="s">
        <v>25</v>
      </c>
      <c r="U761" s="209" t="s">
        <v>25</v>
      </c>
      <c r="V761" s="234" t="s">
        <v>25</v>
      </c>
      <c r="W761" s="209" t="s">
        <v>306</v>
      </c>
      <c r="X761" s="209" t="s">
        <v>306</v>
      </c>
      <c r="Y761" s="234" t="s">
        <v>306</v>
      </c>
      <c r="Z761" s="209" t="s">
        <v>25</v>
      </c>
      <c r="AA761" s="209" t="s">
        <v>25</v>
      </c>
      <c r="AB761" s="234" t="s">
        <v>25</v>
      </c>
      <c r="AC761" s="235" t="s">
        <v>25</v>
      </c>
      <c r="AD761" s="209" t="s">
        <v>306</v>
      </c>
      <c r="AE761" s="209" t="s">
        <v>306</v>
      </c>
      <c r="AF761" s="234" t="s">
        <v>306</v>
      </c>
      <c r="AG761" s="209" t="s">
        <v>306</v>
      </c>
      <c r="AH761" s="209" t="s">
        <v>306</v>
      </c>
      <c r="AI761" s="234" t="s">
        <v>306</v>
      </c>
      <c r="AJ761" s="209" t="s">
        <v>306</v>
      </c>
      <c r="AK761" s="209" t="s">
        <v>19</v>
      </c>
      <c r="AL761" s="234" t="s">
        <v>306</v>
      </c>
      <c r="AM761" s="209" t="s">
        <v>25</v>
      </c>
      <c r="AN761" s="209" t="s">
        <v>306</v>
      </c>
      <c r="AO761" s="234" t="s">
        <v>25</v>
      </c>
      <c r="AP761" s="235" t="s">
        <v>306</v>
      </c>
      <c r="AQ761" s="209" t="s">
        <v>25</v>
      </c>
      <c r="AR761" s="209" t="s">
        <v>306</v>
      </c>
      <c r="AS761" s="234" t="s">
        <v>25</v>
      </c>
      <c r="AT761" s="209" t="s">
        <v>25</v>
      </c>
      <c r="AU761" s="209" t="s">
        <v>25</v>
      </c>
      <c r="AV761" s="234" t="s">
        <v>25</v>
      </c>
      <c r="AW761" s="209" t="s">
        <v>25</v>
      </c>
      <c r="AX761" s="209" t="s">
        <v>25</v>
      </c>
      <c r="AY761" s="234" t="s">
        <v>25</v>
      </c>
      <c r="AZ761" s="209" t="s">
        <v>25</v>
      </c>
      <c r="BA761" s="209" t="s">
        <v>25</v>
      </c>
      <c r="BB761" s="234" t="s">
        <v>25</v>
      </c>
      <c r="BC761" s="235" t="s">
        <v>25</v>
      </c>
      <c r="BD761" s="209"/>
    </row>
    <row r="762" spans="1:56" ht="12.75" customHeight="1" x14ac:dyDescent="0.25">
      <c r="A762" s="238">
        <v>45261.406643553244</v>
      </c>
      <c r="B762" s="233" t="s">
        <v>395</v>
      </c>
      <c r="C762" s="209" t="s">
        <v>587</v>
      </c>
      <c r="D762" s="232" t="s">
        <v>17</v>
      </c>
      <c r="E762" s="232" t="s">
        <v>515</v>
      </c>
      <c r="F762" s="209" t="s">
        <v>1336</v>
      </c>
      <c r="G762" s="232" t="s">
        <v>18</v>
      </c>
      <c r="H762" s="232">
        <v>11</v>
      </c>
      <c r="I762" s="209" t="s">
        <v>518</v>
      </c>
      <c r="J762" s="209" t="s">
        <v>560</v>
      </c>
      <c r="K762" s="209" t="s">
        <v>560</v>
      </c>
      <c r="L762" s="209" t="s">
        <v>518</v>
      </c>
      <c r="M762" s="209" t="s">
        <v>389</v>
      </c>
      <c r="N762" s="209" t="s">
        <v>589</v>
      </c>
      <c r="O762" s="209"/>
      <c r="P762" s="209"/>
      <c r="Q762" s="209" t="s">
        <v>25</v>
      </c>
      <c r="R762" s="209" t="s">
        <v>25</v>
      </c>
      <c r="S762" s="234" t="s">
        <v>25</v>
      </c>
      <c r="T762" s="209" t="s">
        <v>25</v>
      </c>
      <c r="U762" s="209" t="s">
        <v>25</v>
      </c>
      <c r="V762" s="234" t="s">
        <v>25</v>
      </c>
      <c r="W762" s="209" t="s">
        <v>25</v>
      </c>
      <c r="X762" s="209" t="s">
        <v>25</v>
      </c>
      <c r="Y762" s="234" t="s">
        <v>25</v>
      </c>
      <c r="Z762" s="209" t="s">
        <v>25</v>
      </c>
      <c r="AA762" s="209" t="s">
        <v>25</v>
      </c>
      <c r="AB762" s="234" t="s">
        <v>25</v>
      </c>
      <c r="AC762" s="235" t="s">
        <v>25</v>
      </c>
      <c r="AD762" s="209" t="s">
        <v>25</v>
      </c>
      <c r="AE762" s="209" t="s">
        <v>25</v>
      </c>
      <c r="AF762" s="234" t="s">
        <v>25</v>
      </c>
      <c r="AG762" s="209" t="s">
        <v>25</v>
      </c>
      <c r="AH762" s="209" t="s">
        <v>25</v>
      </c>
      <c r="AI762" s="234" t="s">
        <v>25</v>
      </c>
      <c r="AJ762" s="209" t="s">
        <v>25</v>
      </c>
      <c r="AK762" s="209" t="s">
        <v>306</v>
      </c>
      <c r="AL762" s="234" t="s">
        <v>25</v>
      </c>
      <c r="AM762" s="209" t="s">
        <v>19</v>
      </c>
      <c r="AN762" s="209" t="s">
        <v>306</v>
      </c>
      <c r="AO762" s="234" t="s">
        <v>306</v>
      </c>
      <c r="AP762" s="235" t="s">
        <v>25</v>
      </c>
      <c r="AQ762" s="209" t="s">
        <v>25</v>
      </c>
      <c r="AR762" s="209" t="s">
        <v>25</v>
      </c>
      <c r="AS762" s="234" t="s">
        <v>25</v>
      </c>
      <c r="AT762" s="209" t="s">
        <v>25</v>
      </c>
      <c r="AU762" s="209" t="s">
        <v>25</v>
      </c>
      <c r="AV762" s="234" t="s">
        <v>25</v>
      </c>
      <c r="AW762" s="209" t="s">
        <v>25</v>
      </c>
      <c r="AX762" s="209" t="s">
        <v>19</v>
      </c>
      <c r="AY762" s="234" t="s">
        <v>306</v>
      </c>
      <c r="AZ762" s="209" t="s">
        <v>25</v>
      </c>
      <c r="BA762" s="209" t="s">
        <v>25</v>
      </c>
      <c r="BB762" s="234" t="s">
        <v>25</v>
      </c>
      <c r="BC762" s="235" t="s">
        <v>25</v>
      </c>
      <c r="BD762" s="209"/>
    </row>
    <row r="763" spans="1:56" ht="12.75" customHeight="1" x14ac:dyDescent="0.25">
      <c r="A763" s="238">
        <v>45261.4103721875</v>
      </c>
      <c r="B763" s="233" t="s">
        <v>395</v>
      </c>
      <c r="C763" s="209" t="s">
        <v>587</v>
      </c>
      <c r="D763" s="232" t="s">
        <v>17</v>
      </c>
      <c r="E763" s="232" t="s">
        <v>515</v>
      </c>
      <c r="F763" s="209" t="s">
        <v>1337</v>
      </c>
      <c r="G763" s="232" t="s">
        <v>24</v>
      </c>
      <c r="H763" s="232">
        <v>12</v>
      </c>
      <c r="I763" s="209" t="s">
        <v>518</v>
      </c>
      <c r="J763" s="209" t="s">
        <v>560</v>
      </c>
      <c r="K763" s="209" t="s">
        <v>560</v>
      </c>
      <c r="L763" s="209" t="s">
        <v>518</v>
      </c>
      <c r="M763" s="209" t="s">
        <v>375</v>
      </c>
      <c r="N763" s="209" t="s">
        <v>589</v>
      </c>
      <c r="O763" s="209"/>
      <c r="P763" s="209"/>
      <c r="Q763" s="209" t="s">
        <v>25</v>
      </c>
      <c r="R763" s="209" t="s">
        <v>25</v>
      </c>
      <c r="S763" s="234" t="s">
        <v>25</v>
      </c>
      <c r="T763" s="209" t="s">
        <v>25</v>
      </c>
      <c r="U763" s="209" t="s">
        <v>25</v>
      </c>
      <c r="V763" s="234" t="s">
        <v>25</v>
      </c>
      <c r="W763" s="209" t="s">
        <v>25</v>
      </c>
      <c r="X763" s="209" t="s">
        <v>25</v>
      </c>
      <c r="Y763" s="234" t="s">
        <v>25</v>
      </c>
      <c r="Z763" s="209" t="s">
        <v>25</v>
      </c>
      <c r="AA763" s="209" t="s">
        <v>25</v>
      </c>
      <c r="AB763" s="234" t="s">
        <v>25</v>
      </c>
      <c r="AC763" s="235" t="s">
        <v>25</v>
      </c>
      <c r="AD763" s="209" t="s">
        <v>25</v>
      </c>
      <c r="AE763" s="209" t="s">
        <v>25</v>
      </c>
      <c r="AF763" s="234" t="s">
        <v>25</v>
      </c>
      <c r="AG763" s="209" t="s">
        <v>25</v>
      </c>
      <c r="AH763" s="209" t="s">
        <v>25</v>
      </c>
      <c r="AI763" s="234" t="s">
        <v>25</v>
      </c>
      <c r="AJ763" s="209" t="s">
        <v>25</v>
      </c>
      <c r="AK763" s="209" t="s">
        <v>306</v>
      </c>
      <c r="AL763" s="234" t="s">
        <v>25</v>
      </c>
      <c r="AM763" s="209" t="s">
        <v>19</v>
      </c>
      <c r="AN763" s="209" t="s">
        <v>19</v>
      </c>
      <c r="AO763" s="234" t="s">
        <v>19</v>
      </c>
      <c r="AP763" s="235" t="s">
        <v>306</v>
      </c>
      <c r="AQ763" s="209" t="s">
        <v>25</v>
      </c>
      <c r="AR763" s="209" t="s">
        <v>25</v>
      </c>
      <c r="AS763" s="234" t="s">
        <v>25</v>
      </c>
      <c r="AT763" s="209" t="s">
        <v>25</v>
      </c>
      <c r="AU763" s="209" t="s">
        <v>25</v>
      </c>
      <c r="AV763" s="234" t="s">
        <v>25</v>
      </c>
      <c r="AW763" s="209" t="s">
        <v>25</v>
      </c>
      <c r="AX763" s="209" t="s">
        <v>25</v>
      </c>
      <c r="AY763" s="234" t="s">
        <v>25</v>
      </c>
      <c r="AZ763" s="209" t="s">
        <v>25</v>
      </c>
      <c r="BA763" s="209" t="s">
        <v>25</v>
      </c>
      <c r="BB763" s="234" t="s">
        <v>25</v>
      </c>
      <c r="BC763" s="235" t="s">
        <v>25</v>
      </c>
      <c r="BD763" s="209"/>
    </row>
    <row r="764" spans="1:56" ht="12.75" customHeight="1" x14ac:dyDescent="0.25">
      <c r="A764" s="238">
        <v>45261.41368622685</v>
      </c>
      <c r="B764" s="233" t="s">
        <v>395</v>
      </c>
      <c r="C764" s="209" t="s">
        <v>587</v>
      </c>
      <c r="D764" s="232" t="s">
        <v>17</v>
      </c>
      <c r="E764" s="232" t="s">
        <v>515</v>
      </c>
      <c r="F764" s="209" t="s">
        <v>1338</v>
      </c>
      <c r="G764" s="232" t="s">
        <v>24</v>
      </c>
      <c r="H764" s="232">
        <v>12</v>
      </c>
      <c r="I764" s="209" t="s">
        <v>518</v>
      </c>
      <c r="J764" s="209" t="s">
        <v>560</v>
      </c>
      <c r="K764" s="209" t="s">
        <v>560</v>
      </c>
      <c r="L764" s="209" t="s">
        <v>518</v>
      </c>
      <c r="M764" s="209" t="s">
        <v>375</v>
      </c>
      <c r="N764" s="209" t="s">
        <v>589</v>
      </c>
      <c r="O764" s="209"/>
      <c r="P764" s="209"/>
      <c r="Q764" s="209" t="s">
        <v>25</v>
      </c>
      <c r="R764" s="209" t="s">
        <v>25</v>
      </c>
      <c r="S764" s="234" t="s">
        <v>25</v>
      </c>
      <c r="T764" s="209" t="s">
        <v>25</v>
      </c>
      <c r="U764" s="209" t="s">
        <v>25</v>
      </c>
      <c r="V764" s="234" t="s">
        <v>25</v>
      </c>
      <c r="W764" s="209" t="s">
        <v>25</v>
      </c>
      <c r="X764" s="209" t="s">
        <v>25</v>
      </c>
      <c r="Y764" s="234" t="s">
        <v>25</v>
      </c>
      <c r="Z764" s="209" t="s">
        <v>25</v>
      </c>
      <c r="AA764" s="209" t="s">
        <v>25</v>
      </c>
      <c r="AB764" s="234" t="s">
        <v>25</v>
      </c>
      <c r="AC764" s="235" t="s">
        <v>25</v>
      </c>
      <c r="AD764" s="209" t="s">
        <v>25</v>
      </c>
      <c r="AE764" s="209" t="s">
        <v>25</v>
      </c>
      <c r="AF764" s="234" t="s">
        <v>25</v>
      </c>
      <c r="AG764" s="209" t="s">
        <v>25</v>
      </c>
      <c r="AH764" s="209" t="s">
        <v>25</v>
      </c>
      <c r="AI764" s="234" t="s">
        <v>25</v>
      </c>
      <c r="AJ764" s="209" t="s">
        <v>25</v>
      </c>
      <c r="AK764" s="209" t="s">
        <v>25</v>
      </c>
      <c r="AL764" s="234" t="s">
        <v>25</v>
      </c>
      <c r="AM764" s="209" t="s">
        <v>19</v>
      </c>
      <c r="AN764" s="209" t="s">
        <v>19</v>
      </c>
      <c r="AO764" s="234" t="s">
        <v>19</v>
      </c>
      <c r="AP764" s="235" t="s">
        <v>25</v>
      </c>
      <c r="AQ764" s="209" t="s">
        <v>25</v>
      </c>
      <c r="AR764" s="209" t="s">
        <v>25</v>
      </c>
      <c r="AS764" s="234" t="s">
        <v>25</v>
      </c>
      <c r="AT764" s="209" t="s">
        <v>25</v>
      </c>
      <c r="AU764" s="209" t="s">
        <v>25</v>
      </c>
      <c r="AV764" s="234" t="s">
        <v>25</v>
      </c>
      <c r="AW764" s="209" t="s">
        <v>25</v>
      </c>
      <c r="AX764" s="209" t="s">
        <v>25</v>
      </c>
      <c r="AY764" s="234" t="s">
        <v>25</v>
      </c>
      <c r="AZ764" s="209" t="s">
        <v>25</v>
      </c>
      <c r="BA764" s="209" t="s">
        <v>25</v>
      </c>
      <c r="BB764" s="234" t="s">
        <v>25</v>
      </c>
      <c r="BC764" s="235" t="s">
        <v>25</v>
      </c>
      <c r="BD764" s="209"/>
    </row>
    <row r="765" spans="1:56" ht="12.75" customHeight="1" x14ac:dyDescent="0.25">
      <c r="A765" s="238">
        <v>45261.417228946761</v>
      </c>
      <c r="B765" s="233" t="s">
        <v>395</v>
      </c>
      <c r="C765" s="209" t="s">
        <v>587</v>
      </c>
      <c r="D765" s="232" t="s">
        <v>17</v>
      </c>
      <c r="E765" s="232" t="s">
        <v>515</v>
      </c>
      <c r="F765" s="209" t="s">
        <v>1339</v>
      </c>
      <c r="G765" s="232" t="s">
        <v>18</v>
      </c>
      <c r="H765" s="232">
        <v>12</v>
      </c>
      <c r="I765" s="209" t="s">
        <v>518</v>
      </c>
      <c r="J765" s="209" t="s">
        <v>560</v>
      </c>
      <c r="K765" s="209" t="s">
        <v>560</v>
      </c>
      <c r="L765" s="209" t="s">
        <v>518</v>
      </c>
      <c r="M765" s="209" t="s">
        <v>375</v>
      </c>
      <c r="N765" s="209" t="s">
        <v>589</v>
      </c>
      <c r="O765" s="209"/>
      <c r="P765" s="209"/>
      <c r="Q765" s="209" t="s">
        <v>25</v>
      </c>
      <c r="R765" s="209" t="s">
        <v>25</v>
      </c>
      <c r="S765" s="234" t="s">
        <v>25</v>
      </c>
      <c r="T765" s="209" t="s">
        <v>25</v>
      </c>
      <c r="U765" s="209" t="s">
        <v>25</v>
      </c>
      <c r="V765" s="234" t="s">
        <v>25</v>
      </c>
      <c r="W765" s="209" t="s">
        <v>25</v>
      </c>
      <c r="X765" s="209" t="s">
        <v>19</v>
      </c>
      <c r="Y765" s="234" t="s">
        <v>306</v>
      </c>
      <c r="Z765" s="209" t="s">
        <v>19</v>
      </c>
      <c r="AA765" s="209" t="s">
        <v>306</v>
      </c>
      <c r="AB765" s="234" t="s">
        <v>306</v>
      </c>
      <c r="AC765" s="235" t="s">
        <v>306</v>
      </c>
      <c r="AD765" s="209" t="s">
        <v>306</v>
      </c>
      <c r="AE765" s="209" t="s">
        <v>25</v>
      </c>
      <c r="AF765" s="234" t="s">
        <v>25</v>
      </c>
      <c r="AG765" s="209" t="s">
        <v>306</v>
      </c>
      <c r="AH765" s="209" t="s">
        <v>19</v>
      </c>
      <c r="AI765" s="234" t="s">
        <v>306</v>
      </c>
      <c r="AJ765" s="209" t="s">
        <v>25</v>
      </c>
      <c r="AK765" s="209" t="s">
        <v>19</v>
      </c>
      <c r="AL765" s="234" t="s">
        <v>306</v>
      </c>
      <c r="AM765" s="209" t="s">
        <v>19</v>
      </c>
      <c r="AN765" s="209" t="s">
        <v>19</v>
      </c>
      <c r="AO765" s="234" t="s">
        <v>19</v>
      </c>
      <c r="AP765" s="235" t="s">
        <v>306</v>
      </c>
      <c r="AQ765" s="209" t="s">
        <v>19</v>
      </c>
      <c r="AR765" s="209" t="s">
        <v>25</v>
      </c>
      <c r="AS765" s="234" t="s">
        <v>306</v>
      </c>
      <c r="AT765" s="209" t="s">
        <v>25</v>
      </c>
      <c r="AU765" s="209" t="s">
        <v>306</v>
      </c>
      <c r="AV765" s="234" t="s">
        <v>25</v>
      </c>
      <c r="AW765" s="209" t="s">
        <v>306</v>
      </c>
      <c r="AX765" s="209" t="s">
        <v>19</v>
      </c>
      <c r="AY765" s="234" t="s">
        <v>306</v>
      </c>
      <c r="AZ765" s="209" t="s">
        <v>25</v>
      </c>
      <c r="BA765" s="209" t="s">
        <v>19</v>
      </c>
      <c r="BB765" s="234" t="s">
        <v>25</v>
      </c>
      <c r="BC765" s="235" t="s">
        <v>25</v>
      </c>
      <c r="BD765" s="209"/>
    </row>
    <row r="766" spans="1:56" ht="12.75" customHeight="1" x14ac:dyDescent="0.25">
      <c r="A766" s="238">
        <v>45261.420721666669</v>
      </c>
      <c r="B766" s="233" t="s">
        <v>395</v>
      </c>
      <c r="C766" s="209" t="s">
        <v>587</v>
      </c>
      <c r="D766" s="232" t="s">
        <v>17</v>
      </c>
      <c r="E766" s="232" t="s">
        <v>515</v>
      </c>
      <c r="F766" s="209" t="s">
        <v>1340</v>
      </c>
      <c r="G766" s="232" t="s">
        <v>18</v>
      </c>
      <c r="H766" s="232">
        <v>12</v>
      </c>
      <c r="I766" s="209" t="s">
        <v>518</v>
      </c>
      <c r="J766" s="209" t="s">
        <v>560</v>
      </c>
      <c r="K766" s="209" t="s">
        <v>560</v>
      </c>
      <c r="L766" s="209" t="s">
        <v>518</v>
      </c>
      <c r="M766" s="209" t="s">
        <v>375</v>
      </c>
      <c r="N766" s="209" t="s">
        <v>589</v>
      </c>
      <c r="O766" s="209"/>
      <c r="P766" s="209"/>
      <c r="Q766" s="209" t="s">
        <v>25</v>
      </c>
      <c r="R766" s="209" t="s">
        <v>19</v>
      </c>
      <c r="S766" s="234" t="s">
        <v>306</v>
      </c>
      <c r="T766" s="209" t="s">
        <v>306</v>
      </c>
      <c r="U766" s="209" t="s">
        <v>25</v>
      </c>
      <c r="V766" s="234" t="s">
        <v>25</v>
      </c>
      <c r="W766" s="209" t="s">
        <v>306</v>
      </c>
      <c r="X766" s="209" t="s">
        <v>25</v>
      </c>
      <c r="Y766" s="234" t="s">
        <v>25</v>
      </c>
      <c r="Z766" s="209" t="s">
        <v>306</v>
      </c>
      <c r="AA766" s="209" t="s">
        <v>19</v>
      </c>
      <c r="AB766" s="234" t="s">
        <v>306</v>
      </c>
      <c r="AC766" s="235" t="s">
        <v>306</v>
      </c>
      <c r="AD766" s="209" t="s">
        <v>306</v>
      </c>
      <c r="AE766" s="209" t="s">
        <v>25</v>
      </c>
      <c r="AF766" s="234" t="s">
        <v>25</v>
      </c>
      <c r="AG766" s="209" t="s">
        <v>306</v>
      </c>
      <c r="AH766" s="209" t="s">
        <v>19</v>
      </c>
      <c r="AI766" s="234" t="s">
        <v>306</v>
      </c>
      <c r="AJ766" s="209" t="s">
        <v>19</v>
      </c>
      <c r="AK766" s="209" t="s">
        <v>25</v>
      </c>
      <c r="AL766" s="234" t="s">
        <v>306</v>
      </c>
      <c r="AM766" s="209" t="s">
        <v>306</v>
      </c>
      <c r="AN766" s="209" t="s">
        <v>306</v>
      </c>
      <c r="AO766" s="234" t="s">
        <v>306</v>
      </c>
      <c r="AP766" s="235" t="s">
        <v>306</v>
      </c>
      <c r="AQ766" s="209" t="s">
        <v>19</v>
      </c>
      <c r="AR766" s="209" t="s">
        <v>25</v>
      </c>
      <c r="AS766" s="234" t="s">
        <v>306</v>
      </c>
      <c r="AT766" s="209" t="s">
        <v>306</v>
      </c>
      <c r="AU766" s="209" t="s">
        <v>25</v>
      </c>
      <c r="AV766" s="234" t="s">
        <v>25</v>
      </c>
      <c r="AW766" s="209" t="s">
        <v>306</v>
      </c>
      <c r="AX766" s="209" t="s">
        <v>19</v>
      </c>
      <c r="AY766" s="234" t="s">
        <v>306</v>
      </c>
      <c r="AZ766" s="209" t="s">
        <v>25</v>
      </c>
      <c r="BA766" s="209" t="s">
        <v>25</v>
      </c>
      <c r="BB766" s="234" t="s">
        <v>306</v>
      </c>
      <c r="BC766" s="235" t="s">
        <v>306</v>
      </c>
      <c r="BD766" s="209"/>
    </row>
    <row r="767" spans="1:56" ht="12.75" customHeight="1" x14ac:dyDescent="0.25">
      <c r="A767" s="238">
        <v>45261.423865648147</v>
      </c>
      <c r="B767" s="233" t="s">
        <v>395</v>
      </c>
      <c r="C767" s="209" t="s">
        <v>587</v>
      </c>
      <c r="D767" s="232" t="s">
        <v>17</v>
      </c>
      <c r="E767" s="232" t="s">
        <v>515</v>
      </c>
      <c r="F767" s="209" t="s">
        <v>1341</v>
      </c>
      <c r="G767" s="232" t="s">
        <v>18</v>
      </c>
      <c r="H767" s="232">
        <v>12</v>
      </c>
      <c r="I767" s="209" t="s">
        <v>518</v>
      </c>
      <c r="J767" s="209" t="s">
        <v>560</v>
      </c>
      <c r="K767" s="209" t="s">
        <v>560</v>
      </c>
      <c r="L767" s="209" t="s">
        <v>518</v>
      </c>
      <c r="M767" s="209" t="s">
        <v>375</v>
      </c>
      <c r="N767" s="209" t="s">
        <v>589</v>
      </c>
      <c r="O767" s="209"/>
      <c r="P767" s="209"/>
      <c r="Q767" s="209" t="s">
        <v>25</v>
      </c>
      <c r="R767" s="209" t="s">
        <v>306</v>
      </c>
      <c r="S767" s="234" t="s">
        <v>25</v>
      </c>
      <c r="T767" s="209" t="s">
        <v>25</v>
      </c>
      <c r="U767" s="209" t="s">
        <v>25</v>
      </c>
      <c r="V767" s="234" t="s">
        <v>25</v>
      </c>
      <c r="W767" s="209" t="s">
        <v>25</v>
      </c>
      <c r="X767" s="209" t="s">
        <v>19</v>
      </c>
      <c r="Y767" s="234" t="s">
        <v>306</v>
      </c>
      <c r="Z767" s="209" t="s">
        <v>25</v>
      </c>
      <c r="AA767" s="209" t="s">
        <v>19</v>
      </c>
      <c r="AB767" s="234" t="s">
        <v>306</v>
      </c>
      <c r="AC767" s="235" t="s">
        <v>306</v>
      </c>
      <c r="AD767" s="209" t="s">
        <v>19</v>
      </c>
      <c r="AE767" s="209" t="s">
        <v>25</v>
      </c>
      <c r="AF767" s="234" t="s">
        <v>306</v>
      </c>
      <c r="AG767" s="209" t="s">
        <v>306</v>
      </c>
      <c r="AH767" s="209" t="s">
        <v>306</v>
      </c>
      <c r="AI767" s="234" t="s">
        <v>306</v>
      </c>
      <c r="AJ767" s="209" t="s">
        <v>306</v>
      </c>
      <c r="AK767" s="209" t="s">
        <v>19</v>
      </c>
      <c r="AL767" s="234" t="s">
        <v>306</v>
      </c>
      <c r="AM767" s="209" t="s">
        <v>19</v>
      </c>
      <c r="AN767" s="209" t="s">
        <v>306</v>
      </c>
      <c r="AO767" s="234" t="s">
        <v>306</v>
      </c>
      <c r="AP767" s="235" t="s">
        <v>306</v>
      </c>
      <c r="AQ767" s="209" t="s">
        <v>25</v>
      </c>
      <c r="AR767" s="209" t="s">
        <v>19</v>
      </c>
      <c r="AS767" s="234" t="s">
        <v>306</v>
      </c>
      <c r="AT767" s="209" t="s">
        <v>306</v>
      </c>
      <c r="AU767" s="209" t="s">
        <v>25</v>
      </c>
      <c r="AV767" s="234" t="s">
        <v>25</v>
      </c>
      <c r="AW767" s="209" t="s">
        <v>306</v>
      </c>
      <c r="AX767" s="209" t="s">
        <v>25</v>
      </c>
      <c r="AY767" s="234" t="s">
        <v>25</v>
      </c>
      <c r="AZ767" s="209" t="s">
        <v>306</v>
      </c>
      <c r="BA767" s="209" t="s">
        <v>19</v>
      </c>
      <c r="BB767" s="234" t="s">
        <v>25</v>
      </c>
      <c r="BC767" s="235" t="s">
        <v>306</v>
      </c>
      <c r="BD767" s="209"/>
    </row>
    <row r="768" spans="1:56" ht="12.75" customHeight="1" x14ac:dyDescent="0.25">
      <c r="A768" s="238">
        <v>45261.426610729162</v>
      </c>
      <c r="B768" s="233" t="s">
        <v>395</v>
      </c>
      <c r="C768" s="209" t="s">
        <v>587</v>
      </c>
      <c r="D768" s="232" t="s">
        <v>17</v>
      </c>
      <c r="E768" s="232" t="s">
        <v>515</v>
      </c>
      <c r="F768" s="209" t="s">
        <v>1342</v>
      </c>
      <c r="G768" s="232" t="s">
        <v>18</v>
      </c>
      <c r="H768" s="232">
        <v>12</v>
      </c>
      <c r="I768" s="209" t="s">
        <v>518</v>
      </c>
      <c r="J768" s="209" t="s">
        <v>560</v>
      </c>
      <c r="K768" s="209" t="s">
        <v>560</v>
      </c>
      <c r="L768" s="209" t="s">
        <v>518</v>
      </c>
      <c r="M768" s="209" t="s">
        <v>375</v>
      </c>
      <c r="N768" s="209" t="s">
        <v>589</v>
      </c>
      <c r="O768" s="209"/>
      <c r="P768" s="209"/>
      <c r="Q768" s="209" t="s">
        <v>25</v>
      </c>
      <c r="R768" s="209" t="s">
        <v>306</v>
      </c>
      <c r="S768" s="234" t="s">
        <v>25</v>
      </c>
      <c r="T768" s="209" t="s">
        <v>19</v>
      </c>
      <c r="U768" s="209" t="s">
        <v>25</v>
      </c>
      <c r="V768" s="234" t="s">
        <v>306</v>
      </c>
      <c r="W768" s="209" t="s">
        <v>306</v>
      </c>
      <c r="X768" s="209" t="s">
        <v>19</v>
      </c>
      <c r="Y768" s="234" t="s">
        <v>306</v>
      </c>
      <c r="Z768" s="209" t="s">
        <v>306</v>
      </c>
      <c r="AA768" s="209" t="s">
        <v>19</v>
      </c>
      <c r="AB768" s="234" t="s">
        <v>306</v>
      </c>
      <c r="AC768" s="235" t="s">
        <v>306</v>
      </c>
      <c r="AD768" s="209" t="s">
        <v>306</v>
      </c>
      <c r="AE768" s="209" t="s">
        <v>25</v>
      </c>
      <c r="AF768" s="234" t="s">
        <v>25</v>
      </c>
      <c r="AG768" s="209" t="s">
        <v>306</v>
      </c>
      <c r="AH768" s="209" t="s">
        <v>19</v>
      </c>
      <c r="AI768" s="234" t="s">
        <v>306</v>
      </c>
      <c r="AJ768" s="209" t="s">
        <v>306</v>
      </c>
      <c r="AK768" s="209" t="s">
        <v>19</v>
      </c>
      <c r="AL768" s="234" t="s">
        <v>306</v>
      </c>
      <c r="AM768" s="209" t="s">
        <v>19</v>
      </c>
      <c r="AN768" s="209" t="s">
        <v>306</v>
      </c>
      <c r="AO768" s="234" t="s">
        <v>306</v>
      </c>
      <c r="AP768" s="235" t="s">
        <v>306</v>
      </c>
      <c r="AQ768" s="209" t="s">
        <v>25</v>
      </c>
      <c r="AR768" s="209" t="s">
        <v>306</v>
      </c>
      <c r="AS768" s="234" t="s">
        <v>25</v>
      </c>
      <c r="AT768" s="209" t="s">
        <v>306</v>
      </c>
      <c r="AU768" s="209" t="s">
        <v>306</v>
      </c>
      <c r="AV768" s="234" t="s">
        <v>306</v>
      </c>
      <c r="AW768" s="209" t="s">
        <v>306</v>
      </c>
      <c r="AX768" s="209" t="s">
        <v>306</v>
      </c>
      <c r="AY768" s="234" t="s">
        <v>306</v>
      </c>
      <c r="AZ768" s="209" t="s">
        <v>306</v>
      </c>
      <c r="BA768" s="209" t="s">
        <v>19</v>
      </c>
      <c r="BB768" s="234" t="s">
        <v>25</v>
      </c>
      <c r="BC768" s="235" t="s">
        <v>25</v>
      </c>
      <c r="BD768" s="209"/>
    </row>
    <row r="769" spans="1:56" ht="12.75" customHeight="1" x14ac:dyDescent="0.25">
      <c r="A769" s="238">
        <v>45271.849182696758</v>
      </c>
      <c r="B769" s="233" t="s">
        <v>395</v>
      </c>
      <c r="C769" s="209" t="s">
        <v>587</v>
      </c>
      <c r="D769" s="232" t="s">
        <v>17</v>
      </c>
      <c r="E769" s="232" t="s">
        <v>515</v>
      </c>
      <c r="F769" s="209" t="s">
        <v>1343</v>
      </c>
      <c r="G769" s="232" t="s">
        <v>24</v>
      </c>
      <c r="H769" s="232">
        <v>12</v>
      </c>
      <c r="I769" s="209" t="s">
        <v>518</v>
      </c>
      <c r="J769" s="209" t="s">
        <v>560</v>
      </c>
      <c r="K769" s="209" t="s">
        <v>560</v>
      </c>
      <c r="L769" s="209" t="s">
        <v>531</v>
      </c>
      <c r="M769" s="188"/>
      <c r="N769" s="188"/>
      <c r="O769" s="188"/>
      <c r="P769" s="188"/>
      <c r="Q769" s="209" t="s">
        <v>25</v>
      </c>
      <c r="R769" s="209" t="s">
        <v>19</v>
      </c>
      <c r="S769" s="234" t="s">
        <v>306</v>
      </c>
      <c r="T769" s="209" t="s">
        <v>25</v>
      </c>
      <c r="U769" s="209" t="s">
        <v>25</v>
      </c>
      <c r="V769" s="234" t="s">
        <v>25</v>
      </c>
      <c r="W769" s="209" t="s">
        <v>19</v>
      </c>
      <c r="X769" s="209" t="s">
        <v>19</v>
      </c>
      <c r="Y769" s="234" t="s">
        <v>19</v>
      </c>
      <c r="Z769" s="209" t="s">
        <v>25</v>
      </c>
      <c r="AA769" s="209" t="s">
        <v>25</v>
      </c>
      <c r="AB769" s="234" t="s">
        <v>25</v>
      </c>
      <c r="AC769" s="235" t="s">
        <v>306</v>
      </c>
      <c r="AD769" s="209" t="s">
        <v>306</v>
      </c>
      <c r="AE769" s="209" t="s">
        <v>25</v>
      </c>
      <c r="AF769" s="234" t="s">
        <v>25</v>
      </c>
      <c r="AG769" s="209" t="s">
        <v>19</v>
      </c>
      <c r="AH769" s="209" t="s">
        <v>19</v>
      </c>
      <c r="AI769" s="234" t="s">
        <v>19</v>
      </c>
      <c r="AJ769" s="209" t="s">
        <v>19</v>
      </c>
      <c r="AK769" s="209" t="s">
        <v>19</v>
      </c>
      <c r="AL769" s="234" t="s">
        <v>19</v>
      </c>
      <c r="AM769" s="209" t="s">
        <v>19</v>
      </c>
      <c r="AN769" s="209" t="s">
        <v>19</v>
      </c>
      <c r="AO769" s="234" t="s">
        <v>19</v>
      </c>
      <c r="AP769" s="235" t="s">
        <v>19</v>
      </c>
      <c r="AQ769" s="209" t="s">
        <v>25</v>
      </c>
      <c r="AR769" s="209" t="s">
        <v>25</v>
      </c>
      <c r="AS769" s="234" t="s">
        <v>25</v>
      </c>
      <c r="AT769" s="209" t="s">
        <v>25</v>
      </c>
      <c r="AU769" s="209" t="s">
        <v>25</v>
      </c>
      <c r="AV769" s="234" t="s">
        <v>25</v>
      </c>
      <c r="AW769" s="209" t="s">
        <v>25</v>
      </c>
      <c r="AX769" s="209" t="s">
        <v>25</v>
      </c>
      <c r="AY769" s="234" t="s">
        <v>25</v>
      </c>
      <c r="AZ769" s="209" t="s">
        <v>19</v>
      </c>
      <c r="BA769" s="209" t="s">
        <v>25</v>
      </c>
      <c r="BB769" s="234" t="s">
        <v>25</v>
      </c>
      <c r="BC769" s="235" t="s">
        <v>25</v>
      </c>
      <c r="BD769" s="209"/>
    </row>
    <row r="770" spans="1:56" ht="12.75" customHeight="1" x14ac:dyDescent="0.25">
      <c r="A770" s="238">
        <v>45271.874337835645</v>
      </c>
      <c r="B770" s="233" t="s">
        <v>395</v>
      </c>
      <c r="C770" s="209" t="s">
        <v>587</v>
      </c>
      <c r="D770" s="232" t="s">
        <v>17</v>
      </c>
      <c r="E770" s="232" t="s">
        <v>515</v>
      </c>
      <c r="F770" s="209" t="s">
        <v>1344</v>
      </c>
      <c r="G770" s="232" t="s">
        <v>18</v>
      </c>
      <c r="H770" s="232">
        <v>12</v>
      </c>
      <c r="I770" s="209" t="s">
        <v>518</v>
      </c>
      <c r="J770" s="209" t="s">
        <v>560</v>
      </c>
      <c r="K770" s="209" t="s">
        <v>560</v>
      </c>
      <c r="L770" s="209" t="s">
        <v>531</v>
      </c>
      <c r="M770" s="188"/>
      <c r="N770" s="188"/>
      <c r="O770" s="188"/>
      <c r="P770" s="188"/>
      <c r="Q770" s="209" t="s">
        <v>25</v>
      </c>
      <c r="R770" s="209" t="s">
        <v>19</v>
      </c>
      <c r="S770" s="234" t="s">
        <v>306</v>
      </c>
      <c r="T770" s="209" t="s">
        <v>25</v>
      </c>
      <c r="U770" s="209" t="s">
        <v>19</v>
      </c>
      <c r="V770" s="234" t="s">
        <v>306</v>
      </c>
      <c r="W770" s="209" t="s">
        <v>19</v>
      </c>
      <c r="X770" s="209" t="s">
        <v>19</v>
      </c>
      <c r="Y770" s="234" t="s">
        <v>19</v>
      </c>
      <c r="Z770" s="209" t="s">
        <v>19</v>
      </c>
      <c r="AA770" s="209" t="s">
        <v>25</v>
      </c>
      <c r="AB770" s="234" t="s">
        <v>306</v>
      </c>
      <c r="AC770" s="235" t="s">
        <v>306</v>
      </c>
      <c r="AD770" s="209" t="s">
        <v>306</v>
      </c>
      <c r="AE770" s="209" t="s">
        <v>25</v>
      </c>
      <c r="AF770" s="234" t="s">
        <v>25</v>
      </c>
      <c r="AG770" s="209" t="s">
        <v>19</v>
      </c>
      <c r="AH770" s="209" t="s">
        <v>19</v>
      </c>
      <c r="AI770" s="234" t="s">
        <v>19</v>
      </c>
      <c r="AJ770" s="209" t="s">
        <v>19</v>
      </c>
      <c r="AK770" s="209" t="s">
        <v>25</v>
      </c>
      <c r="AL770" s="234" t="s">
        <v>306</v>
      </c>
      <c r="AM770" s="209" t="s">
        <v>19</v>
      </c>
      <c r="AN770" s="209" t="s">
        <v>19</v>
      </c>
      <c r="AO770" s="234" t="s">
        <v>19</v>
      </c>
      <c r="AP770" s="235" t="s">
        <v>306</v>
      </c>
      <c r="AQ770" s="209" t="s">
        <v>25</v>
      </c>
      <c r="AR770" s="209" t="s">
        <v>25</v>
      </c>
      <c r="AS770" s="234" t="s">
        <v>25</v>
      </c>
      <c r="AT770" s="209" t="s">
        <v>25</v>
      </c>
      <c r="AU770" s="209" t="s">
        <v>25</v>
      </c>
      <c r="AV770" s="234" t="s">
        <v>25</v>
      </c>
      <c r="AW770" s="209" t="s">
        <v>25</v>
      </c>
      <c r="AX770" s="209" t="s">
        <v>19</v>
      </c>
      <c r="AY770" s="234" t="s">
        <v>306</v>
      </c>
      <c r="AZ770" s="209" t="s">
        <v>19</v>
      </c>
      <c r="BA770" s="209" t="s">
        <v>25</v>
      </c>
      <c r="BB770" s="234" t="s">
        <v>25</v>
      </c>
      <c r="BC770" s="235" t="s">
        <v>25</v>
      </c>
      <c r="BD770" s="209"/>
    </row>
    <row r="771" spans="1:56" ht="12.75" customHeight="1" x14ac:dyDescent="0.25">
      <c r="A771" s="238">
        <v>45271.876897152775</v>
      </c>
      <c r="B771" s="233" t="s">
        <v>395</v>
      </c>
      <c r="C771" s="209" t="s">
        <v>587</v>
      </c>
      <c r="D771" s="232" t="s">
        <v>17</v>
      </c>
      <c r="E771" s="232" t="s">
        <v>515</v>
      </c>
      <c r="F771" s="209" t="s">
        <v>1345</v>
      </c>
      <c r="G771" s="232" t="s">
        <v>18</v>
      </c>
      <c r="H771" s="232">
        <v>11</v>
      </c>
      <c r="I771" s="209" t="s">
        <v>518</v>
      </c>
      <c r="J771" s="209" t="s">
        <v>560</v>
      </c>
      <c r="K771" s="209" t="s">
        <v>560</v>
      </c>
      <c r="L771" s="209" t="s">
        <v>531</v>
      </c>
      <c r="M771" s="188"/>
      <c r="N771" s="188"/>
      <c r="O771" s="188"/>
      <c r="P771" s="188"/>
      <c r="Q771" s="209" t="s">
        <v>25</v>
      </c>
      <c r="R771" s="209" t="s">
        <v>306</v>
      </c>
      <c r="S771" s="234" t="s">
        <v>25</v>
      </c>
      <c r="T771" s="209" t="s">
        <v>19</v>
      </c>
      <c r="U771" s="209" t="s">
        <v>25</v>
      </c>
      <c r="V771" s="234" t="s">
        <v>306</v>
      </c>
      <c r="W771" s="209" t="s">
        <v>19</v>
      </c>
      <c r="X771" s="209" t="s">
        <v>306</v>
      </c>
      <c r="Y771" s="234" t="s">
        <v>306</v>
      </c>
      <c r="Z771" s="209" t="s">
        <v>25</v>
      </c>
      <c r="AA771" s="209" t="s">
        <v>19</v>
      </c>
      <c r="AB771" s="234" t="s">
        <v>306</v>
      </c>
      <c r="AC771" s="235" t="s">
        <v>306</v>
      </c>
      <c r="AD771" s="209" t="s">
        <v>19</v>
      </c>
      <c r="AE771" s="209" t="s">
        <v>306</v>
      </c>
      <c r="AF771" s="234" t="s">
        <v>306</v>
      </c>
      <c r="AG771" s="209" t="s">
        <v>19</v>
      </c>
      <c r="AH771" s="209" t="s">
        <v>19</v>
      </c>
      <c r="AI771" s="234" t="s">
        <v>19</v>
      </c>
      <c r="AJ771" s="209" t="s">
        <v>306</v>
      </c>
      <c r="AK771" s="209" t="s">
        <v>19</v>
      </c>
      <c r="AL771" s="234" t="s">
        <v>306</v>
      </c>
      <c r="AM771" s="209" t="s">
        <v>19</v>
      </c>
      <c r="AN771" s="209" t="s">
        <v>19</v>
      </c>
      <c r="AO771" s="234" t="s">
        <v>19</v>
      </c>
      <c r="AP771" s="235" t="s">
        <v>19</v>
      </c>
      <c r="AQ771" s="209" t="s">
        <v>25</v>
      </c>
      <c r="AR771" s="209" t="s">
        <v>25</v>
      </c>
      <c r="AS771" s="234" t="s">
        <v>25</v>
      </c>
      <c r="AT771" s="209" t="s">
        <v>25</v>
      </c>
      <c r="AU771" s="209" t="s">
        <v>25</v>
      </c>
      <c r="AV771" s="234" t="s">
        <v>25</v>
      </c>
      <c r="AW771" s="209" t="s">
        <v>25</v>
      </c>
      <c r="AX771" s="209" t="s">
        <v>306</v>
      </c>
      <c r="AY771" s="234" t="s">
        <v>25</v>
      </c>
      <c r="AZ771" s="209" t="s">
        <v>306</v>
      </c>
      <c r="BA771" s="209" t="s">
        <v>25</v>
      </c>
      <c r="BB771" s="234" t="s">
        <v>25</v>
      </c>
      <c r="BC771" s="235" t="s">
        <v>25</v>
      </c>
      <c r="BD771" s="209"/>
    </row>
    <row r="772" spans="1:56" ht="12.75" customHeight="1" x14ac:dyDescent="0.25">
      <c r="A772" s="238">
        <v>45271.901505775459</v>
      </c>
      <c r="B772" s="233" t="s">
        <v>395</v>
      </c>
      <c r="C772" s="209" t="s">
        <v>587</v>
      </c>
      <c r="D772" s="232" t="s">
        <v>17</v>
      </c>
      <c r="E772" s="232" t="s">
        <v>515</v>
      </c>
      <c r="F772" s="209" t="s">
        <v>1346</v>
      </c>
      <c r="G772" s="232" t="s">
        <v>24</v>
      </c>
      <c r="H772" s="232">
        <v>11</v>
      </c>
      <c r="I772" s="209" t="s">
        <v>518</v>
      </c>
      <c r="J772" s="209" t="s">
        <v>560</v>
      </c>
      <c r="K772" s="209" t="s">
        <v>560</v>
      </c>
      <c r="L772" s="209" t="s">
        <v>518</v>
      </c>
      <c r="M772" s="209" t="s">
        <v>412</v>
      </c>
      <c r="N772" s="209" t="s">
        <v>589</v>
      </c>
      <c r="O772" s="209"/>
      <c r="P772" s="209"/>
      <c r="Q772" s="209" t="s">
        <v>19</v>
      </c>
      <c r="R772" s="209" t="s">
        <v>19</v>
      </c>
      <c r="S772" s="234" t="s">
        <v>19</v>
      </c>
      <c r="T772" s="209" t="s">
        <v>19</v>
      </c>
      <c r="U772" s="209" t="s">
        <v>25</v>
      </c>
      <c r="V772" s="234" t="s">
        <v>306</v>
      </c>
      <c r="W772" s="209" t="s">
        <v>19</v>
      </c>
      <c r="X772" s="209" t="s">
        <v>19</v>
      </c>
      <c r="Y772" s="234" t="s">
        <v>19</v>
      </c>
      <c r="Z772" s="209" t="s">
        <v>19</v>
      </c>
      <c r="AA772" s="209" t="s">
        <v>19</v>
      </c>
      <c r="AB772" s="234" t="s">
        <v>19</v>
      </c>
      <c r="AC772" s="235" t="s">
        <v>19</v>
      </c>
      <c r="AD772" s="209" t="s">
        <v>306</v>
      </c>
      <c r="AE772" s="209" t="s">
        <v>25</v>
      </c>
      <c r="AF772" s="234" t="s">
        <v>25</v>
      </c>
      <c r="AG772" s="209" t="s">
        <v>19</v>
      </c>
      <c r="AH772" s="209" t="s">
        <v>19</v>
      </c>
      <c r="AI772" s="234" t="s">
        <v>19</v>
      </c>
      <c r="AJ772" s="209" t="s">
        <v>19</v>
      </c>
      <c r="AK772" s="209" t="s">
        <v>19</v>
      </c>
      <c r="AL772" s="234" t="s">
        <v>19</v>
      </c>
      <c r="AM772" s="209" t="s">
        <v>19</v>
      </c>
      <c r="AN772" s="209" t="s">
        <v>19</v>
      </c>
      <c r="AO772" s="234" t="s">
        <v>19</v>
      </c>
      <c r="AP772" s="235" t="s">
        <v>19</v>
      </c>
      <c r="AQ772" s="209" t="s">
        <v>19</v>
      </c>
      <c r="AR772" s="209" t="s">
        <v>306</v>
      </c>
      <c r="AS772" s="234" t="s">
        <v>306</v>
      </c>
      <c r="AT772" s="209" t="s">
        <v>25</v>
      </c>
      <c r="AU772" s="209" t="s">
        <v>25</v>
      </c>
      <c r="AV772" s="234" t="s">
        <v>25</v>
      </c>
      <c r="AW772" s="209" t="s">
        <v>19</v>
      </c>
      <c r="AX772" s="209" t="s">
        <v>19</v>
      </c>
      <c r="AY772" s="234" t="s">
        <v>19</v>
      </c>
      <c r="AZ772" s="209" t="s">
        <v>19</v>
      </c>
      <c r="BA772" s="209" t="s">
        <v>19</v>
      </c>
      <c r="BB772" s="234" t="s">
        <v>25</v>
      </c>
      <c r="BC772" s="235" t="s">
        <v>25</v>
      </c>
      <c r="BD772" s="209"/>
    </row>
    <row r="773" spans="1:56" ht="12.75" customHeight="1" x14ac:dyDescent="0.25">
      <c r="A773" s="238">
        <v>45271.961285046295</v>
      </c>
      <c r="B773" s="233" t="s">
        <v>395</v>
      </c>
      <c r="C773" s="209" t="s">
        <v>587</v>
      </c>
      <c r="D773" s="232" t="s">
        <v>17</v>
      </c>
      <c r="E773" s="232" t="s">
        <v>515</v>
      </c>
      <c r="F773" s="209" t="s">
        <v>1347</v>
      </c>
      <c r="G773" s="232" t="s">
        <v>18</v>
      </c>
      <c r="H773" s="232">
        <v>11</v>
      </c>
      <c r="I773" s="209" t="s">
        <v>518</v>
      </c>
      <c r="J773" s="209" t="s">
        <v>560</v>
      </c>
      <c r="K773" s="209" t="s">
        <v>560</v>
      </c>
      <c r="L773" s="209" t="s">
        <v>531</v>
      </c>
      <c r="M773" s="188"/>
      <c r="N773" s="188"/>
      <c r="O773" s="188"/>
      <c r="P773" s="188"/>
      <c r="Q773" s="209" t="s">
        <v>25</v>
      </c>
      <c r="R773" s="209" t="s">
        <v>25</v>
      </c>
      <c r="S773" s="234" t="s">
        <v>25</v>
      </c>
      <c r="T773" s="209" t="s">
        <v>306</v>
      </c>
      <c r="U773" s="209" t="s">
        <v>25</v>
      </c>
      <c r="V773" s="234" t="s">
        <v>25</v>
      </c>
      <c r="W773" s="209" t="s">
        <v>25</v>
      </c>
      <c r="X773" s="209" t="s">
        <v>25</v>
      </c>
      <c r="Y773" s="234" t="s">
        <v>25</v>
      </c>
      <c r="Z773" s="209" t="s">
        <v>25</v>
      </c>
      <c r="AA773" s="209" t="s">
        <v>25</v>
      </c>
      <c r="AB773" s="234" t="s">
        <v>25</v>
      </c>
      <c r="AC773" s="235" t="s">
        <v>25</v>
      </c>
      <c r="AD773" s="209" t="s">
        <v>25</v>
      </c>
      <c r="AE773" s="209" t="s">
        <v>25</v>
      </c>
      <c r="AF773" s="234" t="s">
        <v>25</v>
      </c>
      <c r="AG773" s="209" t="s">
        <v>25</v>
      </c>
      <c r="AH773" s="209" t="s">
        <v>25</v>
      </c>
      <c r="AI773" s="234" t="s">
        <v>25</v>
      </c>
      <c r="AJ773" s="209" t="s">
        <v>25</v>
      </c>
      <c r="AK773" s="209" t="s">
        <v>25</v>
      </c>
      <c r="AL773" s="234" t="s">
        <v>25</v>
      </c>
      <c r="AM773" s="209" t="s">
        <v>306</v>
      </c>
      <c r="AN773" s="209" t="s">
        <v>25</v>
      </c>
      <c r="AO773" s="234" t="s">
        <v>25</v>
      </c>
      <c r="AP773" s="235" t="s">
        <v>25</v>
      </c>
      <c r="AQ773" s="209" t="s">
        <v>25</v>
      </c>
      <c r="AR773" s="209" t="s">
        <v>25</v>
      </c>
      <c r="AS773" s="234" t="s">
        <v>25</v>
      </c>
      <c r="AT773" s="209" t="s">
        <v>25</v>
      </c>
      <c r="AU773" s="209" t="s">
        <v>25</v>
      </c>
      <c r="AV773" s="234" t="s">
        <v>25</v>
      </c>
      <c r="AW773" s="209" t="s">
        <v>25</v>
      </c>
      <c r="AX773" s="209" t="s">
        <v>25</v>
      </c>
      <c r="AY773" s="234" t="s">
        <v>25</v>
      </c>
      <c r="AZ773" s="209" t="s">
        <v>25</v>
      </c>
      <c r="BA773" s="209" t="s">
        <v>25</v>
      </c>
      <c r="BB773" s="234" t="s">
        <v>25</v>
      </c>
      <c r="BC773" s="235" t="s">
        <v>25</v>
      </c>
      <c r="BD773" s="209"/>
    </row>
    <row r="774" spans="1:56" ht="12.75" customHeight="1" x14ac:dyDescent="0.25">
      <c r="A774" s="238">
        <v>45271.96345275463</v>
      </c>
      <c r="B774" s="233" t="s">
        <v>395</v>
      </c>
      <c r="C774" s="209" t="s">
        <v>587</v>
      </c>
      <c r="D774" s="232" t="s">
        <v>17</v>
      </c>
      <c r="E774" s="232" t="s">
        <v>515</v>
      </c>
      <c r="F774" s="209" t="s">
        <v>1348</v>
      </c>
      <c r="G774" s="232" t="s">
        <v>18</v>
      </c>
      <c r="H774" s="232">
        <v>12</v>
      </c>
      <c r="I774" s="209" t="s">
        <v>518</v>
      </c>
      <c r="J774" s="209" t="s">
        <v>560</v>
      </c>
      <c r="K774" s="209" t="s">
        <v>560</v>
      </c>
      <c r="L774" s="209" t="s">
        <v>531</v>
      </c>
      <c r="M774" s="188"/>
      <c r="N774" s="188"/>
      <c r="O774" s="188"/>
      <c r="P774" s="188"/>
      <c r="Q774" s="209" t="s">
        <v>25</v>
      </c>
      <c r="R774" s="209" t="s">
        <v>306</v>
      </c>
      <c r="S774" s="234" t="s">
        <v>25</v>
      </c>
      <c r="T774" s="209" t="s">
        <v>306</v>
      </c>
      <c r="U774" s="209" t="s">
        <v>25</v>
      </c>
      <c r="V774" s="234" t="s">
        <v>25</v>
      </c>
      <c r="W774" s="209" t="s">
        <v>306</v>
      </c>
      <c r="X774" s="209" t="s">
        <v>25</v>
      </c>
      <c r="Y774" s="234" t="s">
        <v>25</v>
      </c>
      <c r="Z774" s="209" t="s">
        <v>25</v>
      </c>
      <c r="AA774" s="209" t="s">
        <v>25</v>
      </c>
      <c r="AB774" s="234" t="s">
        <v>25</v>
      </c>
      <c r="AC774" s="235" t="s">
        <v>25</v>
      </c>
      <c r="AD774" s="209" t="s">
        <v>25</v>
      </c>
      <c r="AE774" s="209" t="s">
        <v>25</v>
      </c>
      <c r="AF774" s="234" t="s">
        <v>25</v>
      </c>
      <c r="AG774" s="209" t="s">
        <v>306</v>
      </c>
      <c r="AH774" s="209" t="s">
        <v>306</v>
      </c>
      <c r="AI774" s="234" t="s">
        <v>306</v>
      </c>
      <c r="AJ774" s="209" t="s">
        <v>25</v>
      </c>
      <c r="AK774" s="209" t="s">
        <v>25</v>
      </c>
      <c r="AL774" s="234" t="s">
        <v>25</v>
      </c>
      <c r="AM774" s="209" t="s">
        <v>306</v>
      </c>
      <c r="AN774" s="209" t="s">
        <v>306</v>
      </c>
      <c r="AO774" s="234" t="s">
        <v>306</v>
      </c>
      <c r="AP774" s="235" t="s">
        <v>25</v>
      </c>
      <c r="AQ774" s="209" t="s">
        <v>25</v>
      </c>
      <c r="AR774" s="209" t="s">
        <v>25</v>
      </c>
      <c r="AS774" s="234" t="s">
        <v>25</v>
      </c>
      <c r="AT774" s="209" t="s">
        <v>25</v>
      </c>
      <c r="AU774" s="209" t="s">
        <v>25</v>
      </c>
      <c r="AV774" s="234" t="s">
        <v>25</v>
      </c>
      <c r="AW774" s="209" t="s">
        <v>306</v>
      </c>
      <c r="AX774" s="209" t="s">
        <v>25</v>
      </c>
      <c r="AY774" s="234" t="s">
        <v>25</v>
      </c>
      <c r="AZ774" s="209" t="s">
        <v>25</v>
      </c>
      <c r="BA774" s="209" t="s">
        <v>25</v>
      </c>
      <c r="BB774" s="234" t="s">
        <v>25</v>
      </c>
      <c r="BC774" s="235" t="s">
        <v>25</v>
      </c>
      <c r="BD774" s="209"/>
    </row>
    <row r="775" spans="1:56" ht="12.75" customHeight="1" x14ac:dyDescent="0.25">
      <c r="A775" s="238">
        <v>45271.965064942131</v>
      </c>
      <c r="B775" s="233" t="s">
        <v>395</v>
      </c>
      <c r="C775" s="209" t="s">
        <v>587</v>
      </c>
      <c r="D775" s="232" t="s">
        <v>17</v>
      </c>
      <c r="E775" s="232" t="s">
        <v>515</v>
      </c>
      <c r="F775" s="209" t="s">
        <v>1349</v>
      </c>
      <c r="G775" s="232" t="s">
        <v>18</v>
      </c>
      <c r="H775" s="232">
        <v>12</v>
      </c>
      <c r="I775" s="209" t="s">
        <v>518</v>
      </c>
      <c r="J775" s="209" t="s">
        <v>560</v>
      </c>
      <c r="K775" s="209" t="s">
        <v>560</v>
      </c>
      <c r="L775" s="209" t="s">
        <v>531</v>
      </c>
      <c r="M775" s="188"/>
      <c r="N775" s="188"/>
      <c r="O775" s="188"/>
      <c r="P775" s="188"/>
      <c r="Q775" s="209" t="s">
        <v>306</v>
      </c>
      <c r="R775" s="209" t="s">
        <v>306</v>
      </c>
      <c r="S775" s="234" t="s">
        <v>306</v>
      </c>
      <c r="T775" s="209" t="s">
        <v>306</v>
      </c>
      <c r="U775" s="209" t="s">
        <v>25</v>
      </c>
      <c r="V775" s="234" t="s">
        <v>25</v>
      </c>
      <c r="W775" s="209" t="s">
        <v>19</v>
      </c>
      <c r="X775" s="209" t="s">
        <v>19</v>
      </c>
      <c r="Y775" s="234" t="s">
        <v>19</v>
      </c>
      <c r="Z775" s="209" t="s">
        <v>306</v>
      </c>
      <c r="AA775" s="209" t="s">
        <v>306</v>
      </c>
      <c r="AB775" s="234" t="s">
        <v>306</v>
      </c>
      <c r="AC775" s="235" t="s">
        <v>306</v>
      </c>
      <c r="AD775" s="209" t="s">
        <v>306</v>
      </c>
      <c r="AE775" s="209" t="s">
        <v>25</v>
      </c>
      <c r="AF775" s="234" t="s">
        <v>25</v>
      </c>
      <c r="AG775" s="209" t="s">
        <v>306</v>
      </c>
      <c r="AH775" s="209" t="s">
        <v>19</v>
      </c>
      <c r="AI775" s="234" t="s">
        <v>306</v>
      </c>
      <c r="AJ775" s="209" t="s">
        <v>19</v>
      </c>
      <c r="AK775" s="209" t="s">
        <v>19</v>
      </c>
      <c r="AL775" s="234" t="s">
        <v>19</v>
      </c>
      <c r="AM775" s="209" t="s">
        <v>19</v>
      </c>
      <c r="AN775" s="209" t="s">
        <v>19</v>
      </c>
      <c r="AO775" s="234" t="s">
        <v>19</v>
      </c>
      <c r="AP775" s="235" t="s">
        <v>306</v>
      </c>
      <c r="AQ775" s="209" t="s">
        <v>19</v>
      </c>
      <c r="AR775" s="209" t="s">
        <v>306</v>
      </c>
      <c r="AS775" s="234" t="s">
        <v>306</v>
      </c>
      <c r="AT775" s="209" t="s">
        <v>19</v>
      </c>
      <c r="AU775" s="209" t="s">
        <v>19</v>
      </c>
      <c r="AV775" s="234" t="s">
        <v>19</v>
      </c>
      <c r="AW775" s="209" t="s">
        <v>306</v>
      </c>
      <c r="AX775" s="209" t="s">
        <v>25</v>
      </c>
      <c r="AY775" s="234" t="s">
        <v>25</v>
      </c>
      <c r="AZ775" s="209" t="s">
        <v>306</v>
      </c>
      <c r="BA775" s="209" t="s">
        <v>19</v>
      </c>
      <c r="BB775" s="234" t="s">
        <v>25</v>
      </c>
      <c r="BC775" s="235" t="s">
        <v>25</v>
      </c>
      <c r="BD775" s="209"/>
    </row>
    <row r="776" spans="1:56" ht="12.75" customHeight="1" x14ac:dyDescent="0.25">
      <c r="A776" s="238">
        <v>45271.993942337962</v>
      </c>
      <c r="B776" s="233" t="s">
        <v>395</v>
      </c>
      <c r="C776" s="209" t="s">
        <v>587</v>
      </c>
      <c r="D776" s="232" t="s">
        <v>17</v>
      </c>
      <c r="E776" s="232" t="s">
        <v>515</v>
      </c>
      <c r="F776" s="209" t="s">
        <v>1350</v>
      </c>
      <c r="G776" s="232" t="s">
        <v>18</v>
      </c>
      <c r="H776" s="232">
        <v>12</v>
      </c>
      <c r="I776" s="209" t="s">
        <v>518</v>
      </c>
      <c r="J776" s="209" t="s">
        <v>560</v>
      </c>
      <c r="K776" s="209" t="s">
        <v>560</v>
      </c>
      <c r="L776" s="209" t="s">
        <v>518</v>
      </c>
      <c r="M776" s="209" t="s">
        <v>389</v>
      </c>
      <c r="N776" s="209" t="s">
        <v>389</v>
      </c>
      <c r="O776" s="209"/>
      <c r="P776" s="209"/>
      <c r="Q776" s="209" t="s">
        <v>25</v>
      </c>
      <c r="R776" s="209" t="s">
        <v>25</v>
      </c>
      <c r="S776" s="234" t="s">
        <v>25</v>
      </c>
      <c r="T776" s="209" t="s">
        <v>25</v>
      </c>
      <c r="U776" s="209" t="s">
        <v>25</v>
      </c>
      <c r="V776" s="234" t="s">
        <v>25</v>
      </c>
      <c r="W776" s="209" t="s">
        <v>25</v>
      </c>
      <c r="X776" s="209" t="s">
        <v>19</v>
      </c>
      <c r="Y776" s="234" t="s">
        <v>306</v>
      </c>
      <c r="Z776" s="209" t="s">
        <v>306</v>
      </c>
      <c r="AA776" s="209" t="s">
        <v>306</v>
      </c>
      <c r="AB776" s="234" t="s">
        <v>306</v>
      </c>
      <c r="AC776" s="235" t="s">
        <v>25</v>
      </c>
      <c r="AD776" s="209" t="s">
        <v>306</v>
      </c>
      <c r="AE776" s="209" t="s">
        <v>306</v>
      </c>
      <c r="AF776" s="234" t="s">
        <v>306</v>
      </c>
      <c r="AG776" s="209" t="s">
        <v>19</v>
      </c>
      <c r="AH776" s="209" t="s">
        <v>306</v>
      </c>
      <c r="AI776" s="234" t="s">
        <v>306</v>
      </c>
      <c r="AJ776" s="209" t="s">
        <v>306</v>
      </c>
      <c r="AK776" s="209" t="s">
        <v>19</v>
      </c>
      <c r="AL776" s="234" t="s">
        <v>306</v>
      </c>
      <c r="AM776" s="209" t="s">
        <v>19</v>
      </c>
      <c r="AN776" s="209" t="s">
        <v>19</v>
      </c>
      <c r="AO776" s="234" t="s">
        <v>19</v>
      </c>
      <c r="AP776" s="235" t="s">
        <v>306</v>
      </c>
      <c r="AQ776" s="209" t="s">
        <v>25</v>
      </c>
      <c r="AR776" s="209" t="s">
        <v>25</v>
      </c>
      <c r="AS776" s="234" t="s">
        <v>25</v>
      </c>
      <c r="AT776" s="209" t="s">
        <v>25</v>
      </c>
      <c r="AU776" s="209" t="s">
        <v>25</v>
      </c>
      <c r="AV776" s="234" t="s">
        <v>25</v>
      </c>
      <c r="AW776" s="209" t="s">
        <v>25</v>
      </c>
      <c r="AX776" s="209" t="s">
        <v>306</v>
      </c>
      <c r="AY776" s="234" t="s">
        <v>25</v>
      </c>
      <c r="AZ776" s="209" t="s">
        <v>25</v>
      </c>
      <c r="BA776" s="209" t="s">
        <v>25</v>
      </c>
      <c r="BB776" s="234" t="s">
        <v>25</v>
      </c>
      <c r="BC776" s="235" t="s">
        <v>25</v>
      </c>
      <c r="BD776" s="209"/>
    </row>
    <row r="777" spans="1:56" ht="12.75" customHeight="1" x14ac:dyDescent="0.25">
      <c r="A777" s="238">
        <v>45275.87526134259</v>
      </c>
      <c r="B777" s="233" t="s">
        <v>395</v>
      </c>
      <c r="C777" s="209" t="s">
        <v>587</v>
      </c>
      <c r="D777" s="232" t="s">
        <v>17</v>
      </c>
      <c r="E777" s="232" t="s">
        <v>515</v>
      </c>
      <c r="F777" s="209" t="s">
        <v>1351</v>
      </c>
      <c r="G777" s="232" t="s">
        <v>18</v>
      </c>
      <c r="H777" s="232">
        <v>11</v>
      </c>
      <c r="I777" s="209" t="s">
        <v>518</v>
      </c>
      <c r="J777" s="209" t="s">
        <v>560</v>
      </c>
      <c r="K777" s="209" t="s">
        <v>560</v>
      </c>
      <c r="L777" s="209" t="s">
        <v>531</v>
      </c>
      <c r="M777" s="188"/>
      <c r="N777" s="188"/>
      <c r="O777" s="188"/>
      <c r="P777" s="188"/>
      <c r="Q777" s="209" t="s">
        <v>25</v>
      </c>
      <c r="R777" s="209" t="s">
        <v>25</v>
      </c>
      <c r="S777" s="234" t="s">
        <v>25</v>
      </c>
      <c r="T777" s="209" t="s">
        <v>19</v>
      </c>
      <c r="U777" s="209" t="s">
        <v>25</v>
      </c>
      <c r="V777" s="234" t="s">
        <v>306</v>
      </c>
      <c r="W777" s="209" t="s">
        <v>25</v>
      </c>
      <c r="X777" s="209" t="s">
        <v>25</v>
      </c>
      <c r="Y777" s="234" t="s">
        <v>25</v>
      </c>
      <c r="Z777" s="209" t="s">
        <v>25</v>
      </c>
      <c r="AA777" s="209" t="s">
        <v>306</v>
      </c>
      <c r="AB777" s="234" t="s">
        <v>25</v>
      </c>
      <c r="AC777" s="235" t="s">
        <v>25</v>
      </c>
      <c r="AD777" s="209" t="s">
        <v>25</v>
      </c>
      <c r="AE777" s="209" t="s">
        <v>306</v>
      </c>
      <c r="AF777" s="234" t="s">
        <v>25</v>
      </c>
      <c r="AG777" s="209" t="s">
        <v>306</v>
      </c>
      <c r="AH777" s="209" t="s">
        <v>306</v>
      </c>
      <c r="AI777" s="234" t="s">
        <v>306</v>
      </c>
      <c r="AJ777" s="209" t="s">
        <v>25</v>
      </c>
      <c r="AK777" s="209" t="s">
        <v>306</v>
      </c>
      <c r="AL777" s="234" t="s">
        <v>25</v>
      </c>
      <c r="AM777" s="209" t="s">
        <v>306</v>
      </c>
      <c r="AN777" s="209" t="s">
        <v>306</v>
      </c>
      <c r="AO777" s="234" t="s">
        <v>306</v>
      </c>
      <c r="AP777" s="235" t="s">
        <v>306</v>
      </c>
      <c r="AQ777" s="209" t="s">
        <v>25</v>
      </c>
      <c r="AR777" s="209" t="s">
        <v>25</v>
      </c>
      <c r="AS777" s="234" t="s">
        <v>25</v>
      </c>
      <c r="AT777" s="209" t="s">
        <v>25</v>
      </c>
      <c r="AU777" s="209" t="s">
        <v>25</v>
      </c>
      <c r="AV777" s="234" t="s">
        <v>25</v>
      </c>
      <c r="AW777" s="209" t="s">
        <v>306</v>
      </c>
      <c r="AX777" s="209" t="s">
        <v>306</v>
      </c>
      <c r="AY777" s="234" t="s">
        <v>306</v>
      </c>
      <c r="AZ777" s="209" t="s">
        <v>25</v>
      </c>
      <c r="BA777" s="209" t="s">
        <v>25</v>
      </c>
      <c r="BB777" s="234" t="s">
        <v>25</v>
      </c>
      <c r="BC777" s="235" t="s">
        <v>25</v>
      </c>
      <c r="BD777" s="209"/>
    </row>
    <row r="778" spans="1:56" ht="12.75" customHeight="1" x14ac:dyDescent="0.25">
      <c r="A778" s="238">
        <v>45275.877176099537</v>
      </c>
      <c r="B778" s="233" t="s">
        <v>395</v>
      </c>
      <c r="C778" s="209" t="s">
        <v>587</v>
      </c>
      <c r="D778" s="232" t="s">
        <v>17</v>
      </c>
      <c r="E778" s="232" t="s">
        <v>515</v>
      </c>
      <c r="F778" s="209" t="s">
        <v>1352</v>
      </c>
      <c r="G778" s="232" t="s">
        <v>18</v>
      </c>
      <c r="H778" s="232">
        <v>11</v>
      </c>
      <c r="I778" s="209" t="s">
        <v>518</v>
      </c>
      <c r="J778" s="209" t="s">
        <v>560</v>
      </c>
      <c r="K778" s="209" t="s">
        <v>560</v>
      </c>
      <c r="L778" s="209" t="s">
        <v>518</v>
      </c>
      <c r="M778" s="209" t="s">
        <v>412</v>
      </c>
      <c r="N778" s="209" t="s">
        <v>589</v>
      </c>
      <c r="O778" s="209"/>
      <c r="P778" s="209"/>
      <c r="Q778" s="209" t="s">
        <v>25</v>
      </c>
      <c r="R778" s="209" t="s">
        <v>306</v>
      </c>
      <c r="S778" s="234" t="s">
        <v>25</v>
      </c>
      <c r="T778" s="209" t="s">
        <v>19</v>
      </c>
      <c r="U778" s="209" t="s">
        <v>25</v>
      </c>
      <c r="V778" s="234" t="s">
        <v>306</v>
      </c>
      <c r="W778" s="209" t="s">
        <v>25</v>
      </c>
      <c r="X778" s="209" t="s">
        <v>306</v>
      </c>
      <c r="Y778" s="234" t="s">
        <v>25</v>
      </c>
      <c r="Z778" s="209" t="s">
        <v>25</v>
      </c>
      <c r="AA778" s="209" t="s">
        <v>306</v>
      </c>
      <c r="AB778" s="234" t="s">
        <v>25</v>
      </c>
      <c r="AC778" s="235" t="s">
        <v>306</v>
      </c>
      <c r="AD778" s="209" t="s">
        <v>25</v>
      </c>
      <c r="AE778" s="209" t="s">
        <v>306</v>
      </c>
      <c r="AF778" s="234" t="s">
        <v>25</v>
      </c>
      <c r="AG778" s="209" t="s">
        <v>306</v>
      </c>
      <c r="AH778" s="209" t="s">
        <v>19</v>
      </c>
      <c r="AI778" s="234" t="s">
        <v>306</v>
      </c>
      <c r="AJ778" s="209" t="s">
        <v>306</v>
      </c>
      <c r="AK778" s="209" t="s">
        <v>25</v>
      </c>
      <c r="AL778" s="234" t="s">
        <v>25</v>
      </c>
      <c r="AM778" s="209" t="s">
        <v>19</v>
      </c>
      <c r="AN778" s="209" t="s">
        <v>19</v>
      </c>
      <c r="AO778" s="234" t="s">
        <v>19</v>
      </c>
      <c r="AP778" s="235" t="s">
        <v>306</v>
      </c>
      <c r="AQ778" s="209" t="s">
        <v>25</v>
      </c>
      <c r="AR778" s="209" t="s">
        <v>25</v>
      </c>
      <c r="AS778" s="234" t="s">
        <v>25</v>
      </c>
      <c r="AT778" s="209" t="s">
        <v>25</v>
      </c>
      <c r="AU778" s="209" t="s">
        <v>306</v>
      </c>
      <c r="AV778" s="234" t="s">
        <v>25</v>
      </c>
      <c r="AW778" s="209" t="s">
        <v>25</v>
      </c>
      <c r="AX778" s="209" t="s">
        <v>25</v>
      </c>
      <c r="AY778" s="234" t="s">
        <v>25</v>
      </c>
      <c r="AZ778" s="209" t="s">
        <v>306</v>
      </c>
      <c r="BA778" s="209" t="s">
        <v>306</v>
      </c>
      <c r="BB778" s="234" t="s">
        <v>25</v>
      </c>
      <c r="BC778" s="235" t="s">
        <v>25</v>
      </c>
      <c r="BD778" s="209"/>
    </row>
    <row r="779" spans="1:56" ht="12.75" customHeight="1" x14ac:dyDescent="0.25">
      <c r="A779" s="238">
        <v>44785.441363506943</v>
      </c>
      <c r="B779" s="137" t="s">
        <v>395</v>
      </c>
      <c r="C779" s="211" t="s">
        <v>595</v>
      </c>
      <c r="D779" s="211" t="s">
        <v>17</v>
      </c>
      <c r="E779" s="232" t="s">
        <v>515</v>
      </c>
      <c r="F779" s="188" t="s">
        <v>567</v>
      </c>
      <c r="G779" s="211" t="s">
        <v>18</v>
      </c>
      <c r="H779" s="211">
        <v>11</v>
      </c>
      <c r="I779" s="188" t="s">
        <v>518</v>
      </c>
      <c r="J779" s="188" t="s">
        <v>560</v>
      </c>
      <c r="K779" s="209" t="s">
        <v>560</v>
      </c>
      <c r="L779" s="188" t="s">
        <v>531</v>
      </c>
      <c r="M779" s="188" t="s">
        <v>614</v>
      </c>
      <c r="N779" s="188"/>
      <c r="O779" s="188"/>
      <c r="P779" s="188"/>
      <c r="Q779" s="188" t="s">
        <v>25</v>
      </c>
      <c r="R779" s="188" t="s">
        <v>19</v>
      </c>
      <c r="S779" s="234" t="s">
        <v>306</v>
      </c>
      <c r="T779" s="188" t="s">
        <v>25</v>
      </c>
      <c r="U779" s="188" t="s">
        <v>25</v>
      </c>
      <c r="V779" s="234" t="s">
        <v>25</v>
      </c>
      <c r="W779" s="188" t="s">
        <v>25</v>
      </c>
      <c r="X779" s="188" t="s">
        <v>19</v>
      </c>
      <c r="Y779" s="234" t="s">
        <v>306</v>
      </c>
      <c r="Z779" s="188" t="s">
        <v>25</v>
      </c>
      <c r="AA779" s="188" t="s">
        <v>19</v>
      </c>
      <c r="AB779" s="234" t="s">
        <v>306</v>
      </c>
      <c r="AC779" s="235" t="s">
        <v>306</v>
      </c>
      <c r="AD779" s="188" t="s">
        <v>25</v>
      </c>
      <c r="AE779" s="188" t="s">
        <v>19</v>
      </c>
      <c r="AF779" s="234" t="s">
        <v>306</v>
      </c>
      <c r="AG779" s="188" t="s">
        <v>19</v>
      </c>
      <c r="AH779" s="188" t="s">
        <v>19</v>
      </c>
      <c r="AI779" s="234" t="s">
        <v>19</v>
      </c>
      <c r="AJ779" s="188" t="s">
        <v>25</v>
      </c>
      <c r="AK779" s="188" t="s">
        <v>19</v>
      </c>
      <c r="AL779" s="234" t="s">
        <v>306</v>
      </c>
      <c r="AM779" s="188" t="s">
        <v>306</v>
      </c>
      <c r="AN779" s="188" t="s">
        <v>25</v>
      </c>
      <c r="AO779" s="234" t="s">
        <v>25</v>
      </c>
      <c r="AP779" s="235" t="s">
        <v>306</v>
      </c>
      <c r="AQ779" s="188" t="s">
        <v>306</v>
      </c>
      <c r="AR779" s="188" t="s">
        <v>25</v>
      </c>
      <c r="AS779" s="234" t="s">
        <v>25</v>
      </c>
      <c r="AT779" s="188" t="s">
        <v>25</v>
      </c>
      <c r="AU779" s="188" t="s">
        <v>25</v>
      </c>
      <c r="AV779" s="234" t="s">
        <v>25</v>
      </c>
      <c r="AW779" s="188" t="s">
        <v>25</v>
      </c>
      <c r="AX779" s="188" t="s">
        <v>25</v>
      </c>
      <c r="AY779" s="234" t="s">
        <v>25</v>
      </c>
      <c r="AZ779" s="188" t="s">
        <v>25</v>
      </c>
      <c r="BA779" s="188" t="s">
        <v>19</v>
      </c>
      <c r="BB779" s="234" t="s">
        <v>25</v>
      </c>
      <c r="BC779" s="235" t="s">
        <v>25</v>
      </c>
      <c r="BD779" s="209"/>
    </row>
    <row r="780" spans="1:56" ht="12.75" customHeight="1" x14ac:dyDescent="0.25">
      <c r="A780" s="238">
        <v>44785.447771747684</v>
      </c>
      <c r="B780" s="137" t="s">
        <v>395</v>
      </c>
      <c r="C780" s="211" t="s">
        <v>595</v>
      </c>
      <c r="D780" s="211" t="s">
        <v>17</v>
      </c>
      <c r="E780" s="232" t="s">
        <v>515</v>
      </c>
      <c r="F780" s="188" t="s">
        <v>1353</v>
      </c>
      <c r="G780" s="211" t="s">
        <v>18</v>
      </c>
      <c r="H780" s="211">
        <v>11</v>
      </c>
      <c r="I780" s="188" t="s">
        <v>518</v>
      </c>
      <c r="J780" s="188" t="s">
        <v>560</v>
      </c>
      <c r="K780" s="209" t="s">
        <v>560</v>
      </c>
      <c r="L780" s="188" t="s">
        <v>531</v>
      </c>
      <c r="M780" s="188" t="s">
        <v>614</v>
      </c>
      <c r="N780" s="188"/>
      <c r="O780" s="188"/>
      <c r="P780" s="188"/>
      <c r="Q780" s="188" t="s">
        <v>25</v>
      </c>
      <c r="R780" s="188" t="s">
        <v>306</v>
      </c>
      <c r="S780" s="234" t="s">
        <v>25</v>
      </c>
      <c r="T780" s="188" t="s">
        <v>25</v>
      </c>
      <c r="U780" s="188" t="s">
        <v>25</v>
      </c>
      <c r="V780" s="234" t="s">
        <v>25</v>
      </c>
      <c r="W780" s="188" t="s">
        <v>25</v>
      </c>
      <c r="X780" s="188" t="s">
        <v>19</v>
      </c>
      <c r="Y780" s="234" t="s">
        <v>306</v>
      </c>
      <c r="Z780" s="188" t="s">
        <v>25</v>
      </c>
      <c r="AA780" s="188" t="s">
        <v>19</v>
      </c>
      <c r="AB780" s="234" t="s">
        <v>306</v>
      </c>
      <c r="AC780" s="235" t="s">
        <v>306</v>
      </c>
      <c r="AD780" s="188" t="s">
        <v>25</v>
      </c>
      <c r="AE780" s="188" t="s">
        <v>19</v>
      </c>
      <c r="AF780" s="234" t="s">
        <v>306</v>
      </c>
      <c r="AG780" s="188" t="s">
        <v>19</v>
      </c>
      <c r="AH780" s="188" t="s">
        <v>19</v>
      </c>
      <c r="AI780" s="234" t="s">
        <v>19</v>
      </c>
      <c r="AJ780" s="188" t="s">
        <v>25</v>
      </c>
      <c r="AK780" s="188" t="s">
        <v>19</v>
      </c>
      <c r="AL780" s="234" t="s">
        <v>306</v>
      </c>
      <c r="AM780" s="188" t="s">
        <v>306</v>
      </c>
      <c r="AN780" s="188" t="s">
        <v>25</v>
      </c>
      <c r="AO780" s="234" t="s">
        <v>25</v>
      </c>
      <c r="AP780" s="235" t="s">
        <v>306</v>
      </c>
      <c r="AQ780" s="188" t="s">
        <v>25</v>
      </c>
      <c r="AR780" s="188" t="s">
        <v>25</v>
      </c>
      <c r="AS780" s="234" t="s">
        <v>25</v>
      </c>
      <c r="AT780" s="188" t="s">
        <v>25</v>
      </c>
      <c r="AU780" s="188" t="s">
        <v>25</v>
      </c>
      <c r="AV780" s="234" t="s">
        <v>25</v>
      </c>
      <c r="AW780" s="188" t="s">
        <v>306</v>
      </c>
      <c r="AX780" s="188" t="s">
        <v>25</v>
      </c>
      <c r="AY780" s="234" t="s">
        <v>25</v>
      </c>
      <c r="AZ780" s="188" t="s">
        <v>306</v>
      </c>
      <c r="BA780" s="188" t="s">
        <v>25</v>
      </c>
      <c r="BB780" s="234" t="s">
        <v>25</v>
      </c>
      <c r="BC780" s="235" t="s">
        <v>25</v>
      </c>
      <c r="BD780" s="209"/>
    </row>
    <row r="781" spans="1:56" ht="12.75" customHeight="1" x14ac:dyDescent="0.25">
      <c r="A781" s="238">
        <v>44785.449612824072</v>
      </c>
      <c r="B781" s="137" t="s">
        <v>395</v>
      </c>
      <c r="C781" s="211" t="s">
        <v>595</v>
      </c>
      <c r="D781" s="211" t="s">
        <v>17</v>
      </c>
      <c r="E781" s="232" t="s">
        <v>515</v>
      </c>
      <c r="F781" s="188" t="s">
        <v>1354</v>
      </c>
      <c r="G781" s="211" t="s">
        <v>18</v>
      </c>
      <c r="H781" s="211">
        <v>12</v>
      </c>
      <c r="I781" s="188" t="s">
        <v>518</v>
      </c>
      <c r="J781" s="188" t="s">
        <v>560</v>
      </c>
      <c r="K781" s="209" t="s">
        <v>560</v>
      </c>
      <c r="L781" s="188" t="s">
        <v>531</v>
      </c>
      <c r="M781" s="188" t="s">
        <v>614</v>
      </c>
      <c r="N781" s="188"/>
      <c r="O781" s="188"/>
      <c r="P781" s="188"/>
      <c r="Q781" s="188" t="s">
        <v>25</v>
      </c>
      <c r="R781" s="188" t="s">
        <v>25</v>
      </c>
      <c r="S781" s="234" t="s">
        <v>25</v>
      </c>
      <c r="T781" s="188" t="s">
        <v>19</v>
      </c>
      <c r="U781" s="188" t="s">
        <v>25</v>
      </c>
      <c r="V781" s="234" t="s">
        <v>306</v>
      </c>
      <c r="W781" s="188" t="s">
        <v>306</v>
      </c>
      <c r="X781" s="188" t="s">
        <v>19</v>
      </c>
      <c r="Y781" s="234" t="s">
        <v>306</v>
      </c>
      <c r="Z781" s="188" t="s">
        <v>19</v>
      </c>
      <c r="AA781" s="188" t="s">
        <v>19</v>
      </c>
      <c r="AB781" s="234" t="s">
        <v>19</v>
      </c>
      <c r="AC781" s="235" t="s">
        <v>306</v>
      </c>
      <c r="AD781" s="188" t="s">
        <v>19</v>
      </c>
      <c r="AE781" s="188" t="s">
        <v>25</v>
      </c>
      <c r="AF781" s="234" t="s">
        <v>306</v>
      </c>
      <c r="AG781" s="188" t="s">
        <v>19</v>
      </c>
      <c r="AH781" s="188" t="s">
        <v>306</v>
      </c>
      <c r="AI781" s="234" t="s">
        <v>306</v>
      </c>
      <c r="AJ781" s="188" t="s">
        <v>19</v>
      </c>
      <c r="AK781" s="188" t="s">
        <v>19</v>
      </c>
      <c r="AL781" s="234" t="s">
        <v>19</v>
      </c>
      <c r="AM781" s="188" t="s">
        <v>19</v>
      </c>
      <c r="AN781" s="188" t="s">
        <v>19</v>
      </c>
      <c r="AO781" s="234" t="s">
        <v>19</v>
      </c>
      <c r="AP781" s="235" t="s">
        <v>19</v>
      </c>
      <c r="AQ781" s="188" t="s">
        <v>25</v>
      </c>
      <c r="AR781" s="188" t="s">
        <v>306</v>
      </c>
      <c r="AS781" s="234" t="s">
        <v>25</v>
      </c>
      <c r="AT781" s="188" t="s">
        <v>25</v>
      </c>
      <c r="AU781" s="188" t="s">
        <v>25</v>
      </c>
      <c r="AV781" s="234" t="s">
        <v>25</v>
      </c>
      <c r="AW781" s="188" t="s">
        <v>25</v>
      </c>
      <c r="AX781" s="188" t="s">
        <v>306</v>
      </c>
      <c r="AY781" s="234" t="s">
        <v>25</v>
      </c>
      <c r="AZ781" s="188" t="s">
        <v>25</v>
      </c>
      <c r="BA781" s="188" t="s">
        <v>25</v>
      </c>
      <c r="BB781" s="234" t="s">
        <v>25</v>
      </c>
      <c r="BC781" s="235" t="s">
        <v>25</v>
      </c>
      <c r="BD781" s="209"/>
    </row>
    <row r="782" spans="1:56" ht="12.75" customHeight="1" x14ac:dyDescent="0.25">
      <c r="A782" s="238">
        <v>44785.45430626157</v>
      </c>
      <c r="B782" s="137" t="s">
        <v>395</v>
      </c>
      <c r="C782" s="211" t="s">
        <v>595</v>
      </c>
      <c r="D782" s="211" t="s">
        <v>17</v>
      </c>
      <c r="E782" s="232" t="s">
        <v>515</v>
      </c>
      <c r="F782" s="188" t="s">
        <v>568</v>
      </c>
      <c r="G782" s="211" t="s">
        <v>18</v>
      </c>
      <c r="H782" s="211">
        <v>12</v>
      </c>
      <c r="I782" s="188" t="s">
        <v>518</v>
      </c>
      <c r="J782" s="188" t="s">
        <v>560</v>
      </c>
      <c r="K782" s="209" t="s">
        <v>560</v>
      </c>
      <c r="L782" s="188" t="s">
        <v>531</v>
      </c>
      <c r="M782" s="188" t="s">
        <v>614</v>
      </c>
      <c r="N782" s="188"/>
      <c r="O782" s="188"/>
      <c r="P782" s="188"/>
      <c r="Q782" s="188" t="s">
        <v>25</v>
      </c>
      <c r="R782" s="188" t="s">
        <v>19</v>
      </c>
      <c r="S782" s="234" t="s">
        <v>306</v>
      </c>
      <c r="T782" s="188" t="s">
        <v>19</v>
      </c>
      <c r="U782" s="188" t="s">
        <v>25</v>
      </c>
      <c r="V782" s="234" t="s">
        <v>306</v>
      </c>
      <c r="W782" s="188" t="s">
        <v>25</v>
      </c>
      <c r="X782" s="188" t="s">
        <v>19</v>
      </c>
      <c r="Y782" s="234" t="s">
        <v>306</v>
      </c>
      <c r="Z782" s="188" t="s">
        <v>25</v>
      </c>
      <c r="AA782" s="188" t="s">
        <v>19</v>
      </c>
      <c r="AB782" s="234" t="s">
        <v>306</v>
      </c>
      <c r="AC782" s="235" t="s">
        <v>306</v>
      </c>
      <c r="AD782" s="188" t="s">
        <v>25</v>
      </c>
      <c r="AE782" s="188" t="s">
        <v>306</v>
      </c>
      <c r="AF782" s="234" t="s">
        <v>25</v>
      </c>
      <c r="AG782" s="188" t="s">
        <v>306</v>
      </c>
      <c r="AH782" s="188" t="s">
        <v>19</v>
      </c>
      <c r="AI782" s="234" t="s">
        <v>306</v>
      </c>
      <c r="AJ782" s="188" t="s">
        <v>19</v>
      </c>
      <c r="AK782" s="188" t="s">
        <v>19</v>
      </c>
      <c r="AL782" s="234" t="s">
        <v>19</v>
      </c>
      <c r="AM782" s="188" t="s">
        <v>19</v>
      </c>
      <c r="AN782" s="188" t="s">
        <v>19</v>
      </c>
      <c r="AO782" s="234" t="s">
        <v>19</v>
      </c>
      <c r="AP782" s="235" t="s">
        <v>306</v>
      </c>
      <c r="AQ782" s="188" t="s">
        <v>25</v>
      </c>
      <c r="AR782" s="188" t="s">
        <v>25</v>
      </c>
      <c r="AS782" s="234" t="s">
        <v>25</v>
      </c>
      <c r="AT782" s="188" t="s">
        <v>25</v>
      </c>
      <c r="AU782" s="188" t="s">
        <v>25</v>
      </c>
      <c r="AV782" s="234" t="s">
        <v>25</v>
      </c>
      <c r="AW782" s="188" t="s">
        <v>25</v>
      </c>
      <c r="AX782" s="188" t="s">
        <v>306</v>
      </c>
      <c r="AY782" s="234" t="s">
        <v>25</v>
      </c>
      <c r="AZ782" s="188" t="s">
        <v>25</v>
      </c>
      <c r="BA782" s="188" t="s">
        <v>25</v>
      </c>
      <c r="BB782" s="234" t="s">
        <v>306</v>
      </c>
      <c r="BC782" s="235" t="s">
        <v>306</v>
      </c>
      <c r="BD782" s="209"/>
    </row>
    <row r="783" spans="1:56" ht="12.75" customHeight="1" x14ac:dyDescent="0.25">
      <c r="A783" s="238">
        <v>44785.460200289352</v>
      </c>
      <c r="B783" s="137" t="s">
        <v>395</v>
      </c>
      <c r="C783" s="211" t="s">
        <v>595</v>
      </c>
      <c r="D783" s="211" t="s">
        <v>17</v>
      </c>
      <c r="E783" s="232" t="s">
        <v>515</v>
      </c>
      <c r="F783" s="188" t="s">
        <v>1355</v>
      </c>
      <c r="G783" s="211" t="s">
        <v>24</v>
      </c>
      <c r="H783" s="211">
        <v>11</v>
      </c>
      <c r="I783" s="188" t="s">
        <v>518</v>
      </c>
      <c r="J783" s="188" t="s">
        <v>560</v>
      </c>
      <c r="K783" s="209" t="s">
        <v>560</v>
      </c>
      <c r="L783" s="188" t="s">
        <v>531</v>
      </c>
      <c r="M783" s="188" t="s">
        <v>614</v>
      </c>
      <c r="N783" s="188"/>
      <c r="O783" s="188"/>
      <c r="P783" s="188"/>
      <c r="Q783" s="188" t="s">
        <v>25</v>
      </c>
      <c r="R783" s="188" t="s">
        <v>25</v>
      </c>
      <c r="S783" s="234" t="s">
        <v>25</v>
      </c>
      <c r="T783" s="188" t="s">
        <v>19</v>
      </c>
      <c r="U783" s="188" t="s">
        <v>25</v>
      </c>
      <c r="V783" s="234" t="s">
        <v>306</v>
      </c>
      <c r="W783" s="188" t="s">
        <v>19</v>
      </c>
      <c r="X783" s="188" t="s">
        <v>19</v>
      </c>
      <c r="Y783" s="234" t="s">
        <v>19</v>
      </c>
      <c r="Z783" s="188" t="s">
        <v>25</v>
      </c>
      <c r="AA783" s="188" t="s">
        <v>19</v>
      </c>
      <c r="AB783" s="234" t="s">
        <v>306</v>
      </c>
      <c r="AC783" s="235" t="s">
        <v>306</v>
      </c>
      <c r="AD783" s="188" t="s">
        <v>19</v>
      </c>
      <c r="AE783" s="188" t="s">
        <v>25</v>
      </c>
      <c r="AF783" s="234" t="s">
        <v>306</v>
      </c>
      <c r="AG783" s="188" t="s">
        <v>306</v>
      </c>
      <c r="AH783" s="188" t="s">
        <v>19</v>
      </c>
      <c r="AI783" s="234" t="s">
        <v>306</v>
      </c>
      <c r="AJ783" s="188" t="s">
        <v>19</v>
      </c>
      <c r="AK783" s="188" t="s">
        <v>19</v>
      </c>
      <c r="AL783" s="234" t="s">
        <v>19</v>
      </c>
      <c r="AM783" s="188" t="s">
        <v>19</v>
      </c>
      <c r="AN783" s="188" t="s">
        <v>19</v>
      </c>
      <c r="AO783" s="234" t="s">
        <v>19</v>
      </c>
      <c r="AP783" s="235" t="s">
        <v>19</v>
      </c>
      <c r="AQ783" s="188" t="s">
        <v>25</v>
      </c>
      <c r="AR783" s="188" t="s">
        <v>25</v>
      </c>
      <c r="AS783" s="234" t="s">
        <v>25</v>
      </c>
      <c r="AT783" s="188" t="s">
        <v>25</v>
      </c>
      <c r="AU783" s="188" t="s">
        <v>25</v>
      </c>
      <c r="AV783" s="234" t="s">
        <v>25</v>
      </c>
      <c r="AW783" s="188" t="s">
        <v>306</v>
      </c>
      <c r="AX783" s="188" t="s">
        <v>19</v>
      </c>
      <c r="AY783" s="234" t="s">
        <v>306</v>
      </c>
      <c r="AZ783" s="188" t="s">
        <v>25</v>
      </c>
      <c r="BA783" s="188" t="s">
        <v>25</v>
      </c>
      <c r="BB783" s="234" t="s">
        <v>25</v>
      </c>
      <c r="BC783" s="235" t="s">
        <v>25</v>
      </c>
      <c r="BD783" s="209"/>
    </row>
    <row r="784" spans="1:56" ht="12.75" customHeight="1" x14ac:dyDescent="0.25">
      <c r="A784" s="238">
        <v>44785.465122118054</v>
      </c>
      <c r="B784" s="137" t="s">
        <v>395</v>
      </c>
      <c r="C784" s="211" t="s">
        <v>595</v>
      </c>
      <c r="D784" s="211" t="s">
        <v>17</v>
      </c>
      <c r="E784" s="232" t="s">
        <v>515</v>
      </c>
      <c r="F784" s="188" t="s">
        <v>1356</v>
      </c>
      <c r="G784" s="211" t="s">
        <v>18</v>
      </c>
      <c r="H784" s="211">
        <v>12</v>
      </c>
      <c r="I784" s="188" t="s">
        <v>518</v>
      </c>
      <c r="J784" s="188" t="s">
        <v>560</v>
      </c>
      <c r="K784" s="209" t="s">
        <v>560</v>
      </c>
      <c r="L784" s="188" t="s">
        <v>531</v>
      </c>
      <c r="M784" s="188" t="s">
        <v>614</v>
      </c>
      <c r="N784" s="188"/>
      <c r="O784" s="188"/>
      <c r="P784" s="188"/>
      <c r="Q784" s="188" t="s">
        <v>25</v>
      </c>
      <c r="R784" s="188" t="s">
        <v>25</v>
      </c>
      <c r="S784" s="234" t="s">
        <v>25</v>
      </c>
      <c r="T784" s="188" t="s">
        <v>25</v>
      </c>
      <c r="U784" s="188" t="s">
        <v>25</v>
      </c>
      <c r="V784" s="234" t="s">
        <v>25</v>
      </c>
      <c r="W784" s="188" t="s">
        <v>306</v>
      </c>
      <c r="X784" s="188" t="s">
        <v>19</v>
      </c>
      <c r="Y784" s="234" t="s">
        <v>306</v>
      </c>
      <c r="Z784" s="188" t="s">
        <v>25</v>
      </c>
      <c r="AA784" s="188" t="s">
        <v>19</v>
      </c>
      <c r="AB784" s="234" t="s">
        <v>306</v>
      </c>
      <c r="AC784" s="235" t="s">
        <v>306</v>
      </c>
      <c r="AD784" s="188" t="s">
        <v>306</v>
      </c>
      <c r="AE784" s="188" t="s">
        <v>306</v>
      </c>
      <c r="AF784" s="234" t="s">
        <v>306</v>
      </c>
      <c r="AG784" s="188" t="s">
        <v>19</v>
      </c>
      <c r="AH784" s="188" t="s">
        <v>19</v>
      </c>
      <c r="AI784" s="234" t="s">
        <v>19</v>
      </c>
      <c r="AJ784" s="188" t="s">
        <v>306</v>
      </c>
      <c r="AK784" s="188" t="s">
        <v>19</v>
      </c>
      <c r="AL784" s="234" t="s">
        <v>306</v>
      </c>
      <c r="AM784" s="188" t="s">
        <v>19</v>
      </c>
      <c r="AN784" s="188" t="s">
        <v>19</v>
      </c>
      <c r="AO784" s="234" t="s">
        <v>19</v>
      </c>
      <c r="AP784" s="235" t="s">
        <v>19</v>
      </c>
      <c r="AQ784" s="188" t="s">
        <v>25</v>
      </c>
      <c r="AR784" s="188" t="s">
        <v>25</v>
      </c>
      <c r="AS784" s="234" t="s">
        <v>25</v>
      </c>
      <c r="AT784" s="188" t="s">
        <v>25</v>
      </c>
      <c r="AU784" s="188" t="s">
        <v>25</v>
      </c>
      <c r="AV784" s="234" t="s">
        <v>25</v>
      </c>
      <c r="AW784" s="188" t="s">
        <v>306</v>
      </c>
      <c r="AX784" s="188" t="s">
        <v>306</v>
      </c>
      <c r="AY784" s="234" t="s">
        <v>306</v>
      </c>
      <c r="AZ784" s="188" t="s">
        <v>25</v>
      </c>
      <c r="BA784" s="188" t="s">
        <v>25</v>
      </c>
      <c r="BB784" s="234" t="s">
        <v>25</v>
      </c>
      <c r="BC784" s="235" t="s">
        <v>25</v>
      </c>
      <c r="BD784" s="209"/>
    </row>
    <row r="785" spans="1:56" ht="12.75" customHeight="1" x14ac:dyDescent="0.25">
      <c r="A785" s="238">
        <v>44785.467327974533</v>
      </c>
      <c r="B785" s="137" t="s">
        <v>395</v>
      </c>
      <c r="C785" s="211" t="s">
        <v>595</v>
      </c>
      <c r="D785" s="211" t="s">
        <v>17</v>
      </c>
      <c r="E785" s="232" t="s">
        <v>515</v>
      </c>
      <c r="F785" s="188" t="s">
        <v>1357</v>
      </c>
      <c r="G785" s="211" t="s">
        <v>24</v>
      </c>
      <c r="H785" s="211">
        <v>11</v>
      </c>
      <c r="I785" s="188" t="s">
        <v>518</v>
      </c>
      <c r="J785" s="188" t="s">
        <v>560</v>
      </c>
      <c r="K785" s="209" t="s">
        <v>560</v>
      </c>
      <c r="L785" s="188" t="s">
        <v>531</v>
      </c>
      <c r="M785" s="188" t="s">
        <v>614</v>
      </c>
      <c r="N785" s="188"/>
      <c r="O785" s="188"/>
      <c r="P785" s="188"/>
      <c r="Q785" s="188" t="s">
        <v>306</v>
      </c>
      <c r="R785" s="188" t="s">
        <v>25</v>
      </c>
      <c r="S785" s="234" t="s">
        <v>25</v>
      </c>
      <c r="T785" s="188" t="s">
        <v>19</v>
      </c>
      <c r="U785" s="188" t="s">
        <v>25</v>
      </c>
      <c r="V785" s="234" t="s">
        <v>306</v>
      </c>
      <c r="W785" s="188" t="s">
        <v>19</v>
      </c>
      <c r="X785" s="188" t="s">
        <v>306</v>
      </c>
      <c r="Y785" s="234" t="s">
        <v>306</v>
      </c>
      <c r="Z785" s="188" t="s">
        <v>306</v>
      </c>
      <c r="AA785" s="188" t="s">
        <v>19</v>
      </c>
      <c r="AB785" s="234" t="s">
        <v>306</v>
      </c>
      <c r="AC785" s="235" t="s">
        <v>306</v>
      </c>
      <c r="AD785" s="188" t="s">
        <v>19</v>
      </c>
      <c r="AE785" s="188" t="s">
        <v>306</v>
      </c>
      <c r="AF785" s="234" t="s">
        <v>306</v>
      </c>
      <c r="AG785" s="188" t="s">
        <v>19</v>
      </c>
      <c r="AH785" s="188" t="s">
        <v>19</v>
      </c>
      <c r="AI785" s="234" t="s">
        <v>19</v>
      </c>
      <c r="AJ785" s="188" t="s">
        <v>19</v>
      </c>
      <c r="AK785" s="188" t="s">
        <v>306</v>
      </c>
      <c r="AL785" s="234" t="s">
        <v>306</v>
      </c>
      <c r="AM785" s="188" t="s">
        <v>306</v>
      </c>
      <c r="AN785" s="188" t="s">
        <v>25</v>
      </c>
      <c r="AO785" s="234" t="s">
        <v>25</v>
      </c>
      <c r="AP785" s="235" t="s">
        <v>306</v>
      </c>
      <c r="AQ785" s="188" t="s">
        <v>25</v>
      </c>
      <c r="AR785" s="188" t="s">
        <v>19</v>
      </c>
      <c r="AS785" s="234" t="s">
        <v>306</v>
      </c>
      <c r="AT785" s="188" t="s">
        <v>25</v>
      </c>
      <c r="AU785" s="188" t="s">
        <v>25</v>
      </c>
      <c r="AV785" s="234" t="s">
        <v>25</v>
      </c>
      <c r="AW785" s="188" t="s">
        <v>306</v>
      </c>
      <c r="AX785" s="188" t="s">
        <v>19</v>
      </c>
      <c r="AY785" s="234" t="s">
        <v>306</v>
      </c>
      <c r="AZ785" s="188" t="s">
        <v>25</v>
      </c>
      <c r="BA785" s="188" t="s">
        <v>25</v>
      </c>
      <c r="BB785" s="234" t="s">
        <v>25</v>
      </c>
      <c r="BC785" s="235" t="s">
        <v>25</v>
      </c>
      <c r="BD785" s="209"/>
    </row>
    <row r="786" spans="1:56" ht="12.75" customHeight="1" x14ac:dyDescent="0.25">
      <c r="A786" s="238">
        <v>44785.469243321757</v>
      </c>
      <c r="B786" s="137" t="s">
        <v>395</v>
      </c>
      <c r="C786" s="211" t="s">
        <v>595</v>
      </c>
      <c r="D786" s="211" t="s">
        <v>17</v>
      </c>
      <c r="E786" s="232" t="s">
        <v>515</v>
      </c>
      <c r="F786" s="188" t="s">
        <v>569</v>
      </c>
      <c r="G786" s="211" t="s">
        <v>24</v>
      </c>
      <c r="H786" s="211">
        <v>12</v>
      </c>
      <c r="I786" s="188" t="s">
        <v>518</v>
      </c>
      <c r="J786" s="188" t="s">
        <v>560</v>
      </c>
      <c r="K786" s="209" t="s">
        <v>560</v>
      </c>
      <c r="L786" s="188" t="s">
        <v>531</v>
      </c>
      <c r="M786" s="188" t="s">
        <v>614</v>
      </c>
      <c r="N786" s="188"/>
      <c r="O786" s="188"/>
      <c r="P786" s="188"/>
      <c r="Q786" s="188" t="s">
        <v>306</v>
      </c>
      <c r="R786" s="188" t="s">
        <v>19</v>
      </c>
      <c r="S786" s="234" t="s">
        <v>306</v>
      </c>
      <c r="T786" s="188" t="s">
        <v>19</v>
      </c>
      <c r="U786" s="188" t="s">
        <v>25</v>
      </c>
      <c r="V786" s="234" t="s">
        <v>306</v>
      </c>
      <c r="W786" s="188" t="s">
        <v>19</v>
      </c>
      <c r="X786" s="188" t="s">
        <v>19</v>
      </c>
      <c r="Y786" s="234" t="s">
        <v>19</v>
      </c>
      <c r="Z786" s="188" t="s">
        <v>25</v>
      </c>
      <c r="AA786" s="188" t="s">
        <v>19</v>
      </c>
      <c r="AB786" s="234" t="s">
        <v>306</v>
      </c>
      <c r="AC786" s="235" t="s">
        <v>306</v>
      </c>
      <c r="AD786" s="188" t="s">
        <v>306</v>
      </c>
      <c r="AE786" s="188" t="s">
        <v>19</v>
      </c>
      <c r="AF786" s="234" t="s">
        <v>306</v>
      </c>
      <c r="AG786" s="188" t="s">
        <v>306</v>
      </c>
      <c r="AH786" s="188" t="s">
        <v>19</v>
      </c>
      <c r="AI786" s="234" t="s">
        <v>306</v>
      </c>
      <c r="AJ786" s="188" t="s">
        <v>19</v>
      </c>
      <c r="AK786" s="188" t="s">
        <v>306</v>
      </c>
      <c r="AL786" s="234" t="s">
        <v>306</v>
      </c>
      <c r="AM786" s="188" t="s">
        <v>19</v>
      </c>
      <c r="AN786" s="188" t="s">
        <v>306</v>
      </c>
      <c r="AO786" s="234" t="s">
        <v>306</v>
      </c>
      <c r="AP786" s="235" t="s">
        <v>306</v>
      </c>
      <c r="AQ786" s="188" t="s">
        <v>19</v>
      </c>
      <c r="AR786" s="188" t="s">
        <v>19</v>
      </c>
      <c r="AS786" s="234" t="s">
        <v>19</v>
      </c>
      <c r="AT786" s="188" t="s">
        <v>306</v>
      </c>
      <c r="AU786" s="188" t="s">
        <v>19</v>
      </c>
      <c r="AV786" s="234" t="s">
        <v>306</v>
      </c>
      <c r="AW786" s="188" t="s">
        <v>19</v>
      </c>
      <c r="AX786" s="188" t="s">
        <v>19</v>
      </c>
      <c r="AY786" s="234" t="s">
        <v>19</v>
      </c>
      <c r="AZ786" s="188" t="s">
        <v>25</v>
      </c>
      <c r="BA786" s="188" t="s">
        <v>19</v>
      </c>
      <c r="BB786" s="234" t="s">
        <v>25</v>
      </c>
      <c r="BC786" s="235" t="s">
        <v>25</v>
      </c>
      <c r="BD786" s="209"/>
    </row>
    <row r="787" spans="1:56" ht="12.75" customHeight="1" x14ac:dyDescent="0.25">
      <c r="A787" s="238">
        <v>44785.471535520832</v>
      </c>
      <c r="B787" s="137" t="s">
        <v>395</v>
      </c>
      <c r="C787" s="211" t="s">
        <v>595</v>
      </c>
      <c r="D787" s="211" t="s">
        <v>17</v>
      </c>
      <c r="E787" s="232" t="s">
        <v>515</v>
      </c>
      <c r="F787" s="188" t="s">
        <v>1358</v>
      </c>
      <c r="G787" s="211" t="s">
        <v>18</v>
      </c>
      <c r="H787" s="211">
        <v>11</v>
      </c>
      <c r="I787" s="188" t="s">
        <v>518</v>
      </c>
      <c r="J787" s="188" t="s">
        <v>560</v>
      </c>
      <c r="K787" s="209" t="s">
        <v>560</v>
      </c>
      <c r="L787" s="188" t="s">
        <v>531</v>
      </c>
      <c r="M787" s="188" t="s">
        <v>614</v>
      </c>
      <c r="N787" s="188"/>
      <c r="O787" s="188"/>
      <c r="P787" s="188"/>
      <c r="Q787" s="188" t="s">
        <v>25</v>
      </c>
      <c r="R787" s="188" t="s">
        <v>25</v>
      </c>
      <c r="S787" s="234" t="s">
        <v>25</v>
      </c>
      <c r="T787" s="188" t="s">
        <v>19</v>
      </c>
      <c r="U787" s="188" t="s">
        <v>19</v>
      </c>
      <c r="V787" s="234" t="s">
        <v>19</v>
      </c>
      <c r="W787" s="188" t="s">
        <v>25</v>
      </c>
      <c r="X787" s="188" t="s">
        <v>25</v>
      </c>
      <c r="Y787" s="234" t="s">
        <v>25</v>
      </c>
      <c r="Z787" s="188" t="s">
        <v>19</v>
      </c>
      <c r="AA787" s="188" t="s">
        <v>19</v>
      </c>
      <c r="AB787" s="234" t="s">
        <v>19</v>
      </c>
      <c r="AC787" s="235" t="s">
        <v>306</v>
      </c>
      <c r="AD787" s="188" t="s">
        <v>306</v>
      </c>
      <c r="AE787" s="188" t="s">
        <v>19</v>
      </c>
      <c r="AF787" s="234" t="s">
        <v>306</v>
      </c>
      <c r="AG787" s="188" t="s">
        <v>306</v>
      </c>
      <c r="AH787" s="188" t="s">
        <v>19</v>
      </c>
      <c r="AI787" s="234" t="s">
        <v>306</v>
      </c>
      <c r="AJ787" s="188" t="s">
        <v>306</v>
      </c>
      <c r="AK787" s="188" t="s">
        <v>25</v>
      </c>
      <c r="AL787" s="234" t="s">
        <v>25</v>
      </c>
      <c r="AM787" s="188" t="s">
        <v>19</v>
      </c>
      <c r="AN787" s="188" t="s">
        <v>306</v>
      </c>
      <c r="AO787" s="234" t="s">
        <v>306</v>
      </c>
      <c r="AP787" s="235" t="s">
        <v>306</v>
      </c>
      <c r="AQ787" s="188" t="s">
        <v>19</v>
      </c>
      <c r="AR787" s="188" t="s">
        <v>25</v>
      </c>
      <c r="AS787" s="234" t="s">
        <v>306</v>
      </c>
      <c r="AT787" s="188" t="s">
        <v>25</v>
      </c>
      <c r="AU787" s="188" t="s">
        <v>25</v>
      </c>
      <c r="AV787" s="234" t="s">
        <v>25</v>
      </c>
      <c r="AW787" s="188" t="s">
        <v>25</v>
      </c>
      <c r="AX787" s="188" t="s">
        <v>19</v>
      </c>
      <c r="AY787" s="234" t="s">
        <v>306</v>
      </c>
      <c r="AZ787" s="188" t="s">
        <v>25</v>
      </c>
      <c r="BA787" s="188" t="s">
        <v>25</v>
      </c>
      <c r="BB787" s="234" t="s">
        <v>25</v>
      </c>
      <c r="BC787" s="235" t="s">
        <v>25</v>
      </c>
      <c r="BD787" s="209"/>
    </row>
    <row r="788" spans="1:56" ht="12.75" customHeight="1" x14ac:dyDescent="0.25">
      <c r="A788" s="238">
        <v>44785.476979479165</v>
      </c>
      <c r="B788" s="137" t="s">
        <v>395</v>
      </c>
      <c r="C788" s="211" t="s">
        <v>595</v>
      </c>
      <c r="D788" s="211" t="s">
        <v>17</v>
      </c>
      <c r="E788" s="232" t="s">
        <v>515</v>
      </c>
      <c r="F788" s="188" t="s">
        <v>1359</v>
      </c>
      <c r="G788" s="211" t="s">
        <v>24</v>
      </c>
      <c r="H788" s="211">
        <v>12</v>
      </c>
      <c r="I788" s="188" t="s">
        <v>518</v>
      </c>
      <c r="J788" s="188" t="s">
        <v>560</v>
      </c>
      <c r="K788" s="209" t="s">
        <v>560</v>
      </c>
      <c r="L788" s="188" t="s">
        <v>531</v>
      </c>
      <c r="M788" s="188" t="s">
        <v>614</v>
      </c>
      <c r="N788" s="188"/>
      <c r="O788" s="188"/>
      <c r="P788" s="188"/>
      <c r="Q788" s="188" t="s">
        <v>306</v>
      </c>
      <c r="R788" s="188" t="s">
        <v>25</v>
      </c>
      <c r="S788" s="234" t="s">
        <v>25</v>
      </c>
      <c r="T788" s="188" t="s">
        <v>19</v>
      </c>
      <c r="U788" s="188" t="s">
        <v>25</v>
      </c>
      <c r="V788" s="234" t="s">
        <v>306</v>
      </c>
      <c r="W788" s="188" t="s">
        <v>25</v>
      </c>
      <c r="X788" s="188" t="s">
        <v>25</v>
      </c>
      <c r="Y788" s="234" t="s">
        <v>25</v>
      </c>
      <c r="Z788" s="188" t="s">
        <v>306</v>
      </c>
      <c r="AA788" s="188" t="s">
        <v>306</v>
      </c>
      <c r="AB788" s="234" t="s">
        <v>306</v>
      </c>
      <c r="AC788" s="235" t="s">
        <v>306</v>
      </c>
      <c r="AD788" s="188" t="s">
        <v>306</v>
      </c>
      <c r="AE788" s="188" t="s">
        <v>25</v>
      </c>
      <c r="AF788" s="234" t="s">
        <v>25</v>
      </c>
      <c r="AG788" s="188" t="s">
        <v>19</v>
      </c>
      <c r="AH788" s="188" t="s">
        <v>19</v>
      </c>
      <c r="AI788" s="234" t="s">
        <v>19</v>
      </c>
      <c r="AJ788" s="188" t="s">
        <v>25</v>
      </c>
      <c r="AK788" s="188" t="s">
        <v>306</v>
      </c>
      <c r="AL788" s="234" t="s">
        <v>25</v>
      </c>
      <c r="AM788" s="188" t="s">
        <v>25</v>
      </c>
      <c r="AN788" s="188" t="s">
        <v>19</v>
      </c>
      <c r="AO788" s="234" t="s">
        <v>306</v>
      </c>
      <c r="AP788" s="235" t="s">
        <v>306</v>
      </c>
      <c r="AQ788" s="188" t="s">
        <v>19</v>
      </c>
      <c r="AR788" s="188" t="s">
        <v>306</v>
      </c>
      <c r="AS788" s="234" t="s">
        <v>306</v>
      </c>
      <c r="AT788" s="188" t="s">
        <v>25</v>
      </c>
      <c r="AU788" s="188" t="s">
        <v>25</v>
      </c>
      <c r="AV788" s="234" t="s">
        <v>25</v>
      </c>
      <c r="AW788" s="188" t="s">
        <v>19</v>
      </c>
      <c r="AX788" s="188" t="s">
        <v>306</v>
      </c>
      <c r="AY788" s="234" t="s">
        <v>306</v>
      </c>
      <c r="AZ788" s="188" t="s">
        <v>19</v>
      </c>
      <c r="BA788" s="188" t="s">
        <v>306</v>
      </c>
      <c r="BB788" s="234" t="s">
        <v>25</v>
      </c>
      <c r="BC788" s="235" t="s">
        <v>25</v>
      </c>
      <c r="BD788" s="209"/>
    </row>
    <row r="789" spans="1:56" ht="12.75" customHeight="1" x14ac:dyDescent="0.25">
      <c r="A789" s="238">
        <v>44785.47855054398</v>
      </c>
      <c r="B789" s="137" t="s">
        <v>395</v>
      </c>
      <c r="C789" s="211" t="s">
        <v>595</v>
      </c>
      <c r="D789" s="211" t="s">
        <v>17</v>
      </c>
      <c r="E789" s="232" t="s">
        <v>515</v>
      </c>
      <c r="F789" s="188" t="s">
        <v>1360</v>
      </c>
      <c r="G789" s="211" t="s">
        <v>24</v>
      </c>
      <c r="H789" s="211">
        <v>11</v>
      </c>
      <c r="I789" s="188" t="s">
        <v>518</v>
      </c>
      <c r="J789" s="188" t="s">
        <v>560</v>
      </c>
      <c r="K789" s="209" t="s">
        <v>560</v>
      </c>
      <c r="L789" s="188" t="s">
        <v>531</v>
      </c>
      <c r="M789" s="188" t="s">
        <v>614</v>
      </c>
      <c r="N789" s="188"/>
      <c r="O789" s="188"/>
      <c r="P789" s="188"/>
      <c r="Q789" s="188" t="s">
        <v>25</v>
      </c>
      <c r="R789" s="188" t="s">
        <v>25</v>
      </c>
      <c r="S789" s="234" t="s">
        <v>25</v>
      </c>
      <c r="T789" s="188" t="s">
        <v>19</v>
      </c>
      <c r="U789" s="188" t="s">
        <v>25</v>
      </c>
      <c r="V789" s="234" t="s">
        <v>306</v>
      </c>
      <c r="W789" s="188" t="s">
        <v>19</v>
      </c>
      <c r="X789" s="188" t="s">
        <v>25</v>
      </c>
      <c r="Y789" s="234" t="s">
        <v>306</v>
      </c>
      <c r="Z789" s="188" t="s">
        <v>25</v>
      </c>
      <c r="AA789" s="188" t="s">
        <v>19</v>
      </c>
      <c r="AB789" s="234" t="s">
        <v>306</v>
      </c>
      <c r="AC789" s="235" t="s">
        <v>306</v>
      </c>
      <c r="AD789" s="188" t="s">
        <v>19</v>
      </c>
      <c r="AE789" s="188" t="s">
        <v>25</v>
      </c>
      <c r="AF789" s="234" t="s">
        <v>306</v>
      </c>
      <c r="AG789" s="188" t="s">
        <v>19</v>
      </c>
      <c r="AH789" s="188" t="s">
        <v>19</v>
      </c>
      <c r="AI789" s="234" t="s">
        <v>19</v>
      </c>
      <c r="AJ789" s="188" t="s">
        <v>19</v>
      </c>
      <c r="AK789" s="188" t="s">
        <v>19</v>
      </c>
      <c r="AL789" s="234" t="s">
        <v>19</v>
      </c>
      <c r="AM789" s="188" t="s">
        <v>306</v>
      </c>
      <c r="AN789" s="188" t="s">
        <v>19</v>
      </c>
      <c r="AO789" s="234" t="s">
        <v>306</v>
      </c>
      <c r="AP789" s="235" t="s">
        <v>19</v>
      </c>
      <c r="AQ789" s="188" t="s">
        <v>19</v>
      </c>
      <c r="AR789" s="188" t="s">
        <v>25</v>
      </c>
      <c r="AS789" s="234" t="s">
        <v>306</v>
      </c>
      <c r="AT789" s="188" t="s">
        <v>25</v>
      </c>
      <c r="AU789" s="188" t="s">
        <v>306</v>
      </c>
      <c r="AV789" s="234" t="s">
        <v>25</v>
      </c>
      <c r="AW789" s="188" t="s">
        <v>25</v>
      </c>
      <c r="AX789" s="188" t="s">
        <v>19</v>
      </c>
      <c r="AY789" s="234" t="s">
        <v>306</v>
      </c>
      <c r="AZ789" s="188" t="s">
        <v>25</v>
      </c>
      <c r="BA789" s="188" t="s">
        <v>25</v>
      </c>
      <c r="BB789" s="234" t="s">
        <v>25</v>
      </c>
      <c r="BC789" s="235" t="s">
        <v>25</v>
      </c>
      <c r="BD789" s="209"/>
    </row>
    <row r="790" spans="1:56" ht="12.75" customHeight="1" x14ac:dyDescent="0.25">
      <c r="A790" s="238">
        <v>44785.48071142361</v>
      </c>
      <c r="B790" s="137" t="s">
        <v>395</v>
      </c>
      <c r="C790" s="211" t="s">
        <v>595</v>
      </c>
      <c r="D790" s="211" t="s">
        <v>17</v>
      </c>
      <c r="E790" s="232" t="s">
        <v>515</v>
      </c>
      <c r="F790" s="188" t="s">
        <v>570</v>
      </c>
      <c r="G790" s="211" t="s">
        <v>24</v>
      </c>
      <c r="H790" s="211">
        <v>11</v>
      </c>
      <c r="I790" s="188" t="s">
        <v>518</v>
      </c>
      <c r="J790" s="188" t="s">
        <v>560</v>
      </c>
      <c r="K790" s="209" t="s">
        <v>560</v>
      </c>
      <c r="L790" s="188" t="s">
        <v>531</v>
      </c>
      <c r="M790" s="188" t="s">
        <v>614</v>
      </c>
      <c r="N790" s="188"/>
      <c r="O790" s="188"/>
      <c r="P790" s="188"/>
      <c r="Q790" s="188" t="s">
        <v>306</v>
      </c>
      <c r="R790" s="188" t="s">
        <v>19</v>
      </c>
      <c r="S790" s="234" t="s">
        <v>306</v>
      </c>
      <c r="T790" s="188" t="s">
        <v>25</v>
      </c>
      <c r="U790" s="188" t="s">
        <v>25</v>
      </c>
      <c r="V790" s="234" t="s">
        <v>25</v>
      </c>
      <c r="W790" s="188" t="s">
        <v>19</v>
      </c>
      <c r="X790" s="188" t="s">
        <v>19</v>
      </c>
      <c r="Y790" s="234" t="s">
        <v>19</v>
      </c>
      <c r="Z790" s="188" t="s">
        <v>306</v>
      </c>
      <c r="AA790" s="188" t="s">
        <v>306</v>
      </c>
      <c r="AB790" s="234" t="s">
        <v>306</v>
      </c>
      <c r="AC790" s="235" t="s">
        <v>306</v>
      </c>
      <c r="AD790" s="188" t="s">
        <v>306</v>
      </c>
      <c r="AE790" s="188" t="s">
        <v>19</v>
      </c>
      <c r="AF790" s="234" t="s">
        <v>306</v>
      </c>
      <c r="AG790" s="188" t="s">
        <v>306</v>
      </c>
      <c r="AH790" s="188" t="s">
        <v>19</v>
      </c>
      <c r="AI790" s="234" t="s">
        <v>306</v>
      </c>
      <c r="AJ790" s="188" t="s">
        <v>19</v>
      </c>
      <c r="AK790" s="188" t="s">
        <v>19</v>
      </c>
      <c r="AL790" s="234" t="s">
        <v>19</v>
      </c>
      <c r="AM790" s="188" t="s">
        <v>19</v>
      </c>
      <c r="AN790" s="188" t="s">
        <v>19</v>
      </c>
      <c r="AO790" s="234" t="s">
        <v>19</v>
      </c>
      <c r="AP790" s="235" t="s">
        <v>19</v>
      </c>
      <c r="AQ790" s="188" t="s">
        <v>25</v>
      </c>
      <c r="AR790" s="188" t="s">
        <v>19</v>
      </c>
      <c r="AS790" s="234" t="s">
        <v>306</v>
      </c>
      <c r="AT790" s="188" t="s">
        <v>25</v>
      </c>
      <c r="AU790" s="188" t="s">
        <v>25</v>
      </c>
      <c r="AV790" s="234" t="s">
        <v>25</v>
      </c>
      <c r="AW790" s="188" t="s">
        <v>19</v>
      </c>
      <c r="AX790" s="188" t="s">
        <v>19</v>
      </c>
      <c r="AY790" s="234" t="s">
        <v>19</v>
      </c>
      <c r="AZ790" s="188" t="s">
        <v>25</v>
      </c>
      <c r="BA790" s="188" t="s">
        <v>25</v>
      </c>
      <c r="BB790" s="234" t="s">
        <v>306</v>
      </c>
      <c r="BC790" s="235" t="s">
        <v>25</v>
      </c>
      <c r="BD790" s="209"/>
    </row>
    <row r="791" spans="1:56" ht="12.75" customHeight="1" x14ac:dyDescent="0.25">
      <c r="A791" s="238">
        <v>44785.486488622686</v>
      </c>
      <c r="B791" s="137" t="s">
        <v>395</v>
      </c>
      <c r="C791" s="211" t="s">
        <v>595</v>
      </c>
      <c r="D791" s="211" t="s">
        <v>17</v>
      </c>
      <c r="E791" s="232" t="s">
        <v>515</v>
      </c>
      <c r="F791" s="188" t="s">
        <v>1361</v>
      </c>
      <c r="G791" s="211" t="s">
        <v>24</v>
      </c>
      <c r="H791" s="211">
        <v>12</v>
      </c>
      <c r="I791" s="188" t="s">
        <v>518</v>
      </c>
      <c r="J791" s="188" t="s">
        <v>560</v>
      </c>
      <c r="K791" s="209" t="s">
        <v>560</v>
      </c>
      <c r="L791" s="188" t="s">
        <v>531</v>
      </c>
      <c r="M791" s="188" t="s">
        <v>614</v>
      </c>
      <c r="N791" s="188"/>
      <c r="O791" s="188"/>
      <c r="P791" s="188"/>
      <c r="Q791" s="188" t="s">
        <v>25</v>
      </c>
      <c r="R791" s="188" t="s">
        <v>25</v>
      </c>
      <c r="S791" s="234" t="s">
        <v>25</v>
      </c>
      <c r="T791" s="188" t="s">
        <v>25</v>
      </c>
      <c r="U791" s="188" t="s">
        <v>25</v>
      </c>
      <c r="V791" s="234" t="s">
        <v>25</v>
      </c>
      <c r="W791" s="188" t="s">
        <v>25</v>
      </c>
      <c r="X791" s="188" t="s">
        <v>19</v>
      </c>
      <c r="Y791" s="234" t="s">
        <v>306</v>
      </c>
      <c r="Z791" s="188" t="s">
        <v>306</v>
      </c>
      <c r="AA791" s="188" t="s">
        <v>19</v>
      </c>
      <c r="AB791" s="234" t="s">
        <v>306</v>
      </c>
      <c r="AC791" s="235" t="s">
        <v>306</v>
      </c>
      <c r="AD791" s="188" t="s">
        <v>306</v>
      </c>
      <c r="AE791" s="188" t="s">
        <v>306</v>
      </c>
      <c r="AF791" s="234" t="s">
        <v>306</v>
      </c>
      <c r="AG791" s="188" t="s">
        <v>19</v>
      </c>
      <c r="AH791" s="188" t="s">
        <v>19</v>
      </c>
      <c r="AI791" s="234" t="s">
        <v>19</v>
      </c>
      <c r="AJ791" s="188" t="s">
        <v>19</v>
      </c>
      <c r="AK791" s="188" t="s">
        <v>19</v>
      </c>
      <c r="AL791" s="234" t="s">
        <v>19</v>
      </c>
      <c r="AM791" s="188" t="s">
        <v>19</v>
      </c>
      <c r="AN791" s="188" t="s">
        <v>19</v>
      </c>
      <c r="AO791" s="234" t="s">
        <v>19</v>
      </c>
      <c r="AP791" s="235" t="s">
        <v>19</v>
      </c>
      <c r="AQ791" s="188" t="s">
        <v>25</v>
      </c>
      <c r="AR791" s="188" t="s">
        <v>25</v>
      </c>
      <c r="AS791" s="234" t="s">
        <v>25</v>
      </c>
      <c r="AT791" s="188" t="s">
        <v>25</v>
      </c>
      <c r="AU791" s="188" t="s">
        <v>306</v>
      </c>
      <c r="AV791" s="234" t="s">
        <v>25</v>
      </c>
      <c r="AW791" s="188" t="s">
        <v>306</v>
      </c>
      <c r="AX791" s="188" t="s">
        <v>19</v>
      </c>
      <c r="AY791" s="234" t="s">
        <v>306</v>
      </c>
      <c r="AZ791" s="188" t="s">
        <v>25</v>
      </c>
      <c r="BA791" s="188" t="s">
        <v>25</v>
      </c>
      <c r="BB791" s="234" t="s">
        <v>25</v>
      </c>
      <c r="BC791" s="235" t="s">
        <v>25</v>
      </c>
      <c r="BD791" s="209"/>
    </row>
    <row r="792" spans="1:56" ht="12.75" customHeight="1" x14ac:dyDescent="0.25">
      <c r="A792" s="238">
        <v>44785.493417384263</v>
      </c>
      <c r="B792" s="137" t="s">
        <v>395</v>
      </c>
      <c r="C792" s="211" t="s">
        <v>595</v>
      </c>
      <c r="D792" s="211" t="s">
        <v>17</v>
      </c>
      <c r="E792" s="232" t="s">
        <v>515</v>
      </c>
      <c r="F792" s="188" t="s">
        <v>1362</v>
      </c>
      <c r="G792" s="211" t="s">
        <v>24</v>
      </c>
      <c r="H792" s="211">
        <v>11</v>
      </c>
      <c r="I792" s="188" t="s">
        <v>518</v>
      </c>
      <c r="J792" s="188" t="s">
        <v>560</v>
      </c>
      <c r="K792" s="209" t="s">
        <v>560</v>
      </c>
      <c r="L792" s="188" t="s">
        <v>531</v>
      </c>
      <c r="M792" s="188" t="s">
        <v>614</v>
      </c>
      <c r="N792" s="188"/>
      <c r="O792" s="188"/>
      <c r="P792" s="188"/>
      <c r="Q792" s="188" t="s">
        <v>25</v>
      </c>
      <c r="R792" s="188" t="s">
        <v>25</v>
      </c>
      <c r="S792" s="234" t="s">
        <v>25</v>
      </c>
      <c r="T792" s="188" t="s">
        <v>306</v>
      </c>
      <c r="U792" s="188" t="s">
        <v>25</v>
      </c>
      <c r="V792" s="234" t="s">
        <v>25</v>
      </c>
      <c r="W792" s="188" t="s">
        <v>306</v>
      </c>
      <c r="X792" s="188" t="s">
        <v>306</v>
      </c>
      <c r="Y792" s="234" t="s">
        <v>306</v>
      </c>
      <c r="Z792" s="188" t="s">
        <v>306</v>
      </c>
      <c r="AA792" s="188" t="s">
        <v>306</v>
      </c>
      <c r="AB792" s="234" t="s">
        <v>306</v>
      </c>
      <c r="AC792" s="235" t="s">
        <v>306</v>
      </c>
      <c r="AD792" s="188" t="s">
        <v>306</v>
      </c>
      <c r="AE792" s="188" t="s">
        <v>306</v>
      </c>
      <c r="AF792" s="234" t="s">
        <v>306</v>
      </c>
      <c r="AG792" s="188" t="s">
        <v>19</v>
      </c>
      <c r="AH792" s="188" t="s">
        <v>19</v>
      </c>
      <c r="AI792" s="234" t="s">
        <v>19</v>
      </c>
      <c r="AJ792" s="188" t="s">
        <v>19</v>
      </c>
      <c r="AK792" s="188" t="s">
        <v>19</v>
      </c>
      <c r="AL792" s="234" t="s">
        <v>19</v>
      </c>
      <c r="AM792" s="188" t="s">
        <v>19</v>
      </c>
      <c r="AN792" s="188" t="s">
        <v>19</v>
      </c>
      <c r="AO792" s="234" t="s">
        <v>19</v>
      </c>
      <c r="AP792" s="235" t="s">
        <v>19</v>
      </c>
      <c r="AQ792" s="188" t="s">
        <v>25</v>
      </c>
      <c r="AR792" s="188" t="s">
        <v>306</v>
      </c>
      <c r="AS792" s="234" t="s">
        <v>25</v>
      </c>
      <c r="AT792" s="188" t="s">
        <v>25</v>
      </c>
      <c r="AU792" s="188" t="s">
        <v>25</v>
      </c>
      <c r="AV792" s="234" t="s">
        <v>25</v>
      </c>
      <c r="AW792" s="188" t="s">
        <v>19</v>
      </c>
      <c r="AX792" s="188" t="s">
        <v>306</v>
      </c>
      <c r="AY792" s="234" t="s">
        <v>306</v>
      </c>
      <c r="AZ792" s="188" t="s">
        <v>306</v>
      </c>
      <c r="BA792" s="188" t="s">
        <v>306</v>
      </c>
      <c r="BB792" s="234" t="s">
        <v>25</v>
      </c>
      <c r="BC792" s="235" t="s">
        <v>25</v>
      </c>
      <c r="BD792" s="209"/>
    </row>
    <row r="793" spans="1:56" ht="12.75" customHeight="1" x14ac:dyDescent="0.25">
      <c r="A793" s="238">
        <v>44785.496163298609</v>
      </c>
      <c r="B793" s="137" t="s">
        <v>395</v>
      </c>
      <c r="C793" s="211" t="s">
        <v>595</v>
      </c>
      <c r="D793" s="211" t="s">
        <v>17</v>
      </c>
      <c r="E793" s="232" t="s">
        <v>515</v>
      </c>
      <c r="F793" s="188" t="s">
        <v>1363</v>
      </c>
      <c r="G793" s="211" t="s">
        <v>18</v>
      </c>
      <c r="H793" s="211">
        <v>11</v>
      </c>
      <c r="I793" s="188" t="s">
        <v>518</v>
      </c>
      <c r="J793" s="188" t="s">
        <v>560</v>
      </c>
      <c r="K793" s="209" t="s">
        <v>560</v>
      </c>
      <c r="L793" s="188" t="s">
        <v>518</v>
      </c>
      <c r="M793" s="188" t="s">
        <v>412</v>
      </c>
      <c r="N793" s="188"/>
      <c r="O793" s="188"/>
      <c r="P793" s="188"/>
      <c r="Q793" s="188" t="s">
        <v>25</v>
      </c>
      <c r="R793" s="188" t="s">
        <v>25</v>
      </c>
      <c r="S793" s="234" t="s">
        <v>25</v>
      </c>
      <c r="T793" s="188" t="s">
        <v>306</v>
      </c>
      <c r="U793" s="188" t="s">
        <v>25</v>
      </c>
      <c r="V793" s="234" t="s">
        <v>25</v>
      </c>
      <c r="W793" s="188" t="s">
        <v>306</v>
      </c>
      <c r="X793" s="188" t="s">
        <v>306</v>
      </c>
      <c r="Y793" s="234" t="s">
        <v>306</v>
      </c>
      <c r="Z793" s="188" t="s">
        <v>306</v>
      </c>
      <c r="AA793" s="188" t="s">
        <v>306</v>
      </c>
      <c r="AB793" s="234" t="s">
        <v>306</v>
      </c>
      <c r="AC793" s="235" t="s">
        <v>306</v>
      </c>
      <c r="AD793" s="188" t="s">
        <v>306</v>
      </c>
      <c r="AE793" s="188" t="s">
        <v>25</v>
      </c>
      <c r="AF793" s="234" t="s">
        <v>25</v>
      </c>
      <c r="AG793" s="188" t="s">
        <v>19</v>
      </c>
      <c r="AH793" s="188" t="s">
        <v>306</v>
      </c>
      <c r="AI793" s="234" t="s">
        <v>306</v>
      </c>
      <c r="AJ793" s="188" t="s">
        <v>19</v>
      </c>
      <c r="AK793" s="188" t="s">
        <v>19</v>
      </c>
      <c r="AL793" s="234" t="s">
        <v>19</v>
      </c>
      <c r="AM793" s="188" t="s">
        <v>19</v>
      </c>
      <c r="AN793" s="188" t="s">
        <v>19</v>
      </c>
      <c r="AO793" s="234" t="s">
        <v>19</v>
      </c>
      <c r="AP793" s="235" t="s">
        <v>306</v>
      </c>
      <c r="AQ793" s="188" t="s">
        <v>25</v>
      </c>
      <c r="AR793" s="188" t="s">
        <v>306</v>
      </c>
      <c r="AS793" s="234" t="s">
        <v>25</v>
      </c>
      <c r="AT793" s="188" t="s">
        <v>25</v>
      </c>
      <c r="AU793" s="188" t="s">
        <v>25</v>
      </c>
      <c r="AV793" s="234" t="s">
        <v>25</v>
      </c>
      <c r="AW793" s="188" t="s">
        <v>306</v>
      </c>
      <c r="AX793" s="188" t="s">
        <v>25</v>
      </c>
      <c r="AY793" s="234" t="s">
        <v>25</v>
      </c>
      <c r="AZ793" s="188" t="s">
        <v>306</v>
      </c>
      <c r="BA793" s="188" t="s">
        <v>25</v>
      </c>
      <c r="BB793" s="234" t="s">
        <v>25</v>
      </c>
      <c r="BC793" s="235" t="s">
        <v>25</v>
      </c>
      <c r="BD793" s="209"/>
    </row>
    <row r="794" spans="1:56" ht="12.75" customHeight="1" x14ac:dyDescent="0.25">
      <c r="A794" s="238">
        <v>44785.535715949074</v>
      </c>
      <c r="B794" s="137" t="s">
        <v>395</v>
      </c>
      <c r="C794" s="211" t="s">
        <v>595</v>
      </c>
      <c r="D794" s="211" t="s">
        <v>17</v>
      </c>
      <c r="E794" s="232" t="s">
        <v>515</v>
      </c>
      <c r="F794" s="188" t="s">
        <v>1364</v>
      </c>
      <c r="G794" s="211" t="s">
        <v>18</v>
      </c>
      <c r="H794" s="211">
        <v>11</v>
      </c>
      <c r="I794" s="188" t="s">
        <v>518</v>
      </c>
      <c r="J794" s="188" t="s">
        <v>560</v>
      </c>
      <c r="K794" s="209" t="s">
        <v>560</v>
      </c>
      <c r="L794" s="188" t="s">
        <v>518</v>
      </c>
      <c r="M794" s="188" t="s">
        <v>412</v>
      </c>
      <c r="N794" s="188"/>
      <c r="O794" s="188"/>
      <c r="P794" s="188"/>
      <c r="Q794" s="188" t="s">
        <v>25</v>
      </c>
      <c r="R794" s="188" t="s">
        <v>25</v>
      </c>
      <c r="S794" s="234" t="s">
        <v>25</v>
      </c>
      <c r="T794" s="188" t="s">
        <v>306</v>
      </c>
      <c r="U794" s="188" t="s">
        <v>25</v>
      </c>
      <c r="V794" s="234" t="s">
        <v>25</v>
      </c>
      <c r="W794" s="188" t="s">
        <v>306</v>
      </c>
      <c r="X794" s="188" t="s">
        <v>306</v>
      </c>
      <c r="Y794" s="234" t="s">
        <v>306</v>
      </c>
      <c r="Z794" s="188" t="s">
        <v>25</v>
      </c>
      <c r="AA794" s="188" t="s">
        <v>25</v>
      </c>
      <c r="AB794" s="234" t="s">
        <v>25</v>
      </c>
      <c r="AC794" s="235" t="s">
        <v>25</v>
      </c>
      <c r="AD794" s="188" t="s">
        <v>25</v>
      </c>
      <c r="AE794" s="188" t="s">
        <v>25</v>
      </c>
      <c r="AF794" s="234" t="s">
        <v>25</v>
      </c>
      <c r="AG794" s="188" t="s">
        <v>19</v>
      </c>
      <c r="AH794" s="188" t="s">
        <v>306</v>
      </c>
      <c r="AI794" s="234" t="s">
        <v>306</v>
      </c>
      <c r="AJ794" s="188" t="s">
        <v>19</v>
      </c>
      <c r="AK794" s="188" t="s">
        <v>306</v>
      </c>
      <c r="AL794" s="234" t="s">
        <v>306</v>
      </c>
      <c r="AM794" s="188" t="s">
        <v>19</v>
      </c>
      <c r="AN794" s="188" t="s">
        <v>306</v>
      </c>
      <c r="AO794" s="234" t="s">
        <v>306</v>
      </c>
      <c r="AP794" s="235" t="s">
        <v>306</v>
      </c>
      <c r="AQ794" s="188" t="s">
        <v>306</v>
      </c>
      <c r="AR794" s="188" t="s">
        <v>25</v>
      </c>
      <c r="AS794" s="234" t="s">
        <v>25</v>
      </c>
      <c r="AT794" s="188" t="s">
        <v>25</v>
      </c>
      <c r="AU794" s="188" t="s">
        <v>25</v>
      </c>
      <c r="AV794" s="234" t="s">
        <v>25</v>
      </c>
      <c r="AW794" s="188" t="s">
        <v>25</v>
      </c>
      <c r="AX794" s="188" t="s">
        <v>25</v>
      </c>
      <c r="AY794" s="234" t="s">
        <v>25</v>
      </c>
      <c r="AZ794" s="188" t="s">
        <v>25</v>
      </c>
      <c r="BA794" s="188" t="s">
        <v>25</v>
      </c>
      <c r="BB794" s="234" t="s">
        <v>25</v>
      </c>
      <c r="BC794" s="235" t="s">
        <v>25</v>
      </c>
      <c r="BD794" s="209"/>
    </row>
    <row r="795" spans="1:56" ht="12.75" customHeight="1" x14ac:dyDescent="0.25">
      <c r="A795" s="238">
        <v>44785.537608333332</v>
      </c>
      <c r="B795" s="137" t="s">
        <v>395</v>
      </c>
      <c r="C795" s="211" t="s">
        <v>595</v>
      </c>
      <c r="D795" s="211" t="s">
        <v>17</v>
      </c>
      <c r="E795" s="232" t="s">
        <v>515</v>
      </c>
      <c r="F795" s="188" t="s">
        <v>1365</v>
      </c>
      <c r="G795" s="211" t="s">
        <v>18</v>
      </c>
      <c r="H795" s="211">
        <v>12</v>
      </c>
      <c r="I795" s="188" t="s">
        <v>518</v>
      </c>
      <c r="J795" s="188" t="s">
        <v>560</v>
      </c>
      <c r="K795" s="209" t="s">
        <v>560</v>
      </c>
      <c r="L795" s="188" t="s">
        <v>531</v>
      </c>
      <c r="M795" s="188" t="s">
        <v>614</v>
      </c>
      <c r="N795" s="188"/>
      <c r="O795" s="188"/>
      <c r="P795" s="188"/>
      <c r="Q795" s="188" t="s">
        <v>25</v>
      </c>
      <c r="R795" s="188" t="s">
        <v>25</v>
      </c>
      <c r="S795" s="234" t="s">
        <v>25</v>
      </c>
      <c r="T795" s="188" t="s">
        <v>306</v>
      </c>
      <c r="U795" s="188" t="s">
        <v>25</v>
      </c>
      <c r="V795" s="234" t="s">
        <v>25</v>
      </c>
      <c r="W795" s="188" t="s">
        <v>306</v>
      </c>
      <c r="X795" s="188" t="s">
        <v>306</v>
      </c>
      <c r="Y795" s="234" t="s">
        <v>306</v>
      </c>
      <c r="Z795" s="188" t="s">
        <v>25</v>
      </c>
      <c r="AA795" s="188" t="s">
        <v>25</v>
      </c>
      <c r="AB795" s="234" t="s">
        <v>25</v>
      </c>
      <c r="AC795" s="235" t="s">
        <v>25</v>
      </c>
      <c r="AD795" s="188" t="s">
        <v>25</v>
      </c>
      <c r="AE795" s="188" t="s">
        <v>25</v>
      </c>
      <c r="AF795" s="234" t="s">
        <v>25</v>
      </c>
      <c r="AG795" s="188" t="s">
        <v>19</v>
      </c>
      <c r="AH795" s="188" t="s">
        <v>306</v>
      </c>
      <c r="AI795" s="234" t="s">
        <v>306</v>
      </c>
      <c r="AJ795" s="188" t="s">
        <v>19</v>
      </c>
      <c r="AK795" s="188" t="s">
        <v>306</v>
      </c>
      <c r="AL795" s="234" t="s">
        <v>306</v>
      </c>
      <c r="AM795" s="188" t="s">
        <v>19</v>
      </c>
      <c r="AN795" s="188" t="s">
        <v>19</v>
      </c>
      <c r="AO795" s="234" t="s">
        <v>19</v>
      </c>
      <c r="AP795" s="235" t="s">
        <v>306</v>
      </c>
      <c r="AQ795" s="188" t="s">
        <v>25</v>
      </c>
      <c r="AR795" s="188" t="s">
        <v>25</v>
      </c>
      <c r="AS795" s="234" t="s">
        <v>25</v>
      </c>
      <c r="AT795" s="188" t="s">
        <v>25</v>
      </c>
      <c r="AU795" s="188" t="s">
        <v>25</v>
      </c>
      <c r="AV795" s="234" t="s">
        <v>25</v>
      </c>
      <c r="AW795" s="188" t="s">
        <v>25</v>
      </c>
      <c r="AX795" s="188" t="s">
        <v>25</v>
      </c>
      <c r="AY795" s="234" t="s">
        <v>25</v>
      </c>
      <c r="AZ795" s="188" t="s">
        <v>25</v>
      </c>
      <c r="BA795" s="188" t="s">
        <v>25</v>
      </c>
      <c r="BB795" s="234" t="s">
        <v>306</v>
      </c>
      <c r="BC795" s="235" t="s">
        <v>306</v>
      </c>
      <c r="BD795" s="209"/>
    </row>
    <row r="796" spans="1:56" ht="12.75" customHeight="1" x14ac:dyDescent="0.25">
      <c r="A796" s="238">
        <v>44785.540424687497</v>
      </c>
      <c r="B796" s="137" t="s">
        <v>395</v>
      </c>
      <c r="C796" s="211" t="s">
        <v>595</v>
      </c>
      <c r="D796" s="211" t="s">
        <v>17</v>
      </c>
      <c r="E796" s="232" t="s">
        <v>515</v>
      </c>
      <c r="F796" s="188" t="s">
        <v>1366</v>
      </c>
      <c r="G796" s="211" t="s">
        <v>24</v>
      </c>
      <c r="H796" s="211">
        <v>13</v>
      </c>
      <c r="I796" s="188" t="s">
        <v>518</v>
      </c>
      <c r="J796" s="188" t="s">
        <v>560</v>
      </c>
      <c r="K796" s="209" t="s">
        <v>560</v>
      </c>
      <c r="L796" s="188" t="s">
        <v>518</v>
      </c>
      <c r="M796" s="188" t="s">
        <v>412</v>
      </c>
      <c r="N796" s="188"/>
      <c r="O796" s="188"/>
      <c r="P796" s="188"/>
      <c r="Q796" s="188" t="s">
        <v>25</v>
      </c>
      <c r="R796" s="188" t="s">
        <v>25</v>
      </c>
      <c r="S796" s="234" t="s">
        <v>25</v>
      </c>
      <c r="T796" s="188" t="s">
        <v>306</v>
      </c>
      <c r="U796" s="188" t="s">
        <v>25</v>
      </c>
      <c r="V796" s="234" t="s">
        <v>25</v>
      </c>
      <c r="W796" s="188" t="s">
        <v>25</v>
      </c>
      <c r="X796" s="188" t="s">
        <v>306</v>
      </c>
      <c r="Y796" s="234" t="s">
        <v>25</v>
      </c>
      <c r="Z796" s="188" t="s">
        <v>25</v>
      </c>
      <c r="AA796" s="188" t="s">
        <v>306</v>
      </c>
      <c r="AB796" s="234" t="s">
        <v>25</v>
      </c>
      <c r="AC796" s="235" t="s">
        <v>25</v>
      </c>
      <c r="AD796" s="188" t="s">
        <v>306</v>
      </c>
      <c r="AE796" s="188" t="s">
        <v>306</v>
      </c>
      <c r="AF796" s="234" t="s">
        <v>306</v>
      </c>
      <c r="AG796" s="188" t="s">
        <v>25</v>
      </c>
      <c r="AH796" s="188" t="s">
        <v>306</v>
      </c>
      <c r="AI796" s="234" t="s">
        <v>25</v>
      </c>
      <c r="AJ796" s="188" t="s">
        <v>25</v>
      </c>
      <c r="AK796" s="188" t="s">
        <v>306</v>
      </c>
      <c r="AL796" s="234" t="s">
        <v>25</v>
      </c>
      <c r="AM796" s="188" t="s">
        <v>19</v>
      </c>
      <c r="AN796" s="188" t="s">
        <v>306</v>
      </c>
      <c r="AO796" s="234" t="s">
        <v>306</v>
      </c>
      <c r="AP796" s="235" t="s">
        <v>306</v>
      </c>
      <c r="AQ796" s="188" t="s">
        <v>25</v>
      </c>
      <c r="AR796" s="188" t="s">
        <v>25</v>
      </c>
      <c r="AS796" s="234" t="s">
        <v>25</v>
      </c>
      <c r="AT796" s="188" t="s">
        <v>25</v>
      </c>
      <c r="AU796" s="188" t="s">
        <v>25</v>
      </c>
      <c r="AV796" s="234" t="s">
        <v>25</v>
      </c>
      <c r="AW796" s="188" t="s">
        <v>25</v>
      </c>
      <c r="AX796" s="188" t="s">
        <v>306</v>
      </c>
      <c r="AY796" s="234" t="s">
        <v>25</v>
      </c>
      <c r="AZ796" s="188" t="s">
        <v>25</v>
      </c>
      <c r="BA796" s="188" t="s">
        <v>25</v>
      </c>
      <c r="BB796" s="234" t="s">
        <v>25</v>
      </c>
      <c r="BC796" s="235" t="s">
        <v>25</v>
      </c>
      <c r="BD796" s="209"/>
    </row>
    <row r="797" spans="1:56" ht="12.75" customHeight="1" x14ac:dyDescent="0.25">
      <c r="A797" s="238">
        <v>44785.542234884255</v>
      </c>
      <c r="B797" s="137" t="s">
        <v>395</v>
      </c>
      <c r="C797" s="211" t="s">
        <v>595</v>
      </c>
      <c r="D797" s="211" t="s">
        <v>17</v>
      </c>
      <c r="E797" s="232" t="s">
        <v>515</v>
      </c>
      <c r="F797" s="188" t="s">
        <v>1367</v>
      </c>
      <c r="G797" s="211" t="s">
        <v>18</v>
      </c>
      <c r="H797" s="211">
        <v>11</v>
      </c>
      <c r="I797" s="188" t="s">
        <v>518</v>
      </c>
      <c r="J797" s="188" t="s">
        <v>560</v>
      </c>
      <c r="K797" s="209" t="s">
        <v>560</v>
      </c>
      <c r="L797" s="188" t="s">
        <v>518</v>
      </c>
      <c r="M797" s="188" t="s">
        <v>412</v>
      </c>
      <c r="N797" s="188"/>
      <c r="O797" s="188"/>
      <c r="P797" s="188"/>
      <c r="Q797" s="188" t="s">
        <v>25</v>
      </c>
      <c r="R797" s="188" t="s">
        <v>25</v>
      </c>
      <c r="S797" s="234" t="s">
        <v>25</v>
      </c>
      <c r="T797" s="188" t="s">
        <v>25</v>
      </c>
      <c r="U797" s="188" t="s">
        <v>306</v>
      </c>
      <c r="V797" s="234" t="s">
        <v>25</v>
      </c>
      <c r="W797" s="188" t="s">
        <v>25</v>
      </c>
      <c r="X797" s="188" t="s">
        <v>306</v>
      </c>
      <c r="Y797" s="234" t="s">
        <v>25</v>
      </c>
      <c r="Z797" s="188" t="s">
        <v>306</v>
      </c>
      <c r="AA797" s="188" t="s">
        <v>25</v>
      </c>
      <c r="AB797" s="234" t="s">
        <v>25</v>
      </c>
      <c r="AC797" s="235" t="s">
        <v>25</v>
      </c>
      <c r="AD797" s="188" t="s">
        <v>306</v>
      </c>
      <c r="AE797" s="188" t="s">
        <v>25</v>
      </c>
      <c r="AF797" s="234" t="s">
        <v>25</v>
      </c>
      <c r="AG797" s="188" t="s">
        <v>306</v>
      </c>
      <c r="AH797" s="188" t="s">
        <v>19</v>
      </c>
      <c r="AI797" s="234" t="s">
        <v>306</v>
      </c>
      <c r="AJ797" s="188" t="s">
        <v>25</v>
      </c>
      <c r="AK797" s="188" t="s">
        <v>306</v>
      </c>
      <c r="AL797" s="234" t="s">
        <v>25</v>
      </c>
      <c r="AM797" s="188" t="s">
        <v>19</v>
      </c>
      <c r="AN797" s="188" t="s">
        <v>306</v>
      </c>
      <c r="AO797" s="234" t="s">
        <v>306</v>
      </c>
      <c r="AP797" s="235" t="s">
        <v>306</v>
      </c>
      <c r="AQ797" s="188" t="s">
        <v>306</v>
      </c>
      <c r="AR797" s="188" t="s">
        <v>306</v>
      </c>
      <c r="AS797" s="234" t="s">
        <v>306</v>
      </c>
      <c r="AT797" s="188" t="s">
        <v>25</v>
      </c>
      <c r="AU797" s="188" t="s">
        <v>25</v>
      </c>
      <c r="AV797" s="234" t="s">
        <v>25</v>
      </c>
      <c r="AW797" s="188" t="s">
        <v>306</v>
      </c>
      <c r="AX797" s="188" t="s">
        <v>19</v>
      </c>
      <c r="AY797" s="234" t="s">
        <v>306</v>
      </c>
      <c r="AZ797" s="188" t="s">
        <v>25</v>
      </c>
      <c r="BA797" s="188" t="s">
        <v>306</v>
      </c>
      <c r="BB797" s="234" t="s">
        <v>25</v>
      </c>
      <c r="BC797" s="235" t="s">
        <v>25</v>
      </c>
      <c r="BD797" s="188"/>
    </row>
    <row r="798" spans="1:56" ht="12.75" customHeight="1" x14ac:dyDescent="0.25">
      <c r="A798" s="238">
        <v>44785.544649780088</v>
      </c>
      <c r="B798" s="137" t="s">
        <v>395</v>
      </c>
      <c r="C798" s="211" t="s">
        <v>595</v>
      </c>
      <c r="D798" s="211" t="s">
        <v>17</v>
      </c>
      <c r="E798" s="232" t="s">
        <v>515</v>
      </c>
      <c r="F798" s="188" t="s">
        <v>1368</v>
      </c>
      <c r="G798" s="211" t="s">
        <v>18</v>
      </c>
      <c r="H798" s="211">
        <v>11</v>
      </c>
      <c r="I798" s="188" t="s">
        <v>518</v>
      </c>
      <c r="J798" s="188" t="s">
        <v>560</v>
      </c>
      <c r="K798" s="209" t="s">
        <v>560</v>
      </c>
      <c r="L798" s="188" t="s">
        <v>518</v>
      </c>
      <c r="M798" s="188" t="s">
        <v>412</v>
      </c>
      <c r="N798" s="188"/>
      <c r="O798" s="188"/>
      <c r="P798" s="188"/>
      <c r="Q798" s="188" t="s">
        <v>25</v>
      </c>
      <c r="R798" s="188" t="s">
        <v>25</v>
      </c>
      <c r="S798" s="234" t="s">
        <v>25</v>
      </c>
      <c r="T798" s="188" t="s">
        <v>306</v>
      </c>
      <c r="U798" s="188" t="s">
        <v>25</v>
      </c>
      <c r="V798" s="234" t="s">
        <v>25</v>
      </c>
      <c r="W798" s="188" t="s">
        <v>306</v>
      </c>
      <c r="X798" s="188" t="s">
        <v>306</v>
      </c>
      <c r="Y798" s="234" t="s">
        <v>306</v>
      </c>
      <c r="Z798" s="188" t="s">
        <v>25</v>
      </c>
      <c r="AA798" s="188" t="s">
        <v>25</v>
      </c>
      <c r="AB798" s="234" t="s">
        <v>25</v>
      </c>
      <c r="AC798" s="235" t="s">
        <v>25</v>
      </c>
      <c r="AD798" s="188" t="s">
        <v>306</v>
      </c>
      <c r="AE798" s="188" t="s">
        <v>25</v>
      </c>
      <c r="AF798" s="234" t="s">
        <v>25</v>
      </c>
      <c r="AG798" s="188" t="s">
        <v>19</v>
      </c>
      <c r="AH798" s="188" t="s">
        <v>306</v>
      </c>
      <c r="AI798" s="234" t="s">
        <v>306</v>
      </c>
      <c r="AJ798" s="188" t="s">
        <v>306</v>
      </c>
      <c r="AK798" s="188" t="s">
        <v>306</v>
      </c>
      <c r="AL798" s="234" t="s">
        <v>306</v>
      </c>
      <c r="AM798" s="188" t="s">
        <v>19</v>
      </c>
      <c r="AN798" s="188" t="s">
        <v>19</v>
      </c>
      <c r="AO798" s="234" t="s">
        <v>19</v>
      </c>
      <c r="AP798" s="235" t="s">
        <v>306</v>
      </c>
      <c r="AQ798" s="188" t="s">
        <v>19</v>
      </c>
      <c r="AR798" s="188" t="s">
        <v>306</v>
      </c>
      <c r="AS798" s="234" t="s">
        <v>306</v>
      </c>
      <c r="AT798" s="188" t="s">
        <v>25</v>
      </c>
      <c r="AU798" s="188" t="s">
        <v>25</v>
      </c>
      <c r="AV798" s="234" t="s">
        <v>25</v>
      </c>
      <c r="AW798" s="188" t="s">
        <v>306</v>
      </c>
      <c r="AX798" s="188" t="s">
        <v>25</v>
      </c>
      <c r="AY798" s="234" t="s">
        <v>25</v>
      </c>
      <c r="AZ798" s="188" t="s">
        <v>306</v>
      </c>
      <c r="BA798" s="188" t="s">
        <v>25</v>
      </c>
      <c r="BB798" s="234" t="s">
        <v>306</v>
      </c>
      <c r="BC798" s="235" t="s">
        <v>306</v>
      </c>
      <c r="BD798" s="188"/>
    </row>
    <row r="799" spans="1:56" ht="12.75" customHeight="1" x14ac:dyDescent="0.25">
      <c r="A799" s="238">
        <v>44785.550408113428</v>
      </c>
      <c r="B799" s="137" t="s">
        <v>395</v>
      </c>
      <c r="C799" s="211" t="s">
        <v>595</v>
      </c>
      <c r="D799" s="211" t="s">
        <v>17</v>
      </c>
      <c r="E799" s="232" t="s">
        <v>515</v>
      </c>
      <c r="F799" s="188" t="s">
        <v>1369</v>
      </c>
      <c r="G799" s="211" t="s">
        <v>18</v>
      </c>
      <c r="H799" s="211">
        <v>11</v>
      </c>
      <c r="I799" s="188" t="s">
        <v>518</v>
      </c>
      <c r="J799" s="188" t="s">
        <v>560</v>
      </c>
      <c r="K799" s="209" t="s">
        <v>560</v>
      </c>
      <c r="L799" s="188" t="s">
        <v>518</v>
      </c>
      <c r="M799" s="188" t="s">
        <v>412</v>
      </c>
      <c r="N799" s="188"/>
      <c r="O799" s="188"/>
      <c r="P799" s="188"/>
      <c r="Q799" s="188" t="s">
        <v>25</v>
      </c>
      <c r="R799" s="188" t="s">
        <v>25</v>
      </c>
      <c r="S799" s="234" t="s">
        <v>25</v>
      </c>
      <c r="T799" s="188" t="s">
        <v>306</v>
      </c>
      <c r="U799" s="188" t="s">
        <v>25</v>
      </c>
      <c r="V799" s="234" t="s">
        <v>25</v>
      </c>
      <c r="W799" s="188" t="s">
        <v>306</v>
      </c>
      <c r="X799" s="188" t="s">
        <v>306</v>
      </c>
      <c r="Y799" s="234" t="s">
        <v>306</v>
      </c>
      <c r="Z799" s="188" t="s">
        <v>25</v>
      </c>
      <c r="AA799" s="188" t="s">
        <v>25</v>
      </c>
      <c r="AB799" s="234" t="s">
        <v>25</v>
      </c>
      <c r="AC799" s="235" t="s">
        <v>25</v>
      </c>
      <c r="AD799" s="188" t="s">
        <v>306</v>
      </c>
      <c r="AE799" s="188" t="s">
        <v>25</v>
      </c>
      <c r="AF799" s="234" t="s">
        <v>25</v>
      </c>
      <c r="AG799" s="188" t="s">
        <v>19</v>
      </c>
      <c r="AH799" s="188" t="s">
        <v>306</v>
      </c>
      <c r="AI799" s="234" t="s">
        <v>306</v>
      </c>
      <c r="AJ799" s="188" t="s">
        <v>306</v>
      </c>
      <c r="AK799" s="188" t="s">
        <v>306</v>
      </c>
      <c r="AL799" s="234" t="s">
        <v>306</v>
      </c>
      <c r="AM799" s="188" t="s">
        <v>19</v>
      </c>
      <c r="AN799" s="188" t="s">
        <v>19</v>
      </c>
      <c r="AO799" s="234" t="s">
        <v>19</v>
      </c>
      <c r="AP799" s="235" t="s">
        <v>306</v>
      </c>
      <c r="AQ799" s="188" t="s">
        <v>19</v>
      </c>
      <c r="AR799" s="188" t="s">
        <v>25</v>
      </c>
      <c r="AS799" s="234" t="s">
        <v>306</v>
      </c>
      <c r="AT799" s="188" t="s">
        <v>25</v>
      </c>
      <c r="AU799" s="188" t="s">
        <v>25</v>
      </c>
      <c r="AV799" s="234" t="s">
        <v>25</v>
      </c>
      <c r="AW799" s="188" t="s">
        <v>306</v>
      </c>
      <c r="AX799" s="188" t="s">
        <v>25</v>
      </c>
      <c r="AY799" s="234" t="s">
        <v>25</v>
      </c>
      <c r="AZ799" s="188" t="s">
        <v>306</v>
      </c>
      <c r="BA799" s="188" t="s">
        <v>25</v>
      </c>
      <c r="BB799" s="234" t="s">
        <v>25</v>
      </c>
      <c r="BC799" s="235" t="s">
        <v>25</v>
      </c>
      <c r="BD799" s="188"/>
    </row>
    <row r="800" spans="1:56" ht="12.75" customHeight="1" x14ac:dyDescent="0.25">
      <c r="A800" s="238">
        <v>44785.615528391208</v>
      </c>
      <c r="B800" s="137" t="s">
        <v>395</v>
      </c>
      <c r="C800" s="211" t="s">
        <v>595</v>
      </c>
      <c r="D800" s="211" t="s">
        <v>17</v>
      </c>
      <c r="E800" s="232" t="s">
        <v>515</v>
      </c>
      <c r="F800" s="188" t="s">
        <v>1370</v>
      </c>
      <c r="G800" s="211" t="s">
        <v>24</v>
      </c>
      <c r="H800" s="211">
        <v>12</v>
      </c>
      <c r="I800" s="188" t="s">
        <v>518</v>
      </c>
      <c r="J800" s="188" t="s">
        <v>560</v>
      </c>
      <c r="K800" s="209" t="s">
        <v>560</v>
      </c>
      <c r="L800" s="188" t="s">
        <v>531</v>
      </c>
      <c r="M800" s="188" t="s">
        <v>614</v>
      </c>
      <c r="N800" s="188"/>
      <c r="O800" s="188"/>
      <c r="P800" s="188"/>
      <c r="Q800" s="188" t="s">
        <v>25</v>
      </c>
      <c r="R800" s="188" t="s">
        <v>306</v>
      </c>
      <c r="S800" s="234" t="s">
        <v>25</v>
      </c>
      <c r="T800" s="188" t="s">
        <v>25</v>
      </c>
      <c r="U800" s="188" t="s">
        <v>306</v>
      </c>
      <c r="V800" s="234" t="s">
        <v>25</v>
      </c>
      <c r="W800" s="188" t="s">
        <v>25</v>
      </c>
      <c r="X800" s="188" t="s">
        <v>306</v>
      </c>
      <c r="Y800" s="234" t="s">
        <v>25</v>
      </c>
      <c r="Z800" s="188" t="s">
        <v>306</v>
      </c>
      <c r="AA800" s="188" t="s">
        <v>25</v>
      </c>
      <c r="AB800" s="234" t="s">
        <v>25</v>
      </c>
      <c r="AC800" s="235" t="s">
        <v>25</v>
      </c>
      <c r="AD800" s="188" t="s">
        <v>306</v>
      </c>
      <c r="AE800" s="188" t="s">
        <v>25</v>
      </c>
      <c r="AF800" s="234" t="s">
        <v>25</v>
      </c>
      <c r="AG800" s="188" t="s">
        <v>19</v>
      </c>
      <c r="AH800" s="188" t="s">
        <v>306</v>
      </c>
      <c r="AI800" s="234" t="s">
        <v>306</v>
      </c>
      <c r="AJ800" s="188" t="s">
        <v>306</v>
      </c>
      <c r="AK800" s="188" t="s">
        <v>306</v>
      </c>
      <c r="AL800" s="234" t="s">
        <v>306</v>
      </c>
      <c r="AM800" s="188" t="s">
        <v>19</v>
      </c>
      <c r="AN800" s="188" t="s">
        <v>19</v>
      </c>
      <c r="AO800" s="234" t="s">
        <v>19</v>
      </c>
      <c r="AP800" s="235" t="s">
        <v>306</v>
      </c>
      <c r="AQ800" s="188" t="s">
        <v>25</v>
      </c>
      <c r="AR800" s="188" t="s">
        <v>306</v>
      </c>
      <c r="AS800" s="234" t="s">
        <v>25</v>
      </c>
      <c r="AT800" s="188" t="s">
        <v>25</v>
      </c>
      <c r="AU800" s="188" t="s">
        <v>25</v>
      </c>
      <c r="AV800" s="234" t="s">
        <v>25</v>
      </c>
      <c r="AW800" s="188" t="s">
        <v>25</v>
      </c>
      <c r="AX800" s="188" t="s">
        <v>306</v>
      </c>
      <c r="AY800" s="234" t="s">
        <v>25</v>
      </c>
      <c r="AZ800" s="188" t="s">
        <v>25</v>
      </c>
      <c r="BA800" s="188" t="s">
        <v>25</v>
      </c>
      <c r="BB800" s="234" t="s">
        <v>25</v>
      </c>
      <c r="BC800" s="235" t="s">
        <v>25</v>
      </c>
      <c r="BD800" s="188"/>
    </row>
    <row r="801" spans="1:56" ht="12.75" customHeight="1" x14ac:dyDescent="0.25">
      <c r="A801" s="238">
        <v>44785.618422118059</v>
      </c>
      <c r="B801" s="137" t="s">
        <v>395</v>
      </c>
      <c r="C801" s="211" t="s">
        <v>595</v>
      </c>
      <c r="D801" s="211" t="s">
        <v>17</v>
      </c>
      <c r="E801" s="232" t="s">
        <v>515</v>
      </c>
      <c r="F801" s="188" t="s">
        <v>1371</v>
      </c>
      <c r="G801" s="211" t="s">
        <v>18</v>
      </c>
      <c r="H801" s="211">
        <v>11</v>
      </c>
      <c r="I801" s="188" t="s">
        <v>518</v>
      </c>
      <c r="J801" s="188" t="s">
        <v>560</v>
      </c>
      <c r="K801" s="209" t="s">
        <v>560</v>
      </c>
      <c r="L801" s="188" t="s">
        <v>531</v>
      </c>
      <c r="M801" s="188" t="s">
        <v>614</v>
      </c>
      <c r="N801" s="188"/>
      <c r="O801" s="188"/>
      <c r="P801" s="188"/>
      <c r="Q801" s="188" t="s">
        <v>25</v>
      </c>
      <c r="R801" s="188" t="s">
        <v>25</v>
      </c>
      <c r="S801" s="234" t="s">
        <v>25</v>
      </c>
      <c r="T801" s="188" t="s">
        <v>306</v>
      </c>
      <c r="U801" s="188" t="s">
        <v>306</v>
      </c>
      <c r="V801" s="234" t="s">
        <v>306</v>
      </c>
      <c r="W801" s="188" t="s">
        <v>19</v>
      </c>
      <c r="X801" s="188" t="s">
        <v>19</v>
      </c>
      <c r="Y801" s="234" t="s">
        <v>19</v>
      </c>
      <c r="Z801" s="188" t="s">
        <v>306</v>
      </c>
      <c r="AA801" s="188" t="s">
        <v>19</v>
      </c>
      <c r="AB801" s="234" t="s">
        <v>306</v>
      </c>
      <c r="AC801" s="235" t="s">
        <v>306</v>
      </c>
      <c r="AD801" s="188" t="s">
        <v>306</v>
      </c>
      <c r="AE801" s="188" t="s">
        <v>25</v>
      </c>
      <c r="AF801" s="234" t="s">
        <v>25</v>
      </c>
      <c r="AG801" s="188" t="s">
        <v>19</v>
      </c>
      <c r="AH801" s="188" t="s">
        <v>19</v>
      </c>
      <c r="AI801" s="234" t="s">
        <v>19</v>
      </c>
      <c r="AJ801" s="188" t="s">
        <v>19</v>
      </c>
      <c r="AK801" s="188" t="s">
        <v>19</v>
      </c>
      <c r="AL801" s="234" t="s">
        <v>19</v>
      </c>
      <c r="AM801" s="188" t="s">
        <v>19</v>
      </c>
      <c r="AN801" s="188" t="s">
        <v>25</v>
      </c>
      <c r="AO801" s="234" t="s">
        <v>306</v>
      </c>
      <c r="AP801" s="235" t="s">
        <v>306</v>
      </c>
      <c r="AQ801" s="188" t="s">
        <v>25</v>
      </c>
      <c r="AR801" s="188" t="s">
        <v>306</v>
      </c>
      <c r="AS801" s="234" t="s">
        <v>25</v>
      </c>
      <c r="AT801" s="188" t="s">
        <v>25</v>
      </c>
      <c r="AU801" s="188" t="s">
        <v>25</v>
      </c>
      <c r="AV801" s="234" t="s">
        <v>25</v>
      </c>
      <c r="AW801" s="188" t="s">
        <v>306</v>
      </c>
      <c r="AX801" s="188" t="s">
        <v>306</v>
      </c>
      <c r="AY801" s="234" t="s">
        <v>306</v>
      </c>
      <c r="AZ801" s="188" t="s">
        <v>306</v>
      </c>
      <c r="BA801" s="188" t="s">
        <v>306</v>
      </c>
      <c r="BB801" s="234" t="s">
        <v>25</v>
      </c>
      <c r="BC801" s="235" t="s">
        <v>25</v>
      </c>
      <c r="BD801" s="188"/>
    </row>
    <row r="802" spans="1:56" ht="12.75" customHeight="1" x14ac:dyDescent="0.25">
      <c r="A802" s="238">
        <v>44785.632285891203</v>
      </c>
      <c r="B802" s="137" t="s">
        <v>395</v>
      </c>
      <c r="C802" s="211" t="s">
        <v>595</v>
      </c>
      <c r="D802" s="211" t="s">
        <v>17</v>
      </c>
      <c r="E802" s="232" t="s">
        <v>515</v>
      </c>
      <c r="F802" s="188" t="s">
        <v>1372</v>
      </c>
      <c r="G802" s="211" t="s">
        <v>18</v>
      </c>
      <c r="H802" s="211">
        <v>11</v>
      </c>
      <c r="I802" s="188" t="s">
        <v>518</v>
      </c>
      <c r="J802" s="188" t="s">
        <v>560</v>
      </c>
      <c r="K802" s="209" t="s">
        <v>560</v>
      </c>
      <c r="L802" s="188" t="s">
        <v>531</v>
      </c>
      <c r="M802" s="188" t="s">
        <v>614</v>
      </c>
      <c r="N802" s="188"/>
      <c r="O802" s="188"/>
      <c r="P802" s="188"/>
      <c r="Q802" s="188" t="s">
        <v>25</v>
      </c>
      <c r="R802" s="188" t="s">
        <v>25</v>
      </c>
      <c r="S802" s="234" t="s">
        <v>25</v>
      </c>
      <c r="T802" s="188" t="s">
        <v>25</v>
      </c>
      <c r="U802" s="188" t="s">
        <v>25</v>
      </c>
      <c r="V802" s="234" t="s">
        <v>25</v>
      </c>
      <c r="W802" s="188" t="s">
        <v>306</v>
      </c>
      <c r="X802" s="188" t="s">
        <v>19</v>
      </c>
      <c r="Y802" s="234" t="s">
        <v>306</v>
      </c>
      <c r="Z802" s="188" t="s">
        <v>19</v>
      </c>
      <c r="AA802" s="188" t="s">
        <v>19</v>
      </c>
      <c r="AB802" s="234" t="s">
        <v>19</v>
      </c>
      <c r="AC802" s="235" t="s">
        <v>306</v>
      </c>
      <c r="AD802" s="188" t="s">
        <v>25</v>
      </c>
      <c r="AE802" s="188" t="s">
        <v>25</v>
      </c>
      <c r="AF802" s="234" t="s">
        <v>25</v>
      </c>
      <c r="AG802" s="188" t="s">
        <v>19</v>
      </c>
      <c r="AH802" s="188" t="s">
        <v>19</v>
      </c>
      <c r="AI802" s="234" t="s">
        <v>19</v>
      </c>
      <c r="AJ802" s="188" t="s">
        <v>306</v>
      </c>
      <c r="AK802" s="188" t="s">
        <v>19</v>
      </c>
      <c r="AL802" s="234" t="s">
        <v>306</v>
      </c>
      <c r="AM802" s="188" t="s">
        <v>19</v>
      </c>
      <c r="AN802" s="188" t="s">
        <v>19</v>
      </c>
      <c r="AO802" s="234" t="s">
        <v>19</v>
      </c>
      <c r="AP802" s="235" t="s">
        <v>306</v>
      </c>
      <c r="AQ802" s="188" t="s">
        <v>306</v>
      </c>
      <c r="AR802" s="188" t="s">
        <v>25</v>
      </c>
      <c r="AS802" s="234" t="s">
        <v>25</v>
      </c>
      <c r="AT802" s="188" t="s">
        <v>25</v>
      </c>
      <c r="AU802" s="188" t="s">
        <v>25</v>
      </c>
      <c r="AV802" s="234" t="s">
        <v>25</v>
      </c>
      <c r="AW802" s="188" t="s">
        <v>306</v>
      </c>
      <c r="AX802" s="188" t="s">
        <v>306</v>
      </c>
      <c r="AY802" s="234" t="s">
        <v>306</v>
      </c>
      <c r="AZ802" s="188" t="s">
        <v>25</v>
      </c>
      <c r="BA802" s="188" t="s">
        <v>25</v>
      </c>
      <c r="BB802" s="234" t="s">
        <v>25</v>
      </c>
      <c r="BC802" s="235" t="s">
        <v>25</v>
      </c>
      <c r="BD802" s="188"/>
    </row>
    <row r="803" spans="1:56" ht="12.75" customHeight="1" x14ac:dyDescent="0.25">
      <c r="A803" s="238">
        <v>45243.408200057871</v>
      </c>
      <c r="B803" s="233" t="s">
        <v>406</v>
      </c>
      <c r="C803" s="209" t="s">
        <v>587</v>
      </c>
      <c r="D803" s="232" t="s">
        <v>17</v>
      </c>
      <c r="E803" s="232" t="s">
        <v>515</v>
      </c>
      <c r="F803" s="209" t="s">
        <v>1373</v>
      </c>
      <c r="G803" s="232" t="s">
        <v>24</v>
      </c>
      <c r="H803" s="232">
        <v>12</v>
      </c>
      <c r="I803" s="209" t="s">
        <v>518</v>
      </c>
      <c r="J803" s="209" t="s">
        <v>560</v>
      </c>
      <c r="K803" s="209" t="s">
        <v>560</v>
      </c>
      <c r="L803" s="209" t="s">
        <v>531</v>
      </c>
      <c r="M803" s="188"/>
      <c r="N803" s="188"/>
      <c r="O803" s="188"/>
      <c r="P803" s="188"/>
      <c r="Q803" s="209" t="s">
        <v>306</v>
      </c>
      <c r="R803" s="209" t="s">
        <v>306</v>
      </c>
      <c r="S803" s="234" t="s">
        <v>306</v>
      </c>
      <c r="T803" s="209" t="s">
        <v>19</v>
      </c>
      <c r="U803" s="209" t="s">
        <v>25</v>
      </c>
      <c r="V803" s="234" t="s">
        <v>306</v>
      </c>
      <c r="W803" s="209" t="s">
        <v>25</v>
      </c>
      <c r="X803" s="209" t="s">
        <v>19</v>
      </c>
      <c r="Y803" s="234" t="s">
        <v>306</v>
      </c>
      <c r="Z803" s="209" t="s">
        <v>19</v>
      </c>
      <c r="AA803" s="209" t="s">
        <v>306</v>
      </c>
      <c r="AB803" s="234" t="s">
        <v>306</v>
      </c>
      <c r="AC803" s="235" t="s">
        <v>306</v>
      </c>
      <c r="AD803" s="209" t="s">
        <v>306</v>
      </c>
      <c r="AE803" s="209" t="s">
        <v>306</v>
      </c>
      <c r="AF803" s="234" t="s">
        <v>306</v>
      </c>
      <c r="AG803" s="209" t="s">
        <v>306</v>
      </c>
      <c r="AH803" s="209" t="s">
        <v>19</v>
      </c>
      <c r="AI803" s="234" t="s">
        <v>306</v>
      </c>
      <c r="AJ803" s="209" t="s">
        <v>19</v>
      </c>
      <c r="AK803" s="209" t="s">
        <v>19</v>
      </c>
      <c r="AL803" s="234" t="s">
        <v>19</v>
      </c>
      <c r="AM803" s="209" t="s">
        <v>306</v>
      </c>
      <c r="AN803" s="209" t="s">
        <v>19</v>
      </c>
      <c r="AO803" s="234" t="s">
        <v>306</v>
      </c>
      <c r="AP803" s="235" t="s">
        <v>306</v>
      </c>
      <c r="AQ803" s="209" t="s">
        <v>306</v>
      </c>
      <c r="AR803" s="209" t="s">
        <v>306</v>
      </c>
      <c r="AS803" s="234" t="s">
        <v>306</v>
      </c>
      <c r="AT803" s="209" t="s">
        <v>306</v>
      </c>
      <c r="AU803" s="209" t="s">
        <v>25</v>
      </c>
      <c r="AV803" s="234" t="s">
        <v>25</v>
      </c>
      <c r="AW803" s="209" t="s">
        <v>25</v>
      </c>
      <c r="AX803" s="209" t="s">
        <v>306</v>
      </c>
      <c r="AY803" s="234" t="s">
        <v>25</v>
      </c>
      <c r="AZ803" s="209" t="s">
        <v>306</v>
      </c>
      <c r="BA803" s="209" t="s">
        <v>25</v>
      </c>
      <c r="BB803" s="234" t="s">
        <v>25</v>
      </c>
      <c r="BC803" s="235" t="s">
        <v>25</v>
      </c>
      <c r="BD803" s="188"/>
    </row>
    <row r="804" spans="1:56" ht="12.75" customHeight="1" x14ac:dyDescent="0.25">
      <c r="A804" s="238">
        <v>45243.420312210648</v>
      </c>
      <c r="B804" s="233" t="s">
        <v>406</v>
      </c>
      <c r="C804" s="209" t="s">
        <v>587</v>
      </c>
      <c r="D804" s="232" t="s">
        <v>17</v>
      </c>
      <c r="E804" s="232" t="s">
        <v>515</v>
      </c>
      <c r="F804" s="209" t="s">
        <v>1374</v>
      </c>
      <c r="G804" s="232" t="s">
        <v>24</v>
      </c>
      <c r="H804" s="232">
        <v>12</v>
      </c>
      <c r="I804" s="209" t="s">
        <v>518</v>
      </c>
      <c r="J804" s="209" t="s">
        <v>560</v>
      </c>
      <c r="K804" s="209" t="s">
        <v>560</v>
      </c>
      <c r="L804" s="209" t="s">
        <v>518</v>
      </c>
      <c r="M804" s="209" t="s">
        <v>368</v>
      </c>
      <c r="N804" s="209" t="s">
        <v>375</v>
      </c>
      <c r="O804" s="209"/>
      <c r="P804" s="209"/>
      <c r="Q804" s="209" t="s">
        <v>306</v>
      </c>
      <c r="R804" s="209" t="s">
        <v>306</v>
      </c>
      <c r="S804" s="234" t="s">
        <v>306</v>
      </c>
      <c r="T804" s="209" t="s">
        <v>25</v>
      </c>
      <c r="U804" s="209" t="s">
        <v>25</v>
      </c>
      <c r="V804" s="234" t="s">
        <v>25</v>
      </c>
      <c r="W804" s="209" t="s">
        <v>25</v>
      </c>
      <c r="X804" s="209" t="s">
        <v>25</v>
      </c>
      <c r="Y804" s="234" t="s">
        <v>25</v>
      </c>
      <c r="Z804" s="209" t="s">
        <v>25</v>
      </c>
      <c r="AA804" s="209" t="s">
        <v>25</v>
      </c>
      <c r="AB804" s="234" t="s">
        <v>25</v>
      </c>
      <c r="AC804" s="235" t="s">
        <v>25</v>
      </c>
      <c r="AD804" s="209" t="s">
        <v>25</v>
      </c>
      <c r="AE804" s="209" t="s">
        <v>19</v>
      </c>
      <c r="AF804" s="234" t="s">
        <v>306</v>
      </c>
      <c r="AG804" s="209" t="s">
        <v>25</v>
      </c>
      <c r="AH804" s="209" t="s">
        <v>25</v>
      </c>
      <c r="AI804" s="234" t="s">
        <v>25</v>
      </c>
      <c r="AJ804" s="209" t="s">
        <v>25</v>
      </c>
      <c r="AK804" s="209" t="s">
        <v>19</v>
      </c>
      <c r="AL804" s="234" t="s">
        <v>306</v>
      </c>
      <c r="AM804" s="209" t="s">
        <v>25</v>
      </c>
      <c r="AN804" s="209" t="s">
        <v>19</v>
      </c>
      <c r="AO804" s="234" t="s">
        <v>306</v>
      </c>
      <c r="AP804" s="235" t="s">
        <v>306</v>
      </c>
      <c r="AQ804" s="209" t="s">
        <v>19</v>
      </c>
      <c r="AR804" s="209" t="s">
        <v>25</v>
      </c>
      <c r="AS804" s="234" t="s">
        <v>306</v>
      </c>
      <c r="AT804" s="209" t="s">
        <v>19</v>
      </c>
      <c r="AU804" s="209" t="s">
        <v>25</v>
      </c>
      <c r="AV804" s="234" t="s">
        <v>306</v>
      </c>
      <c r="AW804" s="209" t="s">
        <v>306</v>
      </c>
      <c r="AX804" s="209" t="s">
        <v>25</v>
      </c>
      <c r="AY804" s="234" t="s">
        <v>25</v>
      </c>
      <c r="AZ804" s="209" t="s">
        <v>25</v>
      </c>
      <c r="BA804" s="209" t="s">
        <v>25</v>
      </c>
      <c r="BB804" s="234" t="s">
        <v>25</v>
      </c>
      <c r="BC804" s="235" t="s">
        <v>25</v>
      </c>
      <c r="BD804" s="188"/>
    </row>
    <row r="805" spans="1:56" ht="12.75" customHeight="1" x14ac:dyDescent="0.25">
      <c r="A805" s="238">
        <v>45243.432321481479</v>
      </c>
      <c r="B805" s="233" t="s">
        <v>406</v>
      </c>
      <c r="C805" s="209" t="s">
        <v>587</v>
      </c>
      <c r="D805" s="232" t="s">
        <v>17</v>
      </c>
      <c r="E805" s="232" t="s">
        <v>515</v>
      </c>
      <c r="F805" s="209" t="s">
        <v>1375</v>
      </c>
      <c r="G805" s="232" t="s">
        <v>18</v>
      </c>
      <c r="H805" s="232">
        <v>12</v>
      </c>
      <c r="I805" s="209" t="s">
        <v>518</v>
      </c>
      <c r="J805" s="209" t="s">
        <v>560</v>
      </c>
      <c r="K805" s="209" t="s">
        <v>560</v>
      </c>
      <c r="L805" s="209" t="s">
        <v>518</v>
      </c>
      <c r="M805" s="209" t="s">
        <v>368</v>
      </c>
      <c r="N805" s="209" t="s">
        <v>589</v>
      </c>
      <c r="O805" s="209"/>
      <c r="P805" s="209"/>
      <c r="Q805" s="209" t="s">
        <v>25</v>
      </c>
      <c r="R805" s="209" t="s">
        <v>25</v>
      </c>
      <c r="S805" s="234" t="s">
        <v>25</v>
      </c>
      <c r="T805" s="209" t="s">
        <v>25</v>
      </c>
      <c r="U805" s="209" t="s">
        <v>25</v>
      </c>
      <c r="V805" s="234" t="s">
        <v>25</v>
      </c>
      <c r="W805" s="209" t="s">
        <v>25</v>
      </c>
      <c r="X805" s="209" t="s">
        <v>306</v>
      </c>
      <c r="Y805" s="234" t="s">
        <v>25</v>
      </c>
      <c r="Z805" s="209" t="s">
        <v>306</v>
      </c>
      <c r="AA805" s="209" t="s">
        <v>19</v>
      </c>
      <c r="AB805" s="234" t="s">
        <v>306</v>
      </c>
      <c r="AC805" s="235" t="s">
        <v>25</v>
      </c>
      <c r="AD805" s="209" t="s">
        <v>25</v>
      </c>
      <c r="AE805" s="209" t="s">
        <v>306</v>
      </c>
      <c r="AF805" s="234" t="s">
        <v>25</v>
      </c>
      <c r="AG805" s="209" t="s">
        <v>25</v>
      </c>
      <c r="AH805" s="209" t="s">
        <v>19</v>
      </c>
      <c r="AI805" s="234" t="s">
        <v>306</v>
      </c>
      <c r="AJ805" s="209" t="s">
        <v>25</v>
      </c>
      <c r="AK805" s="209" t="s">
        <v>19</v>
      </c>
      <c r="AL805" s="234" t="s">
        <v>306</v>
      </c>
      <c r="AM805" s="209" t="s">
        <v>19</v>
      </c>
      <c r="AN805" s="209" t="s">
        <v>19</v>
      </c>
      <c r="AO805" s="234" t="s">
        <v>19</v>
      </c>
      <c r="AP805" s="235" t="s">
        <v>306</v>
      </c>
      <c r="AQ805" s="209" t="s">
        <v>25</v>
      </c>
      <c r="AR805" s="209" t="s">
        <v>306</v>
      </c>
      <c r="AS805" s="234" t="s">
        <v>25</v>
      </c>
      <c r="AT805" s="209" t="s">
        <v>25</v>
      </c>
      <c r="AU805" s="209" t="s">
        <v>25</v>
      </c>
      <c r="AV805" s="234" t="s">
        <v>25</v>
      </c>
      <c r="AW805" s="209" t="s">
        <v>306</v>
      </c>
      <c r="AX805" s="209" t="s">
        <v>25</v>
      </c>
      <c r="AY805" s="234" t="s">
        <v>25</v>
      </c>
      <c r="AZ805" s="209" t="s">
        <v>25</v>
      </c>
      <c r="BA805" s="209" t="s">
        <v>25</v>
      </c>
      <c r="BB805" s="234" t="s">
        <v>25</v>
      </c>
      <c r="BC805" s="235" t="s">
        <v>25</v>
      </c>
      <c r="BD805" s="188"/>
    </row>
    <row r="806" spans="1:56" ht="12.75" customHeight="1" x14ac:dyDescent="0.25">
      <c r="A806" s="238">
        <v>45243.436181840283</v>
      </c>
      <c r="B806" s="233" t="s">
        <v>406</v>
      </c>
      <c r="C806" s="209" t="s">
        <v>587</v>
      </c>
      <c r="D806" s="232" t="s">
        <v>17</v>
      </c>
      <c r="E806" s="232" t="s">
        <v>515</v>
      </c>
      <c r="F806" s="209" t="s">
        <v>1376</v>
      </c>
      <c r="G806" s="232" t="s">
        <v>18</v>
      </c>
      <c r="H806" s="232">
        <v>12</v>
      </c>
      <c r="I806" s="209" t="s">
        <v>518</v>
      </c>
      <c r="J806" s="209" t="s">
        <v>560</v>
      </c>
      <c r="K806" s="209" t="s">
        <v>560</v>
      </c>
      <c r="L806" s="209" t="s">
        <v>518</v>
      </c>
      <c r="M806" s="209" t="s">
        <v>375</v>
      </c>
      <c r="N806" s="209" t="s">
        <v>401</v>
      </c>
      <c r="O806" s="209"/>
      <c r="P806" s="209"/>
      <c r="Q806" s="209" t="s">
        <v>25</v>
      </c>
      <c r="R806" s="209" t="s">
        <v>19</v>
      </c>
      <c r="S806" s="234" t="s">
        <v>306</v>
      </c>
      <c r="T806" s="209" t="s">
        <v>19</v>
      </c>
      <c r="U806" s="209" t="s">
        <v>19</v>
      </c>
      <c r="V806" s="234" t="s">
        <v>19</v>
      </c>
      <c r="W806" s="209" t="s">
        <v>25</v>
      </c>
      <c r="X806" s="209" t="s">
        <v>19</v>
      </c>
      <c r="Y806" s="234" t="s">
        <v>306</v>
      </c>
      <c r="Z806" s="209" t="s">
        <v>25</v>
      </c>
      <c r="AA806" s="209" t="s">
        <v>19</v>
      </c>
      <c r="AB806" s="234" t="s">
        <v>306</v>
      </c>
      <c r="AC806" s="235" t="s">
        <v>306</v>
      </c>
      <c r="AD806" s="209" t="s">
        <v>25</v>
      </c>
      <c r="AE806" s="209" t="s">
        <v>25</v>
      </c>
      <c r="AF806" s="234" t="s">
        <v>25</v>
      </c>
      <c r="AG806" s="209" t="s">
        <v>19</v>
      </c>
      <c r="AH806" s="209" t="s">
        <v>19</v>
      </c>
      <c r="AI806" s="234" t="s">
        <v>19</v>
      </c>
      <c r="AJ806" s="209" t="s">
        <v>25</v>
      </c>
      <c r="AK806" s="209" t="s">
        <v>19</v>
      </c>
      <c r="AL806" s="234" t="s">
        <v>306</v>
      </c>
      <c r="AM806" s="209" t="s">
        <v>19</v>
      </c>
      <c r="AN806" s="209" t="s">
        <v>19</v>
      </c>
      <c r="AO806" s="234" t="s">
        <v>19</v>
      </c>
      <c r="AP806" s="235" t="s">
        <v>306</v>
      </c>
      <c r="AQ806" s="209" t="s">
        <v>25</v>
      </c>
      <c r="AR806" s="209" t="s">
        <v>19</v>
      </c>
      <c r="AS806" s="234" t="s">
        <v>306</v>
      </c>
      <c r="AT806" s="209" t="s">
        <v>25</v>
      </c>
      <c r="AU806" s="209" t="s">
        <v>25</v>
      </c>
      <c r="AV806" s="234" t="s">
        <v>25</v>
      </c>
      <c r="AW806" s="209" t="s">
        <v>19</v>
      </c>
      <c r="AX806" s="209" t="s">
        <v>25</v>
      </c>
      <c r="AY806" s="234" t="s">
        <v>306</v>
      </c>
      <c r="AZ806" s="209" t="s">
        <v>25</v>
      </c>
      <c r="BA806" s="209" t="s">
        <v>25</v>
      </c>
      <c r="BB806" s="234" t="s">
        <v>25</v>
      </c>
      <c r="BC806" s="235" t="s">
        <v>306</v>
      </c>
      <c r="BD806" s="188"/>
    </row>
    <row r="807" spans="1:56" ht="12.75" customHeight="1" x14ac:dyDescent="0.25">
      <c r="A807" s="238">
        <v>45243.436774675924</v>
      </c>
      <c r="B807" s="233" t="s">
        <v>406</v>
      </c>
      <c r="C807" s="209" t="s">
        <v>587</v>
      </c>
      <c r="D807" s="232" t="s">
        <v>17</v>
      </c>
      <c r="E807" s="232" t="s">
        <v>515</v>
      </c>
      <c r="F807" s="209" t="s">
        <v>1377</v>
      </c>
      <c r="G807" s="232" t="s">
        <v>18</v>
      </c>
      <c r="H807" s="232">
        <v>12</v>
      </c>
      <c r="I807" s="209" t="s">
        <v>518</v>
      </c>
      <c r="J807" s="209" t="s">
        <v>560</v>
      </c>
      <c r="K807" s="209" t="s">
        <v>560</v>
      </c>
      <c r="L807" s="209" t="s">
        <v>518</v>
      </c>
      <c r="M807" s="209" t="s">
        <v>368</v>
      </c>
      <c r="N807" s="209" t="s">
        <v>589</v>
      </c>
      <c r="O807" s="209"/>
      <c r="P807" s="209"/>
      <c r="Q807" s="209" t="s">
        <v>25</v>
      </c>
      <c r="R807" s="209" t="s">
        <v>25</v>
      </c>
      <c r="S807" s="234" t="s">
        <v>25</v>
      </c>
      <c r="T807" s="209" t="s">
        <v>25</v>
      </c>
      <c r="U807" s="209" t="s">
        <v>25</v>
      </c>
      <c r="V807" s="234" t="s">
        <v>25</v>
      </c>
      <c r="W807" s="209" t="s">
        <v>25</v>
      </c>
      <c r="X807" s="209" t="s">
        <v>25</v>
      </c>
      <c r="Y807" s="234" t="s">
        <v>25</v>
      </c>
      <c r="Z807" s="209" t="s">
        <v>306</v>
      </c>
      <c r="AA807" s="209" t="s">
        <v>25</v>
      </c>
      <c r="AB807" s="234" t="s">
        <v>25</v>
      </c>
      <c r="AC807" s="235" t="s">
        <v>25</v>
      </c>
      <c r="AD807" s="209" t="s">
        <v>25</v>
      </c>
      <c r="AE807" s="209" t="s">
        <v>25</v>
      </c>
      <c r="AF807" s="234" t="s">
        <v>25</v>
      </c>
      <c r="AG807" s="209" t="s">
        <v>25</v>
      </c>
      <c r="AH807" s="209" t="s">
        <v>25</v>
      </c>
      <c r="AI807" s="234" t="s">
        <v>25</v>
      </c>
      <c r="AJ807" s="209" t="s">
        <v>25</v>
      </c>
      <c r="AK807" s="209" t="s">
        <v>306</v>
      </c>
      <c r="AL807" s="234" t="s">
        <v>25</v>
      </c>
      <c r="AM807" s="209" t="s">
        <v>306</v>
      </c>
      <c r="AN807" s="209" t="s">
        <v>306</v>
      </c>
      <c r="AO807" s="234" t="s">
        <v>306</v>
      </c>
      <c r="AP807" s="235" t="s">
        <v>25</v>
      </c>
      <c r="AQ807" s="209" t="s">
        <v>306</v>
      </c>
      <c r="AR807" s="209" t="s">
        <v>19</v>
      </c>
      <c r="AS807" s="234" t="s">
        <v>306</v>
      </c>
      <c r="AT807" s="209" t="s">
        <v>19</v>
      </c>
      <c r="AU807" s="209" t="s">
        <v>25</v>
      </c>
      <c r="AV807" s="234" t="s">
        <v>306</v>
      </c>
      <c r="AW807" s="209" t="s">
        <v>25</v>
      </c>
      <c r="AX807" s="209" t="s">
        <v>25</v>
      </c>
      <c r="AY807" s="234" t="s">
        <v>25</v>
      </c>
      <c r="AZ807" s="209" t="s">
        <v>25</v>
      </c>
      <c r="BA807" s="209" t="s">
        <v>25</v>
      </c>
      <c r="BB807" s="234" t="s">
        <v>19</v>
      </c>
      <c r="BC807" s="235" t="s">
        <v>306</v>
      </c>
      <c r="BD807" s="188"/>
    </row>
    <row r="808" spans="1:56" ht="12.75" customHeight="1" x14ac:dyDescent="0.25">
      <c r="A808" s="239">
        <v>44796.728889664351</v>
      </c>
      <c r="B808" s="137" t="s">
        <v>406</v>
      </c>
      <c r="C808" s="211" t="s">
        <v>595</v>
      </c>
      <c r="D808" s="211" t="s">
        <v>17</v>
      </c>
      <c r="E808" s="232" t="s">
        <v>515</v>
      </c>
      <c r="F808" s="188" t="s">
        <v>1378</v>
      </c>
      <c r="G808" s="211" t="s">
        <v>18</v>
      </c>
      <c r="H808" s="211">
        <v>11</v>
      </c>
      <c r="I808" s="188" t="s">
        <v>518</v>
      </c>
      <c r="J808" s="188" t="s">
        <v>560</v>
      </c>
      <c r="K808" s="209" t="s">
        <v>560</v>
      </c>
      <c r="L808" s="188" t="s">
        <v>531</v>
      </c>
      <c r="M808" s="188" t="s">
        <v>614</v>
      </c>
      <c r="N808" s="188"/>
      <c r="O808" s="188"/>
      <c r="P808" s="188"/>
      <c r="Q808" s="188" t="s">
        <v>25</v>
      </c>
      <c r="R808" s="188" t="s">
        <v>25</v>
      </c>
      <c r="S808" s="234" t="s">
        <v>25</v>
      </c>
      <c r="T808" s="188" t="s">
        <v>25</v>
      </c>
      <c r="U808" s="188" t="s">
        <v>25</v>
      </c>
      <c r="V808" s="234" t="s">
        <v>25</v>
      </c>
      <c r="W808" s="188" t="s">
        <v>306</v>
      </c>
      <c r="X808" s="188" t="s">
        <v>25</v>
      </c>
      <c r="Y808" s="234" t="s">
        <v>25</v>
      </c>
      <c r="Z808" s="188" t="s">
        <v>25</v>
      </c>
      <c r="AA808" s="188" t="s">
        <v>25</v>
      </c>
      <c r="AB808" s="234" t="s">
        <v>25</v>
      </c>
      <c r="AC808" s="235" t="s">
        <v>25</v>
      </c>
      <c r="AD808" s="188" t="s">
        <v>25</v>
      </c>
      <c r="AE808" s="188" t="s">
        <v>25</v>
      </c>
      <c r="AF808" s="234" t="s">
        <v>25</v>
      </c>
      <c r="AG808" s="188" t="s">
        <v>306</v>
      </c>
      <c r="AH808" s="188" t="s">
        <v>306</v>
      </c>
      <c r="AI808" s="234" t="s">
        <v>306</v>
      </c>
      <c r="AJ808" s="188" t="s">
        <v>19</v>
      </c>
      <c r="AK808" s="188" t="s">
        <v>25</v>
      </c>
      <c r="AL808" s="234" t="s">
        <v>306</v>
      </c>
      <c r="AM808" s="188" t="s">
        <v>19</v>
      </c>
      <c r="AN808" s="188" t="s">
        <v>19</v>
      </c>
      <c r="AO808" s="234" t="s">
        <v>19</v>
      </c>
      <c r="AP808" s="235" t="s">
        <v>306</v>
      </c>
      <c r="AQ808" s="188" t="s">
        <v>306</v>
      </c>
      <c r="AR808" s="188" t="s">
        <v>25</v>
      </c>
      <c r="AS808" s="234" t="s">
        <v>25</v>
      </c>
      <c r="AT808" s="188" t="s">
        <v>25</v>
      </c>
      <c r="AU808" s="188" t="s">
        <v>19</v>
      </c>
      <c r="AV808" s="234" t="s">
        <v>306</v>
      </c>
      <c r="AW808" s="188" t="s">
        <v>306</v>
      </c>
      <c r="AX808" s="188" t="s">
        <v>306</v>
      </c>
      <c r="AY808" s="234" t="s">
        <v>306</v>
      </c>
      <c r="AZ808" s="188" t="s">
        <v>25</v>
      </c>
      <c r="BA808" s="188" t="s">
        <v>19</v>
      </c>
      <c r="BB808" s="234" t="s">
        <v>25</v>
      </c>
      <c r="BC808" s="235" t="s">
        <v>25</v>
      </c>
      <c r="BD808" s="188"/>
    </row>
    <row r="809" spans="1:56" ht="12.75" customHeight="1" x14ac:dyDescent="0.25">
      <c r="A809" s="239">
        <v>44796.814219675929</v>
      </c>
      <c r="B809" s="137" t="s">
        <v>406</v>
      </c>
      <c r="C809" s="211" t="s">
        <v>595</v>
      </c>
      <c r="D809" s="211" t="s">
        <v>17</v>
      </c>
      <c r="E809" s="232" t="s">
        <v>515</v>
      </c>
      <c r="F809" s="188" t="s">
        <v>1379</v>
      </c>
      <c r="G809" s="211" t="s">
        <v>24</v>
      </c>
      <c r="H809" s="211">
        <v>12</v>
      </c>
      <c r="I809" s="188" t="s">
        <v>518</v>
      </c>
      <c r="J809" s="188" t="s">
        <v>560</v>
      </c>
      <c r="K809" s="209" t="s">
        <v>560</v>
      </c>
      <c r="L809" s="188" t="s">
        <v>531</v>
      </c>
      <c r="M809" s="188" t="s">
        <v>614</v>
      </c>
      <c r="N809" s="188"/>
      <c r="O809" s="188"/>
      <c r="P809" s="188"/>
      <c r="Q809" s="188" t="s">
        <v>25</v>
      </c>
      <c r="R809" s="188" t="s">
        <v>25</v>
      </c>
      <c r="S809" s="234" t="s">
        <v>25</v>
      </c>
      <c r="T809" s="188" t="s">
        <v>306</v>
      </c>
      <c r="U809" s="188" t="s">
        <v>25</v>
      </c>
      <c r="V809" s="234" t="s">
        <v>25</v>
      </c>
      <c r="W809" s="188" t="s">
        <v>306</v>
      </c>
      <c r="X809" s="188" t="s">
        <v>306</v>
      </c>
      <c r="Y809" s="234" t="s">
        <v>306</v>
      </c>
      <c r="Z809" s="188" t="s">
        <v>19</v>
      </c>
      <c r="AA809" s="188" t="s">
        <v>19</v>
      </c>
      <c r="AB809" s="234" t="s">
        <v>19</v>
      </c>
      <c r="AC809" s="235" t="s">
        <v>306</v>
      </c>
      <c r="AD809" s="188" t="s">
        <v>306</v>
      </c>
      <c r="AE809" s="188" t="s">
        <v>19</v>
      </c>
      <c r="AF809" s="234" t="s">
        <v>306</v>
      </c>
      <c r="AG809" s="188" t="s">
        <v>306</v>
      </c>
      <c r="AH809" s="188" t="s">
        <v>306</v>
      </c>
      <c r="AI809" s="234" t="s">
        <v>306</v>
      </c>
      <c r="AJ809" s="188" t="s">
        <v>306</v>
      </c>
      <c r="AK809" s="188" t="s">
        <v>19</v>
      </c>
      <c r="AL809" s="234" t="s">
        <v>306</v>
      </c>
      <c r="AM809" s="188" t="s">
        <v>19</v>
      </c>
      <c r="AN809" s="188" t="s">
        <v>19</v>
      </c>
      <c r="AO809" s="234" t="s">
        <v>19</v>
      </c>
      <c r="AP809" s="235" t="s">
        <v>306</v>
      </c>
      <c r="AQ809" s="188" t="s">
        <v>306</v>
      </c>
      <c r="AR809" s="188" t="s">
        <v>19</v>
      </c>
      <c r="AS809" s="234" t="s">
        <v>306</v>
      </c>
      <c r="AT809" s="188" t="s">
        <v>306</v>
      </c>
      <c r="AU809" s="188" t="s">
        <v>306</v>
      </c>
      <c r="AV809" s="234" t="s">
        <v>306</v>
      </c>
      <c r="AW809" s="188" t="s">
        <v>19</v>
      </c>
      <c r="AX809" s="188" t="s">
        <v>19</v>
      </c>
      <c r="AY809" s="234" t="s">
        <v>19</v>
      </c>
      <c r="AZ809" s="188" t="s">
        <v>306</v>
      </c>
      <c r="BA809" s="188" t="s">
        <v>19</v>
      </c>
      <c r="BB809" s="234" t="s">
        <v>25</v>
      </c>
      <c r="BC809" s="235" t="s">
        <v>25</v>
      </c>
      <c r="BD809" s="188"/>
    </row>
    <row r="810" spans="1:56" ht="12.75" customHeight="1" x14ac:dyDescent="0.25">
      <c r="A810" s="239">
        <v>44796.821003668985</v>
      </c>
      <c r="B810" s="137" t="s">
        <v>406</v>
      </c>
      <c r="C810" s="211" t="s">
        <v>595</v>
      </c>
      <c r="D810" s="211" t="s">
        <v>17</v>
      </c>
      <c r="E810" s="232" t="s">
        <v>515</v>
      </c>
      <c r="F810" s="188" t="s">
        <v>1380</v>
      </c>
      <c r="G810" s="211" t="s">
        <v>18</v>
      </c>
      <c r="H810" s="211">
        <v>12</v>
      </c>
      <c r="I810" s="188" t="s">
        <v>518</v>
      </c>
      <c r="J810" s="188" t="s">
        <v>560</v>
      </c>
      <c r="K810" s="209" t="s">
        <v>560</v>
      </c>
      <c r="L810" s="188" t="s">
        <v>531</v>
      </c>
      <c r="M810" s="188" t="s">
        <v>614</v>
      </c>
      <c r="N810" s="188"/>
      <c r="O810" s="188"/>
      <c r="P810" s="188"/>
      <c r="Q810" s="188" t="s">
        <v>25</v>
      </c>
      <c r="R810" s="188" t="s">
        <v>25</v>
      </c>
      <c r="S810" s="234" t="s">
        <v>25</v>
      </c>
      <c r="T810" s="188" t="s">
        <v>25</v>
      </c>
      <c r="U810" s="188" t="s">
        <v>25</v>
      </c>
      <c r="V810" s="234" t="s">
        <v>25</v>
      </c>
      <c r="W810" s="188" t="s">
        <v>25</v>
      </c>
      <c r="X810" s="188" t="s">
        <v>25</v>
      </c>
      <c r="Y810" s="234" t="s">
        <v>25</v>
      </c>
      <c r="Z810" s="188" t="s">
        <v>25</v>
      </c>
      <c r="AA810" s="188" t="s">
        <v>25</v>
      </c>
      <c r="AB810" s="234" t="s">
        <v>25</v>
      </c>
      <c r="AC810" s="235" t="s">
        <v>25</v>
      </c>
      <c r="AD810" s="188" t="s">
        <v>306</v>
      </c>
      <c r="AE810" s="188" t="s">
        <v>25</v>
      </c>
      <c r="AF810" s="234" t="s">
        <v>25</v>
      </c>
      <c r="AG810" s="188" t="s">
        <v>306</v>
      </c>
      <c r="AH810" s="188" t="s">
        <v>25</v>
      </c>
      <c r="AI810" s="234" t="s">
        <v>25</v>
      </c>
      <c r="AJ810" s="188" t="s">
        <v>25</v>
      </c>
      <c r="AK810" s="188" t="s">
        <v>306</v>
      </c>
      <c r="AL810" s="234" t="s">
        <v>25</v>
      </c>
      <c r="AM810" s="188" t="s">
        <v>19</v>
      </c>
      <c r="AN810" s="188" t="s">
        <v>306</v>
      </c>
      <c r="AO810" s="234" t="s">
        <v>306</v>
      </c>
      <c r="AP810" s="235" t="s">
        <v>306</v>
      </c>
      <c r="AQ810" s="188" t="s">
        <v>25</v>
      </c>
      <c r="AR810" s="188" t="s">
        <v>25</v>
      </c>
      <c r="AS810" s="234" t="s">
        <v>25</v>
      </c>
      <c r="AT810" s="188" t="s">
        <v>306</v>
      </c>
      <c r="AU810" s="188" t="s">
        <v>25</v>
      </c>
      <c r="AV810" s="234" t="s">
        <v>25</v>
      </c>
      <c r="AW810" s="188" t="s">
        <v>19</v>
      </c>
      <c r="AX810" s="188" t="s">
        <v>25</v>
      </c>
      <c r="AY810" s="234" t="s">
        <v>306</v>
      </c>
      <c r="AZ810" s="188" t="s">
        <v>306</v>
      </c>
      <c r="BA810" s="188" t="s">
        <v>25</v>
      </c>
      <c r="BB810" s="234" t="s">
        <v>306</v>
      </c>
      <c r="BC810" s="235" t="s">
        <v>306</v>
      </c>
      <c r="BD810" s="188"/>
    </row>
    <row r="811" spans="1:56" ht="12.75" customHeight="1" x14ac:dyDescent="0.25">
      <c r="A811" s="239">
        <v>44796.829554976852</v>
      </c>
      <c r="B811" s="137" t="s">
        <v>406</v>
      </c>
      <c r="C811" s="211" t="s">
        <v>595</v>
      </c>
      <c r="D811" s="211" t="s">
        <v>17</v>
      </c>
      <c r="E811" s="232" t="s">
        <v>515</v>
      </c>
      <c r="F811" s="188" t="s">
        <v>571</v>
      </c>
      <c r="G811" s="211" t="s">
        <v>18</v>
      </c>
      <c r="H811" s="211">
        <v>12</v>
      </c>
      <c r="I811" s="188" t="s">
        <v>518</v>
      </c>
      <c r="J811" s="188" t="s">
        <v>560</v>
      </c>
      <c r="K811" s="209" t="s">
        <v>560</v>
      </c>
      <c r="L811" s="188" t="s">
        <v>531</v>
      </c>
      <c r="M811" s="188" t="s">
        <v>614</v>
      </c>
      <c r="N811" s="188"/>
      <c r="O811" s="188"/>
      <c r="P811" s="188"/>
      <c r="Q811" s="188" t="s">
        <v>19</v>
      </c>
      <c r="R811" s="188" t="s">
        <v>25</v>
      </c>
      <c r="S811" s="234" t="s">
        <v>306</v>
      </c>
      <c r="T811" s="188" t="s">
        <v>306</v>
      </c>
      <c r="U811" s="188" t="s">
        <v>25</v>
      </c>
      <c r="V811" s="234" t="s">
        <v>25</v>
      </c>
      <c r="W811" s="188" t="s">
        <v>25</v>
      </c>
      <c r="X811" s="188" t="s">
        <v>25</v>
      </c>
      <c r="Y811" s="234" t="s">
        <v>25</v>
      </c>
      <c r="Z811" s="188" t="s">
        <v>306</v>
      </c>
      <c r="AA811" s="188" t="s">
        <v>25</v>
      </c>
      <c r="AB811" s="234" t="s">
        <v>25</v>
      </c>
      <c r="AC811" s="235" t="s">
        <v>25</v>
      </c>
      <c r="AD811" s="188" t="s">
        <v>19</v>
      </c>
      <c r="AE811" s="188" t="s">
        <v>25</v>
      </c>
      <c r="AF811" s="234" t="s">
        <v>306</v>
      </c>
      <c r="AG811" s="188" t="s">
        <v>306</v>
      </c>
      <c r="AH811" s="188" t="s">
        <v>25</v>
      </c>
      <c r="AI811" s="234" t="s">
        <v>25</v>
      </c>
      <c r="AJ811" s="188" t="s">
        <v>25</v>
      </c>
      <c r="AK811" s="188" t="s">
        <v>25</v>
      </c>
      <c r="AL811" s="234" t="s">
        <v>25</v>
      </c>
      <c r="AM811" s="188" t="s">
        <v>25</v>
      </c>
      <c r="AN811" s="188" t="s">
        <v>25</v>
      </c>
      <c r="AO811" s="234" t="s">
        <v>25</v>
      </c>
      <c r="AP811" s="235" t="s">
        <v>25</v>
      </c>
      <c r="AQ811" s="188" t="s">
        <v>25</v>
      </c>
      <c r="AR811" s="188" t="s">
        <v>25</v>
      </c>
      <c r="AS811" s="234" t="s">
        <v>25</v>
      </c>
      <c r="AT811" s="188" t="s">
        <v>25</v>
      </c>
      <c r="AU811" s="188" t="s">
        <v>25</v>
      </c>
      <c r="AV811" s="234" t="s">
        <v>25</v>
      </c>
      <c r="AW811" s="188" t="s">
        <v>19</v>
      </c>
      <c r="AX811" s="188" t="s">
        <v>25</v>
      </c>
      <c r="AY811" s="234" t="s">
        <v>306</v>
      </c>
      <c r="AZ811" s="188" t="s">
        <v>306</v>
      </c>
      <c r="BA811" s="188" t="s">
        <v>306</v>
      </c>
      <c r="BB811" s="234" t="s">
        <v>306</v>
      </c>
      <c r="BC811" s="235" t="s">
        <v>306</v>
      </c>
      <c r="BD811" s="188"/>
    </row>
    <row r="812" spans="1:56" ht="12.75" customHeight="1" x14ac:dyDescent="0.25">
      <c r="A812" s="238">
        <v>45259.52166082176</v>
      </c>
      <c r="B812" s="233" t="s">
        <v>427</v>
      </c>
      <c r="C812" s="209" t="s">
        <v>587</v>
      </c>
      <c r="D812" s="232" t="s">
        <v>17</v>
      </c>
      <c r="E812" s="232" t="s">
        <v>515</v>
      </c>
      <c r="F812" s="209" t="s">
        <v>1381</v>
      </c>
      <c r="G812" s="232" t="s">
        <v>18</v>
      </c>
      <c r="H812" s="232">
        <v>12</v>
      </c>
      <c r="I812" s="209" t="s">
        <v>518</v>
      </c>
      <c r="J812" s="209" t="s">
        <v>560</v>
      </c>
      <c r="K812" s="209" t="s">
        <v>560</v>
      </c>
      <c r="L812" s="209" t="s">
        <v>531</v>
      </c>
      <c r="M812" s="188"/>
      <c r="N812" s="188"/>
      <c r="O812" s="188"/>
      <c r="P812" s="188"/>
      <c r="Q812" s="209" t="s">
        <v>25</v>
      </c>
      <c r="R812" s="209" t="s">
        <v>25</v>
      </c>
      <c r="S812" s="234" t="s">
        <v>25</v>
      </c>
      <c r="T812" s="209" t="s">
        <v>19</v>
      </c>
      <c r="U812" s="209" t="s">
        <v>25</v>
      </c>
      <c r="V812" s="234" t="s">
        <v>306</v>
      </c>
      <c r="W812" s="209" t="s">
        <v>306</v>
      </c>
      <c r="X812" s="209" t="s">
        <v>19</v>
      </c>
      <c r="Y812" s="234" t="s">
        <v>306</v>
      </c>
      <c r="Z812" s="209" t="s">
        <v>306</v>
      </c>
      <c r="AA812" s="209" t="s">
        <v>25</v>
      </c>
      <c r="AB812" s="234" t="s">
        <v>25</v>
      </c>
      <c r="AC812" s="235" t="s">
        <v>306</v>
      </c>
      <c r="AD812" s="209" t="s">
        <v>306</v>
      </c>
      <c r="AE812" s="209" t="s">
        <v>25</v>
      </c>
      <c r="AF812" s="234" t="s">
        <v>25</v>
      </c>
      <c r="AG812" s="209" t="s">
        <v>306</v>
      </c>
      <c r="AH812" s="209" t="s">
        <v>306</v>
      </c>
      <c r="AI812" s="234" t="s">
        <v>306</v>
      </c>
      <c r="AJ812" s="209" t="s">
        <v>306</v>
      </c>
      <c r="AK812" s="209" t="s">
        <v>25</v>
      </c>
      <c r="AL812" s="234" t="s">
        <v>25</v>
      </c>
      <c r="AM812" s="209" t="s">
        <v>25</v>
      </c>
      <c r="AN812" s="209" t="s">
        <v>19</v>
      </c>
      <c r="AO812" s="234" t="s">
        <v>306</v>
      </c>
      <c r="AP812" s="235" t="s">
        <v>306</v>
      </c>
      <c r="AQ812" s="209" t="s">
        <v>25</v>
      </c>
      <c r="AR812" s="209" t="s">
        <v>306</v>
      </c>
      <c r="AS812" s="234" t="s">
        <v>25</v>
      </c>
      <c r="AT812" s="209" t="s">
        <v>306</v>
      </c>
      <c r="AU812" s="209" t="s">
        <v>306</v>
      </c>
      <c r="AV812" s="234" t="s">
        <v>306</v>
      </c>
      <c r="AW812" s="209" t="s">
        <v>25</v>
      </c>
      <c r="AX812" s="209" t="s">
        <v>25</v>
      </c>
      <c r="AY812" s="234" t="s">
        <v>25</v>
      </c>
      <c r="AZ812" s="209" t="s">
        <v>25</v>
      </c>
      <c r="BA812" s="209" t="s">
        <v>25</v>
      </c>
      <c r="BB812" s="234" t="s">
        <v>306</v>
      </c>
      <c r="BC812" s="235" t="s">
        <v>306</v>
      </c>
      <c r="BD812" s="188"/>
    </row>
    <row r="813" spans="1:56" ht="12.75" customHeight="1" x14ac:dyDescent="0.25">
      <c r="A813" s="238">
        <v>45259.582211701389</v>
      </c>
      <c r="B813" s="233" t="s">
        <v>427</v>
      </c>
      <c r="C813" s="209" t="s">
        <v>587</v>
      </c>
      <c r="D813" s="232" t="s">
        <v>17</v>
      </c>
      <c r="E813" s="232" t="s">
        <v>515</v>
      </c>
      <c r="F813" s="209" t="s">
        <v>1382</v>
      </c>
      <c r="G813" s="232" t="s">
        <v>24</v>
      </c>
      <c r="H813" s="232">
        <v>11</v>
      </c>
      <c r="I813" s="209" t="s">
        <v>518</v>
      </c>
      <c r="J813" s="209" t="s">
        <v>560</v>
      </c>
      <c r="K813" s="209" t="s">
        <v>560</v>
      </c>
      <c r="L813" s="209" t="s">
        <v>531</v>
      </c>
      <c r="M813" s="188"/>
      <c r="N813" s="188"/>
      <c r="O813" s="188"/>
      <c r="P813" s="188"/>
      <c r="Q813" s="209" t="s">
        <v>306</v>
      </c>
      <c r="R813" s="209" t="s">
        <v>25</v>
      </c>
      <c r="S813" s="234" t="s">
        <v>25</v>
      </c>
      <c r="T813" s="209" t="s">
        <v>19</v>
      </c>
      <c r="U813" s="209" t="s">
        <v>19</v>
      </c>
      <c r="V813" s="234" t="s">
        <v>19</v>
      </c>
      <c r="W813" s="209" t="s">
        <v>19</v>
      </c>
      <c r="X813" s="209" t="s">
        <v>25</v>
      </c>
      <c r="Y813" s="234" t="s">
        <v>306</v>
      </c>
      <c r="Z813" s="209" t="s">
        <v>25</v>
      </c>
      <c r="AA813" s="209" t="s">
        <v>25</v>
      </c>
      <c r="AB813" s="234" t="s">
        <v>25</v>
      </c>
      <c r="AC813" s="235" t="s">
        <v>306</v>
      </c>
      <c r="AD813" s="209" t="s">
        <v>19</v>
      </c>
      <c r="AE813" s="209" t="s">
        <v>306</v>
      </c>
      <c r="AF813" s="234" t="s">
        <v>306</v>
      </c>
      <c r="AG813" s="209" t="s">
        <v>306</v>
      </c>
      <c r="AH813" s="209" t="s">
        <v>306</v>
      </c>
      <c r="AI813" s="234" t="s">
        <v>306</v>
      </c>
      <c r="AJ813" s="209" t="s">
        <v>19</v>
      </c>
      <c r="AK813" s="209" t="s">
        <v>25</v>
      </c>
      <c r="AL813" s="234" t="s">
        <v>306</v>
      </c>
      <c r="AM813" s="209" t="s">
        <v>306</v>
      </c>
      <c r="AN813" s="209" t="s">
        <v>306</v>
      </c>
      <c r="AO813" s="234" t="s">
        <v>306</v>
      </c>
      <c r="AP813" s="235" t="s">
        <v>306</v>
      </c>
      <c r="AQ813" s="209" t="s">
        <v>306</v>
      </c>
      <c r="AR813" s="209" t="s">
        <v>19</v>
      </c>
      <c r="AS813" s="234" t="s">
        <v>306</v>
      </c>
      <c r="AT813" s="209" t="s">
        <v>306</v>
      </c>
      <c r="AU813" s="209" t="s">
        <v>306</v>
      </c>
      <c r="AV813" s="234" t="s">
        <v>306</v>
      </c>
      <c r="AW813" s="209" t="s">
        <v>306</v>
      </c>
      <c r="AX813" s="209" t="s">
        <v>306</v>
      </c>
      <c r="AY813" s="234" t="s">
        <v>306</v>
      </c>
      <c r="AZ813" s="209" t="s">
        <v>306</v>
      </c>
      <c r="BA813" s="209" t="s">
        <v>306</v>
      </c>
      <c r="BB813" s="234" t="s">
        <v>25</v>
      </c>
      <c r="BC813" s="235" t="s">
        <v>25</v>
      </c>
      <c r="BD813" s="188"/>
    </row>
    <row r="814" spans="1:56" ht="12.75" customHeight="1" x14ac:dyDescent="0.25">
      <c r="A814" s="238">
        <v>45259.589983912039</v>
      </c>
      <c r="B814" s="233" t="s">
        <v>427</v>
      </c>
      <c r="C814" s="209" t="s">
        <v>587</v>
      </c>
      <c r="D814" s="232" t="s">
        <v>17</v>
      </c>
      <c r="E814" s="232" t="s">
        <v>515</v>
      </c>
      <c r="F814" s="209" t="s">
        <v>1383</v>
      </c>
      <c r="G814" s="232" t="s">
        <v>24</v>
      </c>
      <c r="H814" s="232">
        <v>11</v>
      </c>
      <c r="I814" s="209" t="s">
        <v>518</v>
      </c>
      <c r="J814" s="209" t="s">
        <v>560</v>
      </c>
      <c r="K814" s="209" t="s">
        <v>560</v>
      </c>
      <c r="L814" s="209" t="s">
        <v>531</v>
      </c>
      <c r="M814" s="188"/>
      <c r="N814" s="188"/>
      <c r="O814" s="188"/>
      <c r="P814" s="188"/>
      <c r="Q814" s="209" t="s">
        <v>306</v>
      </c>
      <c r="R814" s="209" t="s">
        <v>19</v>
      </c>
      <c r="S814" s="234" t="s">
        <v>306</v>
      </c>
      <c r="T814" s="209" t="s">
        <v>25</v>
      </c>
      <c r="U814" s="209" t="s">
        <v>306</v>
      </c>
      <c r="V814" s="234" t="s">
        <v>25</v>
      </c>
      <c r="W814" s="209" t="s">
        <v>19</v>
      </c>
      <c r="X814" s="209" t="s">
        <v>25</v>
      </c>
      <c r="Y814" s="234" t="s">
        <v>306</v>
      </c>
      <c r="Z814" s="209" t="s">
        <v>306</v>
      </c>
      <c r="AA814" s="209" t="s">
        <v>306</v>
      </c>
      <c r="AB814" s="234" t="s">
        <v>306</v>
      </c>
      <c r="AC814" s="235" t="s">
        <v>306</v>
      </c>
      <c r="AD814" s="209" t="s">
        <v>306</v>
      </c>
      <c r="AE814" s="209" t="s">
        <v>306</v>
      </c>
      <c r="AF814" s="234" t="s">
        <v>306</v>
      </c>
      <c r="AG814" s="209" t="s">
        <v>19</v>
      </c>
      <c r="AH814" s="209" t="s">
        <v>25</v>
      </c>
      <c r="AI814" s="234" t="s">
        <v>306</v>
      </c>
      <c r="AJ814" s="209" t="s">
        <v>19</v>
      </c>
      <c r="AK814" s="209" t="s">
        <v>306</v>
      </c>
      <c r="AL814" s="234" t="s">
        <v>306</v>
      </c>
      <c r="AM814" s="209" t="s">
        <v>19</v>
      </c>
      <c r="AN814" s="209" t="s">
        <v>306</v>
      </c>
      <c r="AO814" s="234" t="s">
        <v>306</v>
      </c>
      <c r="AP814" s="235" t="s">
        <v>306</v>
      </c>
      <c r="AQ814" s="209" t="s">
        <v>306</v>
      </c>
      <c r="AR814" s="209" t="s">
        <v>306</v>
      </c>
      <c r="AS814" s="234" t="s">
        <v>306</v>
      </c>
      <c r="AT814" s="209" t="s">
        <v>306</v>
      </c>
      <c r="AU814" s="209" t="s">
        <v>306</v>
      </c>
      <c r="AV814" s="234" t="s">
        <v>306</v>
      </c>
      <c r="AW814" s="209" t="s">
        <v>306</v>
      </c>
      <c r="AX814" s="209" t="s">
        <v>19</v>
      </c>
      <c r="AY814" s="234" t="s">
        <v>306</v>
      </c>
      <c r="AZ814" s="209" t="s">
        <v>19</v>
      </c>
      <c r="BA814" s="209" t="s">
        <v>19</v>
      </c>
      <c r="BB814" s="234" t="s">
        <v>25</v>
      </c>
      <c r="BC814" s="235" t="s">
        <v>25</v>
      </c>
      <c r="BD814" s="188"/>
    </row>
    <row r="815" spans="1:56" ht="12.75" customHeight="1" x14ac:dyDescent="0.25">
      <c r="A815" s="238">
        <v>45259.627108900459</v>
      </c>
      <c r="B815" s="233" t="s">
        <v>427</v>
      </c>
      <c r="C815" s="209" t="s">
        <v>587</v>
      </c>
      <c r="D815" s="232" t="s">
        <v>17</v>
      </c>
      <c r="E815" s="232" t="s">
        <v>515</v>
      </c>
      <c r="F815" s="209" t="s">
        <v>1384</v>
      </c>
      <c r="G815" s="232" t="s">
        <v>18</v>
      </c>
      <c r="H815" s="232">
        <v>12</v>
      </c>
      <c r="I815" s="209" t="s">
        <v>518</v>
      </c>
      <c r="J815" s="209" t="s">
        <v>560</v>
      </c>
      <c r="K815" s="209" t="s">
        <v>560</v>
      </c>
      <c r="L815" s="209" t="s">
        <v>518</v>
      </c>
      <c r="M815" s="209" t="s">
        <v>368</v>
      </c>
      <c r="N815" s="209" t="s">
        <v>389</v>
      </c>
      <c r="O815" s="209"/>
      <c r="P815" s="209"/>
      <c r="Q815" s="209" t="s">
        <v>25</v>
      </c>
      <c r="R815" s="209" t="s">
        <v>25</v>
      </c>
      <c r="S815" s="234" t="s">
        <v>25</v>
      </c>
      <c r="T815" s="209" t="s">
        <v>25</v>
      </c>
      <c r="U815" s="209" t="s">
        <v>25</v>
      </c>
      <c r="V815" s="234" t="s">
        <v>25</v>
      </c>
      <c r="W815" s="209" t="s">
        <v>25</v>
      </c>
      <c r="X815" s="209" t="s">
        <v>25</v>
      </c>
      <c r="Y815" s="234" t="s">
        <v>25</v>
      </c>
      <c r="Z815" s="209" t="s">
        <v>25</v>
      </c>
      <c r="AA815" s="209" t="s">
        <v>25</v>
      </c>
      <c r="AB815" s="234" t="s">
        <v>25</v>
      </c>
      <c r="AC815" s="235" t="s">
        <v>25</v>
      </c>
      <c r="AD815" s="209" t="s">
        <v>306</v>
      </c>
      <c r="AE815" s="209" t="s">
        <v>25</v>
      </c>
      <c r="AF815" s="234" t="s">
        <v>25</v>
      </c>
      <c r="AG815" s="209" t="s">
        <v>25</v>
      </c>
      <c r="AH815" s="209" t="s">
        <v>306</v>
      </c>
      <c r="AI815" s="234" t="s">
        <v>25</v>
      </c>
      <c r="AJ815" s="209" t="s">
        <v>306</v>
      </c>
      <c r="AK815" s="209" t="s">
        <v>25</v>
      </c>
      <c r="AL815" s="234" t="s">
        <v>25</v>
      </c>
      <c r="AM815" s="209" t="s">
        <v>25</v>
      </c>
      <c r="AN815" s="209" t="s">
        <v>25</v>
      </c>
      <c r="AO815" s="234" t="s">
        <v>25</v>
      </c>
      <c r="AP815" s="235" t="s">
        <v>25</v>
      </c>
      <c r="AQ815" s="209" t="s">
        <v>306</v>
      </c>
      <c r="AR815" s="209" t="s">
        <v>25</v>
      </c>
      <c r="AS815" s="234" t="s">
        <v>25</v>
      </c>
      <c r="AT815" s="209" t="s">
        <v>306</v>
      </c>
      <c r="AU815" s="209" t="s">
        <v>306</v>
      </c>
      <c r="AV815" s="234" t="s">
        <v>306</v>
      </c>
      <c r="AW815" s="209" t="s">
        <v>25</v>
      </c>
      <c r="AX815" s="209" t="s">
        <v>306</v>
      </c>
      <c r="AY815" s="234" t="s">
        <v>25</v>
      </c>
      <c r="AZ815" s="209" t="s">
        <v>306</v>
      </c>
      <c r="BA815" s="209" t="s">
        <v>25</v>
      </c>
      <c r="BB815" s="234" t="s">
        <v>25</v>
      </c>
      <c r="BC815" s="235" t="s">
        <v>25</v>
      </c>
      <c r="BD815" s="188"/>
    </row>
    <row r="816" spans="1:56" ht="12.75" customHeight="1" x14ac:dyDescent="0.25">
      <c r="A816" s="238">
        <v>45259.635054108796</v>
      </c>
      <c r="B816" s="233" t="s">
        <v>427</v>
      </c>
      <c r="C816" s="209" t="s">
        <v>587</v>
      </c>
      <c r="D816" s="232" t="s">
        <v>17</v>
      </c>
      <c r="E816" s="232" t="s">
        <v>515</v>
      </c>
      <c r="F816" s="209" t="s">
        <v>1385</v>
      </c>
      <c r="G816" s="232" t="s">
        <v>18</v>
      </c>
      <c r="H816" s="232">
        <v>11</v>
      </c>
      <c r="I816" s="209" t="s">
        <v>518</v>
      </c>
      <c r="J816" s="209" t="s">
        <v>560</v>
      </c>
      <c r="K816" s="209" t="s">
        <v>560</v>
      </c>
      <c r="L816" s="209" t="s">
        <v>531</v>
      </c>
      <c r="M816" s="188"/>
      <c r="N816" s="188"/>
      <c r="O816" s="188"/>
      <c r="P816" s="188"/>
      <c r="Q816" s="209" t="s">
        <v>306</v>
      </c>
      <c r="R816" s="209" t="s">
        <v>25</v>
      </c>
      <c r="S816" s="234" t="s">
        <v>25</v>
      </c>
      <c r="T816" s="209" t="s">
        <v>25</v>
      </c>
      <c r="U816" s="209" t="s">
        <v>25</v>
      </c>
      <c r="V816" s="234" t="s">
        <v>25</v>
      </c>
      <c r="W816" s="209" t="s">
        <v>306</v>
      </c>
      <c r="X816" s="209" t="s">
        <v>306</v>
      </c>
      <c r="Y816" s="234" t="s">
        <v>306</v>
      </c>
      <c r="Z816" s="209" t="s">
        <v>306</v>
      </c>
      <c r="AA816" s="209" t="s">
        <v>25</v>
      </c>
      <c r="AB816" s="234" t="s">
        <v>25</v>
      </c>
      <c r="AC816" s="235" t="s">
        <v>25</v>
      </c>
      <c r="AD816" s="209" t="s">
        <v>19</v>
      </c>
      <c r="AE816" s="209" t="s">
        <v>306</v>
      </c>
      <c r="AF816" s="234" t="s">
        <v>306</v>
      </c>
      <c r="AG816" s="209" t="s">
        <v>19</v>
      </c>
      <c r="AH816" s="209" t="s">
        <v>25</v>
      </c>
      <c r="AI816" s="234" t="s">
        <v>306</v>
      </c>
      <c r="AJ816" s="209" t="s">
        <v>306</v>
      </c>
      <c r="AK816" s="209" t="s">
        <v>25</v>
      </c>
      <c r="AL816" s="234" t="s">
        <v>25</v>
      </c>
      <c r="AM816" s="209" t="s">
        <v>25</v>
      </c>
      <c r="AN816" s="209" t="s">
        <v>19</v>
      </c>
      <c r="AO816" s="234" t="s">
        <v>306</v>
      </c>
      <c r="AP816" s="235" t="s">
        <v>306</v>
      </c>
      <c r="AQ816" s="209" t="s">
        <v>25</v>
      </c>
      <c r="AR816" s="209" t="s">
        <v>306</v>
      </c>
      <c r="AS816" s="234" t="s">
        <v>25</v>
      </c>
      <c r="AT816" s="209" t="s">
        <v>25</v>
      </c>
      <c r="AU816" s="209" t="s">
        <v>19</v>
      </c>
      <c r="AV816" s="234" t="s">
        <v>306</v>
      </c>
      <c r="AW816" s="209" t="s">
        <v>19</v>
      </c>
      <c r="AX816" s="209" t="s">
        <v>25</v>
      </c>
      <c r="AY816" s="234" t="s">
        <v>306</v>
      </c>
      <c r="AZ816" s="209" t="s">
        <v>25</v>
      </c>
      <c r="BA816" s="209" t="s">
        <v>25</v>
      </c>
      <c r="BB816" s="234" t="s">
        <v>25</v>
      </c>
      <c r="BC816" s="235" t="s">
        <v>25</v>
      </c>
      <c r="BD816" s="188"/>
    </row>
    <row r="817" spans="1:56" ht="12.75" customHeight="1" x14ac:dyDescent="0.25">
      <c r="A817" s="238">
        <v>44790.459420798608</v>
      </c>
      <c r="B817" s="137" t="s">
        <v>427</v>
      </c>
      <c r="C817" s="211" t="s">
        <v>595</v>
      </c>
      <c r="D817" s="211" t="s">
        <v>17</v>
      </c>
      <c r="E817" s="232" t="s">
        <v>515</v>
      </c>
      <c r="F817" s="188" t="s">
        <v>1386</v>
      </c>
      <c r="G817" s="211" t="s">
        <v>24</v>
      </c>
      <c r="H817" s="211">
        <v>12</v>
      </c>
      <c r="I817" s="188" t="s">
        <v>518</v>
      </c>
      <c r="J817" s="188" t="s">
        <v>560</v>
      </c>
      <c r="K817" s="209" t="s">
        <v>560</v>
      </c>
      <c r="L817" s="188" t="s">
        <v>518</v>
      </c>
      <c r="M817" s="188" t="s">
        <v>368</v>
      </c>
      <c r="N817" s="188"/>
      <c r="O817" s="188"/>
      <c r="P817" s="188"/>
      <c r="Q817" s="188" t="s">
        <v>25</v>
      </c>
      <c r="R817" s="188" t="s">
        <v>25</v>
      </c>
      <c r="S817" s="234" t="s">
        <v>25</v>
      </c>
      <c r="T817" s="188" t="s">
        <v>19</v>
      </c>
      <c r="U817" s="188" t="s">
        <v>25</v>
      </c>
      <c r="V817" s="234" t="s">
        <v>306</v>
      </c>
      <c r="W817" s="188" t="s">
        <v>306</v>
      </c>
      <c r="X817" s="188" t="s">
        <v>19</v>
      </c>
      <c r="Y817" s="234" t="s">
        <v>306</v>
      </c>
      <c r="Z817" s="188" t="s">
        <v>19</v>
      </c>
      <c r="AA817" s="188" t="s">
        <v>19</v>
      </c>
      <c r="AB817" s="234" t="s">
        <v>19</v>
      </c>
      <c r="AC817" s="235" t="s">
        <v>306</v>
      </c>
      <c r="AD817" s="188" t="s">
        <v>306</v>
      </c>
      <c r="AE817" s="188" t="s">
        <v>306</v>
      </c>
      <c r="AF817" s="234" t="s">
        <v>306</v>
      </c>
      <c r="AG817" s="188" t="s">
        <v>25</v>
      </c>
      <c r="AH817" s="188" t="s">
        <v>306</v>
      </c>
      <c r="AI817" s="234" t="s">
        <v>25</v>
      </c>
      <c r="AJ817" s="188" t="s">
        <v>306</v>
      </c>
      <c r="AK817" s="188" t="s">
        <v>306</v>
      </c>
      <c r="AL817" s="234" t="s">
        <v>306</v>
      </c>
      <c r="AM817" s="188" t="s">
        <v>19</v>
      </c>
      <c r="AN817" s="188" t="s">
        <v>19</v>
      </c>
      <c r="AO817" s="234" t="s">
        <v>19</v>
      </c>
      <c r="AP817" s="235" t="s">
        <v>306</v>
      </c>
      <c r="AQ817" s="188" t="s">
        <v>25</v>
      </c>
      <c r="AR817" s="188" t="s">
        <v>25</v>
      </c>
      <c r="AS817" s="234" t="s">
        <v>25</v>
      </c>
      <c r="AT817" s="188" t="s">
        <v>19</v>
      </c>
      <c r="AU817" s="188" t="s">
        <v>306</v>
      </c>
      <c r="AV817" s="234" t="s">
        <v>306</v>
      </c>
      <c r="AW817" s="188" t="s">
        <v>306</v>
      </c>
      <c r="AX817" s="188" t="s">
        <v>25</v>
      </c>
      <c r="AY817" s="234" t="s">
        <v>25</v>
      </c>
      <c r="AZ817" s="188" t="s">
        <v>25</v>
      </c>
      <c r="BA817" s="188" t="s">
        <v>25</v>
      </c>
      <c r="BB817" s="234" t="s">
        <v>25</v>
      </c>
      <c r="BC817" s="235" t="s">
        <v>25</v>
      </c>
      <c r="BD817" s="188"/>
    </row>
    <row r="818" spans="1:56" ht="12.75" customHeight="1" x14ac:dyDescent="0.25">
      <c r="A818" s="238">
        <v>45259.655282488427</v>
      </c>
      <c r="B818" s="233" t="s">
        <v>427</v>
      </c>
      <c r="C818" s="232" t="s">
        <v>587</v>
      </c>
      <c r="D818" s="232" t="s">
        <v>17</v>
      </c>
      <c r="E818" s="232" t="s">
        <v>605</v>
      </c>
      <c r="F818" s="209" t="s">
        <v>1387</v>
      </c>
      <c r="G818" s="232" t="s">
        <v>24</v>
      </c>
      <c r="H818" s="232">
        <v>17</v>
      </c>
      <c r="I818" s="209" t="s">
        <v>518</v>
      </c>
      <c r="J818" s="209" t="s">
        <v>560</v>
      </c>
      <c r="K818" s="209" t="s">
        <v>560</v>
      </c>
      <c r="L818" s="209" t="s">
        <v>518</v>
      </c>
      <c r="M818" s="209" t="s">
        <v>368</v>
      </c>
      <c r="N818" s="209" t="s">
        <v>368</v>
      </c>
      <c r="O818" s="232" t="s">
        <v>518</v>
      </c>
      <c r="P818" s="209" t="s">
        <v>608</v>
      </c>
      <c r="Q818" s="209" t="s">
        <v>306</v>
      </c>
      <c r="R818" s="209" t="s">
        <v>306</v>
      </c>
      <c r="S818" s="234" t="s">
        <v>306</v>
      </c>
      <c r="T818" s="209" t="s">
        <v>25</v>
      </c>
      <c r="U818" s="209" t="s">
        <v>25</v>
      </c>
      <c r="V818" s="234" t="s">
        <v>25</v>
      </c>
      <c r="W818" s="209" t="s">
        <v>306</v>
      </c>
      <c r="X818" s="209" t="s">
        <v>306</v>
      </c>
      <c r="Y818" s="234" t="s">
        <v>306</v>
      </c>
      <c r="Z818" s="209" t="s">
        <v>306</v>
      </c>
      <c r="AA818" s="209" t="s">
        <v>25</v>
      </c>
      <c r="AB818" s="234" t="s">
        <v>25</v>
      </c>
      <c r="AC818" s="235" t="s">
        <v>306</v>
      </c>
      <c r="AD818" s="209" t="s">
        <v>306</v>
      </c>
      <c r="AE818" s="209" t="s">
        <v>306</v>
      </c>
      <c r="AF818" s="234" t="s">
        <v>306</v>
      </c>
      <c r="AG818" s="209" t="s">
        <v>306</v>
      </c>
      <c r="AH818" s="209" t="s">
        <v>306</v>
      </c>
      <c r="AI818" s="234" t="s">
        <v>306</v>
      </c>
      <c r="AJ818" s="209" t="s">
        <v>306</v>
      </c>
      <c r="AK818" s="209" t="s">
        <v>25</v>
      </c>
      <c r="AL818" s="234" t="s">
        <v>25</v>
      </c>
      <c r="AM818" s="209" t="s">
        <v>19</v>
      </c>
      <c r="AN818" s="209" t="s">
        <v>19</v>
      </c>
      <c r="AO818" s="234" t="s">
        <v>19</v>
      </c>
      <c r="AP818" s="235" t="s">
        <v>306</v>
      </c>
      <c r="AQ818" s="209" t="s">
        <v>25</v>
      </c>
      <c r="AR818" s="209" t="s">
        <v>25</v>
      </c>
      <c r="AS818" s="234" t="s">
        <v>25</v>
      </c>
      <c r="AT818" s="209" t="s">
        <v>25</v>
      </c>
      <c r="AU818" s="209" t="s">
        <v>25</v>
      </c>
      <c r="AV818" s="234" t="s">
        <v>25</v>
      </c>
      <c r="AW818" s="209" t="s">
        <v>306</v>
      </c>
      <c r="AX818" s="209" t="s">
        <v>306</v>
      </c>
      <c r="AY818" s="234" t="s">
        <v>306</v>
      </c>
      <c r="AZ818" s="209" t="s">
        <v>306</v>
      </c>
      <c r="BA818" s="209" t="s">
        <v>25</v>
      </c>
      <c r="BB818" s="234" t="s">
        <v>25</v>
      </c>
      <c r="BC818" s="235" t="s">
        <v>306</v>
      </c>
      <c r="BD818" s="188"/>
    </row>
    <row r="819" spans="1:56" ht="12.75" customHeight="1" x14ac:dyDescent="0.25">
      <c r="A819" s="238">
        <v>45259.674852812503</v>
      </c>
      <c r="B819" s="233" t="s">
        <v>427</v>
      </c>
      <c r="C819" s="232" t="s">
        <v>587</v>
      </c>
      <c r="D819" s="232" t="s">
        <v>17</v>
      </c>
      <c r="E819" s="232" t="s">
        <v>605</v>
      </c>
      <c r="F819" s="209" t="s">
        <v>1388</v>
      </c>
      <c r="G819" s="232" t="s">
        <v>18</v>
      </c>
      <c r="H819" s="232">
        <v>16</v>
      </c>
      <c r="I819" s="209" t="s">
        <v>518</v>
      </c>
      <c r="J819" s="209" t="s">
        <v>560</v>
      </c>
      <c r="K819" s="209" t="s">
        <v>560</v>
      </c>
      <c r="L819" s="209" t="s">
        <v>518</v>
      </c>
      <c r="M819" s="209" t="s">
        <v>401</v>
      </c>
      <c r="N819" s="209" t="s">
        <v>653</v>
      </c>
      <c r="O819" s="232" t="s">
        <v>531</v>
      </c>
      <c r="P819" s="188"/>
      <c r="Q819" s="209" t="s">
        <v>25</v>
      </c>
      <c r="R819" s="209" t="s">
        <v>306</v>
      </c>
      <c r="S819" s="234" t="s">
        <v>25</v>
      </c>
      <c r="T819" s="209" t="s">
        <v>306</v>
      </c>
      <c r="U819" s="209" t="s">
        <v>25</v>
      </c>
      <c r="V819" s="234" t="s">
        <v>25</v>
      </c>
      <c r="W819" s="209" t="s">
        <v>306</v>
      </c>
      <c r="X819" s="209" t="s">
        <v>25</v>
      </c>
      <c r="Y819" s="234" t="s">
        <v>25</v>
      </c>
      <c r="Z819" s="209" t="s">
        <v>306</v>
      </c>
      <c r="AA819" s="209" t="s">
        <v>25</v>
      </c>
      <c r="AB819" s="234" t="s">
        <v>25</v>
      </c>
      <c r="AC819" s="235" t="s">
        <v>25</v>
      </c>
      <c r="AD819" s="209" t="s">
        <v>306</v>
      </c>
      <c r="AE819" s="209" t="s">
        <v>306</v>
      </c>
      <c r="AF819" s="234" t="s">
        <v>306</v>
      </c>
      <c r="AG819" s="209" t="s">
        <v>306</v>
      </c>
      <c r="AH819" s="209" t="s">
        <v>25</v>
      </c>
      <c r="AI819" s="234" t="s">
        <v>25</v>
      </c>
      <c r="AJ819" s="209" t="s">
        <v>25</v>
      </c>
      <c r="AK819" s="209" t="s">
        <v>306</v>
      </c>
      <c r="AL819" s="234" t="s">
        <v>25</v>
      </c>
      <c r="AM819" s="209" t="s">
        <v>19</v>
      </c>
      <c r="AN819" s="209" t="s">
        <v>19</v>
      </c>
      <c r="AO819" s="234" t="s">
        <v>19</v>
      </c>
      <c r="AP819" s="235" t="s">
        <v>306</v>
      </c>
      <c r="AQ819" s="209" t="s">
        <v>25</v>
      </c>
      <c r="AR819" s="209" t="s">
        <v>306</v>
      </c>
      <c r="AS819" s="234" t="s">
        <v>25</v>
      </c>
      <c r="AT819" s="209" t="s">
        <v>25</v>
      </c>
      <c r="AU819" s="209" t="s">
        <v>25</v>
      </c>
      <c r="AV819" s="234" t="s">
        <v>25</v>
      </c>
      <c r="AW819" s="209" t="s">
        <v>306</v>
      </c>
      <c r="AX819" s="209" t="s">
        <v>25</v>
      </c>
      <c r="AY819" s="234" t="s">
        <v>25</v>
      </c>
      <c r="AZ819" s="209" t="s">
        <v>25</v>
      </c>
      <c r="BA819" s="209" t="s">
        <v>25</v>
      </c>
      <c r="BB819" s="234" t="s">
        <v>19</v>
      </c>
      <c r="BC819" s="235" t="s">
        <v>19</v>
      </c>
      <c r="BD819" s="188"/>
    </row>
    <row r="820" spans="1:56" ht="12.75" customHeight="1" x14ac:dyDescent="0.25">
      <c r="A820" s="238">
        <v>45259.69444334491</v>
      </c>
      <c r="B820" s="233" t="s">
        <v>427</v>
      </c>
      <c r="C820" s="232" t="s">
        <v>587</v>
      </c>
      <c r="D820" s="232" t="s">
        <v>17</v>
      </c>
      <c r="E820" s="232" t="s">
        <v>605</v>
      </c>
      <c r="F820" s="209" t="s">
        <v>1389</v>
      </c>
      <c r="G820" s="232" t="s">
        <v>24</v>
      </c>
      <c r="H820" s="232">
        <v>16</v>
      </c>
      <c r="I820" s="209" t="s">
        <v>518</v>
      </c>
      <c r="J820" s="209" t="s">
        <v>560</v>
      </c>
      <c r="K820" s="209" t="s">
        <v>560</v>
      </c>
      <c r="L820" s="209" t="s">
        <v>518</v>
      </c>
      <c r="M820" s="209" t="s">
        <v>401</v>
      </c>
      <c r="N820" s="209" t="s">
        <v>653</v>
      </c>
      <c r="O820" s="232" t="s">
        <v>531</v>
      </c>
      <c r="P820" s="188"/>
      <c r="Q820" s="209" t="s">
        <v>306</v>
      </c>
      <c r="R820" s="209" t="s">
        <v>306</v>
      </c>
      <c r="S820" s="234" t="s">
        <v>306</v>
      </c>
      <c r="T820" s="209" t="s">
        <v>306</v>
      </c>
      <c r="U820" s="209" t="s">
        <v>25</v>
      </c>
      <c r="V820" s="234" t="s">
        <v>25</v>
      </c>
      <c r="W820" s="209" t="s">
        <v>306</v>
      </c>
      <c r="X820" s="209" t="s">
        <v>25</v>
      </c>
      <c r="Y820" s="234" t="s">
        <v>25</v>
      </c>
      <c r="Z820" s="209" t="s">
        <v>306</v>
      </c>
      <c r="AA820" s="209" t="s">
        <v>25</v>
      </c>
      <c r="AB820" s="234" t="s">
        <v>25</v>
      </c>
      <c r="AC820" s="235" t="s">
        <v>306</v>
      </c>
      <c r="AD820" s="209" t="s">
        <v>306</v>
      </c>
      <c r="AE820" s="209" t="s">
        <v>25</v>
      </c>
      <c r="AF820" s="234" t="s">
        <v>25</v>
      </c>
      <c r="AG820" s="209" t="s">
        <v>306</v>
      </c>
      <c r="AH820" s="209" t="s">
        <v>19</v>
      </c>
      <c r="AI820" s="234" t="s">
        <v>306</v>
      </c>
      <c r="AJ820" s="209" t="s">
        <v>306</v>
      </c>
      <c r="AK820" s="209" t="s">
        <v>25</v>
      </c>
      <c r="AL820" s="234" t="s">
        <v>25</v>
      </c>
      <c r="AM820" s="209" t="s">
        <v>19</v>
      </c>
      <c r="AN820" s="209" t="s">
        <v>306</v>
      </c>
      <c r="AO820" s="234" t="s">
        <v>306</v>
      </c>
      <c r="AP820" s="235" t="s">
        <v>306</v>
      </c>
      <c r="AQ820" s="209" t="s">
        <v>306</v>
      </c>
      <c r="AR820" s="209" t="s">
        <v>19</v>
      </c>
      <c r="AS820" s="234" t="s">
        <v>306</v>
      </c>
      <c r="AT820" s="209" t="s">
        <v>25</v>
      </c>
      <c r="AU820" s="209" t="s">
        <v>25</v>
      </c>
      <c r="AV820" s="234" t="s">
        <v>25</v>
      </c>
      <c r="AW820" s="209" t="s">
        <v>306</v>
      </c>
      <c r="AX820" s="209" t="s">
        <v>25</v>
      </c>
      <c r="AY820" s="234" t="s">
        <v>25</v>
      </c>
      <c r="AZ820" s="209" t="s">
        <v>25</v>
      </c>
      <c r="BA820" s="209" t="s">
        <v>25</v>
      </c>
      <c r="BB820" s="234" t="s">
        <v>25</v>
      </c>
      <c r="BC820" s="235" t="s">
        <v>25</v>
      </c>
      <c r="BD820" s="188"/>
    </row>
    <row r="821" spans="1:56" ht="12.75" customHeight="1" x14ac:dyDescent="0.25">
      <c r="A821" s="238">
        <v>45259.701079525461</v>
      </c>
      <c r="B821" s="233" t="s">
        <v>427</v>
      </c>
      <c r="C821" s="232" t="s">
        <v>587</v>
      </c>
      <c r="D821" s="232" t="s">
        <v>17</v>
      </c>
      <c r="E821" s="232" t="s">
        <v>605</v>
      </c>
      <c r="F821" s="209" t="s">
        <v>1390</v>
      </c>
      <c r="G821" s="232" t="s">
        <v>18</v>
      </c>
      <c r="H821" s="232">
        <v>16</v>
      </c>
      <c r="I821" s="209" t="s">
        <v>518</v>
      </c>
      <c r="J821" s="209" t="s">
        <v>560</v>
      </c>
      <c r="K821" s="209" t="s">
        <v>560</v>
      </c>
      <c r="L821" s="209" t="s">
        <v>518</v>
      </c>
      <c r="M821" s="209" t="s">
        <v>375</v>
      </c>
      <c r="N821" s="209" t="s">
        <v>375</v>
      </c>
      <c r="O821" s="232" t="s">
        <v>518</v>
      </c>
      <c r="P821" s="209" t="s">
        <v>608</v>
      </c>
      <c r="Q821" s="209" t="s">
        <v>306</v>
      </c>
      <c r="R821" s="209" t="s">
        <v>306</v>
      </c>
      <c r="S821" s="234" t="s">
        <v>306</v>
      </c>
      <c r="T821" s="209" t="s">
        <v>25</v>
      </c>
      <c r="U821" s="209" t="s">
        <v>25</v>
      </c>
      <c r="V821" s="234" t="s">
        <v>25</v>
      </c>
      <c r="W821" s="209" t="s">
        <v>306</v>
      </c>
      <c r="X821" s="209" t="s">
        <v>25</v>
      </c>
      <c r="Y821" s="234" t="s">
        <v>25</v>
      </c>
      <c r="Z821" s="209" t="s">
        <v>25</v>
      </c>
      <c r="AA821" s="209" t="s">
        <v>25</v>
      </c>
      <c r="AB821" s="234" t="s">
        <v>25</v>
      </c>
      <c r="AC821" s="235" t="s">
        <v>25</v>
      </c>
      <c r="AD821" s="209" t="s">
        <v>25</v>
      </c>
      <c r="AE821" s="209" t="s">
        <v>25</v>
      </c>
      <c r="AF821" s="234" t="s">
        <v>25</v>
      </c>
      <c r="AG821" s="209" t="s">
        <v>25</v>
      </c>
      <c r="AH821" s="209" t="s">
        <v>306</v>
      </c>
      <c r="AI821" s="234" t="s">
        <v>25</v>
      </c>
      <c r="AJ821" s="209" t="s">
        <v>25</v>
      </c>
      <c r="AK821" s="209" t="s">
        <v>306</v>
      </c>
      <c r="AL821" s="234" t="s">
        <v>25</v>
      </c>
      <c r="AM821" s="209" t="s">
        <v>25</v>
      </c>
      <c r="AN821" s="209" t="s">
        <v>306</v>
      </c>
      <c r="AO821" s="234" t="s">
        <v>25</v>
      </c>
      <c r="AP821" s="235" t="s">
        <v>25</v>
      </c>
      <c r="AQ821" s="209" t="s">
        <v>25</v>
      </c>
      <c r="AR821" s="209" t="s">
        <v>25</v>
      </c>
      <c r="AS821" s="234" t="s">
        <v>25</v>
      </c>
      <c r="AT821" s="209" t="s">
        <v>306</v>
      </c>
      <c r="AU821" s="209" t="s">
        <v>25</v>
      </c>
      <c r="AV821" s="234" t="s">
        <v>25</v>
      </c>
      <c r="AW821" s="209" t="s">
        <v>25</v>
      </c>
      <c r="AX821" s="209" t="s">
        <v>306</v>
      </c>
      <c r="AY821" s="234" t="s">
        <v>25</v>
      </c>
      <c r="AZ821" s="209" t="s">
        <v>25</v>
      </c>
      <c r="BA821" s="209" t="s">
        <v>306</v>
      </c>
      <c r="BB821" s="234" t="s">
        <v>25</v>
      </c>
      <c r="BC821" s="235" t="s">
        <v>25</v>
      </c>
      <c r="BD821" s="188"/>
    </row>
    <row r="822" spans="1:56" ht="12.75" customHeight="1" x14ac:dyDescent="0.25">
      <c r="A822" s="238">
        <v>45259.717713148144</v>
      </c>
      <c r="B822" s="233" t="s">
        <v>427</v>
      </c>
      <c r="C822" s="232" t="s">
        <v>587</v>
      </c>
      <c r="D822" s="232" t="s">
        <v>17</v>
      </c>
      <c r="E822" s="232" t="s">
        <v>605</v>
      </c>
      <c r="F822" s="209" t="s">
        <v>1391</v>
      </c>
      <c r="G822" s="232" t="s">
        <v>24</v>
      </c>
      <c r="H822" s="232">
        <v>16</v>
      </c>
      <c r="I822" s="209" t="s">
        <v>518</v>
      </c>
      <c r="J822" s="209" t="s">
        <v>560</v>
      </c>
      <c r="K822" s="209" t="s">
        <v>560</v>
      </c>
      <c r="L822" s="209" t="s">
        <v>518</v>
      </c>
      <c r="M822" s="209" t="s">
        <v>389</v>
      </c>
      <c r="N822" s="209" t="s">
        <v>389</v>
      </c>
      <c r="O822" s="232" t="s">
        <v>531</v>
      </c>
      <c r="P822" s="188"/>
      <c r="Q822" s="209" t="s">
        <v>306</v>
      </c>
      <c r="R822" s="209" t="s">
        <v>306</v>
      </c>
      <c r="S822" s="234" t="s">
        <v>306</v>
      </c>
      <c r="T822" s="209" t="s">
        <v>306</v>
      </c>
      <c r="U822" s="209" t="s">
        <v>306</v>
      </c>
      <c r="V822" s="234" t="s">
        <v>306</v>
      </c>
      <c r="W822" s="209" t="s">
        <v>306</v>
      </c>
      <c r="X822" s="209" t="s">
        <v>306</v>
      </c>
      <c r="Y822" s="234" t="s">
        <v>306</v>
      </c>
      <c r="Z822" s="209" t="s">
        <v>306</v>
      </c>
      <c r="AA822" s="209" t="s">
        <v>306</v>
      </c>
      <c r="AB822" s="234" t="s">
        <v>306</v>
      </c>
      <c r="AC822" s="235" t="s">
        <v>306</v>
      </c>
      <c r="AD822" s="209" t="s">
        <v>306</v>
      </c>
      <c r="AE822" s="209" t="s">
        <v>306</v>
      </c>
      <c r="AF822" s="234" t="s">
        <v>306</v>
      </c>
      <c r="AG822" s="209" t="s">
        <v>306</v>
      </c>
      <c r="AH822" s="209" t="s">
        <v>306</v>
      </c>
      <c r="AI822" s="234" t="s">
        <v>306</v>
      </c>
      <c r="AJ822" s="209" t="s">
        <v>306</v>
      </c>
      <c r="AK822" s="209" t="s">
        <v>306</v>
      </c>
      <c r="AL822" s="234" t="s">
        <v>306</v>
      </c>
      <c r="AM822" s="209" t="s">
        <v>306</v>
      </c>
      <c r="AN822" s="209" t="s">
        <v>306</v>
      </c>
      <c r="AO822" s="234" t="s">
        <v>306</v>
      </c>
      <c r="AP822" s="235" t="s">
        <v>306</v>
      </c>
      <c r="AQ822" s="209" t="s">
        <v>306</v>
      </c>
      <c r="AR822" s="209" t="s">
        <v>25</v>
      </c>
      <c r="AS822" s="234" t="s">
        <v>25</v>
      </c>
      <c r="AT822" s="209" t="s">
        <v>25</v>
      </c>
      <c r="AU822" s="209" t="s">
        <v>25</v>
      </c>
      <c r="AV822" s="234" t="s">
        <v>25</v>
      </c>
      <c r="AW822" s="209" t="s">
        <v>25</v>
      </c>
      <c r="AX822" s="209" t="s">
        <v>306</v>
      </c>
      <c r="AY822" s="234" t="s">
        <v>25</v>
      </c>
      <c r="AZ822" s="209" t="s">
        <v>306</v>
      </c>
      <c r="BA822" s="209" t="s">
        <v>25</v>
      </c>
      <c r="BB822" s="234" t="s">
        <v>25</v>
      </c>
      <c r="BC822" s="235" t="s">
        <v>25</v>
      </c>
      <c r="BD822" s="188"/>
    </row>
    <row r="823" spans="1:56" ht="12.75" customHeight="1" x14ac:dyDescent="0.25">
      <c r="A823" s="238">
        <v>45259.759761886569</v>
      </c>
      <c r="B823" s="233" t="s">
        <v>427</v>
      </c>
      <c r="C823" s="232" t="s">
        <v>587</v>
      </c>
      <c r="D823" s="232" t="s">
        <v>17</v>
      </c>
      <c r="E823" s="232" t="s">
        <v>605</v>
      </c>
      <c r="F823" s="209" t="s">
        <v>1392</v>
      </c>
      <c r="G823" s="232" t="s">
        <v>18</v>
      </c>
      <c r="H823" s="232">
        <v>15</v>
      </c>
      <c r="I823" s="209" t="s">
        <v>518</v>
      </c>
      <c r="J823" s="209" t="s">
        <v>560</v>
      </c>
      <c r="K823" s="209" t="s">
        <v>560</v>
      </c>
      <c r="L823" s="209" t="s">
        <v>518</v>
      </c>
      <c r="M823" s="209" t="s">
        <v>412</v>
      </c>
      <c r="N823" s="209" t="s">
        <v>589</v>
      </c>
      <c r="O823" s="232" t="s">
        <v>531</v>
      </c>
      <c r="P823" s="188"/>
      <c r="Q823" s="209" t="s">
        <v>25</v>
      </c>
      <c r="R823" s="209" t="s">
        <v>25</v>
      </c>
      <c r="S823" s="234" t="s">
        <v>25</v>
      </c>
      <c r="T823" s="209" t="s">
        <v>25</v>
      </c>
      <c r="U823" s="209" t="s">
        <v>25</v>
      </c>
      <c r="V823" s="234" t="s">
        <v>25</v>
      </c>
      <c r="W823" s="209" t="s">
        <v>25</v>
      </c>
      <c r="X823" s="209" t="s">
        <v>25</v>
      </c>
      <c r="Y823" s="234" t="s">
        <v>25</v>
      </c>
      <c r="Z823" s="209" t="s">
        <v>25</v>
      </c>
      <c r="AA823" s="209" t="s">
        <v>25</v>
      </c>
      <c r="AB823" s="234" t="s">
        <v>25</v>
      </c>
      <c r="AC823" s="235" t="s">
        <v>25</v>
      </c>
      <c r="AD823" s="209" t="s">
        <v>306</v>
      </c>
      <c r="AE823" s="209" t="s">
        <v>25</v>
      </c>
      <c r="AF823" s="234" t="s">
        <v>25</v>
      </c>
      <c r="AG823" s="209" t="s">
        <v>25</v>
      </c>
      <c r="AH823" s="209" t="s">
        <v>25</v>
      </c>
      <c r="AI823" s="234" t="s">
        <v>25</v>
      </c>
      <c r="AJ823" s="209" t="s">
        <v>25</v>
      </c>
      <c r="AK823" s="209" t="s">
        <v>25</v>
      </c>
      <c r="AL823" s="234" t="s">
        <v>25</v>
      </c>
      <c r="AM823" s="209" t="s">
        <v>306</v>
      </c>
      <c r="AN823" s="209" t="s">
        <v>25</v>
      </c>
      <c r="AO823" s="234" t="s">
        <v>25</v>
      </c>
      <c r="AP823" s="235" t="s">
        <v>25</v>
      </c>
      <c r="AQ823" s="209" t="s">
        <v>25</v>
      </c>
      <c r="AR823" s="209" t="s">
        <v>25</v>
      </c>
      <c r="AS823" s="234" t="s">
        <v>25</v>
      </c>
      <c r="AT823" s="209" t="s">
        <v>306</v>
      </c>
      <c r="AU823" s="209" t="s">
        <v>25</v>
      </c>
      <c r="AV823" s="234" t="s">
        <v>25</v>
      </c>
      <c r="AW823" s="209" t="s">
        <v>25</v>
      </c>
      <c r="AX823" s="209" t="s">
        <v>25</v>
      </c>
      <c r="AY823" s="234" t="s">
        <v>25</v>
      </c>
      <c r="AZ823" s="209" t="s">
        <v>25</v>
      </c>
      <c r="BA823" s="209" t="s">
        <v>25</v>
      </c>
      <c r="BB823" s="234" t="s">
        <v>306</v>
      </c>
      <c r="BC823" s="235" t="s">
        <v>306</v>
      </c>
      <c r="BD823" s="188"/>
    </row>
    <row r="824" spans="1:56" ht="12.75" customHeight="1" x14ac:dyDescent="0.25">
      <c r="A824" s="238">
        <v>45259.773635150465</v>
      </c>
      <c r="B824" s="233" t="s">
        <v>427</v>
      </c>
      <c r="C824" s="232" t="s">
        <v>587</v>
      </c>
      <c r="D824" s="232" t="s">
        <v>17</v>
      </c>
      <c r="E824" s="232" t="s">
        <v>605</v>
      </c>
      <c r="F824" s="209" t="s">
        <v>1393</v>
      </c>
      <c r="G824" s="232" t="s">
        <v>24</v>
      </c>
      <c r="H824" s="232">
        <v>16</v>
      </c>
      <c r="I824" s="209" t="s">
        <v>518</v>
      </c>
      <c r="J824" s="209" t="s">
        <v>560</v>
      </c>
      <c r="K824" s="209" t="s">
        <v>560</v>
      </c>
      <c r="L824" s="209" t="s">
        <v>518</v>
      </c>
      <c r="M824" s="209" t="s">
        <v>375</v>
      </c>
      <c r="N824" s="209" t="s">
        <v>375</v>
      </c>
      <c r="O824" s="232" t="s">
        <v>518</v>
      </c>
      <c r="P824" s="209" t="s">
        <v>1394</v>
      </c>
      <c r="Q824" s="209" t="s">
        <v>306</v>
      </c>
      <c r="R824" s="209" t="s">
        <v>306</v>
      </c>
      <c r="S824" s="234" t="s">
        <v>306</v>
      </c>
      <c r="T824" s="209" t="s">
        <v>306</v>
      </c>
      <c r="U824" s="209" t="s">
        <v>25</v>
      </c>
      <c r="V824" s="234" t="s">
        <v>25</v>
      </c>
      <c r="W824" s="209" t="s">
        <v>306</v>
      </c>
      <c r="X824" s="209" t="s">
        <v>25</v>
      </c>
      <c r="Y824" s="234" t="s">
        <v>25</v>
      </c>
      <c r="Z824" s="209" t="s">
        <v>306</v>
      </c>
      <c r="AA824" s="209" t="s">
        <v>25</v>
      </c>
      <c r="AB824" s="234" t="s">
        <v>25</v>
      </c>
      <c r="AC824" s="235" t="s">
        <v>306</v>
      </c>
      <c r="AD824" s="209" t="s">
        <v>25</v>
      </c>
      <c r="AE824" s="209" t="s">
        <v>306</v>
      </c>
      <c r="AF824" s="234" t="s">
        <v>25</v>
      </c>
      <c r="AG824" s="209" t="s">
        <v>306</v>
      </c>
      <c r="AH824" s="209" t="s">
        <v>25</v>
      </c>
      <c r="AI824" s="234" t="s">
        <v>25</v>
      </c>
      <c r="AJ824" s="209" t="s">
        <v>25</v>
      </c>
      <c r="AK824" s="209" t="s">
        <v>25</v>
      </c>
      <c r="AL824" s="234" t="s">
        <v>25</v>
      </c>
      <c r="AM824" s="209" t="s">
        <v>25</v>
      </c>
      <c r="AN824" s="209" t="s">
        <v>306</v>
      </c>
      <c r="AO824" s="234" t="s">
        <v>25</v>
      </c>
      <c r="AP824" s="235" t="s">
        <v>25</v>
      </c>
      <c r="AQ824" s="209" t="s">
        <v>19</v>
      </c>
      <c r="AR824" s="209" t="s">
        <v>19</v>
      </c>
      <c r="AS824" s="234" t="s">
        <v>19</v>
      </c>
      <c r="AT824" s="209" t="s">
        <v>25</v>
      </c>
      <c r="AU824" s="209" t="s">
        <v>25</v>
      </c>
      <c r="AV824" s="234" t="s">
        <v>25</v>
      </c>
      <c r="AW824" s="209" t="s">
        <v>19</v>
      </c>
      <c r="AX824" s="209" t="s">
        <v>306</v>
      </c>
      <c r="AY824" s="234" t="s">
        <v>306</v>
      </c>
      <c r="AZ824" s="209" t="s">
        <v>25</v>
      </c>
      <c r="BA824" s="209" t="s">
        <v>25</v>
      </c>
      <c r="BB824" s="234" t="s">
        <v>306</v>
      </c>
      <c r="BC824" s="235" t="s">
        <v>306</v>
      </c>
      <c r="BD824" s="188"/>
    </row>
    <row r="825" spans="1:56" ht="12.75" customHeight="1" x14ac:dyDescent="0.25">
      <c r="A825" s="238">
        <v>45260.413033391203</v>
      </c>
      <c r="B825" s="233" t="s">
        <v>427</v>
      </c>
      <c r="C825" s="232" t="s">
        <v>587</v>
      </c>
      <c r="D825" s="232" t="s">
        <v>17</v>
      </c>
      <c r="E825" s="232" t="s">
        <v>605</v>
      </c>
      <c r="F825" s="209" t="s">
        <v>1395</v>
      </c>
      <c r="G825" s="232" t="s">
        <v>24</v>
      </c>
      <c r="H825" s="232">
        <v>15</v>
      </c>
      <c r="I825" s="209" t="s">
        <v>518</v>
      </c>
      <c r="J825" s="209" t="s">
        <v>560</v>
      </c>
      <c r="K825" s="209" t="s">
        <v>560</v>
      </c>
      <c r="L825" s="209" t="s">
        <v>518</v>
      </c>
      <c r="M825" s="209" t="s">
        <v>375</v>
      </c>
      <c r="N825" s="209" t="s">
        <v>375</v>
      </c>
      <c r="O825" s="232" t="s">
        <v>531</v>
      </c>
      <c r="P825" s="188"/>
      <c r="Q825" s="209" t="s">
        <v>19</v>
      </c>
      <c r="R825" s="209" t="s">
        <v>19</v>
      </c>
      <c r="S825" s="234" t="s">
        <v>19</v>
      </c>
      <c r="T825" s="209" t="s">
        <v>19</v>
      </c>
      <c r="U825" s="209" t="s">
        <v>306</v>
      </c>
      <c r="V825" s="234" t="s">
        <v>306</v>
      </c>
      <c r="W825" s="209" t="s">
        <v>306</v>
      </c>
      <c r="X825" s="209" t="s">
        <v>306</v>
      </c>
      <c r="Y825" s="234" t="s">
        <v>306</v>
      </c>
      <c r="Z825" s="209" t="s">
        <v>306</v>
      </c>
      <c r="AA825" s="209" t="s">
        <v>306</v>
      </c>
      <c r="AB825" s="234" t="s">
        <v>306</v>
      </c>
      <c r="AC825" s="235" t="s">
        <v>306</v>
      </c>
      <c r="AD825" s="209" t="s">
        <v>306</v>
      </c>
      <c r="AE825" s="209" t="s">
        <v>306</v>
      </c>
      <c r="AF825" s="234" t="s">
        <v>306</v>
      </c>
      <c r="AG825" s="209" t="s">
        <v>306</v>
      </c>
      <c r="AH825" s="209" t="s">
        <v>306</v>
      </c>
      <c r="AI825" s="234" t="s">
        <v>306</v>
      </c>
      <c r="AJ825" s="209" t="s">
        <v>306</v>
      </c>
      <c r="AK825" s="209" t="s">
        <v>306</v>
      </c>
      <c r="AL825" s="234" t="s">
        <v>306</v>
      </c>
      <c r="AM825" s="209" t="s">
        <v>306</v>
      </c>
      <c r="AN825" s="209" t="s">
        <v>306</v>
      </c>
      <c r="AO825" s="234" t="s">
        <v>306</v>
      </c>
      <c r="AP825" s="235" t="s">
        <v>306</v>
      </c>
      <c r="AQ825" s="209" t="s">
        <v>306</v>
      </c>
      <c r="AR825" s="209" t="s">
        <v>306</v>
      </c>
      <c r="AS825" s="234" t="s">
        <v>306</v>
      </c>
      <c r="AT825" s="209" t="s">
        <v>306</v>
      </c>
      <c r="AU825" s="209" t="s">
        <v>306</v>
      </c>
      <c r="AV825" s="234" t="s">
        <v>306</v>
      </c>
      <c r="AW825" s="209" t="s">
        <v>306</v>
      </c>
      <c r="AX825" s="209" t="s">
        <v>306</v>
      </c>
      <c r="AY825" s="234" t="s">
        <v>306</v>
      </c>
      <c r="AZ825" s="209" t="s">
        <v>306</v>
      </c>
      <c r="BA825" s="209" t="s">
        <v>306</v>
      </c>
      <c r="BB825" s="234" t="s">
        <v>306</v>
      </c>
      <c r="BC825" s="235" t="s">
        <v>306</v>
      </c>
      <c r="BD825" s="188"/>
    </row>
    <row r="826" spans="1:56" ht="12.75" customHeight="1" x14ac:dyDescent="0.25">
      <c r="A826" s="238">
        <v>45260.419972488424</v>
      </c>
      <c r="B826" s="233" t="s">
        <v>427</v>
      </c>
      <c r="C826" s="232" t="s">
        <v>587</v>
      </c>
      <c r="D826" s="232" t="s">
        <v>17</v>
      </c>
      <c r="E826" s="232" t="s">
        <v>605</v>
      </c>
      <c r="F826" s="209" t="s">
        <v>1396</v>
      </c>
      <c r="G826" s="232" t="s">
        <v>18</v>
      </c>
      <c r="H826" s="232">
        <v>16</v>
      </c>
      <c r="I826" s="209" t="s">
        <v>518</v>
      </c>
      <c r="J826" s="209" t="s">
        <v>560</v>
      </c>
      <c r="K826" s="209" t="s">
        <v>560</v>
      </c>
      <c r="L826" s="209" t="s">
        <v>518</v>
      </c>
      <c r="M826" s="209" t="s">
        <v>375</v>
      </c>
      <c r="N826" s="209" t="s">
        <v>375</v>
      </c>
      <c r="O826" s="232" t="s">
        <v>531</v>
      </c>
      <c r="P826" s="188"/>
      <c r="Q826" s="209" t="s">
        <v>25</v>
      </c>
      <c r="R826" s="209" t="s">
        <v>25</v>
      </c>
      <c r="S826" s="234" t="s">
        <v>25</v>
      </c>
      <c r="T826" s="209" t="s">
        <v>25</v>
      </c>
      <c r="U826" s="209" t="s">
        <v>25</v>
      </c>
      <c r="V826" s="234" t="s">
        <v>25</v>
      </c>
      <c r="W826" s="209" t="s">
        <v>25</v>
      </c>
      <c r="X826" s="209" t="s">
        <v>306</v>
      </c>
      <c r="Y826" s="234" t="s">
        <v>25</v>
      </c>
      <c r="Z826" s="209" t="s">
        <v>25</v>
      </c>
      <c r="AA826" s="209" t="s">
        <v>25</v>
      </c>
      <c r="AB826" s="234" t="s">
        <v>25</v>
      </c>
      <c r="AC826" s="235" t="s">
        <v>25</v>
      </c>
      <c r="AD826" s="209" t="s">
        <v>25</v>
      </c>
      <c r="AE826" s="209" t="s">
        <v>25</v>
      </c>
      <c r="AF826" s="234" t="s">
        <v>25</v>
      </c>
      <c r="AG826" s="209" t="s">
        <v>306</v>
      </c>
      <c r="AH826" s="209" t="s">
        <v>25</v>
      </c>
      <c r="AI826" s="234" t="s">
        <v>25</v>
      </c>
      <c r="AJ826" s="209" t="s">
        <v>306</v>
      </c>
      <c r="AK826" s="209" t="s">
        <v>306</v>
      </c>
      <c r="AL826" s="234" t="s">
        <v>306</v>
      </c>
      <c r="AM826" s="209" t="s">
        <v>19</v>
      </c>
      <c r="AN826" s="209" t="s">
        <v>306</v>
      </c>
      <c r="AO826" s="234" t="s">
        <v>306</v>
      </c>
      <c r="AP826" s="235" t="s">
        <v>306</v>
      </c>
      <c r="AQ826" s="209" t="s">
        <v>25</v>
      </c>
      <c r="AR826" s="209" t="s">
        <v>25</v>
      </c>
      <c r="AS826" s="234" t="s">
        <v>25</v>
      </c>
      <c r="AT826" s="209" t="s">
        <v>306</v>
      </c>
      <c r="AU826" s="209" t="s">
        <v>25</v>
      </c>
      <c r="AV826" s="234" t="s">
        <v>25</v>
      </c>
      <c r="AW826" s="209" t="s">
        <v>306</v>
      </c>
      <c r="AX826" s="209" t="s">
        <v>306</v>
      </c>
      <c r="AY826" s="234" t="s">
        <v>306</v>
      </c>
      <c r="AZ826" s="209" t="s">
        <v>25</v>
      </c>
      <c r="BA826" s="209" t="s">
        <v>25</v>
      </c>
      <c r="BB826" s="234" t="s">
        <v>25</v>
      </c>
      <c r="BC826" s="235" t="s">
        <v>25</v>
      </c>
      <c r="BD826" s="188"/>
    </row>
    <row r="827" spans="1:56" ht="12.75" customHeight="1" x14ac:dyDescent="0.25">
      <c r="A827" s="211">
        <v>4</v>
      </c>
      <c r="B827" s="137" t="s">
        <v>427</v>
      </c>
      <c r="C827" s="211" t="s">
        <v>595</v>
      </c>
      <c r="D827" s="211" t="s">
        <v>17</v>
      </c>
      <c r="E827" s="232" t="s">
        <v>605</v>
      </c>
      <c r="F827" s="188" t="s">
        <v>1397</v>
      </c>
      <c r="G827" s="211" t="s">
        <v>24</v>
      </c>
      <c r="H827" s="211">
        <v>15</v>
      </c>
      <c r="I827" s="188" t="s">
        <v>518</v>
      </c>
      <c r="J827" s="188" t="s">
        <v>560</v>
      </c>
      <c r="K827" s="209" t="s">
        <v>560</v>
      </c>
      <c r="L827" s="188" t="s">
        <v>518</v>
      </c>
      <c r="M827" s="188" t="s">
        <v>375</v>
      </c>
      <c r="N827" s="188"/>
      <c r="O827" s="211" t="s">
        <v>531</v>
      </c>
      <c r="P827" s="188" t="s">
        <v>640</v>
      </c>
      <c r="Q827" s="188" t="s">
        <v>25</v>
      </c>
      <c r="R827" s="188" t="s">
        <v>25</v>
      </c>
      <c r="S827" s="234" t="s">
        <v>25</v>
      </c>
      <c r="T827" s="188" t="s">
        <v>25</v>
      </c>
      <c r="U827" s="188" t="s">
        <v>25</v>
      </c>
      <c r="V827" s="234" t="s">
        <v>25</v>
      </c>
      <c r="W827" s="188" t="s">
        <v>25</v>
      </c>
      <c r="X827" s="188" t="s">
        <v>25</v>
      </c>
      <c r="Y827" s="234" t="s">
        <v>25</v>
      </c>
      <c r="Z827" s="188" t="s">
        <v>25</v>
      </c>
      <c r="AA827" s="188" t="s">
        <v>25</v>
      </c>
      <c r="AB827" s="234" t="s">
        <v>25</v>
      </c>
      <c r="AC827" s="235" t="s">
        <v>25</v>
      </c>
      <c r="AD827" s="188" t="s">
        <v>25</v>
      </c>
      <c r="AE827" s="188" t="s">
        <v>19</v>
      </c>
      <c r="AF827" s="234" t="s">
        <v>306</v>
      </c>
      <c r="AG827" s="188" t="s">
        <v>25</v>
      </c>
      <c r="AH827" s="188" t="s">
        <v>25</v>
      </c>
      <c r="AI827" s="234" t="s">
        <v>25</v>
      </c>
      <c r="AJ827" s="188" t="s">
        <v>25</v>
      </c>
      <c r="AK827" s="188" t="s">
        <v>25</v>
      </c>
      <c r="AL827" s="234" t="s">
        <v>25</v>
      </c>
      <c r="AM827" s="188" t="s">
        <v>19</v>
      </c>
      <c r="AN827" s="188" t="s">
        <v>25</v>
      </c>
      <c r="AO827" s="234" t="s">
        <v>306</v>
      </c>
      <c r="AP827" s="235" t="s">
        <v>25</v>
      </c>
      <c r="AQ827" s="188" t="s">
        <v>25</v>
      </c>
      <c r="AR827" s="188" t="s">
        <v>25</v>
      </c>
      <c r="AS827" s="234" t="s">
        <v>25</v>
      </c>
      <c r="AT827" s="188" t="s">
        <v>25</v>
      </c>
      <c r="AU827" s="188" t="s">
        <v>25</v>
      </c>
      <c r="AV827" s="234" t="s">
        <v>25</v>
      </c>
      <c r="AW827" s="188" t="s">
        <v>25</v>
      </c>
      <c r="AX827" s="188" t="s">
        <v>25</v>
      </c>
      <c r="AY827" s="234" t="s">
        <v>25</v>
      </c>
      <c r="AZ827" s="188" t="s">
        <v>25</v>
      </c>
      <c r="BA827" s="188" t="s">
        <v>25</v>
      </c>
      <c r="BB827" s="234" t="s">
        <v>25</v>
      </c>
      <c r="BC827" s="235" t="s">
        <v>25</v>
      </c>
      <c r="BD827" s="188"/>
    </row>
    <row r="828" spans="1:56" ht="12.75" customHeight="1" x14ac:dyDescent="0.25">
      <c r="A828" s="211">
        <v>13</v>
      </c>
      <c r="B828" s="137" t="s">
        <v>427</v>
      </c>
      <c r="C828" s="211" t="s">
        <v>595</v>
      </c>
      <c r="D828" s="211" t="s">
        <v>17</v>
      </c>
      <c r="E828" s="232" t="s">
        <v>605</v>
      </c>
      <c r="F828" s="188" t="s">
        <v>1398</v>
      </c>
      <c r="G828" s="211" t="s">
        <v>18</v>
      </c>
      <c r="H828" s="211">
        <v>15</v>
      </c>
      <c r="I828" s="188" t="s">
        <v>518</v>
      </c>
      <c r="J828" s="188" t="s">
        <v>560</v>
      </c>
      <c r="K828" s="209" t="s">
        <v>560</v>
      </c>
      <c r="L828" s="188" t="s">
        <v>518</v>
      </c>
      <c r="M828" s="188" t="s">
        <v>401</v>
      </c>
      <c r="N828" s="188"/>
      <c r="O828" s="211" t="s">
        <v>518</v>
      </c>
      <c r="P828" s="188" t="s">
        <v>1399</v>
      </c>
      <c r="Q828" s="188" t="s">
        <v>19</v>
      </c>
      <c r="R828" s="188" t="s">
        <v>19</v>
      </c>
      <c r="S828" s="234" t="s">
        <v>19</v>
      </c>
      <c r="T828" s="188" t="s">
        <v>19</v>
      </c>
      <c r="U828" s="188" t="s">
        <v>25</v>
      </c>
      <c r="V828" s="234" t="s">
        <v>306</v>
      </c>
      <c r="W828" s="188" t="s">
        <v>19</v>
      </c>
      <c r="X828" s="188" t="s">
        <v>19</v>
      </c>
      <c r="Y828" s="234" t="s">
        <v>19</v>
      </c>
      <c r="Z828" s="188" t="s">
        <v>25</v>
      </c>
      <c r="AA828" s="188" t="s">
        <v>25</v>
      </c>
      <c r="AB828" s="234" t="s">
        <v>25</v>
      </c>
      <c r="AC828" s="235" t="s">
        <v>306</v>
      </c>
      <c r="AD828" s="188" t="s">
        <v>19</v>
      </c>
      <c r="AE828" s="188" t="s">
        <v>25</v>
      </c>
      <c r="AF828" s="234" t="s">
        <v>306</v>
      </c>
      <c r="AG828" s="188" t="s">
        <v>19</v>
      </c>
      <c r="AH828" s="188" t="s">
        <v>19</v>
      </c>
      <c r="AI828" s="234" t="s">
        <v>19</v>
      </c>
      <c r="AJ828" s="188" t="s">
        <v>25</v>
      </c>
      <c r="AK828" s="188" t="s">
        <v>25</v>
      </c>
      <c r="AL828" s="234" t="s">
        <v>25</v>
      </c>
      <c r="AM828" s="188" t="s">
        <v>19</v>
      </c>
      <c r="AN828" s="188" t="s">
        <v>19</v>
      </c>
      <c r="AO828" s="234" t="s">
        <v>19</v>
      </c>
      <c r="AP828" s="235" t="s">
        <v>306</v>
      </c>
      <c r="AQ828" s="188" t="s">
        <v>25</v>
      </c>
      <c r="AR828" s="188" t="s">
        <v>25</v>
      </c>
      <c r="AS828" s="234" t="s">
        <v>25</v>
      </c>
      <c r="AT828" s="188" t="s">
        <v>25</v>
      </c>
      <c r="AU828" s="188" t="s">
        <v>25</v>
      </c>
      <c r="AV828" s="234" t="s">
        <v>25</v>
      </c>
      <c r="AW828" s="188" t="s">
        <v>19</v>
      </c>
      <c r="AX828" s="188" t="s">
        <v>25</v>
      </c>
      <c r="AY828" s="234" t="s">
        <v>306</v>
      </c>
      <c r="AZ828" s="188" t="s">
        <v>25</v>
      </c>
      <c r="BA828" s="188" t="s">
        <v>25</v>
      </c>
      <c r="BB828" s="234" t="s">
        <v>25</v>
      </c>
      <c r="BC828" s="235" t="s">
        <v>25</v>
      </c>
      <c r="BD828" s="188"/>
    </row>
    <row r="829" spans="1:56" ht="12.75" customHeight="1" x14ac:dyDescent="0.25">
      <c r="A829" s="211">
        <v>14</v>
      </c>
      <c r="B829" s="137" t="s">
        <v>427</v>
      </c>
      <c r="C829" s="211" t="s">
        <v>595</v>
      </c>
      <c r="D829" s="211" t="s">
        <v>17</v>
      </c>
      <c r="E829" s="232" t="s">
        <v>605</v>
      </c>
      <c r="F829" s="188" t="s">
        <v>1400</v>
      </c>
      <c r="G829" s="211" t="s">
        <v>24</v>
      </c>
      <c r="H829" s="211">
        <v>16</v>
      </c>
      <c r="I829" s="188" t="s">
        <v>518</v>
      </c>
      <c r="J829" s="188" t="s">
        <v>560</v>
      </c>
      <c r="K829" s="209" t="s">
        <v>560</v>
      </c>
      <c r="L829" s="188" t="s">
        <v>518</v>
      </c>
      <c r="M829" s="188" t="s">
        <v>375</v>
      </c>
      <c r="N829" s="188"/>
      <c r="O829" s="211" t="s">
        <v>518</v>
      </c>
      <c r="P829" s="188" t="s">
        <v>816</v>
      </c>
      <c r="Q829" s="188" t="s">
        <v>306</v>
      </c>
      <c r="R829" s="188" t="s">
        <v>306</v>
      </c>
      <c r="S829" s="234" t="s">
        <v>306</v>
      </c>
      <c r="T829" s="188" t="s">
        <v>306</v>
      </c>
      <c r="U829" s="188" t="s">
        <v>25</v>
      </c>
      <c r="V829" s="234" t="s">
        <v>25</v>
      </c>
      <c r="W829" s="188" t="s">
        <v>306</v>
      </c>
      <c r="X829" s="188" t="s">
        <v>306</v>
      </c>
      <c r="Y829" s="234" t="s">
        <v>306</v>
      </c>
      <c r="Z829" s="188" t="s">
        <v>25</v>
      </c>
      <c r="AA829" s="188" t="s">
        <v>25</v>
      </c>
      <c r="AB829" s="234" t="s">
        <v>25</v>
      </c>
      <c r="AC829" s="235" t="s">
        <v>306</v>
      </c>
      <c r="AD829" s="188" t="s">
        <v>25</v>
      </c>
      <c r="AE829" s="188" t="s">
        <v>306</v>
      </c>
      <c r="AF829" s="234" t="s">
        <v>25</v>
      </c>
      <c r="AG829" s="188" t="s">
        <v>306</v>
      </c>
      <c r="AH829" s="188" t="s">
        <v>306</v>
      </c>
      <c r="AI829" s="234" t="s">
        <v>306</v>
      </c>
      <c r="AJ829" s="188" t="s">
        <v>25</v>
      </c>
      <c r="AK829" s="188" t="s">
        <v>25</v>
      </c>
      <c r="AL829" s="234" t="s">
        <v>25</v>
      </c>
      <c r="AM829" s="188" t="s">
        <v>306</v>
      </c>
      <c r="AN829" s="188" t="s">
        <v>306</v>
      </c>
      <c r="AO829" s="234" t="s">
        <v>306</v>
      </c>
      <c r="AP829" s="235" t="s">
        <v>306</v>
      </c>
      <c r="AQ829" s="188" t="s">
        <v>25</v>
      </c>
      <c r="AR829" s="188" t="s">
        <v>25</v>
      </c>
      <c r="AS829" s="234" t="s">
        <v>25</v>
      </c>
      <c r="AT829" s="188" t="s">
        <v>25</v>
      </c>
      <c r="AU829" s="188" t="s">
        <v>25</v>
      </c>
      <c r="AV829" s="234" t="s">
        <v>25</v>
      </c>
      <c r="AW829" s="188" t="s">
        <v>306</v>
      </c>
      <c r="AX829" s="188" t="s">
        <v>25</v>
      </c>
      <c r="AY829" s="234" t="s">
        <v>25</v>
      </c>
      <c r="AZ829" s="188" t="s">
        <v>306</v>
      </c>
      <c r="BA829" s="188" t="s">
        <v>25</v>
      </c>
      <c r="BB829" s="234" t="s">
        <v>25</v>
      </c>
      <c r="BC829" s="235" t="s">
        <v>25</v>
      </c>
      <c r="BD829" s="188"/>
    </row>
    <row r="830" spans="1:56" ht="12.75" customHeight="1" x14ac:dyDescent="0.25">
      <c r="A830" s="211">
        <v>18</v>
      </c>
      <c r="B830" s="137" t="s">
        <v>427</v>
      </c>
      <c r="C830" s="211" t="s">
        <v>595</v>
      </c>
      <c r="D830" s="211" t="s">
        <v>17</v>
      </c>
      <c r="E830" s="232" t="s">
        <v>605</v>
      </c>
      <c r="F830" s="188" t="s">
        <v>1401</v>
      </c>
      <c r="G830" s="211" t="s">
        <v>18</v>
      </c>
      <c r="H830" s="211">
        <v>17</v>
      </c>
      <c r="I830" s="188" t="s">
        <v>518</v>
      </c>
      <c r="J830" s="188" t="s">
        <v>560</v>
      </c>
      <c r="K830" s="209" t="s">
        <v>560</v>
      </c>
      <c r="L830" s="188" t="s">
        <v>518</v>
      </c>
      <c r="M830" s="188" t="s">
        <v>412</v>
      </c>
      <c r="N830" s="188"/>
      <c r="O830" s="211" t="s">
        <v>531</v>
      </c>
      <c r="P830" s="188" t="s">
        <v>640</v>
      </c>
      <c r="Q830" s="188" t="s">
        <v>25</v>
      </c>
      <c r="R830" s="188" t="s">
        <v>25</v>
      </c>
      <c r="S830" s="234" t="s">
        <v>25</v>
      </c>
      <c r="T830" s="188" t="s">
        <v>19</v>
      </c>
      <c r="U830" s="188" t="s">
        <v>25</v>
      </c>
      <c r="V830" s="234" t="s">
        <v>306</v>
      </c>
      <c r="W830" s="188" t="s">
        <v>25</v>
      </c>
      <c r="X830" s="188" t="s">
        <v>25</v>
      </c>
      <c r="Y830" s="234" t="s">
        <v>25</v>
      </c>
      <c r="Z830" s="188" t="s">
        <v>306</v>
      </c>
      <c r="AA830" s="188" t="s">
        <v>19</v>
      </c>
      <c r="AB830" s="234" t="s">
        <v>306</v>
      </c>
      <c r="AC830" s="235" t="s">
        <v>306</v>
      </c>
      <c r="AD830" s="188" t="s">
        <v>306</v>
      </c>
      <c r="AE830" s="188" t="s">
        <v>19</v>
      </c>
      <c r="AF830" s="234" t="s">
        <v>306</v>
      </c>
      <c r="AG830" s="188" t="s">
        <v>25</v>
      </c>
      <c r="AH830" s="188" t="s">
        <v>25</v>
      </c>
      <c r="AI830" s="234" t="s">
        <v>25</v>
      </c>
      <c r="AJ830" s="188" t="s">
        <v>25</v>
      </c>
      <c r="AK830" s="188" t="s">
        <v>25</v>
      </c>
      <c r="AL830" s="234" t="s">
        <v>25</v>
      </c>
      <c r="AM830" s="188" t="s">
        <v>25</v>
      </c>
      <c r="AN830" s="188" t="s">
        <v>25</v>
      </c>
      <c r="AO830" s="234" t="s">
        <v>25</v>
      </c>
      <c r="AP830" s="235" t="s">
        <v>25</v>
      </c>
      <c r="AQ830" s="188" t="s">
        <v>306</v>
      </c>
      <c r="AR830" s="188" t="s">
        <v>25</v>
      </c>
      <c r="AS830" s="234" t="s">
        <v>25</v>
      </c>
      <c r="AT830" s="188" t="s">
        <v>25</v>
      </c>
      <c r="AU830" s="188" t="s">
        <v>25</v>
      </c>
      <c r="AV830" s="234" t="s">
        <v>25</v>
      </c>
      <c r="AW830" s="188" t="s">
        <v>19</v>
      </c>
      <c r="AX830" s="188" t="s">
        <v>306</v>
      </c>
      <c r="AY830" s="234" t="s">
        <v>306</v>
      </c>
      <c r="AZ830" s="188" t="s">
        <v>25</v>
      </c>
      <c r="BA830" s="188" t="s">
        <v>25</v>
      </c>
      <c r="BB830" s="234" t="s">
        <v>25</v>
      </c>
      <c r="BC830" s="235" t="s">
        <v>25</v>
      </c>
      <c r="BD830" s="188"/>
    </row>
    <row r="831" spans="1:56" ht="12.75" customHeight="1" x14ac:dyDescent="0.25">
      <c r="A831" s="211">
        <v>19</v>
      </c>
      <c r="B831" s="137" t="s">
        <v>427</v>
      </c>
      <c r="C831" s="211" t="s">
        <v>595</v>
      </c>
      <c r="D831" s="211" t="s">
        <v>17</v>
      </c>
      <c r="E831" s="232" t="s">
        <v>605</v>
      </c>
      <c r="F831" s="188" t="s">
        <v>1402</v>
      </c>
      <c r="G831" s="211" t="s">
        <v>18</v>
      </c>
      <c r="H831" s="211">
        <v>15</v>
      </c>
      <c r="I831" s="188" t="s">
        <v>518</v>
      </c>
      <c r="J831" s="188" t="s">
        <v>560</v>
      </c>
      <c r="K831" s="209" t="s">
        <v>560</v>
      </c>
      <c r="L831" s="188" t="s">
        <v>518</v>
      </c>
      <c r="M831" s="188" t="s">
        <v>412</v>
      </c>
      <c r="N831" s="188"/>
      <c r="O831" s="211" t="s">
        <v>531</v>
      </c>
      <c r="P831" s="188" t="s">
        <v>640</v>
      </c>
      <c r="Q831" s="188" t="s">
        <v>25</v>
      </c>
      <c r="R831" s="188" t="s">
        <v>25</v>
      </c>
      <c r="S831" s="234" t="s">
        <v>25</v>
      </c>
      <c r="T831" s="188" t="s">
        <v>19</v>
      </c>
      <c r="U831" s="188" t="s">
        <v>25</v>
      </c>
      <c r="V831" s="234" t="s">
        <v>306</v>
      </c>
      <c r="W831" s="188" t="s">
        <v>25</v>
      </c>
      <c r="X831" s="188" t="s">
        <v>25</v>
      </c>
      <c r="Y831" s="234" t="s">
        <v>25</v>
      </c>
      <c r="Z831" s="188" t="s">
        <v>25</v>
      </c>
      <c r="AA831" s="188" t="s">
        <v>25</v>
      </c>
      <c r="AB831" s="234" t="s">
        <v>25</v>
      </c>
      <c r="AC831" s="235" t="s">
        <v>25</v>
      </c>
      <c r="AD831" s="188" t="s">
        <v>25</v>
      </c>
      <c r="AE831" s="188" t="s">
        <v>25</v>
      </c>
      <c r="AF831" s="234" t="s">
        <v>25</v>
      </c>
      <c r="AG831" s="188" t="s">
        <v>25</v>
      </c>
      <c r="AH831" s="188" t="s">
        <v>25</v>
      </c>
      <c r="AI831" s="234" t="s">
        <v>25</v>
      </c>
      <c r="AJ831" s="188" t="s">
        <v>25</v>
      </c>
      <c r="AK831" s="188" t="s">
        <v>19</v>
      </c>
      <c r="AL831" s="234" t="s">
        <v>306</v>
      </c>
      <c r="AM831" s="188" t="s">
        <v>25</v>
      </c>
      <c r="AN831" s="188" t="s">
        <v>25</v>
      </c>
      <c r="AO831" s="234" t="s">
        <v>25</v>
      </c>
      <c r="AP831" s="235" t="s">
        <v>25</v>
      </c>
      <c r="AQ831" s="188" t="s">
        <v>25</v>
      </c>
      <c r="AR831" s="188" t="s">
        <v>25</v>
      </c>
      <c r="AS831" s="234" t="s">
        <v>25</v>
      </c>
      <c r="AT831" s="188" t="s">
        <v>25</v>
      </c>
      <c r="AU831" s="188" t="s">
        <v>25</v>
      </c>
      <c r="AV831" s="234" t="s">
        <v>25</v>
      </c>
      <c r="AW831" s="188" t="s">
        <v>25</v>
      </c>
      <c r="AX831" s="188" t="s">
        <v>25</v>
      </c>
      <c r="AY831" s="234" t="s">
        <v>25</v>
      </c>
      <c r="AZ831" s="188" t="s">
        <v>25</v>
      </c>
      <c r="BA831" s="188" t="s">
        <v>25</v>
      </c>
      <c r="BB831" s="234" t="s">
        <v>25</v>
      </c>
      <c r="BC831" s="235" t="s">
        <v>25</v>
      </c>
      <c r="BD831" s="188"/>
    </row>
    <row r="832" spans="1:56" ht="12.75" customHeight="1" x14ac:dyDescent="0.25">
      <c r="A832" s="211">
        <v>20</v>
      </c>
      <c r="B832" s="137" t="s">
        <v>427</v>
      </c>
      <c r="C832" s="211" t="s">
        <v>595</v>
      </c>
      <c r="D832" s="211" t="s">
        <v>17</v>
      </c>
      <c r="E832" s="232" t="s">
        <v>605</v>
      </c>
      <c r="F832" s="188" t="s">
        <v>1403</v>
      </c>
      <c r="G832" s="211" t="s">
        <v>24</v>
      </c>
      <c r="H832" s="211">
        <v>16</v>
      </c>
      <c r="I832" s="188" t="s">
        <v>518</v>
      </c>
      <c r="J832" s="188" t="s">
        <v>560</v>
      </c>
      <c r="K832" s="209" t="s">
        <v>560</v>
      </c>
      <c r="L832" s="188" t="s">
        <v>518</v>
      </c>
      <c r="M832" s="188" t="s">
        <v>375</v>
      </c>
      <c r="N832" s="188"/>
      <c r="O832" s="211" t="s">
        <v>531</v>
      </c>
      <c r="P832" s="188" t="s">
        <v>640</v>
      </c>
      <c r="Q832" s="188" t="s">
        <v>25</v>
      </c>
      <c r="R832" s="188" t="s">
        <v>25</v>
      </c>
      <c r="S832" s="234" t="s">
        <v>25</v>
      </c>
      <c r="T832" s="188" t="s">
        <v>25</v>
      </c>
      <c r="U832" s="188" t="s">
        <v>25</v>
      </c>
      <c r="V832" s="234" t="s">
        <v>25</v>
      </c>
      <c r="W832" s="188" t="s">
        <v>25</v>
      </c>
      <c r="X832" s="188" t="s">
        <v>306</v>
      </c>
      <c r="Y832" s="234" t="s">
        <v>25</v>
      </c>
      <c r="Z832" s="188" t="s">
        <v>25</v>
      </c>
      <c r="AA832" s="188" t="s">
        <v>25</v>
      </c>
      <c r="AB832" s="234" t="s">
        <v>25</v>
      </c>
      <c r="AC832" s="235" t="s">
        <v>25</v>
      </c>
      <c r="AD832" s="188" t="s">
        <v>25</v>
      </c>
      <c r="AE832" s="188" t="s">
        <v>306</v>
      </c>
      <c r="AF832" s="234" t="s">
        <v>25</v>
      </c>
      <c r="AG832" s="188" t="s">
        <v>25</v>
      </c>
      <c r="AH832" s="188" t="s">
        <v>25</v>
      </c>
      <c r="AI832" s="234" t="s">
        <v>25</v>
      </c>
      <c r="AJ832" s="188" t="s">
        <v>25</v>
      </c>
      <c r="AK832" s="188" t="s">
        <v>25</v>
      </c>
      <c r="AL832" s="234" t="s">
        <v>25</v>
      </c>
      <c r="AM832" s="188" t="s">
        <v>306</v>
      </c>
      <c r="AN832" s="188" t="s">
        <v>306</v>
      </c>
      <c r="AO832" s="234" t="s">
        <v>306</v>
      </c>
      <c r="AP832" s="235" t="s">
        <v>25</v>
      </c>
      <c r="AQ832" s="188" t="s">
        <v>25</v>
      </c>
      <c r="AR832" s="188" t="s">
        <v>25</v>
      </c>
      <c r="AS832" s="234" t="s">
        <v>25</v>
      </c>
      <c r="AT832" s="188" t="s">
        <v>25</v>
      </c>
      <c r="AU832" s="188" t="s">
        <v>25</v>
      </c>
      <c r="AV832" s="234" t="s">
        <v>25</v>
      </c>
      <c r="AW832" s="188" t="s">
        <v>25</v>
      </c>
      <c r="AX832" s="188" t="s">
        <v>25</v>
      </c>
      <c r="AY832" s="234" t="s">
        <v>25</v>
      </c>
      <c r="AZ832" s="188" t="s">
        <v>25</v>
      </c>
      <c r="BA832" s="188" t="s">
        <v>25</v>
      </c>
      <c r="BB832" s="234" t="s">
        <v>25</v>
      </c>
      <c r="BC832" s="235" t="s">
        <v>25</v>
      </c>
      <c r="BD832" s="188"/>
    </row>
    <row r="833" spans="1:56" ht="12.75" customHeight="1" x14ac:dyDescent="0.25">
      <c r="A833" s="211">
        <v>21</v>
      </c>
      <c r="B833" s="137" t="s">
        <v>427</v>
      </c>
      <c r="C833" s="211" t="s">
        <v>595</v>
      </c>
      <c r="D833" s="211" t="s">
        <v>17</v>
      </c>
      <c r="E833" s="232" t="s">
        <v>605</v>
      </c>
      <c r="F833" s="188" t="s">
        <v>1404</v>
      </c>
      <c r="G833" s="211" t="s">
        <v>18</v>
      </c>
      <c r="H833" s="211">
        <v>15</v>
      </c>
      <c r="I833" s="188" t="s">
        <v>518</v>
      </c>
      <c r="J833" s="188" t="s">
        <v>560</v>
      </c>
      <c r="K833" s="209" t="s">
        <v>560</v>
      </c>
      <c r="L833" s="188" t="s">
        <v>518</v>
      </c>
      <c r="M833" s="188" t="s">
        <v>375</v>
      </c>
      <c r="N833" s="188"/>
      <c r="O833" s="211" t="s">
        <v>531</v>
      </c>
      <c r="P833" s="188" t="s">
        <v>640</v>
      </c>
      <c r="Q833" s="188" t="s">
        <v>25</v>
      </c>
      <c r="R833" s="188" t="s">
        <v>25</v>
      </c>
      <c r="S833" s="234" t="s">
        <v>25</v>
      </c>
      <c r="T833" s="188" t="s">
        <v>25</v>
      </c>
      <c r="U833" s="188" t="s">
        <v>25</v>
      </c>
      <c r="V833" s="234" t="s">
        <v>25</v>
      </c>
      <c r="W833" s="188" t="s">
        <v>306</v>
      </c>
      <c r="X833" s="188" t="s">
        <v>25</v>
      </c>
      <c r="Y833" s="234" t="s">
        <v>25</v>
      </c>
      <c r="Z833" s="188" t="s">
        <v>306</v>
      </c>
      <c r="AA833" s="188" t="s">
        <v>306</v>
      </c>
      <c r="AB833" s="234" t="s">
        <v>306</v>
      </c>
      <c r="AC833" s="235" t="s">
        <v>25</v>
      </c>
      <c r="AD833" s="188" t="s">
        <v>306</v>
      </c>
      <c r="AE833" s="188" t="s">
        <v>306</v>
      </c>
      <c r="AF833" s="234" t="s">
        <v>306</v>
      </c>
      <c r="AG833" s="188" t="s">
        <v>25</v>
      </c>
      <c r="AH833" s="188" t="s">
        <v>306</v>
      </c>
      <c r="AI833" s="234" t="s">
        <v>25</v>
      </c>
      <c r="AJ833" s="188" t="s">
        <v>25</v>
      </c>
      <c r="AK833" s="188" t="s">
        <v>306</v>
      </c>
      <c r="AL833" s="234" t="s">
        <v>25</v>
      </c>
      <c r="AM833" s="188" t="s">
        <v>306</v>
      </c>
      <c r="AN833" s="188" t="s">
        <v>306</v>
      </c>
      <c r="AO833" s="234" t="s">
        <v>306</v>
      </c>
      <c r="AP833" s="235" t="s">
        <v>306</v>
      </c>
      <c r="AQ833" s="188" t="s">
        <v>306</v>
      </c>
      <c r="AR833" s="188" t="s">
        <v>25</v>
      </c>
      <c r="AS833" s="234" t="s">
        <v>25</v>
      </c>
      <c r="AT833" s="188" t="s">
        <v>25</v>
      </c>
      <c r="AU833" s="188" t="s">
        <v>25</v>
      </c>
      <c r="AV833" s="234" t="s">
        <v>25</v>
      </c>
      <c r="AW833" s="188" t="s">
        <v>306</v>
      </c>
      <c r="AX833" s="188" t="s">
        <v>25</v>
      </c>
      <c r="AY833" s="234" t="s">
        <v>25</v>
      </c>
      <c r="AZ833" s="188" t="s">
        <v>25</v>
      </c>
      <c r="BA833" s="188" t="s">
        <v>25</v>
      </c>
      <c r="BB833" s="234" t="s">
        <v>25</v>
      </c>
      <c r="BC833" s="235" t="s">
        <v>25</v>
      </c>
      <c r="BD833" s="188"/>
    </row>
    <row r="834" spans="1:56" ht="12.75" customHeight="1" x14ac:dyDescent="0.25">
      <c r="A834" s="211">
        <v>22</v>
      </c>
      <c r="B834" s="137" t="s">
        <v>427</v>
      </c>
      <c r="C834" s="211" t="s">
        <v>595</v>
      </c>
      <c r="D834" s="211" t="s">
        <v>17</v>
      </c>
      <c r="E834" s="232" t="s">
        <v>605</v>
      </c>
      <c r="F834" s="188" t="s">
        <v>1405</v>
      </c>
      <c r="G834" s="211" t="s">
        <v>18</v>
      </c>
      <c r="H834" s="211">
        <v>15</v>
      </c>
      <c r="I834" s="188" t="s">
        <v>518</v>
      </c>
      <c r="J834" s="188" t="s">
        <v>560</v>
      </c>
      <c r="K834" s="209" t="s">
        <v>560</v>
      </c>
      <c r="L834" s="188" t="s">
        <v>518</v>
      </c>
      <c r="M834" s="188" t="s">
        <v>375</v>
      </c>
      <c r="N834" s="188"/>
      <c r="O834" s="211" t="s">
        <v>531</v>
      </c>
      <c r="P834" s="188" t="s">
        <v>640</v>
      </c>
      <c r="Q834" s="188" t="s">
        <v>25</v>
      </c>
      <c r="R834" s="188" t="s">
        <v>306</v>
      </c>
      <c r="S834" s="234" t="s">
        <v>25</v>
      </c>
      <c r="T834" s="188" t="s">
        <v>25</v>
      </c>
      <c r="U834" s="188" t="s">
        <v>306</v>
      </c>
      <c r="V834" s="234" t="s">
        <v>25</v>
      </c>
      <c r="W834" s="188" t="s">
        <v>25</v>
      </c>
      <c r="X834" s="188" t="s">
        <v>25</v>
      </c>
      <c r="Y834" s="234" t="s">
        <v>25</v>
      </c>
      <c r="Z834" s="188" t="s">
        <v>25</v>
      </c>
      <c r="AA834" s="188" t="s">
        <v>25</v>
      </c>
      <c r="AB834" s="234" t="s">
        <v>25</v>
      </c>
      <c r="AC834" s="235" t="s">
        <v>25</v>
      </c>
      <c r="AD834" s="188" t="s">
        <v>19</v>
      </c>
      <c r="AE834" s="188" t="s">
        <v>25</v>
      </c>
      <c r="AF834" s="234" t="s">
        <v>306</v>
      </c>
      <c r="AG834" s="188" t="s">
        <v>19</v>
      </c>
      <c r="AH834" s="188" t="s">
        <v>25</v>
      </c>
      <c r="AI834" s="234" t="s">
        <v>306</v>
      </c>
      <c r="AJ834" s="188" t="s">
        <v>25</v>
      </c>
      <c r="AK834" s="188" t="s">
        <v>306</v>
      </c>
      <c r="AL834" s="234" t="s">
        <v>25</v>
      </c>
      <c r="AM834" s="188" t="s">
        <v>25</v>
      </c>
      <c r="AN834" s="188" t="s">
        <v>306</v>
      </c>
      <c r="AO834" s="234" t="s">
        <v>25</v>
      </c>
      <c r="AP834" s="235" t="s">
        <v>306</v>
      </c>
      <c r="AQ834" s="188" t="s">
        <v>306</v>
      </c>
      <c r="AR834" s="188" t="s">
        <v>25</v>
      </c>
      <c r="AS834" s="234" t="s">
        <v>25</v>
      </c>
      <c r="AT834" s="188" t="s">
        <v>25</v>
      </c>
      <c r="AU834" s="188" t="s">
        <v>25</v>
      </c>
      <c r="AV834" s="234" t="s">
        <v>25</v>
      </c>
      <c r="AW834" s="188" t="s">
        <v>25</v>
      </c>
      <c r="AX834" s="188" t="s">
        <v>306</v>
      </c>
      <c r="AY834" s="234" t="s">
        <v>25</v>
      </c>
      <c r="AZ834" s="188" t="s">
        <v>25</v>
      </c>
      <c r="BA834" s="188" t="s">
        <v>25</v>
      </c>
      <c r="BB834" s="234" t="s">
        <v>25</v>
      </c>
      <c r="BC834" s="235" t="s">
        <v>25</v>
      </c>
      <c r="BD834" s="188"/>
    </row>
    <row r="835" spans="1:56" ht="12.75" customHeight="1" x14ac:dyDescent="0.25">
      <c r="A835" s="211">
        <v>23</v>
      </c>
      <c r="B835" s="137" t="s">
        <v>427</v>
      </c>
      <c r="C835" s="211" t="s">
        <v>595</v>
      </c>
      <c r="D835" s="211" t="s">
        <v>17</v>
      </c>
      <c r="E835" s="232" t="s">
        <v>605</v>
      </c>
      <c r="F835" s="188" t="s">
        <v>1406</v>
      </c>
      <c r="G835" s="211" t="s">
        <v>18</v>
      </c>
      <c r="H835" s="211">
        <v>16</v>
      </c>
      <c r="I835" s="188" t="s">
        <v>518</v>
      </c>
      <c r="J835" s="188" t="s">
        <v>560</v>
      </c>
      <c r="K835" s="209" t="s">
        <v>560</v>
      </c>
      <c r="L835" s="188" t="s">
        <v>518</v>
      </c>
      <c r="M835" s="188" t="s">
        <v>401</v>
      </c>
      <c r="N835" s="188"/>
      <c r="O835" s="211" t="s">
        <v>531</v>
      </c>
      <c r="P835" s="188" t="s">
        <v>640</v>
      </c>
      <c r="Q835" s="188" t="s">
        <v>25</v>
      </c>
      <c r="R835" s="188" t="s">
        <v>25</v>
      </c>
      <c r="S835" s="234" t="s">
        <v>25</v>
      </c>
      <c r="T835" s="188" t="s">
        <v>25</v>
      </c>
      <c r="U835" s="188" t="s">
        <v>25</v>
      </c>
      <c r="V835" s="234" t="s">
        <v>25</v>
      </c>
      <c r="W835" s="188" t="s">
        <v>306</v>
      </c>
      <c r="X835" s="188" t="s">
        <v>25</v>
      </c>
      <c r="Y835" s="234" t="s">
        <v>25</v>
      </c>
      <c r="Z835" s="188" t="s">
        <v>25</v>
      </c>
      <c r="AA835" s="188" t="s">
        <v>25</v>
      </c>
      <c r="AB835" s="234" t="s">
        <v>25</v>
      </c>
      <c r="AC835" s="235" t="s">
        <v>25</v>
      </c>
      <c r="AD835" s="188" t="s">
        <v>25</v>
      </c>
      <c r="AE835" s="188" t="s">
        <v>25</v>
      </c>
      <c r="AF835" s="234" t="s">
        <v>25</v>
      </c>
      <c r="AG835" s="188" t="s">
        <v>25</v>
      </c>
      <c r="AH835" s="188" t="s">
        <v>25</v>
      </c>
      <c r="AI835" s="234" t="s">
        <v>25</v>
      </c>
      <c r="AJ835" s="188" t="s">
        <v>25</v>
      </c>
      <c r="AK835" s="188" t="s">
        <v>25</v>
      </c>
      <c r="AL835" s="234" t="s">
        <v>25</v>
      </c>
      <c r="AM835" s="188" t="s">
        <v>306</v>
      </c>
      <c r="AN835" s="188" t="s">
        <v>306</v>
      </c>
      <c r="AO835" s="234" t="s">
        <v>306</v>
      </c>
      <c r="AP835" s="235" t="s">
        <v>25</v>
      </c>
      <c r="AQ835" s="188" t="s">
        <v>25</v>
      </c>
      <c r="AR835" s="188" t="s">
        <v>25</v>
      </c>
      <c r="AS835" s="234" t="s">
        <v>25</v>
      </c>
      <c r="AT835" s="188" t="s">
        <v>25</v>
      </c>
      <c r="AU835" s="188" t="s">
        <v>25</v>
      </c>
      <c r="AV835" s="234" t="s">
        <v>25</v>
      </c>
      <c r="AW835" s="188" t="s">
        <v>25</v>
      </c>
      <c r="AX835" s="188" t="s">
        <v>25</v>
      </c>
      <c r="AY835" s="234" t="s">
        <v>25</v>
      </c>
      <c r="AZ835" s="188" t="s">
        <v>25</v>
      </c>
      <c r="BA835" s="188" t="s">
        <v>25</v>
      </c>
      <c r="BB835" s="234" t="s">
        <v>25</v>
      </c>
      <c r="BC835" s="235" t="s">
        <v>25</v>
      </c>
      <c r="BD835" s="188"/>
    </row>
    <row r="836" spans="1:56" ht="12.75" customHeight="1" x14ac:dyDescent="0.25">
      <c r="A836" s="211">
        <v>24</v>
      </c>
      <c r="B836" s="137" t="s">
        <v>427</v>
      </c>
      <c r="C836" s="211" t="s">
        <v>595</v>
      </c>
      <c r="D836" s="211" t="s">
        <v>17</v>
      </c>
      <c r="E836" s="232" t="s">
        <v>605</v>
      </c>
      <c r="F836" s="188" t="s">
        <v>1407</v>
      </c>
      <c r="G836" s="211" t="s">
        <v>18</v>
      </c>
      <c r="H836" s="211">
        <v>15</v>
      </c>
      <c r="I836" s="188" t="s">
        <v>518</v>
      </c>
      <c r="J836" s="188" t="s">
        <v>560</v>
      </c>
      <c r="K836" s="209" t="s">
        <v>560</v>
      </c>
      <c r="L836" s="188" t="s">
        <v>518</v>
      </c>
      <c r="M836" s="188" t="s">
        <v>401</v>
      </c>
      <c r="N836" s="188"/>
      <c r="O836" s="211" t="s">
        <v>531</v>
      </c>
      <c r="P836" s="188" t="s">
        <v>640</v>
      </c>
      <c r="Q836" s="188" t="s">
        <v>25</v>
      </c>
      <c r="R836" s="188" t="s">
        <v>25</v>
      </c>
      <c r="S836" s="234" t="s">
        <v>25</v>
      </c>
      <c r="T836" s="188" t="s">
        <v>25</v>
      </c>
      <c r="U836" s="188" t="s">
        <v>25</v>
      </c>
      <c r="V836" s="234" t="s">
        <v>25</v>
      </c>
      <c r="W836" s="188" t="s">
        <v>306</v>
      </c>
      <c r="X836" s="188" t="s">
        <v>306</v>
      </c>
      <c r="Y836" s="234" t="s">
        <v>306</v>
      </c>
      <c r="Z836" s="188" t="s">
        <v>306</v>
      </c>
      <c r="AA836" s="188" t="s">
        <v>306</v>
      </c>
      <c r="AB836" s="234" t="s">
        <v>306</v>
      </c>
      <c r="AC836" s="235" t="s">
        <v>25</v>
      </c>
      <c r="AD836" s="188" t="s">
        <v>25</v>
      </c>
      <c r="AE836" s="188" t="s">
        <v>306</v>
      </c>
      <c r="AF836" s="234" t="s">
        <v>25</v>
      </c>
      <c r="AG836" s="188" t="s">
        <v>25</v>
      </c>
      <c r="AH836" s="188" t="s">
        <v>25</v>
      </c>
      <c r="AI836" s="234" t="s">
        <v>25</v>
      </c>
      <c r="AJ836" s="188" t="s">
        <v>306</v>
      </c>
      <c r="AK836" s="188" t="s">
        <v>25</v>
      </c>
      <c r="AL836" s="234" t="s">
        <v>25</v>
      </c>
      <c r="AM836" s="188" t="s">
        <v>306</v>
      </c>
      <c r="AN836" s="188" t="s">
        <v>306</v>
      </c>
      <c r="AO836" s="234" t="s">
        <v>306</v>
      </c>
      <c r="AP836" s="235" t="s">
        <v>25</v>
      </c>
      <c r="AQ836" s="188" t="s">
        <v>25</v>
      </c>
      <c r="AR836" s="188" t="s">
        <v>25</v>
      </c>
      <c r="AS836" s="234" t="s">
        <v>25</v>
      </c>
      <c r="AT836" s="188" t="s">
        <v>25</v>
      </c>
      <c r="AU836" s="188" t="s">
        <v>25</v>
      </c>
      <c r="AV836" s="234" t="s">
        <v>25</v>
      </c>
      <c r="AW836" s="188" t="s">
        <v>25</v>
      </c>
      <c r="AX836" s="188" t="s">
        <v>25</v>
      </c>
      <c r="AY836" s="234" t="s">
        <v>25</v>
      </c>
      <c r="AZ836" s="188" t="s">
        <v>25</v>
      </c>
      <c r="BA836" s="188" t="s">
        <v>25</v>
      </c>
      <c r="BB836" s="234" t="s">
        <v>25</v>
      </c>
      <c r="BC836" s="235" t="s">
        <v>25</v>
      </c>
      <c r="BD836" s="188"/>
    </row>
    <row r="837" spans="1:56" ht="12.75" customHeight="1" x14ac:dyDescent="0.25">
      <c r="A837" s="238">
        <v>45257.359424988426</v>
      </c>
      <c r="B837" s="233" t="s">
        <v>304</v>
      </c>
      <c r="C837" s="209" t="s">
        <v>587</v>
      </c>
      <c r="D837" s="232" t="s">
        <v>17</v>
      </c>
      <c r="E837" s="232" t="s">
        <v>515</v>
      </c>
      <c r="F837" s="209" t="s">
        <v>1408</v>
      </c>
      <c r="G837" s="232" t="s">
        <v>18</v>
      </c>
      <c r="H837" s="232">
        <v>11</v>
      </c>
      <c r="I837" s="209" t="s">
        <v>518</v>
      </c>
      <c r="J837" s="209" t="s">
        <v>573</v>
      </c>
      <c r="K837" s="209" t="s">
        <v>573</v>
      </c>
      <c r="L837" s="209" t="s">
        <v>518</v>
      </c>
      <c r="M837" s="209" t="s">
        <v>412</v>
      </c>
      <c r="N837" s="209" t="s">
        <v>589</v>
      </c>
      <c r="O837" s="209"/>
      <c r="P837" s="209"/>
      <c r="Q837" s="209" t="s">
        <v>25</v>
      </c>
      <c r="R837" s="209" t="s">
        <v>25</v>
      </c>
      <c r="S837" s="234" t="s">
        <v>25</v>
      </c>
      <c r="T837" s="209" t="s">
        <v>19</v>
      </c>
      <c r="U837" s="209" t="s">
        <v>19</v>
      </c>
      <c r="V837" s="234" t="s">
        <v>19</v>
      </c>
      <c r="W837" s="209" t="s">
        <v>25</v>
      </c>
      <c r="X837" s="209" t="s">
        <v>25</v>
      </c>
      <c r="Y837" s="234" t="s">
        <v>25</v>
      </c>
      <c r="Z837" s="209" t="s">
        <v>25</v>
      </c>
      <c r="AA837" s="209" t="s">
        <v>25</v>
      </c>
      <c r="AB837" s="234" t="s">
        <v>25</v>
      </c>
      <c r="AC837" s="235" t="s">
        <v>25</v>
      </c>
      <c r="AD837" s="209" t="s">
        <v>25</v>
      </c>
      <c r="AE837" s="209" t="s">
        <v>25</v>
      </c>
      <c r="AF837" s="234" t="s">
        <v>25</v>
      </c>
      <c r="AG837" s="209" t="s">
        <v>19</v>
      </c>
      <c r="AH837" s="209" t="s">
        <v>19</v>
      </c>
      <c r="AI837" s="234" t="s">
        <v>19</v>
      </c>
      <c r="AJ837" s="209" t="s">
        <v>19</v>
      </c>
      <c r="AK837" s="209" t="s">
        <v>19</v>
      </c>
      <c r="AL837" s="234" t="s">
        <v>19</v>
      </c>
      <c r="AM837" s="209" t="s">
        <v>19</v>
      </c>
      <c r="AN837" s="209" t="s">
        <v>19</v>
      </c>
      <c r="AO837" s="234" t="s">
        <v>19</v>
      </c>
      <c r="AP837" s="235" t="s">
        <v>306</v>
      </c>
      <c r="AQ837" s="209" t="s">
        <v>25</v>
      </c>
      <c r="AR837" s="209" t="s">
        <v>25</v>
      </c>
      <c r="AS837" s="234" t="s">
        <v>25</v>
      </c>
      <c r="AT837" s="209" t="s">
        <v>25</v>
      </c>
      <c r="AU837" s="209" t="s">
        <v>25</v>
      </c>
      <c r="AV837" s="234" t="s">
        <v>25</v>
      </c>
      <c r="AW837" s="209" t="s">
        <v>25</v>
      </c>
      <c r="AX837" s="209" t="s">
        <v>19</v>
      </c>
      <c r="AY837" s="234" t="s">
        <v>306</v>
      </c>
      <c r="AZ837" s="209" t="s">
        <v>25</v>
      </c>
      <c r="BA837" s="209" t="s">
        <v>19</v>
      </c>
      <c r="BB837" s="234" t="s">
        <v>25</v>
      </c>
      <c r="BC837" s="235" t="s">
        <v>306</v>
      </c>
      <c r="BD837" s="188"/>
    </row>
    <row r="838" spans="1:56" ht="12.75" customHeight="1" x14ac:dyDescent="0.25">
      <c r="A838" s="238">
        <v>45257.37012472222</v>
      </c>
      <c r="B838" s="233" t="s">
        <v>304</v>
      </c>
      <c r="C838" s="209" t="s">
        <v>587</v>
      </c>
      <c r="D838" s="232" t="s">
        <v>17</v>
      </c>
      <c r="E838" s="232" t="s">
        <v>515</v>
      </c>
      <c r="F838" s="209" t="s">
        <v>1409</v>
      </c>
      <c r="G838" s="232" t="s">
        <v>18</v>
      </c>
      <c r="H838" s="232">
        <v>12</v>
      </c>
      <c r="I838" s="209" t="s">
        <v>518</v>
      </c>
      <c r="J838" s="209" t="s">
        <v>573</v>
      </c>
      <c r="K838" s="209" t="s">
        <v>573</v>
      </c>
      <c r="L838" s="209" t="s">
        <v>531</v>
      </c>
      <c r="M838" s="188"/>
      <c r="N838" s="188"/>
      <c r="O838" s="188"/>
      <c r="P838" s="188"/>
      <c r="Q838" s="209" t="s">
        <v>25</v>
      </c>
      <c r="R838" s="209" t="s">
        <v>25</v>
      </c>
      <c r="S838" s="234" t="s">
        <v>25</v>
      </c>
      <c r="T838" s="209" t="s">
        <v>306</v>
      </c>
      <c r="U838" s="209" t="s">
        <v>306</v>
      </c>
      <c r="V838" s="234" t="s">
        <v>306</v>
      </c>
      <c r="W838" s="209" t="s">
        <v>25</v>
      </c>
      <c r="X838" s="209" t="s">
        <v>306</v>
      </c>
      <c r="Y838" s="234" t="s">
        <v>25</v>
      </c>
      <c r="Z838" s="209" t="s">
        <v>25</v>
      </c>
      <c r="AA838" s="209" t="s">
        <v>306</v>
      </c>
      <c r="AB838" s="234" t="s">
        <v>25</v>
      </c>
      <c r="AC838" s="235" t="s">
        <v>25</v>
      </c>
      <c r="AD838" s="209" t="s">
        <v>306</v>
      </c>
      <c r="AE838" s="209" t="s">
        <v>306</v>
      </c>
      <c r="AF838" s="234" t="s">
        <v>306</v>
      </c>
      <c r="AG838" s="209" t="s">
        <v>25</v>
      </c>
      <c r="AH838" s="209" t="s">
        <v>306</v>
      </c>
      <c r="AI838" s="234" t="s">
        <v>25</v>
      </c>
      <c r="AJ838" s="209" t="s">
        <v>306</v>
      </c>
      <c r="AK838" s="209" t="s">
        <v>306</v>
      </c>
      <c r="AL838" s="234" t="s">
        <v>306</v>
      </c>
      <c r="AM838" s="209" t="s">
        <v>306</v>
      </c>
      <c r="AN838" s="209" t="s">
        <v>25</v>
      </c>
      <c r="AO838" s="234" t="s">
        <v>25</v>
      </c>
      <c r="AP838" s="235" t="s">
        <v>306</v>
      </c>
      <c r="AQ838" s="209" t="s">
        <v>306</v>
      </c>
      <c r="AR838" s="209" t="s">
        <v>25</v>
      </c>
      <c r="AS838" s="234" t="s">
        <v>25</v>
      </c>
      <c r="AT838" s="209" t="s">
        <v>306</v>
      </c>
      <c r="AU838" s="209" t="s">
        <v>25</v>
      </c>
      <c r="AV838" s="234" t="s">
        <v>25</v>
      </c>
      <c r="AW838" s="209" t="s">
        <v>306</v>
      </c>
      <c r="AX838" s="209" t="s">
        <v>306</v>
      </c>
      <c r="AY838" s="234" t="s">
        <v>306</v>
      </c>
      <c r="AZ838" s="209" t="s">
        <v>25</v>
      </c>
      <c r="BA838" s="209" t="s">
        <v>306</v>
      </c>
      <c r="BB838" s="234" t="s">
        <v>25</v>
      </c>
      <c r="BC838" s="235" t="s">
        <v>306</v>
      </c>
      <c r="BD838" s="188"/>
    </row>
    <row r="839" spans="1:56" ht="12.75" customHeight="1" x14ac:dyDescent="0.25">
      <c r="A839" s="238">
        <v>45257.373405983795</v>
      </c>
      <c r="B839" s="233" t="s">
        <v>304</v>
      </c>
      <c r="C839" s="209" t="s">
        <v>587</v>
      </c>
      <c r="D839" s="232" t="s">
        <v>17</v>
      </c>
      <c r="E839" s="232" t="s">
        <v>515</v>
      </c>
      <c r="F839" s="209" t="s">
        <v>1410</v>
      </c>
      <c r="G839" s="232" t="s">
        <v>18</v>
      </c>
      <c r="H839" s="232">
        <v>11</v>
      </c>
      <c r="I839" s="209" t="s">
        <v>518</v>
      </c>
      <c r="J839" s="209" t="s">
        <v>573</v>
      </c>
      <c r="K839" s="209" t="s">
        <v>573</v>
      </c>
      <c r="L839" s="209" t="s">
        <v>531</v>
      </c>
      <c r="M839" s="188"/>
      <c r="N839" s="188"/>
      <c r="O839" s="188"/>
      <c r="P839" s="188"/>
      <c r="Q839" s="209" t="s">
        <v>25</v>
      </c>
      <c r="R839" s="209" t="s">
        <v>25</v>
      </c>
      <c r="S839" s="234" t="s">
        <v>25</v>
      </c>
      <c r="T839" s="209" t="s">
        <v>25</v>
      </c>
      <c r="U839" s="209" t="s">
        <v>25</v>
      </c>
      <c r="V839" s="234" t="s">
        <v>25</v>
      </c>
      <c r="W839" s="209" t="s">
        <v>306</v>
      </c>
      <c r="X839" s="209" t="s">
        <v>25</v>
      </c>
      <c r="Y839" s="234" t="s">
        <v>25</v>
      </c>
      <c r="Z839" s="209" t="s">
        <v>25</v>
      </c>
      <c r="AA839" s="209" t="s">
        <v>306</v>
      </c>
      <c r="AB839" s="234" t="s">
        <v>25</v>
      </c>
      <c r="AC839" s="235" t="s">
        <v>25</v>
      </c>
      <c r="AD839" s="209" t="s">
        <v>25</v>
      </c>
      <c r="AE839" s="209" t="s">
        <v>306</v>
      </c>
      <c r="AF839" s="234" t="s">
        <v>25</v>
      </c>
      <c r="AG839" s="209" t="s">
        <v>25</v>
      </c>
      <c r="AH839" s="209" t="s">
        <v>25</v>
      </c>
      <c r="AI839" s="234" t="s">
        <v>25</v>
      </c>
      <c r="AJ839" s="209" t="s">
        <v>25</v>
      </c>
      <c r="AK839" s="209" t="s">
        <v>306</v>
      </c>
      <c r="AL839" s="234" t="s">
        <v>25</v>
      </c>
      <c r="AM839" s="209" t="s">
        <v>25</v>
      </c>
      <c r="AN839" s="209" t="s">
        <v>25</v>
      </c>
      <c r="AO839" s="234" t="s">
        <v>25</v>
      </c>
      <c r="AP839" s="235" t="s">
        <v>25</v>
      </c>
      <c r="AQ839" s="209" t="s">
        <v>25</v>
      </c>
      <c r="AR839" s="209" t="s">
        <v>19</v>
      </c>
      <c r="AS839" s="234" t="s">
        <v>306</v>
      </c>
      <c r="AT839" s="209" t="s">
        <v>19</v>
      </c>
      <c r="AU839" s="209" t="s">
        <v>25</v>
      </c>
      <c r="AV839" s="234" t="s">
        <v>306</v>
      </c>
      <c r="AW839" s="209" t="s">
        <v>25</v>
      </c>
      <c r="AX839" s="209" t="s">
        <v>306</v>
      </c>
      <c r="AY839" s="234" t="s">
        <v>25</v>
      </c>
      <c r="AZ839" s="209" t="s">
        <v>25</v>
      </c>
      <c r="BA839" s="209" t="s">
        <v>25</v>
      </c>
      <c r="BB839" s="234" t="s">
        <v>25</v>
      </c>
      <c r="BC839" s="235" t="s">
        <v>25</v>
      </c>
      <c r="BD839" s="188"/>
    </row>
    <row r="840" spans="1:56" ht="12.75" customHeight="1" x14ac:dyDescent="0.25">
      <c r="A840" s="238">
        <v>45257.409382164347</v>
      </c>
      <c r="B840" s="233" t="s">
        <v>304</v>
      </c>
      <c r="C840" s="209" t="s">
        <v>587</v>
      </c>
      <c r="D840" s="232" t="s">
        <v>17</v>
      </c>
      <c r="E840" s="232" t="s">
        <v>515</v>
      </c>
      <c r="F840" s="209" t="s">
        <v>1411</v>
      </c>
      <c r="G840" s="232" t="s">
        <v>18</v>
      </c>
      <c r="H840" s="232">
        <v>11</v>
      </c>
      <c r="I840" s="209" t="s">
        <v>518</v>
      </c>
      <c r="J840" s="209" t="s">
        <v>573</v>
      </c>
      <c r="K840" s="209" t="s">
        <v>573</v>
      </c>
      <c r="L840" s="209" t="s">
        <v>518</v>
      </c>
      <c r="M840" s="209" t="s">
        <v>412</v>
      </c>
      <c r="N840" s="209" t="s">
        <v>589</v>
      </c>
      <c r="O840" s="209"/>
      <c r="P840" s="209"/>
      <c r="Q840" s="209" t="s">
        <v>306</v>
      </c>
      <c r="R840" s="209" t="s">
        <v>25</v>
      </c>
      <c r="S840" s="234" t="s">
        <v>25</v>
      </c>
      <c r="T840" s="209" t="s">
        <v>19</v>
      </c>
      <c r="U840" s="209" t="s">
        <v>25</v>
      </c>
      <c r="V840" s="234" t="s">
        <v>306</v>
      </c>
      <c r="W840" s="209" t="s">
        <v>19</v>
      </c>
      <c r="X840" s="209" t="s">
        <v>25</v>
      </c>
      <c r="Y840" s="234" t="s">
        <v>306</v>
      </c>
      <c r="Z840" s="209" t="s">
        <v>25</v>
      </c>
      <c r="AA840" s="209" t="s">
        <v>19</v>
      </c>
      <c r="AB840" s="234" t="s">
        <v>306</v>
      </c>
      <c r="AC840" s="235" t="s">
        <v>306</v>
      </c>
      <c r="AD840" s="209" t="s">
        <v>25</v>
      </c>
      <c r="AE840" s="209" t="s">
        <v>306</v>
      </c>
      <c r="AF840" s="234" t="s">
        <v>25</v>
      </c>
      <c r="AG840" s="209" t="s">
        <v>25</v>
      </c>
      <c r="AH840" s="209" t="s">
        <v>306</v>
      </c>
      <c r="AI840" s="234" t="s">
        <v>25</v>
      </c>
      <c r="AJ840" s="209" t="s">
        <v>25</v>
      </c>
      <c r="AK840" s="209" t="s">
        <v>306</v>
      </c>
      <c r="AL840" s="234" t="s">
        <v>25</v>
      </c>
      <c r="AM840" s="209" t="s">
        <v>19</v>
      </c>
      <c r="AN840" s="209" t="s">
        <v>19</v>
      </c>
      <c r="AO840" s="234" t="s">
        <v>19</v>
      </c>
      <c r="AP840" s="235" t="s">
        <v>306</v>
      </c>
      <c r="AQ840" s="209" t="s">
        <v>306</v>
      </c>
      <c r="AR840" s="209" t="s">
        <v>25</v>
      </c>
      <c r="AS840" s="234" t="s">
        <v>25</v>
      </c>
      <c r="AT840" s="209" t="s">
        <v>25</v>
      </c>
      <c r="AU840" s="209" t="s">
        <v>25</v>
      </c>
      <c r="AV840" s="234" t="s">
        <v>25</v>
      </c>
      <c r="AW840" s="209" t="s">
        <v>306</v>
      </c>
      <c r="AX840" s="209" t="s">
        <v>19</v>
      </c>
      <c r="AY840" s="234" t="s">
        <v>306</v>
      </c>
      <c r="AZ840" s="209" t="s">
        <v>25</v>
      </c>
      <c r="BA840" s="209" t="s">
        <v>306</v>
      </c>
      <c r="BB840" s="234" t="s">
        <v>306</v>
      </c>
      <c r="BC840" s="235" t="s">
        <v>306</v>
      </c>
      <c r="BD840" s="188"/>
    </row>
    <row r="841" spans="1:56" ht="12.75" customHeight="1" x14ac:dyDescent="0.25">
      <c r="A841" s="238">
        <v>45257.411901620369</v>
      </c>
      <c r="B841" s="233" t="s">
        <v>304</v>
      </c>
      <c r="C841" s="209" t="s">
        <v>587</v>
      </c>
      <c r="D841" s="232" t="s">
        <v>17</v>
      </c>
      <c r="E841" s="232" t="s">
        <v>515</v>
      </c>
      <c r="F841" s="209" t="s">
        <v>1412</v>
      </c>
      <c r="G841" s="232" t="s">
        <v>18</v>
      </c>
      <c r="H841" s="232">
        <v>12</v>
      </c>
      <c r="I841" s="209" t="s">
        <v>518</v>
      </c>
      <c r="J841" s="209" t="s">
        <v>573</v>
      </c>
      <c r="K841" s="209" t="s">
        <v>573</v>
      </c>
      <c r="L841" s="209" t="s">
        <v>518</v>
      </c>
      <c r="M841" s="209" t="s">
        <v>412</v>
      </c>
      <c r="N841" s="209" t="s">
        <v>589</v>
      </c>
      <c r="O841" s="209"/>
      <c r="P841" s="209"/>
      <c r="Q841" s="209" t="s">
        <v>25</v>
      </c>
      <c r="R841" s="209" t="s">
        <v>25</v>
      </c>
      <c r="S841" s="234" t="s">
        <v>25</v>
      </c>
      <c r="T841" s="209" t="s">
        <v>306</v>
      </c>
      <c r="U841" s="209" t="s">
        <v>25</v>
      </c>
      <c r="V841" s="234" t="s">
        <v>25</v>
      </c>
      <c r="W841" s="209" t="s">
        <v>25</v>
      </c>
      <c r="X841" s="209" t="s">
        <v>306</v>
      </c>
      <c r="Y841" s="234" t="s">
        <v>25</v>
      </c>
      <c r="Z841" s="209" t="s">
        <v>25</v>
      </c>
      <c r="AA841" s="209" t="s">
        <v>306</v>
      </c>
      <c r="AB841" s="234" t="s">
        <v>25</v>
      </c>
      <c r="AC841" s="235" t="s">
        <v>25</v>
      </c>
      <c r="AD841" s="209" t="s">
        <v>306</v>
      </c>
      <c r="AE841" s="209" t="s">
        <v>25</v>
      </c>
      <c r="AF841" s="234" t="s">
        <v>25</v>
      </c>
      <c r="AG841" s="209" t="s">
        <v>25</v>
      </c>
      <c r="AH841" s="209" t="s">
        <v>19</v>
      </c>
      <c r="AI841" s="234" t="s">
        <v>306</v>
      </c>
      <c r="AJ841" s="209" t="s">
        <v>25</v>
      </c>
      <c r="AK841" s="209" t="s">
        <v>25</v>
      </c>
      <c r="AL841" s="234" t="s">
        <v>25</v>
      </c>
      <c r="AM841" s="209" t="s">
        <v>19</v>
      </c>
      <c r="AN841" s="209" t="s">
        <v>306</v>
      </c>
      <c r="AO841" s="234" t="s">
        <v>306</v>
      </c>
      <c r="AP841" s="235" t="s">
        <v>306</v>
      </c>
      <c r="AQ841" s="209" t="s">
        <v>25</v>
      </c>
      <c r="AR841" s="209" t="s">
        <v>25</v>
      </c>
      <c r="AS841" s="234" t="s">
        <v>25</v>
      </c>
      <c r="AT841" s="209" t="s">
        <v>19</v>
      </c>
      <c r="AU841" s="209" t="s">
        <v>25</v>
      </c>
      <c r="AV841" s="234" t="s">
        <v>306</v>
      </c>
      <c r="AW841" s="209" t="s">
        <v>25</v>
      </c>
      <c r="AX841" s="209" t="s">
        <v>306</v>
      </c>
      <c r="AY841" s="234" t="s">
        <v>25</v>
      </c>
      <c r="AZ841" s="209" t="s">
        <v>306</v>
      </c>
      <c r="BA841" s="209" t="s">
        <v>25</v>
      </c>
      <c r="BB841" s="234" t="s">
        <v>25</v>
      </c>
      <c r="BC841" s="235" t="s">
        <v>25</v>
      </c>
      <c r="BD841" s="188"/>
    </row>
    <row r="842" spans="1:56" ht="12.75" customHeight="1" x14ac:dyDescent="0.25">
      <c r="A842" s="238">
        <v>45257.461248761574</v>
      </c>
      <c r="B842" s="233" t="s">
        <v>304</v>
      </c>
      <c r="C842" s="209" t="s">
        <v>587</v>
      </c>
      <c r="D842" s="232" t="s">
        <v>17</v>
      </c>
      <c r="E842" s="232" t="s">
        <v>515</v>
      </c>
      <c r="F842" s="209" t="s">
        <v>1413</v>
      </c>
      <c r="G842" s="232" t="s">
        <v>24</v>
      </c>
      <c r="H842" s="232">
        <v>12</v>
      </c>
      <c r="I842" s="209" t="s">
        <v>518</v>
      </c>
      <c r="J842" s="209" t="s">
        <v>573</v>
      </c>
      <c r="K842" s="209" t="s">
        <v>573</v>
      </c>
      <c r="L842" s="209" t="s">
        <v>518</v>
      </c>
      <c r="M842" s="209" t="s">
        <v>401</v>
      </c>
      <c r="N842" s="209" t="s">
        <v>589</v>
      </c>
      <c r="O842" s="209"/>
      <c r="P842" s="209"/>
      <c r="Q842" s="209" t="s">
        <v>25</v>
      </c>
      <c r="R842" s="209" t="s">
        <v>25</v>
      </c>
      <c r="S842" s="234" t="s">
        <v>25</v>
      </c>
      <c r="T842" s="209" t="s">
        <v>306</v>
      </c>
      <c r="U842" s="209" t="s">
        <v>25</v>
      </c>
      <c r="V842" s="234" t="s">
        <v>25</v>
      </c>
      <c r="W842" s="209" t="s">
        <v>306</v>
      </c>
      <c r="X842" s="209" t="s">
        <v>306</v>
      </c>
      <c r="Y842" s="234" t="s">
        <v>306</v>
      </c>
      <c r="Z842" s="209" t="s">
        <v>25</v>
      </c>
      <c r="AA842" s="209" t="s">
        <v>306</v>
      </c>
      <c r="AB842" s="234" t="s">
        <v>25</v>
      </c>
      <c r="AC842" s="235" t="s">
        <v>25</v>
      </c>
      <c r="AD842" s="209" t="s">
        <v>25</v>
      </c>
      <c r="AE842" s="209" t="s">
        <v>25</v>
      </c>
      <c r="AF842" s="234" t="s">
        <v>25</v>
      </c>
      <c r="AG842" s="209" t="s">
        <v>25</v>
      </c>
      <c r="AH842" s="209" t="s">
        <v>306</v>
      </c>
      <c r="AI842" s="234" t="s">
        <v>25</v>
      </c>
      <c r="AJ842" s="209" t="s">
        <v>25</v>
      </c>
      <c r="AK842" s="209" t="s">
        <v>25</v>
      </c>
      <c r="AL842" s="234" t="s">
        <v>25</v>
      </c>
      <c r="AM842" s="209" t="s">
        <v>25</v>
      </c>
      <c r="AN842" s="209" t="s">
        <v>306</v>
      </c>
      <c r="AO842" s="234" t="s">
        <v>25</v>
      </c>
      <c r="AP842" s="235" t="s">
        <v>25</v>
      </c>
      <c r="AQ842" s="209" t="s">
        <v>25</v>
      </c>
      <c r="AR842" s="209" t="s">
        <v>25</v>
      </c>
      <c r="AS842" s="234" t="s">
        <v>25</v>
      </c>
      <c r="AT842" s="209" t="s">
        <v>25</v>
      </c>
      <c r="AU842" s="209" t="s">
        <v>25</v>
      </c>
      <c r="AV842" s="234" t="s">
        <v>25</v>
      </c>
      <c r="AW842" s="209" t="s">
        <v>25</v>
      </c>
      <c r="AX842" s="209" t="s">
        <v>25</v>
      </c>
      <c r="AY842" s="234" t="s">
        <v>25</v>
      </c>
      <c r="AZ842" s="209" t="s">
        <v>306</v>
      </c>
      <c r="BA842" s="209" t="s">
        <v>25</v>
      </c>
      <c r="BB842" s="234" t="s">
        <v>25</v>
      </c>
      <c r="BC842" s="235" t="s">
        <v>25</v>
      </c>
      <c r="BD842" s="188"/>
    </row>
    <row r="843" spans="1:56" ht="12.75" customHeight="1" x14ac:dyDescent="0.25">
      <c r="A843" s="238">
        <v>45257.497625995369</v>
      </c>
      <c r="B843" s="233" t="s">
        <v>304</v>
      </c>
      <c r="C843" s="209" t="s">
        <v>587</v>
      </c>
      <c r="D843" s="232" t="s">
        <v>17</v>
      </c>
      <c r="E843" s="232" t="s">
        <v>515</v>
      </c>
      <c r="F843" s="209" t="s">
        <v>1414</v>
      </c>
      <c r="G843" s="232" t="s">
        <v>18</v>
      </c>
      <c r="H843" s="232">
        <v>12</v>
      </c>
      <c r="I843" s="209" t="s">
        <v>518</v>
      </c>
      <c r="J843" s="209" t="s">
        <v>573</v>
      </c>
      <c r="K843" s="209" t="s">
        <v>573</v>
      </c>
      <c r="L843" s="209" t="s">
        <v>518</v>
      </c>
      <c r="M843" s="209" t="s">
        <v>401</v>
      </c>
      <c r="N843" s="209" t="s">
        <v>589</v>
      </c>
      <c r="O843" s="209"/>
      <c r="P843" s="209"/>
      <c r="Q843" s="209" t="s">
        <v>25</v>
      </c>
      <c r="R843" s="209" t="s">
        <v>25</v>
      </c>
      <c r="S843" s="234" t="s">
        <v>25</v>
      </c>
      <c r="T843" s="209" t="s">
        <v>306</v>
      </c>
      <c r="U843" s="209" t="s">
        <v>25</v>
      </c>
      <c r="V843" s="234" t="s">
        <v>25</v>
      </c>
      <c r="W843" s="209" t="s">
        <v>25</v>
      </c>
      <c r="X843" s="209" t="s">
        <v>306</v>
      </c>
      <c r="Y843" s="234" t="s">
        <v>25</v>
      </c>
      <c r="Z843" s="209" t="s">
        <v>306</v>
      </c>
      <c r="AA843" s="209" t="s">
        <v>306</v>
      </c>
      <c r="AB843" s="234" t="s">
        <v>306</v>
      </c>
      <c r="AC843" s="235" t="s">
        <v>25</v>
      </c>
      <c r="AD843" s="209" t="s">
        <v>19</v>
      </c>
      <c r="AE843" s="209" t="s">
        <v>306</v>
      </c>
      <c r="AF843" s="234" t="s">
        <v>306</v>
      </c>
      <c r="AG843" s="209" t="s">
        <v>25</v>
      </c>
      <c r="AH843" s="209" t="s">
        <v>306</v>
      </c>
      <c r="AI843" s="234" t="s">
        <v>25</v>
      </c>
      <c r="AJ843" s="209" t="s">
        <v>306</v>
      </c>
      <c r="AK843" s="209" t="s">
        <v>306</v>
      </c>
      <c r="AL843" s="234" t="s">
        <v>306</v>
      </c>
      <c r="AM843" s="209" t="s">
        <v>25</v>
      </c>
      <c r="AN843" s="209" t="s">
        <v>306</v>
      </c>
      <c r="AO843" s="234" t="s">
        <v>25</v>
      </c>
      <c r="AP843" s="235" t="s">
        <v>306</v>
      </c>
      <c r="AQ843" s="209" t="s">
        <v>25</v>
      </c>
      <c r="AR843" s="209" t="s">
        <v>306</v>
      </c>
      <c r="AS843" s="234" t="s">
        <v>25</v>
      </c>
      <c r="AT843" s="209" t="s">
        <v>306</v>
      </c>
      <c r="AU843" s="209" t="s">
        <v>25</v>
      </c>
      <c r="AV843" s="234" t="s">
        <v>25</v>
      </c>
      <c r="AW843" s="209" t="s">
        <v>25</v>
      </c>
      <c r="AX843" s="209" t="s">
        <v>306</v>
      </c>
      <c r="AY843" s="234" t="s">
        <v>25</v>
      </c>
      <c r="AZ843" s="209" t="s">
        <v>25</v>
      </c>
      <c r="BA843" s="209" t="s">
        <v>306</v>
      </c>
      <c r="BB843" s="234" t="s">
        <v>25</v>
      </c>
      <c r="BC843" s="235" t="s">
        <v>25</v>
      </c>
      <c r="BD843" s="188"/>
    </row>
    <row r="844" spans="1:56" ht="12.75" customHeight="1" x14ac:dyDescent="0.25">
      <c r="A844" s="238">
        <v>44797.458303912033</v>
      </c>
      <c r="B844" s="137" t="s">
        <v>304</v>
      </c>
      <c r="C844" s="211" t="s">
        <v>595</v>
      </c>
      <c r="D844" s="211" t="s">
        <v>17</v>
      </c>
      <c r="E844" s="232" t="s">
        <v>515</v>
      </c>
      <c r="F844" s="188" t="s">
        <v>1415</v>
      </c>
      <c r="G844" s="211" t="s">
        <v>18</v>
      </c>
      <c r="H844" s="211">
        <v>11</v>
      </c>
      <c r="I844" s="188" t="s">
        <v>518</v>
      </c>
      <c r="J844" s="188" t="s">
        <v>573</v>
      </c>
      <c r="K844" s="209" t="s">
        <v>573</v>
      </c>
      <c r="L844" s="188" t="s">
        <v>518</v>
      </c>
      <c r="M844" s="188" t="s">
        <v>375</v>
      </c>
      <c r="N844" s="188"/>
      <c r="O844" s="188"/>
      <c r="P844" s="188"/>
      <c r="Q844" s="188" t="s">
        <v>306</v>
      </c>
      <c r="R844" s="188" t="s">
        <v>25</v>
      </c>
      <c r="S844" s="234" t="s">
        <v>25</v>
      </c>
      <c r="T844" s="188" t="s">
        <v>19</v>
      </c>
      <c r="U844" s="188" t="s">
        <v>25</v>
      </c>
      <c r="V844" s="234" t="s">
        <v>306</v>
      </c>
      <c r="W844" s="188" t="s">
        <v>25</v>
      </c>
      <c r="X844" s="188" t="s">
        <v>25</v>
      </c>
      <c r="Y844" s="234" t="s">
        <v>25</v>
      </c>
      <c r="Z844" s="188" t="s">
        <v>25</v>
      </c>
      <c r="AA844" s="188" t="s">
        <v>25</v>
      </c>
      <c r="AB844" s="234" t="s">
        <v>25</v>
      </c>
      <c r="AC844" s="235" t="s">
        <v>25</v>
      </c>
      <c r="AD844" s="188" t="s">
        <v>306</v>
      </c>
      <c r="AE844" s="188" t="s">
        <v>25</v>
      </c>
      <c r="AF844" s="234" t="s">
        <v>25</v>
      </c>
      <c r="AG844" s="188" t="s">
        <v>306</v>
      </c>
      <c r="AH844" s="188" t="s">
        <v>19</v>
      </c>
      <c r="AI844" s="234" t="s">
        <v>306</v>
      </c>
      <c r="AJ844" s="188" t="s">
        <v>306</v>
      </c>
      <c r="AK844" s="188" t="s">
        <v>19</v>
      </c>
      <c r="AL844" s="234" t="s">
        <v>306</v>
      </c>
      <c r="AM844" s="188" t="s">
        <v>19</v>
      </c>
      <c r="AN844" s="188" t="s">
        <v>306</v>
      </c>
      <c r="AO844" s="234" t="s">
        <v>306</v>
      </c>
      <c r="AP844" s="235" t="s">
        <v>306</v>
      </c>
      <c r="AQ844" s="188" t="s">
        <v>25</v>
      </c>
      <c r="AR844" s="188" t="s">
        <v>25</v>
      </c>
      <c r="AS844" s="234" t="s">
        <v>25</v>
      </c>
      <c r="AT844" s="188" t="s">
        <v>306</v>
      </c>
      <c r="AU844" s="188" t="s">
        <v>25</v>
      </c>
      <c r="AV844" s="234" t="s">
        <v>25</v>
      </c>
      <c r="AW844" s="188" t="s">
        <v>19</v>
      </c>
      <c r="AX844" s="188" t="s">
        <v>306</v>
      </c>
      <c r="AY844" s="234" t="s">
        <v>306</v>
      </c>
      <c r="AZ844" s="188" t="s">
        <v>306</v>
      </c>
      <c r="BA844" s="188" t="s">
        <v>19</v>
      </c>
      <c r="BB844" s="234" t="s">
        <v>19</v>
      </c>
      <c r="BC844" s="235" t="s">
        <v>306</v>
      </c>
      <c r="BD844" s="188"/>
    </row>
    <row r="845" spans="1:56" ht="12.75" customHeight="1" x14ac:dyDescent="0.25">
      <c r="A845" s="238">
        <v>44797.621390081018</v>
      </c>
      <c r="B845" s="137" t="s">
        <v>304</v>
      </c>
      <c r="C845" s="211" t="s">
        <v>595</v>
      </c>
      <c r="D845" s="211" t="s">
        <v>17</v>
      </c>
      <c r="E845" s="232" t="s">
        <v>515</v>
      </c>
      <c r="F845" s="188" t="s">
        <v>1416</v>
      </c>
      <c r="G845" s="211" t="s">
        <v>18</v>
      </c>
      <c r="H845" s="211">
        <v>11</v>
      </c>
      <c r="I845" s="188" t="s">
        <v>518</v>
      </c>
      <c r="J845" s="188" t="s">
        <v>573</v>
      </c>
      <c r="K845" s="209" t="s">
        <v>573</v>
      </c>
      <c r="L845" s="188" t="s">
        <v>518</v>
      </c>
      <c r="M845" s="188" t="s">
        <v>401</v>
      </c>
      <c r="N845" s="188"/>
      <c r="O845" s="188"/>
      <c r="P845" s="188"/>
      <c r="Q845" s="188" t="s">
        <v>25</v>
      </c>
      <c r="R845" s="188" t="s">
        <v>25</v>
      </c>
      <c r="S845" s="234" t="s">
        <v>25</v>
      </c>
      <c r="T845" s="188" t="s">
        <v>19</v>
      </c>
      <c r="U845" s="188" t="s">
        <v>25</v>
      </c>
      <c r="V845" s="234" t="s">
        <v>306</v>
      </c>
      <c r="W845" s="188" t="s">
        <v>19</v>
      </c>
      <c r="X845" s="188" t="s">
        <v>19</v>
      </c>
      <c r="Y845" s="234" t="s">
        <v>19</v>
      </c>
      <c r="Z845" s="188" t="s">
        <v>25</v>
      </c>
      <c r="AA845" s="188" t="s">
        <v>306</v>
      </c>
      <c r="AB845" s="234" t="s">
        <v>25</v>
      </c>
      <c r="AC845" s="235" t="s">
        <v>306</v>
      </c>
      <c r="AD845" s="188" t="s">
        <v>25</v>
      </c>
      <c r="AE845" s="188" t="s">
        <v>19</v>
      </c>
      <c r="AF845" s="234" t="s">
        <v>306</v>
      </c>
      <c r="AG845" s="188" t="s">
        <v>19</v>
      </c>
      <c r="AH845" s="188" t="s">
        <v>306</v>
      </c>
      <c r="AI845" s="234" t="s">
        <v>306</v>
      </c>
      <c r="AJ845" s="188" t="s">
        <v>19</v>
      </c>
      <c r="AK845" s="188" t="s">
        <v>19</v>
      </c>
      <c r="AL845" s="234" t="s">
        <v>19</v>
      </c>
      <c r="AM845" s="188" t="s">
        <v>19</v>
      </c>
      <c r="AN845" s="188" t="s">
        <v>19</v>
      </c>
      <c r="AO845" s="234" t="s">
        <v>19</v>
      </c>
      <c r="AP845" s="235" t="s">
        <v>19</v>
      </c>
      <c r="AQ845" s="188" t="s">
        <v>25</v>
      </c>
      <c r="AR845" s="188" t="s">
        <v>25</v>
      </c>
      <c r="AS845" s="234" t="s">
        <v>25</v>
      </c>
      <c r="AT845" s="188" t="s">
        <v>25</v>
      </c>
      <c r="AU845" s="188" t="s">
        <v>25</v>
      </c>
      <c r="AV845" s="234" t="s">
        <v>25</v>
      </c>
      <c r="AW845" s="188" t="s">
        <v>25</v>
      </c>
      <c r="AX845" s="188" t="s">
        <v>19</v>
      </c>
      <c r="AY845" s="234" t="s">
        <v>306</v>
      </c>
      <c r="AZ845" s="188" t="s">
        <v>25</v>
      </c>
      <c r="BA845" s="188" t="s">
        <v>25</v>
      </c>
      <c r="BB845" s="234" t="s">
        <v>25</v>
      </c>
      <c r="BC845" s="235" t="s">
        <v>25</v>
      </c>
      <c r="BD845" s="188"/>
    </row>
    <row r="846" spans="1:56" ht="12.75" customHeight="1" x14ac:dyDescent="0.25">
      <c r="A846" s="238">
        <v>44797.624424710652</v>
      </c>
      <c r="B846" s="137" t="s">
        <v>304</v>
      </c>
      <c r="C846" s="211" t="s">
        <v>595</v>
      </c>
      <c r="D846" s="211" t="s">
        <v>17</v>
      </c>
      <c r="E846" s="232" t="s">
        <v>515</v>
      </c>
      <c r="F846" s="188" t="s">
        <v>1417</v>
      </c>
      <c r="G846" s="211" t="s">
        <v>24</v>
      </c>
      <c r="H846" s="211">
        <v>12</v>
      </c>
      <c r="I846" s="188" t="s">
        <v>518</v>
      </c>
      <c r="J846" s="188" t="s">
        <v>573</v>
      </c>
      <c r="K846" s="209" t="s">
        <v>573</v>
      </c>
      <c r="L846" s="188" t="s">
        <v>518</v>
      </c>
      <c r="M846" s="188" t="s">
        <v>412</v>
      </c>
      <c r="N846" s="188"/>
      <c r="O846" s="188"/>
      <c r="P846" s="188"/>
      <c r="Q846" s="188" t="s">
        <v>25</v>
      </c>
      <c r="R846" s="188" t="s">
        <v>306</v>
      </c>
      <c r="S846" s="234" t="s">
        <v>25</v>
      </c>
      <c r="T846" s="188" t="s">
        <v>306</v>
      </c>
      <c r="U846" s="188" t="s">
        <v>306</v>
      </c>
      <c r="V846" s="234" t="s">
        <v>306</v>
      </c>
      <c r="W846" s="188" t="s">
        <v>19</v>
      </c>
      <c r="X846" s="188" t="s">
        <v>25</v>
      </c>
      <c r="Y846" s="234" t="s">
        <v>306</v>
      </c>
      <c r="Z846" s="188" t="s">
        <v>25</v>
      </c>
      <c r="AA846" s="188" t="s">
        <v>25</v>
      </c>
      <c r="AB846" s="234" t="s">
        <v>25</v>
      </c>
      <c r="AC846" s="235" t="s">
        <v>306</v>
      </c>
      <c r="AD846" s="188" t="s">
        <v>25</v>
      </c>
      <c r="AE846" s="188" t="s">
        <v>306</v>
      </c>
      <c r="AF846" s="234" t="s">
        <v>25</v>
      </c>
      <c r="AG846" s="188" t="s">
        <v>25</v>
      </c>
      <c r="AH846" s="188" t="s">
        <v>25</v>
      </c>
      <c r="AI846" s="234" t="s">
        <v>25</v>
      </c>
      <c r="AJ846" s="188" t="s">
        <v>25</v>
      </c>
      <c r="AK846" s="188" t="s">
        <v>25</v>
      </c>
      <c r="AL846" s="234" t="s">
        <v>25</v>
      </c>
      <c r="AM846" s="188" t="s">
        <v>25</v>
      </c>
      <c r="AN846" s="188" t="s">
        <v>25</v>
      </c>
      <c r="AO846" s="234" t="s">
        <v>25</v>
      </c>
      <c r="AP846" s="235" t="s">
        <v>25</v>
      </c>
      <c r="AQ846" s="188" t="s">
        <v>25</v>
      </c>
      <c r="AR846" s="188" t="s">
        <v>25</v>
      </c>
      <c r="AS846" s="234" t="s">
        <v>25</v>
      </c>
      <c r="AT846" s="188" t="s">
        <v>25</v>
      </c>
      <c r="AU846" s="188" t="s">
        <v>19</v>
      </c>
      <c r="AV846" s="234" t="s">
        <v>306</v>
      </c>
      <c r="AW846" s="188" t="s">
        <v>25</v>
      </c>
      <c r="AX846" s="188" t="s">
        <v>306</v>
      </c>
      <c r="AY846" s="234" t="s">
        <v>25</v>
      </c>
      <c r="AZ846" s="188" t="s">
        <v>306</v>
      </c>
      <c r="BA846" s="188" t="s">
        <v>306</v>
      </c>
      <c r="BB846" s="234" t="s">
        <v>25</v>
      </c>
      <c r="BC846" s="235" t="s">
        <v>25</v>
      </c>
      <c r="BD846" s="188"/>
    </row>
    <row r="847" spans="1:56" ht="12.75" customHeight="1" x14ac:dyDescent="0.25">
      <c r="A847" s="238">
        <v>44797.639305405093</v>
      </c>
      <c r="B847" s="137" t="s">
        <v>304</v>
      </c>
      <c r="C847" s="211" t="s">
        <v>595</v>
      </c>
      <c r="D847" s="211" t="s">
        <v>17</v>
      </c>
      <c r="E847" s="232" t="s">
        <v>515</v>
      </c>
      <c r="F847" s="188" t="s">
        <v>1418</v>
      </c>
      <c r="G847" s="211" t="s">
        <v>24</v>
      </c>
      <c r="H847" s="211">
        <v>12</v>
      </c>
      <c r="I847" s="188" t="s">
        <v>518</v>
      </c>
      <c r="J847" s="188" t="s">
        <v>573</v>
      </c>
      <c r="K847" s="209" t="s">
        <v>573</v>
      </c>
      <c r="L847" s="188" t="s">
        <v>518</v>
      </c>
      <c r="M847" s="188" t="s">
        <v>368</v>
      </c>
      <c r="N847" s="188"/>
      <c r="O847" s="188"/>
      <c r="P847" s="188"/>
      <c r="Q847" s="188" t="s">
        <v>25</v>
      </c>
      <c r="R847" s="188" t="s">
        <v>25</v>
      </c>
      <c r="S847" s="234" t="s">
        <v>25</v>
      </c>
      <c r="T847" s="188" t="s">
        <v>25</v>
      </c>
      <c r="U847" s="188" t="s">
        <v>25</v>
      </c>
      <c r="V847" s="234" t="s">
        <v>25</v>
      </c>
      <c r="W847" s="188" t="s">
        <v>306</v>
      </c>
      <c r="X847" s="188" t="s">
        <v>19</v>
      </c>
      <c r="Y847" s="234" t="s">
        <v>306</v>
      </c>
      <c r="Z847" s="188" t="s">
        <v>19</v>
      </c>
      <c r="AA847" s="188" t="s">
        <v>19</v>
      </c>
      <c r="AB847" s="234" t="s">
        <v>19</v>
      </c>
      <c r="AC847" s="235" t="s">
        <v>306</v>
      </c>
      <c r="AD847" s="188" t="s">
        <v>19</v>
      </c>
      <c r="AE847" s="188" t="s">
        <v>19</v>
      </c>
      <c r="AF847" s="234" t="s">
        <v>19</v>
      </c>
      <c r="AG847" s="188" t="s">
        <v>306</v>
      </c>
      <c r="AH847" s="188" t="s">
        <v>19</v>
      </c>
      <c r="AI847" s="234" t="s">
        <v>306</v>
      </c>
      <c r="AJ847" s="188" t="s">
        <v>19</v>
      </c>
      <c r="AK847" s="188" t="s">
        <v>19</v>
      </c>
      <c r="AL847" s="234" t="s">
        <v>19</v>
      </c>
      <c r="AM847" s="188" t="s">
        <v>19</v>
      </c>
      <c r="AN847" s="188" t="s">
        <v>25</v>
      </c>
      <c r="AO847" s="234" t="s">
        <v>306</v>
      </c>
      <c r="AP847" s="235" t="s">
        <v>19</v>
      </c>
      <c r="AQ847" s="188" t="s">
        <v>306</v>
      </c>
      <c r="AR847" s="188" t="s">
        <v>19</v>
      </c>
      <c r="AS847" s="234" t="s">
        <v>306</v>
      </c>
      <c r="AT847" s="188" t="s">
        <v>25</v>
      </c>
      <c r="AU847" s="188" t="s">
        <v>19</v>
      </c>
      <c r="AV847" s="234" t="s">
        <v>306</v>
      </c>
      <c r="AW847" s="188" t="s">
        <v>19</v>
      </c>
      <c r="AX847" s="188" t="s">
        <v>19</v>
      </c>
      <c r="AY847" s="234" t="s">
        <v>19</v>
      </c>
      <c r="AZ847" s="188" t="s">
        <v>19</v>
      </c>
      <c r="BA847" s="188" t="s">
        <v>25</v>
      </c>
      <c r="BB847" s="234" t="s">
        <v>25</v>
      </c>
      <c r="BC847" s="235" t="s">
        <v>25</v>
      </c>
      <c r="BD847" s="188"/>
    </row>
    <row r="848" spans="1:56" ht="12.75" customHeight="1" x14ac:dyDescent="0.25">
      <c r="A848" s="238">
        <v>44797.785369039353</v>
      </c>
      <c r="B848" s="137" t="s">
        <v>304</v>
      </c>
      <c r="C848" s="211" t="s">
        <v>595</v>
      </c>
      <c r="D848" s="211" t="s">
        <v>17</v>
      </c>
      <c r="E848" s="232" t="s">
        <v>515</v>
      </c>
      <c r="F848" s="188" t="s">
        <v>1419</v>
      </c>
      <c r="G848" s="211" t="s">
        <v>24</v>
      </c>
      <c r="H848" s="211">
        <v>12</v>
      </c>
      <c r="I848" s="188" t="s">
        <v>518</v>
      </c>
      <c r="J848" s="188" t="s">
        <v>573</v>
      </c>
      <c r="K848" s="209" t="s">
        <v>573</v>
      </c>
      <c r="L848" s="188" t="s">
        <v>518</v>
      </c>
      <c r="M848" s="188" t="s">
        <v>389</v>
      </c>
      <c r="N848" s="188"/>
      <c r="O848" s="188"/>
      <c r="P848" s="188"/>
      <c r="Q848" s="188" t="s">
        <v>25</v>
      </c>
      <c r="R848" s="188" t="s">
        <v>25</v>
      </c>
      <c r="S848" s="234" t="s">
        <v>25</v>
      </c>
      <c r="T848" s="188" t="s">
        <v>306</v>
      </c>
      <c r="U848" s="188" t="s">
        <v>25</v>
      </c>
      <c r="V848" s="234" t="s">
        <v>25</v>
      </c>
      <c r="W848" s="188" t="s">
        <v>25</v>
      </c>
      <c r="X848" s="188" t="s">
        <v>19</v>
      </c>
      <c r="Y848" s="234" t="s">
        <v>306</v>
      </c>
      <c r="Z848" s="188" t="s">
        <v>25</v>
      </c>
      <c r="AA848" s="188" t="s">
        <v>306</v>
      </c>
      <c r="AB848" s="234" t="s">
        <v>25</v>
      </c>
      <c r="AC848" s="235" t="s">
        <v>25</v>
      </c>
      <c r="AD848" s="188" t="s">
        <v>306</v>
      </c>
      <c r="AE848" s="188" t="s">
        <v>306</v>
      </c>
      <c r="AF848" s="234" t="s">
        <v>306</v>
      </c>
      <c r="AG848" s="188" t="s">
        <v>306</v>
      </c>
      <c r="AH848" s="188" t="s">
        <v>25</v>
      </c>
      <c r="AI848" s="234" t="s">
        <v>25</v>
      </c>
      <c r="AJ848" s="188" t="s">
        <v>19</v>
      </c>
      <c r="AK848" s="188" t="s">
        <v>306</v>
      </c>
      <c r="AL848" s="234" t="s">
        <v>306</v>
      </c>
      <c r="AM848" s="188" t="s">
        <v>306</v>
      </c>
      <c r="AN848" s="188" t="s">
        <v>19</v>
      </c>
      <c r="AO848" s="234" t="s">
        <v>306</v>
      </c>
      <c r="AP848" s="235" t="s">
        <v>306</v>
      </c>
      <c r="AQ848" s="188" t="s">
        <v>306</v>
      </c>
      <c r="AR848" s="188" t="s">
        <v>306</v>
      </c>
      <c r="AS848" s="234" t="s">
        <v>306</v>
      </c>
      <c r="AT848" s="188" t="s">
        <v>25</v>
      </c>
      <c r="AU848" s="188" t="s">
        <v>25</v>
      </c>
      <c r="AV848" s="234" t="s">
        <v>25</v>
      </c>
      <c r="AW848" s="188" t="s">
        <v>306</v>
      </c>
      <c r="AX848" s="188" t="s">
        <v>25</v>
      </c>
      <c r="AY848" s="234" t="s">
        <v>25</v>
      </c>
      <c r="AZ848" s="188" t="s">
        <v>25</v>
      </c>
      <c r="BA848" s="188" t="s">
        <v>306</v>
      </c>
      <c r="BB848" s="234" t="s">
        <v>25</v>
      </c>
      <c r="BC848" s="235" t="s">
        <v>25</v>
      </c>
      <c r="BD848" s="188"/>
    </row>
    <row r="849" spans="1:56" ht="12.75" customHeight="1" x14ac:dyDescent="0.25">
      <c r="A849" s="238">
        <v>44797.815453136573</v>
      </c>
      <c r="B849" s="137" t="s">
        <v>304</v>
      </c>
      <c r="C849" s="211" t="s">
        <v>595</v>
      </c>
      <c r="D849" s="211" t="s">
        <v>17</v>
      </c>
      <c r="E849" s="232" t="s">
        <v>515</v>
      </c>
      <c r="F849" s="188" t="s">
        <v>1420</v>
      </c>
      <c r="G849" s="211" t="s">
        <v>24</v>
      </c>
      <c r="H849" s="211">
        <v>12</v>
      </c>
      <c r="I849" s="188" t="s">
        <v>518</v>
      </c>
      <c r="J849" s="188" t="s">
        <v>573</v>
      </c>
      <c r="K849" s="209" t="s">
        <v>573</v>
      </c>
      <c r="L849" s="188" t="s">
        <v>518</v>
      </c>
      <c r="M849" s="188" t="s">
        <v>412</v>
      </c>
      <c r="N849" s="188"/>
      <c r="O849" s="188"/>
      <c r="P849" s="188"/>
      <c r="Q849" s="188" t="s">
        <v>25</v>
      </c>
      <c r="R849" s="188" t="s">
        <v>306</v>
      </c>
      <c r="S849" s="234" t="s">
        <v>25</v>
      </c>
      <c r="T849" s="188" t="s">
        <v>19</v>
      </c>
      <c r="U849" s="188" t="s">
        <v>25</v>
      </c>
      <c r="V849" s="234" t="s">
        <v>306</v>
      </c>
      <c r="W849" s="188" t="s">
        <v>19</v>
      </c>
      <c r="X849" s="188" t="s">
        <v>19</v>
      </c>
      <c r="Y849" s="234" t="s">
        <v>19</v>
      </c>
      <c r="Z849" s="188" t="s">
        <v>306</v>
      </c>
      <c r="AA849" s="188" t="s">
        <v>306</v>
      </c>
      <c r="AB849" s="234" t="s">
        <v>306</v>
      </c>
      <c r="AC849" s="235" t="s">
        <v>306</v>
      </c>
      <c r="AD849" s="188" t="s">
        <v>306</v>
      </c>
      <c r="AE849" s="188" t="s">
        <v>25</v>
      </c>
      <c r="AF849" s="234" t="s">
        <v>25</v>
      </c>
      <c r="AG849" s="188" t="s">
        <v>19</v>
      </c>
      <c r="AH849" s="188" t="s">
        <v>19</v>
      </c>
      <c r="AI849" s="234" t="s">
        <v>19</v>
      </c>
      <c r="AJ849" s="188" t="s">
        <v>306</v>
      </c>
      <c r="AK849" s="188" t="s">
        <v>19</v>
      </c>
      <c r="AL849" s="234" t="s">
        <v>306</v>
      </c>
      <c r="AM849" s="188" t="s">
        <v>19</v>
      </c>
      <c r="AN849" s="188" t="s">
        <v>19</v>
      </c>
      <c r="AO849" s="234" t="s">
        <v>19</v>
      </c>
      <c r="AP849" s="235" t="s">
        <v>306</v>
      </c>
      <c r="AQ849" s="188" t="s">
        <v>25</v>
      </c>
      <c r="AR849" s="188" t="s">
        <v>306</v>
      </c>
      <c r="AS849" s="234" t="s">
        <v>25</v>
      </c>
      <c r="AT849" s="188" t="s">
        <v>25</v>
      </c>
      <c r="AU849" s="188" t="s">
        <v>25</v>
      </c>
      <c r="AV849" s="234" t="s">
        <v>25</v>
      </c>
      <c r="AW849" s="188" t="s">
        <v>25</v>
      </c>
      <c r="AX849" s="188" t="s">
        <v>306</v>
      </c>
      <c r="AY849" s="234" t="s">
        <v>25</v>
      </c>
      <c r="AZ849" s="188" t="s">
        <v>25</v>
      </c>
      <c r="BA849" s="188" t="s">
        <v>25</v>
      </c>
      <c r="BB849" s="234" t="s">
        <v>306</v>
      </c>
      <c r="BC849" s="235" t="s">
        <v>25</v>
      </c>
      <c r="BD849" s="188"/>
    </row>
    <row r="850" spans="1:56" ht="12.75" customHeight="1" x14ac:dyDescent="0.25">
      <c r="A850" s="238">
        <v>44797.956202384259</v>
      </c>
      <c r="B850" s="137" t="s">
        <v>304</v>
      </c>
      <c r="C850" s="211" t="s">
        <v>595</v>
      </c>
      <c r="D850" s="211" t="s">
        <v>17</v>
      </c>
      <c r="E850" s="232" t="s">
        <v>515</v>
      </c>
      <c r="F850" s="188" t="s">
        <v>572</v>
      </c>
      <c r="G850" s="211" t="s">
        <v>18</v>
      </c>
      <c r="H850" s="211">
        <v>12</v>
      </c>
      <c r="I850" s="188" t="s">
        <v>518</v>
      </c>
      <c r="J850" s="188" t="s">
        <v>573</v>
      </c>
      <c r="K850" s="209" t="s">
        <v>573</v>
      </c>
      <c r="L850" s="188" t="s">
        <v>518</v>
      </c>
      <c r="M850" s="188" t="s">
        <v>401</v>
      </c>
      <c r="N850" s="188"/>
      <c r="O850" s="188"/>
      <c r="P850" s="188"/>
      <c r="Q850" s="188" t="s">
        <v>306</v>
      </c>
      <c r="R850" s="188" t="s">
        <v>19</v>
      </c>
      <c r="S850" s="234" t="s">
        <v>306</v>
      </c>
      <c r="T850" s="188" t="s">
        <v>25</v>
      </c>
      <c r="U850" s="188" t="s">
        <v>306</v>
      </c>
      <c r="V850" s="234" t="s">
        <v>25</v>
      </c>
      <c r="W850" s="188" t="s">
        <v>306</v>
      </c>
      <c r="X850" s="188" t="s">
        <v>306</v>
      </c>
      <c r="Y850" s="234" t="s">
        <v>306</v>
      </c>
      <c r="Z850" s="188" t="s">
        <v>25</v>
      </c>
      <c r="AA850" s="188" t="s">
        <v>306</v>
      </c>
      <c r="AB850" s="234" t="s">
        <v>25</v>
      </c>
      <c r="AC850" s="235" t="s">
        <v>306</v>
      </c>
      <c r="AD850" s="188" t="s">
        <v>306</v>
      </c>
      <c r="AE850" s="188" t="s">
        <v>25</v>
      </c>
      <c r="AF850" s="234" t="s">
        <v>25</v>
      </c>
      <c r="AG850" s="188" t="s">
        <v>306</v>
      </c>
      <c r="AH850" s="188" t="s">
        <v>306</v>
      </c>
      <c r="AI850" s="234" t="s">
        <v>306</v>
      </c>
      <c r="AJ850" s="188" t="s">
        <v>25</v>
      </c>
      <c r="AK850" s="188" t="s">
        <v>19</v>
      </c>
      <c r="AL850" s="234" t="s">
        <v>306</v>
      </c>
      <c r="AM850" s="188" t="s">
        <v>19</v>
      </c>
      <c r="AN850" s="188" t="s">
        <v>306</v>
      </c>
      <c r="AO850" s="234" t="s">
        <v>306</v>
      </c>
      <c r="AP850" s="235" t="s">
        <v>306</v>
      </c>
      <c r="AQ850" s="188" t="s">
        <v>25</v>
      </c>
      <c r="AR850" s="188" t="s">
        <v>25</v>
      </c>
      <c r="AS850" s="234" t="s">
        <v>25</v>
      </c>
      <c r="AT850" s="188" t="s">
        <v>25</v>
      </c>
      <c r="AU850" s="188" t="s">
        <v>25</v>
      </c>
      <c r="AV850" s="234" t="s">
        <v>25</v>
      </c>
      <c r="AW850" s="188" t="s">
        <v>25</v>
      </c>
      <c r="AX850" s="188" t="s">
        <v>25</v>
      </c>
      <c r="AY850" s="234" t="s">
        <v>25</v>
      </c>
      <c r="AZ850" s="188" t="s">
        <v>306</v>
      </c>
      <c r="BA850" s="188" t="s">
        <v>25</v>
      </c>
      <c r="BB850" s="234" t="s">
        <v>25</v>
      </c>
      <c r="BC850" s="235" t="s">
        <v>25</v>
      </c>
      <c r="BD850" s="188"/>
    </row>
    <row r="851" spans="1:56" ht="12.75" customHeight="1" x14ac:dyDescent="0.25">
      <c r="A851" s="238">
        <v>44798.062155960652</v>
      </c>
      <c r="B851" s="137" t="s">
        <v>304</v>
      </c>
      <c r="C851" s="211" t="s">
        <v>595</v>
      </c>
      <c r="D851" s="211" t="s">
        <v>17</v>
      </c>
      <c r="E851" s="232" t="s">
        <v>515</v>
      </c>
      <c r="F851" s="188" t="s">
        <v>574</v>
      </c>
      <c r="G851" s="211" t="s">
        <v>18</v>
      </c>
      <c r="H851" s="211">
        <v>12</v>
      </c>
      <c r="I851" s="188" t="s">
        <v>518</v>
      </c>
      <c r="J851" s="188" t="s">
        <v>573</v>
      </c>
      <c r="K851" s="209" t="s">
        <v>573</v>
      </c>
      <c r="L851" s="188" t="s">
        <v>518</v>
      </c>
      <c r="M851" s="188" t="s">
        <v>401</v>
      </c>
      <c r="N851" s="188"/>
      <c r="O851" s="188"/>
      <c r="P851" s="188"/>
      <c r="Q851" s="188" t="s">
        <v>306</v>
      </c>
      <c r="R851" s="188" t="s">
        <v>306</v>
      </c>
      <c r="S851" s="234" t="s">
        <v>306</v>
      </c>
      <c r="T851" s="188" t="s">
        <v>19</v>
      </c>
      <c r="U851" s="188" t="s">
        <v>25</v>
      </c>
      <c r="V851" s="234" t="s">
        <v>306</v>
      </c>
      <c r="W851" s="188" t="s">
        <v>306</v>
      </c>
      <c r="X851" s="188" t="s">
        <v>306</v>
      </c>
      <c r="Y851" s="234" t="s">
        <v>306</v>
      </c>
      <c r="Z851" s="188" t="s">
        <v>306</v>
      </c>
      <c r="AA851" s="188" t="s">
        <v>306</v>
      </c>
      <c r="AB851" s="234" t="s">
        <v>306</v>
      </c>
      <c r="AC851" s="235" t="s">
        <v>306</v>
      </c>
      <c r="AD851" s="188" t="s">
        <v>25</v>
      </c>
      <c r="AE851" s="188" t="s">
        <v>19</v>
      </c>
      <c r="AF851" s="234" t="s">
        <v>306</v>
      </c>
      <c r="AG851" s="188" t="s">
        <v>306</v>
      </c>
      <c r="AH851" s="188" t="s">
        <v>306</v>
      </c>
      <c r="AI851" s="234" t="s">
        <v>306</v>
      </c>
      <c r="AJ851" s="188" t="s">
        <v>25</v>
      </c>
      <c r="AK851" s="188" t="s">
        <v>25</v>
      </c>
      <c r="AL851" s="234" t="s">
        <v>25</v>
      </c>
      <c r="AM851" s="188" t="s">
        <v>306</v>
      </c>
      <c r="AN851" s="188" t="s">
        <v>306</v>
      </c>
      <c r="AO851" s="234" t="s">
        <v>306</v>
      </c>
      <c r="AP851" s="235" t="s">
        <v>306</v>
      </c>
      <c r="AQ851" s="188" t="s">
        <v>306</v>
      </c>
      <c r="AR851" s="188" t="s">
        <v>25</v>
      </c>
      <c r="AS851" s="234" t="s">
        <v>25</v>
      </c>
      <c r="AT851" s="188" t="s">
        <v>25</v>
      </c>
      <c r="AU851" s="188" t="s">
        <v>25</v>
      </c>
      <c r="AV851" s="234" t="s">
        <v>25</v>
      </c>
      <c r="AW851" s="188" t="s">
        <v>306</v>
      </c>
      <c r="AX851" s="188" t="s">
        <v>306</v>
      </c>
      <c r="AY851" s="234" t="s">
        <v>306</v>
      </c>
      <c r="AZ851" s="188" t="s">
        <v>306</v>
      </c>
      <c r="BA851" s="188" t="s">
        <v>306</v>
      </c>
      <c r="BB851" s="234" t="s">
        <v>25</v>
      </c>
      <c r="BC851" s="235" t="s">
        <v>25</v>
      </c>
      <c r="BD851" s="188"/>
    </row>
    <row r="852" spans="1:56" ht="12.75" customHeight="1" x14ac:dyDescent="0.25">
      <c r="A852" s="238">
        <v>44798.064737974535</v>
      </c>
      <c r="B852" s="137" t="s">
        <v>304</v>
      </c>
      <c r="C852" s="211" t="s">
        <v>595</v>
      </c>
      <c r="D852" s="211" t="s">
        <v>17</v>
      </c>
      <c r="E852" s="232" t="s">
        <v>515</v>
      </c>
      <c r="F852" s="188" t="s">
        <v>1421</v>
      </c>
      <c r="G852" s="211" t="s">
        <v>18</v>
      </c>
      <c r="H852" s="211">
        <v>13</v>
      </c>
      <c r="I852" s="188" t="s">
        <v>518</v>
      </c>
      <c r="J852" s="188" t="s">
        <v>573</v>
      </c>
      <c r="K852" s="209" t="s">
        <v>573</v>
      </c>
      <c r="L852" s="188" t="s">
        <v>518</v>
      </c>
      <c r="M852" s="188" t="s">
        <v>375</v>
      </c>
      <c r="N852" s="188"/>
      <c r="O852" s="188"/>
      <c r="P852" s="188"/>
      <c r="Q852" s="188" t="s">
        <v>25</v>
      </c>
      <c r="R852" s="188" t="s">
        <v>25</v>
      </c>
      <c r="S852" s="234" t="s">
        <v>25</v>
      </c>
      <c r="T852" s="188" t="s">
        <v>25</v>
      </c>
      <c r="U852" s="188" t="s">
        <v>25</v>
      </c>
      <c r="V852" s="234" t="s">
        <v>25</v>
      </c>
      <c r="W852" s="188" t="s">
        <v>25</v>
      </c>
      <c r="X852" s="188" t="s">
        <v>25</v>
      </c>
      <c r="Y852" s="234" t="s">
        <v>25</v>
      </c>
      <c r="Z852" s="188" t="s">
        <v>25</v>
      </c>
      <c r="AA852" s="188" t="s">
        <v>25</v>
      </c>
      <c r="AB852" s="234" t="s">
        <v>25</v>
      </c>
      <c r="AC852" s="235" t="s">
        <v>25</v>
      </c>
      <c r="AD852" s="188" t="s">
        <v>19</v>
      </c>
      <c r="AE852" s="188" t="s">
        <v>306</v>
      </c>
      <c r="AF852" s="234" t="s">
        <v>306</v>
      </c>
      <c r="AG852" s="188" t="s">
        <v>306</v>
      </c>
      <c r="AH852" s="188" t="s">
        <v>306</v>
      </c>
      <c r="AI852" s="234" t="s">
        <v>306</v>
      </c>
      <c r="AJ852" s="188" t="s">
        <v>306</v>
      </c>
      <c r="AK852" s="188" t="s">
        <v>25</v>
      </c>
      <c r="AL852" s="234" t="s">
        <v>25</v>
      </c>
      <c r="AM852" s="188" t="s">
        <v>19</v>
      </c>
      <c r="AN852" s="188" t="s">
        <v>306</v>
      </c>
      <c r="AO852" s="234" t="s">
        <v>306</v>
      </c>
      <c r="AP852" s="235" t="s">
        <v>306</v>
      </c>
      <c r="AQ852" s="188" t="s">
        <v>19</v>
      </c>
      <c r="AR852" s="188" t="s">
        <v>19</v>
      </c>
      <c r="AS852" s="234" t="s">
        <v>19</v>
      </c>
      <c r="AT852" s="188" t="s">
        <v>306</v>
      </c>
      <c r="AU852" s="188" t="s">
        <v>19</v>
      </c>
      <c r="AV852" s="234" t="s">
        <v>306</v>
      </c>
      <c r="AW852" s="188" t="s">
        <v>306</v>
      </c>
      <c r="AX852" s="188" t="s">
        <v>19</v>
      </c>
      <c r="AY852" s="234" t="s">
        <v>306</v>
      </c>
      <c r="AZ852" s="188" t="s">
        <v>25</v>
      </c>
      <c r="BA852" s="188" t="s">
        <v>19</v>
      </c>
      <c r="BB852" s="234" t="s">
        <v>306</v>
      </c>
      <c r="BC852" s="235" t="s">
        <v>25</v>
      </c>
      <c r="BD852" s="188"/>
    </row>
    <row r="853" spans="1:56" ht="12.75" customHeight="1" x14ac:dyDescent="0.25">
      <c r="A853" s="238">
        <v>44798.322137499999</v>
      </c>
      <c r="B853" s="137" t="s">
        <v>304</v>
      </c>
      <c r="C853" s="211" t="s">
        <v>595</v>
      </c>
      <c r="D853" s="211" t="s">
        <v>17</v>
      </c>
      <c r="E853" s="232" t="s">
        <v>515</v>
      </c>
      <c r="F853" s="188" t="s">
        <v>1422</v>
      </c>
      <c r="G853" s="211" t="s">
        <v>24</v>
      </c>
      <c r="H853" s="211">
        <v>11</v>
      </c>
      <c r="I853" s="188" t="s">
        <v>518</v>
      </c>
      <c r="J853" s="188" t="s">
        <v>573</v>
      </c>
      <c r="K853" s="209" t="s">
        <v>573</v>
      </c>
      <c r="L853" s="188" t="s">
        <v>518</v>
      </c>
      <c r="M853" s="188" t="s">
        <v>412</v>
      </c>
      <c r="N853" s="188"/>
      <c r="O853" s="188"/>
      <c r="P853" s="188"/>
      <c r="Q853" s="188" t="s">
        <v>25</v>
      </c>
      <c r="R853" s="188" t="s">
        <v>25</v>
      </c>
      <c r="S853" s="234" t="s">
        <v>25</v>
      </c>
      <c r="T853" s="188" t="s">
        <v>25</v>
      </c>
      <c r="U853" s="188" t="s">
        <v>25</v>
      </c>
      <c r="V853" s="234" t="s">
        <v>25</v>
      </c>
      <c r="W853" s="188" t="s">
        <v>25</v>
      </c>
      <c r="X853" s="188" t="s">
        <v>25</v>
      </c>
      <c r="Y853" s="234" t="s">
        <v>25</v>
      </c>
      <c r="Z853" s="188" t="s">
        <v>306</v>
      </c>
      <c r="AA853" s="188" t="s">
        <v>25</v>
      </c>
      <c r="AB853" s="234" t="s">
        <v>25</v>
      </c>
      <c r="AC853" s="235" t="s">
        <v>25</v>
      </c>
      <c r="AD853" s="188" t="s">
        <v>25</v>
      </c>
      <c r="AE853" s="188" t="s">
        <v>25</v>
      </c>
      <c r="AF853" s="234" t="s">
        <v>25</v>
      </c>
      <c r="AG853" s="188" t="s">
        <v>25</v>
      </c>
      <c r="AH853" s="188" t="s">
        <v>25</v>
      </c>
      <c r="AI853" s="234" t="s">
        <v>25</v>
      </c>
      <c r="AJ853" s="188" t="s">
        <v>306</v>
      </c>
      <c r="AK853" s="188" t="s">
        <v>25</v>
      </c>
      <c r="AL853" s="234" t="s">
        <v>25</v>
      </c>
      <c r="AM853" s="188" t="s">
        <v>25</v>
      </c>
      <c r="AN853" s="188" t="s">
        <v>19</v>
      </c>
      <c r="AO853" s="234" t="s">
        <v>306</v>
      </c>
      <c r="AP853" s="235" t="s">
        <v>25</v>
      </c>
      <c r="AQ853" s="188" t="s">
        <v>25</v>
      </c>
      <c r="AR853" s="188" t="s">
        <v>25</v>
      </c>
      <c r="AS853" s="234" t="s">
        <v>25</v>
      </c>
      <c r="AT853" s="188" t="s">
        <v>25</v>
      </c>
      <c r="AU853" s="188" t="s">
        <v>25</v>
      </c>
      <c r="AV853" s="234" t="s">
        <v>25</v>
      </c>
      <c r="AW853" s="188" t="s">
        <v>25</v>
      </c>
      <c r="AX853" s="188" t="s">
        <v>25</v>
      </c>
      <c r="AY853" s="234" t="s">
        <v>25</v>
      </c>
      <c r="AZ853" s="188" t="s">
        <v>25</v>
      </c>
      <c r="BA853" s="188" t="s">
        <v>25</v>
      </c>
      <c r="BB853" s="234" t="s">
        <v>25</v>
      </c>
      <c r="BC853" s="235" t="s">
        <v>25</v>
      </c>
      <c r="BD853" s="188"/>
    </row>
    <row r="854" spans="1:56" ht="12.75" customHeight="1" x14ac:dyDescent="0.25">
      <c r="A854" s="238">
        <v>44798.329242777778</v>
      </c>
      <c r="B854" s="137" t="s">
        <v>304</v>
      </c>
      <c r="C854" s="211" t="s">
        <v>595</v>
      </c>
      <c r="D854" s="211" t="s">
        <v>17</v>
      </c>
      <c r="E854" s="232" t="s">
        <v>515</v>
      </c>
      <c r="F854" s="188" t="s">
        <v>1423</v>
      </c>
      <c r="G854" s="211" t="s">
        <v>18</v>
      </c>
      <c r="H854" s="211">
        <v>12</v>
      </c>
      <c r="I854" s="188" t="s">
        <v>518</v>
      </c>
      <c r="J854" s="188" t="s">
        <v>573</v>
      </c>
      <c r="K854" s="209" t="s">
        <v>573</v>
      </c>
      <c r="L854" s="188" t="s">
        <v>518</v>
      </c>
      <c r="M854" s="188" t="s">
        <v>375</v>
      </c>
      <c r="N854" s="188"/>
      <c r="O854" s="188"/>
      <c r="P854" s="188"/>
      <c r="Q854" s="188" t="s">
        <v>25</v>
      </c>
      <c r="R854" s="188" t="s">
        <v>25</v>
      </c>
      <c r="S854" s="234" t="s">
        <v>25</v>
      </c>
      <c r="T854" s="188" t="s">
        <v>25</v>
      </c>
      <c r="U854" s="188" t="s">
        <v>25</v>
      </c>
      <c r="V854" s="234" t="s">
        <v>25</v>
      </c>
      <c r="W854" s="188" t="s">
        <v>25</v>
      </c>
      <c r="X854" s="188" t="s">
        <v>25</v>
      </c>
      <c r="Y854" s="234" t="s">
        <v>25</v>
      </c>
      <c r="Z854" s="188" t="s">
        <v>25</v>
      </c>
      <c r="AA854" s="188" t="s">
        <v>306</v>
      </c>
      <c r="AB854" s="234" t="s">
        <v>25</v>
      </c>
      <c r="AC854" s="235" t="s">
        <v>25</v>
      </c>
      <c r="AD854" s="188" t="s">
        <v>306</v>
      </c>
      <c r="AE854" s="188" t="s">
        <v>306</v>
      </c>
      <c r="AF854" s="234" t="s">
        <v>306</v>
      </c>
      <c r="AG854" s="188" t="s">
        <v>25</v>
      </c>
      <c r="AH854" s="188" t="s">
        <v>306</v>
      </c>
      <c r="AI854" s="234" t="s">
        <v>25</v>
      </c>
      <c r="AJ854" s="188" t="s">
        <v>25</v>
      </c>
      <c r="AK854" s="188" t="s">
        <v>19</v>
      </c>
      <c r="AL854" s="234" t="s">
        <v>306</v>
      </c>
      <c r="AM854" s="188" t="s">
        <v>306</v>
      </c>
      <c r="AN854" s="188" t="s">
        <v>25</v>
      </c>
      <c r="AO854" s="234" t="s">
        <v>25</v>
      </c>
      <c r="AP854" s="235" t="s">
        <v>306</v>
      </c>
      <c r="AQ854" s="188" t="s">
        <v>306</v>
      </c>
      <c r="AR854" s="188" t="s">
        <v>19</v>
      </c>
      <c r="AS854" s="234" t="s">
        <v>306</v>
      </c>
      <c r="AT854" s="188" t="s">
        <v>19</v>
      </c>
      <c r="AU854" s="188" t="s">
        <v>25</v>
      </c>
      <c r="AV854" s="234" t="s">
        <v>306</v>
      </c>
      <c r="AW854" s="188" t="s">
        <v>306</v>
      </c>
      <c r="AX854" s="188" t="s">
        <v>306</v>
      </c>
      <c r="AY854" s="234" t="s">
        <v>306</v>
      </c>
      <c r="AZ854" s="188" t="s">
        <v>306</v>
      </c>
      <c r="BA854" s="188" t="s">
        <v>306</v>
      </c>
      <c r="BB854" s="234" t="s">
        <v>19</v>
      </c>
      <c r="BC854" s="235" t="s">
        <v>306</v>
      </c>
      <c r="BD854" s="188"/>
    </row>
    <row r="855" spans="1:56" ht="12.75" customHeight="1" x14ac:dyDescent="0.25">
      <c r="A855" s="238">
        <v>44798.376138252315</v>
      </c>
      <c r="B855" s="137" t="s">
        <v>304</v>
      </c>
      <c r="C855" s="211" t="s">
        <v>595</v>
      </c>
      <c r="D855" s="211" t="s">
        <v>17</v>
      </c>
      <c r="E855" s="232" t="s">
        <v>515</v>
      </c>
      <c r="F855" s="188" t="s">
        <v>1424</v>
      </c>
      <c r="G855" s="211" t="s">
        <v>24</v>
      </c>
      <c r="H855" s="211">
        <v>11</v>
      </c>
      <c r="I855" s="188" t="s">
        <v>518</v>
      </c>
      <c r="J855" s="188" t="s">
        <v>573</v>
      </c>
      <c r="K855" s="209" t="s">
        <v>573</v>
      </c>
      <c r="L855" s="188" t="s">
        <v>518</v>
      </c>
      <c r="M855" s="188" t="s">
        <v>401</v>
      </c>
      <c r="N855" s="188"/>
      <c r="O855" s="188"/>
      <c r="P855" s="188"/>
      <c r="Q855" s="188" t="s">
        <v>25</v>
      </c>
      <c r="R855" s="188" t="s">
        <v>306</v>
      </c>
      <c r="S855" s="234" t="s">
        <v>25</v>
      </c>
      <c r="T855" s="188" t="s">
        <v>306</v>
      </c>
      <c r="U855" s="188" t="s">
        <v>25</v>
      </c>
      <c r="V855" s="234" t="s">
        <v>25</v>
      </c>
      <c r="W855" s="188" t="s">
        <v>25</v>
      </c>
      <c r="X855" s="188" t="s">
        <v>306</v>
      </c>
      <c r="Y855" s="234" t="s">
        <v>25</v>
      </c>
      <c r="Z855" s="188" t="s">
        <v>25</v>
      </c>
      <c r="AA855" s="188" t="s">
        <v>306</v>
      </c>
      <c r="AB855" s="234" t="s">
        <v>25</v>
      </c>
      <c r="AC855" s="235" t="s">
        <v>25</v>
      </c>
      <c r="AD855" s="188" t="s">
        <v>306</v>
      </c>
      <c r="AE855" s="188" t="s">
        <v>306</v>
      </c>
      <c r="AF855" s="234" t="s">
        <v>306</v>
      </c>
      <c r="AG855" s="188" t="s">
        <v>25</v>
      </c>
      <c r="AH855" s="188" t="s">
        <v>306</v>
      </c>
      <c r="AI855" s="234" t="s">
        <v>25</v>
      </c>
      <c r="AJ855" s="188" t="s">
        <v>25</v>
      </c>
      <c r="AK855" s="188" t="s">
        <v>306</v>
      </c>
      <c r="AL855" s="234" t="s">
        <v>25</v>
      </c>
      <c r="AM855" s="188" t="s">
        <v>19</v>
      </c>
      <c r="AN855" s="188" t="s">
        <v>19</v>
      </c>
      <c r="AO855" s="234" t="s">
        <v>19</v>
      </c>
      <c r="AP855" s="235" t="s">
        <v>306</v>
      </c>
      <c r="AQ855" s="188" t="s">
        <v>19</v>
      </c>
      <c r="AR855" s="188" t="s">
        <v>306</v>
      </c>
      <c r="AS855" s="234" t="s">
        <v>306</v>
      </c>
      <c r="AT855" s="188" t="s">
        <v>25</v>
      </c>
      <c r="AU855" s="188" t="s">
        <v>306</v>
      </c>
      <c r="AV855" s="234" t="s">
        <v>25</v>
      </c>
      <c r="AW855" s="188" t="s">
        <v>306</v>
      </c>
      <c r="AX855" s="188" t="s">
        <v>25</v>
      </c>
      <c r="AY855" s="234" t="s">
        <v>25</v>
      </c>
      <c r="AZ855" s="188" t="s">
        <v>19</v>
      </c>
      <c r="BA855" s="188" t="s">
        <v>25</v>
      </c>
      <c r="BB855" s="234" t="s">
        <v>25</v>
      </c>
      <c r="BC855" s="235" t="s">
        <v>25</v>
      </c>
      <c r="BD855" s="188"/>
    </row>
    <row r="856" spans="1:56" ht="12.75" customHeight="1" x14ac:dyDescent="0.25">
      <c r="A856" s="238">
        <v>44798.418379201394</v>
      </c>
      <c r="B856" s="137" t="s">
        <v>304</v>
      </c>
      <c r="C856" s="211" t="s">
        <v>595</v>
      </c>
      <c r="D856" s="211" t="s">
        <v>17</v>
      </c>
      <c r="E856" s="232" t="s">
        <v>515</v>
      </c>
      <c r="F856" s="188" t="s">
        <v>1425</v>
      </c>
      <c r="G856" s="211" t="s">
        <v>24</v>
      </c>
      <c r="H856" s="211">
        <v>11</v>
      </c>
      <c r="I856" s="188" t="s">
        <v>518</v>
      </c>
      <c r="J856" s="188" t="s">
        <v>573</v>
      </c>
      <c r="K856" s="209" t="s">
        <v>573</v>
      </c>
      <c r="L856" s="188" t="s">
        <v>518</v>
      </c>
      <c r="M856" s="188" t="s">
        <v>412</v>
      </c>
      <c r="N856" s="188"/>
      <c r="O856" s="188"/>
      <c r="P856" s="188"/>
      <c r="Q856" s="188" t="s">
        <v>25</v>
      </c>
      <c r="R856" s="188" t="s">
        <v>306</v>
      </c>
      <c r="S856" s="234" t="s">
        <v>25</v>
      </c>
      <c r="T856" s="188" t="s">
        <v>25</v>
      </c>
      <c r="U856" s="188" t="s">
        <v>306</v>
      </c>
      <c r="V856" s="234" t="s">
        <v>25</v>
      </c>
      <c r="W856" s="188" t="s">
        <v>25</v>
      </c>
      <c r="X856" s="188" t="s">
        <v>25</v>
      </c>
      <c r="Y856" s="234" t="s">
        <v>25</v>
      </c>
      <c r="Z856" s="188" t="s">
        <v>306</v>
      </c>
      <c r="AA856" s="188" t="s">
        <v>306</v>
      </c>
      <c r="AB856" s="234" t="s">
        <v>306</v>
      </c>
      <c r="AC856" s="235" t="s">
        <v>25</v>
      </c>
      <c r="AD856" s="188" t="s">
        <v>25</v>
      </c>
      <c r="AE856" s="188" t="s">
        <v>306</v>
      </c>
      <c r="AF856" s="234" t="s">
        <v>25</v>
      </c>
      <c r="AG856" s="188" t="s">
        <v>306</v>
      </c>
      <c r="AH856" s="188" t="s">
        <v>306</v>
      </c>
      <c r="AI856" s="234" t="s">
        <v>306</v>
      </c>
      <c r="AJ856" s="188" t="s">
        <v>306</v>
      </c>
      <c r="AK856" s="188" t="s">
        <v>306</v>
      </c>
      <c r="AL856" s="234" t="s">
        <v>306</v>
      </c>
      <c r="AM856" s="188" t="s">
        <v>25</v>
      </c>
      <c r="AN856" s="188" t="s">
        <v>306</v>
      </c>
      <c r="AO856" s="234" t="s">
        <v>25</v>
      </c>
      <c r="AP856" s="235" t="s">
        <v>306</v>
      </c>
      <c r="AQ856" s="188" t="s">
        <v>19</v>
      </c>
      <c r="AR856" s="188" t="s">
        <v>306</v>
      </c>
      <c r="AS856" s="234" t="s">
        <v>306</v>
      </c>
      <c r="AT856" s="188" t="s">
        <v>306</v>
      </c>
      <c r="AU856" s="188" t="s">
        <v>25</v>
      </c>
      <c r="AV856" s="234" t="s">
        <v>25</v>
      </c>
      <c r="AW856" s="188" t="s">
        <v>306</v>
      </c>
      <c r="AX856" s="188" t="s">
        <v>25</v>
      </c>
      <c r="AY856" s="234" t="s">
        <v>25</v>
      </c>
      <c r="AZ856" s="188" t="s">
        <v>25</v>
      </c>
      <c r="BA856" s="188" t="s">
        <v>25</v>
      </c>
      <c r="BB856" s="234" t="s">
        <v>25</v>
      </c>
      <c r="BC856" s="235" t="s">
        <v>306</v>
      </c>
      <c r="BD856" s="188"/>
    </row>
    <row r="857" spans="1:56" ht="12.75" customHeight="1" x14ac:dyDescent="0.25">
      <c r="A857" s="238">
        <v>45266.922346712963</v>
      </c>
      <c r="B857" s="233" t="s">
        <v>384</v>
      </c>
      <c r="C857" s="209" t="s">
        <v>587</v>
      </c>
      <c r="D857" s="232" t="s">
        <v>17</v>
      </c>
      <c r="E857" s="232" t="s">
        <v>515</v>
      </c>
      <c r="F857" s="209" t="s">
        <v>1426</v>
      </c>
      <c r="G857" s="232" t="s">
        <v>18</v>
      </c>
      <c r="H857" s="232">
        <v>12</v>
      </c>
      <c r="I857" s="209" t="s">
        <v>518</v>
      </c>
      <c r="J857" s="209" t="s">
        <v>573</v>
      </c>
      <c r="K857" s="209" t="s">
        <v>573</v>
      </c>
      <c r="L857" s="209" t="s">
        <v>518</v>
      </c>
      <c r="M857" s="209" t="s">
        <v>412</v>
      </c>
      <c r="N857" s="209" t="s">
        <v>589</v>
      </c>
      <c r="O857" s="209"/>
      <c r="P857" s="209"/>
      <c r="Q857" s="209" t="s">
        <v>25</v>
      </c>
      <c r="R857" s="209" t="s">
        <v>25</v>
      </c>
      <c r="S857" s="234" t="s">
        <v>25</v>
      </c>
      <c r="T857" s="209" t="s">
        <v>25</v>
      </c>
      <c r="U857" s="209" t="s">
        <v>306</v>
      </c>
      <c r="V857" s="234" t="s">
        <v>25</v>
      </c>
      <c r="W857" s="209" t="s">
        <v>25</v>
      </c>
      <c r="X857" s="209" t="s">
        <v>25</v>
      </c>
      <c r="Y857" s="234" t="s">
        <v>25</v>
      </c>
      <c r="Z857" s="209" t="s">
        <v>25</v>
      </c>
      <c r="AA857" s="209" t="s">
        <v>306</v>
      </c>
      <c r="AB857" s="234" t="s">
        <v>25</v>
      </c>
      <c r="AC857" s="235" t="s">
        <v>25</v>
      </c>
      <c r="AD857" s="209" t="s">
        <v>306</v>
      </c>
      <c r="AE857" s="209" t="s">
        <v>306</v>
      </c>
      <c r="AF857" s="234" t="s">
        <v>306</v>
      </c>
      <c r="AG857" s="209" t="s">
        <v>25</v>
      </c>
      <c r="AH857" s="209" t="s">
        <v>306</v>
      </c>
      <c r="AI857" s="234" t="s">
        <v>25</v>
      </c>
      <c r="AJ857" s="209" t="s">
        <v>25</v>
      </c>
      <c r="AK857" s="209" t="s">
        <v>306</v>
      </c>
      <c r="AL857" s="234" t="s">
        <v>25</v>
      </c>
      <c r="AM857" s="209" t="s">
        <v>306</v>
      </c>
      <c r="AN857" s="209" t="s">
        <v>306</v>
      </c>
      <c r="AO857" s="234" t="s">
        <v>306</v>
      </c>
      <c r="AP857" s="235" t="s">
        <v>306</v>
      </c>
      <c r="AQ857" s="209" t="s">
        <v>25</v>
      </c>
      <c r="AR857" s="209" t="s">
        <v>25</v>
      </c>
      <c r="AS857" s="234" t="s">
        <v>25</v>
      </c>
      <c r="AT857" s="209" t="s">
        <v>25</v>
      </c>
      <c r="AU857" s="209" t="s">
        <v>25</v>
      </c>
      <c r="AV857" s="234" t="s">
        <v>25</v>
      </c>
      <c r="AW857" s="209" t="s">
        <v>25</v>
      </c>
      <c r="AX857" s="209" t="s">
        <v>306</v>
      </c>
      <c r="AY857" s="234" t="s">
        <v>25</v>
      </c>
      <c r="AZ857" s="209" t="s">
        <v>25</v>
      </c>
      <c r="BA857" s="209" t="s">
        <v>25</v>
      </c>
      <c r="BB857" s="234" t="s">
        <v>25</v>
      </c>
      <c r="BC857" s="235" t="s">
        <v>25</v>
      </c>
      <c r="BD857" s="188"/>
    </row>
    <row r="858" spans="1:56" ht="12.75" customHeight="1" x14ac:dyDescent="0.25">
      <c r="A858" s="238">
        <v>45268.155867615744</v>
      </c>
      <c r="B858" s="233" t="s">
        <v>384</v>
      </c>
      <c r="C858" s="209" t="s">
        <v>587</v>
      </c>
      <c r="D858" s="232" t="s">
        <v>17</v>
      </c>
      <c r="E858" s="232" t="s">
        <v>515</v>
      </c>
      <c r="F858" s="209" t="s">
        <v>1427</v>
      </c>
      <c r="G858" s="232" t="s">
        <v>18</v>
      </c>
      <c r="H858" s="232">
        <v>13</v>
      </c>
      <c r="I858" s="209" t="s">
        <v>518</v>
      </c>
      <c r="J858" s="209" t="s">
        <v>573</v>
      </c>
      <c r="K858" s="209" t="s">
        <v>573</v>
      </c>
      <c r="L858" s="209" t="s">
        <v>531</v>
      </c>
      <c r="M858" s="188"/>
      <c r="N858" s="188"/>
      <c r="O858" s="188"/>
      <c r="P858" s="188"/>
      <c r="Q858" s="209" t="s">
        <v>306</v>
      </c>
      <c r="R858" s="209" t="s">
        <v>25</v>
      </c>
      <c r="S858" s="234" t="s">
        <v>25</v>
      </c>
      <c r="T858" s="209" t="s">
        <v>25</v>
      </c>
      <c r="U858" s="209" t="s">
        <v>25</v>
      </c>
      <c r="V858" s="234" t="s">
        <v>25</v>
      </c>
      <c r="W858" s="209" t="s">
        <v>306</v>
      </c>
      <c r="X858" s="209" t="s">
        <v>306</v>
      </c>
      <c r="Y858" s="234" t="s">
        <v>306</v>
      </c>
      <c r="Z858" s="209" t="s">
        <v>25</v>
      </c>
      <c r="AA858" s="209" t="s">
        <v>19</v>
      </c>
      <c r="AB858" s="234" t="s">
        <v>306</v>
      </c>
      <c r="AC858" s="235" t="s">
        <v>306</v>
      </c>
      <c r="AD858" s="209" t="s">
        <v>25</v>
      </c>
      <c r="AE858" s="209" t="s">
        <v>306</v>
      </c>
      <c r="AF858" s="234" t="s">
        <v>25</v>
      </c>
      <c r="AG858" s="209" t="s">
        <v>25</v>
      </c>
      <c r="AH858" s="209" t="s">
        <v>306</v>
      </c>
      <c r="AI858" s="234" t="s">
        <v>25</v>
      </c>
      <c r="AJ858" s="209" t="s">
        <v>306</v>
      </c>
      <c r="AK858" s="209" t="s">
        <v>19</v>
      </c>
      <c r="AL858" s="234" t="s">
        <v>306</v>
      </c>
      <c r="AM858" s="209" t="s">
        <v>306</v>
      </c>
      <c r="AN858" s="209" t="s">
        <v>306</v>
      </c>
      <c r="AO858" s="234" t="s">
        <v>306</v>
      </c>
      <c r="AP858" s="235" t="s">
        <v>306</v>
      </c>
      <c r="AQ858" s="209" t="s">
        <v>306</v>
      </c>
      <c r="AR858" s="209" t="s">
        <v>306</v>
      </c>
      <c r="AS858" s="234" t="s">
        <v>306</v>
      </c>
      <c r="AT858" s="209" t="s">
        <v>306</v>
      </c>
      <c r="AU858" s="209" t="s">
        <v>25</v>
      </c>
      <c r="AV858" s="234" t="s">
        <v>25</v>
      </c>
      <c r="AW858" s="209" t="s">
        <v>306</v>
      </c>
      <c r="AX858" s="209" t="s">
        <v>306</v>
      </c>
      <c r="AY858" s="234" t="s">
        <v>306</v>
      </c>
      <c r="AZ858" s="209" t="s">
        <v>25</v>
      </c>
      <c r="BA858" s="209" t="s">
        <v>306</v>
      </c>
      <c r="BB858" s="234" t="s">
        <v>25</v>
      </c>
      <c r="BC858" s="235" t="s">
        <v>25</v>
      </c>
      <c r="BD858" s="188"/>
    </row>
    <row r="859" spans="1:56" ht="12.75" customHeight="1" x14ac:dyDescent="0.25">
      <c r="A859" s="238">
        <v>44785.697100567129</v>
      </c>
      <c r="B859" s="137" t="s">
        <v>384</v>
      </c>
      <c r="C859" s="211" t="s">
        <v>595</v>
      </c>
      <c r="D859" s="211" t="s">
        <v>17</v>
      </c>
      <c r="E859" s="232" t="s">
        <v>515</v>
      </c>
      <c r="F859" s="188" t="s">
        <v>1428</v>
      </c>
      <c r="G859" s="211" t="s">
        <v>18</v>
      </c>
      <c r="H859" s="211">
        <v>12</v>
      </c>
      <c r="I859" s="188" t="s">
        <v>518</v>
      </c>
      <c r="J859" s="188" t="s">
        <v>573</v>
      </c>
      <c r="K859" s="209" t="s">
        <v>573</v>
      </c>
      <c r="L859" s="188" t="s">
        <v>531</v>
      </c>
      <c r="M859" s="188" t="s">
        <v>614</v>
      </c>
      <c r="N859" s="188"/>
      <c r="O859" s="188"/>
      <c r="P859" s="188"/>
      <c r="Q859" s="188" t="s">
        <v>25</v>
      </c>
      <c r="R859" s="188" t="s">
        <v>25</v>
      </c>
      <c r="S859" s="234" t="s">
        <v>25</v>
      </c>
      <c r="T859" s="188" t="s">
        <v>25</v>
      </c>
      <c r="U859" s="188" t="s">
        <v>25</v>
      </c>
      <c r="V859" s="234" t="s">
        <v>25</v>
      </c>
      <c r="W859" s="188" t="s">
        <v>25</v>
      </c>
      <c r="X859" s="188" t="s">
        <v>25</v>
      </c>
      <c r="Y859" s="234" t="s">
        <v>25</v>
      </c>
      <c r="Z859" s="188" t="s">
        <v>25</v>
      </c>
      <c r="AA859" s="188" t="s">
        <v>25</v>
      </c>
      <c r="AB859" s="234" t="s">
        <v>25</v>
      </c>
      <c r="AC859" s="235" t="s">
        <v>25</v>
      </c>
      <c r="AD859" s="188" t="s">
        <v>306</v>
      </c>
      <c r="AE859" s="188" t="s">
        <v>25</v>
      </c>
      <c r="AF859" s="234" t="s">
        <v>25</v>
      </c>
      <c r="AG859" s="188" t="s">
        <v>306</v>
      </c>
      <c r="AH859" s="188" t="s">
        <v>306</v>
      </c>
      <c r="AI859" s="234" t="s">
        <v>306</v>
      </c>
      <c r="AJ859" s="188" t="s">
        <v>25</v>
      </c>
      <c r="AK859" s="188" t="s">
        <v>25</v>
      </c>
      <c r="AL859" s="234" t="s">
        <v>25</v>
      </c>
      <c r="AM859" s="188" t="s">
        <v>25</v>
      </c>
      <c r="AN859" s="188" t="s">
        <v>306</v>
      </c>
      <c r="AO859" s="234" t="s">
        <v>25</v>
      </c>
      <c r="AP859" s="235" t="s">
        <v>25</v>
      </c>
      <c r="AQ859" s="188" t="s">
        <v>25</v>
      </c>
      <c r="AR859" s="188" t="s">
        <v>25</v>
      </c>
      <c r="AS859" s="234" t="s">
        <v>25</v>
      </c>
      <c r="AT859" s="188" t="s">
        <v>25</v>
      </c>
      <c r="AU859" s="188" t="s">
        <v>25</v>
      </c>
      <c r="AV859" s="234" t="s">
        <v>25</v>
      </c>
      <c r="AW859" s="188" t="s">
        <v>25</v>
      </c>
      <c r="AX859" s="188" t="s">
        <v>306</v>
      </c>
      <c r="AY859" s="234" t="s">
        <v>25</v>
      </c>
      <c r="AZ859" s="188" t="s">
        <v>25</v>
      </c>
      <c r="BA859" s="188" t="s">
        <v>25</v>
      </c>
      <c r="BB859" s="234" t="s">
        <v>306</v>
      </c>
      <c r="BC859" s="235" t="s">
        <v>19</v>
      </c>
      <c r="BD859" s="188"/>
    </row>
    <row r="860" spans="1:56" ht="12.75" customHeight="1" x14ac:dyDescent="0.25">
      <c r="A860" s="238">
        <v>44785.701636145837</v>
      </c>
      <c r="B860" s="137" t="s">
        <v>384</v>
      </c>
      <c r="C860" s="211" t="s">
        <v>595</v>
      </c>
      <c r="D860" s="211" t="s">
        <v>17</v>
      </c>
      <c r="E860" s="232" t="s">
        <v>515</v>
      </c>
      <c r="F860" s="188" t="s">
        <v>1429</v>
      </c>
      <c r="G860" s="211" t="s">
        <v>18</v>
      </c>
      <c r="H860" s="211">
        <v>12</v>
      </c>
      <c r="I860" s="188" t="s">
        <v>518</v>
      </c>
      <c r="J860" s="188" t="s">
        <v>573</v>
      </c>
      <c r="K860" s="209" t="s">
        <v>573</v>
      </c>
      <c r="L860" s="188" t="s">
        <v>531</v>
      </c>
      <c r="M860" s="188" t="s">
        <v>614</v>
      </c>
      <c r="N860" s="188"/>
      <c r="O860" s="188"/>
      <c r="P860" s="188"/>
      <c r="Q860" s="188" t="s">
        <v>25</v>
      </c>
      <c r="R860" s="188" t="s">
        <v>25</v>
      </c>
      <c r="S860" s="234" t="s">
        <v>25</v>
      </c>
      <c r="T860" s="188" t="s">
        <v>25</v>
      </c>
      <c r="U860" s="188" t="s">
        <v>25</v>
      </c>
      <c r="V860" s="234" t="s">
        <v>25</v>
      </c>
      <c r="W860" s="188" t="s">
        <v>25</v>
      </c>
      <c r="X860" s="188" t="s">
        <v>306</v>
      </c>
      <c r="Y860" s="234" t="s">
        <v>25</v>
      </c>
      <c r="Z860" s="188" t="s">
        <v>306</v>
      </c>
      <c r="AA860" s="188" t="s">
        <v>306</v>
      </c>
      <c r="AB860" s="234" t="s">
        <v>306</v>
      </c>
      <c r="AC860" s="235" t="s">
        <v>25</v>
      </c>
      <c r="AD860" s="188" t="s">
        <v>306</v>
      </c>
      <c r="AE860" s="188" t="s">
        <v>19</v>
      </c>
      <c r="AF860" s="234" t="s">
        <v>306</v>
      </c>
      <c r="AG860" s="188" t="s">
        <v>25</v>
      </c>
      <c r="AH860" s="188" t="s">
        <v>25</v>
      </c>
      <c r="AI860" s="234" t="s">
        <v>25</v>
      </c>
      <c r="AJ860" s="188" t="s">
        <v>25</v>
      </c>
      <c r="AK860" s="188" t="s">
        <v>306</v>
      </c>
      <c r="AL860" s="234" t="s">
        <v>25</v>
      </c>
      <c r="AM860" s="188" t="s">
        <v>19</v>
      </c>
      <c r="AN860" s="188" t="s">
        <v>19</v>
      </c>
      <c r="AO860" s="234" t="s">
        <v>19</v>
      </c>
      <c r="AP860" s="235" t="s">
        <v>306</v>
      </c>
      <c r="AQ860" s="188" t="s">
        <v>25</v>
      </c>
      <c r="AR860" s="188" t="s">
        <v>19</v>
      </c>
      <c r="AS860" s="234" t="s">
        <v>306</v>
      </c>
      <c r="AT860" s="188" t="s">
        <v>25</v>
      </c>
      <c r="AU860" s="188" t="s">
        <v>25</v>
      </c>
      <c r="AV860" s="234" t="s">
        <v>25</v>
      </c>
      <c r="AW860" s="188" t="s">
        <v>25</v>
      </c>
      <c r="AX860" s="188" t="s">
        <v>306</v>
      </c>
      <c r="AY860" s="234" t="s">
        <v>25</v>
      </c>
      <c r="AZ860" s="188" t="s">
        <v>306</v>
      </c>
      <c r="BA860" s="188" t="s">
        <v>19</v>
      </c>
      <c r="BB860" s="234" t="s">
        <v>25</v>
      </c>
      <c r="BC860" s="235" t="s">
        <v>306</v>
      </c>
      <c r="BD860" s="188"/>
    </row>
    <row r="861" spans="1:56" ht="12.75" customHeight="1" x14ac:dyDescent="0.25">
      <c r="A861" s="238">
        <v>44785.705115081015</v>
      </c>
      <c r="B861" s="137" t="s">
        <v>384</v>
      </c>
      <c r="C861" s="211" t="s">
        <v>595</v>
      </c>
      <c r="D861" s="211" t="s">
        <v>17</v>
      </c>
      <c r="E861" s="232" t="s">
        <v>515</v>
      </c>
      <c r="F861" s="188" t="s">
        <v>1430</v>
      </c>
      <c r="G861" s="211" t="s">
        <v>24</v>
      </c>
      <c r="H861" s="211">
        <v>12</v>
      </c>
      <c r="I861" s="188" t="s">
        <v>518</v>
      </c>
      <c r="J861" s="188" t="s">
        <v>573</v>
      </c>
      <c r="K861" s="209" t="s">
        <v>573</v>
      </c>
      <c r="L861" s="188" t="s">
        <v>531</v>
      </c>
      <c r="M861" s="188" t="s">
        <v>614</v>
      </c>
      <c r="N861" s="188"/>
      <c r="O861" s="188"/>
      <c r="P861" s="188"/>
      <c r="Q861" s="188" t="s">
        <v>25</v>
      </c>
      <c r="R861" s="188" t="s">
        <v>25</v>
      </c>
      <c r="S861" s="234" t="s">
        <v>25</v>
      </c>
      <c r="T861" s="188" t="s">
        <v>25</v>
      </c>
      <c r="U861" s="188" t="s">
        <v>25</v>
      </c>
      <c r="V861" s="234" t="s">
        <v>25</v>
      </c>
      <c r="W861" s="188" t="s">
        <v>25</v>
      </c>
      <c r="X861" s="188" t="s">
        <v>25</v>
      </c>
      <c r="Y861" s="234" t="s">
        <v>25</v>
      </c>
      <c r="Z861" s="188" t="s">
        <v>25</v>
      </c>
      <c r="AA861" s="188" t="s">
        <v>25</v>
      </c>
      <c r="AB861" s="234" t="s">
        <v>25</v>
      </c>
      <c r="AC861" s="235" t="s">
        <v>25</v>
      </c>
      <c r="AD861" s="188" t="s">
        <v>306</v>
      </c>
      <c r="AE861" s="188" t="s">
        <v>25</v>
      </c>
      <c r="AF861" s="234" t="s">
        <v>25</v>
      </c>
      <c r="AG861" s="188" t="s">
        <v>306</v>
      </c>
      <c r="AH861" s="188" t="s">
        <v>306</v>
      </c>
      <c r="AI861" s="234" t="s">
        <v>306</v>
      </c>
      <c r="AJ861" s="188" t="s">
        <v>25</v>
      </c>
      <c r="AK861" s="188" t="s">
        <v>25</v>
      </c>
      <c r="AL861" s="234" t="s">
        <v>25</v>
      </c>
      <c r="AM861" s="188" t="s">
        <v>25</v>
      </c>
      <c r="AN861" s="188" t="s">
        <v>306</v>
      </c>
      <c r="AO861" s="234" t="s">
        <v>25</v>
      </c>
      <c r="AP861" s="235" t="s">
        <v>25</v>
      </c>
      <c r="AQ861" s="188" t="s">
        <v>25</v>
      </c>
      <c r="AR861" s="188" t="s">
        <v>306</v>
      </c>
      <c r="AS861" s="234" t="s">
        <v>25</v>
      </c>
      <c r="AT861" s="188" t="s">
        <v>25</v>
      </c>
      <c r="AU861" s="188" t="s">
        <v>25</v>
      </c>
      <c r="AV861" s="234" t="s">
        <v>25</v>
      </c>
      <c r="AW861" s="188" t="s">
        <v>25</v>
      </c>
      <c r="AX861" s="188" t="s">
        <v>306</v>
      </c>
      <c r="AY861" s="234" t="s">
        <v>25</v>
      </c>
      <c r="AZ861" s="188" t="s">
        <v>25</v>
      </c>
      <c r="BA861" s="188" t="s">
        <v>25</v>
      </c>
      <c r="BB861" s="234" t="s">
        <v>306</v>
      </c>
      <c r="BC861" s="235" t="s">
        <v>306</v>
      </c>
      <c r="BD861" s="188"/>
    </row>
    <row r="862" spans="1:56" ht="12.75" customHeight="1" x14ac:dyDescent="0.25">
      <c r="A862" s="238">
        <v>44785.710268356481</v>
      </c>
      <c r="B862" s="137" t="s">
        <v>384</v>
      </c>
      <c r="C862" s="211" t="s">
        <v>595</v>
      </c>
      <c r="D862" s="211" t="s">
        <v>17</v>
      </c>
      <c r="E862" s="232" t="s">
        <v>515</v>
      </c>
      <c r="F862" s="188" t="s">
        <v>1431</v>
      </c>
      <c r="G862" s="211" t="s">
        <v>18</v>
      </c>
      <c r="H862" s="211">
        <v>11</v>
      </c>
      <c r="I862" s="188" t="s">
        <v>518</v>
      </c>
      <c r="J862" s="188" t="s">
        <v>573</v>
      </c>
      <c r="K862" s="209" t="s">
        <v>573</v>
      </c>
      <c r="L862" s="188" t="s">
        <v>531</v>
      </c>
      <c r="M862" s="188" t="s">
        <v>614</v>
      </c>
      <c r="N862" s="188"/>
      <c r="O862" s="188"/>
      <c r="P862" s="188"/>
      <c r="Q862" s="188" t="s">
        <v>25</v>
      </c>
      <c r="R862" s="188" t="s">
        <v>25</v>
      </c>
      <c r="S862" s="234" t="s">
        <v>25</v>
      </c>
      <c r="T862" s="188" t="s">
        <v>25</v>
      </c>
      <c r="U862" s="188" t="s">
        <v>25</v>
      </c>
      <c r="V862" s="234" t="s">
        <v>25</v>
      </c>
      <c r="W862" s="188" t="s">
        <v>306</v>
      </c>
      <c r="X862" s="188" t="s">
        <v>25</v>
      </c>
      <c r="Y862" s="234" t="s">
        <v>25</v>
      </c>
      <c r="Z862" s="188" t="s">
        <v>25</v>
      </c>
      <c r="AA862" s="188" t="s">
        <v>25</v>
      </c>
      <c r="AB862" s="234" t="s">
        <v>25</v>
      </c>
      <c r="AC862" s="235" t="s">
        <v>25</v>
      </c>
      <c r="AD862" s="188" t="s">
        <v>25</v>
      </c>
      <c r="AE862" s="188" t="s">
        <v>25</v>
      </c>
      <c r="AF862" s="234" t="s">
        <v>25</v>
      </c>
      <c r="AG862" s="188" t="s">
        <v>25</v>
      </c>
      <c r="AH862" s="188" t="s">
        <v>25</v>
      </c>
      <c r="AI862" s="234" t="s">
        <v>25</v>
      </c>
      <c r="AJ862" s="188" t="s">
        <v>25</v>
      </c>
      <c r="AK862" s="188" t="s">
        <v>25</v>
      </c>
      <c r="AL862" s="234" t="s">
        <v>25</v>
      </c>
      <c r="AM862" s="188" t="s">
        <v>25</v>
      </c>
      <c r="AN862" s="188" t="s">
        <v>25</v>
      </c>
      <c r="AO862" s="234" t="s">
        <v>25</v>
      </c>
      <c r="AP862" s="235" t="s">
        <v>25</v>
      </c>
      <c r="AQ862" s="188" t="s">
        <v>25</v>
      </c>
      <c r="AR862" s="188" t="s">
        <v>25</v>
      </c>
      <c r="AS862" s="234" t="s">
        <v>25</v>
      </c>
      <c r="AT862" s="188" t="s">
        <v>25</v>
      </c>
      <c r="AU862" s="188" t="s">
        <v>25</v>
      </c>
      <c r="AV862" s="234" t="s">
        <v>25</v>
      </c>
      <c r="AW862" s="188" t="s">
        <v>25</v>
      </c>
      <c r="AX862" s="188" t="s">
        <v>25</v>
      </c>
      <c r="AY862" s="234" t="s">
        <v>25</v>
      </c>
      <c r="AZ862" s="188" t="s">
        <v>25</v>
      </c>
      <c r="BA862" s="188" t="s">
        <v>25</v>
      </c>
      <c r="BB862" s="234" t="s">
        <v>306</v>
      </c>
      <c r="BC862" s="235" t="s">
        <v>306</v>
      </c>
      <c r="BD862" s="188"/>
    </row>
    <row r="863" spans="1:56" ht="12.75" customHeight="1" x14ac:dyDescent="0.25">
      <c r="A863" s="238">
        <v>44785.715211192131</v>
      </c>
      <c r="B863" s="137" t="s">
        <v>384</v>
      </c>
      <c r="C863" s="211" t="s">
        <v>595</v>
      </c>
      <c r="D863" s="211" t="s">
        <v>17</v>
      </c>
      <c r="E863" s="232" t="s">
        <v>515</v>
      </c>
      <c r="F863" s="188" t="s">
        <v>1432</v>
      </c>
      <c r="G863" s="211" t="s">
        <v>18</v>
      </c>
      <c r="H863" s="211">
        <v>14</v>
      </c>
      <c r="I863" s="188" t="s">
        <v>518</v>
      </c>
      <c r="J863" s="188" t="s">
        <v>573</v>
      </c>
      <c r="K863" s="209" t="s">
        <v>573</v>
      </c>
      <c r="L863" s="188" t="s">
        <v>531</v>
      </c>
      <c r="M863" s="188" t="s">
        <v>614</v>
      </c>
      <c r="N863" s="188"/>
      <c r="O863" s="188"/>
      <c r="P863" s="188"/>
      <c r="Q863" s="188" t="s">
        <v>25</v>
      </c>
      <c r="R863" s="188" t="s">
        <v>25</v>
      </c>
      <c r="S863" s="234" t="s">
        <v>25</v>
      </c>
      <c r="T863" s="188" t="s">
        <v>25</v>
      </c>
      <c r="U863" s="188" t="s">
        <v>25</v>
      </c>
      <c r="V863" s="234" t="s">
        <v>25</v>
      </c>
      <c r="W863" s="188" t="s">
        <v>25</v>
      </c>
      <c r="X863" s="188" t="s">
        <v>306</v>
      </c>
      <c r="Y863" s="234" t="s">
        <v>25</v>
      </c>
      <c r="Z863" s="188" t="s">
        <v>306</v>
      </c>
      <c r="AA863" s="188" t="s">
        <v>19</v>
      </c>
      <c r="AB863" s="234" t="s">
        <v>306</v>
      </c>
      <c r="AC863" s="235" t="s">
        <v>25</v>
      </c>
      <c r="AD863" s="188" t="s">
        <v>306</v>
      </c>
      <c r="AE863" s="188" t="s">
        <v>25</v>
      </c>
      <c r="AF863" s="234" t="s">
        <v>25</v>
      </c>
      <c r="AG863" s="188" t="s">
        <v>306</v>
      </c>
      <c r="AH863" s="188" t="s">
        <v>19</v>
      </c>
      <c r="AI863" s="234" t="s">
        <v>306</v>
      </c>
      <c r="AJ863" s="188" t="s">
        <v>306</v>
      </c>
      <c r="AK863" s="188" t="s">
        <v>306</v>
      </c>
      <c r="AL863" s="234" t="s">
        <v>306</v>
      </c>
      <c r="AM863" s="188" t="s">
        <v>306</v>
      </c>
      <c r="AN863" s="188" t="s">
        <v>25</v>
      </c>
      <c r="AO863" s="234" t="s">
        <v>25</v>
      </c>
      <c r="AP863" s="235" t="s">
        <v>306</v>
      </c>
      <c r="AQ863" s="188" t="s">
        <v>25</v>
      </c>
      <c r="AR863" s="188" t="s">
        <v>306</v>
      </c>
      <c r="AS863" s="234" t="s">
        <v>25</v>
      </c>
      <c r="AT863" s="188" t="s">
        <v>19</v>
      </c>
      <c r="AU863" s="188" t="s">
        <v>25</v>
      </c>
      <c r="AV863" s="234" t="s">
        <v>306</v>
      </c>
      <c r="AW863" s="188" t="s">
        <v>306</v>
      </c>
      <c r="AX863" s="188" t="s">
        <v>25</v>
      </c>
      <c r="AY863" s="234" t="s">
        <v>25</v>
      </c>
      <c r="AZ863" s="188" t="s">
        <v>25</v>
      </c>
      <c r="BA863" s="188" t="s">
        <v>306</v>
      </c>
      <c r="BB863" s="234" t="s">
        <v>25</v>
      </c>
      <c r="BC863" s="235" t="s">
        <v>306</v>
      </c>
      <c r="BD863" s="188"/>
    </row>
    <row r="864" spans="1:56" ht="12.75" customHeight="1" x14ac:dyDescent="0.25">
      <c r="A864" s="238">
        <v>44788.591985462961</v>
      </c>
      <c r="B864" s="137" t="s">
        <v>384</v>
      </c>
      <c r="C864" s="211" t="s">
        <v>595</v>
      </c>
      <c r="D864" s="211" t="s">
        <v>17</v>
      </c>
      <c r="E864" s="232" t="s">
        <v>515</v>
      </c>
      <c r="F864" s="188" t="s">
        <v>1433</v>
      </c>
      <c r="G864" s="211" t="s">
        <v>18</v>
      </c>
      <c r="H864" s="211">
        <v>13</v>
      </c>
      <c r="I864" s="188" t="s">
        <v>518</v>
      </c>
      <c r="J864" s="188" t="s">
        <v>573</v>
      </c>
      <c r="K864" s="209" t="s">
        <v>573</v>
      </c>
      <c r="L864" s="188" t="s">
        <v>531</v>
      </c>
      <c r="M864" s="188" t="s">
        <v>614</v>
      </c>
      <c r="N864" s="188"/>
      <c r="O864" s="188"/>
      <c r="P864" s="188"/>
      <c r="Q864" s="188" t="s">
        <v>25</v>
      </c>
      <c r="R864" s="188" t="s">
        <v>25</v>
      </c>
      <c r="S864" s="234" t="s">
        <v>25</v>
      </c>
      <c r="T864" s="188" t="s">
        <v>306</v>
      </c>
      <c r="U864" s="188" t="s">
        <v>25</v>
      </c>
      <c r="V864" s="234" t="s">
        <v>25</v>
      </c>
      <c r="W864" s="188" t="s">
        <v>306</v>
      </c>
      <c r="X864" s="188" t="s">
        <v>306</v>
      </c>
      <c r="Y864" s="234" t="s">
        <v>306</v>
      </c>
      <c r="Z864" s="188" t="s">
        <v>25</v>
      </c>
      <c r="AA864" s="188" t="s">
        <v>19</v>
      </c>
      <c r="AB864" s="234" t="s">
        <v>306</v>
      </c>
      <c r="AC864" s="235" t="s">
        <v>306</v>
      </c>
      <c r="AD864" s="188" t="s">
        <v>306</v>
      </c>
      <c r="AE864" s="188" t="s">
        <v>306</v>
      </c>
      <c r="AF864" s="234" t="s">
        <v>306</v>
      </c>
      <c r="AG864" s="188" t="s">
        <v>306</v>
      </c>
      <c r="AH864" s="188" t="s">
        <v>25</v>
      </c>
      <c r="AI864" s="234" t="s">
        <v>25</v>
      </c>
      <c r="AJ864" s="188" t="s">
        <v>306</v>
      </c>
      <c r="AK864" s="188" t="s">
        <v>306</v>
      </c>
      <c r="AL864" s="234" t="s">
        <v>306</v>
      </c>
      <c r="AM864" s="188" t="s">
        <v>19</v>
      </c>
      <c r="AN864" s="188" t="s">
        <v>306</v>
      </c>
      <c r="AO864" s="234" t="s">
        <v>306</v>
      </c>
      <c r="AP864" s="235" t="s">
        <v>306</v>
      </c>
      <c r="AQ864" s="188" t="s">
        <v>25</v>
      </c>
      <c r="AR864" s="188" t="s">
        <v>25</v>
      </c>
      <c r="AS864" s="234" t="s">
        <v>25</v>
      </c>
      <c r="AT864" s="188" t="s">
        <v>25</v>
      </c>
      <c r="AU864" s="188" t="s">
        <v>25</v>
      </c>
      <c r="AV864" s="234" t="s">
        <v>25</v>
      </c>
      <c r="AW864" s="188" t="s">
        <v>25</v>
      </c>
      <c r="AX864" s="188" t="s">
        <v>306</v>
      </c>
      <c r="AY864" s="234" t="s">
        <v>25</v>
      </c>
      <c r="AZ864" s="188" t="s">
        <v>306</v>
      </c>
      <c r="BA864" s="188" t="s">
        <v>25</v>
      </c>
      <c r="BB864" s="234" t="s">
        <v>25</v>
      </c>
      <c r="BC864" s="235" t="s">
        <v>306</v>
      </c>
      <c r="BD864" s="188"/>
    </row>
    <row r="865" spans="1:56" ht="12.75" customHeight="1" x14ac:dyDescent="0.25">
      <c r="A865" s="238">
        <v>44788.601778645832</v>
      </c>
      <c r="B865" s="137" t="s">
        <v>384</v>
      </c>
      <c r="C865" s="211" t="s">
        <v>595</v>
      </c>
      <c r="D865" s="211" t="s">
        <v>17</v>
      </c>
      <c r="E865" s="232" t="s">
        <v>515</v>
      </c>
      <c r="F865" s="188" t="s">
        <v>1434</v>
      </c>
      <c r="G865" s="211" t="s">
        <v>18</v>
      </c>
      <c r="H865" s="211">
        <v>11</v>
      </c>
      <c r="I865" s="188" t="s">
        <v>518</v>
      </c>
      <c r="J865" s="188" t="s">
        <v>573</v>
      </c>
      <c r="K865" s="209" t="s">
        <v>573</v>
      </c>
      <c r="L865" s="188" t="s">
        <v>518</v>
      </c>
      <c r="M865" s="188" t="s">
        <v>412</v>
      </c>
      <c r="N865" s="188"/>
      <c r="O865" s="188"/>
      <c r="P865" s="188"/>
      <c r="Q865" s="188" t="s">
        <v>25</v>
      </c>
      <c r="R865" s="188" t="s">
        <v>306</v>
      </c>
      <c r="S865" s="234" t="s">
        <v>25</v>
      </c>
      <c r="T865" s="188" t="s">
        <v>19</v>
      </c>
      <c r="U865" s="188" t="s">
        <v>25</v>
      </c>
      <c r="V865" s="234" t="s">
        <v>306</v>
      </c>
      <c r="W865" s="188" t="s">
        <v>19</v>
      </c>
      <c r="X865" s="188" t="s">
        <v>19</v>
      </c>
      <c r="Y865" s="234" t="s">
        <v>19</v>
      </c>
      <c r="Z865" s="188" t="s">
        <v>25</v>
      </c>
      <c r="AA865" s="188" t="s">
        <v>19</v>
      </c>
      <c r="AB865" s="234" t="s">
        <v>306</v>
      </c>
      <c r="AC865" s="235" t="s">
        <v>306</v>
      </c>
      <c r="AD865" s="188" t="s">
        <v>306</v>
      </c>
      <c r="AE865" s="188" t="s">
        <v>19</v>
      </c>
      <c r="AF865" s="234" t="s">
        <v>306</v>
      </c>
      <c r="AG865" s="188" t="s">
        <v>306</v>
      </c>
      <c r="AH865" s="188" t="s">
        <v>19</v>
      </c>
      <c r="AI865" s="234" t="s">
        <v>306</v>
      </c>
      <c r="AJ865" s="188" t="s">
        <v>19</v>
      </c>
      <c r="AK865" s="188" t="s">
        <v>306</v>
      </c>
      <c r="AL865" s="234" t="s">
        <v>306</v>
      </c>
      <c r="AM865" s="188" t="s">
        <v>19</v>
      </c>
      <c r="AN865" s="188" t="s">
        <v>19</v>
      </c>
      <c r="AO865" s="234" t="s">
        <v>19</v>
      </c>
      <c r="AP865" s="235" t="s">
        <v>19</v>
      </c>
      <c r="AQ865" s="188" t="s">
        <v>19</v>
      </c>
      <c r="AR865" s="188" t="s">
        <v>306</v>
      </c>
      <c r="AS865" s="234" t="s">
        <v>306</v>
      </c>
      <c r="AT865" s="188" t="s">
        <v>306</v>
      </c>
      <c r="AU865" s="188" t="s">
        <v>306</v>
      </c>
      <c r="AV865" s="234" t="s">
        <v>306</v>
      </c>
      <c r="AW865" s="188" t="s">
        <v>19</v>
      </c>
      <c r="AX865" s="188" t="s">
        <v>306</v>
      </c>
      <c r="AY865" s="234" t="s">
        <v>306</v>
      </c>
      <c r="AZ865" s="188" t="s">
        <v>306</v>
      </c>
      <c r="BA865" s="188" t="s">
        <v>306</v>
      </c>
      <c r="BB865" s="234" t="s">
        <v>25</v>
      </c>
      <c r="BC865" s="235" t="s">
        <v>25</v>
      </c>
      <c r="BD865" s="188"/>
    </row>
    <row r="866" spans="1:56" ht="12.75" customHeight="1" x14ac:dyDescent="0.25">
      <c r="A866" s="238">
        <v>44788.672765636569</v>
      </c>
      <c r="B866" s="137" t="s">
        <v>384</v>
      </c>
      <c r="C866" s="211" t="s">
        <v>595</v>
      </c>
      <c r="D866" s="211" t="s">
        <v>17</v>
      </c>
      <c r="E866" s="232" t="s">
        <v>515</v>
      </c>
      <c r="F866" s="188" t="s">
        <v>1435</v>
      </c>
      <c r="G866" s="211" t="s">
        <v>18</v>
      </c>
      <c r="H866" s="211">
        <v>12</v>
      </c>
      <c r="I866" s="188" t="s">
        <v>518</v>
      </c>
      <c r="J866" s="188" t="s">
        <v>573</v>
      </c>
      <c r="K866" s="209" t="s">
        <v>573</v>
      </c>
      <c r="L866" s="188" t="s">
        <v>518</v>
      </c>
      <c r="M866" s="188" t="s">
        <v>412</v>
      </c>
      <c r="N866" s="188"/>
      <c r="O866" s="188"/>
      <c r="P866" s="188"/>
      <c r="Q866" s="188" t="s">
        <v>306</v>
      </c>
      <c r="R866" s="188" t="s">
        <v>25</v>
      </c>
      <c r="S866" s="234" t="s">
        <v>25</v>
      </c>
      <c r="T866" s="188" t="s">
        <v>306</v>
      </c>
      <c r="U866" s="188" t="s">
        <v>25</v>
      </c>
      <c r="V866" s="234" t="s">
        <v>25</v>
      </c>
      <c r="W866" s="188" t="s">
        <v>25</v>
      </c>
      <c r="X866" s="188" t="s">
        <v>306</v>
      </c>
      <c r="Y866" s="234" t="s">
        <v>25</v>
      </c>
      <c r="Z866" s="188" t="s">
        <v>25</v>
      </c>
      <c r="AA866" s="188" t="s">
        <v>25</v>
      </c>
      <c r="AB866" s="234" t="s">
        <v>25</v>
      </c>
      <c r="AC866" s="235" t="s">
        <v>25</v>
      </c>
      <c r="AD866" s="188" t="s">
        <v>25</v>
      </c>
      <c r="AE866" s="188" t="s">
        <v>25</v>
      </c>
      <c r="AF866" s="234" t="s">
        <v>25</v>
      </c>
      <c r="AG866" s="188" t="s">
        <v>306</v>
      </c>
      <c r="AH866" s="188" t="s">
        <v>306</v>
      </c>
      <c r="AI866" s="234" t="s">
        <v>306</v>
      </c>
      <c r="AJ866" s="188" t="s">
        <v>25</v>
      </c>
      <c r="AK866" s="188" t="s">
        <v>306</v>
      </c>
      <c r="AL866" s="234" t="s">
        <v>25</v>
      </c>
      <c r="AM866" s="188" t="s">
        <v>306</v>
      </c>
      <c r="AN866" s="188" t="s">
        <v>19</v>
      </c>
      <c r="AO866" s="234" t="s">
        <v>306</v>
      </c>
      <c r="AP866" s="235" t="s">
        <v>306</v>
      </c>
      <c r="AQ866" s="188" t="s">
        <v>25</v>
      </c>
      <c r="AR866" s="188" t="s">
        <v>25</v>
      </c>
      <c r="AS866" s="234" t="s">
        <v>25</v>
      </c>
      <c r="AT866" s="188" t="s">
        <v>306</v>
      </c>
      <c r="AU866" s="188" t="s">
        <v>306</v>
      </c>
      <c r="AV866" s="234" t="s">
        <v>306</v>
      </c>
      <c r="AW866" s="188" t="s">
        <v>306</v>
      </c>
      <c r="AX866" s="188" t="s">
        <v>306</v>
      </c>
      <c r="AY866" s="234" t="s">
        <v>306</v>
      </c>
      <c r="AZ866" s="188" t="s">
        <v>25</v>
      </c>
      <c r="BA866" s="188" t="s">
        <v>25</v>
      </c>
      <c r="BB866" s="234" t="s">
        <v>25</v>
      </c>
      <c r="BC866" s="235" t="s">
        <v>25</v>
      </c>
      <c r="BD866" s="188"/>
    </row>
    <row r="867" spans="1:56" ht="12.75" customHeight="1" x14ac:dyDescent="0.25">
      <c r="A867" s="238">
        <v>44788.725175092593</v>
      </c>
      <c r="B867" s="137" t="s">
        <v>384</v>
      </c>
      <c r="C867" s="211" t="s">
        <v>595</v>
      </c>
      <c r="D867" s="211" t="s">
        <v>17</v>
      </c>
      <c r="E867" s="232" t="s">
        <v>515</v>
      </c>
      <c r="F867" s="188" t="s">
        <v>1436</v>
      </c>
      <c r="G867" s="211" t="s">
        <v>24</v>
      </c>
      <c r="H867" s="211">
        <v>12</v>
      </c>
      <c r="I867" s="188" t="s">
        <v>518</v>
      </c>
      <c r="J867" s="188" t="s">
        <v>573</v>
      </c>
      <c r="K867" s="209" t="s">
        <v>573</v>
      </c>
      <c r="L867" s="188" t="s">
        <v>518</v>
      </c>
      <c r="M867" s="188" t="s">
        <v>412</v>
      </c>
      <c r="N867" s="188"/>
      <c r="O867" s="188"/>
      <c r="P867" s="188"/>
      <c r="Q867" s="188" t="s">
        <v>25</v>
      </c>
      <c r="R867" s="188" t="s">
        <v>306</v>
      </c>
      <c r="S867" s="234" t="s">
        <v>25</v>
      </c>
      <c r="T867" s="188" t="s">
        <v>19</v>
      </c>
      <c r="U867" s="188" t="s">
        <v>25</v>
      </c>
      <c r="V867" s="234" t="s">
        <v>306</v>
      </c>
      <c r="W867" s="188" t="s">
        <v>306</v>
      </c>
      <c r="X867" s="188" t="s">
        <v>306</v>
      </c>
      <c r="Y867" s="234" t="s">
        <v>306</v>
      </c>
      <c r="Z867" s="188" t="s">
        <v>25</v>
      </c>
      <c r="AA867" s="188" t="s">
        <v>306</v>
      </c>
      <c r="AB867" s="234" t="s">
        <v>25</v>
      </c>
      <c r="AC867" s="235" t="s">
        <v>306</v>
      </c>
      <c r="AD867" s="188" t="s">
        <v>306</v>
      </c>
      <c r="AE867" s="188" t="s">
        <v>19</v>
      </c>
      <c r="AF867" s="234" t="s">
        <v>306</v>
      </c>
      <c r="AG867" s="188" t="s">
        <v>306</v>
      </c>
      <c r="AH867" s="188" t="s">
        <v>19</v>
      </c>
      <c r="AI867" s="234" t="s">
        <v>306</v>
      </c>
      <c r="AJ867" s="188" t="s">
        <v>306</v>
      </c>
      <c r="AK867" s="188" t="s">
        <v>19</v>
      </c>
      <c r="AL867" s="234" t="s">
        <v>306</v>
      </c>
      <c r="AM867" s="188" t="s">
        <v>19</v>
      </c>
      <c r="AN867" s="188" t="s">
        <v>19</v>
      </c>
      <c r="AO867" s="234" t="s">
        <v>19</v>
      </c>
      <c r="AP867" s="235" t="s">
        <v>19</v>
      </c>
      <c r="AQ867" s="188" t="s">
        <v>19</v>
      </c>
      <c r="AR867" s="188" t="s">
        <v>25</v>
      </c>
      <c r="AS867" s="234" t="s">
        <v>306</v>
      </c>
      <c r="AT867" s="188" t="s">
        <v>306</v>
      </c>
      <c r="AU867" s="188" t="s">
        <v>19</v>
      </c>
      <c r="AV867" s="234" t="s">
        <v>306</v>
      </c>
      <c r="AW867" s="188" t="s">
        <v>306</v>
      </c>
      <c r="AX867" s="188" t="s">
        <v>306</v>
      </c>
      <c r="AY867" s="234" t="s">
        <v>306</v>
      </c>
      <c r="AZ867" s="188" t="s">
        <v>25</v>
      </c>
      <c r="BA867" s="188" t="s">
        <v>19</v>
      </c>
      <c r="BB867" s="234" t="s">
        <v>25</v>
      </c>
      <c r="BC867" s="235" t="s">
        <v>25</v>
      </c>
      <c r="BD867" s="188"/>
    </row>
    <row r="868" spans="1:56" ht="12.75" customHeight="1" x14ac:dyDescent="0.25">
      <c r="A868" s="238">
        <v>44788.728885011573</v>
      </c>
      <c r="B868" s="137" t="s">
        <v>384</v>
      </c>
      <c r="C868" s="211" t="s">
        <v>595</v>
      </c>
      <c r="D868" s="211" t="s">
        <v>17</v>
      </c>
      <c r="E868" s="232" t="s">
        <v>515</v>
      </c>
      <c r="F868" s="188" t="s">
        <v>1437</v>
      </c>
      <c r="G868" s="211" t="s">
        <v>18</v>
      </c>
      <c r="H868" s="211">
        <v>13</v>
      </c>
      <c r="I868" s="188" t="s">
        <v>518</v>
      </c>
      <c r="J868" s="188" t="s">
        <v>573</v>
      </c>
      <c r="K868" s="209" t="s">
        <v>573</v>
      </c>
      <c r="L868" s="188" t="s">
        <v>518</v>
      </c>
      <c r="M868" s="188" t="s">
        <v>412</v>
      </c>
      <c r="N868" s="188"/>
      <c r="O868" s="188"/>
      <c r="P868" s="188"/>
      <c r="Q868" s="188" t="s">
        <v>25</v>
      </c>
      <c r="R868" s="188" t="s">
        <v>306</v>
      </c>
      <c r="S868" s="234" t="s">
        <v>25</v>
      </c>
      <c r="T868" s="188" t="s">
        <v>19</v>
      </c>
      <c r="U868" s="188" t="s">
        <v>306</v>
      </c>
      <c r="V868" s="234" t="s">
        <v>306</v>
      </c>
      <c r="W868" s="188" t="s">
        <v>19</v>
      </c>
      <c r="X868" s="188" t="s">
        <v>19</v>
      </c>
      <c r="Y868" s="234" t="s">
        <v>19</v>
      </c>
      <c r="Z868" s="188" t="s">
        <v>25</v>
      </c>
      <c r="AA868" s="188" t="s">
        <v>306</v>
      </c>
      <c r="AB868" s="234" t="s">
        <v>25</v>
      </c>
      <c r="AC868" s="235" t="s">
        <v>306</v>
      </c>
      <c r="AD868" s="188" t="s">
        <v>25</v>
      </c>
      <c r="AE868" s="188" t="s">
        <v>306</v>
      </c>
      <c r="AF868" s="234" t="s">
        <v>25</v>
      </c>
      <c r="AG868" s="188" t="s">
        <v>306</v>
      </c>
      <c r="AH868" s="188" t="s">
        <v>19</v>
      </c>
      <c r="AI868" s="234" t="s">
        <v>306</v>
      </c>
      <c r="AJ868" s="188" t="s">
        <v>306</v>
      </c>
      <c r="AK868" s="188" t="s">
        <v>19</v>
      </c>
      <c r="AL868" s="234" t="s">
        <v>306</v>
      </c>
      <c r="AM868" s="188" t="s">
        <v>19</v>
      </c>
      <c r="AN868" s="188" t="s">
        <v>306</v>
      </c>
      <c r="AO868" s="234" t="s">
        <v>306</v>
      </c>
      <c r="AP868" s="235" t="s">
        <v>306</v>
      </c>
      <c r="AQ868" s="188" t="s">
        <v>19</v>
      </c>
      <c r="AR868" s="188" t="s">
        <v>19</v>
      </c>
      <c r="AS868" s="234" t="s">
        <v>19</v>
      </c>
      <c r="AT868" s="188" t="s">
        <v>25</v>
      </c>
      <c r="AU868" s="188" t="s">
        <v>25</v>
      </c>
      <c r="AV868" s="234" t="s">
        <v>25</v>
      </c>
      <c r="AW868" s="188" t="s">
        <v>306</v>
      </c>
      <c r="AX868" s="188" t="s">
        <v>25</v>
      </c>
      <c r="AY868" s="234" t="s">
        <v>25</v>
      </c>
      <c r="AZ868" s="188" t="s">
        <v>25</v>
      </c>
      <c r="BA868" s="188" t="s">
        <v>19</v>
      </c>
      <c r="BB868" s="234" t="s">
        <v>25</v>
      </c>
      <c r="BC868" s="235" t="s">
        <v>25</v>
      </c>
      <c r="BD868" s="188"/>
    </row>
    <row r="869" spans="1:56" ht="12.75" customHeight="1" x14ac:dyDescent="0.25">
      <c r="A869" s="238">
        <v>44788.737046168986</v>
      </c>
      <c r="B869" s="137" t="s">
        <v>384</v>
      </c>
      <c r="C869" s="211" t="s">
        <v>595</v>
      </c>
      <c r="D869" s="211" t="s">
        <v>17</v>
      </c>
      <c r="E869" s="232" t="s">
        <v>515</v>
      </c>
      <c r="F869" s="188" t="s">
        <v>1438</v>
      </c>
      <c r="G869" s="211" t="s">
        <v>24</v>
      </c>
      <c r="H869" s="211">
        <v>11</v>
      </c>
      <c r="I869" s="188" t="s">
        <v>518</v>
      </c>
      <c r="J869" s="188" t="s">
        <v>573</v>
      </c>
      <c r="K869" s="209" t="s">
        <v>573</v>
      </c>
      <c r="L869" s="188" t="s">
        <v>518</v>
      </c>
      <c r="M869" s="188" t="s">
        <v>412</v>
      </c>
      <c r="N869" s="188"/>
      <c r="O869" s="188"/>
      <c r="P869" s="188"/>
      <c r="Q869" s="188" t="s">
        <v>25</v>
      </c>
      <c r="R869" s="188" t="s">
        <v>306</v>
      </c>
      <c r="S869" s="234" t="s">
        <v>25</v>
      </c>
      <c r="T869" s="188" t="s">
        <v>306</v>
      </c>
      <c r="U869" s="188" t="s">
        <v>25</v>
      </c>
      <c r="V869" s="234" t="s">
        <v>25</v>
      </c>
      <c r="W869" s="188" t="s">
        <v>19</v>
      </c>
      <c r="X869" s="188" t="s">
        <v>306</v>
      </c>
      <c r="Y869" s="234" t="s">
        <v>306</v>
      </c>
      <c r="Z869" s="188" t="s">
        <v>25</v>
      </c>
      <c r="AA869" s="188" t="s">
        <v>306</v>
      </c>
      <c r="AB869" s="234" t="s">
        <v>25</v>
      </c>
      <c r="AC869" s="235" t="s">
        <v>306</v>
      </c>
      <c r="AD869" s="188" t="s">
        <v>306</v>
      </c>
      <c r="AE869" s="188" t="s">
        <v>306</v>
      </c>
      <c r="AF869" s="234" t="s">
        <v>306</v>
      </c>
      <c r="AG869" s="188" t="s">
        <v>25</v>
      </c>
      <c r="AH869" s="188" t="s">
        <v>306</v>
      </c>
      <c r="AI869" s="234" t="s">
        <v>25</v>
      </c>
      <c r="AJ869" s="188" t="s">
        <v>19</v>
      </c>
      <c r="AK869" s="188" t="s">
        <v>306</v>
      </c>
      <c r="AL869" s="234" t="s">
        <v>306</v>
      </c>
      <c r="AM869" s="188" t="s">
        <v>19</v>
      </c>
      <c r="AN869" s="188" t="s">
        <v>306</v>
      </c>
      <c r="AO869" s="234" t="s">
        <v>306</v>
      </c>
      <c r="AP869" s="235" t="s">
        <v>306</v>
      </c>
      <c r="AQ869" s="188" t="s">
        <v>19</v>
      </c>
      <c r="AR869" s="188" t="s">
        <v>306</v>
      </c>
      <c r="AS869" s="234" t="s">
        <v>306</v>
      </c>
      <c r="AT869" s="188" t="s">
        <v>306</v>
      </c>
      <c r="AU869" s="188" t="s">
        <v>306</v>
      </c>
      <c r="AV869" s="234" t="s">
        <v>306</v>
      </c>
      <c r="AW869" s="188" t="s">
        <v>25</v>
      </c>
      <c r="AX869" s="188" t="s">
        <v>19</v>
      </c>
      <c r="AY869" s="234" t="s">
        <v>306</v>
      </c>
      <c r="AZ869" s="188" t="s">
        <v>25</v>
      </c>
      <c r="BA869" s="188" t="s">
        <v>19</v>
      </c>
      <c r="BB869" s="234" t="s">
        <v>25</v>
      </c>
      <c r="BC869" s="235" t="s">
        <v>25</v>
      </c>
      <c r="BD869" s="188"/>
    </row>
    <row r="870" spans="1:56" ht="12.75" customHeight="1" x14ac:dyDescent="0.25">
      <c r="A870" s="238">
        <v>44789.741727604167</v>
      </c>
      <c r="B870" s="137" t="s">
        <v>384</v>
      </c>
      <c r="C870" s="211" t="s">
        <v>595</v>
      </c>
      <c r="D870" s="211" t="s">
        <v>17</v>
      </c>
      <c r="E870" s="232" t="s">
        <v>515</v>
      </c>
      <c r="F870" s="188" t="s">
        <v>1439</v>
      </c>
      <c r="G870" s="211" t="s">
        <v>18</v>
      </c>
      <c r="H870" s="211">
        <v>12</v>
      </c>
      <c r="I870" s="188" t="s">
        <v>518</v>
      </c>
      <c r="J870" s="188" t="s">
        <v>573</v>
      </c>
      <c r="K870" s="209" t="s">
        <v>573</v>
      </c>
      <c r="L870" s="188" t="s">
        <v>518</v>
      </c>
      <c r="M870" s="188" t="s">
        <v>412</v>
      </c>
      <c r="N870" s="188"/>
      <c r="O870" s="188"/>
      <c r="P870" s="188"/>
      <c r="Q870" s="188" t="s">
        <v>25</v>
      </c>
      <c r="R870" s="188" t="s">
        <v>25</v>
      </c>
      <c r="S870" s="234" t="s">
        <v>25</v>
      </c>
      <c r="T870" s="188" t="s">
        <v>25</v>
      </c>
      <c r="U870" s="188" t="s">
        <v>25</v>
      </c>
      <c r="V870" s="234" t="s">
        <v>25</v>
      </c>
      <c r="W870" s="188" t="s">
        <v>25</v>
      </c>
      <c r="X870" s="188" t="s">
        <v>25</v>
      </c>
      <c r="Y870" s="234" t="s">
        <v>25</v>
      </c>
      <c r="Z870" s="188" t="s">
        <v>25</v>
      </c>
      <c r="AA870" s="188" t="s">
        <v>25</v>
      </c>
      <c r="AB870" s="234" t="s">
        <v>25</v>
      </c>
      <c r="AC870" s="235" t="s">
        <v>25</v>
      </c>
      <c r="AD870" s="188" t="s">
        <v>25</v>
      </c>
      <c r="AE870" s="188" t="s">
        <v>25</v>
      </c>
      <c r="AF870" s="234" t="s">
        <v>25</v>
      </c>
      <c r="AG870" s="188" t="s">
        <v>25</v>
      </c>
      <c r="AH870" s="188" t="s">
        <v>25</v>
      </c>
      <c r="AI870" s="234" t="s">
        <v>25</v>
      </c>
      <c r="AJ870" s="188" t="s">
        <v>25</v>
      </c>
      <c r="AK870" s="188" t="s">
        <v>25</v>
      </c>
      <c r="AL870" s="234" t="s">
        <v>25</v>
      </c>
      <c r="AM870" s="188" t="s">
        <v>306</v>
      </c>
      <c r="AN870" s="188" t="s">
        <v>306</v>
      </c>
      <c r="AO870" s="234" t="s">
        <v>306</v>
      </c>
      <c r="AP870" s="235" t="s">
        <v>25</v>
      </c>
      <c r="AQ870" s="188" t="s">
        <v>25</v>
      </c>
      <c r="AR870" s="188" t="s">
        <v>25</v>
      </c>
      <c r="AS870" s="234" t="s">
        <v>25</v>
      </c>
      <c r="AT870" s="188" t="s">
        <v>25</v>
      </c>
      <c r="AU870" s="188" t="s">
        <v>25</v>
      </c>
      <c r="AV870" s="234" t="s">
        <v>25</v>
      </c>
      <c r="AW870" s="188" t="s">
        <v>25</v>
      </c>
      <c r="AX870" s="188" t="s">
        <v>25</v>
      </c>
      <c r="AY870" s="234" t="s">
        <v>25</v>
      </c>
      <c r="AZ870" s="188" t="s">
        <v>25</v>
      </c>
      <c r="BA870" s="188" t="s">
        <v>25</v>
      </c>
      <c r="BB870" s="234" t="s">
        <v>25</v>
      </c>
      <c r="BC870" s="235" t="s">
        <v>306</v>
      </c>
      <c r="BD870" s="188"/>
    </row>
    <row r="871" spans="1:56" ht="12.75" customHeight="1" x14ac:dyDescent="0.25">
      <c r="A871" s="238">
        <v>44789.743968182869</v>
      </c>
      <c r="B871" s="137" t="s">
        <v>384</v>
      </c>
      <c r="C871" s="211" t="s">
        <v>595</v>
      </c>
      <c r="D871" s="211" t="s">
        <v>17</v>
      </c>
      <c r="E871" s="232" t="s">
        <v>515</v>
      </c>
      <c r="F871" s="188" t="s">
        <v>1440</v>
      </c>
      <c r="G871" s="211" t="s">
        <v>18</v>
      </c>
      <c r="H871" s="211">
        <v>13</v>
      </c>
      <c r="I871" s="188" t="s">
        <v>518</v>
      </c>
      <c r="J871" s="188" t="s">
        <v>573</v>
      </c>
      <c r="K871" s="209" t="s">
        <v>573</v>
      </c>
      <c r="L871" s="188" t="s">
        <v>518</v>
      </c>
      <c r="M871" s="188" t="s">
        <v>412</v>
      </c>
      <c r="N871" s="188"/>
      <c r="O871" s="188"/>
      <c r="P871" s="188"/>
      <c r="Q871" s="188" t="s">
        <v>25</v>
      </c>
      <c r="R871" s="188" t="s">
        <v>25</v>
      </c>
      <c r="S871" s="234" t="s">
        <v>25</v>
      </c>
      <c r="T871" s="188" t="s">
        <v>25</v>
      </c>
      <c r="U871" s="188" t="s">
        <v>25</v>
      </c>
      <c r="V871" s="234" t="s">
        <v>25</v>
      </c>
      <c r="W871" s="188" t="s">
        <v>25</v>
      </c>
      <c r="X871" s="188" t="s">
        <v>25</v>
      </c>
      <c r="Y871" s="234" t="s">
        <v>25</v>
      </c>
      <c r="Z871" s="188" t="s">
        <v>25</v>
      </c>
      <c r="AA871" s="188" t="s">
        <v>25</v>
      </c>
      <c r="AB871" s="234" t="s">
        <v>25</v>
      </c>
      <c r="AC871" s="235" t="s">
        <v>25</v>
      </c>
      <c r="AD871" s="188" t="s">
        <v>306</v>
      </c>
      <c r="AE871" s="188" t="s">
        <v>25</v>
      </c>
      <c r="AF871" s="234" t="s">
        <v>25</v>
      </c>
      <c r="AG871" s="188" t="s">
        <v>25</v>
      </c>
      <c r="AH871" s="188" t="s">
        <v>25</v>
      </c>
      <c r="AI871" s="234" t="s">
        <v>25</v>
      </c>
      <c r="AJ871" s="188" t="s">
        <v>25</v>
      </c>
      <c r="AK871" s="188" t="s">
        <v>306</v>
      </c>
      <c r="AL871" s="234" t="s">
        <v>25</v>
      </c>
      <c r="AM871" s="188" t="s">
        <v>25</v>
      </c>
      <c r="AN871" s="188" t="s">
        <v>19</v>
      </c>
      <c r="AO871" s="234" t="s">
        <v>306</v>
      </c>
      <c r="AP871" s="235" t="s">
        <v>25</v>
      </c>
      <c r="AQ871" s="188" t="s">
        <v>25</v>
      </c>
      <c r="AR871" s="188" t="s">
        <v>306</v>
      </c>
      <c r="AS871" s="234" t="s">
        <v>25</v>
      </c>
      <c r="AT871" s="188" t="s">
        <v>25</v>
      </c>
      <c r="AU871" s="188" t="s">
        <v>25</v>
      </c>
      <c r="AV871" s="234" t="s">
        <v>25</v>
      </c>
      <c r="AW871" s="188" t="s">
        <v>25</v>
      </c>
      <c r="AX871" s="188" t="s">
        <v>25</v>
      </c>
      <c r="AY871" s="234" t="s">
        <v>25</v>
      </c>
      <c r="AZ871" s="188" t="s">
        <v>25</v>
      </c>
      <c r="BA871" s="188" t="s">
        <v>25</v>
      </c>
      <c r="BB871" s="234" t="s">
        <v>25</v>
      </c>
      <c r="BC871" s="235" t="s">
        <v>306</v>
      </c>
      <c r="BD871" s="188"/>
    </row>
    <row r="872" spans="1:56" ht="12.75" customHeight="1" x14ac:dyDescent="0.25">
      <c r="A872" s="238">
        <v>44789.752024976857</v>
      </c>
      <c r="B872" s="137" t="s">
        <v>384</v>
      </c>
      <c r="C872" s="211" t="s">
        <v>595</v>
      </c>
      <c r="D872" s="211" t="s">
        <v>17</v>
      </c>
      <c r="E872" s="232" t="s">
        <v>515</v>
      </c>
      <c r="F872" s="188" t="s">
        <v>1441</v>
      </c>
      <c r="G872" s="211" t="s">
        <v>24</v>
      </c>
      <c r="H872" s="211">
        <v>11</v>
      </c>
      <c r="I872" s="188" t="s">
        <v>518</v>
      </c>
      <c r="J872" s="188" t="s">
        <v>573</v>
      </c>
      <c r="K872" s="209" t="s">
        <v>573</v>
      </c>
      <c r="L872" s="188" t="s">
        <v>518</v>
      </c>
      <c r="M872" s="188" t="s">
        <v>412</v>
      </c>
      <c r="N872" s="188"/>
      <c r="O872" s="188"/>
      <c r="P872" s="188"/>
      <c r="Q872" s="188" t="s">
        <v>25</v>
      </c>
      <c r="R872" s="188" t="s">
        <v>25</v>
      </c>
      <c r="S872" s="234" t="s">
        <v>25</v>
      </c>
      <c r="T872" s="188" t="s">
        <v>25</v>
      </c>
      <c r="U872" s="188" t="s">
        <v>25</v>
      </c>
      <c r="V872" s="234" t="s">
        <v>25</v>
      </c>
      <c r="W872" s="188" t="s">
        <v>19</v>
      </c>
      <c r="X872" s="188" t="s">
        <v>25</v>
      </c>
      <c r="Y872" s="234" t="s">
        <v>306</v>
      </c>
      <c r="Z872" s="188" t="s">
        <v>25</v>
      </c>
      <c r="AA872" s="188" t="s">
        <v>306</v>
      </c>
      <c r="AB872" s="234" t="s">
        <v>25</v>
      </c>
      <c r="AC872" s="235" t="s">
        <v>25</v>
      </c>
      <c r="AD872" s="188" t="s">
        <v>25</v>
      </c>
      <c r="AE872" s="188" t="s">
        <v>25</v>
      </c>
      <c r="AF872" s="234" t="s">
        <v>25</v>
      </c>
      <c r="AG872" s="188" t="s">
        <v>25</v>
      </c>
      <c r="AH872" s="188" t="s">
        <v>306</v>
      </c>
      <c r="AI872" s="234" t="s">
        <v>25</v>
      </c>
      <c r="AJ872" s="188" t="s">
        <v>25</v>
      </c>
      <c r="AK872" s="188" t="s">
        <v>25</v>
      </c>
      <c r="AL872" s="234" t="s">
        <v>25</v>
      </c>
      <c r="AM872" s="188" t="s">
        <v>19</v>
      </c>
      <c r="AN872" s="188" t="s">
        <v>19</v>
      </c>
      <c r="AO872" s="234" t="s">
        <v>19</v>
      </c>
      <c r="AP872" s="235" t="s">
        <v>306</v>
      </c>
      <c r="AQ872" s="188" t="s">
        <v>25</v>
      </c>
      <c r="AR872" s="188" t="s">
        <v>25</v>
      </c>
      <c r="AS872" s="234" t="s">
        <v>25</v>
      </c>
      <c r="AT872" s="188" t="s">
        <v>25</v>
      </c>
      <c r="AU872" s="188" t="s">
        <v>25</v>
      </c>
      <c r="AV872" s="234" t="s">
        <v>25</v>
      </c>
      <c r="AW872" s="188" t="s">
        <v>25</v>
      </c>
      <c r="AX872" s="188" t="s">
        <v>25</v>
      </c>
      <c r="AY872" s="234" t="s">
        <v>25</v>
      </c>
      <c r="AZ872" s="188" t="s">
        <v>25</v>
      </c>
      <c r="BA872" s="188" t="s">
        <v>25</v>
      </c>
      <c r="BB872" s="234" t="s">
        <v>25</v>
      </c>
      <c r="BC872" s="235" t="s">
        <v>25</v>
      </c>
      <c r="BD872" s="188"/>
    </row>
    <row r="873" spans="1:56" ht="12.75" customHeight="1" x14ac:dyDescent="0.25">
      <c r="A873" s="238">
        <v>44789.754801701391</v>
      </c>
      <c r="B873" s="137" t="s">
        <v>384</v>
      </c>
      <c r="C873" s="211" t="s">
        <v>595</v>
      </c>
      <c r="D873" s="211" t="s">
        <v>17</v>
      </c>
      <c r="E873" s="232" t="s">
        <v>515</v>
      </c>
      <c r="F873" s="188" t="s">
        <v>1442</v>
      </c>
      <c r="G873" s="211" t="s">
        <v>18</v>
      </c>
      <c r="H873" s="211">
        <v>14</v>
      </c>
      <c r="I873" s="188" t="s">
        <v>518</v>
      </c>
      <c r="J873" s="188" t="s">
        <v>573</v>
      </c>
      <c r="K873" s="209" t="s">
        <v>573</v>
      </c>
      <c r="L873" s="188" t="s">
        <v>518</v>
      </c>
      <c r="M873" s="188" t="s">
        <v>412</v>
      </c>
      <c r="N873" s="188"/>
      <c r="O873" s="188"/>
      <c r="P873" s="188"/>
      <c r="Q873" s="188" t="s">
        <v>25</v>
      </c>
      <c r="R873" s="188" t="s">
        <v>306</v>
      </c>
      <c r="S873" s="234" t="s">
        <v>25</v>
      </c>
      <c r="T873" s="188" t="s">
        <v>19</v>
      </c>
      <c r="U873" s="188" t="s">
        <v>25</v>
      </c>
      <c r="V873" s="234" t="s">
        <v>306</v>
      </c>
      <c r="W873" s="188" t="s">
        <v>19</v>
      </c>
      <c r="X873" s="188" t="s">
        <v>306</v>
      </c>
      <c r="Y873" s="234" t="s">
        <v>306</v>
      </c>
      <c r="Z873" s="188" t="s">
        <v>306</v>
      </c>
      <c r="AA873" s="188" t="s">
        <v>306</v>
      </c>
      <c r="AB873" s="234" t="s">
        <v>306</v>
      </c>
      <c r="AC873" s="235" t="s">
        <v>306</v>
      </c>
      <c r="AD873" s="188" t="s">
        <v>306</v>
      </c>
      <c r="AE873" s="188" t="s">
        <v>306</v>
      </c>
      <c r="AF873" s="234" t="s">
        <v>306</v>
      </c>
      <c r="AG873" s="188" t="s">
        <v>25</v>
      </c>
      <c r="AH873" s="188" t="s">
        <v>19</v>
      </c>
      <c r="AI873" s="234" t="s">
        <v>306</v>
      </c>
      <c r="AJ873" s="188" t="s">
        <v>19</v>
      </c>
      <c r="AK873" s="188" t="s">
        <v>25</v>
      </c>
      <c r="AL873" s="234" t="s">
        <v>306</v>
      </c>
      <c r="AM873" s="188" t="s">
        <v>306</v>
      </c>
      <c r="AN873" s="188" t="s">
        <v>19</v>
      </c>
      <c r="AO873" s="234" t="s">
        <v>306</v>
      </c>
      <c r="AP873" s="235" t="s">
        <v>306</v>
      </c>
      <c r="AQ873" s="188" t="s">
        <v>306</v>
      </c>
      <c r="AR873" s="188" t="s">
        <v>19</v>
      </c>
      <c r="AS873" s="234" t="s">
        <v>306</v>
      </c>
      <c r="AT873" s="188" t="s">
        <v>306</v>
      </c>
      <c r="AU873" s="188" t="s">
        <v>306</v>
      </c>
      <c r="AV873" s="234" t="s">
        <v>306</v>
      </c>
      <c r="AW873" s="188" t="s">
        <v>306</v>
      </c>
      <c r="AX873" s="188" t="s">
        <v>19</v>
      </c>
      <c r="AY873" s="234" t="s">
        <v>306</v>
      </c>
      <c r="AZ873" s="188" t="s">
        <v>306</v>
      </c>
      <c r="BA873" s="188" t="s">
        <v>25</v>
      </c>
      <c r="BB873" s="234" t="s">
        <v>25</v>
      </c>
      <c r="BC873" s="235" t="s">
        <v>25</v>
      </c>
      <c r="BD873" s="188"/>
    </row>
    <row r="874" spans="1:56" ht="12.75" customHeight="1" x14ac:dyDescent="0.25">
      <c r="A874" s="238">
        <v>44789.760717777783</v>
      </c>
      <c r="B874" s="137" t="s">
        <v>384</v>
      </c>
      <c r="C874" s="211" t="s">
        <v>595</v>
      </c>
      <c r="D874" s="211" t="s">
        <v>17</v>
      </c>
      <c r="E874" s="232" t="s">
        <v>515</v>
      </c>
      <c r="F874" s="188" t="s">
        <v>575</v>
      </c>
      <c r="G874" s="211" t="s">
        <v>18</v>
      </c>
      <c r="H874" s="211">
        <v>11</v>
      </c>
      <c r="I874" s="188" t="s">
        <v>518</v>
      </c>
      <c r="J874" s="188" t="s">
        <v>573</v>
      </c>
      <c r="K874" s="209" t="s">
        <v>573</v>
      </c>
      <c r="L874" s="188" t="s">
        <v>518</v>
      </c>
      <c r="M874" s="188" t="s">
        <v>412</v>
      </c>
      <c r="N874" s="188"/>
      <c r="O874" s="188"/>
      <c r="P874" s="188"/>
      <c r="Q874" s="188" t="s">
        <v>306</v>
      </c>
      <c r="R874" s="188" t="s">
        <v>19</v>
      </c>
      <c r="S874" s="234" t="s">
        <v>306</v>
      </c>
      <c r="T874" s="188" t="s">
        <v>306</v>
      </c>
      <c r="U874" s="188" t="s">
        <v>25</v>
      </c>
      <c r="V874" s="234" t="s">
        <v>25</v>
      </c>
      <c r="W874" s="188" t="s">
        <v>25</v>
      </c>
      <c r="X874" s="188" t="s">
        <v>306</v>
      </c>
      <c r="Y874" s="234" t="s">
        <v>25</v>
      </c>
      <c r="Z874" s="188" t="s">
        <v>19</v>
      </c>
      <c r="AA874" s="188" t="s">
        <v>306</v>
      </c>
      <c r="AB874" s="234" t="s">
        <v>306</v>
      </c>
      <c r="AC874" s="235" t="s">
        <v>306</v>
      </c>
      <c r="AD874" s="188" t="s">
        <v>19</v>
      </c>
      <c r="AE874" s="188" t="s">
        <v>306</v>
      </c>
      <c r="AF874" s="234" t="s">
        <v>306</v>
      </c>
      <c r="AG874" s="188" t="s">
        <v>306</v>
      </c>
      <c r="AH874" s="188" t="s">
        <v>19</v>
      </c>
      <c r="AI874" s="234" t="s">
        <v>306</v>
      </c>
      <c r="AJ874" s="188" t="s">
        <v>306</v>
      </c>
      <c r="AK874" s="188" t="s">
        <v>306</v>
      </c>
      <c r="AL874" s="234" t="s">
        <v>306</v>
      </c>
      <c r="AM874" s="188" t="s">
        <v>306</v>
      </c>
      <c r="AN874" s="188" t="s">
        <v>306</v>
      </c>
      <c r="AO874" s="234" t="s">
        <v>306</v>
      </c>
      <c r="AP874" s="235" t="s">
        <v>306</v>
      </c>
      <c r="AQ874" s="188" t="s">
        <v>25</v>
      </c>
      <c r="AR874" s="188" t="s">
        <v>306</v>
      </c>
      <c r="AS874" s="234" t="s">
        <v>25</v>
      </c>
      <c r="AT874" s="188" t="s">
        <v>19</v>
      </c>
      <c r="AU874" s="188" t="s">
        <v>306</v>
      </c>
      <c r="AV874" s="234" t="s">
        <v>306</v>
      </c>
      <c r="AW874" s="188" t="s">
        <v>306</v>
      </c>
      <c r="AX874" s="188" t="s">
        <v>306</v>
      </c>
      <c r="AY874" s="234" t="s">
        <v>306</v>
      </c>
      <c r="AZ874" s="188" t="s">
        <v>306</v>
      </c>
      <c r="BA874" s="188" t="s">
        <v>306</v>
      </c>
      <c r="BB874" s="234" t="s">
        <v>25</v>
      </c>
      <c r="BC874" s="235" t="s">
        <v>25</v>
      </c>
      <c r="BD874" s="188"/>
    </row>
    <row r="875" spans="1:56" ht="12.75" customHeight="1" x14ac:dyDescent="0.25">
      <c r="A875" s="238">
        <v>44789.765382743055</v>
      </c>
      <c r="B875" s="137" t="s">
        <v>384</v>
      </c>
      <c r="C875" s="211" t="s">
        <v>595</v>
      </c>
      <c r="D875" s="211" t="s">
        <v>17</v>
      </c>
      <c r="E875" s="232" t="s">
        <v>515</v>
      </c>
      <c r="F875" s="188" t="s">
        <v>1443</v>
      </c>
      <c r="G875" s="211" t="s">
        <v>24</v>
      </c>
      <c r="H875" s="211">
        <v>11</v>
      </c>
      <c r="I875" s="188" t="s">
        <v>518</v>
      </c>
      <c r="J875" s="188" t="s">
        <v>573</v>
      </c>
      <c r="K875" s="209" t="s">
        <v>573</v>
      </c>
      <c r="L875" s="188" t="s">
        <v>518</v>
      </c>
      <c r="M875" s="188" t="s">
        <v>412</v>
      </c>
      <c r="N875" s="188"/>
      <c r="O875" s="188"/>
      <c r="P875" s="188"/>
      <c r="Q875" s="188" t="s">
        <v>25</v>
      </c>
      <c r="R875" s="188" t="s">
        <v>25</v>
      </c>
      <c r="S875" s="234" t="s">
        <v>25</v>
      </c>
      <c r="T875" s="188" t="s">
        <v>25</v>
      </c>
      <c r="U875" s="188" t="s">
        <v>25</v>
      </c>
      <c r="V875" s="234" t="s">
        <v>25</v>
      </c>
      <c r="W875" s="188" t="s">
        <v>25</v>
      </c>
      <c r="X875" s="188" t="s">
        <v>25</v>
      </c>
      <c r="Y875" s="234" t="s">
        <v>25</v>
      </c>
      <c r="Z875" s="188" t="s">
        <v>25</v>
      </c>
      <c r="AA875" s="188" t="s">
        <v>306</v>
      </c>
      <c r="AB875" s="234" t="s">
        <v>25</v>
      </c>
      <c r="AC875" s="235" t="s">
        <v>25</v>
      </c>
      <c r="AD875" s="188" t="s">
        <v>25</v>
      </c>
      <c r="AE875" s="188" t="s">
        <v>25</v>
      </c>
      <c r="AF875" s="234" t="s">
        <v>25</v>
      </c>
      <c r="AG875" s="188" t="s">
        <v>25</v>
      </c>
      <c r="AH875" s="188" t="s">
        <v>306</v>
      </c>
      <c r="AI875" s="234" t="s">
        <v>25</v>
      </c>
      <c r="AJ875" s="188" t="s">
        <v>25</v>
      </c>
      <c r="AK875" s="188" t="s">
        <v>25</v>
      </c>
      <c r="AL875" s="234" t="s">
        <v>25</v>
      </c>
      <c r="AM875" s="188" t="s">
        <v>19</v>
      </c>
      <c r="AN875" s="188" t="s">
        <v>19</v>
      </c>
      <c r="AO875" s="234" t="s">
        <v>19</v>
      </c>
      <c r="AP875" s="235" t="s">
        <v>306</v>
      </c>
      <c r="AQ875" s="188" t="s">
        <v>25</v>
      </c>
      <c r="AR875" s="188" t="s">
        <v>25</v>
      </c>
      <c r="AS875" s="234" t="s">
        <v>25</v>
      </c>
      <c r="AT875" s="188" t="s">
        <v>25</v>
      </c>
      <c r="AU875" s="188" t="s">
        <v>25</v>
      </c>
      <c r="AV875" s="234" t="s">
        <v>25</v>
      </c>
      <c r="AW875" s="188" t="s">
        <v>25</v>
      </c>
      <c r="AX875" s="188" t="s">
        <v>25</v>
      </c>
      <c r="AY875" s="234" t="s">
        <v>25</v>
      </c>
      <c r="AZ875" s="188" t="s">
        <v>25</v>
      </c>
      <c r="BA875" s="188" t="s">
        <v>25</v>
      </c>
      <c r="BB875" s="234" t="s">
        <v>25</v>
      </c>
      <c r="BC875" s="235" t="s">
        <v>25</v>
      </c>
      <c r="BD875" s="188"/>
    </row>
    <row r="876" spans="1:56" ht="12.75" customHeight="1" x14ac:dyDescent="0.25">
      <c r="A876" s="238">
        <v>44789.798500347228</v>
      </c>
      <c r="B876" s="137" t="s">
        <v>384</v>
      </c>
      <c r="C876" s="211" t="s">
        <v>595</v>
      </c>
      <c r="D876" s="211" t="s">
        <v>17</v>
      </c>
      <c r="E876" s="232" t="s">
        <v>515</v>
      </c>
      <c r="F876" s="188" t="s">
        <v>1444</v>
      </c>
      <c r="G876" s="211" t="s">
        <v>24</v>
      </c>
      <c r="H876" s="211">
        <v>11</v>
      </c>
      <c r="I876" s="188" t="s">
        <v>518</v>
      </c>
      <c r="J876" s="188" t="s">
        <v>573</v>
      </c>
      <c r="K876" s="209" t="s">
        <v>573</v>
      </c>
      <c r="L876" s="188" t="s">
        <v>518</v>
      </c>
      <c r="M876" s="188" t="s">
        <v>375</v>
      </c>
      <c r="N876" s="188"/>
      <c r="O876" s="188"/>
      <c r="P876" s="188"/>
      <c r="Q876" s="188" t="s">
        <v>25</v>
      </c>
      <c r="R876" s="188" t="s">
        <v>25</v>
      </c>
      <c r="S876" s="234" t="s">
        <v>25</v>
      </c>
      <c r="T876" s="188" t="s">
        <v>19</v>
      </c>
      <c r="U876" s="188" t="s">
        <v>306</v>
      </c>
      <c r="V876" s="234" t="s">
        <v>306</v>
      </c>
      <c r="W876" s="188" t="s">
        <v>306</v>
      </c>
      <c r="X876" s="188" t="s">
        <v>19</v>
      </c>
      <c r="Y876" s="234" t="s">
        <v>306</v>
      </c>
      <c r="Z876" s="188" t="s">
        <v>25</v>
      </c>
      <c r="AA876" s="188" t="s">
        <v>19</v>
      </c>
      <c r="AB876" s="234" t="s">
        <v>306</v>
      </c>
      <c r="AC876" s="235" t="s">
        <v>306</v>
      </c>
      <c r="AD876" s="188" t="s">
        <v>19</v>
      </c>
      <c r="AE876" s="188" t="s">
        <v>306</v>
      </c>
      <c r="AF876" s="234" t="s">
        <v>306</v>
      </c>
      <c r="AG876" s="188" t="s">
        <v>19</v>
      </c>
      <c r="AH876" s="188" t="s">
        <v>19</v>
      </c>
      <c r="AI876" s="234" t="s">
        <v>19</v>
      </c>
      <c r="AJ876" s="188" t="s">
        <v>25</v>
      </c>
      <c r="AK876" s="188" t="s">
        <v>306</v>
      </c>
      <c r="AL876" s="234" t="s">
        <v>25</v>
      </c>
      <c r="AM876" s="188" t="s">
        <v>19</v>
      </c>
      <c r="AN876" s="188" t="s">
        <v>19</v>
      </c>
      <c r="AO876" s="234" t="s">
        <v>19</v>
      </c>
      <c r="AP876" s="235" t="s">
        <v>306</v>
      </c>
      <c r="AQ876" s="188" t="s">
        <v>306</v>
      </c>
      <c r="AR876" s="188" t="s">
        <v>25</v>
      </c>
      <c r="AS876" s="234" t="s">
        <v>25</v>
      </c>
      <c r="AT876" s="188" t="s">
        <v>25</v>
      </c>
      <c r="AU876" s="188" t="s">
        <v>25</v>
      </c>
      <c r="AV876" s="234" t="s">
        <v>25</v>
      </c>
      <c r="AW876" s="188" t="s">
        <v>306</v>
      </c>
      <c r="AX876" s="188" t="s">
        <v>306</v>
      </c>
      <c r="AY876" s="234" t="s">
        <v>306</v>
      </c>
      <c r="AZ876" s="188" t="s">
        <v>25</v>
      </c>
      <c r="BA876" s="188" t="s">
        <v>25</v>
      </c>
      <c r="BB876" s="234" t="s">
        <v>25</v>
      </c>
      <c r="BC876" s="235" t="s">
        <v>25</v>
      </c>
      <c r="BD876" s="188"/>
    </row>
    <row r="877" spans="1:56" ht="12.75" customHeight="1" x14ac:dyDescent="0.25">
      <c r="A877" s="238">
        <v>44789.804649525468</v>
      </c>
      <c r="B877" s="137" t="s">
        <v>384</v>
      </c>
      <c r="C877" s="211" t="s">
        <v>595</v>
      </c>
      <c r="D877" s="211" t="s">
        <v>17</v>
      </c>
      <c r="E877" s="232" t="s">
        <v>515</v>
      </c>
      <c r="F877" s="188" t="s">
        <v>1445</v>
      </c>
      <c r="G877" s="211" t="s">
        <v>18</v>
      </c>
      <c r="H877" s="211">
        <v>11</v>
      </c>
      <c r="I877" s="188" t="s">
        <v>518</v>
      </c>
      <c r="J877" s="188" t="s">
        <v>573</v>
      </c>
      <c r="K877" s="209" t="s">
        <v>573</v>
      </c>
      <c r="L877" s="188" t="s">
        <v>518</v>
      </c>
      <c r="M877" s="188" t="s">
        <v>375</v>
      </c>
      <c r="N877" s="188"/>
      <c r="O877" s="188"/>
      <c r="P877" s="188"/>
      <c r="Q877" s="188" t="s">
        <v>25</v>
      </c>
      <c r="R877" s="188" t="s">
        <v>25</v>
      </c>
      <c r="S877" s="234" t="s">
        <v>25</v>
      </c>
      <c r="T877" s="188" t="s">
        <v>306</v>
      </c>
      <c r="U877" s="188" t="s">
        <v>25</v>
      </c>
      <c r="V877" s="234" t="s">
        <v>25</v>
      </c>
      <c r="W877" s="188" t="s">
        <v>25</v>
      </c>
      <c r="X877" s="188" t="s">
        <v>306</v>
      </c>
      <c r="Y877" s="234" t="s">
        <v>25</v>
      </c>
      <c r="Z877" s="188" t="s">
        <v>306</v>
      </c>
      <c r="AA877" s="188" t="s">
        <v>19</v>
      </c>
      <c r="AB877" s="234" t="s">
        <v>306</v>
      </c>
      <c r="AC877" s="235" t="s">
        <v>306</v>
      </c>
      <c r="AD877" s="188" t="s">
        <v>306</v>
      </c>
      <c r="AE877" s="188" t="s">
        <v>25</v>
      </c>
      <c r="AF877" s="234" t="s">
        <v>25</v>
      </c>
      <c r="AG877" s="188" t="s">
        <v>306</v>
      </c>
      <c r="AH877" s="188" t="s">
        <v>25</v>
      </c>
      <c r="AI877" s="234" t="s">
        <v>25</v>
      </c>
      <c r="AJ877" s="188" t="s">
        <v>19</v>
      </c>
      <c r="AK877" s="188" t="s">
        <v>25</v>
      </c>
      <c r="AL877" s="234" t="s">
        <v>306</v>
      </c>
      <c r="AM877" s="188" t="s">
        <v>19</v>
      </c>
      <c r="AN877" s="188" t="s">
        <v>25</v>
      </c>
      <c r="AO877" s="234" t="s">
        <v>306</v>
      </c>
      <c r="AP877" s="235" t="s">
        <v>306</v>
      </c>
      <c r="AQ877" s="188" t="s">
        <v>306</v>
      </c>
      <c r="AR877" s="188" t="s">
        <v>25</v>
      </c>
      <c r="AS877" s="234" t="s">
        <v>25</v>
      </c>
      <c r="AT877" s="188" t="s">
        <v>19</v>
      </c>
      <c r="AU877" s="188" t="s">
        <v>306</v>
      </c>
      <c r="AV877" s="234" t="s">
        <v>306</v>
      </c>
      <c r="AW877" s="188" t="s">
        <v>25</v>
      </c>
      <c r="AX877" s="188" t="s">
        <v>19</v>
      </c>
      <c r="AY877" s="234" t="s">
        <v>306</v>
      </c>
      <c r="AZ877" s="188" t="s">
        <v>25</v>
      </c>
      <c r="BA877" s="188" t="s">
        <v>19</v>
      </c>
      <c r="BB877" s="234" t="s">
        <v>25</v>
      </c>
      <c r="BC877" s="235" t="s">
        <v>25</v>
      </c>
      <c r="BD877" s="188"/>
    </row>
    <row r="878" spans="1:56" ht="12.75" customHeight="1" x14ac:dyDescent="0.25">
      <c r="A878" s="238">
        <v>44789.811558622685</v>
      </c>
      <c r="B878" s="137" t="s">
        <v>384</v>
      </c>
      <c r="C878" s="211" t="s">
        <v>595</v>
      </c>
      <c r="D878" s="211" t="s">
        <v>17</v>
      </c>
      <c r="E878" s="232" t="s">
        <v>515</v>
      </c>
      <c r="F878" s="188" t="s">
        <v>1446</v>
      </c>
      <c r="G878" s="211" t="s">
        <v>18</v>
      </c>
      <c r="H878" s="211">
        <v>11</v>
      </c>
      <c r="I878" s="188" t="s">
        <v>518</v>
      </c>
      <c r="J878" s="188" t="s">
        <v>573</v>
      </c>
      <c r="K878" s="209" t="s">
        <v>573</v>
      </c>
      <c r="L878" s="188" t="s">
        <v>518</v>
      </c>
      <c r="M878" s="188" t="s">
        <v>412</v>
      </c>
      <c r="N878" s="188"/>
      <c r="O878" s="188"/>
      <c r="P878" s="188"/>
      <c r="Q878" s="188" t="s">
        <v>25</v>
      </c>
      <c r="R878" s="188" t="s">
        <v>25</v>
      </c>
      <c r="S878" s="234" t="s">
        <v>25</v>
      </c>
      <c r="T878" s="188" t="s">
        <v>25</v>
      </c>
      <c r="U878" s="188" t="s">
        <v>25</v>
      </c>
      <c r="V878" s="234" t="s">
        <v>25</v>
      </c>
      <c r="W878" s="188" t="s">
        <v>25</v>
      </c>
      <c r="X878" s="188" t="s">
        <v>306</v>
      </c>
      <c r="Y878" s="234" t="s">
        <v>25</v>
      </c>
      <c r="Z878" s="188" t="s">
        <v>25</v>
      </c>
      <c r="AA878" s="188" t="s">
        <v>306</v>
      </c>
      <c r="AB878" s="234" t="s">
        <v>25</v>
      </c>
      <c r="AC878" s="235" t="s">
        <v>25</v>
      </c>
      <c r="AD878" s="188" t="s">
        <v>306</v>
      </c>
      <c r="AE878" s="188" t="s">
        <v>25</v>
      </c>
      <c r="AF878" s="234" t="s">
        <v>25</v>
      </c>
      <c r="AG878" s="188" t="s">
        <v>19</v>
      </c>
      <c r="AH878" s="188" t="s">
        <v>306</v>
      </c>
      <c r="AI878" s="234" t="s">
        <v>306</v>
      </c>
      <c r="AJ878" s="188" t="s">
        <v>306</v>
      </c>
      <c r="AK878" s="188" t="s">
        <v>19</v>
      </c>
      <c r="AL878" s="234" t="s">
        <v>306</v>
      </c>
      <c r="AM878" s="188" t="s">
        <v>19</v>
      </c>
      <c r="AN878" s="188" t="s">
        <v>19</v>
      </c>
      <c r="AO878" s="234" t="s">
        <v>19</v>
      </c>
      <c r="AP878" s="235" t="s">
        <v>306</v>
      </c>
      <c r="AQ878" s="188" t="s">
        <v>25</v>
      </c>
      <c r="AR878" s="188" t="s">
        <v>19</v>
      </c>
      <c r="AS878" s="234" t="s">
        <v>306</v>
      </c>
      <c r="AT878" s="188" t="s">
        <v>25</v>
      </c>
      <c r="AU878" s="188" t="s">
        <v>19</v>
      </c>
      <c r="AV878" s="234" t="s">
        <v>306</v>
      </c>
      <c r="AW878" s="188" t="s">
        <v>19</v>
      </c>
      <c r="AX878" s="188" t="s">
        <v>25</v>
      </c>
      <c r="AY878" s="234" t="s">
        <v>306</v>
      </c>
      <c r="AZ878" s="188" t="s">
        <v>19</v>
      </c>
      <c r="BA878" s="188" t="s">
        <v>306</v>
      </c>
      <c r="BB878" s="234" t="s">
        <v>25</v>
      </c>
      <c r="BC878" s="235" t="s">
        <v>25</v>
      </c>
      <c r="BD878" s="188"/>
    </row>
    <row r="879" spans="1:56" ht="12.75" customHeight="1" x14ac:dyDescent="0.25">
      <c r="A879" s="238">
        <v>44789.823736006947</v>
      </c>
      <c r="B879" s="137" t="s">
        <v>384</v>
      </c>
      <c r="C879" s="211" t="s">
        <v>595</v>
      </c>
      <c r="D879" s="211" t="s">
        <v>17</v>
      </c>
      <c r="E879" s="232" t="s">
        <v>515</v>
      </c>
      <c r="F879" s="188" t="s">
        <v>1447</v>
      </c>
      <c r="G879" s="211" t="s">
        <v>24</v>
      </c>
      <c r="H879" s="211">
        <v>12</v>
      </c>
      <c r="I879" s="188" t="s">
        <v>518</v>
      </c>
      <c r="J879" s="188" t="s">
        <v>573</v>
      </c>
      <c r="K879" s="209" t="s">
        <v>573</v>
      </c>
      <c r="L879" s="188" t="s">
        <v>518</v>
      </c>
      <c r="M879" s="188" t="s">
        <v>375</v>
      </c>
      <c r="N879" s="188"/>
      <c r="O879" s="188"/>
      <c r="P879" s="188"/>
      <c r="Q879" s="188" t="s">
        <v>25</v>
      </c>
      <c r="R879" s="188" t="s">
        <v>25</v>
      </c>
      <c r="S879" s="234" t="s">
        <v>25</v>
      </c>
      <c r="T879" s="188" t="s">
        <v>306</v>
      </c>
      <c r="U879" s="188" t="s">
        <v>306</v>
      </c>
      <c r="V879" s="234" t="s">
        <v>306</v>
      </c>
      <c r="W879" s="188" t="s">
        <v>306</v>
      </c>
      <c r="X879" s="188" t="s">
        <v>19</v>
      </c>
      <c r="Y879" s="234" t="s">
        <v>306</v>
      </c>
      <c r="Z879" s="188" t="s">
        <v>25</v>
      </c>
      <c r="AA879" s="188" t="s">
        <v>25</v>
      </c>
      <c r="AB879" s="234" t="s">
        <v>25</v>
      </c>
      <c r="AC879" s="235" t="s">
        <v>306</v>
      </c>
      <c r="AD879" s="188" t="s">
        <v>306</v>
      </c>
      <c r="AE879" s="188" t="s">
        <v>306</v>
      </c>
      <c r="AF879" s="234" t="s">
        <v>306</v>
      </c>
      <c r="AG879" s="188" t="s">
        <v>19</v>
      </c>
      <c r="AH879" s="188" t="s">
        <v>19</v>
      </c>
      <c r="AI879" s="234" t="s">
        <v>19</v>
      </c>
      <c r="AJ879" s="188" t="s">
        <v>25</v>
      </c>
      <c r="AK879" s="188" t="s">
        <v>306</v>
      </c>
      <c r="AL879" s="234" t="s">
        <v>25</v>
      </c>
      <c r="AM879" s="188" t="s">
        <v>19</v>
      </c>
      <c r="AN879" s="188" t="s">
        <v>19</v>
      </c>
      <c r="AO879" s="234" t="s">
        <v>19</v>
      </c>
      <c r="AP879" s="235" t="s">
        <v>306</v>
      </c>
      <c r="AQ879" s="188" t="s">
        <v>306</v>
      </c>
      <c r="AR879" s="188" t="s">
        <v>25</v>
      </c>
      <c r="AS879" s="234" t="s">
        <v>25</v>
      </c>
      <c r="AT879" s="188" t="s">
        <v>25</v>
      </c>
      <c r="AU879" s="188" t="s">
        <v>25</v>
      </c>
      <c r="AV879" s="234" t="s">
        <v>25</v>
      </c>
      <c r="AW879" s="188" t="s">
        <v>306</v>
      </c>
      <c r="AX879" s="188" t="s">
        <v>306</v>
      </c>
      <c r="AY879" s="234" t="s">
        <v>306</v>
      </c>
      <c r="AZ879" s="188" t="s">
        <v>306</v>
      </c>
      <c r="BA879" s="188" t="s">
        <v>25</v>
      </c>
      <c r="BB879" s="234" t="s">
        <v>25</v>
      </c>
      <c r="BC879" s="235" t="s">
        <v>25</v>
      </c>
      <c r="BD879" s="188"/>
    </row>
    <row r="880" spans="1:56" ht="12.75" customHeight="1" x14ac:dyDescent="0.25">
      <c r="A880" s="238">
        <v>44789.825967662036</v>
      </c>
      <c r="B880" s="137" t="s">
        <v>384</v>
      </c>
      <c r="C880" s="211" t="s">
        <v>595</v>
      </c>
      <c r="D880" s="211" t="s">
        <v>17</v>
      </c>
      <c r="E880" s="232" t="s">
        <v>515</v>
      </c>
      <c r="F880" s="188" t="s">
        <v>1448</v>
      </c>
      <c r="G880" s="211" t="s">
        <v>24</v>
      </c>
      <c r="H880" s="211">
        <v>11</v>
      </c>
      <c r="I880" s="188" t="s">
        <v>518</v>
      </c>
      <c r="J880" s="188" t="s">
        <v>573</v>
      </c>
      <c r="K880" s="209" t="s">
        <v>573</v>
      </c>
      <c r="L880" s="188" t="s">
        <v>518</v>
      </c>
      <c r="M880" s="188" t="s">
        <v>375</v>
      </c>
      <c r="N880" s="188"/>
      <c r="O880" s="188"/>
      <c r="P880" s="188"/>
      <c r="Q880" s="188" t="s">
        <v>25</v>
      </c>
      <c r="R880" s="188" t="s">
        <v>25</v>
      </c>
      <c r="S880" s="234" t="s">
        <v>25</v>
      </c>
      <c r="T880" s="188" t="s">
        <v>306</v>
      </c>
      <c r="U880" s="188" t="s">
        <v>306</v>
      </c>
      <c r="V880" s="234" t="s">
        <v>306</v>
      </c>
      <c r="W880" s="188" t="s">
        <v>306</v>
      </c>
      <c r="X880" s="188" t="s">
        <v>19</v>
      </c>
      <c r="Y880" s="234" t="s">
        <v>306</v>
      </c>
      <c r="Z880" s="188" t="s">
        <v>25</v>
      </c>
      <c r="AA880" s="188" t="s">
        <v>19</v>
      </c>
      <c r="AB880" s="234" t="s">
        <v>306</v>
      </c>
      <c r="AC880" s="235" t="s">
        <v>306</v>
      </c>
      <c r="AD880" s="188" t="s">
        <v>19</v>
      </c>
      <c r="AE880" s="188" t="s">
        <v>306</v>
      </c>
      <c r="AF880" s="234" t="s">
        <v>306</v>
      </c>
      <c r="AG880" s="188" t="s">
        <v>19</v>
      </c>
      <c r="AH880" s="188" t="s">
        <v>19</v>
      </c>
      <c r="AI880" s="234" t="s">
        <v>19</v>
      </c>
      <c r="AJ880" s="188" t="s">
        <v>25</v>
      </c>
      <c r="AK880" s="188" t="s">
        <v>306</v>
      </c>
      <c r="AL880" s="234" t="s">
        <v>25</v>
      </c>
      <c r="AM880" s="188" t="s">
        <v>19</v>
      </c>
      <c r="AN880" s="188" t="s">
        <v>19</v>
      </c>
      <c r="AO880" s="234" t="s">
        <v>19</v>
      </c>
      <c r="AP880" s="235" t="s">
        <v>306</v>
      </c>
      <c r="AQ880" s="188" t="s">
        <v>306</v>
      </c>
      <c r="AR880" s="188" t="s">
        <v>25</v>
      </c>
      <c r="AS880" s="234" t="s">
        <v>25</v>
      </c>
      <c r="AT880" s="188" t="s">
        <v>25</v>
      </c>
      <c r="AU880" s="188" t="s">
        <v>25</v>
      </c>
      <c r="AV880" s="234" t="s">
        <v>25</v>
      </c>
      <c r="AW880" s="188" t="s">
        <v>19</v>
      </c>
      <c r="AX880" s="188" t="s">
        <v>306</v>
      </c>
      <c r="AY880" s="234" t="s">
        <v>306</v>
      </c>
      <c r="AZ880" s="188" t="s">
        <v>25</v>
      </c>
      <c r="BA880" s="188" t="s">
        <v>25</v>
      </c>
      <c r="BB880" s="234" t="s">
        <v>25</v>
      </c>
      <c r="BC880" s="235" t="s">
        <v>25</v>
      </c>
      <c r="BD880" s="188"/>
    </row>
    <row r="881" spans="1:56" ht="12.75" customHeight="1" x14ac:dyDescent="0.25">
      <c r="A881" s="238">
        <v>44789.831737523149</v>
      </c>
      <c r="B881" s="137" t="s">
        <v>384</v>
      </c>
      <c r="C881" s="211" t="s">
        <v>595</v>
      </c>
      <c r="D881" s="211" t="s">
        <v>17</v>
      </c>
      <c r="E881" s="232" t="s">
        <v>515</v>
      </c>
      <c r="F881" s="188" t="s">
        <v>1449</v>
      </c>
      <c r="G881" s="211" t="s">
        <v>18</v>
      </c>
      <c r="H881" s="211">
        <v>11</v>
      </c>
      <c r="I881" s="188" t="s">
        <v>518</v>
      </c>
      <c r="J881" s="188" t="s">
        <v>573</v>
      </c>
      <c r="K881" s="209" t="s">
        <v>573</v>
      </c>
      <c r="L881" s="188" t="s">
        <v>518</v>
      </c>
      <c r="M881" s="188" t="s">
        <v>412</v>
      </c>
      <c r="N881" s="188"/>
      <c r="O881" s="188"/>
      <c r="P881" s="188"/>
      <c r="Q881" s="188" t="s">
        <v>25</v>
      </c>
      <c r="R881" s="188" t="s">
        <v>306</v>
      </c>
      <c r="S881" s="234" t="s">
        <v>25</v>
      </c>
      <c r="T881" s="188" t="s">
        <v>25</v>
      </c>
      <c r="U881" s="188" t="s">
        <v>25</v>
      </c>
      <c r="V881" s="234" t="s">
        <v>25</v>
      </c>
      <c r="W881" s="188" t="s">
        <v>25</v>
      </c>
      <c r="X881" s="188" t="s">
        <v>306</v>
      </c>
      <c r="Y881" s="234" t="s">
        <v>25</v>
      </c>
      <c r="Z881" s="188" t="s">
        <v>25</v>
      </c>
      <c r="AA881" s="188" t="s">
        <v>25</v>
      </c>
      <c r="AB881" s="234" t="s">
        <v>25</v>
      </c>
      <c r="AC881" s="235" t="s">
        <v>25</v>
      </c>
      <c r="AD881" s="188" t="s">
        <v>306</v>
      </c>
      <c r="AE881" s="188" t="s">
        <v>19</v>
      </c>
      <c r="AF881" s="234" t="s">
        <v>306</v>
      </c>
      <c r="AG881" s="188" t="s">
        <v>306</v>
      </c>
      <c r="AH881" s="188" t="s">
        <v>19</v>
      </c>
      <c r="AI881" s="234" t="s">
        <v>306</v>
      </c>
      <c r="AJ881" s="188" t="s">
        <v>306</v>
      </c>
      <c r="AK881" s="188" t="s">
        <v>25</v>
      </c>
      <c r="AL881" s="234" t="s">
        <v>25</v>
      </c>
      <c r="AM881" s="188" t="s">
        <v>25</v>
      </c>
      <c r="AN881" s="188" t="s">
        <v>306</v>
      </c>
      <c r="AO881" s="234" t="s">
        <v>25</v>
      </c>
      <c r="AP881" s="235" t="s">
        <v>306</v>
      </c>
      <c r="AQ881" s="188" t="s">
        <v>19</v>
      </c>
      <c r="AR881" s="188" t="s">
        <v>306</v>
      </c>
      <c r="AS881" s="234" t="s">
        <v>306</v>
      </c>
      <c r="AT881" s="188" t="s">
        <v>306</v>
      </c>
      <c r="AU881" s="188" t="s">
        <v>25</v>
      </c>
      <c r="AV881" s="234" t="s">
        <v>25</v>
      </c>
      <c r="AW881" s="188" t="s">
        <v>306</v>
      </c>
      <c r="AX881" s="188" t="s">
        <v>306</v>
      </c>
      <c r="AY881" s="234" t="s">
        <v>306</v>
      </c>
      <c r="AZ881" s="188" t="s">
        <v>306</v>
      </c>
      <c r="BA881" s="188" t="s">
        <v>306</v>
      </c>
      <c r="BB881" s="234" t="s">
        <v>306</v>
      </c>
      <c r="BC881" s="235" t="s">
        <v>306</v>
      </c>
      <c r="BD881" s="188"/>
    </row>
    <row r="882" spans="1:56" ht="12.75" customHeight="1" x14ac:dyDescent="0.25">
      <c r="A882" s="238">
        <v>45264.955271238425</v>
      </c>
      <c r="B882" s="233" t="s">
        <v>384</v>
      </c>
      <c r="C882" s="232" t="s">
        <v>587</v>
      </c>
      <c r="D882" s="232" t="s">
        <v>17</v>
      </c>
      <c r="E882" s="232" t="s">
        <v>605</v>
      </c>
      <c r="F882" s="209" t="s">
        <v>1450</v>
      </c>
      <c r="G882" s="232" t="s">
        <v>18</v>
      </c>
      <c r="H882" s="232">
        <v>17</v>
      </c>
      <c r="I882" s="209" t="s">
        <v>518</v>
      </c>
      <c r="J882" s="209" t="s">
        <v>573</v>
      </c>
      <c r="K882" s="209" t="s">
        <v>573</v>
      </c>
      <c r="L882" s="209" t="s">
        <v>531</v>
      </c>
      <c r="M882" s="188"/>
      <c r="N882" s="188"/>
      <c r="O882" s="232" t="s">
        <v>531</v>
      </c>
      <c r="P882" s="188"/>
      <c r="Q882" s="209" t="s">
        <v>306</v>
      </c>
      <c r="R882" s="209" t="s">
        <v>306</v>
      </c>
      <c r="S882" s="234" t="s">
        <v>306</v>
      </c>
      <c r="T882" s="209" t="s">
        <v>306</v>
      </c>
      <c r="U882" s="209" t="s">
        <v>25</v>
      </c>
      <c r="V882" s="234" t="s">
        <v>25</v>
      </c>
      <c r="W882" s="209" t="s">
        <v>25</v>
      </c>
      <c r="X882" s="209" t="s">
        <v>25</v>
      </c>
      <c r="Y882" s="234" t="s">
        <v>25</v>
      </c>
      <c r="Z882" s="209" t="s">
        <v>25</v>
      </c>
      <c r="AA882" s="209" t="s">
        <v>306</v>
      </c>
      <c r="AB882" s="234" t="s">
        <v>25</v>
      </c>
      <c r="AC882" s="235" t="s">
        <v>25</v>
      </c>
      <c r="AD882" s="209" t="s">
        <v>25</v>
      </c>
      <c r="AE882" s="209" t="s">
        <v>306</v>
      </c>
      <c r="AF882" s="234" t="s">
        <v>25</v>
      </c>
      <c r="AG882" s="209" t="s">
        <v>306</v>
      </c>
      <c r="AH882" s="209" t="s">
        <v>306</v>
      </c>
      <c r="AI882" s="234" t="s">
        <v>306</v>
      </c>
      <c r="AJ882" s="209" t="s">
        <v>25</v>
      </c>
      <c r="AK882" s="209" t="s">
        <v>25</v>
      </c>
      <c r="AL882" s="234" t="s">
        <v>25</v>
      </c>
      <c r="AM882" s="209" t="s">
        <v>19</v>
      </c>
      <c r="AN882" s="209" t="s">
        <v>19</v>
      </c>
      <c r="AO882" s="234" t="s">
        <v>19</v>
      </c>
      <c r="AP882" s="235" t="s">
        <v>306</v>
      </c>
      <c r="AQ882" s="209" t="s">
        <v>19</v>
      </c>
      <c r="AR882" s="209" t="s">
        <v>19</v>
      </c>
      <c r="AS882" s="234" t="s">
        <v>19</v>
      </c>
      <c r="AT882" s="209" t="s">
        <v>25</v>
      </c>
      <c r="AU882" s="209" t="s">
        <v>25</v>
      </c>
      <c r="AV882" s="234" t="s">
        <v>25</v>
      </c>
      <c r="AW882" s="209" t="s">
        <v>306</v>
      </c>
      <c r="AX882" s="209" t="s">
        <v>25</v>
      </c>
      <c r="AY882" s="234" t="s">
        <v>25</v>
      </c>
      <c r="AZ882" s="209" t="s">
        <v>306</v>
      </c>
      <c r="BA882" s="209" t="s">
        <v>25</v>
      </c>
      <c r="BB882" s="234" t="s">
        <v>25</v>
      </c>
      <c r="BC882" s="235" t="s">
        <v>25</v>
      </c>
      <c r="BD882" s="188"/>
    </row>
    <row r="883" spans="1:56" ht="12.75" customHeight="1" x14ac:dyDescent="0.25">
      <c r="A883" s="238">
        <v>45264.958931238427</v>
      </c>
      <c r="B883" s="233" t="s">
        <v>384</v>
      </c>
      <c r="C883" s="232" t="s">
        <v>587</v>
      </c>
      <c r="D883" s="232" t="s">
        <v>17</v>
      </c>
      <c r="E883" s="232" t="s">
        <v>605</v>
      </c>
      <c r="F883" s="209" t="s">
        <v>1451</v>
      </c>
      <c r="G883" s="232" t="s">
        <v>24</v>
      </c>
      <c r="H883" s="232">
        <v>18</v>
      </c>
      <c r="I883" s="209" t="s">
        <v>518</v>
      </c>
      <c r="J883" s="209" t="s">
        <v>573</v>
      </c>
      <c r="K883" s="209" t="s">
        <v>573</v>
      </c>
      <c r="L883" s="209" t="s">
        <v>531</v>
      </c>
      <c r="M883" s="188"/>
      <c r="N883" s="188"/>
      <c r="O883" s="232" t="s">
        <v>531</v>
      </c>
      <c r="P883" s="188"/>
      <c r="Q883" s="209" t="s">
        <v>306</v>
      </c>
      <c r="R883" s="209" t="s">
        <v>306</v>
      </c>
      <c r="S883" s="234" t="s">
        <v>306</v>
      </c>
      <c r="T883" s="209" t="s">
        <v>306</v>
      </c>
      <c r="U883" s="209" t="s">
        <v>25</v>
      </c>
      <c r="V883" s="234" t="s">
        <v>25</v>
      </c>
      <c r="W883" s="209" t="s">
        <v>306</v>
      </c>
      <c r="X883" s="209" t="s">
        <v>306</v>
      </c>
      <c r="Y883" s="234" t="s">
        <v>306</v>
      </c>
      <c r="Z883" s="209" t="s">
        <v>25</v>
      </c>
      <c r="AA883" s="209" t="s">
        <v>306</v>
      </c>
      <c r="AB883" s="234" t="s">
        <v>25</v>
      </c>
      <c r="AC883" s="235" t="s">
        <v>306</v>
      </c>
      <c r="AD883" s="209" t="s">
        <v>306</v>
      </c>
      <c r="AE883" s="209" t="s">
        <v>306</v>
      </c>
      <c r="AF883" s="234" t="s">
        <v>306</v>
      </c>
      <c r="AG883" s="209" t="s">
        <v>25</v>
      </c>
      <c r="AH883" s="209" t="s">
        <v>306</v>
      </c>
      <c r="AI883" s="234" t="s">
        <v>25</v>
      </c>
      <c r="AJ883" s="209" t="s">
        <v>306</v>
      </c>
      <c r="AK883" s="209" t="s">
        <v>306</v>
      </c>
      <c r="AL883" s="234" t="s">
        <v>306</v>
      </c>
      <c r="AM883" s="209" t="s">
        <v>306</v>
      </c>
      <c r="AN883" s="209" t="s">
        <v>306</v>
      </c>
      <c r="AO883" s="234" t="s">
        <v>306</v>
      </c>
      <c r="AP883" s="235" t="s">
        <v>306</v>
      </c>
      <c r="AQ883" s="209" t="s">
        <v>25</v>
      </c>
      <c r="AR883" s="209" t="s">
        <v>306</v>
      </c>
      <c r="AS883" s="234" t="s">
        <v>25</v>
      </c>
      <c r="AT883" s="209" t="s">
        <v>25</v>
      </c>
      <c r="AU883" s="209" t="s">
        <v>25</v>
      </c>
      <c r="AV883" s="234" t="s">
        <v>25</v>
      </c>
      <c r="AW883" s="209" t="s">
        <v>306</v>
      </c>
      <c r="AX883" s="209" t="s">
        <v>306</v>
      </c>
      <c r="AY883" s="234" t="s">
        <v>306</v>
      </c>
      <c r="AZ883" s="209" t="s">
        <v>306</v>
      </c>
      <c r="BA883" s="209" t="s">
        <v>306</v>
      </c>
      <c r="BB883" s="234" t="s">
        <v>25</v>
      </c>
      <c r="BC883" s="235" t="s">
        <v>25</v>
      </c>
      <c r="BD883" s="188"/>
    </row>
    <row r="884" spans="1:56" ht="12.75" customHeight="1" x14ac:dyDescent="0.25">
      <c r="A884" s="238">
        <v>45264.962824467591</v>
      </c>
      <c r="B884" s="233" t="s">
        <v>384</v>
      </c>
      <c r="C884" s="232" t="s">
        <v>587</v>
      </c>
      <c r="D884" s="232" t="s">
        <v>17</v>
      </c>
      <c r="E884" s="232" t="s">
        <v>605</v>
      </c>
      <c r="F884" s="209" t="s">
        <v>1452</v>
      </c>
      <c r="G884" s="232" t="s">
        <v>18</v>
      </c>
      <c r="H884" s="232">
        <v>21</v>
      </c>
      <c r="I884" s="209" t="s">
        <v>518</v>
      </c>
      <c r="J884" s="209" t="s">
        <v>573</v>
      </c>
      <c r="K884" s="209" t="s">
        <v>573</v>
      </c>
      <c r="L884" s="209" t="s">
        <v>531</v>
      </c>
      <c r="M884" s="188"/>
      <c r="N884" s="188"/>
      <c r="O884" s="232" t="s">
        <v>518</v>
      </c>
      <c r="P884" s="209" t="s">
        <v>816</v>
      </c>
      <c r="Q884" s="209" t="s">
        <v>306</v>
      </c>
      <c r="R884" s="209" t="s">
        <v>25</v>
      </c>
      <c r="S884" s="234" t="s">
        <v>25</v>
      </c>
      <c r="T884" s="209" t="s">
        <v>306</v>
      </c>
      <c r="U884" s="209" t="s">
        <v>25</v>
      </c>
      <c r="V884" s="234" t="s">
        <v>25</v>
      </c>
      <c r="W884" s="209" t="s">
        <v>306</v>
      </c>
      <c r="X884" s="209" t="s">
        <v>306</v>
      </c>
      <c r="Y884" s="234" t="s">
        <v>306</v>
      </c>
      <c r="Z884" s="209" t="s">
        <v>25</v>
      </c>
      <c r="AA884" s="209" t="s">
        <v>306</v>
      </c>
      <c r="AB884" s="234" t="s">
        <v>25</v>
      </c>
      <c r="AC884" s="235" t="s">
        <v>306</v>
      </c>
      <c r="AD884" s="209" t="s">
        <v>306</v>
      </c>
      <c r="AE884" s="209" t="s">
        <v>306</v>
      </c>
      <c r="AF884" s="234" t="s">
        <v>306</v>
      </c>
      <c r="AG884" s="209" t="s">
        <v>306</v>
      </c>
      <c r="AH884" s="209" t="s">
        <v>306</v>
      </c>
      <c r="AI884" s="234" t="s">
        <v>306</v>
      </c>
      <c r="AJ884" s="209" t="s">
        <v>25</v>
      </c>
      <c r="AK884" s="209" t="s">
        <v>306</v>
      </c>
      <c r="AL884" s="234" t="s">
        <v>25</v>
      </c>
      <c r="AM884" s="209" t="s">
        <v>306</v>
      </c>
      <c r="AN884" s="209" t="s">
        <v>306</v>
      </c>
      <c r="AO884" s="234" t="s">
        <v>306</v>
      </c>
      <c r="AP884" s="235" t="s">
        <v>306</v>
      </c>
      <c r="AQ884" s="209" t="s">
        <v>306</v>
      </c>
      <c r="AR884" s="209" t="s">
        <v>306</v>
      </c>
      <c r="AS884" s="234" t="s">
        <v>306</v>
      </c>
      <c r="AT884" s="209" t="s">
        <v>25</v>
      </c>
      <c r="AU884" s="209" t="s">
        <v>25</v>
      </c>
      <c r="AV884" s="234" t="s">
        <v>25</v>
      </c>
      <c r="AW884" s="209" t="s">
        <v>306</v>
      </c>
      <c r="AX884" s="209" t="s">
        <v>306</v>
      </c>
      <c r="AY884" s="234" t="s">
        <v>306</v>
      </c>
      <c r="AZ884" s="209" t="s">
        <v>306</v>
      </c>
      <c r="BA884" s="209" t="s">
        <v>25</v>
      </c>
      <c r="BB884" s="234" t="s">
        <v>25</v>
      </c>
      <c r="BC884" s="235" t="s">
        <v>25</v>
      </c>
      <c r="BD884" s="188"/>
    </row>
    <row r="885" spans="1:56" ht="12.75" customHeight="1" x14ac:dyDescent="0.25">
      <c r="A885" s="238">
        <v>45264.965323356482</v>
      </c>
      <c r="B885" s="233" t="s">
        <v>384</v>
      </c>
      <c r="C885" s="232" t="s">
        <v>587</v>
      </c>
      <c r="D885" s="232" t="s">
        <v>17</v>
      </c>
      <c r="E885" s="232" t="s">
        <v>605</v>
      </c>
      <c r="F885" s="209" t="s">
        <v>1453</v>
      </c>
      <c r="G885" s="232" t="s">
        <v>24</v>
      </c>
      <c r="H885" s="232">
        <v>16</v>
      </c>
      <c r="I885" s="209" t="s">
        <v>518</v>
      </c>
      <c r="J885" s="209" t="s">
        <v>573</v>
      </c>
      <c r="K885" s="209" t="s">
        <v>573</v>
      </c>
      <c r="L885" s="209" t="s">
        <v>531</v>
      </c>
      <c r="M885" s="188"/>
      <c r="N885" s="188"/>
      <c r="O885" s="232" t="s">
        <v>531</v>
      </c>
      <c r="P885" s="188"/>
      <c r="Q885" s="209" t="s">
        <v>306</v>
      </c>
      <c r="R885" s="209" t="s">
        <v>306</v>
      </c>
      <c r="S885" s="234" t="s">
        <v>306</v>
      </c>
      <c r="T885" s="209" t="s">
        <v>306</v>
      </c>
      <c r="U885" s="209" t="s">
        <v>25</v>
      </c>
      <c r="V885" s="234" t="s">
        <v>25</v>
      </c>
      <c r="W885" s="209" t="s">
        <v>25</v>
      </c>
      <c r="X885" s="209" t="s">
        <v>306</v>
      </c>
      <c r="Y885" s="234" t="s">
        <v>25</v>
      </c>
      <c r="Z885" s="209" t="s">
        <v>306</v>
      </c>
      <c r="AA885" s="209" t="s">
        <v>306</v>
      </c>
      <c r="AB885" s="234" t="s">
        <v>306</v>
      </c>
      <c r="AC885" s="235" t="s">
        <v>306</v>
      </c>
      <c r="AD885" s="209" t="s">
        <v>306</v>
      </c>
      <c r="AE885" s="209" t="s">
        <v>306</v>
      </c>
      <c r="AF885" s="234" t="s">
        <v>306</v>
      </c>
      <c r="AG885" s="209" t="s">
        <v>19</v>
      </c>
      <c r="AH885" s="209" t="s">
        <v>306</v>
      </c>
      <c r="AI885" s="234" t="s">
        <v>306</v>
      </c>
      <c r="AJ885" s="209" t="s">
        <v>25</v>
      </c>
      <c r="AK885" s="209" t="s">
        <v>25</v>
      </c>
      <c r="AL885" s="234" t="s">
        <v>25</v>
      </c>
      <c r="AM885" s="209" t="s">
        <v>19</v>
      </c>
      <c r="AN885" s="209" t="s">
        <v>306</v>
      </c>
      <c r="AO885" s="234" t="s">
        <v>306</v>
      </c>
      <c r="AP885" s="235" t="s">
        <v>306</v>
      </c>
      <c r="AQ885" s="209" t="s">
        <v>25</v>
      </c>
      <c r="AR885" s="209" t="s">
        <v>25</v>
      </c>
      <c r="AS885" s="234" t="s">
        <v>25</v>
      </c>
      <c r="AT885" s="209" t="s">
        <v>25</v>
      </c>
      <c r="AU885" s="209" t="s">
        <v>25</v>
      </c>
      <c r="AV885" s="234" t="s">
        <v>25</v>
      </c>
      <c r="AW885" s="209" t="s">
        <v>306</v>
      </c>
      <c r="AX885" s="209" t="s">
        <v>25</v>
      </c>
      <c r="AY885" s="234" t="s">
        <v>25</v>
      </c>
      <c r="AZ885" s="209" t="s">
        <v>25</v>
      </c>
      <c r="BA885" s="209" t="s">
        <v>306</v>
      </c>
      <c r="BB885" s="234" t="s">
        <v>25</v>
      </c>
      <c r="BC885" s="235" t="s">
        <v>25</v>
      </c>
      <c r="BD885" s="188"/>
    </row>
    <row r="886" spans="1:56" ht="12.75" customHeight="1" x14ac:dyDescent="0.25">
      <c r="A886" s="238">
        <v>45264.967943171301</v>
      </c>
      <c r="B886" s="233" t="s">
        <v>384</v>
      </c>
      <c r="C886" s="232" t="s">
        <v>587</v>
      </c>
      <c r="D886" s="232" t="s">
        <v>17</v>
      </c>
      <c r="E886" s="232" t="s">
        <v>605</v>
      </c>
      <c r="F886" s="209" t="s">
        <v>1454</v>
      </c>
      <c r="G886" s="232" t="s">
        <v>18</v>
      </c>
      <c r="H886" s="232">
        <v>17</v>
      </c>
      <c r="I886" s="209" t="s">
        <v>518</v>
      </c>
      <c r="J886" s="209" t="s">
        <v>573</v>
      </c>
      <c r="K886" s="209" t="s">
        <v>573</v>
      </c>
      <c r="L886" s="209" t="s">
        <v>531</v>
      </c>
      <c r="M886" s="188"/>
      <c r="N886" s="188"/>
      <c r="O886" s="232" t="s">
        <v>531</v>
      </c>
      <c r="P886" s="188"/>
      <c r="Q886" s="209" t="s">
        <v>306</v>
      </c>
      <c r="R886" s="209" t="s">
        <v>306</v>
      </c>
      <c r="S886" s="234" t="s">
        <v>306</v>
      </c>
      <c r="T886" s="209" t="s">
        <v>306</v>
      </c>
      <c r="U886" s="209" t="s">
        <v>25</v>
      </c>
      <c r="V886" s="234" t="s">
        <v>25</v>
      </c>
      <c r="W886" s="209" t="s">
        <v>306</v>
      </c>
      <c r="X886" s="209" t="s">
        <v>19</v>
      </c>
      <c r="Y886" s="234" t="s">
        <v>306</v>
      </c>
      <c r="Z886" s="209" t="s">
        <v>306</v>
      </c>
      <c r="AA886" s="209" t="s">
        <v>306</v>
      </c>
      <c r="AB886" s="234" t="s">
        <v>306</v>
      </c>
      <c r="AC886" s="235" t="s">
        <v>306</v>
      </c>
      <c r="AD886" s="209" t="s">
        <v>306</v>
      </c>
      <c r="AE886" s="209" t="s">
        <v>19</v>
      </c>
      <c r="AF886" s="234" t="s">
        <v>306</v>
      </c>
      <c r="AG886" s="209" t="s">
        <v>306</v>
      </c>
      <c r="AH886" s="209" t="s">
        <v>306</v>
      </c>
      <c r="AI886" s="234" t="s">
        <v>306</v>
      </c>
      <c r="AJ886" s="209" t="s">
        <v>306</v>
      </c>
      <c r="AK886" s="209" t="s">
        <v>306</v>
      </c>
      <c r="AL886" s="234" t="s">
        <v>306</v>
      </c>
      <c r="AM886" s="209" t="s">
        <v>19</v>
      </c>
      <c r="AN886" s="209" t="s">
        <v>306</v>
      </c>
      <c r="AO886" s="234" t="s">
        <v>306</v>
      </c>
      <c r="AP886" s="235" t="s">
        <v>306</v>
      </c>
      <c r="AQ886" s="209" t="s">
        <v>25</v>
      </c>
      <c r="AR886" s="209" t="s">
        <v>306</v>
      </c>
      <c r="AS886" s="234" t="s">
        <v>25</v>
      </c>
      <c r="AT886" s="209" t="s">
        <v>25</v>
      </c>
      <c r="AU886" s="209" t="s">
        <v>25</v>
      </c>
      <c r="AV886" s="234" t="s">
        <v>25</v>
      </c>
      <c r="AW886" s="209" t="s">
        <v>306</v>
      </c>
      <c r="AX886" s="209" t="s">
        <v>19</v>
      </c>
      <c r="AY886" s="234" t="s">
        <v>306</v>
      </c>
      <c r="AZ886" s="209" t="s">
        <v>25</v>
      </c>
      <c r="BA886" s="209" t="s">
        <v>25</v>
      </c>
      <c r="BB886" s="234" t="s">
        <v>25</v>
      </c>
      <c r="BC886" s="235" t="s">
        <v>25</v>
      </c>
      <c r="BD886" s="188"/>
    </row>
    <row r="887" spans="1:56" ht="12.75" customHeight="1" x14ac:dyDescent="0.25">
      <c r="A887" s="238">
        <v>45264.970382638887</v>
      </c>
      <c r="B887" s="233" t="s">
        <v>384</v>
      </c>
      <c r="C887" s="232" t="s">
        <v>587</v>
      </c>
      <c r="D887" s="232" t="s">
        <v>17</v>
      </c>
      <c r="E887" s="232" t="s">
        <v>605</v>
      </c>
      <c r="F887" s="209" t="s">
        <v>1455</v>
      </c>
      <c r="G887" s="232" t="s">
        <v>24</v>
      </c>
      <c r="H887" s="232">
        <v>16</v>
      </c>
      <c r="I887" s="209" t="s">
        <v>518</v>
      </c>
      <c r="J887" s="209" t="s">
        <v>573</v>
      </c>
      <c r="K887" s="209" t="s">
        <v>573</v>
      </c>
      <c r="L887" s="209" t="s">
        <v>531</v>
      </c>
      <c r="M887" s="188"/>
      <c r="N887" s="188"/>
      <c r="O887" s="232" t="s">
        <v>531</v>
      </c>
      <c r="P887" s="188"/>
      <c r="Q887" s="209" t="s">
        <v>306</v>
      </c>
      <c r="R887" s="209" t="s">
        <v>306</v>
      </c>
      <c r="S887" s="234" t="s">
        <v>306</v>
      </c>
      <c r="T887" s="209" t="s">
        <v>306</v>
      </c>
      <c r="U887" s="209" t="s">
        <v>25</v>
      </c>
      <c r="V887" s="234" t="s">
        <v>25</v>
      </c>
      <c r="W887" s="209" t="s">
        <v>25</v>
      </c>
      <c r="X887" s="209" t="s">
        <v>25</v>
      </c>
      <c r="Y887" s="234" t="s">
        <v>25</v>
      </c>
      <c r="Z887" s="209" t="s">
        <v>306</v>
      </c>
      <c r="AA887" s="209" t="s">
        <v>306</v>
      </c>
      <c r="AB887" s="234" t="s">
        <v>306</v>
      </c>
      <c r="AC887" s="235" t="s">
        <v>306</v>
      </c>
      <c r="AD887" s="209" t="s">
        <v>306</v>
      </c>
      <c r="AE887" s="209" t="s">
        <v>306</v>
      </c>
      <c r="AF887" s="234" t="s">
        <v>306</v>
      </c>
      <c r="AG887" s="209" t="s">
        <v>19</v>
      </c>
      <c r="AH887" s="209" t="s">
        <v>306</v>
      </c>
      <c r="AI887" s="234" t="s">
        <v>306</v>
      </c>
      <c r="AJ887" s="209" t="s">
        <v>306</v>
      </c>
      <c r="AK887" s="209" t="s">
        <v>306</v>
      </c>
      <c r="AL887" s="234" t="s">
        <v>306</v>
      </c>
      <c r="AM887" s="209" t="s">
        <v>19</v>
      </c>
      <c r="AN887" s="209" t="s">
        <v>19</v>
      </c>
      <c r="AO887" s="234" t="s">
        <v>19</v>
      </c>
      <c r="AP887" s="235" t="s">
        <v>306</v>
      </c>
      <c r="AQ887" s="209" t="s">
        <v>25</v>
      </c>
      <c r="AR887" s="209" t="s">
        <v>19</v>
      </c>
      <c r="AS887" s="234" t="s">
        <v>306</v>
      </c>
      <c r="AT887" s="209" t="s">
        <v>25</v>
      </c>
      <c r="AU887" s="209" t="s">
        <v>25</v>
      </c>
      <c r="AV887" s="234" t="s">
        <v>25</v>
      </c>
      <c r="AW887" s="209" t="s">
        <v>306</v>
      </c>
      <c r="AX887" s="209" t="s">
        <v>306</v>
      </c>
      <c r="AY887" s="234" t="s">
        <v>306</v>
      </c>
      <c r="AZ887" s="209" t="s">
        <v>25</v>
      </c>
      <c r="BA887" s="209" t="s">
        <v>25</v>
      </c>
      <c r="BB887" s="234" t="s">
        <v>25</v>
      </c>
      <c r="BC887" s="235" t="s">
        <v>25</v>
      </c>
      <c r="BD887" s="188"/>
    </row>
    <row r="888" spans="1:56" ht="12.75" customHeight="1" x14ac:dyDescent="0.25">
      <c r="A888" s="211">
        <v>8</v>
      </c>
      <c r="B888" s="137" t="s">
        <v>384</v>
      </c>
      <c r="C888" s="211" t="s">
        <v>595</v>
      </c>
      <c r="D888" s="211" t="s">
        <v>17</v>
      </c>
      <c r="E888" s="232" t="s">
        <v>605</v>
      </c>
      <c r="F888" s="188" t="s">
        <v>1456</v>
      </c>
      <c r="G888" s="211" t="s">
        <v>24</v>
      </c>
      <c r="H888" s="211">
        <v>16</v>
      </c>
      <c r="I888" s="188" t="s">
        <v>518</v>
      </c>
      <c r="J888" s="188" t="s">
        <v>573</v>
      </c>
      <c r="K888" s="209" t="s">
        <v>573</v>
      </c>
      <c r="L888" s="188" t="s">
        <v>531</v>
      </c>
      <c r="M888" s="188" t="s">
        <v>666</v>
      </c>
      <c r="N888" s="188"/>
      <c r="O888" s="211" t="s">
        <v>531</v>
      </c>
      <c r="P888" s="188" t="s">
        <v>640</v>
      </c>
      <c r="Q888" s="188" t="s">
        <v>306</v>
      </c>
      <c r="R888" s="188" t="s">
        <v>306</v>
      </c>
      <c r="S888" s="234" t="s">
        <v>306</v>
      </c>
      <c r="T888" s="188" t="s">
        <v>19</v>
      </c>
      <c r="U888" s="188" t="s">
        <v>25</v>
      </c>
      <c r="V888" s="234" t="s">
        <v>306</v>
      </c>
      <c r="W888" s="188" t="s">
        <v>306</v>
      </c>
      <c r="X888" s="188" t="s">
        <v>19</v>
      </c>
      <c r="Y888" s="234" t="s">
        <v>306</v>
      </c>
      <c r="Z888" s="188" t="s">
        <v>25</v>
      </c>
      <c r="AA888" s="188" t="s">
        <v>25</v>
      </c>
      <c r="AB888" s="234" t="s">
        <v>25</v>
      </c>
      <c r="AC888" s="235" t="s">
        <v>306</v>
      </c>
      <c r="AD888" s="188" t="s">
        <v>306</v>
      </c>
      <c r="AE888" s="188" t="s">
        <v>25</v>
      </c>
      <c r="AF888" s="234" t="s">
        <v>25</v>
      </c>
      <c r="AG888" s="188" t="s">
        <v>19</v>
      </c>
      <c r="AH888" s="188" t="s">
        <v>19</v>
      </c>
      <c r="AI888" s="234" t="s">
        <v>19</v>
      </c>
      <c r="AJ888" s="188" t="s">
        <v>25</v>
      </c>
      <c r="AK888" s="188" t="s">
        <v>306</v>
      </c>
      <c r="AL888" s="234" t="s">
        <v>25</v>
      </c>
      <c r="AM888" s="188" t="s">
        <v>19</v>
      </c>
      <c r="AN888" s="188" t="s">
        <v>19</v>
      </c>
      <c r="AO888" s="234" t="s">
        <v>19</v>
      </c>
      <c r="AP888" s="235" t="s">
        <v>306</v>
      </c>
      <c r="AQ888" s="188" t="s">
        <v>25</v>
      </c>
      <c r="AR888" s="188" t="s">
        <v>306</v>
      </c>
      <c r="AS888" s="234" t="s">
        <v>25</v>
      </c>
      <c r="AT888" s="188" t="s">
        <v>25</v>
      </c>
      <c r="AU888" s="188" t="s">
        <v>25</v>
      </c>
      <c r="AV888" s="234" t="s">
        <v>25</v>
      </c>
      <c r="AW888" s="188" t="s">
        <v>25</v>
      </c>
      <c r="AX888" s="188" t="s">
        <v>306</v>
      </c>
      <c r="AY888" s="234" t="s">
        <v>25</v>
      </c>
      <c r="AZ888" s="188" t="s">
        <v>25</v>
      </c>
      <c r="BA888" s="188" t="s">
        <v>25</v>
      </c>
      <c r="BB888" s="234" t="s">
        <v>25</v>
      </c>
      <c r="BC888" s="235" t="s">
        <v>25</v>
      </c>
      <c r="BD888" s="188"/>
    </row>
    <row r="889" spans="1:56" ht="12.75" customHeight="1" x14ac:dyDescent="0.25">
      <c r="A889" s="211">
        <v>10</v>
      </c>
      <c r="B889" s="137" t="s">
        <v>384</v>
      </c>
      <c r="C889" s="211" t="s">
        <v>595</v>
      </c>
      <c r="D889" s="211" t="s">
        <v>17</v>
      </c>
      <c r="E889" s="232" t="s">
        <v>605</v>
      </c>
      <c r="F889" s="188" t="s">
        <v>1457</v>
      </c>
      <c r="G889" s="211" t="s">
        <v>18</v>
      </c>
      <c r="H889" s="211">
        <v>15</v>
      </c>
      <c r="I889" s="188" t="s">
        <v>518</v>
      </c>
      <c r="J889" s="188" t="s">
        <v>573</v>
      </c>
      <c r="K889" s="209" t="s">
        <v>573</v>
      </c>
      <c r="L889" s="188" t="s">
        <v>531</v>
      </c>
      <c r="M889" s="188" t="s">
        <v>666</v>
      </c>
      <c r="N889" s="188"/>
      <c r="O889" s="211" t="s">
        <v>531</v>
      </c>
      <c r="P889" s="188" t="s">
        <v>640</v>
      </c>
      <c r="Q889" s="188" t="s">
        <v>306</v>
      </c>
      <c r="R889" s="188" t="s">
        <v>25</v>
      </c>
      <c r="S889" s="234" t="s">
        <v>25</v>
      </c>
      <c r="T889" s="188" t="s">
        <v>19</v>
      </c>
      <c r="U889" s="188" t="s">
        <v>25</v>
      </c>
      <c r="V889" s="234" t="s">
        <v>306</v>
      </c>
      <c r="W889" s="188" t="s">
        <v>19</v>
      </c>
      <c r="X889" s="188" t="s">
        <v>306</v>
      </c>
      <c r="Y889" s="234" t="s">
        <v>306</v>
      </c>
      <c r="Z889" s="188" t="s">
        <v>306</v>
      </c>
      <c r="AA889" s="188" t="s">
        <v>306</v>
      </c>
      <c r="AB889" s="234" t="s">
        <v>306</v>
      </c>
      <c r="AC889" s="235" t="s">
        <v>306</v>
      </c>
      <c r="AD889" s="188" t="s">
        <v>306</v>
      </c>
      <c r="AE889" s="188" t="s">
        <v>306</v>
      </c>
      <c r="AF889" s="234" t="s">
        <v>306</v>
      </c>
      <c r="AG889" s="188" t="s">
        <v>306</v>
      </c>
      <c r="AH889" s="188" t="s">
        <v>306</v>
      </c>
      <c r="AI889" s="234" t="s">
        <v>306</v>
      </c>
      <c r="AJ889" s="188" t="s">
        <v>306</v>
      </c>
      <c r="AK889" s="188" t="s">
        <v>306</v>
      </c>
      <c r="AL889" s="234" t="s">
        <v>306</v>
      </c>
      <c r="AM889" s="188" t="s">
        <v>306</v>
      </c>
      <c r="AN889" s="188" t="s">
        <v>306</v>
      </c>
      <c r="AO889" s="234" t="s">
        <v>306</v>
      </c>
      <c r="AP889" s="235" t="s">
        <v>306</v>
      </c>
      <c r="AQ889" s="188" t="s">
        <v>19</v>
      </c>
      <c r="AR889" s="188" t="s">
        <v>306</v>
      </c>
      <c r="AS889" s="234" t="s">
        <v>306</v>
      </c>
      <c r="AT889" s="188" t="s">
        <v>25</v>
      </c>
      <c r="AU889" s="188" t="s">
        <v>19</v>
      </c>
      <c r="AV889" s="234" t="s">
        <v>306</v>
      </c>
      <c r="AW889" s="188" t="s">
        <v>306</v>
      </c>
      <c r="AX889" s="188" t="s">
        <v>306</v>
      </c>
      <c r="AY889" s="234" t="s">
        <v>306</v>
      </c>
      <c r="AZ889" s="188" t="s">
        <v>306</v>
      </c>
      <c r="BA889" s="188" t="s">
        <v>25</v>
      </c>
      <c r="BB889" s="234" t="s">
        <v>25</v>
      </c>
      <c r="BC889" s="235" t="s">
        <v>25</v>
      </c>
      <c r="BD889" s="188"/>
    </row>
    <row r="890" spans="1:56" ht="12.75" customHeight="1" x14ac:dyDescent="0.25">
      <c r="A890" s="211">
        <v>11</v>
      </c>
      <c r="B890" s="137" t="s">
        <v>384</v>
      </c>
      <c r="C890" s="211" t="s">
        <v>595</v>
      </c>
      <c r="D890" s="211" t="s">
        <v>17</v>
      </c>
      <c r="E890" s="232" t="s">
        <v>605</v>
      </c>
      <c r="F890" s="188" t="s">
        <v>1458</v>
      </c>
      <c r="G890" s="211" t="s">
        <v>24</v>
      </c>
      <c r="H890" s="211">
        <v>17</v>
      </c>
      <c r="I890" s="188" t="s">
        <v>518</v>
      </c>
      <c r="J890" s="188" t="s">
        <v>573</v>
      </c>
      <c r="K890" s="209" t="s">
        <v>573</v>
      </c>
      <c r="L890" s="188" t="s">
        <v>518</v>
      </c>
      <c r="M890" s="188" t="s">
        <v>412</v>
      </c>
      <c r="N890" s="188"/>
      <c r="O890" s="211" t="s">
        <v>518</v>
      </c>
      <c r="P890" s="188" t="s">
        <v>657</v>
      </c>
      <c r="Q890" s="188" t="s">
        <v>306</v>
      </c>
      <c r="R890" s="188" t="s">
        <v>306</v>
      </c>
      <c r="S890" s="234" t="s">
        <v>306</v>
      </c>
      <c r="T890" s="188" t="s">
        <v>25</v>
      </c>
      <c r="U890" s="188" t="s">
        <v>25</v>
      </c>
      <c r="V890" s="234" t="s">
        <v>25</v>
      </c>
      <c r="W890" s="188" t="s">
        <v>25</v>
      </c>
      <c r="X890" s="188" t="s">
        <v>306</v>
      </c>
      <c r="Y890" s="234" t="s">
        <v>25</v>
      </c>
      <c r="Z890" s="188" t="s">
        <v>25</v>
      </c>
      <c r="AA890" s="188" t="s">
        <v>19</v>
      </c>
      <c r="AB890" s="234" t="s">
        <v>306</v>
      </c>
      <c r="AC890" s="235" t="s">
        <v>306</v>
      </c>
      <c r="AD890" s="188" t="s">
        <v>306</v>
      </c>
      <c r="AE890" s="188" t="s">
        <v>306</v>
      </c>
      <c r="AF890" s="234" t="s">
        <v>306</v>
      </c>
      <c r="AG890" s="188" t="s">
        <v>19</v>
      </c>
      <c r="AH890" s="188" t="s">
        <v>306</v>
      </c>
      <c r="AI890" s="234" t="s">
        <v>306</v>
      </c>
      <c r="AJ890" s="188" t="s">
        <v>25</v>
      </c>
      <c r="AK890" s="188" t="s">
        <v>25</v>
      </c>
      <c r="AL890" s="234" t="s">
        <v>25</v>
      </c>
      <c r="AM890" s="188" t="s">
        <v>19</v>
      </c>
      <c r="AN890" s="188" t="s">
        <v>19</v>
      </c>
      <c r="AO890" s="234" t="s">
        <v>19</v>
      </c>
      <c r="AP890" s="235" t="s">
        <v>306</v>
      </c>
      <c r="AQ890" s="188" t="s">
        <v>25</v>
      </c>
      <c r="AR890" s="188" t="s">
        <v>306</v>
      </c>
      <c r="AS890" s="234" t="s">
        <v>25</v>
      </c>
      <c r="AT890" s="188" t="s">
        <v>19</v>
      </c>
      <c r="AU890" s="188" t="s">
        <v>306</v>
      </c>
      <c r="AV890" s="234" t="s">
        <v>306</v>
      </c>
      <c r="AW890" s="188" t="s">
        <v>19</v>
      </c>
      <c r="AX890" s="188" t="s">
        <v>306</v>
      </c>
      <c r="AY890" s="234" t="s">
        <v>306</v>
      </c>
      <c r="AZ890" s="188" t="s">
        <v>19</v>
      </c>
      <c r="BA890" s="188" t="s">
        <v>19</v>
      </c>
      <c r="BB890" s="234" t="s">
        <v>25</v>
      </c>
      <c r="BC890" s="235" t="s">
        <v>25</v>
      </c>
      <c r="BD890" s="188"/>
    </row>
    <row r="891" spans="1:56" ht="12.75" customHeight="1" x14ac:dyDescent="0.25">
      <c r="A891" s="211">
        <v>13</v>
      </c>
      <c r="B891" s="137" t="s">
        <v>384</v>
      </c>
      <c r="C891" s="211" t="s">
        <v>595</v>
      </c>
      <c r="D891" s="211" t="s">
        <v>17</v>
      </c>
      <c r="E891" s="232" t="s">
        <v>605</v>
      </c>
      <c r="F891" s="188" t="s">
        <v>1459</v>
      </c>
      <c r="G891" s="211" t="s">
        <v>18</v>
      </c>
      <c r="H891" s="211">
        <v>15</v>
      </c>
      <c r="I891" s="188" t="s">
        <v>518</v>
      </c>
      <c r="J891" s="188" t="s">
        <v>573</v>
      </c>
      <c r="K891" s="209" t="s">
        <v>573</v>
      </c>
      <c r="L891" s="188" t="s">
        <v>518</v>
      </c>
      <c r="M891" s="188" t="s">
        <v>368</v>
      </c>
      <c r="N891" s="188"/>
      <c r="O891" s="211" t="s">
        <v>518</v>
      </c>
      <c r="P891" s="188" t="s">
        <v>824</v>
      </c>
      <c r="Q891" s="188" t="s">
        <v>25</v>
      </c>
      <c r="R891" s="188" t="s">
        <v>25</v>
      </c>
      <c r="S891" s="234" t="s">
        <v>25</v>
      </c>
      <c r="T891" s="188" t="s">
        <v>306</v>
      </c>
      <c r="U891" s="188" t="s">
        <v>25</v>
      </c>
      <c r="V891" s="234" t="s">
        <v>25</v>
      </c>
      <c r="W891" s="188" t="s">
        <v>25</v>
      </c>
      <c r="X891" s="188" t="s">
        <v>306</v>
      </c>
      <c r="Y891" s="234" t="s">
        <v>25</v>
      </c>
      <c r="Z891" s="188" t="s">
        <v>25</v>
      </c>
      <c r="AA891" s="188" t="s">
        <v>25</v>
      </c>
      <c r="AB891" s="234" t="s">
        <v>25</v>
      </c>
      <c r="AC891" s="235" t="s">
        <v>25</v>
      </c>
      <c r="AD891" s="188" t="s">
        <v>306</v>
      </c>
      <c r="AE891" s="188" t="s">
        <v>306</v>
      </c>
      <c r="AF891" s="234" t="s">
        <v>306</v>
      </c>
      <c r="AG891" s="188" t="s">
        <v>25</v>
      </c>
      <c r="AH891" s="188" t="s">
        <v>25</v>
      </c>
      <c r="AI891" s="234" t="s">
        <v>25</v>
      </c>
      <c r="AJ891" s="188" t="s">
        <v>25</v>
      </c>
      <c r="AK891" s="188" t="s">
        <v>25</v>
      </c>
      <c r="AL891" s="234" t="s">
        <v>25</v>
      </c>
      <c r="AM891" s="188" t="s">
        <v>306</v>
      </c>
      <c r="AN891" s="188" t="s">
        <v>25</v>
      </c>
      <c r="AO891" s="234" t="s">
        <v>25</v>
      </c>
      <c r="AP891" s="235" t="s">
        <v>25</v>
      </c>
      <c r="AQ891" s="188" t="s">
        <v>25</v>
      </c>
      <c r="AR891" s="188" t="s">
        <v>25</v>
      </c>
      <c r="AS891" s="234" t="s">
        <v>25</v>
      </c>
      <c r="AT891" s="188" t="s">
        <v>25</v>
      </c>
      <c r="AU891" s="188" t="s">
        <v>25</v>
      </c>
      <c r="AV891" s="234" t="s">
        <v>25</v>
      </c>
      <c r="AW891" s="188" t="s">
        <v>25</v>
      </c>
      <c r="AX891" s="188" t="s">
        <v>25</v>
      </c>
      <c r="AY891" s="234" t="s">
        <v>25</v>
      </c>
      <c r="AZ891" s="188" t="s">
        <v>25</v>
      </c>
      <c r="BA891" s="188" t="s">
        <v>25</v>
      </c>
      <c r="BB891" s="234" t="s">
        <v>25</v>
      </c>
      <c r="BC891" s="235" t="s">
        <v>25</v>
      </c>
      <c r="BD891" s="188"/>
    </row>
    <row r="892" spans="1:56" ht="12.75" customHeight="1" x14ac:dyDescent="0.25">
      <c r="A892" s="211">
        <v>15</v>
      </c>
      <c r="B892" s="137" t="s">
        <v>384</v>
      </c>
      <c r="C892" s="211" t="s">
        <v>595</v>
      </c>
      <c r="D892" s="211" t="s">
        <v>17</v>
      </c>
      <c r="E892" s="232" t="s">
        <v>605</v>
      </c>
      <c r="F892" s="188" t="s">
        <v>1460</v>
      </c>
      <c r="G892" s="211" t="s">
        <v>24</v>
      </c>
      <c r="H892" s="211">
        <v>18</v>
      </c>
      <c r="I892" s="188" t="s">
        <v>518</v>
      </c>
      <c r="J892" s="188" t="s">
        <v>573</v>
      </c>
      <c r="K892" s="209" t="s">
        <v>573</v>
      </c>
      <c r="L892" s="188" t="s">
        <v>518</v>
      </c>
      <c r="M892" s="188" t="s">
        <v>412</v>
      </c>
      <c r="N892" s="188"/>
      <c r="O892" s="211" t="s">
        <v>531</v>
      </c>
      <c r="P892" s="188" t="s">
        <v>640</v>
      </c>
      <c r="Q892" s="188" t="s">
        <v>306</v>
      </c>
      <c r="R892" s="188" t="s">
        <v>306</v>
      </c>
      <c r="S892" s="234" t="s">
        <v>306</v>
      </c>
      <c r="T892" s="188" t="s">
        <v>306</v>
      </c>
      <c r="U892" s="188" t="s">
        <v>25</v>
      </c>
      <c r="V892" s="234" t="s">
        <v>25</v>
      </c>
      <c r="W892" s="188" t="s">
        <v>19</v>
      </c>
      <c r="X892" s="188" t="s">
        <v>306</v>
      </c>
      <c r="Y892" s="234" t="s">
        <v>306</v>
      </c>
      <c r="Z892" s="188" t="s">
        <v>306</v>
      </c>
      <c r="AA892" s="188" t="s">
        <v>306</v>
      </c>
      <c r="AB892" s="234" t="s">
        <v>306</v>
      </c>
      <c r="AC892" s="235" t="s">
        <v>306</v>
      </c>
      <c r="AD892" s="188" t="s">
        <v>19</v>
      </c>
      <c r="AE892" s="188" t="s">
        <v>306</v>
      </c>
      <c r="AF892" s="234" t="s">
        <v>306</v>
      </c>
      <c r="AG892" s="188" t="s">
        <v>306</v>
      </c>
      <c r="AH892" s="188" t="s">
        <v>306</v>
      </c>
      <c r="AI892" s="234" t="s">
        <v>306</v>
      </c>
      <c r="AJ892" s="188" t="s">
        <v>306</v>
      </c>
      <c r="AK892" s="188" t="s">
        <v>25</v>
      </c>
      <c r="AL892" s="234" t="s">
        <v>25</v>
      </c>
      <c r="AM892" s="188" t="s">
        <v>19</v>
      </c>
      <c r="AN892" s="188" t="s">
        <v>19</v>
      </c>
      <c r="AO892" s="234" t="s">
        <v>19</v>
      </c>
      <c r="AP892" s="235" t="s">
        <v>306</v>
      </c>
      <c r="AQ892" s="188" t="s">
        <v>306</v>
      </c>
      <c r="AR892" s="188" t="s">
        <v>19</v>
      </c>
      <c r="AS892" s="234" t="s">
        <v>306</v>
      </c>
      <c r="AT892" s="188" t="s">
        <v>25</v>
      </c>
      <c r="AU892" s="188" t="s">
        <v>25</v>
      </c>
      <c r="AV892" s="234" t="s">
        <v>25</v>
      </c>
      <c r="AW892" s="188" t="s">
        <v>25</v>
      </c>
      <c r="AX892" s="188" t="s">
        <v>306</v>
      </c>
      <c r="AY892" s="234" t="s">
        <v>25</v>
      </c>
      <c r="AZ892" s="188" t="s">
        <v>306</v>
      </c>
      <c r="BA892" s="188" t="s">
        <v>306</v>
      </c>
      <c r="BB892" s="234" t="s">
        <v>25</v>
      </c>
      <c r="BC892" s="235" t="s">
        <v>25</v>
      </c>
      <c r="BD892" s="188"/>
    </row>
    <row r="893" spans="1:56" ht="12.75" customHeight="1" x14ac:dyDescent="0.25">
      <c r="A893" s="211">
        <v>17</v>
      </c>
      <c r="B893" s="137" t="s">
        <v>384</v>
      </c>
      <c r="C893" s="211" t="s">
        <v>595</v>
      </c>
      <c r="D893" s="211" t="s">
        <v>17</v>
      </c>
      <c r="E893" s="232" t="s">
        <v>605</v>
      </c>
      <c r="F893" s="188" t="s">
        <v>1461</v>
      </c>
      <c r="G893" s="211" t="s">
        <v>24</v>
      </c>
      <c r="H893" s="211">
        <v>15</v>
      </c>
      <c r="I893" s="188" t="s">
        <v>518</v>
      </c>
      <c r="J893" s="188" t="s">
        <v>573</v>
      </c>
      <c r="K893" s="209" t="s">
        <v>573</v>
      </c>
      <c r="L893" s="188" t="s">
        <v>518</v>
      </c>
      <c r="M893" s="188" t="s">
        <v>375</v>
      </c>
      <c r="N893" s="188"/>
      <c r="O893" s="211" t="s">
        <v>518</v>
      </c>
      <c r="P893" s="188" t="s">
        <v>608</v>
      </c>
      <c r="Q893" s="188" t="s">
        <v>25</v>
      </c>
      <c r="R893" s="188" t="s">
        <v>25</v>
      </c>
      <c r="S893" s="234" t="s">
        <v>25</v>
      </c>
      <c r="T893" s="188" t="s">
        <v>306</v>
      </c>
      <c r="U893" s="188" t="s">
        <v>25</v>
      </c>
      <c r="V893" s="234" t="s">
        <v>25</v>
      </c>
      <c r="W893" s="188" t="s">
        <v>25</v>
      </c>
      <c r="X893" s="188" t="s">
        <v>306</v>
      </c>
      <c r="Y893" s="234" t="s">
        <v>25</v>
      </c>
      <c r="Z893" s="188" t="s">
        <v>306</v>
      </c>
      <c r="AA893" s="188" t="s">
        <v>25</v>
      </c>
      <c r="AB893" s="234" t="s">
        <v>25</v>
      </c>
      <c r="AC893" s="235" t="s">
        <v>25</v>
      </c>
      <c r="AD893" s="188" t="s">
        <v>306</v>
      </c>
      <c r="AE893" s="188" t="s">
        <v>25</v>
      </c>
      <c r="AF893" s="234" t="s">
        <v>25</v>
      </c>
      <c r="AG893" s="188" t="s">
        <v>25</v>
      </c>
      <c r="AH893" s="188" t="s">
        <v>25</v>
      </c>
      <c r="AI893" s="234" t="s">
        <v>25</v>
      </c>
      <c r="AJ893" s="188" t="s">
        <v>25</v>
      </c>
      <c r="AK893" s="188" t="s">
        <v>306</v>
      </c>
      <c r="AL893" s="234" t="s">
        <v>25</v>
      </c>
      <c r="AM893" s="188" t="s">
        <v>19</v>
      </c>
      <c r="AN893" s="188" t="s">
        <v>306</v>
      </c>
      <c r="AO893" s="234" t="s">
        <v>306</v>
      </c>
      <c r="AP893" s="235" t="s">
        <v>306</v>
      </c>
      <c r="AQ893" s="188" t="s">
        <v>25</v>
      </c>
      <c r="AR893" s="188" t="s">
        <v>25</v>
      </c>
      <c r="AS893" s="234" t="s">
        <v>25</v>
      </c>
      <c r="AT893" s="188" t="s">
        <v>25</v>
      </c>
      <c r="AU893" s="188" t="s">
        <v>25</v>
      </c>
      <c r="AV893" s="234" t="s">
        <v>25</v>
      </c>
      <c r="AW893" s="188" t="s">
        <v>306</v>
      </c>
      <c r="AX893" s="188" t="s">
        <v>306</v>
      </c>
      <c r="AY893" s="234" t="s">
        <v>306</v>
      </c>
      <c r="AZ893" s="188" t="s">
        <v>25</v>
      </c>
      <c r="BA893" s="188" t="s">
        <v>25</v>
      </c>
      <c r="BB893" s="234" t="s">
        <v>25</v>
      </c>
      <c r="BC893" s="235" t="s">
        <v>25</v>
      </c>
      <c r="BD893" s="188"/>
    </row>
    <row r="894" spans="1:56" ht="12.75" customHeight="1" x14ac:dyDescent="0.25">
      <c r="A894" s="211">
        <v>19</v>
      </c>
      <c r="B894" s="137" t="s">
        <v>384</v>
      </c>
      <c r="C894" s="211" t="s">
        <v>595</v>
      </c>
      <c r="D894" s="211" t="s">
        <v>17</v>
      </c>
      <c r="E894" s="232" t="s">
        <v>605</v>
      </c>
      <c r="F894" s="188" t="s">
        <v>1462</v>
      </c>
      <c r="G894" s="211" t="s">
        <v>24</v>
      </c>
      <c r="H894" s="211">
        <v>15</v>
      </c>
      <c r="I894" s="188" t="s">
        <v>518</v>
      </c>
      <c r="J894" s="188" t="s">
        <v>573</v>
      </c>
      <c r="K894" s="209" t="s">
        <v>573</v>
      </c>
      <c r="L894" s="188" t="s">
        <v>518</v>
      </c>
      <c r="M894" s="188" t="s">
        <v>368</v>
      </c>
      <c r="N894" s="188"/>
      <c r="O894" s="211" t="s">
        <v>531</v>
      </c>
      <c r="P894" s="188" t="s">
        <v>640</v>
      </c>
      <c r="Q894" s="188" t="s">
        <v>25</v>
      </c>
      <c r="R894" s="188" t="s">
        <v>25</v>
      </c>
      <c r="S894" s="234" t="s">
        <v>25</v>
      </c>
      <c r="T894" s="188" t="s">
        <v>25</v>
      </c>
      <c r="U894" s="188" t="s">
        <v>25</v>
      </c>
      <c r="V894" s="234" t="s">
        <v>25</v>
      </c>
      <c r="W894" s="188" t="s">
        <v>25</v>
      </c>
      <c r="X894" s="188" t="s">
        <v>25</v>
      </c>
      <c r="Y894" s="234" t="s">
        <v>25</v>
      </c>
      <c r="Z894" s="188" t="s">
        <v>25</v>
      </c>
      <c r="AA894" s="188" t="s">
        <v>306</v>
      </c>
      <c r="AB894" s="234" t="s">
        <v>25</v>
      </c>
      <c r="AC894" s="235" t="s">
        <v>25</v>
      </c>
      <c r="AD894" s="188" t="s">
        <v>306</v>
      </c>
      <c r="AE894" s="188" t="s">
        <v>25</v>
      </c>
      <c r="AF894" s="234" t="s">
        <v>25</v>
      </c>
      <c r="AG894" s="188" t="s">
        <v>306</v>
      </c>
      <c r="AH894" s="188" t="s">
        <v>25</v>
      </c>
      <c r="AI894" s="234" t="s">
        <v>25</v>
      </c>
      <c r="AJ894" s="188" t="s">
        <v>25</v>
      </c>
      <c r="AK894" s="188" t="s">
        <v>25</v>
      </c>
      <c r="AL894" s="234" t="s">
        <v>25</v>
      </c>
      <c r="AM894" s="188" t="s">
        <v>306</v>
      </c>
      <c r="AN894" s="188" t="s">
        <v>306</v>
      </c>
      <c r="AO894" s="234" t="s">
        <v>306</v>
      </c>
      <c r="AP894" s="235" t="s">
        <v>25</v>
      </c>
      <c r="AQ894" s="188" t="s">
        <v>25</v>
      </c>
      <c r="AR894" s="188" t="s">
        <v>25</v>
      </c>
      <c r="AS894" s="234" t="s">
        <v>25</v>
      </c>
      <c r="AT894" s="188" t="s">
        <v>25</v>
      </c>
      <c r="AU894" s="188" t="s">
        <v>25</v>
      </c>
      <c r="AV894" s="234" t="s">
        <v>25</v>
      </c>
      <c r="AW894" s="188" t="s">
        <v>306</v>
      </c>
      <c r="AX894" s="188" t="s">
        <v>25</v>
      </c>
      <c r="AY894" s="234" t="s">
        <v>25</v>
      </c>
      <c r="AZ894" s="188" t="s">
        <v>25</v>
      </c>
      <c r="BA894" s="188" t="s">
        <v>25</v>
      </c>
      <c r="BB894" s="234" t="s">
        <v>306</v>
      </c>
      <c r="BC894" s="235" t="s">
        <v>306</v>
      </c>
      <c r="BD894" s="188"/>
    </row>
    <row r="895" spans="1:56" ht="12.75" customHeight="1" x14ac:dyDescent="0.25">
      <c r="A895" s="211">
        <v>20</v>
      </c>
      <c r="B895" s="137" t="s">
        <v>384</v>
      </c>
      <c r="C895" s="211" t="s">
        <v>595</v>
      </c>
      <c r="D895" s="211" t="s">
        <v>17</v>
      </c>
      <c r="E895" s="232" t="s">
        <v>605</v>
      </c>
      <c r="F895" s="188" t="s">
        <v>1463</v>
      </c>
      <c r="G895" s="211" t="s">
        <v>18</v>
      </c>
      <c r="H895" s="211">
        <v>15</v>
      </c>
      <c r="I895" s="188" t="s">
        <v>518</v>
      </c>
      <c r="J895" s="188" t="s">
        <v>573</v>
      </c>
      <c r="K895" s="209" t="s">
        <v>573</v>
      </c>
      <c r="L895" s="188" t="s">
        <v>518</v>
      </c>
      <c r="M895" s="188" t="s">
        <v>412</v>
      </c>
      <c r="N895" s="188"/>
      <c r="O895" s="211" t="s">
        <v>531</v>
      </c>
      <c r="P895" s="188" t="s">
        <v>640</v>
      </c>
      <c r="Q895" s="188" t="s">
        <v>25</v>
      </c>
      <c r="R895" s="188" t="s">
        <v>25</v>
      </c>
      <c r="S895" s="234" t="s">
        <v>25</v>
      </c>
      <c r="T895" s="188" t="s">
        <v>25</v>
      </c>
      <c r="U895" s="188" t="s">
        <v>306</v>
      </c>
      <c r="V895" s="234" t="s">
        <v>25</v>
      </c>
      <c r="W895" s="188" t="s">
        <v>306</v>
      </c>
      <c r="X895" s="188" t="s">
        <v>25</v>
      </c>
      <c r="Y895" s="234" t="s">
        <v>25</v>
      </c>
      <c r="Z895" s="188" t="s">
        <v>25</v>
      </c>
      <c r="AA895" s="188" t="s">
        <v>306</v>
      </c>
      <c r="AB895" s="234" t="s">
        <v>25</v>
      </c>
      <c r="AC895" s="235" t="s">
        <v>25</v>
      </c>
      <c r="AD895" s="188" t="s">
        <v>306</v>
      </c>
      <c r="AE895" s="188" t="s">
        <v>306</v>
      </c>
      <c r="AF895" s="234" t="s">
        <v>306</v>
      </c>
      <c r="AG895" s="188" t="s">
        <v>306</v>
      </c>
      <c r="AH895" s="188" t="s">
        <v>306</v>
      </c>
      <c r="AI895" s="234" t="s">
        <v>306</v>
      </c>
      <c r="AJ895" s="188" t="s">
        <v>306</v>
      </c>
      <c r="AK895" s="188" t="s">
        <v>306</v>
      </c>
      <c r="AL895" s="234" t="s">
        <v>306</v>
      </c>
      <c r="AM895" s="188" t="s">
        <v>306</v>
      </c>
      <c r="AN895" s="188" t="s">
        <v>19</v>
      </c>
      <c r="AO895" s="234" t="s">
        <v>306</v>
      </c>
      <c r="AP895" s="235" t="s">
        <v>306</v>
      </c>
      <c r="AQ895" s="188" t="s">
        <v>25</v>
      </c>
      <c r="AR895" s="188" t="s">
        <v>25</v>
      </c>
      <c r="AS895" s="234" t="s">
        <v>25</v>
      </c>
      <c r="AT895" s="188" t="s">
        <v>25</v>
      </c>
      <c r="AU895" s="188" t="s">
        <v>25</v>
      </c>
      <c r="AV895" s="234" t="s">
        <v>25</v>
      </c>
      <c r="AW895" s="188" t="s">
        <v>306</v>
      </c>
      <c r="AX895" s="188" t="s">
        <v>25</v>
      </c>
      <c r="AY895" s="234" t="s">
        <v>25</v>
      </c>
      <c r="AZ895" s="188" t="s">
        <v>25</v>
      </c>
      <c r="BA895" s="188" t="s">
        <v>25</v>
      </c>
      <c r="BB895" s="234" t="s">
        <v>306</v>
      </c>
      <c r="BC895" s="235" t="s">
        <v>306</v>
      </c>
      <c r="BD895" s="188"/>
    </row>
    <row r="896" spans="1:56" ht="12.75" customHeight="1" x14ac:dyDescent="0.25">
      <c r="A896" s="211">
        <v>21</v>
      </c>
      <c r="B896" s="137" t="s">
        <v>384</v>
      </c>
      <c r="C896" s="211" t="s">
        <v>595</v>
      </c>
      <c r="D896" s="211" t="s">
        <v>17</v>
      </c>
      <c r="E896" s="232" t="s">
        <v>605</v>
      </c>
      <c r="F896" s="188" t="s">
        <v>1464</v>
      </c>
      <c r="G896" s="211" t="s">
        <v>24</v>
      </c>
      <c r="H896" s="211">
        <v>17</v>
      </c>
      <c r="I896" s="188" t="s">
        <v>518</v>
      </c>
      <c r="J896" s="188" t="s">
        <v>573</v>
      </c>
      <c r="K896" s="209" t="s">
        <v>573</v>
      </c>
      <c r="L896" s="188" t="s">
        <v>518</v>
      </c>
      <c r="M896" s="188" t="s">
        <v>412</v>
      </c>
      <c r="N896" s="188"/>
      <c r="O896" s="211" t="s">
        <v>531</v>
      </c>
      <c r="P896" s="188" t="s">
        <v>640</v>
      </c>
      <c r="Q896" s="188" t="s">
        <v>306</v>
      </c>
      <c r="R896" s="188" t="s">
        <v>306</v>
      </c>
      <c r="S896" s="234" t="s">
        <v>306</v>
      </c>
      <c r="T896" s="188" t="s">
        <v>306</v>
      </c>
      <c r="U896" s="188" t="s">
        <v>306</v>
      </c>
      <c r="V896" s="234" t="s">
        <v>306</v>
      </c>
      <c r="W896" s="188" t="s">
        <v>19</v>
      </c>
      <c r="X896" s="188" t="s">
        <v>19</v>
      </c>
      <c r="Y896" s="234" t="s">
        <v>19</v>
      </c>
      <c r="Z896" s="188" t="s">
        <v>25</v>
      </c>
      <c r="AA896" s="188" t="s">
        <v>19</v>
      </c>
      <c r="AB896" s="234" t="s">
        <v>306</v>
      </c>
      <c r="AC896" s="235" t="s">
        <v>306</v>
      </c>
      <c r="AD896" s="188" t="s">
        <v>306</v>
      </c>
      <c r="AE896" s="188" t="s">
        <v>19</v>
      </c>
      <c r="AF896" s="234" t="s">
        <v>306</v>
      </c>
      <c r="AG896" s="188" t="s">
        <v>306</v>
      </c>
      <c r="AH896" s="188" t="s">
        <v>19</v>
      </c>
      <c r="AI896" s="234" t="s">
        <v>306</v>
      </c>
      <c r="AJ896" s="188" t="s">
        <v>25</v>
      </c>
      <c r="AK896" s="188" t="s">
        <v>19</v>
      </c>
      <c r="AL896" s="234" t="s">
        <v>306</v>
      </c>
      <c r="AM896" s="188" t="s">
        <v>19</v>
      </c>
      <c r="AN896" s="188" t="s">
        <v>306</v>
      </c>
      <c r="AO896" s="234" t="s">
        <v>306</v>
      </c>
      <c r="AP896" s="235" t="s">
        <v>306</v>
      </c>
      <c r="AQ896" s="188" t="s">
        <v>25</v>
      </c>
      <c r="AR896" s="188" t="s">
        <v>25</v>
      </c>
      <c r="AS896" s="234" t="s">
        <v>25</v>
      </c>
      <c r="AT896" s="188" t="s">
        <v>25</v>
      </c>
      <c r="AU896" s="188" t="s">
        <v>25</v>
      </c>
      <c r="AV896" s="234" t="s">
        <v>25</v>
      </c>
      <c r="AW896" s="188" t="s">
        <v>25</v>
      </c>
      <c r="AX896" s="188" t="s">
        <v>306</v>
      </c>
      <c r="AY896" s="234" t="s">
        <v>25</v>
      </c>
      <c r="AZ896" s="188" t="s">
        <v>25</v>
      </c>
      <c r="BA896" s="188" t="s">
        <v>25</v>
      </c>
      <c r="BB896" s="234" t="s">
        <v>25</v>
      </c>
      <c r="BC896" s="235" t="s">
        <v>25</v>
      </c>
      <c r="BD896" s="188"/>
    </row>
    <row r="897" spans="1:56" ht="12.75" customHeight="1" x14ac:dyDescent="0.25">
      <c r="A897" s="211">
        <v>25</v>
      </c>
      <c r="B897" s="137" t="s">
        <v>384</v>
      </c>
      <c r="C897" s="211" t="s">
        <v>595</v>
      </c>
      <c r="D897" s="211" t="s">
        <v>17</v>
      </c>
      <c r="E897" s="232" t="s">
        <v>605</v>
      </c>
      <c r="F897" s="188" t="s">
        <v>1465</v>
      </c>
      <c r="G897" s="211" t="s">
        <v>18</v>
      </c>
      <c r="H897" s="211">
        <v>15</v>
      </c>
      <c r="I897" s="188" t="s">
        <v>518</v>
      </c>
      <c r="J897" s="188" t="s">
        <v>573</v>
      </c>
      <c r="K897" s="209" t="s">
        <v>573</v>
      </c>
      <c r="L897" s="188" t="s">
        <v>518</v>
      </c>
      <c r="M897" s="188" t="s">
        <v>375</v>
      </c>
      <c r="N897" s="188"/>
      <c r="O897" s="211" t="s">
        <v>518</v>
      </c>
      <c r="P897" s="188" t="s">
        <v>655</v>
      </c>
      <c r="Q897" s="188" t="s">
        <v>25</v>
      </c>
      <c r="R897" s="188" t="s">
        <v>25</v>
      </c>
      <c r="S897" s="234" t="s">
        <v>25</v>
      </c>
      <c r="T897" s="188" t="s">
        <v>19</v>
      </c>
      <c r="U897" s="188" t="s">
        <v>25</v>
      </c>
      <c r="V897" s="234" t="s">
        <v>306</v>
      </c>
      <c r="W897" s="188" t="s">
        <v>25</v>
      </c>
      <c r="X897" s="188" t="s">
        <v>25</v>
      </c>
      <c r="Y897" s="234" t="s">
        <v>25</v>
      </c>
      <c r="Z897" s="188" t="s">
        <v>25</v>
      </c>
      <c r="AA897" s="188" t="s">
        <v>25</v>
      </c>
      <c r="AB897" s="234" t="s">
        <v>25</v>
      </c>
      <c r="AC897" s="235" t="s">
        <v>25</v>
      </c>
      <c r="AD897" s="188" t="s">
        <v>25</v>
      </c>
      <c r="AE897" s="188" t="s">
        <v>25</v>
      </c>
      <c r="AF897" s="234" t="s">
        <v>25</v>
      </c>
      <c r="AG897" s="188" t="s">
        <v>25</v>
      </c>
      <c r="AH897" s="188" t="s">
        <v>25</v>
      </c>
      <c r="AI897" s="234" t="s">
        <v>25</v>
      </c>
      <c r="AJ897" s="188" t="s">
        <v>25</v>
      </c>
      <c r="AK897" s="188" t="s">
        <v>25</v>
      </c>
      <c r="AL897" s="234" t="s">
        <v>25</v>
      </c>
      <c r="AM897" s="188" t="s">
        <v>19</v>
      </c>
      <c r="AN897" s="188" t="s">
        <v>19</v>
      </c>
      <c r="AO897" s="234" t="s">
        <v>19</v>
      </c>
      <c r="AP897" s="235" t="s">
        <v>25</v>
      </c>
      <c r="AQ897" s="188" t="s">
        <v>25</v>
      </c>
      <c r="AR897" s="188" t="s">
        <v>25</v>
      </c>
      <c r="AS897" s="234" t="s">
        <v>25</v>
      </c>
      <c r="AT897" s="188" t="s">
        <v>25</v>
      </c>
      <c r="AU897" s="188" t="s">
        <v>25</v>
      </c>
      <c r="AV897" s="234" t="s">
        <v>25</v>
      </c>
      <c r="AW897" s="188" t="s">
        <v>25</v>
      </c>
      <c r="AX897" s="188" t="s">
        <v>25</v>
      </c>
      <c r="AY897" s="234" t="s">
        <v>25</v>
      </c>
      <c r="AZ897" s="188" t="s">
        <v>25</v>
      </c>
      <c r="BA897" s="188" t="s">
        <v>25</v>
      </c>
      <c r="BB897" s="234" t="s">
        <v>306</v>
      </c>
      <c r="BC897" s="235" t="s">
        <v>306</v>
      </c>
      <c r="BD897" s="188"/>
    </row>
    <row r="898" spans="1:56" ht="12.75" customHeight="1" x14ac:dyDescent="0.25">
      <c r="A898" s="211">
        <v>27</v>
      </c>
      <c r="B898" s="137" t="s">
        <v>384</v>
      </c>
      <c r="C898" s="211" t="s">
        <v>595</v>
      </c>
      <c r="D898" s="211" t="s">
        <v>17</v>
      </c>
      <c r="E898" s="232" t="s">
        <v>605</v>
      </c>
      <c r="F898" s="188" t="s">
        <v>1466</v>
      </c>
      <c r="G898" s="211" t="s">
        <v>18</v>
      </c>
      <c r="H898" s="211">
        <v>16</v>
      </c>
      <c r="I898" s="188" t="s">
        <v>518</v>
      </c>
      <c r="J898" s="188" t="s">
        <v>573</v>
      </c>
      <c r="K898" s="209" t="s">
        <v>573</v>
      </c>
      <c r="L898" s="188" t="s">
        <v>518</v>
      </c>
      <c r="M898" s="188" t="s">
        <v>412</v>
      </c>
      <c r="N898" s="188"/>
      <c r="O898" s="211" t="s">
        <v>531</v>
      </c>
      <c r="P898" s="188" t="s">
        <v>640</v>
      </c>
      <c r="Q898" s="188" t="s">
        <v>306</v>
      </c>
      <c r="R898" s="188" t="s">
        <v>19</v>
      </c>
      <c r="S898" s="234" t="s">
        <v>306</v>
      </c>
      <c r="T898" s="188" t="s">
        <v>19</v>
      </c>
      <c r="U898" s="188" t="s">
        <v>19</v>
      </c>
      <c r="V898" s="234" t="s">
        <v>19</v>
      </c>
      <c r="W898" s="188" t="s">
        <v>19</v>
      </c>
      <c r="X898" s="188" t="s">
        <v>19</v>
      </c>
      <c r="Y898" s="234" t="s">
        <v>19</v>
      </c>
      <c r="Z898" s="188" t="s">
        <v>306</v>
      </c>
      <c r="AA898" s="188" t="s">
        <v>306</v>
      </c>
      <c r="AB898" s="234" t="s">
        <v>306</v>
      </c>
      <c r="AC898" s="235" t="s">
        <v>19</v>
      </c>
      <c r="AD898" s="188" t="s">
        <v>19</v>
      </c>
      <c r="AE898" s="188" t="s">
        <v>306</v>
      </c>
      <c r="AF898" s="234" t="s">
        <v>306</v>
      </c>
      <c r="AG898" s="188" t="s">
        <v>19</v>
      </c>
      <c r="AH898" s="188" t="s">
        <v>19</v>
      </c>
      <c r="AI898" s="234" t="s">
        <v>19</v>
      </c>
      <c r="AJ898" s="188" t="s">
        <v>306</v>
      </c>
      <c r="AK898" s="188" t="s">
        <v>19</v>
      </c>
      <c r="AL898" s="234" t="s">
        <v>306</v>
      </c>
      <c r="AM898" s="188" t="s">
        <v>19</v>
      </c>
      <c r="AN898" s="188" t="s">
        <v>19</v>
      </c>
      <c r="AO898" s="234" t="s">
        <v>19</v>
      </c>
      <c r="AP898" s="235" t="s">
        <v>19</v>
      </c>
      <c r="AQ898" s="188" t="s">
        <v>25</v>
      </c>
      <c r="AR898" s="188" t="s">
        <v>306</v>
      </c>
      <c r="AS898" s="234" t="s">
        <v>25</v>
      </c>
      <c r="AT898" s="188" t="s">
        <v>306</v>
      </c>
      <c r="AU898" s="188" t="s">
        <v>25</v>
      </c>
      <c r="AV898" s="234" t="s">
        <v>25</v>
      </c>
      <c r="AW898" s="188" t="s">
        <v>19</v>
      </c>
      <c r="AX898" s="188" t="s">
        <v>306</v>
      </c>
      <c r="AY898" s="234" t="s">
        <v>306</v>
      </c>
      <c r="AZ898" s="188" t="s">
        <v>306</v>
      </c>
      <c r="BA898" s="188" t="s">
        <v>306</v>
      </c>
      <c r="BB898" s="234" t="s">
        <v>25</v>
      </c>
      <c r="BC898" s="235" t="s">
        <v>25</v>
      </c>
      <c r="BD898" s="188"/>
    </row>
    <row r="899" spans="1:56" ht="12.75" customHeight="1" x14ac:dyDescent="0.25">
      <c r="A899" s="211">
        <v>29</v>
      </c>
      <c r="B899" s="137" t="s">
        <v>384</v>
      </c>
      <c r="C899" s="211" t="s">
        <v>595</v>
      </c>
      <c r="D899" s="211" t="s">
        <v>17</v>
      </c>
      <c r="E899" s="232" t="s">
        <v>605</v>
      </c>
      <c r="F899" s="188" t="s">
        <v>1467</v>
      </c>
      <c r="G899" s="211" t="s">
        <v>24</v>
      </c>
      <c r="H899" s="211">
        <v>15</v>
      </c>
      <c r="I899" s="188" t="s">
        <v>518</v>
      </c>
      <c r="J899" s="188" t="s">
        <v>573</v>
      </c>
      <c r="K899" s="209" t="s">
        <v>573</v>
      </c>
      <c r="L899" s="188" t="s">
        <v>518</v>
      </c>
      <c r="M899" s="188" t="s">
        <v>412</v>
      </c>
      <c r="N899" s="188"/>
      <c r="O899" s="211" t="s">
        <v>531</v>
      </c>
      <c r="P899" s="188" t="s">
        <v>640</v>
      </c>
      <c r="Q899" s="188" t="s">
        <v>306</v>
      </c>
      <c r="R899" s="188" t="s">
        <v>306</v>
      </c>
      <c r="S899" s="234" t="s">
        <v>306</v>
      </c>
      <c r="T899" s="188" t="s">
        <v>306</v>
      </c>
      <c r="U899" s="188" t="s">
        <v>306</v>
      </c>
      <c r="V899" s="234" t="s">
        <v>306</v>
      </c>
      <c r="W899" s="188" t="s">
        <v>306</v>
      </c>
      <c r="X899" s="188" t="s">
        <v>306</v>
      </c>
      <c r="Y899" s="234" t="s">
        <v>306</v>
      </c>
      <c r="Z899" s="188" t="s">
        <v>25</v>
      </c>
      <c r="AA899" s="188" t="s">
        <v>19</v>
      </c>
      <c r="AB899" s="234" t="s">
        <v>306</v>
      </c>
      <c r="AC899" s="235" t="s">
        <v>306</v>
      </c>
      <c r="AD899" s="188" t="s">
        <v>306</v>
      </c>
      <c r="AE899" s="188" t="s">
        <v>25</v>
      </c>
      <c r="AF899" s="234" t="s">
        <v>25</v>
      </c>
      <c r="AG899" s="188" t="s">
        <v>19</v>
      </c>
      <c r="AH899" s="188" t="s">
        <v>19</v>
      </c>
      <c r="AI899" s="234" t="s">
        <v>19</v>
      </c>
      <c r="AJ899" s="188" t="s">
        <v>306</v>
      </c>
      <c r="AK899" s="188" t="s">
        <v>19</v>
      </c>
      <c r="AL899" s="234" t="s">
        <v>306</v>
      </c>
      <c r="AM899" s="188" t="s">
        <v>19</v>
      </c>
      <c r="AN899" s="188" t="s">
        <v>19</v>
      </c>
      <c r="AO899" s="234" t="s">
        <v>19</v>
      </c>
      <c r="AP899" s="235" t="s">
        <v>306</v>
      </c>
      <c r="AQ899" s="188" t="s">
        <v>306</v>
      </c>
      <c r="AR899" s="188" t="s">
        <v>19</v>
      </c>
      <c r="AS899" s="234" t="s">
        <v>306</v>
      </c>
      <c r="AT899" s="188" t="s">
        <v>306</v>
      </c>
      <c r="AU899" s="188" t="s">
        <v>306</v>
      </c>
      <c r="AV899" s="234" t="s">
        <v>306</v>
      </c>
      <c r="AW899" s="188" t="s">
        <v>306</v>
      </c>
      <c r="AX899" s="188" t="s">
        <v>306</v>
      </c>
      <c r="AY899" s="234" t="s">
        <v>306</v>
      </c>
      <c r="AZ899" s="188" t="s">
        <v>306</v>
      </c>
      <c r="BA899" s="188" t="s">
        <v>19</v>
      </c>
      <c r="BB899" s="234" t="s">
        <v>25</v>
      </c>
      <c r="BC899" s="235" t="s">
        <v>306</v>
      </c>
      <c r="BD899" s="188"/>
    </row>
    <row r="900" spans="1:56" ht="12.75" customHeight="1" x14ac:dyDescent="0.25">
      <c r="A900" s="211">
        <v>31</v>
      </c>
      <c r="B900" s="137" t="s">
        <v>384</v>
      </c>
      <c r="C900" s="211" t="s">
        <v>595</v>
      </c>
      <c r="D900" s="211" t="s">
        <v>17</v>
      </c>
      <c r="E900" s="232" t="s">
        <v>605</v>
      </c>
      <c r="F900" s="188" t="s">
        <v>1468</v>
      </c>
      <c r="G900" s="211" t="s">
        <v>18</v>
      </c>
      <c r="H900" s="211">
        <v>15</v>
      </c>
      <c r="I900" s="188" t="s">
        <v>518</v>
      </c>
      <c r="J900" s="188" t="s">
        <v>573</v>
      </c>
      <c r="K900" s="209" t="s">
        <v>573</v>
      </c>
      <c r="L900" s="188" t="s">
        <v>518</v>
      </c>
      <c r="M900" s="188" t="s">
        <v>368</v>
      </c>
      <c r="N900" s="188"/>
      <c r="O900" s="211" t="s">
        <v>518</v>
      </c>
      <c r="P900" s="188" t="s">
        <v>824</v>
      </c>
      <c r="Q900" s="188" t="s">
        <v>25</v>
      </c>
      <c r="R900" s="188" t="s">
        <v>306</v>
      </c>
      <c r="S900" s="234" t="s">
        <v>25</v>
      </c>
      <c r="T900" s="188" t="s">
        <v>306</v>
      </c>
      <c r="U900" s="188" t="s">
        <v>19</v>
      </c>
      <c r="V900" s="234" t="s">
        <v>306</v>
      </c>
      <c r="W900" s="188" t="s">
        <v>25</v>
      </c>
      <c r="X900" s="188" t="s">
        <v>25</v>
      </c>
      <c r="Y900" s="234" t="s">
        <v>25</v>
      </c>
      <c r="Z900" s="188" t="s">
        <v>306</v>
      </c>
      <c r="AA900" s="188" t="s">
        <v>25</v>
      </c>
      <c r="AB900" s="234" t="s">
        <v>25</v>
      </c>
      <c r="AC900" s="235" t="s">
        <v>306</v>
      </c>
      <c r="AD900" s="188" t="s">
        <v>25</v>
      </c>
      <c r="AE900" s="188" t="s">
        <v>306</v>
      </c>
      <c r="AF900" s="234" t="s">
        <v>25</v>
      </c>
      <c r="AG900" s="188" t="s">
        <v>25</v>
      </c>
      <c r="AH900" s="188" t="s">
        <v>19</v>
      </c>
      <c r="AI900" s="234" t="s">
        <v>306</v>
      </c>
      <c r="AJ900" s="188" t="s">
        <v>25</v>
      </c>
      <c r="AK900" s="188" t="s">
        <v>25</v>
      </c>
      <c r="AL900" s="234" t="s">
        <v>25</v>
      </c>
      <c r="AM900" s="188" t="s">
        <v>306</v>
      </c>
      <c r="AN900" s="188" t="s">
        <v>19</v>
      </c>
      <c r="AO900" s="234" t="s">
        <v>306</v>
      </c>
      <c r="AP900" s="235" t="s">
        <v>306</v>
      </c>
      <c r="AQ900" s="188" t="s">
        <v>25</v>
      </c>
      <c r="AR900" s="188" t="s">
        <v>25</v>
      </c>
      <c r="AS900" s="234" t="s">
        <v>25</v>
      </c>
      <c r="AT900" s="188" t="s">
        <v>25</v>
      </c>
      <c r="AU900" s="188" t="s">
        <v>25</v>
      </c>
      <c r="AV900" s="234" t="s">
        <v>25</v>
      </c>
      <c r="AW900" s="188" t="s">
        <v>25</v>
      </c>
      <c r="AX900" s="188" t="s">
        <v>306</v>
      </c>
      <c r="AY900" s="234" t="s">
        <v>25</v>
      </c>
      <c r="AZ900" s="188" t="s">
        <v>25</v>
      </c>
      <c r="BA900" s="188" t="s">
        <v>25</v>
      </c>
      <c r="BB900" s="234" t="s">
        <v>306</v>
      </c>
      <c r="BC900" s="235" t="s">
        <v>306</v>
      </c>
      <c r="BD900" s="188"/>
    </row>
    <row r="901" spans="1:56" ht="12.75" customHeight="1" x14ac:dyDescent="0.25">
      <c r="A901" s="211">
        <v>57</v>
      </c>
      <c r="B901" s="137" t="s">
        <v>384</v>
      </c>
      <c r="C901" s="211" t="s">
        <v>595</v>
      </c>
      <c r="D901" s="211" t="s">
        <v>17</v>
      </c>
      <c r="E901" s="232" t="s">
        <v>605</v>
      </c>
      <c r="F901" s="188" t="s">
        <v>1469</v>
      </c>
      <c r="G901" s="211" t="s">
        <v>24</v>
      </c>
      <c r="H901" s="211">
        <v>15</v>
      </c>
      <c r="I901" s="188" t="s">
        <v>518</v>
      </c>
      <c r="J901" s="188" t="s">
        <v>573</v>
      </c>
      <c r="K901" s="209" t="s">
        <v>573</v>
      </c>
      <c r="L901" s="188" t="s">
        <v>531</v>
      </c>
      <c r="M901" s="188" t="s">
        <v>666</v>
      </c>
      <c r="N901" s="188"/>
      <c r="O901" s="211" t="s">
        <v>531</v>
      </c>
      <c r="P901" s="188" t="s">
        <v>640</v>
      </c>
      <c r="Q901" s="188" t="s">
        <v>306</v>
      </c>
      <c r="R901" s="188" t="s">
        <v>306</v>
      </c>
      <c r="S901" s="234" t="s">
        <v>306</v>
      </c>
      <c r="T901" s="188" t="s">
        <v>25</v>
      </c>
      <c r="U901" s="188" t="s">
        <v>25</v>
      </c>
      <c r="V901" s="234" t="s">
        <v>25</v>
      </c>
      <c r="W901" s="188" t="s">
        <v>306</v>
      </c>
      <c r="X901" s="188" t="s">
        <v>306</v>
      </c>
      <c r="Y901" s="234" t="s">
        <v>306</v>
      </c>
      <c r="Z901" s="188" t="s">
        <v>25</v>
      </c>
      <c r="AA901" s="188" t="s">
        <v>306</v>
      </c>
      <c r="AB901" s="234" t="s">
        <v>25</v>
      </c>
      <c r="AC901" s="235" t="s">
        <v>306</v>
      </c>
      <c r="AD901" s="188" t="s">
        <v>25</v>
      </c>
      <c r="AE901" s="188" t="s">
        <v>306</v>
      </c>
      <c r="AF901" s="234" t="s">
        <v>25</v>
      </c>
      <c r="AG901" s="188" t="s">
        <v>306</v>
      </c>
      <c r="AH901" s="188" t="s">
        <v>306</v>
      </c>
      <c r="AI901" s="234" t="s">
        <v>306</v>
      </c>
      <c r="AJ901" s="188" t="s">
        <v>25</v>
      </c>
      <c r="AK901" s="188" t="s">
        <v>25</v>
      </c>
      <c r="AL901" s="234" t="s">
        <v>25</v>
      </c>
      <c r="AM901" s="188" t="s">
        <v>306</v>
      </c>
      <c r="AN901" s="188" t="s">
        <v>306</v>
      </c>
      <c r="AO901" s="234" t="s">
        <v>306</v>
      </c>
      <c r="AP901" s="235" t="s">
        <v>306</v>
      </c>
      <c r="AQ901" s="188" t="s">
        <v>25</v>
      </c>
      <c r="AR901" s="188" t="s">
        <v>25</v>
      </c>
      <c r="AS901" s="234" t="s">
        <v>25</v>
      </c>
      <c r="AT901" s="188" t="s">
        <v>25</v>
      </c>
      <c r="AU901" s="188" t="s">
        <v>25</v>
      </c>
      <c r="AV901" s="234" t="s">
        <v>25</v>
      </c>
      <c r="AW901" s="188" t="s">
        <v>25</v>
      </c>
      <c r="AX901" s="188" t="s">
        <v>25</v>
      </c>
      <c r="AY901" s="234" t="s">
        <v>25</v>
      </c>
      <c r="AZ901" s="188" t="s">
        <v>25</v>
      </c>
      <c r="BA901" s="188" t="s">
        <v>25</v>
      </c>
      <c r="BB901" s="234" t="s">
        <v>25</v>
      </c>
      <c r="BC901" s="235" t="s">
        <v>25</v>
      </c>
      <c r="BD901" s="188"/>
    </row>
    <row r="902" spans="1:56" ht="12.75" customHeight="1" x14ac:dyDescent="0.25">
      <c r="A902" s="211">
        <v>59</v>
      </c>
      <c r="B902" s="137" t="s">
        <v>384</v>
      </c>
      <c r="C902" s="211" t="s">
        <v>595</v>
      </c>
      <c r="D902" s="211" t="s">
        <v>17</v>
      </c>
      <c r="E902" s="232" t="s">
        <v>605</v>
      </c>
      <c r="F902" s="188" t="s">
        <v>1470</v>
      </c>
      <c r="G902" s="211" t="s">
        <v>18</v>
      </c>
      <c r="H902" s="211">
        <v>15</v>
      </c>
      <c r="I902" s="188" t="s">
        <v>518</v>
      </c>
      <c r="J902" s="188" t="s">
        <v>573</v>
      </c>
      <c r="K902" s="209" t="s">
        <v>573</v>
      </c>
      <c r="L902" s="188" t="s">
        <v>531</v>
      </c>
      <c r="M902" s="188" t="s">
        <v>666</v>
      </c>
      <c r="N902" s="188"/>
      <c r="O902" s="211" t="s">
        <v>531</v>
      </c>
      <c r="P902" s="188" t="s">
        <v>640</v>
      </c>
      <c r="Q902" s="188" t="s">
        <v>25</v>
      </c>
      <c r="R902" s="188" t="s">
        <v>19</v>
      </c>
      <c r="S902" s="234" t="s">
        <v>306</v>
      </c>
      <c r="T902" s="188" t="s">
        <v>306</v>
      </c>
      <c r="U902" s="188" t="s">
        <v>25</v>
      </c>
      <c r="V902" s="234" t="s">
        <v>25</v>
      </c>
      <c r="W902" s="188" t="s">
        <v>19</v>
      </c>
      <c r="X902" s="188" t="s">
        <v>306</v>
      </c>
      <c r="Y902" s="234" t="s">
        <v>306</v>
      </c>
      <c r="Z902" s="188" t="s">
        <v>25</v>
      </c>
      <c r="AA902" s="188" t="s">
        <v>306</v>
      </c>
      <c r="AB902" s="234" t="s">
        <v>25</v>
      </c>
      <c r="AC902" s="235" t="s">
        <v>306</v>
      </c>
      <c r="AD902" s="188" t="s">
        <v>306</v>
      </c>
      <c r="AE902" s="188" t="s">
        <v>306</v>
      </c>
      <c r="AF902" s="234" t="s">
        <v>306</v>
      </c>
      <c r="AG902" s="188" t="s">
        <v>306</v>
      </c>
      <c r="AH902" s="188" t="s">
        <v>306</v>
      </c>
      <c r="AI902" s="234" t="s">
        <v>306</v>
      </c>
      <c r="AJ902" s="188" t="s">
        <v>25</v>
      </c>
      <c r="AK902" s="188" t="s">
        <v>306</v>
      </c>
      <c r="AL902" s="234" t="s">
        <v>25</v>
      </c>
      <c r="AM902" s="188" t="s">
        <v>19</v>
      </c>
      <c r="AN902" s="188" t="s">
        <v>306</v>
      </c>
      <c r="AO902" s="234" t="s">
        <v>306</v>
      </c>
      <c r="AP902" s="235" t="s">
        <v>306</v>
      </c>
      <c r="AQ902" s="188" t="s">
        <v>25</v>
      </c>
      <c r="AR902" s="188" t="s">
        <v>25</v>
      </c>
      <c r="AS902" s="234" t="s">
        <v>25</v>
      </c>
      <c r="AT902" s="188" t="s">
        <v>306</v>
      </c>
      <c r="AU902" s="188" t="s">
        <v>306</v>
      </c>
      <c r="AV902" s="234" t="s">
        <v>306</v>
      </c>
      <c r="AW902" s="188" t="s">
        <v>306</v>
      </c>
      <c r="AX902" s="188" t="s">
        <v>306</v>
      </c>
      <c r="AY902" s="234" t="s">
        <v>306</v>
      </c>
      <c r="AZ902" s="188" t="s">
        <v>25</v>
      </c>
      <c r="BA902" s="188" t="s">
        <v>25</v>
      </c>
      <c r="BB902" s="234" t="s">
        <v>25</v>
      </c>
      <c r="BC902" s="235" t="s">
        <v>25</v>
      </c>
      <c r="BD902" s="188"/>
    </row>
    <row r="903" spans="1:56" ht="12.75" customHeight="1" x14ac:dyDescent="0.25">
      <c r="A903" s="211">
        <v>60</v>
      </c>
      <c r="B903" s="137" t="s">
        <v>384</v>
      </c>
      <c r="C903" s="211" t="s">
        <v>595</v>
      </c>
      <c r="D903" s="211" t="s">
        <v>17</v>
      </c>
      <c r="E903" s="232" t="s">
        <v>605</v>
      </c>
      <c r="F903" s="188" t="s">
        <v>1471</v>
      </c>
      <c r="G903" s="211" t="s">
        <v>18</v>
      </c>
      <c r="H903" s="211">
        <v>16</v>
      </c>
      <c r="I903" s="188" t="s">
        <v>518</v>
      </c>
      <c r="J903" s="188" t="s">
        <v>573</v>
      </c>
      <c r="K903" s="209" t="s">
        <v>573</v>
      </c>
      <c r="L903" s="188" t="s">
        <v>531</v>
      </c>
      <c r="M903" s="188" t="s">
        <v>666</v>
      </c>
      <c r="N903" s="188"/>
      <c r="O903" s="211" t="s">
        <v>531</v>
      </c>
      <c r="P903" s="188" t="s">
        <v>640</v>
      </c>
      <c r="Q903" s="188" t="s">
        <v>306</v>
      </c>
      <c r="R903" s="188" t="s">
        <v>25</v>
      </c>
      <c r="S903" s="234" t="s">
        <v>25</v>
      </c>
      <c r="T903" s="188" t="s">
        <v>306</v>
      </c>
      <c r="U903" s="188" t="s">
        <v>306</v>
      </c>
      <c r="V903" s="234" t="s">
        <v>306</v>
      </c>
      <c r="W903" s="188" t="s">
        <v>25</v>
      </c>
      <c r="X903" s="188" t="s">
        <v>25</v>
      </c>
      <c r="Y903" s="234" t="s">
        <v>25</v>
      </c>
      <c r="Z903" s="188" t="s">
        <v>25</v>
      </c>
      <c r="AA903" s="188" t="s">
        <v>19</v>
      </c>
      <c r="AB903" s="234" t="s">
        <v>306</v>
      </c>
      <c r="AC903" s="235" t="s">
        <v>306</v>
      </c>
      <c r="AD903" s="188" t="s">
        <v>25</v>
      </c>
      <c r="AE903" s="188" t="s">
        <v>306</v>
      </c>
      <c r="AF903" s="234" t="s">
        <v>25</v>
      </c>
      <c r="AG903" s="188" t="s">
        <v>306</v>
      </c>
      <c r="AH903" s="188" t="s">
        <v>19</v>
      </c>
      <c r="AI903" s="234" t="s">
        <v>306</v>
      </c>
      <c r="AJ903" s="188" t="s">
        <v>19</v>
      </c>
      <c r="AK903" s="188" t="s">
        <v>19</v>
      </c>
      <c r="AL903" s="234" t="s">
        <v>19</v>
      </c>
      <c r="AM903" s="188" t="s">
        <v>19</v>
      </c>
      <c r="AN903" s="188" t="s">
        <v>19</v>
      </c>
      <c r="AO903" s="234" t="s">
        <v>19</v>
      </c>
      <c r="AP903" s="235" t="s">
        <v>306</v>
      </c>
      <c r="AQ903" s="188" t="s">
        <v>19</v>
      </c>
      <c r="AR903" s="188" t="s">
        <v>19</v>
      </c>
      <c r="AS903" s="234" t="s">
        <v>19</v>
      </c>
      <c r="AT903" s="188" t="s">
        <v>25</v>
      </c>
      <c r="AU903" s="188" t="s">
        <v>25</v>
      </c>
      <c r="AV903" s="234" t="s">
        <v>25</v>
      </c>
      <c r="AW903" s="188" t="s">
        <v>306</v>
      </c>
      <c r="AX903" s="188" t="s">
        <v>19</v>
      </c>
      <c r="AY903" s="234" t="s">
        <v>306</v>
      </c>
      <c r="AZ903" s="188" t="s">
        <v>25</v>
      </c>
      <c r="BA903" s="188" t="s">
        <v>25</v>
      </c>
      <c r="BB903" s="234" t="s">
        <v>25</v>
      </c>
      <c r="BC903" s="235" t="s">
        <v>25</v>
      </c>
      <c r="BD903" s="188"/>
    </row>
    <row r="904" spans="1:56" ht="12.75" customHeight="1" x14ac:dyDescent="0.25">
      <c r="A904" s="211">
        <v>63</v>
      </c>
      <c r="B904" s="137" t="s">
        <v>384</v>
      </c>
      <c r="C904" s="211" t="s">
        <v>595</v>
      </c>
      <c r="D904" s="211" t="s">
        <v>17</v>
      </c>
      <c r="E904" s="232" t="s">
        <v>605</v>
      </c>
      <c r="F904" s="188" t="s">
        <v>1472</v>
      </c>
      <c r="G904" s="211" t="s">
        <v>18</v>
      </c>
      <c r="H904" s="211">
        <v>16</v>
      </c>
      <c r="I904" s="188" t="s">
        <v>518</v>
      </c>
      <c r="J904" s="188" t="s">
        <v>573</v>
      </c>
      <c r="K904" s="209" t="s">
        <v>573</v>
      </c>
      <c r="L904" s="188" t="s">
        <v>531</v>
      </c>
      <c r="M904" s="188" t="s">
        <v>666</v>
      </c>
      <c r="N904" s="188"/>
      <c r="O904" s="211" t="s">
        <v>531</v>
      </c>
      <c r="P904" s="188" t="s">
        <v>640</v>
      </c>
      <c r="Q904" s="188" t="s">
        <v>306</v>
      </c>
      <c r="R904" s="188" t="s">
        <v>306</v>
      </c>
      <c r="S904" s="234" t="s">
        <v>306</v>
      </c>
      <c r="T904" s="188" t="s">
        <v>306</v>
      </c>
      <c r="U904" s="188" t="s">
        <v>25</v>
      </c>
      <c r="V904" s="234" t="s">
        <v>25</v>
      </c>
      <c r="W904" s="188" t="s">
        <v>306</v>
      </c>
      <c r="X904" s="188" t="s">
        <v>19</v>
      </c>
      <c r="Y904" s="234" t="s">
        <v>306</v>
      </c>
      <c r="Z904" s="188" t="s">
        <v>19</v>
      </c>
      <c r="AA904" s="188" t="s">
        <v>19</v>
      </c>
      <c r="AB904" s="234" t="s">
        <v>19</v>
      </c>
      <c r="AC904" s="235" t="s">
        <v>306</v>
      </c>
      <c r="AD904" s="188" t="s">
        <v>19</v>
      </c>
      <c r="AE904" s="188" t="s">
        <v>19</v>
      </c>
      <c r="AF904" s="234" t="s">
        <v>19</v>
      </c>
      <c r="AG904" s="188" t="s">
        <v>19</v>
      </c>
      <c r="AH904" s="188" t="s">
        <v>19</v>
      </c>
      <c r="AI904" s="234" t="s">
        <v>19</v>
      </c>
      <c r="AJ904" s="188" t="s">
        <v>306</v>
      </c>
      <c r="AK904" s="188" t="s">
        <v>19</v>
      </c>
      <c r="AL904" s="234" t="s">
        <v>306</v>
      </c>
      <c r="AM904" s="188" t="s">
        <v>19</v>
      </c>
      <c r="AN904" s="188" t="s">
        <v>19</v>
      </c>
      <c r="AO904" s="234" t="s">
        <v>19</v>
      </c>
      <c r="AP904" s="235" t="s">
        <v>19</v>
      </c>
      <c r="AQ904" s="188" t="s">
        <v>19</v>
      </c>
      <c r="AR904" s="188" t="s">
        <v>19</v>
      </c>
      <c r="AS904" s="234" t="s">
        <v>19</v>
      </c>
      <c r="AT904" s="188" t="s">
        <v>25</v>
      </c>
      <c r="AU904" s="188" t="s">
        <v>19</v>
      </c>
      <c r="AV904" s="234" t="s">
        <v>306</v>
      </c>
      <c r="AW904" s="188" t="s">
        <v>19</v>
      </c>
      <c r="AX904" s="188" t="s">
        <v>19</v>
      </c>
      <c r="AY904" s="234" t="s">
        <v>19</v>
      </c>
      <c r="AZ904" s="188" t="s">
        <v>306</v>
      </c>
      <c r="BA904" s="188" t="s">
        <v>19</v>
      </c>
      <c r="BB904" s="234" t="s">
        <v>25</v>
      </c>
      <c r="BC904" s="235" t="s">
        <v>25</v>
      </c>
      <c r="BD904" s="188"/>
    </row>
    <row r="905" spans="1:56" ht="12.75" customHeight="1" x14ac:dyDescent="0.25">
      <c r="A905" s="211">
        <v>65</v>
      </c>
      <c r="B905" s="137" t="s">
        <v>384</v>
      </c>
      <c r="C905" s="211" t="s">
        <v>595</v>
      </c>
      <c r="D905" s="211" t="s">
        <v>17</v>
      </c>
      <c r="E905" s="232" t="s">
        <v>605</v>
      </c>
      <c r="F905" s="188" t="s">
        <v>1473</v>
      </c>
      <c r="G905" s="211" t="s">
        <v>18</v>
      </c>
      <c r="H905" s="211">
        <v>16</v>
      </c>
      <c r="I905" s="188" t="s">
        <v>518</v>
      </c>
      <c r="J905" s="188" t="s">
        <v>573</v>
      </c>
      <c r="K905" s="209" t="s">
        <v>573</v>
      </c>
      <c r="L905" s="188" t="s">
        <v>531</v>
      </c>
      <c r="M905" s="188" t="s">
        <v>666</v>
      </c>
      <c r="N905" s="188"/>
      <c r="O905" s="211" t="s">
        <v>531</v>
      </c>
      <c r="P905" s="188" t="s">
        <v>640</v>
      </c>
      <c r="Q905" s="188" t="s">
        <v>19</v>
      </c>
      <c r="R905" s="188" t="s">
        <v>19</v>
      </c>
      <c r="S905" s="234" t="s">
        <v>19</v>
      </c>
      <c r="T905" s="188" t="s">
        <v>19</v>
      </c>
      <c r="U905" s="188" t="s">
        <v>306</v>
      </c>
      <c r="V905" s="234" t="s">
        <v>306</v>
      </c>
      <c r="W905" s="188" t="s">
        <v>19</v>
      </c>
      <c r="X905" s="188" t="s">
        <v>19</v>
      </c>
      <c r="Y905" s="234" t="s">
        <v>19</v>
      </c>
      <c r="Z905" s="188" t="s">
        <v>306</v>
      </c>
      <c r="AA905" s="188" t="s">
        <v>306</v>
      </c>
      <c r="AB905" s="234" t="s">
        <v>306</v>
      </c>
      <c r="AC905" s="235" t="s">
        <v>19</v>
      </c>
      <c r="AD905" s="188" t="s">
        <v>19</v>
      </c>
      <c r="AE905" s="188" t="s">
        <v>306</v>
      </c>
      <c r="AF905" s="234" t="s">
        <v>306</v>
      </c>
      <c r="AG905" s="188" t="s">
        <v>19</v>
      </c>
      <c r="AH905" s="188" t="s">
        <v>19</v>
      </c>
      <c r="AI905" s="234" t="s">
        <v>19</v>
      </c>
      <c r="AJ905" s="188" t="s">
        <v>306</v>
      </c>
      <c r="AK905" s="188" t="s">
        <v>306</v>
      </c>
      <c r="AL905" s="234" t="s">
        <v>306</v>
      </c>
      <c r="AM905" s="188" t="s">
        <v>19</v>
      </c>
      <c r="AN905" s="188" t="s">
        <v>19</v>
      </c>
      <c r="AO905" s="234" t="s">
        <v>19</v>
      </c>
      <c r="AP905" s="235" t="s">
        <v>19</v>
      </c>
      <c r="AQ905" s="188" t="s">
        <v>19</v>
      </c>
      <c r="AR905" s="188" t="s">
        <v>19</v>
      </c>
      <c r="AS905" s="234" t="s">
        <v>19</v>
      </c>
      <c r="AT905" s="188" t="s">
        <v>25</v>
      </c>
      <c r="AU905" s="188" t="s">
        <v>25</v>
      </c>
      <c r="AV905" s="234" t="s">
        <v>25</v>
      </c>
      <c r="AW905" s="188" t="s">
        <v>306</v>
      </c>
      <c r="AX905" s="188" t="s">
        <v>19</v>
      </c>
      <c r="AY905" s="234" t="s">
        <v>306</v>
      </c>
      <c r="AZ905" s="188" t="s">
        <v>19</v>
      </c>
      <c r="BA905" s="188" t="s">
        <v>306</v>
      </c>
      <c r="BB905" s="234" t="s">
        <v>25</v>
      </c>
      <c r="BC905" s="235" t="s">
        <v>25</v>
      </c>
      <c r="BD905" s="188"/>
    </row>
    <row r="906" spans="1:56" ht="12.75" customHeight="1" x14ac:dyDescent="0.25">
      <c r="A906" s="211">
        <v>67</v>
      </c>
      <c r="B906" s="137" t="s">
        <v>384</v>
      </c>
      <c r="C906" s="211" t="s">
        <v>595</v>
      </c>
      <c r="D906" s="211" t="s">
        <v>17</v>
      </c>
      <c r="E906" s="232" t="s">
        <v>605</v>
      </c>
      <c r="F906" s="188" t="s">
        <v>1474</v>
      </c>
      <c r="G906" s="211" t="s">
        <v>24</v>
      </c>
      <c r="H906" s="211">
        <v>16</v>
      </c>
      <c r="I906" s="188" t="s">
        <v>518</v>
      </c>
      <c r="J906" s="188" t="s">
        <v>573</v>
      </c>
      <c r="K906" s="209" t="s">
        <v>573</v>
      </c>
      <c r="L906" s="188" t="s">
        <v>531</v>
      </c>
      <c r="M906" s="188" t="s">
        <v>666</v>
      </c>
      <c r="N906" s="188"/>
      <c r="O906" s="211" t="s">
        <v>531</v>
      </c>
      <c r="P906" s="188" t="s">
        <v>640</v>
      </c>
      <c r="Q906" s="188" t="s">
        <v>306</v>
      </c>
      <c r="R906" s="188" t="s">
        <v>25</v>
      </c>
      <c r="S906" s="234" t="s">
        <v>25</v>
      </c>
      <c r="T906" s="188" t="s">
        <v>306</v>
      </c>
      <c r="U906" s="188" t="s">
        <v>25</v>
      </c>
      <c r="V906" s="234" t="s">
        <v>25</v>
      </c>
      <c r="W906" s="188" t="s">
        <v>306</v>
      </c>
      <c r="X906" s="188" t="s">
        <v>306</v>
      </c>
      <c r="Y906" s="234" t="s">
        <v>306</v>
      </c>
      <c r="Z906" s="188" t="s">
        <v>25</v>
      </c>
      <c r="AA906" s="188" t="s">
        <v>19</v>
      </c>
      <c r="AB906" s="234" t="s">
        <v>306</v>
      </c>
      <c r="AC906" s="235" t="s">
        <v>306</v>
      </c>
      <c r="AD906" s="188" t="s">
        <v>25</v>
      </c>
      <c r="AE906" s="188" t="s">
        <v>306</v>
      </c>
      <c r="AF906" s="234" t="s">
        <v>25</v>
      </c>
      <c r="AG906" s="188" t="s">
        <v>306</v>
      </c>
      <c r="AH906" s="188" t="s">
        <v>19</v>
      </c>
      <c r="AI906" s="234" t="s">
        <v>306</v>
      </c>
      <c r="AJ906" s="188" t="s">
        <v>25</v>
      </c>
      <c r="AK906" s="188" t="s">
        <v>19</v>
      </c>
      <c r="AL906" s="234" t="s">
        <v>306</v>
      </c>
      <c r="AM906" s="188" t="s">
        <v>19</v>
      </c>
      <c r="AN906" s="188" t="s">
        <v>19</v>
      </c>
      <c r="AO906" s="234" t="s">
        <v>19</v>
      </c>
      <c r="AP906" s="235" t="s">
        <v>306</v>
      </c>
      <c r="AQ906" s="188" t="s">
        <v>19</v>
      </c>
      <c r="AR906" s="188" t="s">
        <v>25</v>
      </c>
      <c r="AS906" s="234" t="s">
        <v>306</v>
      </c>
      <c r="AT906" s="188" t="s">
        <v>25</v>
      </c>
      <c r="AU906" s="188" t="s">
        <v>25</v>
      </c>
      <c r="AV906" s="234" t="s">
        <v>25</v>
      </c>
      <c r="AW906" s="188" t="s">
        <v>19</v>
      </c>
      <c r="AX906" s="188" t="s">
        <v>19</v>
      </c>
      <c r="AY906" s="234" t="s">
        <v>19</v>
      </c>
      <c r="AZ906" s="188" t="s">
        <v>25</v>
      </c>
      <c r="BA906" s="188" t="s">
        <v>25</v>
      </c>
      <c r="BB906" s="234" t="s">
        <v>25</v>
      </c>
      <c r="BC906" s="235" t="s">
        <v>306</v>
      </c>
      <c r="BD906" s="188"/>
    </row>
    <row r="907" spans="1:56" ht="12.75" customHeight="1" x14ac:dyDescent="0.25">
      <c r="A907" s="211">
        <v>68</v>
      </c>
      <c r="B907" s="137" t="s">
        <v>384</v>
      </c>
      <c r="C907" s="211" t="s">
        <v>595</v>
      </c>
      <c r="D907" s="211" t="s">
        <v>17</v>
      </c>
      <c r="E907" s="232" t="s">
        <v>605</v>
      </c>
      <c r="F907" s="188" t="s">
        <v>1475</v>
      </c>
      <c r="G907" s="211" t="s">
        <v>18</v>
      </c>
      <c r="H907" s="211">
        <v>15</v>
      </c>
      <c r="I907" s="188" t="s">
        <v>518</v>
      </c>
      <c r="J907" s="188" t="s">
        <v>573</v>
      </c>
      <c r="K907" s="209" t="s">
        <v>573</v>
      </c>
      <c r="L907" s="188" t="s">
        <v>531</v>
      </c>
      <c r="M907" s="188" t="s">
        <v>666</v>
      </c>
      <c r="N907" s="188"/>
      <c r="O907" s="211" t="s">
        <v>531</v>
      </c>
      <c r="P907" s="188" t="s">
        <v>640</v>
      </c>
      <c r="Q907" s="188" t="s">
        <v>306</v>
      </c>
      <c r="R907" s="188" t="s">
        <v>306</v>
      </c>
      <c r="S907" s="234" t="s">
        <v>306</v>
      </c>
      <c r="T907" s="188" t="s">
        <v>306</v>
      </c>
      <c r="U907" s="188" t="s">
        <v>25</v>
      </c>
      <c r="V907" s="234" t="s">
        <v>25</v>
      </c>
      <c r="W907" s="188" t="s">
        <v>19</v>
      </c>
      <c r="X907" s="188" t="s">
        <v>25</v>
      </c>
      <c r="Y907" s="234" t="s">
        <v>306</v>
      </c>
      <c r="Z907" s="188" t="s">
        <v>19</v>
      </c>
      <c r="AA907" s="188" t="s">
        <v>19</v>
      </c>
      <c r="AB907" s="234" t="s">
        <v>19</v>
      </c>
      <c r="AC907" s="235" t="s">
        <v>306</v>
      </c>
      <c r="AD907" s="188" t="s">
        <v>19</v>
      </c>
      <c r="AE907" s="188" t="s">
        <v>306</v>
      </c>
      <c r="AF907" s="234" t="s">
        <v>306</v>
      </c>
      <c r="AG907" s="188" t="s">
        <v>306</v>
      </c>
      <c r="AH907" s="188" t="s">
        <v>19</v>
      </c>
      <c r="AI907" s="234" t="s">
        <v>306</v>
      </c>
      <c r="AJ907" s="188" t="s">
        <v>306</v>
      </c>
      <c r="AK907" s="188" t="s">
        <v>306</v>
      </c>
      <c r="AL907" s="234" t="s">
        <v>306</v>
      </c>
      <c r="AM907" s="188" t="s">
        <v>19</v>
      </c>
      <c r="AN907" s="188" t="s">
        <v>19</v>
      </c>
      <c r="AO907" s="234" t="s">
        <v>19</v>
      </c>
      <c r="AP907" s="235" t="s">
        <v>306</v>
      </c>
      <c r="AQ907" s="188" t="s">
        <v>19</v>
      </c>
      <c r="AR907" s="188" t="s">
        <v>306</v>
      </c>
      <c r="AS907" s="234" t="s">
        <v>306</v>
      </c>
      <c r="AT907" s="188" t="s">
        <v>25</v>
      </c>
      <c r="AU907" s="188" t="s">
        <v>25</v>
      </c>
      <c r="AV907" s="234" t="s">
        <v>25</v>
      </c>
      <c r="AW907" s="188" t="s">
        <v>19</v>
      </c>
      <c r="AX907" s="188" t="s">
        <v>19</v>
      </c>
      <c r="AY907" s="234" t="s">
        <v>19</v>
      </c>
      <c r="AZ907" s="188" t="s">
        <v>25</v>
      </c>
      <c r="BA907" s="188" t="s">
        <v>25</v>
      </c>
      <c r="BB907" s="234" t="s">
        <v>25</v>
      </c>
      <c r="BC907" s="235" t="s">
        <v>306</v>
      </c>
      <c r="BD907" s="188"/>
    </row>
    <row r="908" spans="1:56" ht="12.75" customHeight="1" x14ac:dyDescent="0.25">
      <c r="A908" s="211">
        <v>71</v>
      </c>
      <c r="B908" s="137" t="s">
        <v>384</v>
      </c>
      <c r="C908" s="211" t="s">
        <v>595</v>
      </c>
      <c r="D908" s="211" t="s">
        <v>17</v>
      </c>
      <c r="E908" s="232" t="s">
        <v>605</v>
      </c>
      <c r="F908" s="188" t="s">
        <v>1476</v>
      </c>
      <c r="G908" s="211" t="s">
        <v>24</v>
      </c>
      <c r="H908" s="211">
        <v>16</v>
      </c>
      <c r="I908" s="188" t="s">
        <v>518</v>
      </c>
      <c r="J908" s="188" t="s">
        <v>573</v>
      </c>
      <c r="K908" s="209" t="s">
        <v>573</v>
      </c>
      <c r="L908" s="188" t="s">
        <v>531</v>
      </c>
      <c r="M908" s="188" t="s">
        <v>666</v>
      </c>
      <c r="N908" s="188"/>
      <c r="O908" s="211" t="s">
        <v>531</v>
      </c>
      <c r="P908" s="188" t="s">
        <v>640</v>
      </c>
      <c r="Q908" s="188" t="s">
        <v>306</v>
      </c>
      <c r="R908" s="188" t="s">
        <v>19</v>
      </c>
      <c r="S908" s="234" t="s">
        <v>306</v>
      </c>
      <c r="T908" s="188" t="s">
        <v>306</v>
      </c>
      <c r="U908" s="188" t="s">
        <v>306</v>
      </c>
      <c r="V908" s="234" t="s">
        <v>306</v>
      </c>
      <c r="W908" s="188" t="s">
        <v>306</v>
      </c>
      <c r="X908" s="188" t="s">
        <v>19</v>
      </c>
      <c r="Y908" s="234" t="s">
        <v>306</v>
      </c>
      <c r="Z908" s="188" t="s">
        <v>306</v>
      </c>
      <c r="AA908" s="188" t="s">
        <v>306</v>
      </c>
      <c r="AB908" s="234" t="s">
        <v>306</v>
      </c>
      <c r="AC908" s="235" t="s">
        <v>306</v>
      </c>
      <c r="AD908" s="188" t="s">
        <v>19</v>
      </c>
      <c r="AE908" s="188" t="s">
        <v>306</v>
      </c>
      <c r="AF908" s="234" t="s">
        <v>306</v>
      </c>
      <c r="AG908" s="188" t="s">
        <v>306</v>
      </c>
      <c r="AH908" s="188" t="s">
        <v>306</v>
      </c>
      <c r="AI908" s="234" t="s">
        <v>306</v>
      </c>
      <c r="AJ908" s="188" t="s">
        <v>25</v>
      </c>
      <c r="AK908" s="188" t="s">
        <v>306</v>
      </c>
      <c r="AL908" s="234" t="s">
        <v>25</v>
      </c>
      <c r="AM908" s="188" t="s">
        <v>19</v>
      </c>
      <c r="AN908" s="188" t="s">
        <v>19</v>
      </c>
      <c r="AO908" s="234" t="s">
        <v>19</v>
      </c>
      <c r="AP908" s="235" t="s">
        <v>306</v>
      </c>
      <c r="AQ908" s="188" t="s">
        <v>306</v>
      </c>
      <c r="AR908" s="188" t="s">
        <v>306</v>
      </c>
      <c r="AS908" s="234" t="s">
        <v>306</v>
      </c>
      <c r="AT908" s="188" t="s">
        <v>25</v>
      </c>
      <c r="AU908" s="188" t="s">
        <v>25</v>
      </c>
      <c r="AV908" s="234" t="s">
        <v>25</v>
      </c>
      <c r="AW908" s="188" t="s">
        <v>306</v>
      </c>
      <c r="AX908" s="188" t="s">
        <v>25</v>
      </c>
      <c r="AY908" s="234" t="s">
        <v>25</v>
      </c>
      <c r="AZ908" s="188" t="s">
        <v>25</v>
      </c>
      <c r="BA908" s="188" t="s">
        <v>25</v>
      </c>
      <c r="BB908" s="234" t="s">
        <v>306</v>
      </c>
      <c r="BC908" s="235" t="s">
        <v>306</v>
      </c>
      <c r="BD908" s="188"/>
    </row>
    <row r="909" spans="1:56" ht="12.75" customHeight="1" x14ac:dyDescent="0.25">
      <c r="A909" s="238">
        <v>45271.884726956021</v>
      </c>
      <c r="B909" s="233" t="s">
        <v>395</v>
      </c>
      <c r="C909" s="209" t="s">
        <v>587</v>
      </c>
      <c r="D909" s="232" t="s">
        <v>17</v>
      </c>
      <c r="E909" s="232" t="s">
        <v>515</v>
      </c>
      <c r="F909" s="209" t="s">
        <v>1477</v>
      </c>
      <c r="G909" s="232" t="s">
        <v>18</v>
      </c>
      <c r="H909" s="232">
        <v>12</v>
      </c>
      <c r="I909" s="209" t="s">
        <v>518</v>
      </c>
      <c r="J909" s="209" t="s">
        <v>573</v>
      </c>
      <c r="K909" s="209" t="s">
        <v>573</v>
      </c>
      <c r="L909" s="209" t="s">
        <v>531</v>
      </c>
      <c r="M909" s="188"/>
      <c r="N909" s="188"/>
      <c r="O909" s="188"/>
      <c r="P909" s="188"/>
      <c r="Q909" s="209" t="s">
        <v>25</v>
      </c>
      <c r="R909" s="209" t="s">
        <v>306</v>
      </c>
      <c r="S909" s="234" t="s">
        <v>25</v>
      </c>
      <c r="T909" s="209" t="s">
        <v>19</v>
      </c>
      <c r="U909" s="209" t="s">
        <v>25</v>
      </c>
      <c r="V909" s="234" t="s">
        <v>306</v>
      </c>
      <c r="W909" s="209" t="s">
        <v>19</v>
      </c>
      <c r="X909" s="209" t="s">
        <v>19</v>
      </c>
      <c r="Y909" s="234" t="s">
        <v>19</v>
      </c>
      <c r="Z909" s="209" t="s">
        <v>306</v>
      </c>
      <c r="AA909" s="209" t="s">
        <v>19</v>
      </c>
      <c r="AB909" s="234" t="s">
        <v>306</v>
      </c>
      <c r="AC909" s="235" t="s">
        <v>306</v>
      </c>
      <c r="AD909" s="209" t="s">
        <v>19</v>
      </c>
      <c r="AE909" s="209" t="s">
        <v>19</v>
      </c>
      <c r="AF909" s="234" t="s">
        <v>19</v>
      </c>
      <c r="AG909" s="209" t="s">
        <v>19</v>
      </c>
      <c r="AH909" s="209" t="s">
        <v>19</v>
      </c>
      <c r="AI909" s="234" t="s">
        <v>19</v>
      </c>
      <c r="AJ909" s="209" t="s">
        <v>19</v>
      </c>
      <c r="AK909" s="209" t="s">
        <v>19</v>
      </c>
      <c r="AL909" s="234" t="s">
        <v>19</v>
      </c>
      <c r="AM909" s="209" t="s">
        <v>19</v>
      </c>
      <c r="AN909" s="209" t="s">
        <v>19</v>
      </c>
      <c r="AO909" s="234" t="s">
        <v>19</v>
      </c>
      <c r="AP909" s="235" t="s">
        <v>19</v>
      </c>
      <c r="AQ909" s="209" t="s">
        <v>306</v>
      </c>
      <c r="AR909" s="209" t="s">
        <v>25</v>
      </c>
      <c r="AS909" s="234" t="s">
        <v>25</v>
      </c>
      <c r="AT909" s="209" t="s">
        <v>25</v>
      </c>
      <c r="AU909" s="209" t="s">
        <v>306</v>
      </c>
      <c r="AV909" s="234" t="s">
        <v>25</v>
      </c>
      <c r="AW909" s="209" t="s">
        <v>25</v>
      </c>
      <c r="AX909" s="209" t="s">
        <v>19</v>
      </c>
      <c r="AY909" s="234" t="s">
        <v>306</v>
      </c>
      <c r="AZ909" s="209" t="s">
        <v>19</v>
      </c>
      <c r="BA909" s="209" t="s">
        <v>19</v>
      </c>
      <c r="BB909" s="234" t="s">
        <v>25</v>
      </c>
      <c r="BC909" s="235" t="s">
        <v>25</v>
      </c>
      <c r="BD909" s="188"/>
    </row>
    <row r="910" spans="1:56" ht="12.75" customHeight="1" x14ac:dyDescent="0.25">
      <c r="A910" s="238">
        <v>44785.458488796299</v>
      </c>
      <c r="B910" s="137" t="s">
        <v>395</v>
      </c>
      <c r="C910" s="211" t="s">
        <v>595</v>
      </c>
      <c r="D910" s="211" t="s">
        <v>17</v>
      </c>
      <c r="E910" s="232" t="s">
        <v>515</v>
      </c>
      <c r="F910" s="188" t="s">
        <v>1478</v>
      </c>
      <c r="G910" s="211" t="s">
        <v>18</v>
      </c>
      <c r="H910" s="211">
        <v>11</v>
      </c>
      <c r="I910" s="188" t="s">
        <v>518</v>
      </c>
      <c r="J910" s="188" t="s">
        <v>573</v>
      </c>
      <c r="K910" s="209" t="s">
        <v>573</v>
      </c>
      <c r="L910" s="188" t="s">
        <v>531</v>
      </c>
      <c r="M910" s="188" t="s">
        <v>614</v>
      </c>
      <c r="N910" s="188"/>
      <c r="O910" s="188"/>
      <c r="P910" s="188"/>
      <c r="Q910" s="188" t="s">
        <v>306</v>
      </c>
      <c r="R910" s="188" t="s">
        <v>25</v>
      </c>
      <c r="S910" s="234" t="s">
        <v>25</v>
      </c>
      <c r="T910" s="188" t="s">
        <v>19</v>
      </c>
      <c r="U910" s="188" t="s">
        <v>25</v>
      </c>
      <c r="V910" s="234" t="s">
        <v>306</v>
      </c>
      <c r="W910" s="188" t="s">
        <v>19</v>
      </c>
      <c r="X910" s="188" t="s">
        <v>306</v>
      </c>
      <c r="Y910" s="234" t="s">
        <v>306</v>
      </c>
      <c r="Z910" s="188" t="s">
        <v>306</v>
      </c>
      <c r="AA910" s="188" t="s">
        <v>306</v>
      </c>
      <c r="AB910" s="234" t="s">
        <v>306</v>
      </c>
      <c r="AC910" s="235" t="s">
        <v>306</v>
      </c>
      <c r="AD910" s="188" t="s">
        <v>19</v>
      </c>
      <c r="AE910" s="188" t="s">
        <v>306</v>
      </c>
      <c r="AF910" s="234" t="s">
        <v>306</v>
      </c>
      <c r="AG910" s="188" t="s">
        <v>19</v>
      </c>
      <c r="AH910" s="188" t="s">
        <v>19</v>
      </c>
      <c r="AI910" s="234" t="s">
        <v>19</v>
      </c>
      <c r="AJ910" s="188" t="s">
        <v>19</v>
      </c>
      <c r="AK910" s="188" t="s">
        <v>306</v>
      </c>
      <c r="AL910" s="234" t="s">
        <v>306</v>
      </c>
      <c r="AM910" s="188" t="s">
        <v>306</v>
      </c>
      <c r="AN910" s="188" t="s">
        <v>19</v>
      </c>
      <c r="AO910" s="234" t="s">
        <v>306</v>
      </c>
      <c r="AP910" s="235" t="s">
        <v>19</v>
      </c>
      <c r="AQ910" s="188" t="s">
        <v>25</v>
      </c>
      <c r="AR910" s="188" t="s">
        <v>19</v>
      </c>
      <c r="AS910" s="234" t="s">
        <v>306</v>
      </c>
      <c r="AT910" s="188" t="s">
        <v>25</v>
      </c>
      <c r="AU910" s="188" t="s">
        <v>25</v>
      </c>
      <c r="AV910" s="234" t="s">
        <v>25</v>
      </c>
      <c r="AW910" s="188" t="s">
        <v>306</v>
      </c>
      <c r="AX910" s="188" t="s">
        <v>19</v>
      </c>
      <c r="AY910" s="234" t="s">
        <v>306</v>
      </c>
      <c r="AZ910" s="188" t="s">
        <v>25</v>
      </c>
      <c r="BA910" s="188" t="s">
        <v>25</v>
      </c>
      <c r="BB910" s="234" t="s">
        <v>25</v>
      </c>
      <c r="BC910" s="235" t="s">
        <v>306</v>
      </c>
      <c r="BD910" s="188"/>
    </row>
    <row r="911" spans="1:56" ht="12.75" customHeight="1" x14ac:dyDescent="0.25">
      <c r="A911" s="238">
        <v>45243.410454629629</v>
      </c>
      <c r="B911" s="233" t="s">
        <v>406</v>
      </c>
      <c r="C911" s="209" t="s">
        <v>587</v>
      </c>
      <c r="D911" s="232" t="s">
        <v>17</v>
      </c>
      <c r="E911" s="232" t="s">
        <v>515</v>
      </c>
      <c r="F911" s="209" t="s">
        <v>1479</v>
      </c>
      <c r="G911" s="232" t="s">
        <v>24</v>
      </c>
      <c r="H911" s="232">
        <v>12</v>
      </c>
      <c r="I911" s="209" t="s">
        <v>518</v>
      </c>
      <c r="J911" s="209" t="s">
        <v>573</v>
      </c>
      <c r="K911" s="209" t="s">
        <v>573</v>
      </c>
      <c r="L911" s="209" t="s">
        <v>518</v>
      </c>
      <c r="M911" s="209" t="s">
        <v>375</v>
      </c>
      <c r="N911" s="209" t="s">
        <v>589</v>
      </c>
      <c r="O911" s="209"/>
      <c r="P911" s="209"/>
      <c r="Q911" s="209" t="s">
        <v>25</v>
      </c>
      <c r="R911" s="209" t="s">
        <v>25</v>
      </c>
      <c r="S911" s="234" t="s">
        <v>25</v>
      </c>
      <c r="T911" s="209" t="s">
        <v>306</v>
      </c>
      <c r="U911" s="209" t="s">
        <v>306</v>
      </c>
      <c r="V911" s="234" t="s">
        <v>306</v>
      </c>
      <c r="W911" s="209" t="s">
        <v>25</v>
      </c>
      <c r="X911" s="209" t="s">
        <v>25</v>
      </c>
      <c r="Y911" s="234" t="s">
        <v>25</v>
      </c>
      <c r="Z911" s="209" t="s">
        <v>25</v>
      </c>
      <c r="AA911" s="209" t="s">
        <v>25</v>
      </c>
      <c r="AB911" s="234" t="s">
        <v>25</v>
      </c>
      <c r="AC911" s="235" t="s">
        <v>25</v>
      </c>
      <c r="AD911" s="209" t="s">
        <v>25</v>
      </c>
      <c r="AE911" s="209" t="s">
        <v>19</v>
      </c>
      <c r="AF911" s="234" t="s">
        <v>306</v>
      </c>
      <c r="AG911" s="209" t="s">
        <v>25</v>
      </c>
      <c r="AH911" s="209" t="s">
        <v>25</v>
      </c>
      <c r="AI911" s="234" t="s">
        <v>25</v>
      </c>
      <c r="AJ911" s="209" t="s">
        <v>25</v>
      </c>
      <c r="AK911" s="209" t="s">
        <v>19</v>
      </c>
      <c r="AL911" s="234" t="s">
        <v>306</v>
      </c>
      <c r="AM911" s="209" t="s">
        <v>19</v>
      </c>
      <c r="AN911" s="209" t="s">
        <v>25</v>
      </c>
      <c r="AO911" s="234" t="s">
        <v>306</v>
      </c>
      <c r="AP911" s="235" t="s">
        <v>306</v>
      </c>
      <c r="AQ911" s="209" t="s">
        <v>25</v>
      </c>
      <c r="AR911" s="209" t="s">
        <v>306</v>
      </c>
      <c r="AS911" s="234" t="s">
        <v>25</v>
      </c>
      <c r="AT911" s="209" t="s">
        <v>25</v>
      </c>
      <c r="AU911" s="209" t="s">
        <v>25</v>
      </c>
      <c r="AV911" s="234" t="s">
        <v>25</v>
      </c>
      <c r="AW911" s="209" t="s">
        <v>306</v>
      </c>
      <c r="AX911" s="209" t="s">
        <v>25</v>
      </c>
      <c r="AY911" s="234" t="s">
        <v>25</v>
      </c>
      <c r="AZ911" s="209" t="s">
        <v>25</v>
      </c>
      <c r="BA911" s="209" t="s">
        <v>306</v>
      </c>
      <c r="BB911" s="234" t="s">
        <v>19</v>
      </c>
      <c r="BC911" s="235" t="s">
        <v>306</v>
      </c>
      <c r="BD911" s="188"/>
    </row>
    <row r="912" spans="1:56" ht="12.75" customHeight="1" x14ac:dyDescent="0.25">
      <c r="A912" s="238">
        <v>45243.426694756941</v>
      </c>
      <c r="B912" s="233" t="s">
        <v>406</v>
      </c>
      <c r="C912" s="209" t="s">
        <v>587</v>
      </c>
      <c r="D912" s="232" t="s">
        <v>17</v>
      </c>
      <c r="E912" s="232" t="s">
        <v>515</v>
      </c>
      <c r="F912" s="209" t="s">
        <v>1480</v>
      </c>
      <c r="G912" s="232" t="s">
        <v>18</v>
      </c>
      <c r="H912" s="232">
        <v>12</v>
      </c>
      <c r="I912" s="209" t="s">
        <v>518</v>
      </c>
      <c r="J912" s="209" t="s">
        <v>573</v>
      </c>
      <c r="K912" s="209" t="s">
        <v>573</v>
      </c>
      <c r="L912" s="209" t="s">
        <v>518</v>
      </c>
      <c r="M912" s="209" t="s">
        <v>412</v>
      </c>
      <c r="N912" s="209" t="s">
        <v>589</v>
      </c>
      <c r="O912" s="209"/>
      <c r="P912" s="209"/>
      <c r="Q912" s="209" t="s">
        <v>25</v>
      </c>
      <c r="R912" s="209" t="s">
        <v>306</v>
      </c>
      <c r="S912" s="234" t="s">
        <v>25</v>
      </c>
      <c r="T912" s="209" t="s">
        <v>25</v>
      </c>
      <c r="U912" s="209" t="s">
        <v>25</v>
      </c>
      <c r="V912" s="234" t="s">
        <v>25</v>
      </c>
      <c r="W912" s="209" t="s">
        <v>25</v>
      </c>
      <c r="X912" s="209" t="s">
        <v>25</v>
      </c>
      <c r="Y912" s="234" t="s">
        <v>25</v>
      </c>
      <c r="Z912" s="209" t="s">
        <v>25</v>
      </c>
      <c r="AA912" s="209" t="s">
        <v>306</v>
      </c>
      <c r="AB912" s="234" t="s">
        <v>25</v>
      </c>
      <c r="AC912" s="235" t="s">
        <v>25</v>
      </c>
      <c r="AD912" s="209" t="s">
        <v>25</v>
      </c>
      <c r="AE912" s="209" t="s">
        <v>25</v>
      </c>
      <c r="AF912" s="234" t="s">
        <v>25</v>
      </c>
      <c r="AG912" s="209" t="s">
        <v>19</v>
      </c>
      <c r="AH912" s="209" t="s">
        <v>19</v>
      </c>
      <c r="AI912" s="234" t="s">
        <v>19</v>
      </c>
      <c r="AJ912" s="209" t="s">
        <v>25</v>
      </c>
      <c r="AK912" s="209" t="s">
        <v>306</v>
      </c>
      <c r="AL912" s="234" t="s">
        <v>25</v>
      </c>
      <c r="AM912" s="209" t="s">
        <v>19</v>
      </c>
      <c r="AN912" s="209" t="s">
        <v>25</v>
      </c>
      <c r="AO912" s="234" t="s">
        <v>306</v>
      </c>
      <c r="AP912" s="235" t="s">
        <v>306</v>
      </c>
      <c r="AQ912" s="209" t="s">
        <v>19</v>
      </c>
      <c r="AR912" s="209" t="s">
        <v>25</v>
      </c>
      <c r="AS912" s="234" t="s">
        <v>306</v>
      </c>
      <c r="AT912" s="209" t="s">
        <v>25</v>
      </c>
      <c r="AU912" s="209" t="s">
        <v>25</v>
      </c>
      <c r="AV912" s="234" t="s">
        <v>25</v>
      </c>
      <c r="AW912" s="209" t="s">
        <v>306</v>
      </c>
      <c r="AX912" s="209" t="s">
        <v>25</v>
      </c>
      <c r="AY912" s="234" t="s">
        <v>25</v>
      </c>
      <c r="AZ912" s="209" t="s">
        <v>25</v>
      </c>
      <c r="BA912" s="209" t="s">
        <v>25</v>
      </c>
      <c r="BB912" s="234" t="s">
        <v>306</v>
      </c>
      <c r="BC912" s="235" t="s">
        <v>25</v>
      </c>
      <c r="BD912" s="188"/>
    </row>
    <row r="913" spans="1:56" ht="12.75" customHeight="1" x14ac:dyDescent="0.25">
      <c r="A913" s="238">
        <v>45243.45237515046</v>
      </c>
      <c r="B913" s="233" t="s">
        <v>406</v>
      </c>
      <c r="C913" s="209" t="s">
        <v>587</v>
      </c>
      <c r="D913" s="232" t="s">
        <v>17</v>
      </c>
      <c r="E913" s="232" t="s">
        <v>515</v>
      </c>
      <c r="F913" s="209" t="s">
        <v>1481</v>
      </c>
      <c r="G913" s="232" t="s">
        <v>18</v>
      </c>
      <c r="H913" s="232">
        <v>12</v>
      </c>
      <c r="I913" s="209" t="s">
        <v>518</v>
      </c>
      <c r="J913" s="209" t="s">
        <v>573</v>
      </c>
      <c r="K913" s="209" t="s">
        <v>573</v>
      </c>
      <c r="L913" s="209" t="s">
        <v>518</v>
      </c>
      <c r="M913" s="209" t="s">
        <v>368</v>
      </c>
      <c r="N913" s="209" t="s">
        <v>589</v>
      </c>
      <c r="O913" s="209"/>
      <c r="P913" s="209"/>
      <c r="Q913" s="209" t="s">
        <v>25</v>
      </c>
      <c r="R913" s="209" t="s">
        <v>306</v>
      </c>
      <c r="S913" s="234" t="s">
        <v>25</v>
      </c>
      <c r="T913" s="209" t="s">
        <v>19</v>
      </c>
      <c r="U913" s="209" t="s">
        <v>25</v>
      </c>
      <c r="V913" s="234" t="s">
        <v>306</v>
      </c>
      <c r="W913" s="209" t="s">
        <v>25</v>
      </c>
      <c r="X913" s="209" t="s">
        <v>306</v>
      </c>
      <c r="Y913" s="234" t="s">
        <v>25</v>
      </c>
      <c r="Z913" s="209" t="s">
        <v>25</v>
      </c>
      <c r="AA913" s="209" t="s">
        <v>306</v>
      </c>
      <c r="AB913" s="234" t="s">
        <v>25</v>
      </c>
      <c r="AC913" s="235" t="s">
        <v>306</v>
      </c>
      <c r="AD913" s="209" t="s">
        <v>19</v>
      </c>
      <c r="AE913" s="209" t="s">
        <v>306</v>
      </c>
      <c r="AF913" s="234" t="s">
        <v>306</v>
      </c>
      <c r="AG913" s="209" t="s">
        <v>19</v>
      </c>
      <c r="AH913" s="209" t="s">
        <v>25</v>
      </c>
      <c r="AI913" s="234" t="s">
        <v>306</v>
      </c>
      <c r="AJ913" s="209" t="s">
        <v>19</v>
      </c>
      <c r="AK913" s="209" t="s">
        <v>306</v>
      </c>
      <c r="AL913" s="234" t="s">
        <v>306</v>
      </c>
      <c r="AM913" s="209" t="s">
        <v>306</v>
      </c>
      <c r="AN913" s="209" t="s">
        <v>19</v>
      </c>
      <c r="AO913" s="234" t="s">
        <v>306</v>
      </c>
      <c r="AP913" s="235" t="s">
        <v>306</v>
      </c>
      <c r="AQ913" s="209" t="s">
        <v>25</v>
      </c>
      <c r="AR913" s="209" t="s">
        <v>306</v>
      </c>
      <c r="AS913" s="234" t="s">
        <v>25</v>
      </c>
      <c r="AT913" s="209" t="s">
        <v>19</v>
      </c>
      <c r="AU913" s="209" t="s">
        <v>25</v>
      </c>
      <c r="AV913" s="234" t="s">
        <v>306</v>
      </c>
      <c r="AW913" s="209" t="s">
        <v>19</v>
      </c>
      <c r="AX913" s="209" t="s">
        <v>25</v>
      </c>
      <c r="AY913" s="234" t="s">
        <v>306</v>
      </c>
      <c r="AZ913" s="209" t="s">
        <v>306</v>
      </c>
      <c r="BA913" s="209" t="s">
        <v>19</v>
      </c>
      <c r="BB913" s="234" t="s">
        <v>25</v>
      </c>
      <c r="BC913" s="235" t="s">
        <v>25</v>
      </c>
      <c r="BD913" s="188"/>
    </row>
    <row r="914" spans="1:56" ht="12.75" customHeight="1" x14ac:dyDescent="0.25">
      <c r="A914" s="211">
        <v>36</v>
      </c>
      <c r="B914" s="137" t="s">
        <v>427</v>
      </c>
      <c r="C914" s="211" t="s">
        <v>595</v>
      </c>
      <c r="D914" s="211" t="s">
        <v>17</v>
      </c>
      <c r="E914" s="232" t="s">
        <v>605</v>
      </c>
      <c r="F914" s="188" t="s">
        <v>1482</v>
      </c>
      <c r="G914" s="211" t="s">
        <v>18</v>
      </c>
      <c r="H914" s="211">
        <v>15</v>
      </c>
      <c r="I914" s="188" t="s">
        <v>518</v>
      </c>
      <c r="J914" s="188" t="s">
        <v>573</v>
      </c>
      <c r="K914" s="209" t="s">
        <v>573</v>
      </c>
      <c r="L914" s="188" t="s">
        <v>518</v>
      </c>
      <c r="M914" s="188" t="s">
        <v>375</v>
      </c>
      <c r="N914" s="188"/>
      <c r="O914" s="211" t="s">
        <v>531</v>
      </c>
      <c r="P914" s="188" t="s">
        <v>640</v>
      </c>
      <c r="Q914" s="188" t="s">
        <v>25</v>
      </c>
      <c r="R914" s="188" t="s">
        <v>25</v>
      </c>
      <c r="S914" s="234" t="s">
        <v>25</v>
      </c>
      <c r="T914" s="188" t="s">
        <v>19</v>
      </c>
      <c r="U914" s="188" t="s">
        <v>25</v>
      </c>
      <c r="V914" s="234" t="s">
        <v>306</v>
      </c>
      <c r="W914" s="188" t="s">
        <v>25</v>
      </c>
      <c r="X914" s="188" t="s">
        <v>19</v>
      </c>
      <c r="Y914" s="234" t="s">
        <v>306</v>
      </c>
      <c r="Z914" s="188" t="s">
        <v>25</v>
      </c>
      <c r="AA914" s="188" t="s">
        <v>25</v>
      </c>
      <c r="AB914" s="234" t="s">
        <v>25</v>
      </c>
      <c r="AC914" s="235" t="s">
        <v>25</v>
      </c>
      <c r="AD914" s="188" t="s">
        <v>306</v>
      </c>
      <c r="AE914" s="188" t="s">
        <v>25</v>
      </c>
      <c r="AF914" s="234" t="s">
        <v>25</v>
      </c>
      <c r="AG914" s="188" t="s">
        <v>19</v>
      </c>
      <c r="AH914" s="188" t="s">
        <v>306</v>
      </c>
      <c r="AI914" s="234" t="s">
        <v>306</v>
      </c>
      <c r="AJ914" s="188" t="s">
        <v>25</v>
      </c>
      <c r="AK914" s="188" t="s">
        <v>25</v>
      </c>
      <c r="AL914" s="234" t="s">
        <v>25</v>
      </c>
      <c r="AM914" s="188" t="s">
        <v>306</v>
      </c>
      <c r="AN914" s="188" t="s">
        <v>25</v>
      </c>
      <c r="AO914" s="234" t="s">
        <v>25</v>
      </c>
      <c r="AP914" s="235" t="s">
        <v>306</v>
      </c>
      <c r="AQ914" s="188" t="s">
        <v>25</v>
      </c>
      <c r="AR914" s="188" t="s">
        <v>25</v>
      </c>
      <c r="AS914" s="234" t="s">
        <v>25</v>
      </c>
      <c r="AT914" s="188" t="s">
        <v>25</v>
      </c>
      <c r="AU914" s="188" t="s">
        <v>25</v>
      </c>
      <c r="AV914" s="234" t="s">
        <v>25</v>
      </c>
      <c r="AW914" s="188" t="s">
        <v>25</v>
      </c>
      <c r="AX914" s="188" t="s">
        <v>25</v>
      </c>
      <c r="AY914" s="234" t="s">
        <v>25</v>
      </c>
      <c r="AZ914" s="188" t="s">
        <v>25</v>
      </c>
      <c r="BA914" s="188" t="s">
        <v>25</v>
      </c>
      <c r="BB914" s="234" t="s">
        <v>25</v>
      </c>
      <c r="BC914" s="235" t="s">
        <v>25</v>
      </c>
      <c r="BD914" s="188"/>
    </row>
    <row r="915" spans="1:56" ht="12.75" customHeight="1" x14ac:dyDescent="0.25">
      <c r="A915" s="211">
        <v>43</v>
      </c>
      <c r="B915" s="137" t="s">
        <v>427</v>
      </c>
      <c r="C915" s="211" t="s">
        <v>595</v>
      </c>
      <c r="D915" s="211" t="s">
        <v>17</v>
      </c>
      <c r="E915" s="232" t="s">
        <v>605</v>
      </c>
      <c r="F915" s="188" t="s">
        <v>1483</v>
      </c>
      <c r="G915" s="211" t="s">
        <v>24</v>
      </c>
      <c r="H915" s="211">
        <v>15</v>
      </c>
      <c r="I915" s="188" t="s">
        <v>518</v>
      </c>
      <c r="J915" s="188" t="s">
        <v>573</v>
      </c>
      <c r="K915" s="209" t="s">
        <v>573</v>
      </c>
      <c r="L915" s="188" t="s">
        <v>518</v>
      </c>
      <c r="M915" s="188" t="s">
        <v>375</v>
      </c>
      <c r="N915" s="188"/>
      <c r="O915" s="211" t="s">
        <v>531</v>
      </c>
      <c r="P915" s="188" t="s">
        <v>640</v>
      </c>
      <c r="Q915" s="188" t="s">
        <v>306</v>
      </c>
      <c r="R915" s="188" t="s">
        <v>19</v>
      </c>
      <c r="S915" s="234" t="s">
        <v>306</v>
      </c>
      <c r="T915" s="188" t="s">
        <v>306</v>
      </c>
      <c r="U915" s="188" t="s">
        <v>306</v>
      </c>
      <c r="V915" s="234" t="s">
        <v>306</v>
      </c>
      <c r="W915" s="188" t="s">
        <v>306</v>
      </c>
      <c r="X915" s="188" t="s">
        <v>306</v>
      </c>
      <c r="Y915" s="234" t="s">
        <v>306</v>
      </c>
      <c r="Z915" s="188" t="s">
        <v>306</v>
      </c>
      <c r="AA915" s="188" t="s">
        <v>19</v>
      </c>
      <c r="AB915" s="234" t="s">
        <v>306</v>
      </c>
      <c r="AC915" s="235" t="s">
        <v>306</v>
      </c>
      <c r="AD915" s="188" t="s">
        <v>19</v>
      </c>
      <c r="AE915" s="188" t="s">
        <v>25</v>
      </c>
      <c r="AF915" s="234" t="s">
        <v>306</v>
      </c>
      <c r="AG915" s="188" t="s">
        <v>306</v>
      </c>
      <c r="AH915" s="188" t="s">
        <v>25</v>
      </c>
      <c r="AI915" s="234" t="s">
        <v>25</v>
      </c>
      <c r="AJ915" s="188" t="s">
        <v>25</v>
      </c>
      <c r="AK915" s="188" t="s">
        <v>306</v>
      </c>
      <c r="AL915" s="234" t="s">
        <v>25</v>
      </c>
      <c r="AM915" s="188" t="s">
        <v>19</v>
      </c>
      <c r="AN915" s="188" t="s">
        <v>19</v>
      </c>
      <c r="AO915" s="234" t="s">
        <v>19</v>
      </c>
      <c r="AP915" s="235" t="s">
        <v>306</v>
      </c>
      <c r="AQ915" s="188" t="s">
        <v>25</v>
      </c>
      <c r="AR915" s="188" t="s">
        <v>25</v>
      </c>
      <c r="AS915" s="234" t="s">
        <v>25</v>
      </c>
      <c r="AT915" s="188" t="s">
        <v>25</v>
      </c>
      <c r="AU915" s="188" t="s">
        <v>25</v>
      </c>
      <c r="AV915" s="234" t="s">
        <v>25</v>
      </c>
      <c r="AW915" s="188" t="s">
        <v>25</v>
      </c>
      <c r="AX915" s="188" t="s">
        <v>306</v>
      </c>
      <c r="AY915" s="234" t="s">
        <v>25</v>
      </c>
      <c r="AZ915" s="188" t="s">
        <v>306</v>
      </c>
      <c r="BA915" s="188" t="s">
        <v>306</v>
      </c>
      <c r="BB915" s="234" t="s">
        <v>25</v>
      </c>
      <c r="BC915" s="235" t="s">
        <v>306</v>
      </c>
      <c r="BD915" s="188"/>
    </row>
  </sheetData>
  <autoFilter ref="A1:BA915" xr:uid="{00000000-0009-0000-0000-000013000000}"/>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C2003"/>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1" width="4" customWidth="1"/>
    <col min="2" max="2" width="30.08984375" customWidth="1"/>
    <col min="3" max="3" width="16.36328125" customWidth="1"/>
    <col min="4" max="4" width="18.08984375" customWidth="1"/>
    <col min="5" max="5" width="12.6328125" customWidth="1"/>
    <col min="6" max="6" width="15.453125" customWidth="1"/>
    <col min="7" max="9" width="9.453125" customWidth="1"/>
    <col min="10" max="10" width="8" customWidth="1"/>
  </cols>
  <sheetData>
    <row r="1" spans="1:29" x14ac:dyDescent="0.3">
      <c r="A1" s="240" t="s">
        <v>287</v>
      </c>
      <c r="B1" s="8" t="s">
        <v>1484</v>
      </c>
      <c r="C1" s="8" t="s">
        <v>1485</v>
      </c>
      <c r="D1" s="8" t="s">
        <v>332</v>
      </c>
      <c r="E1" s="8" t="s">
        <v>334</v>
      </c>
      <c r="F1" s="8" t="s">
        <v>1486</v>
      </c>
      <c r="G1" s="8" t="s">
        <v>3</v>
      </c>
      <c r="H1" s="8" t="s">
        <v>1487</v>
      </c>
      <c r="I1" s="7" t="s">
        <v>355</v>
      </c>
      <c r="J1" s="8" t="s">
        <v>333</v>
      </c>
      <c r="K1" s="8" t="s">
        <v>1488</v>
      </c>
      <c r="L1" s="99"/>
      <c r="M1" s="99"/>
      <c r="N1" s="99"/>
      <c r="O1" s="99"/>
      <c r="P1" s="99"/>
      <c r="Q1" s="99"/>
      <c r="R1" s="99"/>
      <c r="S1" s="99"/>
      <c r="T1" s="99"/>
      <c r="U1" s="99"/>
      <c r="V1" s="99"/>
      <c r="W1" s="99"/>
      <c r="X1" s="99"/>
      <c r="Y1" s="99"/>
      <c r="Z1" s="99"/>
      <c r="AA1" s="99"/>
      <c r="AB1" s="99"/>
      <c r="AC1" s="99"/>
    </row>
    <row r="2" spans="1:29" ht="15.75" customHeight="1" x14ac:dyDescent="0.25">
      <c r="A2" s="241">
        <v>1</v>
      </c>
      <c r="B2" s="61" t="s">
        <v>324</v>
      </c>
      <c r="C2" s="61" t="s">
        <v>326</v>
      </c>
      <c r="D2" s="24" t="s">
        <v>337</v>
      </c>
      <c r="E2" s="24" t="s">
        <v>336</v>
      </c>
      <c r="F2" s="242" t="s">
        <v>398</v>
      </c>
      <c r="G2" s="68" t="s">
        <v>349</v>
      </c>
      <c r="H2" s="68" t="s">
        <v>346</v>
      </c>
      <c r="I2" s="70">
        <v>50495</v>
      </c>
      <c r="J2" s="24">
        <v>1</v>
      </c>
    </row>
    <row r="3" spans="1:29" ht="15.75" customHeight="1" x14ac:dyDescent="0.25">
      <c r="A3" s="241"/>
      <c r="B3" s="61" t="s">
        <v>324</v>
      </c>
      <c r="C3" s="61" t="s">
        <v>326</v>
      </c>
      <c r="D3" s="24" t="s">
        <v>337</v>
      </c>
      <c r="E3" s="24" t="s">
        <v>336</v>
      </c>
      <c r="F3" s="243" t="s">
        <v>409</v>
      </c>
      <c r="G3" s="68" t="s">
        <v>349</v>
      </c>
      <c r="H3" s="68" t="s">
        <v>347</v>
      </c>
      <c r="I3" s="70">
        <v>50495</v>
      </c>
      <c r="J3" s="24">
        <v>0</v>
      </c>
    </row>
    <row r="4" spans="1:29" ht="15.75" customHeight="1" x14ac:dyDescent="0.25">
      <c r="A4" s="241"/>
      <c r="B4" s="61" t="s">
        <v>324</v>
      </c>
      <c r="C4" s="61" t="s">
        <v>326</v>
      </c>
      <c r="D4" s="24" t="s">
        <v>337</v>
      </c>
      <c r="E4" s="24" t="s">
        <v>336</v>
      </c>
      <c r="F4" s="244" t="s">
        <v>420</v>
      </c>
      <c r="G4" s="68" t="s">
        <v>351</v>
      </c>
      <c r="H4" s="68" t="s">
        <v>346</v>
      </c>
      <c r="I4" s="70">
        <v>50495</v>
      </c>
      <c r="J4" s="24">
        <v>2</v>
      </c>
    </row>
    <row r="5" spans="1:29" ht="15.75" customHeight="1" x14ac:dyDescent="0.25">
      <c r="A5" s="241"/>
      <c r="B5" s="61" t="s">
        <v>324</v>
      </c>
      <c r="C5" s="61" t="s">
        <v>326</v>
      </c>
      <c r="D5" s="24" t="s">
        <v>337</v>
      </c>
      <c r="E5" s="24" t="s">
        <v>336</v>
      </c>
      <c r="F5" s="244" t="s">
        <v>430</v>
      </c>
      <c r="G5" s="68" t="s">
        <v>351</v>
      </c>
      <c r="H5" s="68" t="s">
        <v>347</v>
      </c>
      <c r="I5" s="70">
        <v>50495</v>
      </c>
      <c r="J5" s="24">
        <v>1</v>
      </c>
    </row>
    <row r="6" spans="1:29" ht="15.75" customHeight="1" x14ac:dyDescent="0.25">
      <c r="A6" s="241"/>
      <c r="B6" s="61" t="s">
        <v>324</v>
      </c>
      <c r="C6" s="61" t="s">
        <v>326</v>
      </c>
      <c r="D6" s="24" t="s">
        <v>337</v>
      </c>
      <c r="E6" s="24" t="s">
        <v>336</v>
      </c>
      <c r="F6" s="245" t="s">
        <v>433</v>
      </c>
      <c r="G6" s="68" t="s">
        <v>353</v>
      </c>
      <c r="H6" s="68" t="s">
        <v>346</v>
      </c>
      <c r="I6" s="70">
        <v>50495</v>
      </c>
      <c r="J6" s="24">
        <v>1</v>
      </c>
    </row>
    <row r="7" spans="1:29" ht="15.75" customHeight="1" x14ac:dyDescent="0.25">
      <c r="A7" s="241"/>
      <c r="B7" s="61" t="s">
        <v>324</v>
      </c>
      <c r="C7" s="61" t="s">
        <v>326</v>
      </c>
      <c r="D7" s="24" t="s">
        <v>337</v>
      </c>
      <c r="E7" s="24" t="s">
        <v>336</v>
      </c>
      <c r="F7" s="245" t="s">
        <v>435</v>
      </c>
      <c r="G7" s="68" t="s">
        <v>353</v>
      </c>
      <c r="H7" s="68" t="s">
        <v>347</v>
      </c>
      <c r="I7" s="70">
        <v>50495</v>
      </c>
      <c r="J7" s="24">
        <v>2</v>
      </c>
    </row>
    <row r="8" spans="1:29" x14ac:dyDescent="0.3">
      <c r="A8" s="241"/>
      <c r="B8" s="61" t="s">
        <v>1489</v>
      </c>
      <c r="C8" s="24"/>
      <c r="D8" s="24"/>
      <c r="E8" s="24"/>
      <c r="F8" s="243"/>
      <c r="G8" s="68" t="s">
        <v>1489</v>
      </c>
      <c r="H8" s="68" t="s">
        <v>1489</v>
      </c>
      <c r="I8" s="72"/>
    </row>
    <row r="9" spans="1:29" ht="15.75" customHeight="1" x14ac:dyDescent="0.25">
      <c r="A9" s="241">
        <v>2</v>
      </c>
      <c r="B9" s="61" t="s">
        <v>324</v>
      </c>
      <c r="C9" s="61" t="s">
        <v>326</v>
      </c>
      <c r="D9" s="24" t="s">
        <v>337</v>
      </c>
      <c r="E9" s="24" t="s">
        <v>336</v>
      </c>
      <c r="F9" s="242" t="s">
        <v>398</v>
      </c>
      <c r="G9" s="68" t="s">
        <v>349</v>
      </c>
      <c r="H9" s="68" t="s">
        <v>346</v>
      </c>
      <c r="I9" s="70">
        <v>50547</v>
      </c>
      <c r="J9" s="24">
        <v>1</v>
      </c>
    </row>
    <row r="10" spans="1:29" ht="15.75" customHeight="1" x14ac:dyDescent="0.25">
      <c r="A10" s="241"/>
      <c r="B10" s="61" t="s">
        <v>324</v>
      </c>
      <c r="C10" s="61" t="s">
        <v>326</v>
      </c>
      <c r="D10" s="24" t="s">
        <v>337</v>
      </c>
      <c r="E10" s="24" t="s">
        <v>336</v>
      </c>
      <c r="F10" s="243" t="s">
        <v>409</v>
      </c>
      <c r="G10" s="68" t="s">
        <v>349</v>
      </c>
      <c r="H10" s="68" t="s">
        <v>347</v>
      </c>
      <c r="I10" s="70">
        <v>50547</v>
      </c>
      <c r="J10" s="24">
        <v>2</v>
      </c>
    </row>
    <row r="11" spans="1:29" ht="15.75" customHeight="1" x14ac:dyDescent="0.25">
      <c r="A11" s="241"/>
      <c r="B11" s="61" t="s">
        <v>324</v>
      </c>
      <c r="C11" s="61" t="s">
        <v>326</v>
      </c>
      <c r="D11" s="24" t="s">
        <v>337</v>
      </c>
      <c r="E11" s="24" t="s">
        <v>336</v>
      </c>
      <c r="F11" s="244" t="s">
        <v>420</v>
      </c>
      <c r="G11" s="68" t="s">
        <v>351</v>
      </c>
      <c r="H11" s="68" t="s">
        <v>346</v>
      </c>
      <c r="I11" s="70">
        <v>50547</v>
      </c>
      <c r="J11" s="24">
        <v>1</v>
      </c>
    </row>
    <row r="12" spans="1:29" ht="15.75" customHeight="1" x14ac:dyDescent="0.25">
      <c r="A12" s="241"/>
      <c r="B12" s="61" t="s">
        <v>324</v>
      </c>
      <c r="C12" s="61" t="s">
        <v>326</v>
      </c>
      <c r="D12" s="24" t="s">
        <v>337</v>
      </c>
      <c r="E12" s="24" t="s">
        <v>336</v>
      </c>
      <c r="F12" s="244" t="s">
        <v>430</v>
      </c>
      <c r="G12" s="68" t="s">
        <v>351</v>
      </c>
      <c r="H12" s="68" t="s">
        <v>347</v>
      </c>
      <c r="I12" s="70">
        <v>50547</v>
      </c>
      <c r="J12" s="24">
        <v>2</v>
      </c>
    </row>
    <row r="13" spans="1:29" ht="15.75" customHeight="1" x14ac:dyDescent="0.25">
      <c r="A13" s="241"/>
      <c r="B13" s="61" t="s">
        <v>324</v>
      </c>
      <c r="C13" s="61" t="s">
        <v>326</v>
      </c>
      <c r="D13" s="24" t="s">
        <v>337</v>
      </c>
      <c r="E13" s="24" t="s">
        <v>336</v>
      </c>
      <c r="F13" s="245" t="s">
        <v>433</v>
      </c>
      <c r="G13" s="68" t="s">
        <v>353</v>
      </c>
      <c r="H13" s="68" t="s">
        <v>346</v>
      </c>
      <c r="I13" s="70">
        <v>50547</v>
      </c>
      <c r="J13" s="24">
        <v>2</v>
      </c>
    </row>
    <row r="14" spans="1:29" ht="15.75" customHeight="1" x14ac:dyDescent="0.25">
      <c r="A14" s="241"/>
      <c r="B14" s="61" t="s">
        <v>324</v>
      </c>
      <c r="C14" s="61" t="s">
        <v>326</v>
      </c>
      <c r="D14" s="24" t="s">
        <v>337</v>
      </c>
      <c r="E14" s="24" t="s">
        <v>336</v>
      </c>
      <c r="F14" s="245" t="s">
        <v>435</v>
      </c>
      <c r="G14" s="68" t="s">
        <v>353</v>
      </c>
      <c r="H14" s="68" t="s">
        <v>347</v>
      </c>
      <c r="I14" s="70">
        <v>50547</v>
      </c>
      <c r="J14" s="24">
        <v>1</v>
      </c>
    </row>
    <row r="15" spans="1:29" ht="15.75" customHeight="1" x14ac:dyDescent="0.25">
      <c r="A15" s="241"/>
      <c r="B15" s="61" t="s">
        <v>1489</v>
      </c>
      <c r="C15" s="24"/>
      <c r="D15" s="24"/>
      <c r="E15" s="24"/>
      <c r="F15" s="243"/>
      <c r="G15" s="68" t="s">
        <v>1489</v>
      </c>
      <c r="H15" s="68" t="s">
        <v>1489</v>
      </c>
      <c r="I15" s="70"/>
    </row>
    <row r="16" spans="1:29" ht="15.75" customHeight="1" x14ac:dyDescent="0.25">
      <c r="A16" s="241">
        <v>3</v>
      </c>
      <c r="B16" s="61" t="s">
        <v>324</v>
      </c>
      <c r="C16" s="61" t="s">
        <v>326</v>
      </c>
      <c r="D16" s="24" t="s">
        <v>337</v>
      </c>
      <c r="E16" s="24" t="s">
        <v>336</v>
      </c>
      <c r="F16" s="242" t="s">
        <v>398</v>
      </c>
      <c r="G16" s="68" t="s">
        <v>349</v>
      </c>
      <c r="H16" s="68" t="s">
        <v>346</v>
      </c>
      <c r="I16" s="70">
        <v>50550</v>
      </c>
      <c r="J16" s="24">
        <v>2</v>
      </c>
    </row>
    <row r="17" spans="1:10" ht="15.75" customHeight="1" x14ac:dyDescent="0.25">
      <c r="A17" s="241"/>
      <c r="B17" s="61" t="s">
        <v>324</v>
      </c>
      <c r="C17" s="61" t="s">
        <v>326</v>
      </c>
      <c r="D17" s="24" t="s">
        <v>337</v>
      </c>
      <c r="E17" s="24" t="s">
        <v>336</v>
      </c>
      <c r="F17" s="243" t="s">
        <v>409</v>
      </c>
      <c r="G17" s="68" t="s">
        <v>349</v>
      </c>
      <c r="H17" s="68" t="s">
        <v>347</v>
      </c>
      <c r="I17" s="70">
        <v>50550</v>
      </c>
      <c r="J17" s="24">
        <v>1</v>
      </c>
    </row>
    <row r="18" spans="1:10" ht="15.75" customHeight="1" x14ac:dyDescent="0.25">
      <c r="A18" s="241"/>
      <c r="B18" s="61" t="s">
        <v>324</v>
      </c>
      <c r="C18" s="61" t="s">
        <v>326</v>
      </c>
      <c r="D18" s="24" t="s">
        <v>337</v>
      </c>
      <c r="E18" s="24" t="s">
        <v>336</v>
      </c>
      <c r="F18" s="244" t="s">
        <v>420</v>
      </c>
      <c r="G18" s="68" t="s">
        <v>351</v>
      </c>
      <c r="H18" s="68" t="s">
        <v>346</v>
      </c>
      <c r="I18" s="70">
        <v>50550</v>
      </c>
      <c r="J18" s="24">
        <v>2</v>
      </c>
    </row>
    <row r="19" spans="1:10" ht="15.75" customHeight="1" x14ac:dyDescent="0.25">
      <c r="A19" s="241"/>
      <c r="B19" s="61" t="s">
        <v>324</v>
      </c>
      <c r="C19" s="61" t="s">
        <v>326</v>
      </c>
      <c r="D19" s="24" t="s">
        <v>337</v>
      </c>
      <c r="E19" s="24" t="s">
        <v>336</v>
      </c>
      <c r="F19" s="244" t="s">
        <v>430</v>
      </c>
      <c r="G19" s="68" t="s">
        <v>351</v>
      </c>
      <c r="H19" s="68" t="s">
        <v>347</v>
      </c>
      <c r="I19" s="70">
        <v>50550</v>
      </c>
      <c r="J19" s="24">
        <v>0</v>
      </c>
    </row>
    <row r="20" spans="1:10" ht="15.75" customHeight="1" x14ac:dyDescent="0.25">
      <c r="A20" s="241"/>
      <c r="B20" s="61" t="s">
        <v>324</v>
      </c>
      <c r="C20" s="61" t="s">
        <v>326</v>
      </c>
      <c r="D20" s="24" t="s">
        <v>337</v>
      </c>
      <c r="E20" s="24" t="s">
        <v>336</v>
      </c>
      <c r="F20" s="245" t="s">
        <v>433</v>
      </c>
      <c r="G20" s="68" t="s">
        <v>353</v>
      </c>
      <c r="H20" s="68" t="s">
        <v>346</v>
      </c>
      <c r="I20" s="70">
        <v>50550</v>
      </c>
      <c r="J20" s="24">
        <v>1</v>
      </c>
    </row>
    <row r="21" spans="1:10" ht="15.75" customHeight="1" x14ac:dyDescent="0.25">
      <c r="A21" s="241"/>
      <c r="B21" s="61" t="s">
        <v>324</v>
      </c>
      <c r="C21" s="61" t="s">
        <v>326</v>
      </c>
      <c r="D21" s="24" t="s">
        <v>337</v>
      </c>
      <c r="E21" s="24" t="s">
        <v>336</v>
      </c>
      <c r="F21" s="245" t="s">
        <v>435</v>
      </c>
      <c r="G21" s="68" t="s">
        <v>353</v>
      </c>
      <c r="H21" s="68" t="s">
        <v>347</v>
      </c>
      <c r="I21" s="70">
        <v>50550</v>
      </c>
      <c r="J21" s="24">
        <v>0</v>
      </c>
    </row>
    <row r="22" spans="1:10" ht="15.75" customHeight="1" x14ac:dyDescent="0.25">
      <c r="A22" s="246"/>
      <c r="B22" s="24" t="s">
        <v>1489</v>
      </c>
      <c r="C22" s="24" t="s">
        <v>1489</v>
      </c>
      <c r="D22" s="24"/>
      <c r="E22" s="24"/>
      <c r="F22" s="24"/>
      <c r="G22" s="68" t="s">
        <v>1489</v>
      </c>
      <c r="H22" s="68" t="s">
        <v>1489</v>
      </c>
      <c r="I22" s="70"/>
    </row>
    <row r="23" spans="1:10" ht="15.75" customHeight="1" x14ac:dyDescent="0.25">
      <c r="A23" s="241">
        <v>4</v>
      </c>
      <c r="B23" s="61" t="s">
        <v>324</v>
      </c>
      <c r="C23" s="24" t="s">
        <v>326</v>
      </c>
      <c r="D23" s="24" t="s">
        <v>337</v>
      </c>
      <c r="E23" s="24" t="s">
        <v>336</v>
      </c>
      <c r="F23" s="242" t="s">
        <v>398</v>
      </c>
      <c r="G23" s="68" t="s">
        <v>349</v>
      </c>
      <c r="H23" s="68" t="s">
        <v>346</v>
      </c>
      <c r="I23" s="70">
        <v>50553</v>
      </c>
      <c r="J23" s="24">
        <v>0</v>
      </c>
    </row>
    <row r="24" spans="1:10" ht="15.75" customHeight="1" x14ac:dyDescent="0.25">
      <c r="A24" s="241"/>
      <c r="B24" s="61" t="s">
        <v>324</v>
      </c>
      <c r="C24" s="24" t="s">
        <v>326</v>
      </c>
      <c r="D24" s="24" t="s">
        <v>337</v>
      </c>
      <c r="E24" s="24" t="s">
        <v>336</v>
      </c>
      <c r="F24" s="243" t="s">
        <v>409</v>
      </c>
      <c r="G24" s="68" t="s">
        <v>349</v>
      </c>
      <c r="H24" s="68" t="s">
        <v>347</v>
      </c>
      <c r="I24" s="70">
        <v>50553</v>
      </c>
      <c r="J24" s="24">
        <v>0</v>
      </c>
    </row>
    <row r="25" spans="1:10" ht="15.75" customHeight="1" x14ac:dyDescent="0.25">
      <c r="A25" s="241"/>
      <c r="B25" s="61" t="s">
        <v>324</v>
      </c>
      <c r="C25" s="24" t="s">
        <v>326</v>
      </c>
      <c r="D25" s="24" t="s">
        <v>337</v>
      </c>
      <c r="E25" s="24" t="s">
        <v>336</v>
      </c>
      <c r="F25" s="244" t="s">
        <v>420</v>
      </c>
      <c r="G25" s="68" t="s">
        <v>351</v>
      </c>
      <c r="H25" s="68" t="s">
        <v>346</v>
      </c>
      <c r="I25" s="70">
        <v>50553</v>
      </c>
      <c r="J25" s="24">
        <v>0</v>
      </c>
    </row>
    <row r="26" spans="1:10" ht="12.5" x14ac:dyDescent="0.25">
      <c r="A26" s="241"/>
      <c r="B26" s="61" t="s">
        <v>324</v>
      </c>
      <c r="C26" s="24" t="s">
        <v>326</v>
      </c>
      <c r="D26" s="24" t="s">
        <v>337</v>
      </c>
      <c r="E26" s="24" t="s">
        <v>336</v>
      </c>
      <c r="F26" s="244" t="s">
        <v>430</v>
      </c>
      <c r="G26" s="68" t="s">
        <v>351</v>
      </c>
      <c r="H26" s="68" t="s">
        <v>347</v>
      </c>
      <c r="I26" s="70">
        <v>50553</v>
      </c>
      <c r="J26" s="24">
        <v>1</v>
      </c>
    </row>
    <row r="27" spans="1:10" ht="12.5" x14ac:dyDescent="0.25">
      <c r="A27" s="241"/>
      <c r="B27" s="61" t="s">
        <v>324</v>
      </c>
      <c r="C27" s="24" t="s">
        <v>326</v>
      </c>
      <c r="D27" s="24" t="s">
        <v>337</v>
      </c>
      <c r="E27" s="24" t="s">
        <v>336</v>
      </c>
      <c r="F27" s="245" t="s">
        <v>433</v>
      </c>
      <c r="G27" s="68" t="s">
        <v>353</v>
      </c>
      <c r="H27" s="68" t="s">
        <v>346</v>
      </c>
      <c r="I27" s="70">
        <v>50553</v>
      </c>
      <c r="J27" s="24">
        <v>0</v>
      </c>
    </row>
    <row r="28" spans="1:10" ht="12.5" x14ac:dyDescent="0.25">
      <c r="A28" s="241"/>
      <c r="B28" s="61" t="s">
        <v>324</v>
      </c>
      <c r="C28" s="24" t="s">
        <v>326</v>
      </c>
      <c r="D28" s="24" t="s">
        <v>337</v>
      </c>
      <c r="E28" s="24" t="s">
        <v>336</v>
      </c>
      <c r="F28" s="245" t="s">
        <v>435</v>
      </c>
      <c r="G28" s="68" t="s">
        <v>353</v>
      </c>
      <c r="H28" s="68" t="s">
        <v>347</v>
      </c>
      <c r="I28" s="70">
        <v>50553</v>
      </c>
      <c r="J28" s="24">
        <v>1</v>
      </c>
    </row>
    <row r="29" spans="1:10" ht="12.5" x14ac:dyDescent="0.25">
      <c r="A29" s="246"/>
      <c r="B29" s="24" t="s">
        <v>1489</v>
      </c>
      <c r="C29" s="24" t="s">
        <v>1489</v>
      </c>
      <c r="D29" s="24"/>
      <c r="E29" s="24"/>
      <c r="F29" s="24"/>
      <c r="G29" s="68" t="s">
        <v>1489</v>
      </c>
      <c r="H29" s="68" t="s">
        <v>1489</v>
      </c>
      <c r="I29" s="70"/>
    </row>
    <row r="30" spans="1:10" ht="12.5" x14ac:dyDescent="0.25">
      <c r="A30" s="241">
        <v>5</v>
      </c>
      <c r="B30" s="61" t="s">
        <v>324</v>
      </c>
      <c r="C30" s="24" t="s">
        <v>326</v>
      </c>
      <c r="D30" s="24" t="s">
        <v>337</v>
      </c>
      <c r="E30" s="24" t="s">
        <v>336</v>
      </c>
      <c r="F30" s="242" t="s">
        <v>398</v>
      </c>
      <c r="G30" s="68" t="s">
        <v>349</v>
      </c>
      <c r="H30" s="68" t="s">
        <v>346</v>
      </c>
      <c r="I30" s="70">
        <v>50558</v>
      </c>
      <c r="J30" s="24">
        <v>1</v>
      </c>
    </row>
    <row r="31" spans="1:10" ht="12.5" x14ac:dyDescent="0.25">
      <c r="A31" s="241"/>
      <c r="B31" s="61" t="s">
        <v>324</v>
      </c>
      <c r="C31" s="24" t="s">
        <v>326</v>
      </c>
      <c r="D31" s="24" t="s">
        <v>337</v>
      </c>
      <c r="E31" s="24" t="s">
        <v>336</v>
      </c>
      <c r="F31" s="243" t="s">
        <v>409</v>
      </c>
      <c r="G31" s="68" t="s">
        <v>349</v>
      </c>
      <c r="H31" s="68" t="s">
        <v>347</v>
      </c>
      <c r="I31" s="70">
        <v>50558</v>
      </c>
      <c r="J31" s="24">
        <v>0</v>
      </c>
    </row>
    <row r="32" spans="1:10" ht="12.5" x14ac:dyDescent="0.25">
      <c r="A32" s="241"/>
      <c r="B32" s="61" t="s">
        <v>324</v>
      </c>
      <c r="C32" s="24" t="s">
        <v>326</v>
      </c>
      <c r="D32" s="24" t="s">
        <v>337</v>
      </c>
      <c r="E32" s="24" t="s">
        <v>336</v>
      </c>
      <c r="F32" s="244" t="s">
        <v>420</v>
      </c>
      <c r="G32" s="68" t="s">
        <v>351</v>
      </c>
      <c r="H32" s="68" t="s">
        <v>346</v>
      </c>
      <c r="I32" s="70">
        <v>50558</v>
      </c>
      <c r="J32" s="24">
        <v>1</v>
      </c>
    </row>
    <row r="33" spans="1:10" ht="12.5" x14ac:dyDescent="0.25">
      <c r="A33" s="241"/>
      <c r="B33" s="61" t="s">
        <v>324</v>
      </c>
      <c r="C33" s="24" t="s">
        <v>326</v>
      </c>
      <c r="D33" s="24" t="s">
        <v>337</v>
      </c>
      <c r="E33" s="24" t="s">
        <v>336</v>
      </c>
      <c r="F33" s="244" t="s">
        <v>430</v>
      </c>
      <c r="G33" s="68" t="s">
        <v>351</v>
      </c>
      <c r="H33" s="68" t="s">
        <v>347</v>
      </c>
      <c r="I33" s="70">
        <v>50558</v>
      </c>
      <c r="J33" s="24">
        <v>1</v>
      </c>
    </row>
    <row r="34" spans="1:10" ht="12.5" x14ac:dyDescent="0.25">
      <c r="A34" s="241"/>
      <c r="B34" s="61" t="s">
        <v>324</v>
      </c>
      <c r="C34" s="24" t="s">
        <v>326</v>
      </c>
      <c r="D34" s="24" t="s">
        <v>337</v>
      </c>
      <c r="E34" s="24" t="s">
        <v>336</v>
      </c>
      <c r="F34" s="245" t="s">
        <v>433</v>
      </c>
      <c r="G34" s="68" t="s">
        <v>353</v>
      </c>
      <c r="H34" s="68" t="s">
        <v>346</v>
      </c>
      <c r="I34" s="70">
        <v>50558</v>
      </c>
      <c r="J34" s="24">
        <v>2</v>
      </c>
    </row>
    <row r="35" spans="1:10" ht="12.5" x14ac:dyDescent="0.25">
      <c r="A35" s="241"/>
      <c r="B35" s="61" t="s">
        <v>324</v>
      </c>
      <c r="C35" s="24" t="s">
        <v>326</v>
      </c>
      <c r="D35" s="24" t="s">
        <v>337</v>
      </c>
      <c r="E35" s="24" t="s">
        <v>336</v>
      </c>
      <c r="F35" s="245" t="s">
        <v>435</v>
      </c>
      <c r="G35" s="68" t="s">
        <v>353</v>
      </c>
      <c r="H35" s="68" t="s">
        <v>347</v>
      </c>
      <c r="I35" s="70">
        <v>50558</v>
      </c>
      <c r="J35" s="24">
        <v>1</v>
      </c>
    </row>
    <row r="36" spans="1:10" ht="12.5" x14ac:dyDescent="0.25">
      <c r="A36" s="246"/>
      <c r="B36" s="24" t="s">
        <v>1489</v>
      </c>
      <c r="C36" s="24" t="s">
        <v>1489</v>
      </c>
      <c r="D36" s="24"/>
      <c r="E36" s="24"/>
      <c r="F36" s="24"/>
      <c r="G36" s="68" t="s">
        <v>1489</v>
      </c>
      <c r="H36" s="68" t="s">
        <v>1489</v>
      </c>
      <c r="I36" s="70"/>
    </row>
    <row r="37" spans="1:10" ht="12.5" x14ac:dyDescent="0.25">
      <c r="A37" s="241">
        <v>7</v>
      </c>
      <c r="B37" s="61" t="s">
        <v>324</v>
      </c>
      <c r="C37" s="24" t="s">
        <v>326</v>
      </c>
      <c r="D37" s="24" t="s">
        <v>337</v>
      </c>
      <c r="E37" s="24" t="s">
        <v>336</v>
      </c>
      <c r="F37" s="242" t="s">
        <v>398</v>
      </c>
      <c r="G37" s="68" t="s">
        <v>349</v>
      </c>
      <c r="H37" s="68" t="s">
        <v>346</v>
      </c>
      <c r="I37" s="70">
        <v>50765</v>
      </c>
      <c r="J37" s="24">
        <v>0</v>
      </c>
    </row>
    <row r="38" spans="1:10" ht="12.5" x14ac:dyDescent="0.25">
      <c r="A38" s="241"/>
      <c r="B38" s="61" t="s">
        <v>324</v>
      </c>
      <c r="C38" s="24" t="s">
        <v>326</v>
      </c>
      <c r="D38" s="24" t="s">
        <v>337</v>
      </c>
      <c r="E38" s="24" t="s">
        <v>336</v>
      </c>
      <c r="F38" s="243" t="s">
        <v>409</v>
      </c>
      <c r="G38" s="68" t="s">
        <v>349</v>
      </c>
      <c r="H38" s="68" t="s">
        <v>347</v>
      </c>
      <c r="I38" s="70">
        <v>50765</v>
      </c>
      <c r="J38" s="24">
        <v>1</v>
      </c>
    </row>
    <row r="39" spans="1:10" ht="12.5" x14ac:dyDescent="0.25">
      <c r="A39" s="241"/>
      <c r="B39" s="61" t="s">
        <v>324</v>
      </c>
      <c r="C39" s="24" t="s">
        <v>326</v>
      </c>
      <c r="D39" s="24" t="s">
        <v>337</v>
      </c>
      <c r="E39" s="24" t="s">
        <v>336</v>
      </c>
      <c r="F39" s="244" t="s">
        <v>420</v>
      </c>
      <c r="G39" s="68" t="s">
        <v>351</v>
      </c>
      <c r="H39" s="68" t="s">
        <v>346</v>
      </c>
      <c r="I39" s="70">
        <v>50765</v>
      </c>
      <c r="J39" s="24">
        <v>1</v>
      </c>
    </row>
    <row r="40" spans="1:10" ht="12.5" x14ac:dyDescent="0.25">
      <c r="A40" s="241"/>
      <c r="B40" s="61" t="s">
        <v>324</v>
      </c>
      <c r="C40" s="24" t="s">
        <v>326</v>
      </c>
      <c r="D40" s="24" t="s">
        <v>337</v>
      </c>
      <c r="E40" s="24" t="s">
        <v>336</v>
      </c>
      <c r="F40" s="244" t="s">
        <v>430</v>
      </c>
      <c r="G40" s="68" t="s">
        <v>351</v>
      </c>
      <c r="H40" s="68" t="s">
        <v>347</v>
      </c>
      <c r="I40" s="70">
        <v>50765</v>
      </c>
      <c r="J40" s="24">
        <v>1</v>
      </c>
    </row>
    <row r="41" spans="1:10" ht="12.5" x14ac:dyDescent="0.25">
      <c r="A41" s="241"/>
      <c r="B41" s="61" t="s">
        <v>324</v>
      </c>
      <c r="C41" s="24" t="s">
        <v>326</v>
      </c>
      <c r="D41" s="24" t="s">
        <v>337</v>
      </c>
      <c r="E41" s="24" t="s">
        <v>336</v>
      </c>
      <c r="F41" s="245" t="s">
        <v>433</v>
      </c>
      <c r="G41" s="68" t="s">
        <v>353</v>
      </c>
      <c r="H41" s="68" t="s">
        <v>346</v>
      </c>
      <c r="I41" s="70">
        <v>50765</v>
      </c>
      <c r="J41" s="24">
        <v>1</v>
      </c>
    </row>
    <row r="42" spans="1:10" ht="12.5" x14ac:dyDescent="0.25">
      <c r="A42" s="241"/>
      <c r="B42" s="61" t="s">
        <v>324</v>
      </c>
      <c r="C42" s="24" t="s">
        <v>326</v>
      </c>
      <c r="D42" s="24" t="s">
        <v>337</v>
      </c>
      <c r="E42" s="24" t="s">
        <v>336</v>
      </c>
      <c r="F42" s="245" t="s">
        <v>435</v>
      </c>
      <c r="G42" s="68" t="s">
        <v>353</v>
      </c>
      <c r="H42" s="68" t="s">
        <v>347</v>
      </c>
      <c r="I42" s="70">
        <v>50765</v>
      </c>
      <c r="J42" s="24">
        <v>1</v>
      </c>
    </row>
    <row r="43" spans="1:10" ht="12.5" x14ac:dyDescent="0.25">
      <c r="A43" s="246"/>
      <c r="B43" s="24" t="s">
        <v>1489</v>
      </c>
      <c r="C43" s="24" t="s">
        <v>1489</v>
      </c>
      <c r="D43" s="24"/>
      <c r="E43" s="24"/>
      <c r="F43" s="24"/>
      <c r="G43" s="68" t="s">
        <v>1489</v>
      </c>
      <c r="H43" s="68" t="s">
        <v>1489</v>
      </c>
      <c r="I43" s="70"/>
    </row>
    <row r="44" spans="1:10" ht="12.5" x14ac:dyDescent="0.25">
      <c r="A44" s="241">
        <v>8</v>
      </c>
      <c r="B44" s="61" t="s">
        <v>324</v>
      </c>
      <c r="C44" s="24" t="s">
        <v>326</v>
      </c>
      <c r="D44" s="24" t="s">
        <v>337</v>
      </c>
      <c r="E44" s="24" t="s">
        <v>336</v>
      </c>
      <c r="F44" s="242" t="s">
        <v>398</v>
      </c>
      <c r="G44" s="68" t="s">
        <v>349</v>
      </c>
      <c r="H44" s="68" t="s">
        <v>346</v>
      </c>
      <c r="I44" s="70">
        <v>50796</v>
      </c>
      <c r="J44" s="24">
        <v>1</v>
      </c>
    </row>
    <row r="45" spans="1:10" ht="12.5" x14ac:dyDescent="0.25">
      <c r="A45" s="241"/>
      <c r="B45" s="61" t="s">
        <v>324</v>
      </c>
      <c r="C45" s="24" t="s">
        <v>326</v>
      </c>
      <c r="D45" s="24" t="s">
        <v>337</v>
      </c>
      <c r="E45" s="24" t="s">
        <v>336</v>
      </c>
      <c r="F45" s="243" t="s">
        <v>409</v>
      </c>
      <c r="G45" s="68" t="s">
        <v>349</v>
      </c>
      <c r="H45" s="68" t="s">
        <v>347</v>
      </c>
      <c r="I45" s="70">
        <v>50796</v>
      </c>
      <c r="J45" s="24">
        <v>1</v>
      </c>
    </row>
    <row r="46" spans="1:10" ht="12.5" x14ac:dyDescent="0.25">
      <c r="A46" s="241"/>
      <c r="B46" s="61" t="s">
        <v>324</v>
      </c>
      <c r="C46" s="24" t="s">
        <v>326</v>
      </c>
      <c r="D46" s="24" t="s">
        <v>337</v>
      </c>
      <c r="E46" s="24" t="s">
        <v>336</v>
      </c>
      <c r="F46" s="244" t="s">
        <v>420</v>
      </c>
      <c r="G46" s="68" t="s">
        <v>351</v>
      </c>
      <c r="H46" s="68" t="s">
        <v>346</v>
      </c>
      <c r="I46" s="70">
        <v>50796</v>
      </c>
      <c r="J46" s="24">
        <v>2</v>
      </c>
    </row>
    <row r="47" spans="1:10" ht="12.5" x14ac:dyDescent="0.25">
      <c r="A47" s="241"/>
      <c r="B47" s="61" t="s">
        <v>324</v>
      </c>
      <c r="C47" s="24" t="s">
        <v>326</v>
      </c>
      <c r="D47" s="24" t="s">
        <v>337</v>
      </c>
      <c r="E47" s="24" t="s">
        <v>336</v>
      </c>
      <c r="F47" s="244" t="s">
        <v>430</v>
      </c>
      <c r="G47" s="68" t="s">
        <v>351</v>
      </c>
      <c r="H47" s="68" t="s">
        <v>347</v>
      </c>
      <c r="I47" s="70">
        <v>50796</v>
      </c>
      <c r="J47" s="24">
        <v>0</v>
      </c>
    </row>
    <row r="48" spans="1:10" ht="12.5" x14ac:dyDescent="0.25">
      <c r="A48" s="241"/>
      <c r="B48" s="61" t="s">
        <v>324</v>
      </c>
      <c r="C48" s="24" t="s">
        <v>326</v>
      </c>
      <c r="D48" s="24" t="s">
        <v>337</v>
      </c>
      <c r="E48" s="24" t="s">
        <v>336</v>
      </c>
      <c r="F48" s="245" t="s">
        <v>433</v>
      </c>
      <c r="G48" s="68" t="s">
        <v>353</v>
      </c>
      <c r="H48" s="68" t="s">
        <v>346</v>
      </c>
      <c r="I48" s="70">
        <v>50796</v>
      </c>
      <c r="J48" s="24">
        <v>2</v>
      </c>
    </row>
    <row r="49" spans="1:10" ht="12.5" x14ac:dyDescent="0.25">
      <c r="A49" s="241"/>
      <c r="B49" s="61" t="s">
        <v>324</v>
      </c>
      <c r="C49" s="24" t="s">
        <v>326</v>
      </c>
      <c r="D49" s="24" t="s">
        <v>337</v>
      </c>
      <c r="E49" s="24" t="s">
        <v>336</v>
      </c>
      <c r="F49" s="245" t="s">
        <v>435</v>
      </c>
      <c r="G49" s="68" t="s">
        <v>353</v>
      </c>
      <c r="H49" s="68" t="s">
        <v>347</v>
      </c>
      <c r="I49" s="70">
        <v>50796</v>
      </c>
      <c r="J49" s="24">
        <v>2</v>
      </c>
    </row>
    <row r="50" spans="1:10" ht="12.5" x14ac:dyDescent="0.25">
      <c r="A50" s="246"/>
      <c r="B50" s="24" t="s">
        <v>1489</v>
      </c>
      <c r="C50" s="24" t="s">
        <v>1489</v>
      </c>
      <c r="D50" s="24"/>
      <c r="E50" s="24"/>
      <c r="F50" s="24"/>
      <c r="G50" s="68" t="s">
        <v>1489</v>
      </c>
      <c r="H50" s="68" t="s">
        <v>1489</v>
      </c>
      <c r="I50" s="70"/>
    </row>
    <row r="51" spans="1:10" ht="12.5" x14ac:dyDescent="0.25">
      <c r="A51" s="241">
        <v>9</v>
      </c>
      <c r="B51" s="61" t="s">
        <v>324</v>
      </c>
      <c r="C51" s="24" t="s">
        <v>326</v>
      </c>
      <c r="D51" s="24" t="s">
        <v>337</v>
      </c>
      <c r="E51" s="24" t="s">
        <v>336</v>
      </c>
      <c r="F51" s="242" t="s">
        <v>398</v>
      </c>
      <c r="G51" s="68" t="s">
        <v>349</v>
      </c>
      <c r="H51" s="68" t="s">
        <v>346</v>
      </c>
      <c r="I51" s="70">
        <v>50854</v>
      </c>
      <c r="J51" s="24">
        <v>1</v>
      </c>
    </row>
    <row r="52" spans="1:10" ht="12.5" x14ac:dyDescent="0.25">
      <c r="A52" s="241"/>
      <c r="B52" s="61" t="s">
        <v>324</v>
      </c>
      <c r="C52" s="24" t="s">
        <v>326</v>
      </c>
      <c r="D52" s="24" t="s">
        <v>337</v>
      </c>
      <c r="E52" s="24" t="s">
        <v>336</v>
      </c>
      <c r="F52" s="243" t="s">
        <v>409</v>
      </c>
      <c r="G52" s="68" t="s">
        <v>349</v>
      </c>
      <c r="H52" s="68" t="s">
        <v>347</v>
      </c>
      <c r="I52" s="70">
        <v>50854</v>
      </c>
      <c r="J52" s="24">
        <v>0</v>
      </c>
    </row>
    <row r="53" spans="1:10" ht="12.5" x14ac:dyDescent="0.25">
      <c r="A53" s="241"/>
      <c r="B53" s="61" t="s">
        <v>324</v>
      </c>
      <c r="C53" s="24" t="s">
        <v>326</v>
      </c>
      <c r="D53" s="24" t="s">
        <v>337</v>
      </c>
      <c r="E53" s="24" t="s">
        <v>336</v>
      </c>
      <c r="F53" s="244" t="s">
        <v>420</v>
      </c>
      <c r="G53" s="68" t="s">
        <v>351</v>
      </c>
      <c r="H53" s="68" t="s">
        <v>346</v>
      </c>
      <c r="I53" s="70">
        <v>50854</v>
      </c>
      <c r="J53" s="24">
        <v>0</v>
      </c>
    </row>
    <row r="54" spans="1:10" ht="12.5" x14ac:dyDescent="0.25">
      <c r="A54" s="241"/>
      <c r="B54" s="61" t="s">
        <v>324</v>
      </c>
      <c r="C54" s="24" t="s">
        <v>326</v>
      </c>
      <c r="D54" s="24" t="s">
        <v>337</v>
      </c>
      <c r="E54" s="24" t="s">
        <v>336</v>
      </c>
      <c r="F54" s="244" t="s">
        <v>430</v>
      </c>
      <c r="G54" s="68" t="s">
        <v>351</v>
      </c>
      <c r="H54" s="68" t="s">
        <v>347</v>
      </c>
      <c r="I54" s="70">
        <v>50854</v>
      </c>
      <c r="J54" s="24">
        <v>1</v>
      </c>
    </row>
    <row r="55" spans="1:10" ht="12.5" x14ac:dyDescent="0.25">
      <c r="A55" s="241"/>
      <c r="B55" s="61" t="s">
        <v>324</v>
      </c>
      <c r="C55" s="24" t="s">
        <v>326</v>
      </c>
      <c r="D55" s="24" t="s">
        <v>337</v>
      </c>
      <c r="E55" s="24" t="s">
        <v>336</v>
      </c>
      <c r="F55" s="245" t="s">
        <v>433</v>
      </c>
      <c r="G55" s="68" t="s">
        <v>353</v>
      </c>
      <c r="H55" s="68" t="s">
        <v>346</v>
      </c>
      <c r="I55" s="70">
        <v>50854</v>
      </c>
      <c r="J55" s="24">
        <v>1</v>
      </c>
    </row>
    <row r="56" spans="1:10" ht="12.5" x14ac:dyDescent="0.25">
      <c r="A56" s="241"/>
      <c r="B56" s="61" t="s">
        <v>324</v>
      </c>
      <c r="C56" s="24" t="s">
        <v>326</v>
      </c>
      <c r="D56" s="24" t="s">
        <v>337</v>
      </c>
      <c r="E56" s="24" t="s">
        <v>336</v>
      </c>
      <c r="F56" s="245" t="s">
        <v>435</v>
      </c>
      <c r="G56" s="68" t="s">
        <v>353</v>
      </c>
      <c r="H56" s="68" t="s">
        <v>347</v>
      </c>
      <c r="I56" s="70">
        <v>50854</v>
      </c>
      <c r="J56" s="24">
        <v>0</v>
      </c>
    </row>
    <row r="57" spans="1:10" ht="12.5" x14ac:dyDescent="0.25">
      <c r="A57" s="246"/>
      <c r="B57" s="24" t="s">
        <v>1489</v>
      </c>
      <c r="C57" s="24" t="s">
        <v>1489</v>
      </c>
      <c r="D57" s="24"/>
      <c r="E57" s="24"/>
      <c r="F57" s="24"/>
      <c r="G57" s="68" t="s">
        <v>1489</v>
      </c>
      <c r="H57" s="68" t="s">
        <v>1489</v>
      </c>
      <c r="I57" s="70"/>
    </row>
    <row r="58" spans="1:10" ht="12.5" x14ac:dyDescent="0.25">
      <c r="A58" s="241">
        <v>10</v>
      </c>
      <c r="B58" s="61" t="s">
        <v>324</v>
      </c>
      <c r="C58" s="24" t="s">
        <v>326</v>
      </c>
      <c r="D58" s="24" t="s">
        <v>337</v>
      </c>
      <c r="E58" s="24" t="s">
        <v>336</v>
      </c>
      <c r="F58" s="242" t="s">
        <v>398</v>
      </c>
      <c r="G58" s="68" t="s">
        <v>349</v>
      </c>
      <c r="H58" s="68" t="s">
        <v>346</v>
      </c>
      <c r="I58" s="70">
        <v>50977</v>
      </c>
      <c r="J58" s="24">
        <v>1</v>
      </c>
    </row>
    <row r="59" spans="1:10" ht="12.5" x14ac:dyDescent="0.25">
      <c r="A59" s="241"/>
      <c r="B59" s="61" t="s">
        <v>324</v>
      </c>
      <c r="C59" s="24" t="s">
        <v>326</v>
      </c>
      <c r="D59" s="24" t="s">
        <v>337</v>
      </c>
      <c r="E59" s="24" t="s">
        <v>336</v>
      </c>
      <c r="F59" s="243" t="s">
        <v>409</v>
      </c>
      <c r="G59" s="68" t="s">
        <v>349</v>
      </c>
      <c r="H59" s="68" t="s">
        <v>347</v>
      </c>
      <c r="I59" s="70">
        <v>50977</v>
      </c>
      <c r="J59" s="24">
        <v>0</v>
      </c>
    </row>
    <row r="60" spans="1:10" ht="12.5" x14ac:dyDescent="0.25">
      <c r="A60" s="241"/>
      <c r="B60" s="61" t="s">
        <v>324</v>
      </c>
      <c r="C60" s="24" t="s">
        <v>326</v>
      </c>
      <c r="D60" s="24" t="s">
        <v>337</v>
      </c>
      <c r="E60" s="24" t="s">
        <v>336</v>
      </c>
      <c r="F60" s="244" t="s">
        <v>420</v>
      </c>
      <c r="G60" s="68" t="s">
        <v>351</v>
      </c>
      <c r="H60" s="68" t="s">
        <v>346</v>
      </c>
      <c r="I60" s="70">
        <v>50977</v>
      </c>
      <c r="J60" s="24">
        <v>2</v>
      </c>
    </row>
    <row r="61" spans="1:10" ht="12.5" x14ac:dyDescent="0.25">
      <c r="A61" s="241"/>
      <c r="B61" s="61" t="s">
        <v>324</v>
      </c>
      <c r="C61" s="24" t="s">
        <v>326</v>
      </c>
      <c r="D61" s="24" t="s">
        <v>337</v>
      </c>
      <c r="E61" s="24" t="s">
        <v>336</v>
      </c>
      <c r="F61" s="244" t="s">
        <v>430</v>
      </c>
      <c r="G61" s="68" t="s">
        <v>351</v>
      </c>
      <c r="H61" s="68" t="s">
        <v>347</v>
      </c>
      <c r="I61" s="70">
        <v>50977</v>
      </c>
      <c r="J61" s="24">
        <v>1</v>
      </c>
    </row>
    <row r="62" spans="1:10" ht="12.5" x14ac:dyDescent="0.25">
      <c r="A62" s="241"/>
      <c r="B62" s="61" t="s">
        <v>324</v>
      </c>
      <c r="C62" s="24" t="s">
        <v>326</v>
      </c>
      <c r="D62" s="24" t="s">
        <v>337</v>
      </c>
      <c r="E62" s="24" t="s">
        <v>336</v>
      </c>
      <c r="F62" s="245" t="s">
        <v>433</v>
      </c>
      <c r="G62" s="68" t="s">
        <v>353</v>
      </c>
      <c r="H62" s="68" t="s">
        <v>346</v>
      </c>
      <c r="I62" s="70">
        <v>50977</v>
      </c>
      <c r="J62" s="24">
        <v>3</v>
      </c>
    </row>
    <row r="63" spans="1:10" ht="12.5" x14ac:dyDescent="0.25">
      <c r="A63" s="241"/>
      <c r="B63" s="61" t="s">
        <v>324</v>
      </c>
      <c r="C63" s="24" t="s">
        <v>326</v>
      </c>
      <c r="D63" s="24" t="s">
        <v>337</v>
      </c>
      <c r="E63" s="24" t="s">
        <v>336</v>
      </c>
      <c r="F63" s="245" t="s">
        <v>435</v>
      </c>
      <c r="G63" s="68" t="s">
        <v>353</v>
      </c>
      <c r="H63" s="68" t="s">
        <v>347</v>
      </c>
      <c r="I63" s="70">
        <v>50977</v>
      </c>
      <c r="J63" s="24">
        <v>1</v>
      </c>
    </row>
    <row r="64" spans="1:10" ht="12.5" x14ac:dyDescent="0.25">
      <c r="A64" s="246"/>
      <c r="B64" s="24" t="s">
        <v>1489</v>
      </c>
      <c r="C64" s="24" t="s">
        <v>1489</v>
      </c>
      <c r="D64" s="24"/>
      <c r="E64" s="24"/>
      <c r="F64" s="24"/>
      <c r="G64" s="68" t="s">
        <v>1489</v>
      </c>
      <c r="H64" s="68" t="s">
        <v>1489</v>
      </c>
      <c r="I64" s="70"/>
    </row>
    <row r="65" spans="1:10" ht="12.5" x14ac:dyDescent="0.25">
      <c r="A65" s="241">
        <v>11</v>
      </c>
      <c r="B65" s="61" t="s">
        <v>324</v>
      </c>
      <c r="C65" s="24" t="s">
        <v>326</v>
      </c>
      <c r="D65" s="24" t="s">
        <v>337</v>
      </c>
      <c r="E65" s="24" t="s">
        <v>336</v>
      </c>
      <c r="F65" s="242" t="s">
        <v>398</v>
      </c>
      <c r="G65" s="68" t="s">
        <v>349</v>
      </c>
      <c r="H65" s="68" t="s">
        <v>346</v>
      </c>
      <c r="I65" s="70">
        <v>501344</v>
      </c>
      <c r="J65" s="24">
        <v>0</v>
      </c>
    </row>
    <row r="66" spans="1:10" ht="12.5" x14ac:dyDescent="0.25">
      <c r="A66" s="241"/>
      <c r="B66" s="61" t="s">
        <v>324</v>
      </c>
      <c r="C66" s="24" t="s">
        <v>326</v>
      </c>
      <c r="D66" s="24" t="s">
        <v>337</v>
      </c>
      <c r="E66" s="24" t="s">
        <v>336</v>
      </c>
      <c r="F66" s="243" t="s">
        <v>409</v>
      </c>
      <c r="G66" s="68" t="s">
        <v>349</v>
      </c>
      <c r="H66" s="68" t="s">
        <v>347</v>
      </c>
      <c r="I66" s="70">
        <v>501344</v>
      </c>
      <c r="J66" s="24">
        <v>0</v>
      </c>
    </row>
    <row r="67" spans="1:10" ht="12.5" x14ac:dyDescent="0.25">
      <c r="A67" s="241"/>
      <c r="B67" s="61" t="s">
        <v>324</v>
      </c>
      <c r="C67" s="24" t="s">
        <v>326</v>
      </c>
      <c r="D67" s="24" t="s">
        <v>337</v>
      </c>
      <c r="E67" s="24" t="s">
        <v>336</v>
      </c>
      <c r="F67" s="244" t="s">
        <v>420</v>
      </c>
      <c r="G67" s="68" t="s">
        <v>351</v>
      </c>
      <c r="H67" s="68" t="s">
        <v>346</v>
      </c>
      <c r="I67" s="70">
        <v>501344</v>
      </c>
      <c r="J67" s="24">
        <v>1</v>
      </c>
    </row>
    <row r="68" spans="1:10" ht="12.5" x14ac:dyDescent="0.25">
      <c r="A68" s="241"/>
      <c r="B68" s="61" t="s">
        <v>324</v>
      </c>
      <c r="C68" s="24" t="s">
        <v>326</v>
      </c>
      <c r="D68" s="24" t="s">
        <v>337</v>
      </c>
      <c r="E68" s="24" t="s">
        <v>336</v>
      </c>
      <c r="F68" s="244" t="s">
        <v>430</v>
      </c>
      <c r="G68" s="68" t="s">
        <v>351</v>
      </c>
      <c r="H68" s="68" t="s">
        <v>347</v>
      </c>
      <c r="I68" s="70">
        <v>501344</v>
      </c>
      <c r="J68" s="24">
        <v>1</v>
      </c>
    </row>
    <row r="69" spans="1:10" ht="12.5" x14ac:dyDescent="0.25">
      <c r="A69" s="241"/>
      <c r="B69" s="61" t="s">
        <v>324</v>
      </c>
      <c r="C69" s="24" t="s">
        <v>326</v>
      </c>
      <c r="D69" s="24" t="s">
        <v>337</v>
      </c>
      <c r="E69" s="24" t="s">
        <v>336</v>
      </c>
      <c r="F69" s="245" t="s">
        <v>433</v>
      </c>
      <c r="G69" s="68" t="s">
        <v>353</v>
      </c>
      <c r="H69" s="68" t="s">
        <v>346</v>
      </c>
      <c r="I69" s="70">
        <v>501344</v>
      </c>
      <c r="J69" s="24">
        <v>0</v>
      </c>
    </row>
    <row r="70" spans="1:10" ht="12.5" x14ac:dyDescent="0.25">
      <c r="A70" s="241"/>
      <c r="B70" s="61" t="s">
        <v>324</v>
      </c>
      <c r="C70" s="24" t="s">
        <v>326</v>
      </c>
      <c r="D70" s="24" t="s">
        <v>337</v>
      </c>
      <c r="E70" s="24" t="s">
        <v>336</v>
      </c>
      <c r="F70" s="245" t="s">
        <v>435</v>
      </c>
      <c r="G70" s="68" t="s">
        <v>353</v>
      </c>
      <c r="H70" s="68" t="s">
        <v>347</v>
      </c>
      <c r="I70" s="70">
        <v>501344</v>
      </c>
      <c r="J70" s="24">
        <v>0</v>
      </c>
    </row>
    <row r="71" spans="1:10" ht="12.5" x14ac:dyDescent="0.25">
      <c r="A71" s="246"/>
      <c r="B71" s="24" t="s">
        <v>1489</v>
      </c>
      <c r="C71" s="24" t="s">
        <v>1489</v>
      </c>
      <c r="D71" s="24"/>
      <c r="E71" s="24"/>
      <c r="F71" s="24"/>
      <c r="G71" s="68" t="s">
        <v>1489</v>
      </c>
      <c r="H71" s="68" t="s">
        <v>1489</v>
      </c>
      <c r="I71" s="70"/>
    </row>
    <row r="72" spans="1:10" ht="12.5" x14ac:dyDescent="0.25">
      <c r="A72" s="241">
        <v>12</v>
      </c>
      <c r="B72" s="61" t="s">
        <v>324</v>
      </c>
      <c r="C72" s="24" t="s">
        <v>326</v>
      </c>
      <c r="D72" s="24" t="s">
        <v>337</v>
      </c>
      <c r="E72" s="24" t="s">
        <v>336</v>
      </c>
      <c r="F72" s="242" t="s">
        <v>398</v>
      </c>
      <c r="G72" s="68" t="s">
        <v>349</v>
      </c>
      <c r="H72" s="68" t="s">
        <v>346</v>
      </c>
      <c r="I72" s="70">
        <v>501432</v>
      </c>
      <c r="J72" s="24">
        <v>1</v>
      </c>
    </row>
    <row r="73" spans="1:10" ht="12.5" x14ac:dyDescent="0.25">
      <c r="A73" s="241"/>
      <c r="B73" s="61" t="s">
        <v>324</v>
      </c>
      <c r="C73" s="24" t="s">
        <v>326</v>
      </c>
      <c r="D73" s="24" t="s">
        <v>337</v>
      </c>
      <c r="E73" s="24" t="s">
        <v>336</v>
      </c>
      <c r="F73" s="243" t="s">
        <v>409</v>
      </c>
      <c r="G73" s="68" t="s">
        <v>349</v>
      </c>
      <c r="H73" s="68" t="s">
        <v>347</v>
      </c>
      <c r="I73" s="70">
        <v>501432</v>
      </c>
      <c r="J73" s="24">
        <v>2</v>
      </c>
    </row>
    <row r="74" spans="1:10" ht="12.5" x14ac:dyDescent="0.25">
      <c r="A74" s="241"/>
      <c r="B74" s="61" t="s">
        <v>324</v>
      </c>
      <c r="C74" s="24" t="s">
        <v>326</v>
      </c>
      <c r="D74" s="24" t="s">
        <v>337</v>
      </c>
      <c r="E74" s="24" t="s">
        <v>336</v>
      </c>
      <c r="F74" s="244" t="s">
        <v>420</v>
      </c>
      <c r="G74" s="68" t="s">
        <v>351</v>
      </c>
      <c r="H74" s="68" t="s">
        <v>346</v>
      </c>
      <c r="I74" s="70">
        <v>501432</v>
      </c>
      <c r="J74" s="24">
        <v>3</v>
      </c>
    </row>
    <row r="75" spans="1:10" ht="12.5" x14ac:dyDescent="0.25">
      <c r="A75" s="241"/>
      <c r="B75" s="61" t="s">
        <v>324</v>
      </c>
      <c r="C75" s="24" t="s">
        <v>326</v>
      </c>
      <c r="D75" s="24" t="s">
        <v>337</v>
      </c>
      <c r="E75" s="24" t="s">
        <v>336</v>
      </c>
      <c r="F75" s="244" t="s">
        <v>430</v>
      </c>
      <c r="G75" s="68" t="s">
        <v>351</v>
      </c>
      <c r="H75" s="68" t="s">
        <v>347</v>
      </c>
      <c r="I75" s="70">
        <v>501432</v>
      </c>
      <c r="J75" s="24">
        <v>1</v>
      </c>
    </row>
    <row r="76" spans="1:10" ht="12.5" x14ac:dyDescent="0.25">
      <c r="A76" s="241"/>
      <c r="B76" s="61" t="s">
        <v>324</v>
      </c>
      <c r="C76" s="24" t="s">
        <v>326</v>
      </c>
      <c r="D76" s="24" t="s">
        <v>337</v>
      </c>
      <c r="E76" s="24" t="s">
        <v>336</v>
      </c>
      <c r="F76" s="245" t="s">
        <v>433</v>
      </c>
      <c r="G76" s="68" t="s">
        <v>353</v>
      </c>
      <c r="H76" s="68" t="s">
        <v>346</v>
      </c>
      <c r="I76" s="70">
        <v>501432</v>
      </c>
      <c r="J76" s="24">
        <v>2</v>
      </c>
    </row>
    <row r="77" spans="1:10" ht="12.5" x14ac:dyDescent="0.25">
      <c r="A77" s="241"/>
      <c r="B77" s="61" t="s">
        <v>324</v>
      </c>
      <c r="C77" s="24" t="s">
        <v>326</v>
      </c>
      <c r="D77" s="24" t="s">
        <v>337</v>
      </c>
      <c r="E77" s="24" t="s">
        <v>336</v>
      </c>
      <c r="F77" s="245" t="s">
        <v>435</v>
      </c>
      <c r="G77" s="68" t="s">
        <v>353</v>
      </c>
      <c r="H77" s="68" t="s">
        <v>347</v>
      </c>
      <c r="I77" s="70">
        <v>501432</v>
      </c>
      <c r="J77" s="24">
        <v>1</v>
      </c>
    </row>
    <row r="78" spans="1:10" ht="12.5" x14ac:dyDescent="0.25">
      <c r="A78" s="246"/>
      <c r="B78" s="24" t="s">
        <v>1489</v>
      </c>
      <c r="C78" s="24" t="s">
        <v>1489</v>
      </c>
      <c r="D78" s="24"/>
      <c r="E78" s="24"/>
      <c r="F78" s="24"/>
      <c r="G78" s="68" t="s">
        <v>1489</v>
      </c>
      <c r="H78" s="68" t="s">
        <v>1489</v>
      </c>
      <c r="I78" s="70"/>
    </row>
    <row r="79" spans="1:10" ht="12.5" x14ac:dyDescent="0.25">
      <c r="A79" s="241">
        <v>13</v>
      </c>
      <c r="B79" s="61" t="s">
        <v>324</v>
      </c>
      <c r="C79" s="24" t="s">
        <v>326</v>
      </c>
      <c r="D79" s="24" t="s">
        <v>337</v>
      </c>
      <c r="E79" s="24" t="s">
        <v>336</v>
      </c>
      <c r="F79" s="242" t="s">
        <v>398</v>
      </c>
      <c r="G79" s="68" t="s">
        <v>349</v>
      </c>
      <c r="H79" s="68" t="s">
        <v>346</v>
      </c>
      <c r="I79" s="70" t="s">
        <v>443</v>
      </c>
      <c r="J79" s="24">
        <v>2</v>
      </c>
    </row>
    <row r="80" spans="1:10" ht="12.5" x14ac:dyDescent="0.25">
      <c r="A80" s="241"/>
      <c r="B80" s="61" t="s">
        <v>324</v>
      </c>
      <c r="C80" s="24" t="s">
        <v>326</v>
      </c>
      <c r="D80" s="24" t="s">
        <v>337</v>
      </c>
      <c r="E80" s="24" t="s">
        <v>336</v>
      </c>
      <c r="F80" s="243" t="s">
        <v>409</v>
      </c>
      <c r="G80" s="68" t="s">
        <v>349</v>
      </c>
      <c r="H80" s="68" t="s">
        <v>347</v>
      </c>
      <c r="I80" s="70" t="s">
        <v>443</v>
      </c>
      <c r="J80" s="24">
        <v>1</v>
      </c>
    </row>
    <row r="81" spans="1:10" ht="12.5" x14ac:dyDescent="0.25">
      <c r="A81" s="241"/>
      <c r="B81" s="61" t="s">
        <v>324</v>
      </c>
      <c r="C81" s="24" t="s">
        <v>326</v>
      </c>
      <c r="D81" s="24" t="s">
        <v>337</v>
      </c>
      <c r="E81" s="24" t="s">
        <v>336</v>
      </c>
      <c r="F81" s="244" t="s">
        <v>420</v>
      </c>
      <c r="G81" s="68" t="s">
        <v>351</v>
      </c>
      <c r="H81" s="68" t="s">
        <v>346</v>
      </c>
      <c r="I81" s="70" t="s">
        <v>443</v>
      </c>
      <c r="J81" s="24">
        <v>2</v>
      </c>
    </row>
    <row r="82" spans="1:10" ht="12.5" x14ac:dyDescent="0.25">
      <c r="A82" s="241"/>
      <c r="B82" s="61" t="s">
        <v>324</v>
      </c>
      <c r="C82" s="24" t="s">
        <v>326</v>
      </c>
      <c r="D82" s="24" t="s">
        <v>337</v>
      </c>
      <c r="E82" s="24" t="s">
        <v>336</v>
      </c>
      <c r="F82" s="244" t="s">
        <v>430</v>
      </c>
      <c r="G82" s="68" t="s">
        <v>351</v>
      </c>
      <c r="H82" s="68" t="s">
        <v>347</v>
      </c>
      <c r="I82" s="70" t="s">
        <v>443</v>
      </c>
      <c r="J82" s="24">
        <v>1</v>
      </c>
    </row>
    <row r="83" spans="1:10" ht="12.5" x14ac:dyDescent="0.25">
      <c r="A83" s="241"/>
      <c r="B83" s="61" t="s">
        <v>324</v>
      </c>
      <c r="C83" s="24" t="s">
        <v>326</v>
      </c>
      <c r="D83" s="24" t="s">
        <v>337</v>
      </c>
      <c r="E83" s="24" t="s">
        <v>336</v>
      </c>
      <c r="F83" s="245" t="s">
        <v>433</v>
      </c>
      <c r="G83" s="68" t="s">
        <v>353</v>
      </c>
      <c r="H83" s="68" t="s">
        <v>346</v>
      </c>
      <c r="I83" s="70" t="s">
        <v>443</v>
      </c>
      <c r="J83" s="24">
        <v>1</v>
      </c>
    </row>
    <row r="84" spans="1:10" ht="12.5" x14ac:dyDescent="0.25">
      <c r="A84" s="241"/>
      <c r="B84" s="61" t="s">
        <v>324</v>
      </c>
      <c r="C84" s="24" t="s">
        <v>326</v>
      </c>
      <c r="D84" s="24" t="s">
        <v>337</v>
      </c>
      <c r="E84" s="24" t="s">
        <v>336</v>
      </c>
      <c r="F84" s="245" t="s">
        <v>435</v>
      </c>
      <c r="G84" s="68" t="s">
        <v>353</v>
      </c>
      <c r="H84" s="68" t="s">
        <v>347</v>
      </c>
      <c r="I84" s="70" t="s">
        <v>443</v>
      </c>
      <c r="J84" s="24">
        <v>2</v>
      </c>
    </row>
    <row r="85" spans="1:10" ht="12.5" x14ac:dyDescent="0.25">
      <c r="A85" s="246"/>
      <c r="B85" s="24" t="s">
        <v>1489</v>
      </c>
      <c r="C85" s="24" t="s">
        <v>1489</v>
      </c>
      <c r="D85" s="24"/>
      <c r="E85" s="24"/>
      <c r="F85" s="24"/>
      <c r="G85" s="68" t="s">
        <v>1489</v>
      </c>
      <c r="H85" s="68" t="s">
        <v>1489</v>
      </c>
      <c r="I85" s="70"/>
    </row>
    <row r="86" spans="1:10" ht="12.5" x14ac:dyDescent="0.25">
      <c r="A86" s="241">
        <v>14</v>
      </c>
      <c r="B86" s="61" t="s">
        <v>324</v>
      </c>
      <c r="C86" s="24" t="s">
        <v>326</v>
      </c>
      <c r="D86" s="24" t="s">
        <v>337</v>
      </c>
      <c r="E86" s="24" t="s">
        <v>336</v>
      </c>
      <c r="F86" s="242" t="s">
        <v>398</v>
      </c>
      <c r="G86" s="68" t="s">
        <v>349</v>
      </c>
      <c r="H86" s="68" t="s">
        <v>346</v>
      </c>
      <c r="I86" s="70" t="s">
        <v>444</v>
      </c>
      <c r="J86" s="24">
        <v>10</v>
      </c>
    </row>
    <row r="87" spans="1:10" ht="12.5" x14ac:dyDescent="0.25">
      <c r="A87" s="241"/>
      <c r="B87" s="61" t="s">
        <v>324</v>
      </c>
      <c r="C87" s="24" t="s">
        <v>326</v>
      </c>
      <c r="D87" s="24" t="s">
        <v>337</v>
      </c>
      <c r="E87" s="24" t="s">
        <v>336</v>
      </c>
      <c r="F87" s="243" t="s">
        <v>409</v>
      </c>
      <c r="G87" s="68" t="s">
        <v>349</v>
      </c>
      <c r="H87" s="68" t="s">
        <v>347</v>
      </c>
      <c r="I87" s="70" t="s">
        <v>444</v>
      </c>
      <c r="J87" s="24">
        <v>12</v>
      </c>
    </row>
    <row r="88" spans="1:10" ht="12.5" x14ac:dyDescent="0.25">
      <c r="A88" s="241"/>
      <c r="B88" s="61" t="s">
        <v>324</v>
      </c>
      <c r="C88" s="24" t="s">
        <v>326</v>
      </c>
      <c r="D88" s="24" t="s">
        <v>337</v>
      </c>
      <c r="E88" s="24" t="s">
        <v>336</v>
      </c>
      <c r="F88" s="244" t="s">
        <v>420</v>
      </c>
      <c r="G88" s="68" t="s">
        <v>351</v>
      </c>
      <c r="H88" s="68" t="s">
        <v>346</v>
      </c>
      <c r="I88" s="70" t="s">
        <v>444</v>
      </c>
      <c r="J88" s="24">
        <v>10</v>
      </c>
    </row>
    <row r="89" spans="1:10" ht="12.5" x14ac:dyDescent="0.25">
      <c r="A89" s="241"/>
      <c r="B89" s="61" t="s">
        <v>324</v>
      </c>
      <c r="C89" s="24" t="s">
        <v>326</v>
      </c>
      <c r="D89" s="24" t="s">
        <v>337</v>
      </c>
      <c r="E89" s="24" t="s">
        <v>336</v>
      </c>
      <c r="F89" s="244" t="s">
        <v>430</v>
      </c>
      <c r="G89" s="68" t="s">
        <v>351</v>
      </c>
      <c r="H89" s="68" t="s">
        <v>347</v>
      </c>
      <c r="I89" s="70" t="s">
        <v>444</v>
      </c>
      <c r="J89" s="24">
        <v>11</v>
      </c>
    </row>
    <row r="90" spans="1:10" ht="12.5" x14ac:dyDescent="0.25">
      <c r="A90" s="241"/>
      <c r="B90" s="61" t="s">
        <v>324</v>
      </c>
      <c r="C90" s="24" t="s">
        <v>326</v>
      </c>
      <c r="D90" s="24" t="s">
        <v>337</v>
      </c>
      <c r="E90" s="24" t="s">
        <v>336</v>
      </c>
      <c r="F90" s="245" t="s">
        <v>433</v>
      </c>
      <c r="G90" s="68" t="s">
        <v>353</v>
      </c>
      <c r="H90" s="68" t="s">
        <v>346</v>
      </c>
      <c r="I90" s="70" t="s">
        <v>444</v>
      </c>
      <c r="J90" s="24">
        <v>9</v>
      </c>
    </row>
    <row r="91" spans="1:10" ht="12.5" x14ac:dyDescent="0.25">
      <c r="A91" s="241"/>
      <c r="B91" s="61" t="s">
        <v>324</v>
      </c>
      <c r="C91" s="24" t="s">
        <v>326</v>
      </c>
      <c r="D91" s="24" t="s">
        <v>337</v>
      </c>
      <c r="E91" s="24" t="s">
        <v>336</v>
      </c>
      <c r="F91" s="245" t="s">
        <v>435</v>
      </c>
      <c r="G91" s="68" t="s">
        <v>353</v>
      </c>
      <c r="H91" s="68" t="s">
        <v>347</v>
      </c>
      <c r="I91" s="70" t="s">
        <v>444</v>
      </c>
      <c r="J91" s="24">
        <v>13</v>
      </c>
    </row>
    <row r="92" spans="1:10" ht="12.5" x14ac:dyDescent="0.25">
      <c r="A92" s="246"/>
      <c r="B92" s="24" t="s">
        <v>1489</v>
      </c>
      <c r="C92" s="24" t="s">
        <v>1489</v>
      </c>
      <c r="D92" s="24"/>
      <c r="E92" s="24"/>
      <c r="F92" s="24"/>
      <c r="G92" s="68" t="s">
        <v>1489</v>
      </c>
      <c r="H92" s="68" t="s">
        <v>1489</v>
      </c>
      <c r="I92" s="70"/>
    </row>
    <row r="93" spans="1:10" ht="12.5" x14ac:dyDescent="0.25">
      <c r="A93" s="241">
        <v>15</v>
      </c>
      <c r="B93" s="61" t="s">
        <v>324</v>
      </c>
      <c r="C93" s="24" t="s">
        <v>326</v>
      </c>
      <c r="D93" s="24" t="s">
        <v>337</v>
      </c>
      <c r="E93" s="24" t="s">
        <v>336</v>
      </c>
      <c r="F93" s="242" t="s">
        <v>398</v>
      </c>
      <c r="G93" s="68" t="s">
        <v>349</v>
      </c>
      <c r="H93" s="68" t="s">
        <v>346</v>
      </c>
      <c r="I93" s="70" t="s">
        <v>445</v>
      </c>
      <c r="J93" s="24">
        <v>2</v>
      </c>
    </row>
    <row r="94" spans="1:10" ht="12.5" x14ac:dyDescent="0.25">
      <c r="A94" s="241"/>
      <c r="B94" s="61" t="s">
        <v>324</v>
      </c>
      <c r="C94" s="24" t="s">
        <v>326</v>
      </c>
      <c r="D94" s="24" t="s">
        <v>337</v>
      </c>
      <c r="E94" s="24" t="s">
        <v>336</v>
      </c>
      <c r="F94" s="243" t="s">
        <v>409</v>
      </c>
      <c r="G94" s="68" t="s">
        <v>349</v>
      </c>
      <c r="H94" s="68" t="s">
        <v>347</v>
      </c>
      <c r="I94" s="70" t="s">
        <v>445</v>
      </c>
      <c r="J94" s="24">
        <v>2</v>
      </c>
    </row>
    <row r="95" spans="1:10" ht="12.5" x14ac:dyDescent="0.25">
      <c r="A95" s="241"/>
      <c r="B95" s="61" t="s">
        <v>324</v>
      </c>
      <c r="C95" s="24" t="s">
        <v>326</v>
      </c>
      <c r="D95" s="24" t="s">
        <v>337</v>
      </c>
      <c r="E95" s="24" t="s">
        <v>336</v>
      </c>
      <c r="F95" s="244" t="s">
        <v>420</v>
      </c>
      <c r="G95" s="68" t="s">
        <v>351</v>
      </c>
      <c r="H95" s="68" t="s">
        <v>346</v>
      </c>
      <c r="I95" s="70" t="s">
        <v>445</v>
      </c>
      <c r="J95" s="24">
        <v>5</v>
      </c>
    </row>
    <row r="96" spans="1:10" ht="12.5" x14ac:dyDescent="0.25">
      <c r="A96" s="241"/>
      <c r="B96" s="61" t="s">
        <v>324</v>
      </c>
      <c r="C96" s="24" t="s">
        <v>326</v>
      </c>
      <c r="D96" s="24" t="s">
        <v>337</v>
      </c>
      <c r="E96" s="24" t="s">
        <v>336</v>
      </c>
      <c r="F96" s="244" t="s">
        <v>430</v>
      </c>
      <c r="G96" s="68" t="s">
        <v>351</v>
      </c>
      <c r="H96" s="68" t="s">
        <v>347</v>
      </c>
      <c r="I96" s="70" t="s">
        <v>445</v>
      </c>
      <c r="J96" s="24">
        <v>3</v>
      </c>
    </row>
    <row r="97" spans="1:10" ht="12.5" x14ac:dyDescent="0.25">
      <c r="A97" s="241"/>
      <c r="B97" s="61" t="s">
        <v>324</v>
      </c>
      <c r="C97" s="24" t="s">
        <v>326</v>
      </c>
      <c r="D97" s="24" t="s">
        <v>337</v>
      </c>
      <c r="E97" s="24" t="s">
        <v>336</v>
      </c>
      <c r="F97" s="245" t="s">
        <v>433</v>
      </c>
      <c r="G97" s="68" t="s">
        <v>353</v>
      </c>
      <c r="H97" s="68" t="s">
        <v>346</v>
      </c>
      <c r="I97" s="70" t="s">
        <v>445</v>
      </c>
      <c r="J97" s="24">
        <v>2</v>
      </c>
    </row>
    <row r="98" spans="1:10" ht="12.5" x14ac:dyDescent="0.25">
      <c r="A98" s="241"/>
      <c r="B98" s="61" t="s">
        <v>324</v>
      </c>
      <c r="C98" s="24" t="s">
        <v>326</v>
      </c>
      <c r="D98" s="24" t="s">
        <v>337</v>
      </c>
      <c r="E98" s="24" t="s">
        <v>336</v>
      </c>
      <c r="F98" s="245" t="s">
        <v>435</v>
      </c>
      <c r="G98" s="68" t="s">
        <v>353</v>
      </c>
      <c r="H98" s="68" t="s">
        <v>347</v>
      </c>
      <c r="I98" s="70" t="s">
        <v>445</v>
      </c>
      <c r="J98" s="24">
        <v>3</v>
      </c>
    </row>
    <row r="99" spans="1:10" ht="12.5" x14ac:dyDescent="0.25">
      <c r="A99" s="246"/>
      <c r="B99" s="24" t="s">
        <v>1489</v>
      </c>
      <c r="C99" s="24" t="s">
        <v>1489</v>
      </c>
      <c r="D99" s="24"/>
      <c r="E99" s="24"/>
      <c r="F99" s="24"/>
      <c r="G99" s="68" t="s">
        <v>1489</v>
      </c>
      <c r="H99" s="68" t="s">
        <v>1489</v>
      </c>
      <c r="I99" s="70"/>
    </row>
    <row r="100" spans="1:10" ht="12.5" x14ac:dyDescent="0.25">
      <c r="A100" s="241">
        <v>16</v>
      </c>
      <c r="B100" s="61" t="s">
        <v>324</v>
      </c>
      <c r="C100" s="24" t="s">
        <v>326</v>
      </c>
      <c r="D100" s="24" t="s">
        <v>337</v>
      </c>
      <c r="E100" s="24" t="s">
        <v>336</v>
      </c>
      <c r="F100" s="242" t="s">
        <v>398</v>
      </c>
      <c r="G100" s="68" t="s">
        <v>349</v>
      </c>
      <c r="H100" s="68" t="s">
        <v>346</v>
      </c>
      <c r="I100" s="70" t="s">
        <v>447</v>
      </c>
      <c r="J100" s="24">
        <v>10</v>
      </c>
    </row>
    <row r="101" spans="1:10" ht="12.5" x14ac:dyDescent="0.25">
      <c r="A101" s="241"/>
      <c r="B101" s="61" t="s">
        <v>324</v>
      </c>
      <c r="C101" s="24" t="s">
        <v>326</v>
      </c>
      <c r="D101" s="24" t="s">
        <v>337</v>
      </c>
      <c r="E101" s="24" t="s">
        <v>336</v>
      </c>
      <c r="F101" s="243" t="s">
        <v>409</v>
      </c>
      <c r="G101" s="68" t="s">
        <v>349</v>
      </c>
      <c r="H101" s="68" t="s">
        <v>347</v>
      </c>
      <c r="I101" s="70" t="s">
        <v>447</v>
      </c>
      <c r="J101" s="24">
        <v>6</v>
      </c>
    </row>
    <row r="102" spans="1:10" ht="12.5" x14ac:dyDescent="0.25">
      <c r="A102" s="241"/>
      <c r="B102" s="61" t="s">
        <v>324</v>
      </c>
      <c r="C102" s="24" t="s">
        <v>326</v>
      </c>
      <c r="D102" s="24" t="s">
        <v>337</v>
      </c>
      <c r="E102" s="24" t="s">
        <v>336</v>
      </c>
      <c r="F102" s="244" t="s">
        <v>420</v>
      </c>
      <c r="G102" s="68" t="s">
        <v>351</v>
      </c>
      <c r="H102" s="68" t="s">
        <v>346</v>
      </c>
      <c r="I102" s="70" t="s">
        <v>447</v>
      </c>
      <c r="J102" s="24">
        <v>7</v>
      </c>
    </row>
    <row r="103" spans="1:10" ht="12.5" x14ac:dyDescent="0.25">
      <c r="A103" s="241"/>
      <c r="B103" s="61" t="s">
        <v>324</v>
      </c>
      <c r="C103" s="24" t="s">
        <v>326</v>
      </c>
      <c r="D103" s="24" t="s">
        <v>337</v>
      </c>
      <c r="E103" s="24" t="s">
        <v>336</v>
      </c>
      <c r="F103" s="244" t="s">
        <v>430</v>
      </c>
      <c r="G103" s="68" t="s">
        <v>351</v>
      </c>
      <c r="H103" s="68" t="s">
        <v>347</v>
      </c>
      <c r="I103" s="70" t="s">
        <v>447</v>
      </c>
      <c r="J103" s="24">
        <v>11</v>
      </c>
    </row>
    <row r="104" spans="1:10" ht="12.5" x14ac:dyDescent="0.25">
      <c r="A104" s="241"/>
      <c r="B104" s="61" t="s">
        <v>324</v>
      </c>
      <c r="C104" s="24" t="s">
        <v>326</v>
      </c>
      <c r="D104" s="24" t="s">
        <v>337</v>
      </c>
      <c r="E104" s="24" t="s">
        <v>336</v>
      </c>
      <c r="F104" s="245" t="s">
        <v>433</v>
      </c>
      <c r="G104" s="68" t="s">
        <v>353</v>
      </c>
      <c r="H104" s="68" t="s">
        <v>346</v>
      </c>
      <c r="I104" s="70" t="s">
        <v>447</v>
      </c>
      <c r="J104" s="24">
        <v>9</v>
      </c>
    </row>
    <row r="105" spans="1:10" ht="12.5" x14ac:dyDescent="0.25">
      <c r="A105" s="241"/>
      <c r="B105" s="61" t="s">
        <v>324</v>
      </c>
      <c r="C105" s="24" t="s">
        <v>326</v>
      </c>
      <c r="D105" s="24" t="s">
        <v>337</v>
      </c>
      <c r="E105" s="24" t="s">
        <v>336</v>
      </c>
      <c r="F105" s="245" t="s">
        <v>435</v>
      </c>
      <c r="G105" s="68" t="s">
        <v>353</v>
      </c>
      <c r="H105" s="68" t="s">
        <v>347</v>
      </c>
      <c r="I105" s="70" t="s">
        <v>447</v>
      </c>
      <c r="J105" s="24">
        <v>5</v>
      </c>
    </row>
    <row r="106" spans="1:10" ht="12.5" x14ac:dyDescent="0.25">
      <c r="A106" s="246"/>
      <c r="B106" s="24" t="s">
        <v>1489</v>
      </c>
      <c r="C106" s="24" t="s">
        <v>1489</v>
      </c>
      <c r="D106" s="24"/>
      <c r="E106" s="24"/>
      <c r="F106" s="24"/>
      <c r="G106" s="68" t="s">
        <v>1489</v>
      </c>
      <c r="H106" s="68" t="s">
        <v>1489</v>
      </c>
      <c r="I106" s="70"/>
    </row>
    <row r="107" spans="1:10" ht="12.5" x14ac:dyDescent="0.25">
      <c r="A107" s="241">
        <v>17</v>
      </c>
      <c r="B107" s="61" t="s">
        <v>324</v>
      </c>
      <c r="C107" s="24" t="s">
        <v>326</v>
      </c>
      <c r="D107" s="24" t="s">
        <v>337</v>
      </c>
      <c r="E107" s="24" t="s">
        <v>338</v>
      </c>
      <c r="F107" s="242" t="s">
        <v>398</v>
      </c>
      <c r="G107" s="68" t="s">
        <v>349</v>
      </c>
      <c r="H107" s="68" t="s">
        <v>346</v>
      </c>
      <c r="I107" s="70">
        <v>60133</v>
      </c>
      <c r="J107" s="24">
        <v>6</v>
      </c>
    </row>
    <row r="108" spans="1:10" ht="12.5" x14ac:dyDescent="0.25">
      <c r="A108" s="241"/>
      <c r="B108" s="61" t="s">
        <v>324</v>
      </c>
      <c r="C108" s="24" t="s">
        <v>326</v>
      </c>
      <c r="D108" s="24" t="s">
        <v>337</v>
      </c>
      <c r="E108" s="24" t="s">
        <v>338</v>
      </c>
      <c r="F108" s="243" t="s">
        <v>409</v>
      </c>
      <c r="G108" s="68" t="s">
        <v>349</v>
      </c>
      <c r="H108" s="68" t="s">
        <v>347</v>
      </c>
      <c r="I108" s="70">
        <v>60133</v>
      </c>
      <c r="J108" s="24">
        <v>6</v>
      </c>
    </row>
    <row r="109" spans="1:10" ht="12.5" x14ac:dyDescent="0.25">
      <c r="A109" s="241"/>
      <c r="B109" s="61" t="s">
        <v>324</v>
      </c>
      <c r="C109" s="24" t="s">
        <v>326</v>
      </c>
      <c r="D109" s="24" t="s">
        <v>337</v>
      </c>
      <c r="E109" s="24" t="s">
        <v>338</v>
      </c>
      <c r="F109" s="244" t="s">
        <v>420</v>
      </c>
      <c r="G109" s="68" t="s">
        <v>351</v>
      </c>
      <c r="H109" s="68" t="s">
        <v>346</v>
      </c>
      <c r="I109" s="70">
        <v>60133</v>
      </c>
      <c r="J109" s="24">
        <v>5</v>
      </c>
    </row>
    <row r="110" spans="1:10" ht="12.5" x14ac:dyDescent="0.25">
      <c r="A110" s="241"/>
      <c r="B110" s="61" t="s">
        <v>324</v>
      </c>
      <c r="C110" s="24" t="s">
        <v>326</v>
      </c>
      <c r="D110" s="24" t="s">
        <v>337</v>
      </c>
      <c r="E110" s="24" t="s">
        <v>338</v>
      </c>
      <c r="F110" s="244" t="s">
        <v>430</v>
      </c>
      <c r="G110" s="68" t="s">
        <v>351</v>
      </c>
      <c r="H110" s="68" t="s">
        <v>347</v>
      </c>
      <c r="I110" s="70">
        <v>60133</v>
      </c>
      <c r="J110" s="24">
        <v>7</v>
      </c>
    </row>
    <row r="111" spans="1:10" ht="12.5" x14ac:dyDescent="0.25">
      <c r="A111" s="241"/>
      <c r="B111" s="61" t="s">
        <v>324</v>
      </c>
      <c r="C111" s="24" t="s">
        <v>326</v>
      </c>
      <c r="D111" s="24" t="s">
        <v>337</v>
      </c>
      <c r="E111" s="24" t="s">
        <v>338</v>
      </c>
      <c r="F111" s="245" t="s">
        <v>433</v>
      </c>
      <c r="G111" s="68" t="s">
        <v>353</v>
      </c>
      <c r="H111" s="68" t="s">
        <v>346</v>
      </c>
      <c r="I111" s="70">
        <v>60133</v>
      </c>
      <c r="J111" s="24">
        <v>5</v>
      </c>
    </row>
    <row r="112" spans="1:10" ht="12.5" x14ac:dyDescent="0.25">
      <c r="A112" s="241"/>
      <c r="B112" s="61" t="s">
        <v>324</v>
      </c>
      <c r="C112" s="24" t="s">
        <v>326</v>
      </c>
      <c r="D112" s="24" t="s">
        <v>337</v>
      </c>
      <c r="E112" s="24" t="s">
        <v>338</v>
      </c>
      <c r="F112" s="245" t="s">
        <v>435</v>
      </c>
      <c r="G112" s="68" t="s">
        <v>353</v>
      </c>
      <c r="H112" s="68" t="s">
        <v>347</v>
      </c>
      <c r="I112" s="70">
        <v>60133</v>
      </c>
      <c r="J112" s="24">
        <v>9</v>
      </c>
    </row>
    <row r="113" spans="1:10" ht="12.5" x14ac:dyDescent="0.25">
      <c r="A113" s="246"/>
      <c r="B113" s="24" t="s">
        <v>1489</v>
      </c>
      <c r="C113" s="24" t="s">
        <v>1489</v>
      </c>
      <c r="D113" s="24"/>
      <c r="E113" s="24"/>
      <c r="F113" s="24"/>
      <c r="G113" s="68" t="s">
        <v>1489</v>
      </c>
      <c r="H113" s="68" t="s">
        <v>1489</v>
      </c>
      <c r="I113" s="70"/>
    </row>
    <row r="114" spans="1:10" ht="12.5" x14ac:dyDescent="0.25">
      <c r="A114" s="241">
        <v>18</v>
      </c>
      <c r="B114" s="61" t="s">
        <v>324</v>
      </c>
      <c r="C114" s="24" t="s">
        <v>326</v>
      </c>
      <c r="D114" s="24" t="s">
        <v>337</v>
      </c>
      <c r="E114" s="24" t="s">
        <v>338</v>
      </c>
      <c r="F114" s="242" t="s">
        <v>398</v>
      </c>
      <c r="G114" s="68" t="s">
        <v>349</v>
      </c>
      <c r="H114" s="68" t="s">
        <v>346</v>
      </c>
      <c r="I114" s="70">
        <v>60136</v>
      </c>
      <c r="J114" s="24">
        <v>0</v>
      </c>
    </row>
    <row r="115" spans="1:10" ht="12.5" x14ac:dyDescent="0.25">
      <c r="A115" s="241"/>
      <c r="B115" s="61" t="s">
        <v>324</v>
      </c>
      <c r="C115" s="24" t="s">
        <v>326</v>
      </c>
      <c r="D115" s="24" t="s">
        <v>337</v>
      </c>
      <c r="E115" s="24" t="s">
        <v>338</v>
      </c>
      <c r="F115" s="243" t="s">
        <v>409</v>
      </c>
      <c r="G115" s="68" t="s">
        <v>349</v>
      </c>
      <c r="H115" s="68" t="s">
        <v>347</v>
      </c>
      <c r="I115" s="70">
        <v>60136</v>
      </c>
      <c r="J115" s="24">
        <v>1</v>
      </c>
    </row>
    <row r="116" spans="1:10" ht="12.5" x14ac:dyDescent="0.25">
      <c r="A116" s="241"/>
      <c r="B116" s="61" t="s">
        <v>324</v>
      </c>
      <c r="C116" s="24" t="s">
        <v>326</v>
      </c>
      <c r="D116" s="24" t="s">
        <v>337</v>
      </c>
      <c r="E116" s="24" t="s">
        <v>338</v>
      </c>
      <c r="F116" s="244" t="s">
        <v>420</v>
      </c>
      <c r="G116" s="68" t="s">
        <v>351</v>
      </c>
      <c r="H116" s="68" t="s">
        <v>346</v>
      </c>
      <c r="I116" s="70">
        <v>60136</v>
      </c>
      <c r="J116" s="24">
        <v>1</v>
      </c>
    </row>
    <row r="117" spans="1:10" ht="12.5" x14ac:dyDescent="0.25">
      <c r="A117" s="241"/>
      <c r="B117" s="61" t="s">
        <v>324</v>
      </c>
      <c r="C117" s="24" t="s">
        <v>326</v>
      </c>
      <c r="D117" s="24" t="s">
        <v>337</v>
      </c>
      <c r="E117" s="24" t="s">
        <v>338</v>
      </c>
      <c r="F117" s="244" t="s">
        <v>430</v>
      </c>
      <c r="G117" s="68" t="s">
        <v>351</v>
      </c>
      <c r="H117" s="68" t="s">
        <v>347</v>
      </c>
      <c r="I117" s="70">
        <v>60136</v>
      </c>
      <c r="J117" s="24">
        <v>1</v>
      </c>
    </row>
    <row r="118" spans="1:10" ht="12.5" x14ac:dyDescent="0.25">
      <c r="A118" s="241"/>
      <c r="B118" s="61" t="s">
        <v>324</v>
      </c>
      <c r="C118" s="24" t="s">
        <v>326</v>
      </c>
      <c r="D118" s="24" t="s">
        <v>337</v>
      </c>
      <c r="E118" s="24" t="s">
        <v>338</v>
      </c>
      <c r="F118" s="245" t="s">
        <v>433</v>
      </c>
      <c r="G118" s="68" t="s">
        <v>353</v>
      </c>
      <c r="H118" s="68" t="s">
        <v>346</v>
      </c>
      <c r="I118" s="70">
        <v>60136</v>
      </c>
      <c r="J118" s="24">
        <v>1</v>
      </c>
    </row>
    <row r="119" spans="1:10" ht="12.5" x14ac:dyDescent="0.25">
      <c r="A119" s="241"/>
      <c r="B119" s="61" t="s">
        <v>324</v>
      </c>
      <c r="C119" s="24" t="s">
        <v>326</v>
      </c>
      <c r="D119" s="24" t="s">
        <v>337</v>
      </c>
      <c r="E119" s="24" t="s">
        <v>338</v>
      </c>
      <c r="F119" s="245" t="s">
        <v>435</v>
      </c>
      <c r="G119" s="68" t="s">
        <v>353</v>
      </c>
      <c r="H119" s="68" t="s">
        <v>347</v>
      </c>
      <c r="I119" s="70">
        <v>60136</v>
      </c>
      <c r="J119" s="24">
        <v>1</v>
      </c>
    </row>
    <row r="120" spans="1:10" ht="12.5" x14ac:dyDescent="0.25">
      <c r="A120" s="246"/>
      <c r="B120" s="24" t="s">
        <v>1489</v>
      </c>
      <c r="C120" s="24" t="s">
        <v>1489</v>
      </c>
      <c r="D120" s="24"/>
      <c r="E120" s="24"/>
      <c r="F120" s="24"/>
      <c r="G120" s="68" t="s">
        <v>1489</v>
      </c>
      <c r="H120" s="68" t="s">
        <v>1489</v>
      </c>
      <c r="I120" s="70"/>
    </row>
    <row r="121" spans="1:10" ht="12.5" x14ac:dyDescent="0.25">
      <c r="A121" s="241">
        <v>19</v>
      </c>
      <c r="B121" s="61" t="s">
        <v>324</v>
      </c>
      <c r="C121" s="24" t="s">
        <v>326</v>
      </c>
      <c r="D121" s="24" t="s">
        <v>337</v>
      </c>
      <c r="E121" s="24" t="s">
        <v>338</v>
      </c>
      <c r="F121" s="242" t="s">
        <v>398</v>
      </c>
      <c r="G121" s="68" t="s">
        <v>349</v>
      </c>
      <c r="H121" s="68" t="s">
        <v>346</v>
      </c>
      <c r="I121" s="70">
        <v>60181</v>
      </c>
      <c r="J121" s="24">
        <v>1</v>
      </c>
    </row>
    <row r="122" spans="1:10" ht="12.5" x14ac:dyDescent="0.25">
      <c r="A122" s="241"/>
      <c r="B122" s="61" t="s">
        <v>324</v>
      </c>
      <c r="C122" s="24" t="s">
        <v>326</v>
      </c>
      <c r="D122" s="24" t="s">
        <v>337</v>
      </c>
      <c r="E122" s="24" t="s">
        <v>338</v>
      </c>
      <c r="F122" s="243" t="s">
        <v>409</v>
      </c>
      <c r="G122" s="68" t="s">
        <v>349</v>
      </c>
      <c r="H122" s="68" t="s">
        <v>347</v>
      </c>
      <c r="I122" s="70">
        <v>60181</v>
      </c>
      <c r="J122" s="24">
        <v>0</v>
      </c>
    </row>
    <row r="123" spans="1:10" ht="12.5" x14ac:dyDescent="0.25">
      <c r="A123" s="241"/>
      <c r="B123" s="61" t="s">
        <v>324</v>
      </c>
      <c r="C123" s="24" t="s">
        <v>326</v>
      </c>
      <c r="D123" s="24" t="s">
        <v>337</v>
      </c>
      <c r="E123" s="24" t="s">
        <v>338</v>
      </c>
      <c r="F123" s="244" t="s">
        <v>420</v>
      </c>
      <c r="G123" s="68" t="s">
        <v>351</v>
      </c>
      <c r="H123" s="68" t="s">
        <v>346</v>
      </c>
      <c r="I123" s="70">
        <v>60181</v>
      </c>
      <c r="J123" s="24">
        <v>0</v>
      </c>
    </row>
    <row r="124" spans="1:10" ht="12.5" x14ac:dyDescent="0.25">
      <c r="A124" s="241"/>
      <c r="B124" s="61" t="s">
        <v>324</v>
      </c>
      <c r="C124" s="24" t="s">
        <v>326</v>
      </c>
      <c r="D124" s="24" t="s">
        <v>337</v>
      </c>
      <c r="E124" s="24" t="s">
        <v>338</v>
      </c>
      <c r="F124" s="244" t="s">
        <v>430</v>
      </c>
      <c r="G124" s="68" t="s">
        <v>351</v>
      </c>
      <c r="H124" s="68" t="s">
        <v>347</v>
      </c>
      <c r="I124" s="70">
        <v>60181</v>
      </c>
      <c r="J124" s="24">
        <v>0</v>
      </c>
    </row>
    <row r="125" spans="1:10" ht="12.5" x14ac:dyDescent="0.25">
      <c r="A125" s="241"/>
      <c r="B125" s="61" t="s">
        <v>324</v>
      </c>
      <c r="C125" s="24" t="s">
        <v>326</v>
      </c>
      <c r="D125" s="24" t="s">
        <v>337</v>
      </c>
      <c r="E125" s="24" t="s">
        <v>338</v>
      </c>
      <c r="F125" s="245" t="s">
        <v>433</v>
      </c>
      <c r="G125" s="68" t="s">
        <v>353</v>
      </c>
      <c r="H125" s="68" t="s">
        <v>346</v>
      </c>
      <c r="I125" s="70">
        <v>60181</v>
      </c>
      <c r="J125" s="24">
        <v>0</v>
      </c>
    </row>
    <row r="126" spans="1:10" ht="12.5" x14ac:dyDescent="0.25">
      <c r="A126" s="241"/>
      <c r="B126" s="61" t="s">
        <v>324</v>
      </c>
      <c r="C126" s="24" t="s">
        <v>326</v>
      </c>
      <c r="D126" s="24" t="s">
        <v>337</v>
      </c>
      <c r="E126" s="24" t="s">
        <v>338</v>
      </c>
      <c r="F126" s="245" t="s">
        <v>435</v>
      </c>
      <c r="G126" s="68" t="s">
        <v>353</v>
      </c>
      <c r="H126" s="68" t="s">
        <v>347</v>
      </c>
      <c r="I126" s="70">
        <v>60181</v>
      </c>
      <c r="J126" s="24">
        <v>0</v>
      </c>
    </row>
    <row r="127" spans="1:10" ht="12.5" x14ac:dyDescent="0.25">
      <c r="A127" s="246"/>
      <c r="B127" s="24" t="s">
        <v>1489</v>
      </c>
      <c r="C127" s="24" t="s">
        <v>1489</v>
      </c>
      <c r="D127" s="24"/>
      <c r="E127" s="24"/>
      <c r="F127" s="24"/>
      <c r="G127" s="68" t="s">
        <v>1489</v>
      </c>
      <c r="H127" s="68" t="s">
        <v>1489</v>
      </c>
      <c r="I127" s="70"/>
    </row>
    <row r="128" spans="1:10" ht="12.5" x14ac:dyDescent="0.25">
      <c r="A128" s="241">
        <v>20</v>
      </c>
      <c r="B128" s="61" t="s">
        <v>324</v>
      </c>
      <c r="C128" s="24" t="s">
        <v>326</v>
      </c>
      <c r="D128" s="24" t="s">
        <v>337</v>
      </c>
      <c r="E128" s="24" t="s">
        <v>338</v>
      </c>
      <c r="F128" s="242" t="s">
        <v>398</v>
      </c>
      <c r="G128" s="68" t="s">
        <v>349</v>
      </c>
      <c r="H128" s="68" t="s">
        <v>346</v>
      </c>
      <c r="I128" s="70">
        <v>601330</v>
      </c>
      <c r="J128" s="24">
        <v>0</v>
      </c>
    </row>
    <row r="129" spans="1:10" ht="12.5" x14ac:dyDescent="0.25">
      <c r="A129" s="241"/>
      <c r="B129" s="61" t="s">
        <v>324</v>
      </c>
      <c r="C129" s="24" t="s">
        <v>326</v>
      </c>
      <c r="D129" s="24" t="s">
        <v>337</v>
      </c>
      <c r="E129" s="24" t="s">
        <v>338</v>
      </c>
      <c r="F129" s="243" t="s">
        <v>409</v>
      </c>
      <c r="G129" s="68" t="s">
        <v>349</v>
      </c>
      <c r="H129" s="68" t="s">
        <v>347</v>
      </c>
      <c r="I129" s="70">
        <v>601330</v>
      </c>
      <c r="J129" s="24">
        <v>0</v>
      </c>
    </row>
    <row r="130" spans="1:10" ht="12.5" x14ac:dyDescent="0.25">
      <c r="A130" s="241"/>
      <c r="B130" s="61" t="s">
        <v>324</v>
      </c>
      <c r="C130" s="24" t="s">
        <v>326</v>
      </c>
      <c r="D130" s="24" t="s">
        <v>337</v>
      </c>
      <c r="E130" s="24" t="s">
        <v>338</v>
      </c>
      <c r="F130" s="244" t="s">
        <v>420</v>
      </c>
      <c r="G130" s="68" t="s">
        <v>351</v>
      </c>
      <c r="H130" s="68" t="s">
        <v>346</v>
      </c>
      <c r="I130" s="70">
        <v>601330</v>
      </c>
      <c r="J130" s="24">
        <v>0</v>
      </c>
    </row>
    <row r="131" spans="1:10" ht="12.5" x14ac:dyDescent="0.25">
      <c r="A131" s="241"/>
      <c r="B131" s="61" t="s">
        <v>324</v>
      </c>
      <c r="C131" s="24" t="s">
        <v>326</v>
      </c>
      <c r="D131" s="24" t="s">
        <v>337</v>
      </c>
      <c r="E131" s="24" t="s">
        <v>338</v>
      </c>
      <c r="F131" s="244" t="s">
        <v>430</v>
      </c>
      <c r="G131" s="68" t="s">
        <v>351</v>
      </c>
      <c r="H131" s="68" t="s">
        <v>347</v>
      </c>
      <c r="I131" s="70">
        <v>601330</v>
      </c>
      <c r="J131" s="24">
        <v>0</v>
      </c>
    </row>
    <row r="132" spans="1:10" ht="12.5" x14ac:dyDescent="0.25">
      <c r="A132" s="241"/>
      <c r="B132" s="61" t="s">
        <v>324</v>
      </c>
      <c r="C132" s="24" t="s">
        <v>326</v>
      </c>
      <c r="D132" s="24" t="s">
        <v>337</v>
      </c>
      <c r="E132" s="24" t="s">
        <v>338</v>
      </c>
      <c r="F132" s="245" t="s">
        <v>433</v>
      </c>
      <c r="G132" s="68" t="s">
        <v>353</v>
      </c>
      <c r="H132" s="68" t="s">
        <v>346</v>
      </c>
      <c r="I132" s="70">
        <v>601330</v>
      </c>
      <c r="J132" s="24">
        <v>0</v>
      </c>
    </row>
    <row r="133" spans="1:10" ht="12.5" x14ac:dyDescent="0.25">
      <c r="A133" s="241"/>
      <c r="B133" s="61" t="s">
        <v>324</v>
      </c>
      <c r="C133" s="24" t="s">
        <v>326</v>
      </c>
      <c r="D133" s="24" t="s">
        <v>337</v>
      </c>
      <c r="E133" s="24" t="s">
        <v>338</v>
      </c>
      <c r="F133" s="245" t="s">
        <v>435</v>
      </c>
      <c r="G133" s="68" t="s">
        <v>353</v>
      </c>
      <c r="H133" s="68" t="s">
        <v>347</v>
      </c>
      <c r="I133" s="70">
        <v>601330</v>
      </c>
      <c r="J133" s="24">
        <v>0</v>
      </c>
    </row>
    <row r="134" spans="1:10" ht="12.5" x14ac:dyDescent="0.25">
      <c r="A134" s="246"/>
      <c r="B134" s="24" t="s">
        <v>1489</v>
      </c>
      <c r="C134" s="24" t="s">
        <v>1489</v>
      </c>
      <c r="D134" s="24"/>
      <c r="E134" s="24"/>
      <c r="F134" s="24"/>
      <c r="G134" s="68" t="s">
        <v>1489</v>
      </c>
      <c r="H134" s="68" t="s">
        <v>1489</v>
      </c>
      <c r="I134" s="70"/>
    </row>
    <row r="135" spans="1:10" ht="12.5" x14ac:dyDescent="0.25">
      <c r="A135" s="241">
        <v>21</v>
      </c>
      <c r="B135" s="61" t="s">
        <v>324</v>
      </c>
      <c r="C135" s="24" t="s">
        <v>326</v>
      </c>
      <c r="D135" s="24" t="s">
        <v>337</v>
      </c>
      <c r="E135" s="24" t="s">
        <v>338</v>
      </c>
      <c r="F135" s="242" t="s">
        <v>398</v>
      </c>
      <c r="G135" s="68" t="s">
        <v>349</v>
      </c>
      <c r="H135" s="68" t="s">
        <v>346</v>
      </c>
      <c r="I135" s="70">
        <v>601331</v>
      </c>
      <c r="J135" s="24">
        <v>5</v>
      </c>
    </row>
    <row r="136" spans="1:10" ht="12.5" x14ac:dyDescent="0.25">
      <c r="A136" s="241"/>
      <c r="B136" s="61" t="s">
        <v>324</v>
      </c>
      <c r="C136" s="24" t="s">
        <v>326</v>
      </c>
      <c r="D136" s="24" t="s">
        <v>337</v>
      </c>
      <c r="E136" s="24" t="s">
        <v>338</v>
      </c>
      <c r="F136" s="243" t="s">
        <v>409</v>
      </c>
      <c r="G136" s="68" t="s">
        <v>349</v>
      </c>
      <c r="H136" s="68" t="s">
        <v>347</v>
      </c>
      <c r="I136" s="70">
        <v>601331</v>
      </c>
      <c r="J136" s="24">
        <v>4</v>
      </c>
    </row>
    <row r="137" spans="1:10" ht="12.5" x14ac:dyDescent="0.25">
      <c r="A137" s="241"/>
      <c r="B137" s="61" t="s">
        <v>324</v>
      </c>
      <c r="C137" s="24" t="s">
        <v>326</v>
      </c>
      <c r="D137" s="24" t="s">
        <v>337</v>
      </c>
      <c r="E137" s="24" t="s">
        <v>338</v>
      </c>
      <c r="F137" s="244" t="s">
        <v>420</v>
      </c>
      <c r="G137" s="68" t="s">
        <v>351</v>
      </c>
      <c r="H137" s="68" t="s">
        <v>346</v>
      </c>
      <c r="I137" s="70">
        <v>601331</v>
      </c>
      <c r="J137" s="24">
        <v>4</v>
      </c>
    </row>
    <row r="138" spans="1:10" ht="12.5" x14ac:dyDescent="0.25">
      <c r="A138" s="241"/>
      <c r="B138" s="61" t="s">
        <v>324</v>
      </c>
      <c r="C138" s="24" t="s">
        <v>326</v>
      </c>
      <c r="D138" s="24" t="s">
        <v>337</v>
      </c>
      <c r="E138" s="24" t="s">
        <v>338</v>
      </c>
      <c r="F138" s="244" t="s">
        <v>430</v>
      </c>
      <c r="G138" s="68" t="s">
        <v>351</v>
      </c>
      <c r="H138" s="68" t="s">
        <v>347</v>
      </c>
      <c r="I138" s="70">
        <v>601331</v>
      </c>
      <c r="J138" s="24">
        <v>3</v>
      </c>
    </row>
    <row r="139" spans="1:10" ht="12.5" x14ac:dyDescent="0.25">
      <c r="A139" s="241"/>
      <c r="B139" s="61" t="s">
        <v>324</v>
      </c>
      <c r="C139" s="24" t="s">
        <v>326</v>
      </c>
      <c r="D139" s="24" t="s">
        <v>337</v>
      </c>
      <c r="E139" s="24" t="s">
        <v>338</v>
      </c>
      <c r="F139" s="245" t="s">
        <v>433</v>
      </c>
      <c r="G139" s="68" t="s">
        <v>353</v>
      </c>
      <c r="H139" s="68" t="s">
        <v>346</v>
      </c>
      <c r="I139" s="70">
        <v>601331</v>
      </c>
      <c r="J139" s="24">
        <v>4</v>
      </c>
    </row>
    <row r="140" spans="1:10" ht="12.5" x14ac:dyDescent="0.25">
      <c r="A140" s="241"/>
      <c r="B140" s="61" t="s">
        <v>324</v>
      </c>
      <c r="C140" s="24" t="s">
        <v>326</v>
      </c>
      <c r="D140" s="24" t="s">
        <v>337</v>
      </c>
      <c r="E140" s="24" t="s">
        <v>338</v>
      </c>
      <c r="F140" s="245" t="s">
        <v>435</v>
      </c>
      <c r="G140" s="68" t="s">
        <v>353</v>
      </c>
      <c r="H140" s="68" t="s">
        <v>347</v>
      </c>
      <c r="I140" s="70">
        <v>601331</v>
      </c>
      <c r="J140" s="24">
        <v>5</v>
      </c>
    </row>
    <row r="141" spans="1:10" ht="12.5" x14ac:dyDescent="0.25">
      <c r="A141" s="246"/>
      <c r="B141" s="24" t="s">
        <v>1489</v>
      </c>
      <c r="C141" s="24" t="s">
        <v>1489</v>
      </c>
      <c r="D141" s="24"/>
      <c r="E141" s="24"/>
      <c r="F141" s="24"/>
      <c r="G141" s="68" t="s">
        <v>1489</v>
      </c>
      <c r="H141" s="68" t="s">
        <v>1489</v>
      </c>
      <c r="I141" s="70"/>
    </row>
    <row r="142" spans="1:10" ht="12.5" x14ac:dyDescent="0.25">
      <c r="A142" s="241">
        <v>22</v>
      </c>
      <c r="B142" s="61" t="s">
        <v>324</v>
      </c>
      <c r="C142" s="24" t="s">
        <v>326</v>
      </c>
      <c r="D142" s="24" t="s">
        <v>337</v>
      </c>
      <c r="E142" s="24" t="s">
        <v>338</v>
      </c>
      <c r="F142" s="242" t="s">
        <v>398</v>
      </c>
      <c r="G142" s="68" t="s">
        <v>349</v>
      </c>
      <c r="H142" s="68" t="s">
        <v>346</v>
      </c>
      <c r="I142" s="70">
        <v>601391</v>
      </c>
      <c r="J142" s="24">
        <v>0</v>
      </c>
    </row>
    <row r="143" spans="1:10" ht="12.5" x14ac:dyDescent="0.25">
      <c r="A143" s="241"/>
      <c r="B143" s="61" t="s">
        <v>324</v>
      </c>
      <c r="C143" s="24" t="s">
        <v>326</v>
      </c>
      <c r="D143" s="24" t="s">
        <v>337</v>
      </c>
      <c r="E143" s="24" t="s">
        <v>338</v>
      </c>
      <c r="F143" s="243" t="s">
        <v>409</v>
      </c>
      <c r="G143" s="68" t="s">
        <v>349</v>
      </c>
      <c r="H143" s="68" t="s">
        <v>347</v>
      </c>
      <c r="I143" s="70">
        <v>601391</v>
      </c>
      <c r="J143" s="24">
        <v>1</v>
      </c>
    </row>
    <row r="144" spans="1:10" ht="12.5" x14ac:dyDescent="0.25">
      <c r="A144" s="241"/>
      <c r="B144" s="61" t="s">
        <v>324</v>
      </c>
      <c r="C144" s="24" t="s">
        <v>326</v>
      </c>
      <c r="D144" s="24" t="s">
        <v>337</v>
      </c>
      <c r="E144" s="24" t="s">
        <v>338</v>
      </c>
      <c r="F144" s="244" t="s">
        <v>420</v>
      </c>
      <c r="G144" s="68" t="s">
        <v>351</v>
      </c>
      <c r="H144" s="68" t="s">
        <v>346</v>
      </c>
      <c r="I144" s="70">
        <v>601391</v>
      </c>
      <c r="J144" s="24">
        <v>0</v>
      </c>
    </row>
    <row r="145" spans="1:10" ht="12.5" x14ac:dyDescent="0.25">
      <c r="A145" s="241"/>
      <c r="B145" s="61" t="s">
        <v>324</v>
      </c>
      <c r="C145" s="24" t="s">
        <v>326</v>
      </c>
      <c r="D145" s="24" t="s">
        <v>337</v>
      </c>
      <c r="E145" s="24" t="s">
        <v>338</v>
      </c>
      <c r="F145" s="244" t="s">
        <v>430</v>
      </c>
      <c r="G145" s="68" t="s">
        <v>351</v>
      </c>
      <c r="H145" s="68" t="s">
        <v>347</v>
      </c>
      <c r="I145" s="70">
        <v>601391</v>
      </c>
      <c r="J145" s="24">
        <v>0</v>
      </c>
    </row>
    <row r="146" spans="1:10" ht="12.5" x14ac:dyDescent="0.25">
      <c r="A146" s="241"/>
      <c r="B146" s="61" t="s">
        <v>324</v>
      </c>
      <c r="C146" s="24" t="s">
        <v>326</v>
      </c>
      <c r="D146" s="24" t="s">
        <v>337</v>
      </c>
      <c r="E146" s="24" t="s">
        <v>338</v>
      </c>
      <c r="F146" s="245" t="s">
        <v>433</v>
      </c>
      <c r="G146" s="68" t="s">
        <v>353</v>
      </c>
      <c r="H146" s="68" t="s">
        <v>346</v>
      </c>
      <c r="I146" s="70">
        <v>601391</v>
      </c>
      <c r="J146" s="24">
        <v>1</v>
      </c>
    </row>
    <row r="147" spans="1:10" ht="12.5" x14ac:dyDescent="0.25">
      <c r="A147" s="241"/>
      <c r="B147" s="61" t="s">
        <v>324</v>
      </c>
      <c r="C147" s="24" t="s">
        <v>326</v>
      </c>
      <c r="D147" s="24" t="s">
        <v>337</v>
      </c>
      <c r="E147" s="24" t="s">
        <v>338</v>
      </c>
      <c r="F147" s="245" t="s">
        <v>435</v>
      </c>
      <c r="G147" s="68" t="s">
        <v>353</v>
      </c>
      <c r="H147" s="68" t="s">
        <v>347</v>
      </c>
      <c r="I147" s="70">
        <v>601391</v>
      </c>
      <c r="J147" s="24">
        <v>0</v>
      </c>
    </row>
    <row r="148" spans="1:10" ht="12.5" x14ac:dyDescent="0.25">
      <c r="A148" s="246"/>
      <c r="B148" s="24" t="s">
        <v>1489</v>
      </c>
      <c r="C148" s="24" t="s">
        <v>1489</v>
      </c>
      <c r="D148" s="24"/>
      <c r="E148" s="24"/>
      <c r="F148" s="24"/>
      <c r="G148" s="68" t="s">
        <v>1489</v>
      </c>
      <c r="H148" s="68" t="s">
        <v>1489</v>
      </c>
      <c r="I148" s="70"/>
    </row>
    <row r="149" spans="1:10" ht="12.5" x14ac:dyDescent="0.25">
      <c r="A149" s="241">
        <v>23</v>
      </c>
      <c r="B149" s="61" t="s">
        <v>324</v>
      </c>
      <c r="C149" s="24" t="s">
        <v>326</v>
      </c>
      <c r="D149" s="24" t="s">
        <v>337</v>
      </c>
      <c r="E149" s="24" t="s">
        <v>338</v>
      </c>
      <c r="F149" s="242" t="s">
        <v>398</v>
      </c>
      <c r="G149" s="68" t="s">
        <v>349</v>
      </c>
      <c r="H149" s="68" t="s">
        <v>346</v>
      </c>
      <c r="I149" s="70">
        <v>601444</v>
      </c>
      <c r="J149" s="24">
        <v>1</v>
      </c>
    </row>
    <row r="150" spans="1:10" ht="12.5" x14ac:dyDescent="0.25">
      <c r="A150" s="241"/>
      <c r="B150" s="61" t="s">
        <v>324</v>
      </c>
      <c r="C150" s="24" t="s">
        <v>326</v>
      </c>
      <c r="D150" s="24" t="s">
        <v>337</v>
      </c>
      <c r="E150" s="24" t="s">
        <v>338</v>
      </c>
      <c r="F150" s="243" t="s">
        <v>409</v>
      </c>
      <c r="G150" s="68" t="s">
        <v>349</v>
      </c>
      <c r="H150" s="68" t="s">
        <v>347</v>
      </c>
      <c r="I150" s="70">
        <v>601444</v>
      </c>
      <c r="J150" s="24">
        <v>1</v>
      </c>
    </row>
    <row r="151" spans="1:10" ht="12.5" x14ac:dyDescent="0.25">
      <c r="A151" s="241"/>
      <c r="B151" s="61" t="s">
        <v>324</v>
      </c>
      <c r="C151" s="24" t="s">
        <v>326</v>
      </c>
      <c r="D151" s="24" t="s">
        <v>337</v>
      </c>
      <c r="E151" s="24" t="s">
        <v>338</v>
      </c>
      <c r="F151" s="244" t="s">
        <v>420</v>
      </c>
      <c r="G151" s="68" t="s">
        <v>351</v>
      </c>
      <c r="H151" s="68" t="s">
        <v>346</v>
      </c>
      <c r="I151" s="70">
        <v>601444</v>
      </c>
      <c r="J151" s="24">
        <v>1</v>
      </c>
    </row>
    <row r="152" spans="1:10" ht="12.5" x14ac:dyDescent="0.25">
      <c r="A152" s="241"/>
      <c r="B152" s="61" t="s">
        <v>324</v>
      </c>
      <c r="C152" s="24" t="s">
        <v>326</v>
      </c>
      <c r="D152" s="24" t="s">
        <v>337</v>
      </c>
      <c r="E152" s="24" t="s">
        <v>338</v>
      </c>
      <c r="F152" s="244" t="s">
        <v>430</v>
      </c>
      <c r="G152" s="68" t="s">
        <v>351</v>
      </c>
      <c r="H152" s="68" t="s">
        <v>347</v>
      </c>
      <c r="I152" s="70">
        <v>601444</v>
      </c>
      <c r="J152" s="24">
        <v>1</v>
      </c>
    </row>
    <row r="153" spans="1:10" ht="12.5" x14ac:dyDescent="0.25">
      <c r="A153" s="241"/>
      <c r="B153" s="61" t="s">
        <v>324</v>
      </c>
      <c r="C153" s="24" t="s">
        <v>326</v>
      </c>
      <c r="D153" s="24" t="s">
        <v>337</v>
      </c>
      <c r="E153" s="24" t="s">
        <v>338</v>
      </c>
      <c r="F153" s="245" t="s">
        <v>433</v>
      </c>
      <c r="G153" s="68" t="s">
        <v>353</v>
      </c>
      <c r="H153" s="68" t="s">
        <v>346</v>
      </c>
      <c r="I153" s="70">
        <v>601444</v>
      </c>
      <c r="J153" s="24">
        <v>1</v>
      </c>
    </row>
    <row r="154" spans="1:10" ht="12.5" x14ac:dyDescent="0.25">
      <c r="A154" s="241"/>
      <c r="B154" s="61" t="s">
        <v>324</v>
      </c>
      <c r="C154" s="24" t="s">
        <v>326</v>
      </c>
      <c r="D154" s="24" t="s">
        <v>337</v>
      </c>
      <c r="E154" s="24" t="s">
        <v>338</v>
      </c>
      <c r="F154" s="245" t="s">
        <v>435</v>
      </c>
      <c r="G154" s="68" t="s">
        <v>353</v>
      </c>
      <c r="H154" s="68" t="s">
        <v>347</v>
      </c>
      <c r="I154" s="70">
        <v>601444</v>
      </c>
      <c r="J154" s="24">
        <v>0</v>
      </c>
    </row>
    <row r="155" spans="1:10" ht="12.5" x14ac:dyDescent="0.25">
      <c r="A155" s="246"/>
      <c r="B155" s="24" t="s">
        <v>1489</v>
      </c>
      <c r="C155" s="24" t="s">
        <v>1489</v>
      </c>
      <c r="D155" s="24"/>
      <c r="E155" s="24"/>
      <c r="F155" s="24"/>
      <c r="G155" s="68" t="s">
        <v>1489</v>
      </c>
      <c r="H155" s="68" t="s">
        <v>1489</v>
      </c>
      <c r="I155" s="70"/>
    </row>
    <row r="156" spans="1:10" ht="12.5" x14ac:dyDescent="0.25">
      <c r="A156" s="241">
        <v>24</v>
      </c>
      <c r="B156" s="61" t="s">
        <v>324</v>
      </c>
      <c r="C156" s="24" t="s">
        <v>326</v>
      </c>
      <c r="D156" s="24" t="s">
        <v>337</v>
      </c>
      <c r="E156" s="24" t="s">
        <v>338</v>
      </c>
      <c r="F156" s="242" t="s">
        <v>398</v>
      </c>
      <c r="G156" s="68" t="s">
        <v>349</v>
      </c>
      <c r="H156" s="68" t="s">
        <v>346</v>
      </c>
      <c r="I156" s="70">
        <v>601448</v>
      </c>
      <c r="J156" s="24">
        <v>2</v>
      </c>
    </row>
    <row r="157" spans="1:10" ht="12.5" x14ac:dyDescent="0.25">
      <c r="A157" s="241"/>
      <c r="B157" s="61" t="s">
        <v>324</v>
      </c>
      <c r="C157" s="24" t="s">
        <v>326</v>
      </c>
      <c r="D157" s="24" t="s">
        <v>337</v>
      </c>
      <c r="E157" s="24" t="s">
        <v>338</v>
      </c>
      <c r="F157" s="243" t="s">
        <v>409</v>
      </c>
      <c r="G157" s="68" t="s">
        <v>349</v>
      </c>
      <c r="H157" s="68" t="s">
        <v>347</v>
      </c>
      <c r="I157" s="70">
        <v>601448</v>
      </c>
      <c r="J157" s="24">
        <v>1</v>
      </c>
    </row>
    <row r="158" spans="1:10" ht="12.5" x14ac:dyDescent="0.25">
      <c r="A158" s="241"/>
      <c r="B158" s="61" t="s">
        <v>324</v>
      </c>
      <c r="C158" s="24" t="s">
        <v>326</v>
      </c>
      <c r="D158" s="24" t="s">
        <v>337</v>
      </c>
      <c r="E158" s="24" t="s">
        <v>338</v>
      </c>
      <c r="F158" s="244" t="s">
        <v>420</v>
      </c>
      <c r="G158" s="68" t="s">
        <v>351</v>
      </c>
      <c r="H158" s="68" t="s">
        <v>346</v>
      </c>
      <c r="I158" s="70">
        <v>601448</v>
      </c>
      <c r="J158" s="24">
        <v>1</v>
      </c>
    </row>
    <row r="159" spans="1:10" ht="12.5" x14ac:dyDescent="0.25">
      <c r="A159" s="241"/>
      <c r="B159" s="61" t="s">
        <v>324</v>
      </c>
      <c r="C159" s="24" t="s">
        <v>326</v>
      </c>
      <c r="D159" s="24" t="s">
        <v>337</v>
      </c>
      <c r="E159" s="24" t="s">
        <v>338</v>
      </c>
      <c r="F159" s="244" t="s">
        <v>430</v>
      </c>
      <c r="G159" s="68" t="s">
        <v>351</v>
      </c>
      <c r="H159" s="68" t="s">
        <v>347</v>
      </c>
      <c r="I159" s="70">
        <v>601448</v>
      </c>
      <c r="J159" s="24">
        <v>1</v>
      </c>
    </row>
    <row r="160" spans="1:10" ht="12.5" x14ac:dyDescent="0.25">
      <c r="A160" s="241"/>
      <c r="B160" s="61" t="s">
        <v>324</v>
      </c>
      <c r="C160" s="24" t="s">
        <v>326</v>
      </c>
      <c r="D160" s="24" t="s">
        <v>337</v>
      </c>
      <c r="E160" s="24" t="s">
        <v>338</v>
      </c>
      <c r="F160" s="245" t="s">
        <v>433</v>
      </c>
      <c r="G160" s="68" t="s">
        <v>353</v>
      </c>
      <c r="H160" s="68" t="s">
        <v>346</v>
      </c>
      <c r="I160" s="70">
        <v>601448</v>
      </c>
      <c r="J160" s="24">
        <v>1</v>
      </c>
    </row>
    <row r="161" spans="1:10" ht="12.5" x14ac:dyDescent="0.25">
      <c r="A161" s="241"/>
      <c r="B161" s="61" t="s">
        <v>324</v>
      </c>
      <c r="C161" s="24" t="s">
        <v>326</v>
      </c>
      <c r="D161" s="24" t="s">
        <v>337</v>
      </c>
      <c r="E161" s="24" t="s">
        <v>338</v>
      </c>
      <c r="F161" s="245" t="s">
        <v>435</v>
      </c>
      <c r="G161" s="68" t="s">
        <v>353</v>
      </c>
      <c r="H161" s="68" t="s">
        <v>347</v>
      </c>
      <c r="I161" s="70">
        <v>601448</v>
      </c>
      <c r="J161" s="24">
        <v>1</v>
      </c>
    </row>
    <row r="162" spans="1:10" ht="12.5" x14ac:dyDescent="0.25">
      <c r="A162" s="246"/>
      <c r="B162" s="24" t="s">
        <v>1489</v>
      </c>
      <c r="C162" s="24" t="s">
        <v>1489</v>
      </c>
      <c r="D162" s="24"/>
      <c r="E162" s="24"/>
      <c r="F162" s="24"/>
      <c r="G162" s="68" t="s">
        <v>1489</v>
      </c>
      <c r="H162" s="68" t="s">
        <v>1489</v>
      </c>
      <c r="I162" s="70"/>
    </row>
    <row r="163" spans="1:10" ht="12.5" x14ac:dyDescent="0.25">
      <c r="A163" s="241">
        <v>25</v>
      </c>
      <c r="B163" s="61" t="s">
        <v>324</v>
      </c>
      <c r="C163" s="24" t="s">
        <v>326</v>
      </c>
      <c r="D163" s="24" t="s">
        <v>337</v>
      </c>
      <c r="E163" s="24" t="s">
        <v>338</v>
      </c>
      <c r="F163" s="242" t="s">
        <v>398</v>
      </c>
      <c r="G163" s="68" t="s">
        <v>349</v>
      </c>
      <c r="H163" s="68" t="s">
        <v>346</v>
      </c>
      <c r="I163" s="70">
        <v>601511</v>
      </c>
      <c r="J163" s="24">
        <v>0</v>
      </c>
    </row>
    <row r="164" spans="1:10" ht="12.5" x14ac:dyDescent="0.25">
      <c r="A164" s="241"/>
      <c r="B164" s="61" t="s">
        <v>324</v>
      </c>
      <c r="C164" s="24" t="s">
        <v>326</v>
      </c>
      <c r="D164" s="24" t="s">
        <v>337</v>
      </c>
      <c r="E164" s="24" t="s">
        <v>338</v>
      </c>
      <c r="F164" s="243" t="s">
        <v>409</v>
      </c>
      <c r="G164" s="68" t="s">
        <v>349</v>
      </c>
      <c r="H164" s="68" t="s">
        <v>347</v>
      </c>
      <c r="I164" s="70">
        <v>601511</v>
      </c>
      <c r="J164" s="24">
        <v>0</v>
      </c>
    </row>
    <row r="165" spans="1:10" ht="12.5" x14ac:dyDescent="0.25">
      <c r="A165" s="241"/>
      <c r="B165" s="61" t="s">
        <v>324</v>
      </c>
      <c r="C165" s="24" t="s">
        <v>326</v>
      </c>
      <c r="D165" s="24" t="s">
        <v>337</v>
      </c>
      <c r="E165" s="24" t="s">
        <v>338</v>
      </c>
      <c r="F165" s="244" t="s">
        <v>420</v>
      </c>
      <c r="G165" s="68" t="s">
        <v>351</v>
      </c>
      <c r="H165" s="68" t="s">
        <v>346</v>
      </c>
      <c r="I165" s="70">
        <v>601511</v>
      </c>
      <c r="J165" s="24">
        <v>0</v>
      </c>
    </row>
    <row r="166" spans="1:10" ht="12.5" x14ac:dyDescent="0.25">
      <c r="A166" s="241"/>
      <c r="B166" s="61" t="s">
        <v>324</v>
      </c>
      <c r="C166" s="24" t="s">
        <v>326</v>
      </c>
      <c r="D166" s="24" t="s">
        <v>337</v>
      </c>
      <c r="E166" s="24" t="s">
        <v>338</v>
      </c>
      <c r="F166" s="244" t="s">
        <v>430</v>
      </c>
      <c r="G166" s="68" t="s">
        <v>351</v>
      </c>
      <c r="H166" s="68" t="s">
        <v>347</v>
      </c>
      <c r="I166" s="70">
        <v>601511</v>
      </c>
      <c r="J166" s="24">
        <v>1</v>
      </c>
    </row>
    <row r="167" spans="1:10" ht="12.5" x14ac:dyDescent="0.25">
      <c r="A167" s="241"/>
      <c r="B167" s="61" t="s">
        <v>324</v>
      </c>
      <c r="C167" s="24" t="s">
        <v>326</v>
      </c>
      <c r="D167" s="24" t="s">
        <v>337</v>
      </c>
      <c r="E167" s="24" t="s">
        <v>338</v>
      </c>
      <c r="F167" s="245" t="s">
        <v>433</v>
      </c>
      <c r="G167" s="68" t="s">
        <v>353</v>
      </c>
      <c r="H167" s="68" t="s">
        <v>346</v>
      </c>
      <c r="I167" s="70">
        <v>601511</v>
      </c>
      <c r="J167" s="24">
        <v>1</v>
      </c>
    </row>
    <row r="168" spans="1:10" ht="12.5" x14ac:dyDescent="0.25">
      <c r="A168" s="241"/>
      <c r="B168" s="61" t="s">
        <v>324</v>
      </c>
      <c r="C168" s="24" t="s">
        <v>326</v>
      </c>
      <c r="D168" s="24" t="s">
        <v>337</v>
      </c>
      <c r="E168" s="24" t="s">
        <v>338</v>
      </c>
      <c r="F168" s="245" t="s">
        <v>435</v>
      </c>
      <c r="G168" s="68" t="s">
        <v>353</v>
      </c>
      <c r="H168" s="68" t="s">
        <v>347</v>
      </c>
      <c r="I168" s="70">
        <v>601511</v>
      </c>
      <c r="J168" s="24">
        <v>0</v>
      </c>
    </row>
    <row r="169" spans="1:10" ht="12.5" x14ac:dyDescent="0.25">
      <c r="A169" s="246"/>
      <c r="B169" s="24" t="s">
        <v>1489</v>
      </c>
      <c r="C169" s="24" t="s">
        <v>1489</v>
      </c>
      <c r="D169" s="24"/>
      <c r="E169" s="24"/>
      <c r="F169" s="24"/>
      <c r="G169" s="68" t="s">
        <v>1489</v>
      </c>
      <c r="H169" s="68" t="s">
        <v>1489</v>
      </c>
      <c r="I169" s="70"/>
    </row>
    <row r="170" spans="1:10" ht="12.5" x14ac:dyDescent="0.25">
      <c r="A170" s="241">
        <v>26</v>
      </c>
      <c r="B170" s="61" t="s">
        <v>324</v>
      </c>
      <c r="C170" s="24" t="s">
        <v>326</v>
      </c>
      <c r="D170" s="24" t="s">
        <v>337</v>
      </c>
      <c r="E170" s="24" t="s">
        <v>338</v>
      </c>
      <c r="F170" s="242" t="s">
        <v>398</v>
      </c>
      <c r="G170" s="68" t="s">
        <v>349</v>
      </c>
      <c r="H170" s="68" t="s">
        <v>346</v>
      </c>
      <c r="I170" s="70">
        <v>601514</v>
      </c>
      <c r="J170" s="24">
        <v>0</v>
      </c>
    </row>
    <row r="171" spans="1:10" ht="12.5" x14ac:dyDescent="0.25">
      <c r="A171" s="241"/>
      <c r="B171" s="61" t="s">
        <v>324</v>
      </c>
      <c r="C171" s="24" t="s">
        <v>326</v>
      </c>
      <c r="D171" s="24" t="s">
        <v>337</v>
      </c>
      <c r="E171" s="24" t="s">
        <v>338</v>
      </c>
      <c r="F171" s="243" t="s">
        <v>409</v>
      </c>
      <c r="G171" s="68" t="s">
        <v>349</v>
      </c>
      <c r="H171" s="68" t="s">
        <v>347</v>
      </c>
      <c r="I171" s="70">
        <v>601514</v>
      </c>
      <c r="J171" s="24">
        <v>1</v>
      </c>
    </row>
    <row r="172" spans="1:10" ht="12.5" x14ac:dyDescent="0.25">
      <c r="A172" s="241"/>
      <c r="B172" s="61" t="s">
        <v>324</v>
      </c>
      <c r="C172" s="24" t="s">
        <v>326</v>
      </c>
      <c r="D172" s="24" t="s">
        <v>337</v>
      </c>
      <c r="E172" s="24" t="s">
        <v>338</v>
      </c>
      <c r="F172" s="244" t="s">
        <v>420</v>
      </c>
      <c r="G172" s="68" t="s">
        <v>351</v>
      </c>
      <c r="H172" s="68" t="s">
        <v>346</v>
      </c>
      <c r="I172" s="70">
        <v>601514</v>
      </c>
      <c r="J172" s="24">
        <v>0</v>
      </c>
    </row>
    <row r="173" spans="1:10" ht="12.5" x14ac:dyDescent="0.25">
      <c r="A173" s="241"/>
      <c r="B173" s="61" t="s">
        <v>324</v>
      </c>
      <c r="C173" s="24" t="s">
        <v>326</v>
      </c>
      <c r="D173" s="24" t="s">
        <v>337</v>
      </c>
      <c r="E173" s="24" t="s">
        <v>338</v>
      </c>
      <c r="F173" s="244" t="s">
        <v>430</v>
      </c>
      <c r="G173" s="68" t="s">
        <v>351</v>
      </c>
      <c r="H173" s="68" t="s">
        <v>347</v>
      </c>
      <c r="I173" s="70">
        <v>601514</v>
      </c>
      <c r="J173" s="24">
        <v>1</v>
      </c>
    </row>
    <row r="174" spans="1:10" ht="12.5" x14ac:dyDescent="0.25">
      <c r="A174" s="241"/>
      <c r="B174" s="61" t="s">
        <v>324</v>
      </c>
      <c r="C174" s="24" t="s">
        <v>326</v>
      </c>
      <c r="D174" s="24" t="s">
        <v>337</v>
      </c>
      <c r="E174" s="24" t="s">
        <v>338</v>
      </c>
      <c r="F174" s="245" t="s">
        <v>433</v>
      </c>
      <c r="G174" s="68" t="s">
        <v>353</v>
      </c>
      <c r="H174" s="68" t="s">
        <v>346</v>
      </c>
      <c r="I174" s="70">
        <v>601514</v>
      </c>
      <c r="J174" s="24">
        <v>1</v>
      </c>
    </row>
    <row r="175" spans="1:10" ht="12.5" x14ac:dyDescent="0.25">
      <c r="A175" s="241"/>
      <c r="B175" s="61" t="s">
        <v>324</v>
      </c>
      <c r="C175" s="24" t="s">
        <v>326</v>
      </c>
      <c r="D175" s="24" t="s">
        <v>337</v>
      </c>
      <c r="E175" s="24" t="s">
        <v>338</v>
      </c>
      <c r="F175" s="245" t="s">
        <v>435</v>
      </c>
      <c r="G175" s="68" t="s">
        <v>353</v>
      </c>
      <c r="H175" s="68" t="s">
        <v>347</v>
      </c>
      <c r="I175" s="70">
        <v>601514</v>
      </c>
      <c r="J175" s="24">
        <v>1</v>
      </c>
    </row>
    <row r="176" spans="1:10" ht="12.5" x14ac:dyDescent="0.25">
      <c r="A176" s="246"/>
      <c r="B176" s="24" t="s">
        <v>1489</v>
      </c>
      <c r="C176" s="24" t="s">
        <v>1489</v>
      </c>
      <c r="D176" s="24"/>
      <c r="E176" s="24"/>
      <c r="F176" s="24"/>
      <c r="G176" s="68" t="s">
        <v>1489</v>
      </c>
      <c r="H176" s="68" t="s">
        <v>1489</v>
      </c>
      <c r="I176" s="70"/>
    </row>
    <row r="177" spans="1:10" ht="12.5" x14ac:dyDescent="0.25">
      <c r="A177" s="241">
        <v>27</v>
      </c>
      <c r="B177" s="61" t="s">
        <v>324</v>
      </c>
      <c r="C177" s="24" t="s">
        <v>326</v>
      </c>
      <c r="D177" s="24" t="s">
        <v>337</v>
      </c>
      <c r="E177" s="24" t="s">
        <v>338</v>
      </c>
      <c r="F177" s="242" t="s">
        <v>398</v>
      </c>
      <c r="G177" s="68" t="s">
        <v>349</v>
      </c>
      <c r="H177" s="68" t="s">
        <v>346</v>
      </c>
      <c r="I177" s="70">
        <v>601563</v>
      </c>
      <c r="J177" s="24">
        <v>0</v>
      </c>
    </row>
    <row r="178" spans="1:10" ht="12.5" x14ac:dyDescent="0.25">
      <c r="A178" s="241"/>
      <c r="B178" s="61" t="s">
        <v>324</v>
      </c>
      <c r="C178" s="24" t="s">
        <v>326</v>
      </c>
      <c r="D178" s="24" t="s">
        <v>337</v>
      </c>
      <c r="E178" s="24" t="s">
        <v>338</v>
      </c>
      <c r="F178" s="243" t="s">
        <v>409</v>
      </c>
      <c r="G178" s="68" t="s">
        <v>349</v>
      </c>
      <c r="H178" s="68" t="s">
        <v>347</v>
      </c>
      <c r="I178" s="70">
        <v>601563</v>
      </c>
      <c r="J178" s="24">
        <v>1</v>
      </c>
    </row>
    <row r="179" spans="1:10" ht="12.5" x14ac:dyDescent="0.25">
      <c r="A179" s="241"/>
      <c r="B179" s="61" t="s">
        <v>324</v>
      </c>
      <c r="C179" s="24" t="s">
        <v>326</v>
      </c>
      <c r="D179" s="24" t="s">
        <v>337</v>
      </c>
      <c r="E179" s="24" t="s">
        <v>338</v>
      </c>
      <c r="F179" s="244" t="s">
        <v>420</v>
      </c>
      <c r="G179" s="68" t="s">
        <v>351</v>
      </c>
      <c r="H179" s="68" t="s">
        <v>346</v>
      </c>
      <c r="I179" s="70">
        <v>601563</v>
      </c>
      <c r="J179" s="24">
        <v>1</v>
      </c>
    </row>
    <row r="180" spans="1:10" ht="12.5" x14ac:dyDescent="0.25">
      <c r="A180" s="241"/>
      <c r="B180" s="61" t="s">
        <v>324</v>
      </c>
      <c r="C180" s="24" t="s">
        <v>326</v>
      </c>
      <c r="D180" s="24" t="s">
        <v>337</v>
      </c>
      <c r="E180" s="24" t="s">
        <v>338</v>
      </c>
      <c r="F180" s="244" t="s">
        <v>430</v>
      </c>
      <c r="G180" s="68" t="s">
        <v>351</v>
      </c>
      <c r="H180" s="68" t="s">
        <v>347</v>
      </c>
      <c r="I180" s="70">
        <v>601563</v>
      </c>
      <c r="J180" s="24">
        <v>0</v>
      </c>
    </row>
    <row r="181" spans="1:10" ht="12.5" x14ac:dyDescent="0.25">
      <c r="A181" s="241"/>
      <c r="B181" s="61" t="s">
        <v>324</v>
      </c>
      <c r="C181" s="24" t="s">
        <v>326</v>
      </c>
      <c r="D181" s="24" t="s">
        <v>337</v>
      </c>
      <c r="E181" s="24" t="s">
        <v>338</v>
      </c>
      <c r="F181" s="245" t="s">
        <v>433</v>
      </c>
      <c r="G181" s="68" t="s">
        <v>353</v>
      </c>
      <c r="H181" s="68" t="s">
        <v>346</v>
      </c>
      <c r="I181" s="70">
        <v>601563</v>
      </c>
      <c r="J181" s="24">
        <v>1</v>
      </c>
    </row>
    <row r="182" spans="1:10" ht="12.5" x14ac:dyDescent="0.25">
      <c r="A182" s="241"/>
      <c r="B182" s="61" t="s">
        <v>324</v>
      </c>
      <c r="C182" s="24" t="s">
        <v>326</v>
      </c>
      <c r="D182" s="24" t="s">
        <v>337</v>
      </c>
      <c r="E182" s="24" t="s">
        <v>338</v>
      </c>
      <c r="F182" s="245" t="s">
        <v>435</v>
      </c>
      <c r="G182" s="68" t="s">
        <v>353</v>
      </c>
      <c r="H182" s="68" t="s">
        <v>347</v>
      </c>
      <c r="I182" s="70">
        <v>601563</v>
      </c>
      <c r="J182" s="24">
        <v>1</v>
      </c>
    </row>
    <row r="183" spans="1:10" ht="12.5" x14ac:dyDescent="0.25">
      <c r="A183" s="246"/>
      <c r="B183" s="24" t="s">
        <v>1489</v>
      </c>
      <c r="C183" s="24" t="s">
        <v>1489</v>
      </c>
      <c r="D183" s="24"/>
      <c r="E183" s="24"/>
      <c r="F183" s="24"/>
      <c r="G183" s="68" t="s">
        <v>1489</v>
      </c>
      <c r="H183" s="68" t="s">
        <v>1489</v>
      </c>
      <c r="I183" s="70"/>
    </row>
    <row r="184" spans="1:10" ht="12.5" x14ac:dyDescent="0.25">
      <c r="A184" s="241">
        <v>28</v>
      </c>
      <c r="B184" s="61" t="s">
        <v>324</v>
      </c>
      <c r="C184" s="24" t="s">
        <v>326</v>
      </c>
      <c r="D184" s="24" t="s">
        <v>337</v>
      </c>
      <c r="E184" s="24" t="s">
        <v>338</v>
      </c>
      <c r="F184" s="242" t="s">
        <v>398</v>
      </c>
      <c r="G184" s="68" t="s">
        <v>349</v>
      </c>
      <c r="H184" s="68" t="s">
        <v>346</v>
      </c>
      <c r="I184" s="70">
        <v>601570</v>
      </c>
      <c r="J184" s="24">
        <v>0</v>
      </c>
    </row>
    <row r="185" spans="1:10" ht="12.5" x14ac:dyDescent="0.25">
      <c r="A185" s="241"/>
      <c r="B185" s="61" t="s">
        <v>324</v>
      </c>
      <c r="C185" s="24" t="s">
        <v>326</v>
      </c>
      <c r="D185" s="24" t="s">
        <v>337</v>
      </c>
      <c r="E185" s="24" t="s">
        <v>338</v>
      </c>
      <c r="F185" s="243" t="s">
        <v>409</v>
      </c>
      <c r="G185" s="68" t="s">
        <v>349</v>
      </c>
      <c r="H185" s="68" t="s">
        <v>347</v>
      </c>
      <c r="I185" s="70">
        <v>601570</v>
      </c>
      <c r="J185" s="24">
        <v>0</v>
      </c>
    </row>
    <row r="186" spans="1:10" ht="12.5" x14ac:dyDescent="0.25">
      <c r="A186" s="241"/>
      <c r="B186" s="61" t="s">
        <v>324</v>
      </c>
      <c r="C186" s="24" t="s">
        <v>326</v>
      </c>
      <c r="D186" s="24" t="s">
        <v>337</v>
      </c>
      <c r="E186" s="24" t="s">
        <v>338</v>
      </c>
      <c r="F186" s="244" t="s">
        <v>420</v>
      </c>
      <c r="G186" s="68" t="s">
        <v>351</v>
      </c>
      <c r="H186" s="68" t="s">
        <v>346</v>
      </c>
      <c r="I186" s="70">
        <v>601570</v>
      </c>
      <c r="J186" s="24">
        <v>1</v>
      </c>
    </row>
    <row r="187" spans="1:10" ht="12.5" x14ac:dyDescent="0.25">
      <c r="A187" s="241"/>
      <c r="B187" s="61" t="s">
        <v>324</v>
      </c>
      <c r="C187" s="24" t="s">
        <v>326</v>
      </c>
      <c r="D187" s="24" t="s">
        <v>337</v>
      </c>
      <c r="E187" s="24" t="s">
        <v>338</v>
      </c>
      <c r="F187" s="244" t="s">
        <v>430</v>
      </c>
      <c r="G187" s="68" t="s">
        <v>351</v>
      </c>
      <c r="H187" s="68" t="s">
        <v>347</v>
      </c>
      <c r="I187" s="70">
        <v>601570</v>
      </c>
      <c r="J187" s="24">
        <v>1</v>
      </c>
    </row>
    <row r="188" spans="1:10" ht="12.5" x14ac:dyDescent="0.25">
      <c r="A188" s="241"/>
      <c r="B188" s="61" t="s">
        <v>324</v>
      </c>
      <c r="C188" s="24" t="s">
        <v>326</v>
      </c>
      <c r="D188" s="24" t="s">
        <v>337</v>
      </c>
      <c r="E188" s="24" t="s">
        <v>338</v>
      </c>
      <c r="F188" s="245" t="s">
        <v>433</v>
      </c>
      <c r="G188" s="68" t="s">
        <v>353</v>
      </c>
      <c r="H188" s="68" t="s">
        <v>346</v>
      </c>
      <c r="I188" s="70">
        <v>601570</v>
      </c>
      <c r="J188" s="24">
        <v>1</v>
      </c>
    </row>
    <row r="189" spans="1:10" ht="12.5" x14ac:dyDescent="0.25">
      <c r="A189" s="241"/>
      <c r="B189" s="61" t="s">
        <v>324</v>
      </c>
      <c r="C189" s="24" t="s">
        <v>326</v>
      </c>
      <c r="D189" s="24" t="s">
        <v>337</v>
      </c>
      <c r="E189" s="24" t="s">
        <v>338</v>
      </c>
      <c r="F189" s="245" t="s">
        <v>435</v>
      </c>
      <c r="G189" s="68" t="s">
        <v>353</v>
      </c>
      <c r="H189" s="68" t="s">
        <v>347</v>
      </c>
      <c r="I189" s="70">
        <v>601570</v>
      </c>
      <c r="J189" s="24">
        <v>0</v>
      </c>
    </row>
    <row r="190" spans="1:10" ht="12.5" x14ac:dyDescent="0.25">
      <c r="A190" s="246"/>
      <c r="B190" s="24" t="s">
        <v>1489</v>
      </c>
      <c r="C190" s="24" t="s">
        <v>1489</v>
      </c>
      <c r="D190" s="24"/>
      <c r="E190" s="24"/>
      <c r="F190" s="24"/>
      <c r="G190" s="68" t="s">
        <v>1489</v>
      </c>
      <c r="H190" s="68" t="s">
        <v>1489</v>
      </c>
      <c r="I190" s="70"/>
    </row>
    <row r="191" spans="1:10" ht="12.5" x14ac:dyDescent="0.25">
      <c r="A191" s="241">
        <v>29</v>
      </c>
      <c r="B191" s="61" t="s">
        <v>324</v>
      </c>
      <c r="C191" s="24" t="s">
        <v>326</v>
      </c>
      <c r="D191" s="24" t="s">
        <v>337</v>
      </c>
      <c r="E191" s="24" t="s">
        <v>338</v>
      </c>
      <c r="F191" s="242" t="s">
        <v>398</v>
      </c>
      <c r="G191" s="68" t="s">
        <v>349</v>
      </c>
      <c r="H191" s="68" t="s">
        <v>346</v>
      </c>
      <c r="I191" s="70">
        <v>601571</v>
      </c>
      <c r="J191" s="24">
        <v>1</v>
      </c>
    </row>
    <row r="192" spans="1:10" ht="12.5" x14ac:dyDescent="0.25">
      <c r="A192" s="241"/>
      <c r="B192" s="61" t="s">
        <v>324</v>
      </c>
      <c r="C192" s="24" t="s">
        <v>326</v>
      </c>
      <c r="D192" s="24" t="s">
        <v>337</v>
      </c>
      <c r="E192" s="24" t="s">
        <v>338</v>
      </c>
      <c r="F192" s="243" t="s">
        <v>409</v>
      </c>
      <c r="G192" s="68" t="s">
        <v>349</v>
      </c>
      <c r="H192" s="68" t="s">
        <v>347</v>
      </c>
      <c r="I192" s="70">
        <v>601571</v>
      </c>
      <c r="J192" s="24">
        <v>1</v>
      </c>
    </row>
    <row r="193" spans="1:10" ht="12.5" x14ac:dyDescent="0.25">
      <c r="A193" s="241"/>
      <c r="B193" s="61" t="s">
        <v>324</v>
      </c>
      <c r="C193" s="24" t="s">
        <v>326</v>
      </c>
      <c r="D193" s="24" t="s">
        <v>337</v>
      </c>
      <c r="E193" s="24" t="s">
        <v>338</v>
      </c>
      <c r="F193" s="244" t="s">
        <v>420</v>
      </c>
      <c r="G193" s="68" t="s">
        <v>351</v>
      </c>
      <c r="H193" s="68" t="s">
        <v>346</v>
      </c>
      <c r="I193" s="70">
        <v>601571</v>
      </c>
      <c r="J193" s="24">
        <v>1</v>
      </c>
    </row>
    <row r="194" spans="1:10" ht="12.5" x14ac:dyDescent="0.25">
      <c r="A194" s="241"/>
      <c r="B194" s="61" t="s">
        <v>324</v>
      </c>
      <c r="C194" s="24" t="s">
        <v>326</v>
      </c>
      <c r="D194" s="24" t="s">
        <v>337</v>
      </c>
      <c r="E194" s="24" t="s">
        <v>338</v>
      </c>
      <c r="F194" s="244" t="s">
        <v>430</v>
      </c>
      <c r="G194" s="68" t="s">
        <v>351</v>
      </c>
      <c r="H194" s="68" t="s">
        <v>347</v>
      </c>
      <c r="I194" s="70">
        <v>601571</v>
      </c>
      <c r="J194" s="24">
        <v>0</v>
      </c>
    </row>
    <row r="195" spans="1:10" ht="12.5" x14ac:dyDescent="0.25">
      <c r="A195" s="241"/>
      <c r="B195" s="61" t="s">
        <v>324</v>
      </c>
      <c r="C195" s="24" t="s">
        <v>326</v>
      </c>
      <c r="D195" s="24" t="s">
        <v>337</v>
      </c>
      <c r="E195" s="24" t="s">
        <v>338</v>
      </c>
      <c r="F195" s="245" t="s">
        <v>433</v>
      </c>
      <c r="G195" s="68" t="s">
        <v>353</v>
      </c>
      <c r="H195" s="68" t="s">
        <v>346</v>
      </c>
      <c r="I195" s="70">
        <v>601571</v>
      </c>
      <c r="J195" s="24">
        <v>1</v>
      </c>
    </row>
    <row r="196" spans="1:10" ht="12.5" x14ac:dyDescent="0.25">
      <c r="A196" s="241"/>
      <c r="B196" s="61" t="s">
        <v>324</v>
      </c>
      <c r="C196" s="24" t="s">
        <v>326</v>
      </c>
      <c r="D196" s="24" t="s">
        <v>337</v>
      </c>
      <c r="E196" s="24" t="s">
        <v>338</v>
      </c>
      <c r="F196" s="245" t="s">
        <v>435</v>
      </c>
      <c r="G196" s="68" t="s">
        <v>353</v>
      </c>
      <c r="H196" s="68" t="s">
        <v>347</v>
      </c>
      <c r="I196" s="70">
        <v>601571</v>
      </c>
      <c r="J196" s="24">
        <v>0</v>
      </c>
    </row>
    <row r="197" spans="1:10" ht="12.5" x14ac:dyDescent="0.25">
      <c r="A197" s="246"/>
      <c r="B197" s="24" t="s">
        <v>1489</v>
      </c>
      <c r="C197" s="24" t="s">
        <v>1489</v>
      </c>
      <c r="D197" s="24"/>
      <c r="E197" s="24"/>
      <c r="F197" s="24"/>
      <c r="G197" s="68" t="s">
        <v>1489</v>
      </c>
      <c r="H197" s="68" t="s">
        <v>1489</v>
      </c>
      <c r="I197" s="70"/>
    </row>
    <row r="198" spans="1:10" ht="12.5" x14ac:dyDescent="0.25">
      <c r="A198" s="241">
        <v>30</v>
      </c>
      <c r="B198" s="61" t="s">
        <v>324</v>
      </c>
      <c r="C198" s="24" t="s">
        <v>326</v>
      </c>
      <c r="D198" s="24" t="s">
        <v>337</v>
      </c>
      <c r="E198" s="24" t="s">
        <v>338</v>
      </c>
      <c r="F198" s="242" t="s">
        <v>398</v>
      </c>
      <c r="G198" s="68" t="s">
        <v>349</v>
      </c>
      <c r="H198" s="68" t="s">
        <v>346</v>
      </c>
      <c r="I198" s="70">
        <v>601580</v>
      </c>
      <c r="J198" s="24">
        <v>0</v>
      </c>
    </row>
    <row r="199" spans="1:10" ht="12.5" x14ac:dyDescent="0.25">
      <c r="A199" s="241"/>
      <c r="B199" s="61" t="s">
        <v>324</v>
      </c>
      <c r="C199" s="24" t="s">
        <v>326</v>
      </c>
      <c r="D199" s="24" t="s">
        <v>337</v>
      </c>
      <c r="E199" s="24" t="s">
        <v>338</v>
      </c>
      <c r="F199" s="243" t="s">
        <v>409</v>
      </c>
      <c r="G199" s="68" t="s">
        <v>349</v>
      </c>
      <c r="H199" s="68" t="s">
        <v>347</v>
      </c>
      <c r="I199" s="70">
        <v>601580</v>
      </c>
      <c r="J199" s="24">
        <v>0</v>
      </c>
    </row>
    <row r="200" spans="1:10" ht="12.5" x14ac:dyDescent="0.25">
      <c r="A200" s="241"/>
      <c r="B200" s="61" t="s">
        <v>324</v>
      </c>
      <c r="C200" s="24" t="s">
        <v>326</v>
      </c>
      <c r="D200" s="24" t="s">
        <v>337</v>
      </c>
      <c r="E200" s="24" t="s">
        <v>338</v>
      </c>
      <c r="F200" s="244" t="s">
        <v>420</v>
      </c>
      <c r="G200" s="68" t="s">
        <v>351</v>
      </c>
      <c r="H200" s="68" t="s">
        <v>346</v>
      </c>
      <c r="I200" s="70">
        <v>601580</v>
      </c>
      <c r="J200" s="24">
        <v>0</v>
      </c>
    </row>
    <row r="201" spans="1:10" ht="12.5" x14ac:dyDescent="0.25">
      <c r="A201" s="241"/>
      <c r="B201" s="61" t="s">
        <v>324</v>
      </c>
      <c r="C201" s="24" t="s">
        <v>326</v>
      </c>
      <c r="D201" s="24" t="s">
        <v>337</v>
      </c>
      <c r="E201" s="24" t="s">
        <v>338</v>
      </c>
      <c r="F201" s="244" t="s">
        <v>430</v>
      </c>
      <c r="G201" s="68" t="s">
        <v>351</v>
      </c>
      <c r="H201" s="68" t="s">
        <v>347</v>
      </c>
      <c r="I201" s="70">
        <v>601580</v>
      </c>
      <c r="J201" s="24">
        <v>0</v>
      </c>
    </row>
    <row r="202" spans="1:10" ht="12.5" x14ac:dyDescent="0.25">
      <c r="A202" s="241"/>
      <c r="B202" s="61" t="s">
        <v>324</v>
      </c>
      <c r="C202" s="24" t="s">
        <v>326</v>
      </c>
      <c r="D202" s="24" t="s">
        <v>337</v>
      </c>
      <c r="E202" s="24" t="s">
        <v>338</v>
      </c>
      <c r="F202" s="245" t="s">
        <v>433</v>
      </c>
      <c r="G202" s="68" t="s">
        <v>353</v>
      </c>
      <c r="H202" s="68" t="s">
        <v>346</v>
      </c>
      <c r="I202" s="70">
        <v>601580</v>
      </c>
      <c r="J202" s="24">
        <v>1</v>
      </c>
    </row>
    <row r="203" spans="1:10" ht="12.5" x14ac:dyDescent="0.25">
      <c r="A203" s="241"/>
      <c r="B203" s="61" t="s">
        <v>324</v>
      </c>
      <c r="C203" s="24" t="s">
        <v>326</v>
      </c>
      <c r="D203" s="24" t="s">
        <v>337</v>
      </c>
      <c r="E203" s="24" t="s">
        <v>338</v>
      </c>
      <c r="F203" s="245" t="s">
        <v>435</v>
      </c>
      <c r="G203" s="68" t="s">
        <v>353</v>
      </c>
      <c r="H203" s="68" t="s">
        <v>347</v>
      </c>
      <c r="I203" s="70">
        <v>601580</v>
      </c>
      <c r="J203" s="24">
        <v>1</v>
      </c>
    </row>
    <row r="204" spans="1:10" ht="12.5" x14ac:dyDescent="0.25">
      <c r="A204" s="246"/>
      <c r="B204" s="24" t="s">
        <v>1489</v>
      </c>
      <c r="C204" s="24" t="s">
        <v>1489</v>
      </c>
      <c r="D204" s="24"/>
      <c r="E204" s="24"/>
      <c r="F204" s="24"/>
      <c r="G204" s="68" t="s">
        <v>1489</v>
      </c>
      <c r="H204" s="68" t="s">
        <v>1489</v>
      </c>
      <c r="I204" s="70"/>
    </row>
    <row r="205" spans="1:10" ht="12.5" x14ac:dyDescent="0.25">
      <c r="A205" s="241">
        <v>31</v>
      </c>
      <c r="B205" s="61" t="s">
        <v>324</v>
      </c>
      <c r="C205" s="24" t="s">
        <v>326</v>
      </c>
      <c r="D205" s="24" t="s">
        <v>337</v>
      </c>
      <c r="E205" s="24" t="s">
        <v>338</v>
      </c>
      <c r="F205" s="242" t="s">
        <v>398</v>
      </c>
      <c r="G205" s="68" t="s">
        <v>349</v>
      </c>
      <c r="H205" s="68" t="s">
        <v>346</v>
      </c>
      <c r="I205" s="70">
        <v>601614</v>
      </c>
      <c r="J205" s="24">
        <v>1</v>
      </c>
    </row>
    <row r="206" spans="1:10" ht="12.5" x14ac:dyDescent="0.25">
      <c r="A206" s="241"/>
      <c r="B206" s="61" t="s">
        <v>324</v>
      </c>
      <c r="C206" s="24" t="s">
        <v>326</v>
      </c>
      <c r="D206" s="24" t="s">
        <v>337</v>
      </c>
      <c r="E206" s="24" t="s">
        <v>338</v>
      </c>
      <c r="F206" s="243" t="s">
        <v>409</v>
      </c>
      <c r="G206" s="68" t="s">
        <v>349</v>
      </c>
      <c r="H206" s="68" t="s">
        <v>347</v>
      </c>
      <c r="I206" s="70">
        <v>601614</v>
      </c>
      <c r="J206" s="24">
        <v>0</v>
      </c>
    </row>
    <row r="207" spans="1:10" ht="12.5" x14ac:dyDescent="0.25">
      <c r="A207" s="241"/>
      <c r="B207" s="61" t="s">
        <v>324</v>
      </c>
      <c r="C207" s="24" t="s">
        <v>326</v>
      </c>
      <c r="D207" s="24" t="s">
        <v>337</v>
      </c>
      <c r="E207" s="24" t="s">
        <v>338</v>
      </c>
      <c r="F207" s="244" t="s">
        <v>420</v>
      </c>
      <c r="G207" s="68" t="s">
        <v>351</v>
      </c>
      <c r="H207" s="68" t="s">
        <v>346</v>
      </c>
      <c r="I207" s="70">
        <v>601614</v>
      </c>
      <c r="J207" s="24">
        <v>0</v>
      </c>
    </row>
    <row r="208" spans="1:10" ht="12.5" x14ac:dyDescent="0.25">
      <c r="A208" s="241"/>
      <c r="B208" s="61" t="s">
        <v>324</v>
      </c>
      <c r="C208" s="24" t="s">
        <v>326</v>
      </c>
      <c r="D208" s="24" t="s">
        <v>337</v>
      </c>
      <c r="E208" s="24" t="s">
        <v>338</v>
      </c>
      <c r="F208" s="244" t="s">
        <v>430</v>
      </c>
      <c r="G208" s="68" t="s">
        <v>351</v>
      </c>
      <c r="H208" s="68" t="s">
        <v>347</v>
      </c>
      <c r="I208" s="70">
        <v>601614</v>
      </c>
      <c r="J208" s="24">
        <v>1</v>
      </c>
    </row>
    <row r="209" spans="1:10" ht="12.5" x14ac:dyDescent="0.25">
      <c r="A209" s="241"/>
      <c r="B209" s="61" t="s">
        <v>324</v>
      </c>
      <c r="C209" s="24" t="s">
        <v>326</v>
      </c>
      <c r="D209" s="24" t="s">
        <v>337</v>
      </c>
      <c r="E209" s="24" t="s">
        <v>338</v>
      </c>
      <c r="F209" s="245" t="s">
        <v>433</v>
      </c>
      <c r="G209" s="68" t="s">
        <v>353</v>
      </c>
      <c r="H209" s="68" t="s">
        <v>346</v>
      </c>
      <c r="I209" s="70">
        <v>601614</v>
      </c>
      <c r="J209" s="24">
        <v>0</v>
      </c>
    </row>
    <row r="210" spans="1:10" ht="12.5" x14ac:dyDescent="0.25">
      <c r="A210" s="241"/>
      <c r="B210" s="61" t="s">
        <v>324</v>
      </c>
      <c r="C210" s="24" t="s">
        <v>326</v>
      </c>
      <c r="D210" s="24" t="s">
        <v>337</v>
      </c>
      <c r="E210" s="24" t="s">
        <v>338</v>
      </c>
      <c r="F210" s="245" t="s">
        <v>435</v>
      </c>
      <c r="G210" s="68" t="s">
        <v>353</v>
      </c>
      <c r="H210" s="68" t="s">
        <v>347</v>
      </c>
      <c r="I210" s="70">
        <v>601614</v>
      </c>
      <c r="J210" s="24">
        <v>0</v>
      </c>
    </row>
    <row r="211" spans="1:10" ht="12.5" x14ac:dyDescent="0.25">
      <c r="A211" s="246"/>
      <c r="B211" s="24" t="s">
        <v>1489</v>
      </c>
      <c r="C211" s="24" t="s">
        <v>1489</v>
      </c>
      <c r="D211" s="24"/>
      <c r="E211" s="24"/>
      <c r="F211" s="24"/>
      <c r="G211" s="68" t="s">
        <v>1489</v>
      </c>
      <c r="H211" s="68" t="s">
        <v>1489</v>
      </c>
      <c r="I211" s="70"/>
    </row>
    <row r="212" spans="1:10" ht="12.5" x14ac:dyDescent="0.25">
      <c r="A212" s="241">
        <v>32</v>
      </c>
      <c r="B212" s="61" t="s">
        <v>324</v>
      </c>
      <c r="C212" s="24" t="s">
        <v>326</v>
      </c>
      <c r="D212" s="24" t="s">
        <v>337</v>
      </c>
      <c r="E212" s="24" t="s">
        <v>338</v>
      </c>
      <c r="F212" s="242" t="s">
        <v>398</v>
      </c>
      <c r="G212" s="68" t="s">
        <v>349</v>
      </c>
      <c r="H212" s="68" t="s">
        <v>346</v>
      </c>
      <c r="I212" s="70">
        <v>601678</v>
      </c>
      <c r="J212" s="24">
        <v>1</v>
      </c>
    </row>
    <row r="213" spans="1:10" ht="12.5" x14ac:dyDescent="0.25">
      <c r="A213" s="241"/>
      <c r="B213" s="61" t="s">
        <v>324</v>
      </c>
      <c r="C213" s="24" t="s">
        <v>326</v>
      </c>
      <c r="D213" s="24" t="s">
        <v>337</v>
      </c>
      <c r="E213" s="24" t="s">
        <v>338</v>
      </c>
      <c r="F213" s="243" t="s">
        <v>409</v>
      </c>
      <c r="G213" s="68" t="s">
        <v>349</v>
      </c>
      <c r="H213" s="68" t="s">
        <v>347</v>
      </c>
      <c r="I213" s="70">
        <v>601678</v>
      </c>
      <c r="J213" s="24">
        <v>1</v>
      </c>
    </row>
    <row r="214" spans="1:10" ht="12.5" x14ac:dyDescent="0.25">
      <c r="A214" s="241"/>
      <c r="B214" s="61" t="s">
        <v>324</v>
      </c>
      <c r="C214" s="24" t="s">
        <v>326</v>
      </c>
      <c r="D214" s="24" t="s">
        <v>337</v>
      </c>
      <c r="E214" s="24" t="s">
        <v>338</v>
      </c>
      <c r="F214" s="244" t="s">
        <v>420</v>
      </c>
      <c r="G214" s="68" t="s">
        <v>351</v>
      </c>
      <c r="H214" s="68" t="s">
        <v>346</v>
      </c>
      <c r="I214" s="70">
        <v>601678</v>
      </c>
      <c r="J214" s="24">
        <v>1</v>
      </c>
    </row>
    <row r="215" spans="1:10" ht="12.5" x14ac:dyDescent="0.25">
      <c r="A215" s="241"/>
      <c r="B215" s="61" t="s">
        <v>324</v>
      </c>
      <c r="C215" s="24" t="s">
        <v>326</v>
      </c>
      <c r="D215" s="24" t="s">
        <v>337</v>
      </c>
      <c r="E215" s="24" t="s">
        <v>338</v>
      </c>
      <c r="F215" s="244" t="s">
        <v>430</v>
      </c>
      <c r="G215" s="68" t="s">
        <v>351</v>
      </c>
      <c r="H215" s="68" t="s">
        <v>347</v>
      </c>
      <c r="I215" s="70">
        <v>601678</v>
      </c>
      <c r="J215" s="24">
        <v>1</v>
      </c>
    </row>
    <row r="216" spans="1:10" ht="12.5" x14ac:dyDescent="0.25">
      <c r="A216" s="241"/>
      <c r="B216" s="61" t="s">
        <v>324</v>
      </c>
      <c r="C216" s="24" t="s">
        <v>326</v>
      </c>
      <c r="D216" s="24" t="s">
        <v>337</v>
      </c>
      <c r="E216" s="24" t="s">
        <v>338</v>
      </c>
      <c r="F216" s="245" t="s">
        <v>433</v>
      </c>
      <c r="G216" s="68" t="s">
        <v>353</v>
      </c>
      <c r="H216" s="68" t="s">
        <v>346</v>
      </c>
      <c r="I216" s="70">
        <v>601678</v>
      </c>
      <c r="J216" s="24">
        <v>0</v>
      </c>
    </row>
    <row r="217" spans="1:10" ht="12.5" x14ac:dyDescent="0.25">
      <c r="A217" s="241"/>
      <c r="B217" s="61" t="s">
        <v>324</v>
      </c>
      <c r="C217" s="24" t="s">
        <v>326</v>
      </c>
      <c r="D217" s="24" t="s">
        <v>337</v>
      </c>
      <c r="E217" s="24" t="s">
        <v>338</v>
      </c>
      <c r="F217" s="245" t="s">
        <v>435</v>
      </c>
      <c r="G217" s="68" t="s">
        <v>353</v>
      </c>
      <c r="H217" s="68" t="s">
        <v>347</v>
      </c>
      <c r="I217" s="70">
        <v>601678</v>
      </c>
      <c r="J217" s="24">
        <v>0</v>
      </c>
    </row>
    <row r="218" spans="1:10" ht="12.5" x14ac:dyDescent="0.25">
      <c r="A218" s="246"/>
      <c r="B218" s="24" t="s">
        <v>1489</v>
      </c>
      <c r="C218" s="24" t="s">
        <v>1489</v>
      </c>
      <c r="D218" s="24"/>
      <c r="E218" s="24"/>
      <c r="F218" s="24"/>
      <c r="G218" s="68" t="s">
        <v>1489</v>
      </c>
      <c r="H218" s="68" t="s">
        <v>1489</v>
      </c>
      <c r="I218" s="70"/>
    </row>
    <row r="219" spans="1:10" ht="12.5" x14ac:dyDescent="0.25">
      <c r="A219" s="241">
        <v>33</v>
      </c>
      <c r="B219" s="61" t="s">
        <v>324</v>
      </c>
      <c r="C219" s="24" t="s">
        <v>326</v>
      </c>
      <c r="D219" s="24" t="s">
        <v>337</v>
      </c>
      <c r="E219" s="24" t="s">
        <v>338</v>
      </c>
      <c r="F219" s="242" t="s">
        <v>398</v>
      </c>
      <c r="G219" s="68" t="s">
        <v>349</v>
      </c>
      <c r="H219" s="68" t="s">
        <v>346</v>
      </c>
      <c r="I219" s="70">
        <v>6010102</v>
      </c>
      <c r="J219" s="24">
        <v>2</v>
      </c>
    </row>
    <row r="220" spans="1:10" ht="12.5" x14ac:dyDescent="0.25">
      <c r="A220" s="241"/>
      <c r="B220" s="61" t="s">
        <v>324</v>
      </c>
      <c r="C220" s="24" t="s">
        <v>326</v>
      </c>
      <c r="D220" s="24" t="s">
        <v>337</v>
      </c>
      <c r="E220" s="24" t="s">
        <v>338</v>
      </c>
      <c r="F220" s="243" t="s">
        <v>409</v>
      </c>
      <c r="G220" s="68" t="s">
        <v>349</v>
      </c>
      <c r="H220" s="68" t="s">
        <v>347</v>
      </c>
      <c r="I220" s="70">
        <v>6010102</v>
      </c>
      <c r="J220" s="24">
        <v>1</v>
      </c>
    </row>
    <row r="221" spans="1:10" ht="12.5" x14ac:dyDescent="0.25">
      <c r="A221" s="241"/>
      <c r="B221" s="61" t="s">
        <v>324</v>
      </c>
      <c r="C221" s="24" t="s">
        <v>326</v>
      </c>
      <c r="D221" s="24" t="s">
        <v>337</v>
      </c>
      <c r="E221" s="24" t="s">
        <v>338</v>
      </c>
      <c r="F221" s="244" t="s">
        <v>420</v>
      </c>
      <c r="G221" s="68" t="s">
        <v>351</v>
      </c>
      <c r="H221" s="68" t="s">
        <v>346</v>
      </c>
      <c r="I221" s="70">
        <v>6010102</v>
      </c>
      <c r="J221" s="24">
        <v>3</v>
      </c>
    </row>
    <row r="222" spans="1:10" ht="12.5" x14ac:dyDescent="0.25">
      <c r="A222" s="241"/>
      <c r="B222" s="61" t="s">
        <v>324</v>
      </c>
      <c r="C222" s="24" t="s">
        <v>326</v>
      </c>
      <c r="D222" s="24" t="s">
        <v>337</v>
      </c>
      <c r="E222" s="24" t="s">
        <v>338</v>
      </c>
      <c r="F222" s="244" t="s">
        <v>430</v>
      </c>
      <c r="G222" s="68" t="s">
        <v>351</v>
      </c>
      <c r="H222" s="68" t="s">
        <v>347</v>
      </c>
      <c r="I222" s="70">
        <v>6010102</v>
      </c>
      <c r="J222" s="24">
        <v>2</v>
      </c>
    </row>
    <row r="223" spans="1:10" ht="12.5" x14ac:dyDescent="0.25">
      <c r="A223" s="241"/>
      <c r="B223" s="61" t="s">
        <v>324</v>
      </c>
      <c r="C223" s="24" t="s">
        <v>326</v>
      </c>
      <c r="D223" s="24" t="s">
        <v>337</v>
      </c>
      <c r="E223" s="24" t="s">
        <v>338</v>
      </c>
      <c r="F223" s="245" t="s">
        <v>433</v>
      </c>
      <c r="G223" s="68" t="s">
        <v>353</v>
      </c>
      <c r="H223" s="68" t="s">
        <v>346</v>
      </c>
      <c r="I223" s="70">
        <v>6010102</v>
      </c>
      <c r="J223" s="24">
        <v>1</v>
      </c>
    </row>
    <row r="224" spans="1:10" ht="12.5" x14ac:dyDescent="0.25">
      <c r="A224" s="241"/>
      <c r="B224" s="61" t="s">
        <v>324</v>
      </c>
      <c r="C224" s="24" t="s">
        <v>326</v>
      </c>
      <c r="D224" s="24" t="s">
        <v>337</v>
      </c>
      <c r="E224" s="24" t="s">
        <v>338</v>
      </c>
      <c r="F224" s="245" t="s">
        <v>435</v>
      </c>
      <c r="G224" s="68" t="s">
        <v>353</v>
      </c>
      <c r="H224" s="68" t="s">
        <v>347</v>
      </c>
      <c r="I224" s="70">
        <v>6010102</v>
      </c>
      <c r="J224" s="24">
        <v>1</v>
      </c>
    </row>
    <row r="225" spans="1:10" ht="12.5" x14ac:dyDescent="0.25">
      <c r="A225" s="246"/>
      <c r="B225" s="24" t="s">
        <v>1489</v>
      </c>
      <c r="C225" s="24" t="s">
        <v>1489</v>
      </c>
      <c r="D225" s="24"/>
      <c r="E225" s="24"/>
      <c r="F225" s="24"/>
      <c r="G225" s="68" t="s">
        <v>1489</v>
      </c>
      <c r="H225" s="68" t="s">
        <v>1489</v>
      </c>
      <c r="I225" s="70"/>
    </row>
    <row r="226" spans="1:10" ht="12.5" x14ac:dyDescent="0.25">
      <c r="A226" s="241">
        <v>34</v>
      </c>
      <c r="B226" s="61" t="s">
        <v>324</v>
      </c>
      <c r="C226" s="24" t="s">
        <v>326</v>
      </c>
      <c r="D226" s="24" t="s">
        <v>337</v>
      </c>
      <c r="E226" s="24" t="s">
        <v>338</v>
      </c>
      <c r="F226" s="242" t="s">
        <v>398</v>
      </c>
      <c r="G226" s="68" t="s">
        <v>349</v>
      </c>
      <c r="H226" s="68" t="s">
        <v>346</v>
      </c>
      <c r="I226" s="70">
        <v>6010178</v>
      </c>
      <c r="J226" s="24">
        <v>1</v>
      </c>
    </row>
    <row r="227" spans="1:10" ht="12.5" x14ac:dyDescent="0.25">
      <c r="A227" s="241"/>
      <c r="B227" s="61" t="s">
        <v>324</v>
      </c>
      <c r="C227" s="24" t="s">
        <v>326</v>
      </c>
      <c r="D227" s="24" t="s">
        <v>337</v>
      </c>
      <c r="E227" s="24" t="s">
        <v>338</v>
      </c>
      <c r="F227" s="243" t="s">
        <v>409</v>
      </c>
      <c r="G227" s="68" t="s">
        <v>349</v>
      </c>
      <c r="H227" s="68" t="s">
        <v>347</v>
      </c>
      <c r="I227" s="70">
        <v>6010178</v>
      </c>
      <c r="J227" s="24">
        <v>0</v>
      </c>
    </row>
    <row r="228" spans="1:10" ht="12.5" x14ac:dyDescent="0.25">
      <c r="A228" s="241"/>
      <c r="B228" s="61" t="s">
        <v>324</v>
      </c>
      <c r="C228" s="24" t="s">
        <v>326</v>
      </c>
      <c r="D228" s="24" t="s">
        <v>337</v>
      </c>
      <c r="E228" s="24" t="s">
        <v>338</v>
      </c>
      <c r="F228" s="244" t="s">
        <v>420</v>
      </c>
      <c r="G228" s="68" t="s">
        <v>351</v>
      </c>
      <c r="H228" s="68" t="s">
        <v>346</v>
      </c>
      <c r="I228" s="70">
        <v>6010178</v>
      </c>
      <c r="J228" s="24">
        <v>0</v>
      </c>
    </row>
    <row r="229" spans="1:10" ht="12.5" x14ac:dyDescent="0.25">
      <c r="A229" s="241"/>
      <c r="B229" s="61" t="s">
        <v>324</v>
      </c>
      <c r="C229" s="24" t="s">
        <v>326</v>
      </c>
      <c r="D229" s="24" t="s">
        <v>337</v>
      </c>
      <c r="E229" s="24" t="s">
        <v>338</v>
      </c>
      <c r="F229" s="244" t="s">
        <v>430</v>
      </c>
      <c r="G229" s="68" t="s">
        <v>351</v>
      </c>
      <c r="H229" s="68" t="s">
        <v>347</v>
      </c>
      <c r="I229" s="70">
        <v>6010178</v>
      </c>
      <c r="J229" s="24">
        <v>0</v>
      </c>
    </row>
    <row r="230" spans="1:10" ht="12.5" x14ac:dyDescent="0.25">
      <c r="A230" s="241"/>
      <c r="B230" s="61" t="s">
        <v>324</v>
      </c>
      <c r="C230" s="24" t="s">
        <v>326</v>
      </c>
      <c r="D230" s="24" t="s">
        <v>337</v>
      </c>
      <c r="E230" s="24" t="s">
        <v>338</v>
      </c>
      <c r="F230" s="245" t="s">
        <v>433</v>
      </c>
      <c r="G230" s="68" t="s">
        <v>353</v>
      </c>
      <c r="H230" s="68" t="s">
        <v>346</v>
      </c>
      <c r="I230" s="70">
        <v>6010178</v>
      </c>
      <c r="J230" s="24">
        <v>0</v>
      </c>
    </row>
    <row r="231" spans="1:10" ht="12.5" x14ac:dyDescent="0.25">
      <c r="A231" s="241"/>
      <c r="B231" s="61" t="s">
        <v>324</v>
      </c>
      <c r="C231" s="24" t="s">
        <v>326</v>
      </c>
      <c r="D231" s="24" t="s">
        <v>337</v>
      </c>
      <c r="E231" s="24" t="s">
        <v>338</v>
      </c>
      <c r="F231" s="245" t="s">
        <v>435</v>
      </c>
      <c r="G231" s="68" t="s">
        <v>353</v>
      </c>
      <c r="H231" s="68" t="s">
        <v>347</v>
      </c>
      <c r="I231" s="70">
        <v>6010178</v>
      </c>
      <c r="J231" s="24">
        <v>1</v>
      </c>
    </row>
    <row r="232" spans="1:10" ht="12.5" x14ac:dyDescent="0.25">
      <c r="A232" s="246"/>
      <c r="B232" s="24" t="s">
        <v>1489</v>
      </c>
      <c r="C232" s="24" t="s">
        <v>1489</v>
      </c>
      <c r="D232" s="24"/>
      <c r="E232" s="24"/>
      <c r="F232" s="24"/>
      <c r="G232" s="68" t="s">
        <v>1489</v>
      </c>
      <c r="H232" s="68" t="s">
        <v>1489</v>
      </c>
      <c r="I232" s="70"/>
    </row>
    <row r="233" spans="1:10" ht="12.5" x14ac:dyDescent="0.25">
      <c r="A233" s="241">
        <v>35</v>
      </c>
      <c r="B233" s="61" t="s">
        <v>324</v>
      </c>
      <c r="C233" s="24" t="s">
        <v>326</v>
      </c>
      <c r="D233" s="24" t="s">
        <v>337</v>
      </c>
      <c r="E233" s="24" t="s">
        <v>338</v>
      </c>
      <c r="F233" s="242" t="s">
        <v>398</v>
      </c>
      <c r="G233" s="68" t="s">
        <v>349</v>
      </c>
      <c r="H233" s="68" t="s">
        <v>346</v>
      </c>
      <c r="I233" s="70">
        <v>6010231</v>
      </c>
      <c r="J233" s="24">
        <v>5</v>
      </c>
    </row>
    <row r="234" spans="1:10" ht="12.5" x14ac:dyDescent="0.25">
      <c r="A234" s="241"/>
      <c r="B234" s="61" t="s">
        <v>324</v>
      </c>
      <c r="C234" s="24" t="s">
        <v>326</v>
      </c>
      <c r="D234" s="24" t="s">
        <v>337</v>
      </c>
      <c r="E234" s="24" t="s">
        <v>338</v>
      </c>
      <c r="F234" s="243" t="s">
        <v>409</v>
      </c>
      <c r="G234" s="68" t="s">
        <v>349</v>
      </c>
      <c r="H234" s="68" t="s">
        <v>347</v>
      </c>
      <c r="I234" s="70">
        <v>6010231</v>
      </c>
      <c r="J234" s="24">
        <v>5</v>
      </c>
    </row>
    <row r="235" spans="1:10" ht="12.5" x14ac:dyDescent="0.25">
      <c r="A235" s="241"/>
      <c r="B235" s="61" t="s">
        <v>324</v>
      </c>
      <c r="C235" s="24" t="s">
        <v>326</v>
      </c>
      <c r="D235" s="24" t="s">
        <v>337</v>
      </c>
      <c r="E235" s="24" t="s">
        <v>338</v>
      </c>
      <c r="F235" s="244" t="s">
        <v>420</v>
      </c>
      <c r="G235" s="68" t="s">
        <v>351</v>
      </c>
      <c r="H235" s="68" t="s">
        <v>346</v>
      </c>
      <c r="I235" s="70">
        <v>6010231</v>
      </c>
      <c r="J235" s="24">
        <v>7</v>
      </c>
    </row>
    <row r="236" spans="1:10" ht="12.5" x14ac:dyDescent="0.25">
      <c r="A236" s="241"/>
      <c r="B236" s="61" t="s">
        <v>324</v>
      </c>
      <c r="C236" s="24" t="s">
        <v>326</v>
      </c>
      <c r="D236" s="24" t="s">
        <v>337</v>
      </c>
      <c r="E236" s="24" t="s">
        <v>338</v>
      </c>
      <c r="F236" s="244" t="s">
        <v>430</v>
      </c>
      <c r="G236" s="68" t="s">
        <v>351</v>
      </c>
      <c r="H236" s="68" t="s">
        <v>347</v>
      </c>
      <c r="I236" s="70">
        <v>6010231</v>
      </c>
      <c r="J236" s="24">
        <v>8</v>
      </c>
    </row>
    <row r="237" spans="1:10" ht="12.5" x14ac:dyDescent="0.25">
      <c r="A237" s="241"/>
      <c r="B237" s="61" t="s">
        <v>324</v>
      </c>
      <c r="C237" s="24" t="s">
        <v>326</v>
      </c>
      <c r="D237" s="24" t="s">
        <v>337</v>
      </c>
      <c r="E237" s="24" t="s">
        <v>338</v>
      </c>
      <c r="F237" s="245" t="s">
        <v>433</v>
      </c>
      <c r="G237" s="68" t="s">
        <v>353</v>
      </c>
      <c r="H237" s="68" t="s">
        <v>346</v>
      </c>
      <c r="I237" s="70">
        <v>6010231</v>
      </c>
      <c r="J237" s="24">
        <v>5</v>
      </c>
    </row>
    <row r="238" spans="1:10" ht="12.5" x14ac:dyDescent="0.25">
      <c r="A238" s="241"/>
      <c r="B238" s="61" t="s">
        <v>324</v>
      </c>
      <c r="C238" s="24" t="s">
        <v>326</v>
      </c>
      <c r="D238" s="24" t="s">
        <v>337</v>
      </c>
      <c r="E238" s="24" t="s">
        <v>338</v>
      </c>
      <c r="F238" s="245" t="s">
        <v>435</v>
      </c>
      <c r="G238" s="68" t="s">
        <v>353</v>
      </c>
      <c r="H238" s="68" t="s">
        <v>347</v>
      </c>
      <c r="I238" s="70">
        <v>6010231</v>
      </c>
      <c r="J238" s="24">
        <v>8</v>
      </c>
    </row>
    <row r="239" spans="1:10" ht="12.5" x14ac:dyDescent="0.25">
      <c r="A239" s="246"/>
      <c r="B239" s="24" t="s">
        <v>1489</v>
      </c>
      <c r="C239" s="24" t="s">
        <v>1489</v>
      </c>
      <c r="D239" s="24"/>
      <c r="E239" s="24"/>
      <c r="F239" s="24"/>
      <c r="G239" s="68" t="s">
        <v>1489</v>
      </c>
      <c r="H239" s="68" t="s">
        <v>1489</v>
      </c>
      <c r="I239" s="70"/>
    </row>
    <row r="240" spans="1:10" ht="12.5" x14ac:dyDescent="0.25">
      <c r="A240" s="241">
        <v>36</v>
      </c>
      <c r="B240" s="61" t="s">
        <v>324</v>
      </c>
      <c r="C240" s="24" t="s">
        <v>326</v>
      </c>
      <c r="D240" s="24" t="s">
        <v>337</v>
      </c>
      <c r="E240" s="24" t="s">
        <v>338</v>
      </c>
      <c r="F240" s="242" t="s">
        <v>398</v>
      </c>
      <c r="G240" s="68" t="s">
        <v>349</v>
      </c>
      <c r="H240" s="68" t="s">
        <v>346</v>
      </c>
      <c r="I240" s="70" t="s">
        <v>160</v>
      </c>
      <c r="J240" s="24">
        <v>1</v>
      </c>
    </row>
    <row r="241" spans="1:10" ht="12.5" x14ac:dyDescent="0.25">
      <c r="A241" s="241"/>
      <c r="B241" s="61" t="s">
        <v>324</v>
      </c>
      <c r="C241" s="24" t="s">
        <v>326</v>
      </c>
      <c r="D241" s="24" t="s">
        <v>337</v>
      </c>
      <c r="E241" s="24" t="s">
        <v>338</v>
      </c>
      <c r="F241" s="243" t="s">
        <v>409</v>
      </c>
      <c r="G241" s="68" t="s">
        <v>349</v>
      </c>
      <c r="H241" s="68" t="s">
        <v>347</v>
      </c>
      <c r="I241" s="70" t="s">
        <v>160</v>
      </c>
      <c r="J241" s="24">
        <v>1</v>
      </c>
    </row>
    <row r="242" spans="1:10" ht="12.5" x14ac:dyDescent="0.25">
      <c r="A242" s="241"/>
      <c r="B242" s="61" t="s">
        <v>324</v>
      </c>
      <c r="C242" s="24" t="s">
        <v>326</v>
      </c>
      <c r="D242" s="24" t="s">
        <v>337</v>
      </c>
      <c r="E242" s="24" t="s">
        <v>338</v>
      </c>
      <c r="F242" s="244" t="s">
        <v>420</v>
      </c>
      <c r="G242" s="68" t="s">
        <v>351</v>
      </c>
      <c r="H242" s="68" t="s">
        <v>346</v>
      </c>
      <c r="I242" s="70" t="s">
        <v>160</v>
      </c>
      <c r="J242" s="24">
        <v>2</v>
      </c>
    </row>
    <row r="243" spans="1:10" ht="12.5" x14ac:dyDescent="0.25">
      <c r="A243" s="241"/>
      <c r="B243" s="61" t="s">
        <v>324</v>
      </c>
      <c r="C243" s="24" t="s">
        <v>326</v>
      </c>
      <c r="D243" s="24" t="s">
        <v>337</v>
      </c>
      <c r="E243" s="24" t="s">
        <v>338</v>
      </c>
      <c r="F243" s="244" t="s">
        <v>430</v>
      </c>
      <c r="G243" s="68" t="s">
        <v>351</v>
      </c>
      <c r="H243" s="68" t="s">
        <v>347</v>
      </c>
      <c r="I243" s="70" t="s">
        <v>160</v>
      </c>
      <c r="J243" s="24">
        <v>0</v>
      </c>
    </row>
    <row r="244" spans="1:10" ht="12.5" x14ac:dyDescent="0.25">
      <c r="A244" s="241"/>
      <c r="B244" s="61" t="s">
        <v>324</v>
      </c>
      <c r="C244" s="24" t="s">
        <v>326</v>
      </c>
      <c r="D244" s="24" t="s">
        <v>337</v>
      </c>
      <c r="E244" s="24" t="s">
        <v>338</v>
      </c>
      <c r="F244" s="245" t="s">
        <v>433</v>
      </c>
      <c r="G244" s="68" t="s">
        <v>353</v>
      </c>
      <c r="H244" s="68" t="s">
        <v>346</v>
      </c>
      <c r="I244" s="70" t="s">
        <v>160</v>
      </c>
      <c r="J244" s="24">
        <v>3</v>
      </c>
    </row>
    <row r="245" spans="1:10" ht="12.5" x14ac:dyDescent="0.25">
      <c r="A245" s="241"/>
      <c r="B245" s="61" t="s">
        <v>324</v>
      </c>
      <c r="C245" s="24" t="s">
        <v>326</v>
      </c>
      <c r="D245" s="24" t="s">
        <v>337</v>
      </c>
      <c r="E245" s="24" t="s">
        <v>338</v>
      </c>
      <c r="F245" s="245" t="s">
        <v>435</v>
      </c>
      <c r="G245" s="68" t="s">
        <v>353</v>
      </c>
      <c r="H245" s="68" t="s">
        <v>347</v>
      </c>
      <c r="I245" s="70" t="s">
        <v>160</v>
      </c>
      <c r="J245" s="24">
        <v>1</v>
      </c>
    </row>
    <row r="246" spans="1:10" ht="12.5" x14ac:dyDescent="0.25">
      <c r="A246" s="246"/>
      <c r="B246" s="24" t="s">
        <v>1489</v>
      </c>
      <c r="C246" s="24" t="s">
        <v>1489</v>
      </c>
      <c r="D246" s="24"/>
      <c r="E246" s="24"/>
      <c r="F246" s="24"/>
      <c r="G246" s="68" t="s">
        <v>1489</v>
      </c>
      <c r="H246" s="68" t="s">
        <v>1489</v>
      </c>
      <c r="I246" s="70"/>
    </row>
    <row r="247" spans="1:10" ht="12.5" x14ac:dyDescent="0.25">
      <c r="A247" s="241">
        <v>37</v>
      </c>
      <c r="B247" s="61" t="s">
        <v>324</v>
      </c>
      <c r="C247" s="24" t="s">
        <v>326</v>
      </c>
      <c r="D247" s="24" t="s">
        <v>337</v>
      </c>
      <c r="E247" s="24" t="s">
        <v>340</v>
      </c>
      <c r="F247" s="242" t="s">
        <v>398</v>
      </c>
      <c r="G247" s="68" t="s">
        <v>349</v>
      </c>
      <c r="H247" s="68" t="s">
        <v>346</v>
      </c>
      <c r="I247" s="70">
        <v>14045</v>
      </c>
      <c r="J247" s="24">
        <v>1</v>
      </c>
    </row>
    <row r="248" spans="1:10" ht="12.5" x14ac:dyDescent="0.25">
      <c r="A248" s="241"/>
      <c r="B248" s="61" t="s">
        <v>324</v>
      </c>
      <c r="C248" s="24" t="s">
        <v>326</v>
      </c>
      <c r="D248" s="24" t="s">
        <v>337</v>
      </c>
      <c r="E248" s="24" t="s">
        <v>340</v>
      </c>
      <c r="F248" s="243" t="s">
        <v>409</v>
      </c>
      <c r="G248" s="68" t="s">
        <v>349</v>
      </c>
      <c r="H248" s="68" t="s">
        <v>347</v>
      </c>
      <c r="I248" s="70">
        <v>14045</v>
      </c>
      <c r="J248" s="24">
        <v>1</v>
      </c>
    </row>
    <row r="249" spans="1:10" ht="12.5" x14ac:dyDescent="0.25">
      <c r="A249" s="241"/>
      <c r="B249" s="61" t="s">
        <v>324</v>
      </c>
      <c r="C249" s="24" t="s">
        <v>326</v>
      </c>
      <c r="D249" s="24" t="s">
        <v>337</v>
      </c>
      <c r="E249" s="24" t="s">
        <v>340</v>
      </c>
      <c r="F249" s="244" t="s">
        <v>420</v>
      </c>
      <c r="G249" s="68" t="s">
        <v>351</v>
      </c>
      <c r="H249" s="68" t="s">
        <v>346</v>
      </c>
      <c r="I249" s="70">
        <v>14045</v>
      </c>
      <c r="J249" s="24">
        <v>1</v>
      </c>
    </row>
    <row r="250" spans="1:10" ht="12.5" x14ac:dyDescent="0.25">
      <c r="A250" s="241"/>
      <c r="B250" s="61" t="s">
        <v>324</v>
      </c>
      <c r="C250" s="24" t="s">
        <v>326</v>
      </c>
      <c r="D250" s="24" t="s">
        <v>337</v>
      </c>
      <c r="E250" s="24" t="s">
        <v>340</v>
      </c>
      <c r="F250" s="244" t="s">
        <v>430</v>
      </c>
      <c r="G250" s="68" t="s">
        <v>351</v>
      </c>
      <c r="H250" s="68" t="s">
        <v>347</v>
      </c>
      <c r="I250" s="70">
        <v>14045</v>
      </c>
      <c r="J250" s="24">
        <v>1</v>
      </c>
    </row>
    <row r="251" spans="1:10" ht="12.5" x14ac:dyDescent="0.25">
      <c r="A251" s="241"/>
      <c r="B251" s="61" t="s">
        <v>324</v>
      </c>
      <c r="C251" s="24" t="s">
        <v>326</v>
      </c>
      <c r="D251" s="24" t="s">
        <v>337</v>
      </c>
      <c r="E251" s="24" t="s">
        <v>340</v>
      </c>
      <c r="F251" s="245" t="s">
        <v>433</v>
      </c>
      <c r="G251" s="68" t="s">
        <v>353</v>
      </c>
      <c r="H251" s="68" t="s">
        <v>346</v>
      </c>
      <c r="I251" s="70">
        <v>14045</v>
      </c>
      <c r="J251" s="24">
        <v>1</v>
      </c>
    </row>
    <row r="252" spans="1:10" ht="12.5" x14ac:dyDescent="0.25">
      <c r="A252" s="241"/>
      <c r="B252" s="61" t="s">
        <v>324</v>
      </c>
      <c r="C252" s="24" t="s">
        <v>326</v>
      </c>
      <c r="D252" s="24" t="s">
        <v>337</v>
      </c>
      <c r="E252" s="24" t="s">
        <v>340</v>
      </c>
      <c r="F252" s="245" t="s">
        <v>435</v>
      </c>
      <c r="G252" s="68" t="s">
        <v>353</v>
      </c>
      <c r="H252" s="68" t="s">
        <v>347</v>
      </c>
      <c r="I252" s="70">
        <v>14045</v>
      </c>
      <c r="J252" s="24">
        <v>0</v>
      </c>
    </row>
    <row r="253" spans="1:10" ht="12.5" x14ac:dyDescent="0.25">
      <c r="A253" s="246"/>
      <c r="B253" s="24" t="s">
        <v>1489</v>
      </c>
      <c r="C253" s="24" t="s">
        <v>1489</v>
      </c>
      <c r="D253" s="24"/>
      <c r="E253" s="24"/>
      <c r="F253" s="24"/>
      <c r="G253" s="68" t="s">
        <v>1489</v>
      </c>
      <c r="H253" s="68" t="s">
        <v>1489</v>
      </c>
      <c r="I253" s="70"/>
    </row>
    <row r="254" spans="1:10" ht="12.5" x14ac:dyDescent="0.25">
      <c r="A254" s="241">
        <v>38</v>
      </c>
      <c r="B254" s="61" t="s">
        <v>324</v>
      </c>
      <c r="C254" s="24" t="s">
        <v>326</v>
      </c>
      <c r="D254" s="24" t="s">
        <v>337</v>
      </c>
      <c r="E254" s="24" t="s">
        <v>340</v>
      </c>
      <c r="F254" s="242" t="s">
        <v>398</v>
      </c>
      <c r="G254" s="68" t="s">
        <v>349</v>
      </c>
      <c r="H254" s="68" t="s">
        <v>346</v>
      </c>
      <c r="I254" s="70">
        <v>14141</v>
      </c>
      <c r="J254" s="24">
        <v>1</v>
      </c>
    </row>
    <row r="255" spans="1:10" ht="12.5" x14ac:dyDescent="0.25">
      <c r="A255" s="241"/>
      <c r="B255" s="61" t="s">
        <v>324</v>
      </c>
      <c r="C255" s="24" t="s">
        <v>326</v>
      </c>
      <c r="D255" s="24" t="s">
        <v>337</v>
      </c>
      <c r="E255" s="24" t="s">
        <v>340</v>
      </c>
      <c r="F255" s="243" t="s">
        <v>409</v>
      </c>
      <c r="G255" s="68" t="s">
        <v>349</v>
      </c>
      <c r="H255" s="68" t="s">
        <v>347</v>
      </c>
      <c r="I255" s="70">
        <v>14141</v>
      </c>
      <c r="J255" s="24">
        <v>0</v>
      </c>
    </row>
    <row r="256" spans="1:10" ht="12.5" x14ac:dyDescent="0.25">
      <c r="A256" s="241"/>
      <c r="B256" s="61" t="s">
        <v>324</v>
      </c>
      <c r="C256" s="24" t="s">
        <v>326</v>
      </c>
      <c r="D256" s="24" t="s">
        <v>337</v>
      </c>
      <c r="E256" s="24" t="s">
        <v>340</v>
      </c>
      <c r="F256" s="244" t="s">
        <v>420</v>
      </c>
      <c r="G256" s="68" t="s">
        <v>351</v>
      </c>
      <c r="H256" s="68" t="s">
        <v>346</v>
      </c>
      <c r="I256" s="70">
        <v>14141</v>
      </c>
      <c r="J256" s="24">
        <v>1</v>
      </c>
    </row>
    <row r="257" spans="1:10" ht="12.5" x14ac:dyDescent="0.25">
      <c r="A257" s="241"/>
      <c r="B257" s="61" t="s">
        <v>324</v>
      </c>
      <c r="C257" s="24" t="s">
        <v>326</v>
      </c>
      <c r="D257" s="24" t="s">
        <v>337</v>
      </c>
      <c r="E257" s="24" t="s">
        <v>340</v>
      </c>
      <c r="F257" s="244" t="s">
        <v>430</v>
      </c>
      <c r="G257" s="68" t="s">
        <v>351</v>
      </c>
      <c r="H257" s="68" t="s">
        <v>347</v>
      </c>
      <c r="I257" s="70">
        <v>14141</v>
      </c>
      <c r="J257" s="24">
        <v>0</v>
      </c>
    </row>
    <row r="258" spans="1:10" ht="12.5" x14ac:dyDescent="0.25">
      <c r="A258" s="241"/>
      <c r="B258" s="61" t="s">
        <v>324</v>
      </c>
      <c r="C258" s="24" t="s">
        <v>326</v>
      </c>
      <c r="D258" s="24" t="s">
        <v>337</v>
      </c>
      <c r="E258" s="24" t="s">
        <v>340</v>
      </c>
      <c r="F258" s="245" t="s">
        <v>433</v>
      </c>
      <c r="G258" s="68" t="s">
        <v>353</v>
      </c>
      <c r="H258" s="68" t="s">
        <v>346</v>
      </c>
      <c r="I258" s="70">
        <v>14141</v>
      </c>
      <c r="J258" s="24">
        <v>1</v>
      </c>
    </row>
    <row r="259" spans="1:10" ht="12.5" x14ac:dyDescent="0.25">
      <c r="A259" s="241"/>
      <c r="B259" s="61" t="s">
        <v>324</v>
      </c>
      <c r="C259" s="24" t="s">
        <v>326</v>
      </c>
      <c r="D259" s="24" t="s">
        <v>337</v>
      </c>
      <c r="E259" s="24" t="s">
        <v>340</v>
      </c>
      <c r="F259" s="245" t="s">
        <v>435</v>
      </c>
      <c r="G259" s="68" t="s">
        <v>353</v>
      </c>
      <c r="H259" s="68" t="s">
        <v>347</v>
      </c>
      <c r="I259" s="70">
        <v>14141</v>
      </c>
      <c r="J259" s="24">
        <v>0</v>
      </c>
    </row>
    <row r="260" spans="1:10" ht="12.5" x14ac:dyDescent="0.25">
      <c r="A260" s="246"/>
      <c r="B260" s="24" t="s">
        <v>1489</v>
      </c>
      <c r="C260" s="24" t="s">
        <v>1489</v>
      </c>
      <c r="D260" s="24"/>
      <c r="E260" s="24"/>
      <c r="F260" s="24"/>
      <c r="G260" s="68" t="s">
        <v>1489</v>
      </c>
      <c r="H260" s="68" t="s">
        <v>1489</v>
      </c>
      <c r="I260" s="70"/>
    </row>
    <row r="261" spans="1:10" ht="12.5" x14ac:dyDescent="0.25">
      <c r="A261" s="241">
        <v>39</v>
      </c>
      <c r="B261" s="61" t="s">
        <v>324</v>
      </c>
      <c r="C261" s="24" t="s">
        <v>326</v>
      </c>
      <c r="D261" s="24" t="s">
        <v>337</v>
      </c>
      <c r="E261" s="24" t="s">
        <v>340</v>
      </c>
      <c r="F261" s="242" t="s">
        <v>398</v>
      </c>
      <c r="G261" s="68" t="s">
        <v>349</v>
      </c>
      <c r="H261" s="68" t="s">
        <v>346</v>
      </c>
      <c r="I261" s="70">
        <v>14894</v>
      </c>
      <c r="J261" s="24">
        <v>0</v>
      </c>
    </row>
    <row r="262" spans="1:10" ht="12.5" x14ac:dyDescent="0.25">
      <c r="A262" s="241"/>
      <c r="B262" s="61" t="s">
        <v>324</v>
      </c>
      <c r="C262" s="24" t="s">
        <v>326</v>
      </c>
      <c r="D262" s="24" t="s">
        <v>337</v>
      </c>
      <c r="E262" s="24" t="s">
        <v>340</v>
      </c>
      <c r="F262" s="243" t="s">
        <v>409</v>
      </c>
      <c r="G262" s="68" t="s">
        <v>349</v>
      </c>
      <c r="H262" s="68" t="s">
        <v>347</v>
      </c>
      <c r="I262" s="70">
        <v>14894</v>
      </c>
      <c r="J262" s="24">
        <v>1</v>
      </c>
    </row>
    <row r="263" spans="1:10" ht="12.5" x14ac:dyDescent="0.25">
      <c r="A263" s="241"/>
      <c r="B263" s="61" t="s">
        <v>324</v>
      </c>
      <c r="C263" s="24" t="s">
        <v>326</v>
      </c>
      <c r="D263" s="24" t="s">
        <v>337</v>
      </c>
      <c r="E263" s="24" t="s">
        <v>340</v>
      </c>
      <c r="F263" s="244" t="s">
        <v>420</v>
      </c>
      <c r="G263" s="68" t="s">
        <v>351</v>
      </c>
      <c r="H263" s="68" t="s">
        <v>346</v>
      </c>
      <c r="I263" s="70">
        <v>14894</v>
      </c>
      <c r="J263" s="24">
        <v>0</v>
      </c>
    </row>
    <row r="264" spans="1:10" ht="12.5" x14ac:dyDescent="0.25">
      <c r="A264" s="241"/>
      <c r="B264" s="61" t="s">
        <v>324</v>
      </c>
      <c r="C264" s="24" t="s">
        <v>326</v>
      </c>
      <c r="D264" s="24" t="s">
        <v>337</v>
      </c>
      <c r="E264" s="24" t="s">
        <v>340</v>
      </c>
      <c r="F264" s="244" t="s">
        <v>430</v>
      </c>
      <c r="G264" s="68" t="s">
        <v>351</v>
      </c>
      <c r="H264" s="68" t="s">
        <v>347</v>
      </c>
      <c r="I264" s="70">
        <v>14894</v>
      </c>
      <c r="J264" s="24">
        <v>1</v>
      </c>
    </row>
    <row r="265" spans="1:10" ht="12.5" x14ac:dyDescent="0.25">
      <c r="A265" s="241"/>
      <c r="B265" s="61" t="s">
        <v>324</v>
      </c>
      <c r="C265" s="24" t="s">
        <v>326</v>
      </c>
      <c r="D265" s="24" t="s">
        <v>337</v>
      </c>
      <c r="E265" s="24" t="s">
        <v>340</v>
      </c>
      <c r="F265" s="245" t="s">
        <v>433</v>
      </c>
      <c r="G265" s="68" t="s">
        <v>353</v>
      </c>
      <c r="H265" s="68" t="s">
        <v>346</v>
      </c>
      <c r="I265" s="70">
        <v>14894</v>
      </c>
      <c r="J265" s="24">
        <v>0</v>
      </c>
    </row>
    <row r="266" spans="1:10" ht="12.5" x14ac:dyDescent="0.25">
      <c r="A266" s="241"/>
      <c r="B266" s="61" t="s">
        <v>324</v>
      </c>
      <c r="C266" s="24" t="s">
        <v>326</v>
      </c>
      <c r="D266" s="24" t="s">
        <v>337</v>
      </c>
      <c r="E266" s="24" t="s">
        <v>340</v>
      </c>
      <c r="F266" s="245" t="s">
        <v>435</v>
      </c>
      <c r="G266" s="68" t="s">
        <v>353</v>
      </c>
      <c r="H266" s="68" t="s">
        <v>347</v>
      </c>
      <c r="I266" s="70">
        <v>14894</v>
      </c>
      <c r="J266" s="24">
        <v>0</v>
      </c>
    </row>
    <row r="267" spans="1:10" ht="12.5" x14ac:dyDescent="0.25">
      <c r="A267" s="246"/>
      <c r="B267" s="24" t="s">
        <v>1489</v>
      </c>
      <c r="C267" s="24" t="s">
        <v>1489</v>
      </c>
      <c r="D267" s="24"/>
      <c r="E267" s="24"/>
      <c r="F267" s="24"/>
      <c r="G267" s="68" t="s">
        <v>1489</v>
      </c>
      <c r="H267" s="68" t="s">
        <v>1489</v>
      </c>
      <c r="I267" s="70"/>
    </row>
    <row r="268" spans="1:10" ht="12.5" x14ac:dyDescent="0.25">
      <c r="A268" s="241">
        <v>40</v>
      </c>
      <c r="B268" s="61" t="s">
        <v>324</v>
      </c>
      <c r="C268" s="24" t="s">
        <v>326</v>
      </c>
      <c r="D268" s="24" t="s">
        <v>337</v>
      </c>
      <c r="E268" s="24" t="s">
        <v>340</v>
      </c>
      <c r="F268" s="242" t="s">
        <v>398</v>
      </c>
      <c r="G268" s="68" t="s">
        <v>349</v>
      </c>
      <c r="H268" s="68" t="s">
        <v>346</v>
      </c>
      <c r="I268" s="70">
        <v>14975</v>
      </c>
      <c r="J268" s="24">
        <v>3</v>
      </c>
    </row>
    <row r="269" spans="1:10" ht="12.5" x14ac:dyDescent="0.25">
      <c r="A269" s="241"/>
      <c r="B269" s="61" t="s">
        <v>324</v>
      </c>
      <c r="C269" s="24" t="s">
        <v>326</v>
      </c>
      <c r="D269" s="24" t="s">
        <v>337</v>
      </c>
      <c r="E269" s="24" t="s">
        <v>340</v>
      </c>
      <c r="F269" s="243" t="s">
        <v>409</v>
      </c>
      <c r="G269" s="68" t="s">
        <v>349</v>
      </c>
      <c r="H269" s="68" t="s">
        <v>347</v>
      </c>
      <c r="I269" s="70">
        <v>14975</v>
      </c>
      <c r="J269" s="24">
        <v>2</v>
      </c>
    </row>
    <row r="270" spans="1:10" ht="12.5" x14ac:dyDescent="0.25">
      <c r="A270" s="241"/>
      <c r="B270" s="61" t="s">
        <v>324</v>
      </c>
      <c r="C270" s="24" t="s">
        <v>326</v>
      </c>
      <c r="D270" s="24" t="s">
        <v>337</v>
      </c>
      <c r="E270" s="24" t="s">
        <v>340</v>
      </c>
      <c r="F270" s="244" t="s">
        <v>420</v>
      </c>
      <c r="G270" s="68" t="s">
        <v>351</v>
      </c>
      <c r="H270" s="68" t="s">
        <v>346</v>
      </c>
      <c r="I270" s="70">
        <v>14975</v>
      </c>
      <c r="J270" s="24">
        <v>3</v>
      </c>
    </row>
    <row r="271" spans="1:10" ht="12.5" x14ac:dyDescent="0.25">
      <c r="A271" s="241"/>
      <c r="B271" s="61" t="s">
        <v>324</v>
      </c>
      <c r="C271" s="24" t="s">
        <v>326</v>
      </c>
      <c r="D271" s="24" t="s">
        <v>337</v>
      </c>
      <c r="E271" s="24" t="s">
        <v>340</v>
      </c>
      <c r="F271" s="244" t="s">
        <v>430</v>
      </c>
      <c r="G271" s="68" t="s">
        <v>351</v>
      </c>
      <c r="H271" s="68" t="s">
        <v>347</v>
      </c>
      <c r="I271" s="70">
        <v>14975</v>
      </c>
      <c r="J271" s="24">
        <v>3</v>
      </c>
    </row>
    <row r="272" spans="1:10" ht="12.5" x14ac:dyDescent="0.25">
      <c r="A272" s="241"/>
      <c r="B272" s="61" t="s">
        <v>324</v>
      </c>
      <c r="C272" s="24" t="s">
        <v>326</v>
      </c>
      <c r="D272" s="24" t="s">
        <v>337</v>
      </c>
      <c r="E272" s="24" t="s">
        <v>340</v>
      </c>
      <c r="F272" s="245" t="s">
        <v>433</v>
      </c>
      <c r="G272" s="68" t="s">
        <v>353</v>
      </c>
      <c r="H272" s="68" t="s">
        <v>346</v>
      </c>
      <c r="I272" s="70">
        <v>14975</v>
      </c>
      <c r="J272" s="24">
        <v>2</v>
      </c>
    </row>
    <row r="273" spans="1:10" ht="12.5" x14ac:dyDescent="0.25">
      <c r="A273" s="241"/>
      <c r="B273" s="61" t="s">
        <v>324</v>
      </c>
      <c r="C273" s="24" t="s">
        <v>326</v>
      </c>
      <c r="D273" s="24" t="s">
        <v>337</v>
      </c>
      <c r="E273" s="24" t="s">
        <v>340</v>
      </c>
      <c r="F273" s="245" t="s">
        <v>435</v>
      </c>
      <c r="G273" s="68" t="s">
        <v>353</v>
      </c>
      <c r="H273" s="68" t="s">
        <v>347</v>
      </c>
      <c r="I273" s="70">
        <v>14975</v>
      </c>
      <c r="J273" s="24">
        <v>3</v>
      </c>
    </row>
    <row r="274" spans="1:10" ht="12.5" x14ac:dyDescent="0.25">
      <c r="A274" s="246"/>
      <c r="B274" s="24" t="s">
        <v>1489</v>
      </c>
      <c r="C274" s="24" t="s">
        <v>1489</v>
      </c>
      <c r="D274" s="24"/>
      <c r="E274" s="24"/>
      <c r="F274" s="24"/>
      <c r="G274" s="68" t="s">
        <v>1489</v>
      </c>
      <c r="H274" s="68" t="s">
        <v>1489</v>
      </c>
      <c r="I274" s="70"/>
    </row>
    <row r="275" spans="1:10" ht="12.5" x14ac:dyDescent="0.25">
      <c r="A275" s="241">
        <v>41</v>
      </c>
      <c r="B275" s="61" t="s">
        <v>324</v>
      </c>
      <c r="C275" s="24" t="s">
        <v>326</v>
      </c>
      <c r="D275" s="24" t="s">
        <v>337</v>
      </c>
      <c r="E275" s="24" t="s">
        <v>340</v>
      </c>
      <c r="F275" s="242" t="s">
        <v>398</v>
      </c>
      <c r="G275" s="68" t="s">
        <v>349</v>
      </c>
      <c r="H275" s="68" t="s">
        <v>346</v>
      </c>
      <c r="I275" s="70">
        <v>15219</v>
      </c>
      <c r="J275" s="24">
        <v>0</v>
      </c>
    </row>
    <row r="276" spans="1:10" ht="12.5" x14ac:dyDescent="0.25">
      <c r="A276" s="241"/>
      <c r="B276" s="61" t="s">
        <v>324</v>
      </c>
      <c r="C276" s="24" t="s">
        <v>326</v>
      </c>
      <c r="D276" s="24" t="s">
        <v>337</v>
      </c>
      <c r="E276" s="24" t="s">
        <v>340</v>
      </c>
      <c r="F276" s="243" t="s">
        <v>409</v>
      </c>
      <c r="G276" s="68" t="s">
        <v>349</v>
      </c>
      <c r="H276" s="68" t="s">
        <v>347</v>
      </c>
      <c r="I276" s="70">
        <v>15219</v>
      </c>
      <c r="J276" s="24">
        <v>2</v>
      </c>
    </row>
    <row r="277" spans="1:10" ht="12.5" x14ac:dyDescent="0.25">
      <c r="A277" s="241"/>
      <c r="B277" s="61" t="s">
        <v>324</v>
      </c>
      <c r="C277" s="24" t="s">
        <v>326</v>
      </c>
      <c r="D277" s="24" t="s">
        <v>337</v>
      </c>
      <c r="E277" s="24" t="s">
        <v>340</v>
      </c>
      <c r="F277" s="244" t="s">
        <v>420</v>
      </c>
      <c r="G277" s="68" t="s">
        <v>351</v>
      </c>
      <c r="H277" s="68" t="s">
        <v>346</v>
      </c>
      <c r="I277" s="70">
        <v>15219</v>
      </c>
      <c r="J277" s="24">
        <v>0</v>
      </c>
    </row>
    <row r="278" spans="1:10" ht="12.5" x14ac:dyDescent="0.25">
      <c r="A278" s="241"/>
      <c r="B278" s="61" t="s">
        <v>324</v>
      </c>
      <c r="C278" s="24" t="s">
        <v>326</v>
      </c>
      <c r="D278" s="24" t="s">
        <v>337</v>
      </c>
      <c r="E278" s="24" t="s">
        <v>340</v>
      </c>
      <c r="F278" s="244" t="s">
        <v>430</v>
      </c>
      <c r="G278" s="68" t="s">
        <v>351</v>
      </c>
      <c r="H278" s="68" t="s">
        <v>347</v>
      </c>
      <c r="I278" s="70">
        <v>15219</v>
      </c>
      <c r="J278" s="24">
        <v>0</v>
      </c>
    </row>
    <row r="279" spans="1:10" ht="12.5" x14ac:dyDescent="0.25">
      <c r="A279" s="241"/>
      <c r="B279" s="61" t="s">
        <v>324</v>
      </c>
      <c r="C279" s="24" t="s">
        <v>326</v>
      </c>
      <c r="D279" s="24" t="s">
        <v>337</v>
      </c>
      <c r="E279" s="24" t="s">
        <v>340</v>
      </c>
      <c r="F279" s="245" t="s">
        <v>433</v>
      </c>
      <c r="G279" s="68" t="s">
        <v>353</v>
      </c>
      <c r="H279" s="68" t="s">
        <v>346</v>
      </c>
      <c r="I279" s="70">
        <v>15219</v>
      </c>
      <c r="J279" s="24">
        <v>0</v>
      </c>
    </row>
    <row r="280" spans="1:10" ht="12.5" x14ac:dyDescent="0.25">
      <c r="A280" s="241"/>
      <c r="B280" s="61" t="s">
        <v>324</v>
      </c>
      <c r="C280" s="24" t="s">
        <v>326</v>
      </c>
      <c r="D280" s="24" t="s">
        <v>337</v>
      </c>
      <c r="E280" s="24" t="s">
        <v>340</v>
      </c>
      <c r="F280" s="245" t="s">
        <v>435</v>
      </c>
      <c r="G280" s="68" t="s">
        <v>353</v>
      </c>
      <c r="H280" s="68" t="s">
        <v>347</v>
      </c>
      <c r="I280" s="70">
        <v>15219</v>
      </c>
      <c r="J280" s="24">
        <v>1</v>
      </c>
    </row>
    <row r="281" spans="1:10" ht="12.5" x14ac:dyDescent="0.25">
      <c r="A281" s="246"/>
      <c r="B281" s="24" t="s">
        <v>1489</v>
      </c>
      <c r="C281" s="24" t="s">
        <v>1489</v>
      </c>
      <c r="D281" s="24"/>
      <c r="E281" s="24"/>
      <c r="F281" s="24"/>
      <c r="G281" s="68" t="s">
        <v>1489</v>
      </c>
      <c r="H281" s="68" t="s">
        <v>1489</v>
      </c>
      <c r="I281" s="70"/>
    </row>
    <row r="282" spans="1:10" ht="12.5" x14ac:dyDescent="0.25">
      <c r="A282" s="241">
        <v>42</v>
      </c>
      <c r="B282" s="61" t="s">
        <v>324</v>
      </c>
      <c r="C282" s="24" t="s">
        <v>326</v>
      </c>
      <c r="D282" s="24" t="s">
        <v>337</v>
      </c>
      <c r="E282" s="24" t="s">
        <v>340</v>
      </c>
      <c r="F282" s="242" t="s">
        <v>398</v>
      </c>
      <c r="G282" s="68" t="s">
        <v>349</v>
      </c>
      <c r="H282" s="68" t="s">
        <v>346</v>
      </c>
      <c r="I282" s="70">
        <v>15220</v>
      </c>
      <c r="J282" s="24">
        <v>0</v>
      </c>
    </row>
    <row r="283" spans="1:10" ht="12.5" x14ac:dyDescent="0.25">
      <c r="A283" s="241"/>
      <c r="B283" s="61" t="s">
        <v>324</v>
      </c>
      <c r="C283" s="24" t="s">
        <v>326</v>
      </c>
      <c r="D283" s="24" t="s">
        <v>337</v>
      </c>
      <c r="E283" s="24" t="s">
        <v>340</v>
      </c>
      <c r="F283" s="243" t="s">
        <v>409</v>
      </c>
      <c r="G283" s="68" t="s">
        <v>349</v>
      </c>
      <c r="H283" s="68" t="s">
        <v>347</v>
      </c>
      <c r="I283" s="70">
        <v>15220</v>
      </c>
      <c r="J283" s="24">
        <v>0</v>
      </c>
    </row>
    <row r="284" spans="1:10" ht="12.5" x14ac:dyDescent="0.25">
      <c r="A284" s="241"/>
      <c r="B284" s="61" t="s">
        <v>324</v>
      </c>
      <c r="C284" s="24" t="s">
        <v>326</v>
      </c>
      <c r="D284" s="24" t="s">
        <v>337</v>
      </c>
      <c r="E284" s="24" t="s">
        <v>340</v>
      </c>
      <c r="F284" s="244" t="s">
        <v>420</v>
      </c>
      <c r="G284" s="68" t="s">
        <v>351</v>
      </c>
      <c r="H284" s="68" t="s">
        <v>346</v>
      </c>
      <c r="I284" s="70">
        <v>15220</v>
      </c>
      <c r="J284" s="24">
        <v>0</v>
      </c>
    </row>
    <row r="285" spans="1:10" ht="12.5" x14ac:dyDescent="0.25">
      <c r="A285" s="241"/>
      <c r="B285" s="61" t="s">
        <v>324</v>
      </c>
      <c r="C285" s="24" t="s">
        <v>326</v>
      </c>
      <c r="D285" s="24" t="s">
        <v>337</v>
      </c>
      <c r="E285" s="24" t="s">
        <v>340</v>
      </c>
      <c r="F285" s="244" t="s">
        <v>430</v>
      </c>
      <c r="G285" s="68" t="s">
        <v>351</v>
      </c>
      <c r="H285" s="68" t="s">
        <v>347</v>
      </c>
      <c r="I285" s="70">
        <v>15220</v>
      </c>
      <c r="J285" s="24">
        <v>0</v>
      </c>
    </row>
    <row r="286" spans="1:10" ht="12.5" x14ac:dyDescent="0.25">
      <c r="A286" s="241"/>
      <c r="B286" s="61" t="s">
        <v>324</v>
      </c>
      <c r="C286" s="24" t="s">
        <v>326</v>
      </c>
      <c r="D286" s="24" t="s">
        <v>337</v>
      </c>
      <c r="E286" s="24" t="s">
        <v>340</v>
      </c>
      <c r="F286" s="245" t="s">
        <v>433</v>
      </c>
      <c r="G286" s="68" t="s">
        <v>353</v>
      </c>
      <c r="H286" s="68" t="s">
        <v>346</v>
      </c>
      <c r="I286" s="70">
        <v>15220</v>
      </c>
      <c r="J286" s="24">
        <v>1</v>
      </c>
    </row>
    <row r="287" spans="1:10" ht="12.5" x14ac:dyDescent="0.25">
      <c r="A287" s="241"/>
      <c r="B287" s="61" t="s">
        <v>324</v>
      </c>
      <c r="C287" s="24" t="s">
        <v>326</v>
      </c>
      <c r="D287" s="24" t="s">
        <v>337</v>
      </c>
      <c r="E287" s="24" t="s">
        <v>340</v>
      </c>
      <c r="F287" s="245" t="s">
        <v>435</v>
      </c>
      <c r="G287" s="68" t="s">
        <v>353</v>
      </c>
      <c r="H287" s="68" t="s">
        <v>347</v>
      </c>
      <c r="I287" s="70">
        <v>15220</v>
      </c>
      <c r="J287" s="24">
        <v>0</v>
      </c>
    </row>
    <row r="288" spans="1:10" ht="12.5" x14ac:dyDescent="0.25">
      <c r="A288" s="246"/>
      <c r="B288" s="24" t="s">
        <v>1489</v>
      </c>
      <c r="C288" s="24" t="s">
        <v>1489</v>
      </c>
      <c r="D288" s="24"/>
      <c r="E288" s="24"/>
      <c r="F288" s="24"/>
      <c r="G288" s="68" t="s">
        <v>1489</v>
      </c>
      <c r="H288" s="68" t="s">
        <v>1489</v>
      </c>
      <c r="I288" s="70"/>
    </row>
    <row r="289" spans="1:10" ht="12.5" x14ac:dyDescent="0.25">
      <c r="A289" s="241">
        <v>43</v>
      </c>
      <c r="B289" s="61" t="s">
        <v>324</v>
      </c>
      <c r="C289" s="24" t="s">
        <v>326</v>
      </c>
      <c r="D289" s="24" t="s">
        <v>337</v>
      </c>
      <c r="E289" s="24" t="s">
        <v>340</v>
      </c>
      <c r="F289" s="242" t="s">
        <v>398</v>
      </c>
      <c r="G289" s="68" t="s">
        <v>349</v>
      </c>
      <c r="H289" s="68" t="s">
        <v>346</v>
      </c>
      <c r="I289" s="70">
        <v>15304</v>
      </c>
      <c r="J289" s="24">
        <v>2</v>
      </c>
    </row>
    <row r="290" spans="1:10" ht="12.5" x14ac:dyDescent="0.25">
      <c r="A290" s="241"/>
      <c r="B290" s="61" t="s">
        <v>324</v>
      </c>
      <c r="C290" s="24" t="s">
        <v>326</v>
      </c>
      <c r="D290" s="24" t="s">
        <v>337</v>
      </c>
      <c r="E290" s="24" t="s">
        <v>340</v>
      </c>
      <c r="F290" s="243" t="s">
        <v>409</v>
      </c>
      <c r="G290" s="68" t="s">
        <v>349</v>
      </c>
      <c r="H290" s="68" t="s">
        <v>347</v>
      </c>
      <c r="I290" s="70">
        <v>15304</v>
      </c>
      <c r="J290" s="24">
        <v>2</v>
      </c>
    </row>
    <row r="291" spans="1:10" ht="12.5" x14ac:dyDescent="0.25">
      <c r="A291" s="241"/>
      <c r="B291" s="61" t="s">
        <v>324</v>
      </c>
      <c r="C291" s="24" t="s">
        <v>326</v>
      </c>
      <c r="D291" s="24" t="s">
        <v>337</v>
      </c>
      <c r="E291" s="24" t="s">
        <v>340</v>
      </c>
      <c r="F291" s="244" t="s">
        <v>420</v>
      </c>
      <c r="G291" s="68" t="s">
        <v>351</v>
      </c>
      <c r="H291" s="68" t="s">
        <v>346</v>
      </c>
      <c r="I291" s="70">
        <v>15304</v>
      </c>
      <c r="J291" s="24">
        <v>2</v>
      </c>
    </row>
    <row r="292" spans="1:10" ht="12.5" x14ac:dyDescent="0.25">
      <c r="A292" s="241"/>
      <c r="B292" s="61" t="s">
        <v>324</v>
      </c>
      <c r="C292" s="24" t="s">
        <v>326</v>
      </c>
      <c r="D292" s="24" t="s">
        <v>337</v>
      </c>
      <c r="E292" s="24" t="s">
        <v>340</v>
      </c>
      <c r="F292" s="244" t="s">
        <v>430</v>
      </c>
      <c r="G292" s="68" t="s">
        <v>351</v>
      </c>
      <c r="H292" s="68" t="s">
        <v>347</v>
      </c>
      <c r="I292" s="70">
        <v>15304</v>
      </c>
      <c r="J292" s="24">
        <v>0</v>
      </c>
    </row>
    <row r="293" spans="1:10" ht="12.5" x14ac:dyDescent="0.25">
      <c r="A293" s="241"/>
      <c r="B293" s="61" t="s">
        <v>324</v>
      </c>
      <c r="C293" s="24" t="s">
        <v>326</v>
      </c>
      <c r="D293" s="24" t="s">
        <v>337</v>
      </c>
      <c r="E293" s="24" t="s">
        <v>340</v>
      </c>
      <c r="F293" s="245" t="s">
        <v>433</v>
      </c>
      <c r="G293" s="68" t="s">
        <v>353</v>
      </c>
      <c r="H293" s="68" t="s">
        <v>346</v>
      </c>
      <c r="I293" s="70">
        <v>15304</v>
      </c>
      <c r="J293" s="24">
        <v>1</v>
      </c>
    </row>
    <row r="294" spans="1:10" ht="12.5" x14ac:dyDescent="0.25">
      <c r="A294" s="241"/>
      <c r="B294" s="61" t="s">
        <v>324</v>
      </c>
      <c r="C294" s="24" t="s">
        <v>326</v>
      </c>
      <c r="D294" s="24" t="s">
        <v>337</v>
      </c>
      <c r="E294" s="24" t="s">
        <v>340</v>
      </c>
      <c r="F294" s="245" t="s">
        <v>435</v>
      </c>
      <c r="G294" s="68" t="s">
        <v>353</v>
      </c>
      <c r="H294" s="68" t="s">
        <v>347</v>
      </c>
      <c r="I294" s="70">
        <v>15304</v>
      </c>
      <c r="J294" s="24">
        <v>2</v>
      </c>
    </row>
    <row r="295" spans="1:10" ht="12.5" x14ac:dyDescent="0.25">
      <c r="A295" s="246"/>
      <c r="B295" s="24" t="s">
        <v>1489</v>
      </c>
      <c r="C295" s="24" t="s">
        <v>1489</v>
      </c>
      <c r="D295" s="24"/>
      <c r="E295" s="24"/>
      <c r="F295" s="24"/>
      <c r="G295" s="68" t="s">
        <v>1489</v>
      </c>
      <c r="H295" s="68" t="s">
        <v>1489</v>
      </c>
      <c r="I295" s="70"/>
    </row>
    <row r="296" spans="1:10" ht="12.5" x14ac:dyDescent="0.25">
      <c r="A296" s="241">
        <v>44</v>
      </c>
      <c r="B296" s="61" t="s">
        <v>324</v>
      </c>
      <c r="C296" s="24" t="s">
        <v>326</v>
      </c>
      <c r="D296" s="24" t="s">
        <v>337</v>
      </c>
      <c r="E296" s="24" t="s">
        <v>340</v>
      </c>
      <c r="F296" s="242" t="s">
        <v>398</v>
      </c>
      <c r="G296" s="68" t="s">
        <v>349</v>
      </c>
      <c r="H296" s="68" t="s">
        <v>346</v>
      </c>
      <c r="I296" s="70">
        <v>15383</v>
      </c>
      <c r="J296" s="24">
        <v>0</v>
      </c>
    </row>
    <row r="297" spans="1:10" ht="12.5" x14ac:dyDescent="0.25">
      <c r="A297" s="241"/>
      <c r="B297" s="61" t="s">
        <v>324</v>
      </c>
      <c r="C297" s="24" t="s">
        <v>326</v>
      </c>
      <c r="D297" s="24" t="s">
        <v>337</v>
      </c>
      <c r="E297" s="24" t="s">
        <v>340</v>
      </c>
      <c r="F297" s="243" t="s">
        <v>409</v>
      </c>
      <c r="G297" s="68" t="s">
        <v>349</v>
      </c>
      <c r="H297" s="68" t="s">
        <v>347</v>
      </c>
      <c r="I297" s="70">
        <v>15383</v>
      </c>
      <c r="J297" s="24">
        <v>0</v>
      </c>
    </row>
    <row r="298" spans="1:10" ht="12.5" x14ac:dyDescent="0.25">
      <c r="A298" s="241"/>
      <c r="B298" s="61" t="s">
        <v>324</v>
      </c>
      <c r="C298" s="24" t="s">
        <v>326</v>
      </c>
      <c r="D298" s="24" t="s">
        <v>337</v>
      </c>
      <c r="E298" s="24" t="s">
        <v>340</v>
      </c>
      <c r="F298" s="244" t="s">
        <v>420</v>
      </c>
      <c r="G298" s="68" t="s">
        <v>351</v>
      </c>
      <c r="H298" s="68" t="s">
        <v>346</v>
      </c>
      <c r="I298" s="70">
        <v>15383</v>
      </c>
      <c r="J298" s="24">
        <v>1</v>
      </c>
    </row>
    <row r="299" spans="1:10" ht="12.5" x14ac:dyDescent="0.25">
      <c r="A299" s="241"/>
      <c r="B299" s="61" t="s">
        <v>324</v>
      </c>
      <c r="C299" s="24" t="s">
        <v>326</v>
      </c>
      <c r="D299" s="24" t="s">
        <v>337</v>
      </c>
      <c r="E299" s="24" t="s">
        <v>340</v>
      </c>
      <c r="F299" s="244" t="s">
        <v>430</v>
      </c>
      <c r="G299" s="68" t="s">
        <v>351</v>
      </c>
      <c r="H299" s="68" t="s">
        <v>347</v>
      </c>
      <c r="I299" s="70">
        <v>15383</v>
      </c>
      <c r="J299" s="24">
        <v>0</v>
      </c>
    </row>
    <row r="300" spans="1:10" ht="12.5" x14ac:dyDescent="0.25">
      <c r="A300" s="241"/>
      <c r="B300" s="61" t="s">
        <v>324</v>
      </c>
      <c r="C300" s="24" t="s">
        <v>326</v>
      </c>
      <c r="D300" s="24" t="s">
        <v>337</v>
      </c>
      <c r="E300" s="24" t="s">
        <v>340</v>
      </c>
      <c r="F300" s="245" t="s">
        <v>433</v>
      </c>
      <c r="G300" s="68" t="s">
        <v>353</v>
      </c>
      <c r="H300" s="68" t="s">
        <v>346</v>
      </c>
      <c r="I300" s="70">
        <v>15383</v>
      </c>
      <c r="J300" s="24">
        <v>0</v>
      </c>
    </row>
    <row r="301" spans="1:10" ht="12.5" x14ac:dyDescent="0.25">
      <c r="A301" s="241"/>
      <c r="B301" s="61" t="s">
        <v>324</v>
      </c>
      <c r="C301" s="24" t="s">
        <v>326</v>
      </c>
      <c r="D301" s="24" t="s">
        <v>337</v>
      </c>
      <c r="E301" s="24" t="s">
        <v>340</v>
      </c>
      <c r="F301" s="245" t="s">
        <v>435</v>
      </c>
      <c r="G301" s="68" t="s">
        <v>353</v>
      </c>
      <c r="H301" s="68" t="s">
        <v>347</v>
      </c>
      <c r="I301" s="70">
        <v>15383</v>
      </c>
      <c r="J301" s="24">
        <v>0</v>
      </c>
    </row>
    <row r="302" spans="1:10" ht="12.5" x14ac:dyDescent="0.25">
      <c r="A302" s="246"/>
      <c r="B302" s="24" t="s">
        <v>1489</v>
      </c>
      <c r="C302" s="24" t="s">
        <v>1489</v>
      </c>
      <c r="D302" s="24"/>
      <c r="E302" s="24"/>
      <c r="F302" s="24"/>
      <c r="G302" s="68" t="s">
        <v>1489</v>
      </c>
      <c r="H302" s="68" t="s">
        <v>1489</v>
      </c>
      <c r="I302" s="70"/>
    </row>
    <row r="303" spans="1:10" ht="12.5" x14ac:dyDescent="0.25">
      <c r="A303" s="241">
        <v>45</v>
      </c>
      <c r="B303" s="61" t="s">
        <v>324</v>
      </c>
      <c r="C303" s="24" t="s">
        <v>326</v>
      </c>
      <c r="D303" s="24" t="s">
        <v>337</v>
      </c>
      <c r="E303" s="24" t="s">
        <v>340</v>
      </c>
      <c r="F303" s="242" t="s">
        <v>398</v>
      </c>
      <c r="G303" s="68" t="s">
        <v>349</v>
      </c>
      <c r="H303" s="68" t="s">
        <v>346</v>
      </c>
      <c r="I303" s="70">
        <v>15478</v>
      </c>
      <c r="J303" s="24">
        <v>0</v>
      </c>
    </row>
    <row r="304" spans="1:10" ht="12.5" x14ac:dyDescent="0.25">
      <c r="A304" s="241"/>
      <c r="B304" s="61" t="s">
        <v>324</v>
      </c>
      <c r="C304" s="24" t="s">
        <v>326</v>
      </c>
      <c r="D304" s="24" t="s">
        <v>337</v>
      </c>
      <c r="E304" s="24" t="s">
        <v>340</v>
      </c>
      <c r="F304" s="243" t="s">
        <v>409</v>
      </c>
      <c r="G304" s="68" t="s">
        <v>349</v>
      </c>
      <c r="H304" s="68" t="s">
        <v>347</v>
      </c>
      <c r="I304" s="70">
        <v>15478</v>
      </c>
      <c r="J304" s="24">
        <v>2</v>
      </c>
    </row>
    <row r="305" spans="1:10" ht="12.5" x14ac:dyDescent="0.25">
      <c r="A305" s="241"/>
      <c r="B305" s="61" t="s">
        <v>324</v>
      </c>
      <c r="C305" s="24" t="s">
        <v>326</v>
      </c>
      <c r="D305" s="24" t="s">
        <v>337</v>
      </c>
      <c r="E305" s="24" t="s">
        <v>340</v>
      </c>
      <c r="F305" s="244" t="s">
        <v>420</v>
      </c>
      <c r="G305" s="68" t="s">
        <v>351</v>
      </c>
      <c r="H305" s="68" t="s">
        <v>346</v>
      </c>
      <c r="I305" s="70">
        <v>15478</v>
      </c>
      <c r="J305" s="24">
        <v>1</v>
      </c>
    </row>
    <row r="306" spans="1:10" ht="12.5" x14ac:dyDescent="0.25">
      <c r="A306" s="241"/>
      <c r="B306" s="61" t="s">
        <v>324</v>
      </c>
      <c r="C306" s="24" t="s">
        <v>326</v>
      </c>
      <c r="D306" s="24" t="s">
        <v>337</v>
      </c>
      <c r="E306" s="24" t="s">
        <v>340</v>
      </c>
      <c r="F306" s="244" t="s">
        <v>430</v>
      </c>
      <c r="G306" s="68" t="s">
        <v>351</v>
      </c>
      <c r="H306" s="68" t="s">
        <v>347</v>
      </c>
      <c r="I306" s="70">
        <v>15478</v>
      </c>
      <c r="J306" s="24">
        <v>0</v>
      </c>
    </row>
    <row r="307" spans="1:10" ht="12.5" x14ac:dyDescent="0.25">
      <c r="A307" s="241"/>
      <c r="B307" s="61" t="s">
        <v>324</v>
      </c>
      <c r="C307" s="24" t="s">
        <v>326</v>
      </c>
      <c r="D307" s="24" t="s">
        <v>337</v>
      </c>
      <c r="E307" s="24" t="s">
        <v>340</v>
      </c>
      <c r="F307" s="245" t="s">
        <v>433</v>
      </c>
      <c r="G307" s="68" t="s">
        <v>353</v>
      </c>
      <c r="H307" s="68" t="s">
        <v>346</v>
      </c>
      <c r="I307" s="70">
        <v>15478</v>
      </c>
      <c r="J307" s="24">
        <v>0</v>
      </c>
    </row>
    <row r="308" spans="1:10" ht="12.5" x14ac:dyDescent="0.25">
      <c r="A308" s="241"/>
      <c r="B308" s="61" t="s">
        <v>324</v>
      </c>
      <c r="C308" s="24" t="s">
        <v>326</v>
      </c>
      <c r="D308" s="24" t="s">
        <v>337</v>
      </c>
      <c r="E308" s="24" t="s">
        <v>340</v>
      </c>
      <c r="F308" s="245" t="s">
        <v>435</v>
      </c>
      <c r="G308" s="68" t="s">
        <v>353</v>
      </c>
      <c r="H308" s="68" t="s">
        <v>347</v>
      </c>
      <c r="I308" s="70">
        <v>15478</v>
      </c>
      <c r="J308" s="24">
        <v>2</v>
      </c>
    </row>
    <row r="309" spans="1:10" ht="12.5" x14ac:dyDescent="0.25">
      <c r="A309" s="246"/>
      <c r="B309" s="24" t="s">
        <v>1489</v>
      </c>
      <c r="C309" s="24" t="s">
        <v>1489</v>
      </c>
      <c r="D309" s="24"/>
      <c r="E309" s="24"/>
      <c r="F309" s="24"/>
      <c r="G309" s="68" t="s">
        <v>1489</v>
      </c>
      <c r="H309" s="68" t="s">
        <v>1489</v>
      </c>
      <c r="I309" s="70"/>
    </row>
    <row r="310" spans="1:10" ht="12.5" x14ac:dyDescent="0.25">
      <c r="A310" s="241">
        <v>46</v>
      </c>
      <c r="B310" s="61" t="s">
        <v>324</v>
      </c>
      <c r="C310" s="24" t="s">
        <v>326</v>
      </c>
      <c r="D310" s="24" t="s">
        <v>337</v>
      </c>
      <c r="E310" s="24" t="s">
        <v>340</v>
      </c>
      <c r="F310" s="242" t="s">
        <v>398</v>
      </c>
      <c r="G310" s="68" t="s">
        <v>349</v>
      </c>
      <c r="H310" s="68" t="s">
        <v>346</v>
      </c>
      <c r="I310" s="70">
        <v>20104</v>
      </c>
      <c r="J310" s="24">
        <v>3</v>
      </c>
    </row>
    <row r="311" spans="1:10" ht="12.5" x14ac:dyDescent="0.25">
      <c r="A311" s="241"/>
      <c r="B311" s="61" t="s">
        <v>324</v>
      </c>
      <c r="C311" s="24" t="s">
        <v>326</v>
      </c>
      <c r="D311" s="24" t="s">
        <v>337</v>
      </c>
      <c r="E311" s="24" t="s">
        <v>340</v>
      </c>
      <c r="F311" s="243" t="s">
        <v>409</v>
      </c>
      <c r="G311" s="68" t="s">
        <v>349</v>
      </c>
      <c r="H311" s="68" t="s">
        <v>347</v>
      </c>
      <c r="I311" s="70">
        <v>20104</v>
      </c>
      <c r="J311" s="24">
        <v>2</v>
      </c>
    </row>
    <row r="312" spans="1:10" ht="12.5" x14ac:dyDescent="0.25">
      <c r="A312" s="241"/>
      <c r="B312" s="61" t="s">
        <v>324</v>
      </c>
      <c r="C312" s="24" t="s">
        <v>326</v>
      </c>
      <c r="D312" s="24" t="s">
        <v>337</v>
      </c>
      <c r="E312" s="24" t="s">
        <v>340</v>
      </c>
      <c r="F312" s="244" t="s">
        <v>420</v>
      </c>
      <c r="G312" s="68" t="s">
        <v>351</v>
      </c>
      <c r="H312" s="68" t="s">
        <v>346</v>
      </c>
      <c r="I312" s="70">
        <v>20104</v>
      </c>
      <c r="J312" s="24">
        <v>4</v>
      </c>
    </row>
    <row r="313" spans="1:10" ht="12.5" x14ac:dyDescent="0.25">
      <c r="A313" s="241"/>
      <c r="B313" s="61" t="s">
        <v>324</v>
      </c>
      <c r="C313" s="24" t="s">
        <v>326</v>
      </c>
      <c r="D313" s="24" t="s">
        <v>337</v>
      </c>
      <c r="E313" s="24" t="s">
        <v>340</v>
      </c>
      <c r="F313" s="244" t="s">
        <v>430</v>
      </c>
      <c r="G313" s="68" t="s">
        <v>351</v>
      </c>
      <c r="H313" s="68" t="s">
        <v>347</v>
      </c>
      <c r="I313" s="70">
        <v>20104</v>
      </c>
      <c r="J313" s="24">
        <v>3</v>
      </c>
    </row>
    <row r="314" spans="1:10" ht="12.5" x14ac:dyDescent="0.25">
      <c r="A314" s="241"/>
      <c r="B314" s="61" t="s">
        <v>324</v>
      </c>
      <c r="C314" s="24" t="s">
        <v>326</v>
      </c>
      <c r="D314" s="24" t="s">
        <v>337</v>
      </c>
      <c r="E314" s="24" t="s">
        <v>340</v>
      </c>
      <c r="F314" s="245" t="s">
        <v>433</v>
      </c>
      <c r="G314" s="68" t="s">
        <v>353</v>
      </c>
      <c r="H314" s="68" t="s">
        <v>346</v>
      </c>
      <c r="I314" s="70">
        <v>20104</v>
      </c>
      <c r="J314" s="24">
        <v>3</v>
      </c>
    </row>
    <row r="315" spans="1:10" ht="12.5" x14ac:dyDescent="0.25">
      <c r="A315" s="241"/>
      <c r="B315" s="61" t="s">
        <v>324</v>
      </c>
      <c r="C315" s="24" t="s">
        <v>326</v>
      </c>
      <c r="D315" s="24" t="s">
        <v>337</v>
      </c>
      <c r="E315" s="24" t="s">
        <v>340</v>
      </c>
      <c r="F315" s="245" t="s">
        <v>435</v>
      </c>
      <c r="G315" s="68" t="s">
        <v>353</v>
      </c>
      <c r="H315" s="68" t="s">
        <v>347</v>
      </c>
      <c r="I315" s="70">
        <v>20104</v>
      </c>
      <c r="J315" s="24">
        <v>1</v>
      </c>
    </row>
    <row r="316" spans="1:10" ht="12.5" x14ac:dyDescent="0.25">
      <c r="A316" s="246"/>
      <c r="B316" s="24" t="s">
        <v>1489</v>
      </c>
      <c r="C316" s="24" t="s">
        <v>1489</v>
      </c>
      <c r="D316" s="24"/>
      <c r="E316" s="24"/>
      <c r="F316" s="24"/>
      <c r="G316" s="68" t="s">
        <v>1489</v>
      </c>
      <c r="H316" s="68" t="s">
        <v>1489</v>
      </c>
      <c r="I316" s="70"/>
    </row>
    <row r="317" spans="1:10" ht="12.5" x14ac:dyDescent="0.25">
      <c r="A317" s="241">
        <v>47</v>
      </c>
      <c r="B317" s="61" t="s">
        <v>324</v>
      </c>
      <c r="C317" s="24" t="s">
        <v>326</v>
      </c>
      <c r="D317" s="24" t="s">
        <v>337</v>
      </c>
      <c r="E317" s="24" t="s">
        <v>340</v>
      </c>
      <c r="F317" s="242" t="s">
        <v>398</v>
      </c>
      <c r="G317" s="68" t="s">
        <v>349</v>
      </c>
      <c r="H317" s="68" t="s">
        <v>346</v>
      </c>
      <c r="I317" s="70">
        <v>20123</v>
      </c>
      <c r="J317" s="24">
        <v>0</v>
      </c>
    </row>
    <row r="318" spans="1:10" ht="12.5" x14ac:dyDescent="0.25">
      <c r="A318" s="241"/>
      <c r="B318" s="61" t="s">
        <v>324</v>
      </c>
      <c r="C318" s="24" t="s">
        <v>326</v>
      </c>
      <c r="D318" s="24" t="s">
        <v>337</v>
      </c>
      <c r="E318" s="24" t="s">
        <v>340</v>
      </c>
      <c r="F318" s="243" t="s">
        <v>409</v>
      </c>
      <c r="G318" s="68" t="s">
        <v>349</v>
      </c>
      <c r="H318" s="68" t="s">
        <v>347</v>
      </c>
      <c r="I318" s="70">
        <v>20123</v>
      </c>
      <c r="J318" s="24">
        <v>1</v>
      </c>
    </row>
    <row r="319" spans="1:10" ht="12.5" x14ac:dyDescent="0.25">
      <c r="A319" s="241"/>
      <c r="B319" s="61" t="s">
        <v>324</v>
      </c>
      <c r="C319" s="24" t="s">
        <v>326</v>
      </c>
      <c r="D319" s="24" t="s">
        <v>337</v>
      </c>
      <c r="E319" s="24" t="s">
        <v>340</v>
      </c>
      <c r="F319" s="244" t="s">
        <v>420</v>
      </c>
      <c r="G319" s="68" t="s">
        <v>351</v>
      </c>
      <c r="H319" s="68" t="s">
        <v>346</v>
      </c>
      <c r="I319" s="70">
        <v>20123</v>
      </c>
      <c r="J319" s="24">
        <v>0</v>
      </c>
    </row>
    <row r="320" spans="1:10" ht="12.5" x14ac:dyDescent="0.25">
      <c r="A320" s="241"/>
      <c r="B320" s="61" t="s">
        <v>324</v>
      </c>
      <c r="C320" s="24" t="s">
        <v>326</v>
      </c>
      <c r="D320" s="24" t="s">
        <v>337</v>
      </c>
      <c r="E320" s="24" t="s">
        <v>340</v>
      </c>
      <c r="F320" s="244" t="s">
        <v>430</v>
      </c>
      <c r="G320" s="68" t="s">
        <v>351</v>
      </c>
      <c r="H320" s="68" t="s">
        <v>347</v>
      </c>
      <c r="I320" s="70">
        <v>20123</v>
      </c>
      <c r="J320" s="24">
        <v>0</v>
      </c>
    </row>
    <row r="321" spans="1:10" ht="12.5" x14ac:dyDescent="0.25">
      <c r="A321" s="241"/>
      <c r="B321" s="61" t="s">
        <v>324</v>
      </c>
      <c r="C321" s="24" t="s">
        <v>326</v>
      </c>
      <c r="D321" s="24" t="s">
        <v>337</v>
      </c>
      <c r="E321" s="24" t="s">
        <v>340</v>
      </c>
      <c r="F321" s="245" t="s">
        <v>433</v>
      </c>
      <c r="G321" s="68" t="s">
        <v>353</v>
      </c>
      <c r="H321" s="68" t="s">
        <v>346</v>
      </c>
      <c r="I321" s="70">
        <v>20123</v>
      </c>
      <c r="J321" s="24">
        <v>1</v>
      </c>
    </row>
    <row r="322" spans="1:10" ht="12.5" x14ac:dyDescent="0.25">
      <c r="A322" s="241"/>
      <c r="B322" s="61" t="s">
        <v>324</v>
      </c>
      <c r="C322" s="24" t="s">
        <v>326</v>
      </c>
      <c r="D322" s="24" t="s">
        <v>337</v>
      </c>
      <c r="E322" s="24" t="s">
        <v>340</v>
      </c>
      <c r="F322" s="245" t="s">
        <v>435</v>
      </c>
      <c r="G322" s="68" t="s">
        <v>353</v>
      </c>
      <c r="H322" s="68" t="s">
        <v>347</v>
      </c>
      <c r="I322" s="70">
        <v>20123</v>
      </c>
      <c r="J322" s="24">
        <v>1</v>
      </c>
    </row>
    <row r="323" spans="1:10" ht="12.5" x14ac:dyDescent="0.25">
      <c r="A323" s="246"/>
      <c r="B323" s="24" t="s">
        <v>1489</v>
      </c>
      <c r="C323" s="24" t="s">
        <v>1489</v>
      </c>
      <c r="D323" s="24"/>
      <c r="E323" s="24"/>
      <c r="F323" s="24"/>
      <c r="G323" s="68" t="s">
        <v>1489</v>
      </c>
      <c r="H323" s="68" t="s">
        <v>1489</v>
      </c>
      <c r="I323" s="70"/>
    </row>
    <row r="324" spans="1:10" ht="12.5" x14ac:dyDescent="0.25">
      <c r="A324" s="241">
        <v>48</v>
      </c>
      <c r="B324" s="61" t="s">
        <v>324</v>
      </c>
      <c r="C324" s="24" t="s">
        <v>326</v>
      </c>
      <c r="D324" s="24" t="s">
        <v>337</v>
      </c>
      <c r="E324" s="24" t="s">
        <v>340</v>
      </c>
      <c r="F324" s="242" t="s">
        <v>398</v>
      </c>
      <c r="G324" s="68" t="s">
        <v>349</v>
      </c>
      <c r="H324" s="68" t="s">
        <v>346</v>
      </c>
      <c r="I324" s="70" t="s">
        <v>30</v>
      </c>
      <c r="J324" s="24">
        <v>11</v>
      </c>
    </row>
    <row r="325" spans="1:10" ht="12.5" x14ac:dyDescent="0.25">
      <c r="A325" s="241"/>
      <c r="B325" s="61" t="s">
        <v>324</v>
      </c>
      <c r="C325" s="24" t="s">
        <v>326</v>
      </c>
      <c r="D325" s="24" t="s">
        <v>337</v>
      </c>
      <c r="E325" s="24" t="s">
        <v>340</v>
      </c>
      <c r="F325" s="243" t="s">
        <v>409</v>
      </c>
      <c r="G325" s="68" t="s">
        <v>349</v>
      </c>
      <c r="H325" s="68" t="s">
        <v>347</v>
      </c>
      <c r="I325" s="70" t="s">
        <v>30</v>
      </c>
      <c r="J325" s="24">
        <v>14</v>
      </c>
    </row>
    <row r="326" spans="1:10" ht="12.5" x14ac:dyDescent="0.25">
      <c r="A326" s="241"/>
      <c r="B326" s="61" t="s">
        <v>324</v>
      </c>
      <c r="C326" s="24" t="s">
        <v>326</v>
      </c>
      <c r="D326" s="24" t="s">
        <v>337</v>
      </c>
      <c r="E326" s="24" t="s">
        <v>340</v>
      </c>
      <c r="F326" s="244" t="s">
        <v>420</v>
      </c>
      <c r="G326" s="68" t="s">
        <v>351</v>
      </c>
      <c r="H326" s="68" t="s">
        <v>346</v>
      </c>
      <c r="I326" s="70" t="s">
        <v>30</v>
      </c>
      <c r="J326" s="24">
        <v>11</v>
      </c>
    </row>
    <row r="327" spans="1:10" ht="12.5" x14ac:dyDescent="0.25">
      <c r="A327" s="241"/>
      <c r="B327" s="61" t="s">
        <v>324</v>
      </c>
      <c r="C327" s="24" t="s">
        <v>326</v>
      </c>
      <c r="D327" s="24" t="s">
        <v>337</v>
      </c>
      <c r="E327" s="24" t="s">
        <v>340</v>
      </c>
      <c r="F327" s="244" t="s">
        <v>430</v>
      </c>
      <c r="G327" s="68" t="s">
        <v>351</v>
      </c>
      <c r="H327" s="68" t="s">
        <v>347</v>
      </c>
      <c r="I327" s="70" t="s">
        <v>30</v>
      </c>
      <c r="J327" s="24">
        <v>9</v>
      </c>
    </row>
    <row r="328" spans="1:10" ht="12.5" x14ac:dyDescent="0.25">
      <c r="A328" s="241"/>
      <c r="B328" s="61" t="s">
        <v>324</v>
      </c>
      <c r="C328" s="24" t="s">
        <v>326</v>
      </c>
      <c r="D328" s="24" t="s">
        <v>337</v>
      </c>
      <c r="E328" s="24" t="s">
        <v>340</v>
      </c>
      <c r="F328" s="245" t="s">
        <v>433</v>
      </c>
      <c r="G328" s="68" t="s">
        <v>353</v>
      </c>
      <c r="H328" s="68" t="s">
        <v>346</v>
      </c>
      <c r="I328" s="70" t="s">
        <v>30</v>
      </c>
      <c r="J328" s="24">
        <v>13</v>
      </c>
    </row>
    <row r="329" spans="1:10" ht="12.5" x14ac:dyDescent="0.25">
      <c r="A329" s="241"/>
      <c r="B329" s="61" t="s">
        <v>324</v>
      </c>
      <c r="C329" s="24" t="s">
        <v>326</v>
      </c>
      <c r="D329" s="24" t="s">
        <v>337</v>
      </c>
      <c r="E329" s="24" t="s">
        <v>340</v>
      </c>
      <c r="F329" s="245" t="s">
        <v>435</v>
      </c>
      <c r="G329" s="68" t="s">
        <v>353</v>
      </c>
      <c r="H329" s="68" t="s">
        <v>347</v>
      </c>
      <c r="I329" s="70" t="s">
        <v>30</v>
      </c>
      <c r="J329" s="24">
        <v>11</v>
      </c>
    </row>
    <row r="330" spans="1:10" ht="12.5" x14ac:dyDescent="0.25">
      <c r="A330" s="246"/>
      <c r="B330" s="24" t="s">
        <v>1489</v>
      </c>
      <c r="C330" s="24" t="s">
        <v>1489</v>
      </c>
      <c r="D330" s="24"/>
      <c r="E330" s="24"/>
      <c r="F330" s="24"/>
      <c r="G330" s="68" t="s">
        <v>1489</v>
      </c>
      <c r="H330" s="68" t="s">
        <v>1489</v>
      </c>
      <c r="I330" s="70"/>
    </row>
    <row r="331" spans="1:10" ht="12.5" x14ac:dyDescent="0.25">
      <c r="A331" s="241">
        <v>49</v>
      </c>
      <c r="B331" s="61" t="s">
        <v>324</v>
      </c>
      <c r="C331" s="24" t="s">
        <v>326</v>
      </c>
      <c r="D331" s="24" t="s">
        <v>337</v>
      </c>
      <c r="E331" s="24" t="s">
        <v>340</v>
      </c>
      <c r="F331" s="242" t="s">
        <v>398</v>
      </c>
      <c r="G331" s="68" t="s">
        <v>349</v>
      </c>
      <c r="H331" s="68" t="s">
        <v>346</v>
      </c>
      <c r="I331" s="70" t="s">
        <v>36</v>
      </c>
      <c r="J331" s="24">
        <v>5</v>
      </c>
    </row>
    <row r="332" spans="1:10" ht="12.5" x14ac:dyDescent="0.25">
      <c r="A332" s="241"/>
      <c r="B332" s="61" t="s">
        <v>324</v>
      </c>
      <c r="C332" s="24" t="s">
        <v>326</v>
      </c>
      <c r="D332" s="24" t="s">
        <v>337</v>
      </c>
      <c r="E332" s="24" t="s">
        <v>340</v>
      </c>
      <c r="F332" s="243" t="s">
        <v>409</v>
      </c>
      <c r="G332" s="68" t="s">
        <v>349</v>
      </c>
      <c r="H332" s="68" t="s">
        <v>347</v>
      </c>
      <c r="I332" s="70" t="s">
        <v>36</v>
      </c>
      <c r="J332" s="24">
        <v>5</v>
      </c>
    </row>
    <row r="333" spans="1:10" ht="12.5" x14ac:dyDescent="0.25">
      <c r="A333" s="241"/>
      <c r="B333" s="61" t="s">
        <v>324</v>
      </c>
      <c r="C333" s="24" t="s">
        <v>326</v>
      </c>
      <c r="D333" s="24" t="s">
        <v>337</v>
      </c>
      <c r="E333" s="24" t="s">
        <v>340</v>
      </c>
      <c r="F333" s="244" t="s">
        <v>420</v>
      </c>
      <c r="G333" s="68" t="s">
        <v>351</v>
      </c>
      <c r="H333" s="68" t="s">
        <v>346</v>
      </c>
      <c r="I333" s="70" t="s">
        <v>36</v>
      </c>
      <c r="J333" s="24">
        <v>6</v>
      </c>
    </row>
    <row r="334" spans="1:10" ht="12.5" x14ac:dyDescent="0.25">
      <c r="A334" s="241"/>
      <c r="B334" s="61" t="s">
        <v>324</v>
      </c>
      <c r="C334" s="24" t="s">
        <v>326</v>
      </c>
      <c r="D334" s="24" t="s">
        <v>337</v>
      </c>
      <c r="E334" s="24" t="s">
        <v>340</v>
      </c>
      <c r="F334" s="244" t="s">
        <v>430</v>
      </c>
      <c r="G334" s="68" t="s">
        <v>351</v>
      </c>
      <c r="H334" s="68" t="s">
        <v>347</v>
      </c>
      <c r="I334" s="70" t="s">
        <v>36</v>
      </c>
      <c r="J334" s="24">
        <v>4</v>
      </c>
    </row>
    <row r="335" spans="1:10" ht="12.5" x14ac:dyDescent="0.25">
      <c r="A335" s="241"/>
      <c r="B335" s="61" t="s">
        <v>324</v>
      </c>
      <c r="C335" s="24" t="s">
        <v>326</v>
      </c>
      <c r="D335" s="24" t="s">
        <v>337</v>
      </c>
      <c r="E335" s="24" t="s">
        <v>340</v>
      </c>
      <c r="F335" s="245" t="s">
        <v>433</v>
      </c>
      <c r="G335" s="68" t="s">
        <v>353</v>
      </c>
      <c r="H335" s="68" t="s">
        <v>346</v>
      </c>
      <c r="I335" s="70" t="s">
        <v>36</v>
      </c>
      <c r="J335" s="24">
        <v>5</v>
      </c>
    </row>
    <row r="336" spans="1:10" ht="12.5" x14ac:dyDescent="0.25">
      <c r="A336" s="241"/>
      <c r="B336" s="61" t="s">
        <v>324</v>
      </c>
      <c r="C336" s="24" t="s">
        <v>326</v>
      </c>
      <c r="D336" s="24" t="s">
        <v>337</v>
      </c>
      <c r="E336" s="24" t="s">
        <v>340</v>
      </c>
      <c r="F336" s="245" t="s">
        <v>435</v>
      </c>
      <c r="G336" s="68" t="s">
        <v>353</v>
      </c>
      <c r="H336" s="68" t="s">
        <v>347</v>
      </c>
      <c r="I336" s="70" t="s">
        <v>36</v>
      </c>
      <c r="J336" s="24">
        <v>5</v>
      </c>
    </row>
    <row r="337" spans="1:10" ht="12.5" x14ac:dyDescent="0.25">
      <c r="A337" s="246"/>
      <c r="B337" s="24" t="s">
        <v>1489</v>
      </c>
      <c r="C337" s="24" t="s">
        <v>1489</v>
      </c>
      <c r="D337" s="24"/>
      <c r="E337" s="24"/>
      <c r="F337" s="24"/>
      <c r="G337" s="68" t="s">
        <v>1489</v>
      </c>
      <c r="H337" s="68" t="s">
        <v>1489</v>
      </c>
      <c r="I337" s="70"/>
    </row>
    <row r="338" spans="1:10" ht="12.5" x14ac:dyDescent="0.25">
      <c r="A338" s="241">
        <v>50</v>
      </c>
      <c r="B338" s="61" t="s">
        <v>324</v>
      </c>
      <c r="C338" s="24" t="s">
        <v>326</v>
      </c>
      <c r="D338" s="24" t="s">
        <v>337</v>
      </c>
      <c r="E338" s="24" t="s">
        <v>340</v>
      </c>
      <c r="F338" s="242" t="s">
        <v>398</v>
      </c>
      <c r="G338" s="68" t="s">
        <v>349</v>
      </c>
      <c r="H338" s="68" t="s">
        <v>346</v>
      </c>
      <c r="I338" s="70" t="s">
        <v>21</v>
      </c>
      <c r="J338" s="24">
        <v>12</v>
      </c>
    </row>
    <row r="339" spans="1:10" ht="12.5" x14ac:dyDescent="0.25">
      <c r="A339" s="241"/>
      <c r="B339" s="61" t="s">
        <v>324</v>
      </c>
      <c r="C339" s="24" t="s">
        <v>326</v>
      </c>
      <c r="D339" s="24" t="s">
        <v>337</v>
      </c>
      <c r="E339" s="24" t="s">
        <v>340</v>
      </c>
      <c r="F339" s="243" t="s">
        <v>409</v>
      </c>
      <c r="G339" s="68" t="s">
        <v>349</v>
      </c>
      <c r="H339" s="68" t="s">
        <v>347</v>
      </c>
      <c r="I339" s="70" t="s">
        <v>21</v>
      </c>
      <c r="J339" s="24">
        <v>9</v>
      </c>
    </row>
    <row r="340" spans="1:10" ht="12.5" x14ac:dyDescent="0.25">
      <c r="A340" s="241"/>
      <c r="B340" s="61" t="s">
        <v>324</v>
      </c>
      <c r="C340" s="24" t="s">
        <v>326</v>
      </c>
      <c r="D340" s="24" t="s">
        <v>337</v>
      </c>
      <c r="E340" s="24" t="s">
        <v>340</v>
      </c>
      <c r="F340" s="244" t="s">
        <v>420</v>
      </c>
      <c r="G340" s="68" t="s">
        <v>351</v>
      </c>
      <c r="H340" s="68" t="s">
        <v>346</v>
      </c>
      <c r="I340" s="70" t="s">
        <v>21</v>
      </c>
      <c r="J340" s="24">
        <v>11</v>
      </c>
    </row>
    <row r="341" spans="1:10" ht="12.5" x14ac:dyDescent="0.25">
      <c r="A341" s="241"/>
      <c r="B341" s="61" t="s">
        <v>324</v>
      </c>
      <c r="C341" s="24" t="s">
        <v>326</v>
      </c>
      <c r="D341" s="24" t="s">
        <v>337</v>
      </c>
      <c r="E341" s="24" t="s">
        <v>340</v>
      </c>
      <c r="F341" s="244" t="s">
        <v>430</v>
      </c>
      <c r="G341" s="68" t="s">
        <v>351</v>
      </c>
      <c r="H341" s="68" t="s">
        <v>347</v>
      </c>
      <c r="I341" s="70" t="s">
        <v>21</v>
      </c>
      <c r="J341" s="24">
        <v>11</v>
      </c>
    </row>
    <row r="342" spans="1:10" ht="12.5" x14ac:dyDescent="0.25">
      <c r="A342" s="241"/>
      <c r="B342" s="61" t="s">
        <v>324</v>
      </c>
      <c r="C342" s="24" t="s">
        <v>326</v>
      </c>
      <c r="D342" s="24" t="s">
        <v>337</v>
      </c>
      <c r="E342" s="24" t="s">
        <v>340</v>
      </c>
      <c r="F342" s="245" t="s">
        <v>433</v>
      </c>
      <c r="G342" s="68" t="s">
        <v>353</v>
      </c>
      <c r="H342" s="68" t="s">
        <v>346</v>
      </c>
      <c r="I342" s="70" t="s">
        <v>21</v>
      </c>
      <c r="J342" s="24">
        <v>11</v>
      </c>
    </row>
    <row r="343" spans="1:10" ht="12.5" x14ac:dyDescent="0.25">
      <c r="A343" s="241"/>
      <c r="B343" s="61" t="s">
        <v>324</v>
      </c>
      <c r="C343" s="24" t="s">
        <v>326</v>
      </c>
      <c r="D343" s="24" t="s">
        <v>337</v>
      </c>
      <c r="E343" s="24" t="s">
        <v>340</v>
      </c>
      <c r="F343" s="245" t="s">
        <v>435</v>
      </c>
      <c r="G343" s="68" t="s">
        <v>353</v>
      </c>
      <c r="H343" s="68" t="s">
        <v>347</v>
      </c>
      <c r="I343" s="70" t="s">
        <v>21</v>
      </c>
      <c r="J343" s="24">
        <v>13</v>
      </c>
    </row>
    <row r="344" spans="1:10" ht="12.5" x14ac:dyDescent="0.25">
      <c r="A344" s="246"/>
      <c r="B344" s="24" t="s">
        <v>1489</v>
      </c>
      <c r="C344" s="24" t="s">
        <v>1489</v>
      </c>
      <c r="D344" s="24"/>
      <c r="E344" s="24"/>
      <c r="F344" s="24"/>
      <c r="G344" s="68" t="s">
        <v>1489</v>
      </c>
      <c r="H344" s="68" t="s">
        <v>1489</v>
      </c>
      <c r="I344" s="70"/>
    </row>
    <row r="345" spans="1:10" ht="12.5" x14ac:dyDescent="0.25">
      <c r="A345" s="241">
        <v>51</v>
      </c>
      <c r="B345" s="61" t="s">
        <v>324</v>
      </c>
      <c r="C345" s="24" t="s">
        <v>326</v>
      </c>
      <c r="D345" s="24" t="s">
        <v>337</v>
      </c>
      <c r="E345" s="24" t="s">
        <v>340</v>
      </c>
      <c r="F345" s="242" t="s">
        <v>398</v>
      </c>
      <c r="G345" s="68" t="s">
        <v>349</v>
      </c>
      <c r="H345" s="68" t="s">
        <v>346</v>
      </c>
      <c r="I345" s="70" t="s">
        <v>29</v>
      </c>
      <c r="J345" s="24">
        <v>3</v>
      </c>
    </row>
    <row r="346" spans="1:10" ht="12.5" x14ac:dyDescent="0.25">
      <c r="A346" s="241"/>
      <c r="B346" s="61" t="s">
        <v>324</v>
      </c>
      <c r="C346" s="24" t="s">
        <v>326</v>
      </c>
      <c r="D346" s="24" t="s">
        <v>337</v>
      </c>
      <c r="E346" s="24" t="s">
        <v>340</v>
      </c>
      <c r="F346" s="243" t="s">
        <v>409</v>
      </c>
      <c r="G346" s="68" t="s">
        <v>349</v>
      </c>
      <c r="H346" s="68" t="s">
        <v>347</v>
      </c>
      <c r="I346" s="70" t="s">
        <v>29</v>
      </c>
      <c r="J346" s="24">
        <v>4</v>
      </c>
    </row>
    <row r="347" spans="1:10" ht="12.5" x14ac:dyDescent="0.25">
      <c r="A347" s="241"/>
      <c r="B347" s="61" t="s">
        <v>324</v>
      </c>
      <c r="C347" s="24" t="s">
        <v>326</v>
      </c>
      <c r="D347" s="24" t="s">
        <v>337</v>
      </c>
      <c r="E347" s="24" t="s">
        <v>340</v>
      </c>
      <c r="F347" s="244" t="s">
        <v>420</v>
      </c>
      <c r="G347" s="68" t="s">
        <v>351</v>
      </c>
      <c r="H347" s="68" t="s">
        <v>346</v>
      </c>
      <c r="I347" s="70" t="s">
        <v>29</v>
      </c>
      <c r="J347" s="24">
        <v>4</v>
      </c>
    </row>
    <row r="348" spans="1:10" ht="12.5" x14ac:dyDescent="0.25">
      <c r="A348" s="241"/>
      <c r="B348" s="61" t="s">
        <v>324</v>
      </c>
      <c r="C348" s="24" t="s">
        <v>326</v>
      </c>
      <c r="D348" s="24" t="s">
        <v>337</v>
      </c>
      <c r="E348" s="24" t="s">
        <v>340</v>
      </c>
      <c r="F348" s="244" t="s">
        <v>430</v>
      </c>
      <c r="G348" s="68" t="s">
        <v>351</v>
      </c>
      <c r="H348" s="68" t="s">
        <v>347</v>
      </c>
      <c r="I348" s="70" t="s">
        <v>29</v>
      </c>
      <c r="J348" s="24">
        <v>3</v>
      </c>
    </row>
    <row r="349" spans="1:10" ht="12.5" x14ac:dyDescent="0.25">
      <c r="A349" s="241"/>
      <c r="B349" s="61" t="s">
        <v>324</v>
      </c>
      <c r="C349" s="24" t="s">
        <v>326</v>
      </c>
      <c r="D349" s="24" t="s">
        <v>337</v>
      </c>
      <c r="E349" s="24" t="s">
        <v>340</v>
      </c>
      <c r="F349" s="245" t="s">
        <v>433</v>
      </c>
      <c r="G349" s="68" t="s">
        <v>353</v>
      </c>
      <c r="H349" s="68" t="s">
        <v>346</v>
      </c>
      <c r="I349" s="70" t="s">
        <v>29</v>
      </c>
      <c r="J349" s="24">
        <v>4</v>
      </c>
    </row>
    <row r="350" spans="1:10" ht="12.5" x14ac:dyDescent="0.25">
      <c r="A350" s="241"/>
      <c r="B350" s="61" t="s">
        <v>324</v>
      </c>
      <c r="C350" s="24" t="s">
        <v>326</v>
      </c>
      <c r="D350" s="24" t="s">
        <v>337</v>
      </c>
      <c r="E350" s="24" t="s">
        <v>340</v>
      </c>
      <c r="F350" s="245" t="s">
        <v>435</v>
      </c>
      <c r="G350" s="68" t="s">
        <v>353</v>
      </c>
      <c r="H350" s="68" t="s">
        <v>347</v>
      </c>
      <c r="I350" s="70" t="s">
        <v>29</v>
      </c>
      <c r="J350" s="24">
        <v>5</v>
      </c>
    </row>
    <row r="351" spans="1:10" ht="12.5" x14ac:dyDescent="0.25">
      <c r="A351" s="246"/>
      <c r="B351" s="24" t="s">
        <v>1489</v>
      </c>
      <c r="C351" s="24" t="s">
        <v>1489</v>
      </c>
      <c r="D351" s="24"/>
      <c r="E351" s="24"/>
      <c r="F351" s="24"/>
      <c r="G351" s="68" t="s">
        <v>1489</v>
      </c>
      <c r="H351" s="68" t="s">
        <v>1489</v>
      </c>
      <c r="I351" s="70"/>
    </row>
    <row r="352" spans="1:10" ht="12.5" x14ac:dyDescent="0.25">
      <c r="A352" s="241">
        <v>52</v>
      </c>
      <c r="B352" s="61" t="s">
        <v>324</v>
      </c>
      <c r="C352" s="24" t="s">
        <v>326</v>
      </c>
      <c r="D352" s="24" t="s">
        <v>337</v>
      </c>
      <c r="E352" s="24" t="s">
        <v>341</v>
      </c>
      <c r="F352" s="242" t="s">
        <v>398</v>
      </c>
      <c r="G352" s="68" t="s">
        <v>349</v>
      </c>
      <c r="H352" s="68" t="s">
        <v>346</v>
      </c>
      <c r="I352" s="70">
        <v>86809</v>
      </c>
      <c r="J352" s="24">
        <v>0</v>
      </c>
    </row>
    <row r="353" spans="1:10" ht="12.5" x14ac:dyDescent="0.25">
      <c r="A353" s="241"/>
      <c r="B353" s="61" t="s">
        <v>324</v>
      </c>
      <c r="C353" s="24" t="s">
        <v>326</v>
      </c>
      <c r="D353" s="24" t="s">
        <v>337</v>
      </c>
      <c r="E353" s="24" t="s">
        <v>341</v>
      </c>
      <c r="F353" s="243" t="s">
        <v>409</v>
      </c>
      <c r="G353" s="68" t="s">
        <v>349</v>
      </c>
      <c r="H353" s="68" t="s">
        <v>347</v>
      </c>
      <c r="I353" s="70">
        <v>86809</v>
      </c>
      <c r="J353" s="24">
        <v>0</v>
      </c>
    </row>
    <row r="354" spans="1:10" ht="12.5" x14ac:dyDescent="0.25">
      <c r="A354" s="241"/>
      <c r="B354" s="61" t="s">
        <v>324</v>
      </c>
      <c r="C354" s="24" t="s">
        <v>326</v>
      </c>
      <c r="D354" s="24" t="s">
        <v>337</v>
      </c>
      <c r="E354" s="24" t="s">
        <v>341</v>
      </c>
      <c r="F354" s="244" t="s">
        <v>420</v>
      </c>
      <c r="G354" s="68" t="s">
        <v>351</v>
      </c>
      <c r="H354" s="68" t="s">
        <v>346</v>
      </c>
      <c r="I354" s="70">
        <v>86809</v>
      </c>
      <c r="J354" s="24">
        <v>1</v>
      </c>
    </row>
    <row r="355" spans="1:10" ht="12.5" x14ac:dyDescent="0.25">
      <c r="A355" s="241"/>
      <c r="B355" s="61" t="s">
        <v>324</v>
      </c>
      <c r="C355" s="24" t="s">
        <v>326</v>
      </c>
      <c r="D355" s="24" t="s">
        <v>337</v>
      </c>
      <c r="E355" s="24" t="s">
        <v>341</v>
      </c>
      <c r="F355" s="244" t="s">
        <v>430</v>
      </c>
      <c r="G355" s="68" t="s">
        <v>351</v>
      </c>
      <c r="H355" s="68" t="s">
        <v>347</v>
      </c>
      <c r="I355" s="70">
        <v>86809</v>
      </c>
      <c r="J355" s="24">
        <v>1</v>
      </c>
    </row>
    <row r="356" spans="1:10" ht="12.5" x14ac:dyDescent="0.25">
      <c r="A356" s="241"/>
      <c r="B356" s="61" t="s">
        <v>324</v>
      </c>
      <c r="C356" s="24" t="s">
        <v>326</v>
      </c>
      <c r="D356" s="24" t="s">
        <v>337</v>
      </c>
      <c r="E356" s="24" t="s">
        <v>341</v>
      </c>
      <c r="F356" s="245" t="s">
        <v>433</v>
      </c>
      <c r="G356" s="68" t="s">
        <v>353</v>
      </c>
      <c r="H356" s="68" t="s">
        <v>346</v>
      </c>
      <c r="I356" s="70">
        <v>86809</v>
      </c>
      <c r="J356" s="24">
        <v>0</v>
      </c>
    </row>
    <row r="357" spans="1:10" ht="12.5" x14ac:dyDescent="0.25">
      <c r="A357" s="241"/>
      <c r="B357" s="61" t="s">
        <v>324</v>
      </c>
      <c r="C357" s="24" t="s">
        <v>326</v>
      </c>
      <c r="D357" s="24" t="s">
        <v>337</v>
      </c>
      <c r="E357" s="24" t="s">
        <v>341</v>
      </c>
      <c r="F357" s="245" t="s">
        <v>435</v>
      </c>
      <c r="G357" s="68" t="s">
        <v>353</v>
      </c>
      <c r="H357" s="68" t="s">
        <v>347</v>
      </c>
      <c r="I357" s="70">
        <v>86809</v>
      </c>
      <c r="J357" s="24">
        <v>1</v>
      </c>
    </row>
    <row r="358" spans="1:10" ht="12.5" x14ac:dyDescent="0.25">
      <c r="A358" s="246"/>
      <c r="B358" s="24" t="s">
        <v>1489</v>
      </c>
      <c r="C358" s="24" t="s">
        <v>1489</v>
      </c>
      <c r="D358" s="24"/>
      <c r="E358" s="24"/>
      <c r="F358" s="24"/>
      <c r="G358" s="68" t="s">
        <v>1489</v>
      </c>
      <c r="H358" s="68" t="s">
        <v>1489</v>
      </c>
      <c r="I358" s="70"/>
    </row>
    <row r="359" spans="1:10" ht="12.5" x14ac:dyDescent="0.25">
      <c r="A359" s="241">
        <v>53</v>
      </c>
      <c r="B359" s="61" t="s">
        <v>324</v>
      </c>
      <c r="C359" s="24" t="s">
        <v>326</v>
      </c>
      <c r="D359" s="24" t="s">
        <v>337</v>
      </c>
      <c r="E359" s="24" t="s">
        <v>341</v>
      </c>
      <c r="F359" s="242" t="s">
        <v>398</v>
      </c>
      <c r="G359" s="68" t="s">
        <v>349</v>
      </c>
      <c r="H359" s="68" t="s">
        <v>346</v>
      </c>
      <c r="I359" s="70">
        <v>88327</v>
      </c>
      <c r="J359" s="24">
        <v>1</v>
      </c>
    </row>
    <row r="360" spans="1:10" ht="12.5" x14ac:dyDescent="0.25">
      <c r="A360" s="241"/>
      <c r="B360" s="61" t="s">
        <v>324</v>
      </c>
      <c r="C360" s="24" t="s">
        <v>326</v>
      </c>
      <c r="D360" s="24" t="s">
        <v>337</v>
      </c>
      <c r="E360" s="24" t="s">
        <v>341</v>
      </c>
      <c r="F360" s="243" t="s">
        <v>409</v>
      </c>
      <c r="G360" s="68" t="s">
        <v>349</v>
      </c>
      <c r="H360" s="68" t="s">
        <v>347</v>
      </c>
      <c r="I360" s="70">
        <v>88327</v>
      </c>
      <c r="J360" s="24">
        <v>1</v>
      </c>
    </row>
    <row r="361" spans="1:10" ht="12.5" x14ac:dyDescent="0.25">
      <c r="A361" s="241"/>
      <c r="B361" s="61" t="s">
        <v>324</v>
      </c>
      <c r="C361" s="24" t="s">
        <v>326</v>
      </c>
      <c r="D361" s="24" t="s">
        <v>337</v>
      </c>
      <c r="E361" s="24" t="s">
        <v>341</v>
      </c>
      <c r="F361" s="244" t="s">
        <v>420</v>
      </c>
      <c r="G361" s="68" t="s">
        <v>351</v>
      </c>
      <c r="H361" s="68" t="s">
        <v>346</v>
      </c>
      <c r="I361" s="70">
        <v>88327</v>
      </c>
      <c r="J361" s="24">
        <v>1</v>
      </c>
    </row>
    <row r="362" spans="1:10" ht="12.5" x14ac:dyDescent="0.25">
      <c r="A362" s="241"/>
      <c r="B362" s="61" t="s">
        <v>324</v>
      </c>
      <c r="C362" s="24" t="s">
        <v>326</v>
      </c>
      <c r="D362" s="24" t="s">
        <v>337</v>
      </c>
      <c r="E362" s="24" t="s">
        <v>341</v>
      </c>
      <c r="F362" s="244" t="s">
        <v>430</v>
      </c>
      <c r="G362" s="68" t="s">
        <v>351</v>
      </c>
      <c r="H362" s="68" t="s">
        <v>347</v>
      </c>
      <c r="I362" s="70">
        <v>88327</v>
      </c>
      <c r="J362" s="24">
        <v>1</v>
      </c>
    </row>
    <row r="363" spans="1:10" ht="12.5" x14ac:dyDescent="0.25">
      <c r="A363" s="241"/>
      <c r="B363" s="61" t="s">
        <v>324</v>
      </c>
      <c r="C363" s="24" t="s">
        <v>326</v>
      </c>
      <c r="D363" s="24" t="s">
        <v>337</v>
      </c>
      <c r="E363" s="24" t="s">
        <v>341</v>
      </c>
      <c r="F363" s="245" t="s">
        <v>433</v>
      </c>
      <c r="G363" s="68" t="s">
        <v>353</v>
      </c>
      <c r="H363" s="68" t="s">
        <v>346</v>
      </c>
      <c r="I363" s="70">
        <v>88327</v>
      </c>
      <c r="J363" s="24">
        <v>0</v>
      </c>
    </row>
    <row r="364" spans="1:10" ht="12.5" x14ac:dyDescent="0.25">
      <c r="A364" s="241"/>
      <c r="B364" s="61" t="s">
        <v>324</v>
      </c>
      <c r="C364" s="24" t="s">
        <v>326</v>
      </c>
      <c r="D364" s="24" t="s">
        <v>337</v>
      </c>
      <c r="E364" s="24" t="s">
        <v>341</v>
      </c>
      <c r="F364" s="245" t="s">
        <v>435</v>
      </c>
      <c r="G364" s="68" t="s">
        <v>353</v>
      </c>
      <c r="H364" s="68" t="s">
        <v>347</v>
      </c>
      <c r="I364" s="70">
        <v>88327</v>
      </c>
      <c r="J364" s="24">
        <v>1</v>
      </c>
    </row>
    <row r="365" spans="1:10" ht="12.5" x14ac:dyDescent="0.25">
      <c r="A365" s="246"/>
      <c r="B365" s="24" t="s">
        <v>1489</v>
      </c>
      <c r="C365" s="24" t="s">
        <v>1489</v>
      </c>
      <c r="D365" s="24"/>
      <c r="E365" s="24"/>
      <c r="F365" s="24"/>
      <c r="G365" s="68" t="s">
        <v>1489</v>
      </c>
      <c r="H365" s="68" t="s">
        <v>1489</v>
      </c>
      <c r="I365" s="70"/>
    </row>
    <row r="366" spans="1:10" ht="12.5" x14ac:dyDescent="0.25">
      <c r="A366" s="241">
        <v>54</v>
      </c>
      <c r="B366" s="61" t="s">
        <v>324</v>
      </c>
      <c r="C366" s="24" t="s">
        <v>326</v>
      </c>
      <c r="D366" s="24" t="s">
        <v>337</v>
      </c>
      <c r="E366" s="24" t="s">
        <v>341</v>
      </c>
      <c r="F366" s="242" t="s">
        <v>398</v>
      </c>
      <c r="G366" s="68" t="s">
        <v>349</v>
      </c>
      <c r="H366" s="68" t="s">
        <v>346</v>
      </c>
      <c r="I366" s="70" t="s">
        <v>169</v>
      </c>
      <c r="J366" s="24">
        <v>3</v>
      </c>
    </row>
    <row r="367" spans="1:10" ht="12.5" x14ac:dyDescent="0.25">
      <c r="A367" s="241"/>
      <c r="B367" s="61" t="s">
        <v>324</v>
      </c>
      <c r="C367" s="24" t="s">
        <v>326</v>
      </c>
      <c r="D367" s="24" t="s">
        <v>337</v>
      </c>
      <c r="E367" s="24" t="s">
        <v>341</v>
      </c>
      <c r="F367" s="243" t="s">
        <v>409</v>
      </c>
      <c r="G367" s="68" t="s">
        <v>349</v>
      </c>
      <c r="H367" s="68" t="s">
        <v>347</v>
      </c>
      <c r="I367" s="70" t="s">
        <v>169</v>
      </c>
      <c r="J367" s="24">
        <v>2</v>
      </c>
    </row>
    <row r="368" spans="1:10" ht="12.5" x14ac:dyDescent="0.25">
      <c r="A368" s="241"/>
      <c r="B368" s="61" t="s">
        <v>324</v>
      </c>
      <c r="C368" s="24" t="s">
        <v>326</v>
      </c>
      <c r="D368" s="24" t="s">
        <v>337</v>
      </c>
      <c r="E368" s="24" t="s">
        <v>341</v>
      </c>
      <c r="F368" s="244" t="s">
        <v>420</v>
      </c>
      <c r="G368" s="68" t="s">
        <v>351</v>
      </c>
      <c r="H368" s="68" t="s">
        <v>346</v>
      </c>
      <c r="I368" s="70" t="s">
        <v>169</v>
      </c>
      <c r="J368" s="24">
        <v>1</v>
      </c>
    </row>
    <row r="369" spans="1:10" ht="12.5" x14ac:dyDescent="0.25">
      <c r="A369" s="241"/>
      <c r="B369" s="61" t="s">
        <v>324</v>
      </c>
      <c r="C369" s="24" t="s">
        <v>326</v>
      </c>
      <c r="D369" s="24" t="s">
        <v>337</v>
      </c>
      <c r="E369" s="24" t="s">
        <v>341</v>
      </c>
      <c r="F369" s="244" t="s">
        <v>430</v>
      </c>
      <c r="G369" s="68" t="s">
        <v>351</v>
      </c>
      <c r="H369" s="68" t="s">
        <v>347</v>
      </c>
      <c r="I369" s="70" t="s">
        <v>169</v>
      </c>
      <c r="J369" s="24">
        <v>1</v>
      </c>
    </row>
    <row r="370" spans="1:10" ht="12.5" x14ac:dyDescent="0.25">
      <c r="A370" s="241"/>
      <c r="B370" s="61" t="s">
        <v>324</v>
      </c>
      <c r="C370" s="24" t="s">
        <v>326</v>
      </c>
      <c r="D370" s="24" t="s">
        <v>337</v>
      </c>
      <c r="E370" s="24" t="s">
        <v>341</v>
      </c>
      <c r="F370" s="245" t="s">
        <v>433</v>
      </c>
      <c r="G370" s="68" t="s">
        <v>353</v>
      </c>
      <c r="H370" s="68" t="s">
        <v>346</v>
      </c>
      <c r="I370" s="70" t="s">
        <v>169</v>
      </c>
      <c r="J370" s="24">
        <v>1</v>
      </c>
    </row>
    <row r="371" spans="1:10" ht="12.5" x14ac:dyDescent="0.25">
      <c r="A371" s="241"/>
      <c r="B371" s="61" t="s">
        <v>324</v>
      </c>
      <c r="C371" s="24" t="s">
        <v>326</v>
      </c>
      <c r="D371" s="24" t="s">
        <v>337</v>
      </c>
      <c r="E371" s="24" t="s">
        <v>341</v>
      </c>
      <c r="F371" s="245" t="s">
        <v>435</v>
      </c>
      <c r="G371" s="68" t="s">
        <v>353</v>
      </c>
      <c r="H371" s="68" t="s">
        <v>347</v>
      </c>
      <c r="I371" s="70" t="s">
        <v>169</v>
      </c>
      <c r="J371" s="24">
        <v>3</v>
      </c>
    </row>
    <row r="372" spans="1:10" ht="12.5" x14ac:dyDescent="0.25">
      <c r="A372" s="246"/>
      <c r="B372" s="24" t="s">
        <v>1489</v>
      </c>
      <c r="C372" s="24" t="s">
        <v>1489</v>
      </c>
      <c r="D372" s="24"/>
      <c r="E372" s="24"/>
      <c r="F372" s="24"/>
      <c r="G372" s="68" t="s">
        <v>1489</v>
      </c>
      <c r="H372" s="68" t="s">
        <v>1489</v>
      </c>
      <c r="I372" s="70"/>
    </row>
    <row r="373" spans="1:10" ht="12.5" x14ac:dyDescent="0.25">
      <c r="A373" s="241">
        <v>55</v>
      </c>
      <c r="B373" s="61" t="s">
        <v>324</v>
      </c>
      <c r="C373" s="24" t="s">
        <v>326</v>
      </c>
      <c r="D373" s="24" t="s">
        <v>337</v>
      </c>
      <c r="E373" s="24" t="s">
        <v>341</v>
      </c>
      <c r="F373" s="242" t="s">
        <v>398</v>
      </c>
      <c r="G373" s="68" t="s">
        <v>349</v>
      </c>
      <c r="H373" s="68" t="s">
        <v>346</v>
      </c>
      <c r="I373" s="70" t="s">
        <v>172</v>
      </c>
      <c r="J373" s="24">
        <v>1</v>
      </c>
    </row>
    <row r="374" spans="1:10" ht="12.5" x14ac:dyDescent="0.25">
      <c r="A374" s="241"/>
      <c r="B374" s="61" t="s">
        <v>324</v>
      </c>
      <c r="C374" s="24" t="s">
        <v>326</v>
      </c>
      <c r="D374" s="24" t="s">
        <v>337</v>
      </c>
      <c r="E374" s="24" t="s">
        <v>341</v>
      </c>
      <c r="F374" s="243" t="s">
        <v>409</v>
      </c>
      <c r="G374" s="68" t="s">
        <v>349</v>
      </c>
      <c r="H374" s="68" t="s">
        <v>347</v>
      </c>
      <c r="I374" s="70" t="s">
        <v>172</v>
      </c>
      <c r="J374" s="24">
        <v>1</v>
      </c>
    </row>
    <row r="375" spans="1:10" ht="12.5" x14ac:dyDescent="0.25">
      <c r="A375" s="241"/>
      <c r="B375" s="61" t="s">
        <v>324</v>
      </c>
      <c r="C375" s="24" t="s">
        <v>326</v>
      </c>
      <c r="D375" s="24" t="s">
        <v>337</v>
      </c>
      <c r="E375" s="24" t="s">
        <v>341</v>
      </c>
      <c r="F375" s="244" t="s">
        <v>420</v>
      </c>
      <c r="G375" s="68" t="s">
        <v>351</v>
      </c>
      <c r="H375" s="68" t="s">
        <v>346</v>
      </c>
      <c r="I375" s="70" t="s">
        <v>172</v>
      </c>
      <c r="J375" s="24">
        <v>1</v>
      </c>
    </row>
    <row r="376" spans="1:10" ht="12.5" x14ac:dyDescent="0.25">
      <c r="A376" s="241"/>
      <c r="B376" s="61" t="s">
        <v>324</v>
      </c>
      <c r="C376" s="24" t="s">
        <v>326</v>
      </c>
      <c r="D376" s="24" t="s">
        <v>337</v>
      </c>
      <c r="E376" s="24" t="s">
        <v>341</v>
      </c>
      <c r="F376" s="244" t="s">
        <v>430</v>
      </c>
      <c r="G376" s="68" t="s">
        <v>351</v>
      </c>
      <c r="H376" s="68" t="s">
        <v>347</v>
      </c>
      <c r="I376" s="70" t="s">
        <v>172</v>
      </c>
      <c r="J376" s="24">
        <v>1</v>
      </c>
    </row>
    <row r="377" spans="1:10" ht="12.5" x14ac:dyDescent="0.25">
      <c r="A377" s="241"/>
      <c r="B377" s="61" t="s">
        <v>324</v>
      </c>
      <c r="C377" s="24" t="s">
        <v>326</v>
      </c>
      <c r="D377" s="24" t="s">
        <v>337</v>
      </c>
      <c r="E377" s="24" t="s">
        <v>341</v>
      </c>
      <c r="F377" s="245" t="s">
        <v>433</v>
      </c>
      <c r="G377" s="68" t="s">
        <v>353</v>
      </c>
      <c r="H377" s="68" t="s">
        <v>346</v>
      </c>
      <c r="I377" s="70" t="s">
        <v>172</v>
      </c>
      <c r="J377" s="24">
        <v>1</v>
      </c>
    </row>
    <row r="378" spans="1:10" ht="12.5" x14ac:dyDescent="0.25">
      <c r="A378" s="241"/>
      <c r="B378" s="61" t="s">
        <v>324</v>
      </c>
      <c r="C378" s="24" t="s">
        <v>326</v>
      </c>
      <c r="D378" s="24" t="s">
        <v>337</v>
      </c>
      <c r="E378" s="24" t="s">
        <v>341</v>
      </c>
      <c r="F378" s="245" t="s">
        <v>435</v>
      </c>
      <c r="G378" s="68" t="s">
        <v>353</v>
      </c>
      <c r="H378" s="68" t="s">
        <v>347</v>
      </c>
      <c r="I378" s="70" t="s">
        <v>172</v>
      </c>
      <c r="J378" s="24">
        <v>0</v>
      </c>
    </row>
    <row r="379" spans="1:10" ht="12.5" x14ac:dyDescent="0.25">
      <c r="A379" s="246"/>
      <c r="B379" s="24" t="s">
        <v>1489</v>
      </c>
      <c r="C379" s="24" t="s">
        <v>1489</v>
      </c>
      <c r="D379" s="24"/>
      <c r="E379" s="24"/>
      <c r="F379" s="24"/>
      <c r="G379" s="68" t="s">
        <v>1489</v>
      </c>
      <c r="H379" s="68" t="s">
        <v>1489</v>
      </c>
      <c r="I379" s="70"/>
    </row>
    <row r="380" spans="1:10" ht="12.5" x14ac:dyDescent="0.25">
      <c r="A380" s="241">
        <v>56</v>
      </c>
      <c r="B380" s="61" t="s">
        <v>324</v>
      </c>
      <c r="C380" s="24" t="s">
        <v>326</v>
      </c>
      <c r="D380" s="24" t="s">
        <v>337</v>
      </c>
      <c r="E380" s="24" t="s">
        <v>341</v>
      </c>
      <c r="F380" s="242" t="s">
        <v>398</v>
      </c>
      <c r="G380" s="68" t="s">
        <v>349</v>
      </c>
      <c r="H380" s="68" t="s">
        <v>346</v>
      </c>
      <c r="I380" s="70" t="s">
        <v>422</v>
      </c>
      <c r="J380" s="24">
        <v>1</v>
      </c>
    </row>
    <row r="381" spans="1:10" ht="12.5" x14ac:dyDescent="0.25">
      <c r="A381" s="241"/>
      <c r="B381" s="61" t="s">
        <v>324</v>
      </c>
      <c r="C381" s="24" t="s">
        <v>326</v>
      </c>
      <c r="D381" s="24" t="s">
        <v>337</v>
      </c>
      <c r="E381" s="24" t="s">
        <v>341</v>
      </c>
      <c r="F381" s="243" t="s">
        <v>409</v>
      </c>
      <c r="G381" s="68" t="s">
        <v>349</v>
      </c>
      <c r="H381" s="68" t="s">
        <v>347</v>
      </c>
      <c r="I381" s="70" t="s">
        <v>422</v>
      </c>
      <c r="J381" s="24">
        <v>4</v>
      </c>
    </row>
    <row r="382" spans="1:10" ht="12.5" x14ac:dyDescent="0.25">
      <c r="A382" s="241"/>
      <c r="B382" s="61" t="s">
        <v>324</v>
      </c>
      <c r="C382" s="24" t="s">
        <v>326</v>
      </c>
      <c r="D382" s="24" t="s">
        <v>337</v>
      </c>
      <c r="E382" s="24" t="s">
        <v>341</v>
      </c>
      <c r="F382" s="244" t="s">
        <v>420</v>
      </c>
      <c r="G382" s="68" t="s">
        <v>351</v>
      </c>
      <c r="H382" s="68" t="s">
        <v>346</v>
      </c>
      <c r="I382" s="70" t="s">
        <v>422</v>
      </c>
      <c r="J382" s="24">
        <v>3</v>
      </c>
    </row>
    <row r="383" spans="1:10" ht="12.5" x14ac:dyDescent="0.25">
      <c r="A383" s="241"/>
      <c r="B383" s="61" t="s">
        <v>324</v>
      </c>
      <c r="C383" s="24" t="s">
        <v>326</v>
      </c>
      <c r="D383" s="24" t="s">
        <v>337</v>
      </c>
      <c r="E383" s="24" t="s">
        <v>341</v>
      </c>
      <c r="F383" s="244" t="s">
        <v>430</v>
      </c>
      <c r="G383" s="68" t="s">
        <v>351</v>
      </c>
      <c r="H383" s="68" t="s">
        <v>347</v>
      </c>
      <c r="I383" s="70" t="s">
        <v>422</v>
      </c>
      <c r="J383" s="24">
        <v>2</v>
      </c>
    </row>
    <row r="384" spans="1:10" ht="12.5" x14ac:dyDescent="0.25">
      <c r="A384" s="241"/>
      <c r="B384" s="61" t="s">
        <v>324</v>
      </c>
      <c r="C384" s="24" t="s">
        <v>326</v>
      </c>
      <c r="D384" s="24" t="s">
        <v>337</v>
      </c>
      <c r="E384" s="24" t="s">
        <v>341</v>
      </c>
      <c r="F384" s="245" t="s">
        <v>433</v>
      </c>
      <c r="G384" s="68" t="s">
        <v>353</v>
      </c>
      <c r="H384" s="68" t="s">
        <v>346</v>
      </c>
      <c r="I384" s="70" t="s">
        <v>422</v>
      </c>
      <c r="J384" s="24">
        <v>3</v>
      </c>
    </row>
    <row r="385" spans="1:10" ht="12.5" x14ac:dyDescent="0.25">
      <c r="A385" s="241"/>
      <c r="B385" s="61" t="s">
        <v>324</v>
      </c>
      <c r="C385" s="24" t="s">
        <v>326</v>
      </c>
      <c r="D385" s="24" t="s">
        <v>337</v>
      </c>
      <c r="E385" s="24" t="s">
        <v>341</v>
      </c>
      <c r="F385" s="245" t="s">
        <v>435</v>
      </c>
      <c r="G385" s="68" t="s">
        <v>353</v>
      </c>
      <c r="H385" s="68" t="s">
        <v>347</v>
      </c>
      <c r="I385" s="70" t="s">
        <v>422</v>
      </c>
      <c r="J385" s="24">
        <v>1</v>
      </c>
    </row>
    <row r="386" spans="1:10" ht="12.5" x14ac:dyDescent="0.25">
      <c r="A386" s="246"/>
      <c r="B386" s="24" t="s">
        <v>1489</v>
      </c>
      <c r="C386" s="24" t="s">
        <v>1489</v>
      </c>
      <c r="D386" s="24"/>
      <c r="E386" s="24"/>
      <c r="F386" s="24"/>
      <c r="G386" s="68" t="s">
        <v>1489</v>
      </c>
      <c r="H386" s="68" t="s">
        <v>1489</v>
      </c>
      <c r="I386" s="70"/>
    </row>
    <row r="387" spans="1:10" ht="12.5" x14ac:dyDescent="0.25">
      <c r="A387" s="241">
        <v>57</v>
      </c>
      <c r="B387" s="61" t="s">
        <v>324</v>
      </c>
      <c r="C387" s="24" t="s">
        <v>326</v>
      </c>
      <c r="D387" s="24" t="s">
        <v>337</v>
      </c>
      <c r="E387" s="24" t="s">
        <v>341</v>
      </c>
      <c r="F387" s="242" t="s">
        <v>398</v>
      </c>
      <c r="G387" s="68" t="s">
        <v>349</v>
      </c>
      <c r="H387" s="68" t="s">
        <v>346</v>
      </c>
      <c r="I387" s="70" t="s">
        <v>171</v>
      </c>
      <c r="J387" s="24">
        <v>1</v>
      </c>
    </row>
    <row r="388" spans="1:10" ht="12.5" x14ac:dyDescent="0.25">
      <c r="A388" s="241"/>
      <c r="B388" s="61" t="s">
        <v>324</v>
      </c>
      <c r="C388" s="24" t="s">
        <v>326</v>
      </c>
      <c r="D388" s="24" t="s">
        <v>337</v>
      </c>
      <c r="E388" s="24" t="s">
        <v>341</v>
      </c>
      <c r="F388" s="243" t="s">
        <v>409</v>
      </c>
      <c r="G388" s="68" t="s">
        <v>349</v>
      </c>
      <c r="H388" s="68" t="s">
        <v>347</v>
      </c>
      <c r="I388" s="70" t="s">
        <v>171</v>
      </c>
      <c r="J388" s="24">
        <v>1</v>
      </c>
    </row>
    <row r="389" spans="1:10" ht="12.5" x14ac:dyDescent="0.25">
      <c r="A389" s="241"/>
      <c r="B389" s="61" t="s">
        <v>324</v>
      </c>
      <c r="C389" s="24" t="s">
        <v>326</v>
      </c>
      <c r="D389" s="24" t="s">
        <v>337</v>
      </c>
      <c r="E389" s="24" t="s">
        <v>341</v>
      </c>
      <c r="F389" s="244" t="s">
        <v>420</v>
      </c>
      <c r="G389" s="68" t="s">
        <v>351</v>
      </c>
      <c r="H389" s="68" t="s">
        <v>346</v>
      </c>
      <c r="I389" s="70" t="s">
        <v>171</v>
      </c>
      <c r="J389" s="24">
        <v>0</v>
      </c>
    </row>
    <row r="390" spans="1:10" ht="12.5" x14ac:dyDescent="0.25">
      <c r="A390" s="241"/>
      <c r="B390" s="61" t="s">
        <v>324</v>
      </c>
      <c r="C390" s="24" t="s">
        <v>326</v>
      </c>
      <c r="D390" s="24" t="s">
        <v>337</v>
      </c>
      <c r="E390" s="24" t="s">
        <v>341</v>
      </c>
      <c r="F390" s="244" t="s">
        <v>430</v>
      </c>
      <c r="G390" s="68" t="s">
        <v>351</v>
      </c>
      <c r="H390" s="68" t="s">
        <v>347</v>
      </c>
      <c r="I390" s="70" t="s">
        <v>171</v>
      </c>
      <c r="J390" s="24">
        <v>3</v>
      </c>
    </row>
    <row r="391" spans="1:10" ht="12.5" x14ac:dyDescent="0.25">
      <c r="A391" s="241"/>
      <c r="B391" s="61" t="s">
        <v>324</v>
      </c>
      <c r="C391" s="24" t="s">
        <v>326</v>
      </c>
      <c r="D391" s="24" t="s">
        <v>337</v>
      </c>
      <c r="E391" s="24" t="s">
        <v>341</v>
      </c>
      <c r="F391" s="245" t="s">
        <v>433</v>
      </c>
      <c r="G391" s="68" t="s">
        <v>353</v>
      </c>
      <c r="H391" s="68" t="s">
        <v>346</v>
      </c>
      <c r="I391" s="70" t="s">
        <v>171</v>
      </c>
      <c r="J391" s="24">
        <v>1</v>
      </c>
    </row>
    <row r="392" spans="1:10" ht="12.5" x14ac:dyDescent="0.25">
      <c r="A392" s="241"/>
      <c r="B392" s="61" t="s">
        <v>324</v>
      </c>
      <c r="C392" s="24" t="s">
        <v>326</v>
      </c>
      <c r="D392" s="24" t="s">
        <v>337</v>
      </c>
      <c r="E392" s="24" t="s">
        <v>341</v>
      </c>
      <c r="F392" s="245" t="s">
        <v>435</v>
      </c>
      <c r="G392" s="68" t="s">
        <v>353</v>
      </c>
      <c r="H392" s="68" t="s">
        <v>347</v>
      </c>
      <c r="I392" s="70" t="s">
        <v>171</v>
      </c>
      <c r="J392" s="24">
        <v>1</v>
      </c>
    </row>
    <row r="393" spans="1:10" ht="12.5" x14ac:dyDescent="0.25">
      <c r="A393" s="246"/>
      <c r="B393" s="24" t="s">
        <v>1489</v>
      </c>
      <c r="C393" s="24" t="s">
        <v>1489</v>
      </c>
      <c r="D393" s="24"/>
      <c r="E393" s="24"/>
      <c r="F393" s="24"/>
      <c r="G393" s="68" t="s">
        <v>1489</v>
      </c>
      <c r="H393" s="68" t="s">
        <v>1489</v>
      </c>
      <c r="I393" s="70"/>
    </row>
    <row r="394" spans="1:10" ht="12.5" x14ac:dyDescent="0.25">
      <c r="A394" s="241">
        <v>58</v>
      </c>
      <c r="B394" s="61" t="s">
        <v>324</v>
      </c>
      <c r="C394" s="24" t="s">
        <v>326</v>
      </c>
      <c r="D394" s="24" t="s">
        <v>337</v>
      </c>
      <c r="E394" s="24" t="s">
        <v>342</v>
      </c>
      <c r="F394" s="242" t="s">
        <v>398</v>
      </c>
      <c r="G394" s="68" t="s">
        <v>349</v>
      </c>
      <c r="H394" s="68" t="s">
        <v>346</v>
      </c>
      <c r="I394" s="70">
        <v>64028</v>
      </c>
      <c r="J394" s="24">
        <v>1</v>
      </c>
    </row>
    <row r="395" spans="1:10" ht="12.5" x14ac:dyDescent="0.25">
      <c r="A395" s="241"/>
      <c r="B395" s="61" t="s">
        <v>324</v>
      </c>
      <c r="C395" s="24" t="s">
        <v>326</v>
      </c>
      <c r="D395" s="24" t="s">
        <v>337</v>
      </c>
      <c r="E395" s="24" t="s">
        <v>342</v>
      </c>
      <c r="F395" s="243" t="s">
        <v>409</v>
      </c>
      <c r="G395" s="68" t="s">
        <v>349</v>
      </c>
      <c r="H395" s="68" t="s">
        <v>347</v>
      </c>
      <c r="I395" s="70">
        <v>64028</v>
      </c>
      <c r="J395" s="24">
        <v>2</v>
      </c>
    </row>
    <row r="396" spans="1:10" ht="12.5" x14ac:dyDescent="0.25">
      <c r="A396" s="241"/>
      <c r="B396" s="61" t="s">
        <v>324</v>
      </c>
      <c r="C396" s="24" t="s">
        <v>326</v>
      </c>
      <c r="D396" s="24" t="s">
        <v>337</v>
      </c>
      <c r="E396" s="24" t="s">
        <v>342</v>
      </c>
      <c r="F396" s="244" t="s">
        <v>420</v>
      </c>
      <c r="G396" s="68" t="s">
        <v>351</v>
      </c>
      <c r="H396" s="68" t="s">
        <v>346</v>
      </c>
      <c r="I396" s="70">
        <v>64028</v>
      </c>
      <c r="J396" s="24">
        <v>2</v>
      </c>
    </row>
    <row r="397" spans="1:10" ht="12.5" x14ac:dyDescent="0.25">
      <c r="A397" s="241"/>
      <c r="B397" s="61" t="s">
        <v>324</v>
      </c>
      <c r="C397" s="24" t="s">
        <v>326</v>
      </c>
      <c r="D397" s="24" t="s">
        <v>337</v>
      </c>
      <c r="E397" s="24" t="s">
        <v>342</v>
      </c>
      <c r="F397" s="244" t="s">
        <v>430</v>
      </c>
      <c r="G397" s="68" t="s">
        <v>351</v>
      </c>
      <c r="H397" s="68" t="s">
        <v>347</v>
      </c>
      <c r="I397" s="70">
        <v>64028</v>
      </c>
      <c r="J397" s="24">
        <v>2</v>
      </c>
    </row>
    <row r="398" spans="1:10" ht="12.5" x14ac:dyDescent="0.25">
      <c r="A398" s="241"/>
      <c r="B398" s="61" t="s">
        <v>324</v>
      </c>
      <c r="C398" s="24" t="s">
        <v>326</v>
      </c>
      <c r="D398" s="24" t="s">
        <v>337</v>
      </c>
      <c r="E398" s="24" t="s">
        <v>342</v>
      </c>
      <c r="F398" s="245" t="s">
        <v>433</v>
      </c>
      <c r="G398" s="68" t="s">
        <v>353</v>
      </c>
      <c r="H398" s="68" t="s">
        <v>346</v>
      </c>
      <c r="I398" s="70">
        <v>64028</v>
      </c>
      <c r="J398" s="24">
        <v>2</v>
      </c>
    </row>
    <row r="399" spans="1:10" ht="12.5" x14ac:dyDescent="0.25">
      <c r="A399" s="241"/>
      <c r="B399" s="61" t="s">
        <v>324</v>
      </c>
      <c r="C399" s="24" t="s">
        <v>326</v>
      </c>
      <c r="D399" s="24" t="s">
        <v>337</v>
      </c>
      <c r="E399" s="24" t="s">
        <v>342</v>
      </c>
      <c r="F399" s="245" t="s">
        <v>435</v>
      </c>
      <c r="G399" s="68" t="s">
        <v>353</v>
      </c>
      <c r="H399" s="68" t="s">
        <v>347</v>
      </c>
      <c r="I399" s="70">
        <v>64028</v>
      </c>
      <c r="J399" s="24">
        <v>2</v>
      </c>
    </row>
    <row r="400" spans="1:10" ht="12.5" x14ac:dyDescent="0.25">
      <c r="A400" s="246"/>
      <c r="B400" s="24" t="s">
        <v>1489</v>
      </c>
      <c r="C400" s="24" t="s">
        <v>1489</v>
      </c>
      <c r="D400" s="24"/>
      <c r="E400" s="24"/>
      <c r="F400" s="24"/>
      <c r="G400" s="68" t="s">
        <v>1489</v>
      </c>
      <c r="H400" s="68" t="s">
        <v>1489</v>
      </c>
      <c r="I400" s="70"/>
    </row>
    <row r="401" spans="1:10" ht="12.5" x14ac:dyDescent="0.25">
      <c r="A401" s="241">
        <v>59</v>
      </c>
      <c r="B401" s="61" t="s">
        <v>324</v>
      </c>
      <c r="C401" s="24" t="s">
        <v>326</v>
      </c>
      <c r="D401" s="24" t="s">
        <v>337</v>
      </c>
      <c r="E401" s="24" t="s">
        <v>342</v>
      </c>
      <c r="F401" s="243" t="s">
        <v>398</v>
      </c>
      <c r="G401" s="68" t="s">
        <v>349</v>
      </c>
      <c r="H401" s="68" t="s">
        <v>346</v>
      </c>
      <c r="I401" s="70">
        <v>64048</v>
      </c>
      <c r="J401" s="24">
        <v>1</v>
      </c>
    </row>
    <row r="402" spans="1:10" ht="12.5" x14ac:dyDescent="0.25">
      <c r="A402" s="241"/>
      <c r="B402" s="61" t="s">
        <v>324</v>
      </c>
      <c r="C402" s="24" t="s">
        <v>326</v>
      </c>
      <c r="D402" s="24" t="s">
        <v>337</v>
      </c>
      <c r="E402" s="24" t="s">
        <v>342</v>
      </c>
      <c r="F402" s="243" t="s">
        <v>409</v>
      </c>
      <c r="G402" s="68" t="s">
        <v>349</v>
      </c>
      <c r="H402" s="68" t="s">
        <v>347</v>
      </c>
      <c r="I402" s="70">
        <v>64048</v>
      </c>
      <c r="J402" s="24">
        <v>1</v>
      </c>
    </row>
    <row r="403" spans="1:10" ht="12.5" x14ac:dyDescent="0.25">
      <c r="A403" s="241"/>
      <c r="B403" s="61" t="s">
        <v>324</v>
      </c>
      <c r="C403" s="24" t="s">
        <v>326</v>
      </c>
      <c r="D403" s="24" t="s">
        <v>337</v>
      </c>
      <c r="E403" s="24" t="s">
        <v>342</v>
      </c>
      <c r="F403" s="244" t="s">
        <v>420</v>
      </c>
      <c r="G403" s="68" t="s">
        <v>351</v>
      </c>
      <c r="H403" s="68" t="s">
        <v>346</v>
      </c>
      <c r="I403" s="70">
        <v>64048</v>
      </c>
      <c r="J403" s="24">
        <v>1</v>
      </c>
    </row>
    <row r="404" spans="1:10" ht="12.5" x14ac:dyDescent="0.25">
      <c r="A404" s="241"/>
      <c r="B404" s="61" t="s">
        <v>324</v>
      </c>
      <c r="C404" s="24" t="s">
        <v>326</v>
      </c>
      <c r="D404" s="24" t="s">
        <v>337</v>
      </c>
      <c r="E404" s="24" t="s">
        <v>342</v>
      </c>
      <c r="F404" s="244" t="s">
        <v>430</v>
      </c>
      <c r="G404" s="68" t="s">
        <v>351</v>
      </c>
      <c r="H404" s="68" t="s">
        <v>347</v>
      </c>
      <c r="I404" s="70">
        <v>64048</v>
      </c>
      <c r="J404" s="24">
        <v>1</v>
      </c>
    </row>
    <row r="405" spans="1:10" ht="12.5" x14ac:dyDescent="0.25">
      <c r="A405" s="241"/>
      <c r="B405" s="61" t="s">
        <v>324</v>
      </c>
      <c r="C405" s="24" t="s">
        <v>326</v>
      </c>
      <c r="D405" s="24" t="s">
        <v>337</v>
      </c>
      <c r="E405" s="24" t="s">
        <v>342</v>
      </c>
      <c r="F405" s="245" t="s">
        <v>433</v>
      </c>
      <c r="G405" s="68" t="s">
        <v>353</v>
      </c>
      <c r="H405" s="68" t="s">
        <v>346</v>
      </c>
      <c r="I405" s="70">
        <v>64048</v>
      </c>
      <c r="J405" s="24">
        <v>1</v>
      </c>
    </row>
    <row r="406" spans="1:10" ht="12.5" x14ac:dyDescent="0.25">
      <c r="A406" s="241"/>
      <c r="B406" s="61" t="s">
        <v>324</v>
      </c>
      <c r="C406" s="24" t="s">
        <v>326</v>
      </c>
      <c r="D406" s="24" t="s">
        <v>337</v>
      </c>
      <c r="E406" s="24" t="s">
        <v>342</v>
      </c>
      <c r="F406" s="245" t="s">
        <v>435</v>
      </c>
      <c r="G406" s="68" t="s">
        <v>353</v>
      </c>
      <c r="H406" s="68" t="s">
        <v>347</v>
      </c>
      <c r="I406" s="70">
        <v>64048</v>
      </c>
      <c r="J406" s="24">
        <v>2</v>
      </c>
    </row>
    <row r="407" spans="1:10" ht="12.5" x14ac:dyDescent="0.25">
      <c r="A407" s="246"/>
      <c r="B407" s="24" t="s">
        <v>1489</v>
      </c>
      <c r="C407" s="24" t="s">
        <v>1489</v>
      </c>
      <c r="D407" s="24"/>
      <c r="E407" s="24"/>
      <c r="F407" s="24"/>
      <c r="G407" s="68" t="s">
        <v>1489</v>
      </c>
      <c r="H407" s="68" t="s">
        <v>1489</v>
      </c>
      <c r="I407" s="70"/>
    </row>
    <row r="408" spans="1:10" ht="12.5" x14ac:dyDescent="0.25">
      <c r="A408" s="241">
        <v>60</v>
      </c>
      <c r="B408" s="61" t="s">
        <v>324</v>
      </c>
      <c r="C408" s="24" t="s">
        <v>326</v>
      </c>
      <c r="D408" s="24" t="s">
        <v>337</v>
      </c>
      <c r="E408" s="24" t="s">
        <v>342</v>
      </c>
      <c r="F408" s="243" t="s">
        <v>398</v>
      </c>
      <c r="G408" s="68" t="s">
        <v>349</v>
      </c>
      <c r="H408" s="68" t="s">
        <v>346</v>
      </c>
      <c r="I408" s="70">
        <v>64115</v>
      </c>
      <c r="J408" s="24">
        <v>2</v>
      </c>
    </row>
    <row r="409" spans="1:10" ht="12.5" x14ac:dyDescent="0.25">
      <c r="A409" s="241"/>
      <c r="B409" s="61" t="s">
        <v>324</v>
      </c>
      <c r="C409" s="24" t="s">
        <v>326</v>
      </c>
      <c r="D409" s="24" t="s">
        <v>337</v>
      </c>
      <c r="E409" s="24" t="s">
        <v>342</v>
      </c>
      <c r="F409" s="243" t="s">
        <v>409</v>
      </c>
      <c r="G409" s="68" t="s">
        <v>349</v>
      </c>
      <c r="H409" s="68" t="s">
        <v>347</v>
      </c>
      <c r="I409" s="70">
        <v>64115</v>
      </c>
      <c r="J409" s="24">
        <v>1</v>
      </c>
    </row>
    <row r="410" spans="1:10" ht="12.5" x14ac:dyDescent="0.25">
      <c r="A410" s="241"/>
      <c r="B410" s="61" t="s">
        <v>324</v>
      </c>
      <c r="C410" s="24" t="s">
        <v>326</v>
      </c>
      <c r="D410" s="24" t="s">
        <v>337</v>
      </c>
      <c r="E410" s="24" t="s">
        <v>342</v>
      </c>
      <c r="F410" s="244" t="s">
        <v>420</v>
      </c>
      <c r="G410" s="68" t="s">
        <v>351</v>
      </c>
      <c r="H410" s="68" t="s">
        <v>346</v>
      </c>
      <c r="I410" s="70">
        <v>64115</v>
      </c>
      <c r="J410" s="24">
        <v>2</v>
      </c>
    </row>
    <row r="411" spans="1:10" ht="12.5" x14ac:dyDescent="0.25">
      <c r="A411" s="241"/>
      <c r="B411" s="61" t="s">
        <v>324</v>
      </c>
      <c r="C411" s="24" t="s">
        <v>326</v>
      </c>
      <c r="D411" s="24" t="s">
        <v>337</v>
      </c>
      <c r="E411" s="24" t="s">
        <v>342</v>
      </c>
      <c r="F411" s="244" t="s">
        <v>430</v>
      </c>
      <c r="G411" s="68" t="s">
        <v>351</v>
      </c>
      <c r="H411" s="68" t="s">
        <v>347</v>
      </c>
      <c r="I411" s="70">
        <v>64115</v>
      </c>
      <c r="J411" s="24">
        <v>0</v>
      </c>
    </row>
    <row r="412" spans="1:10" ht="12.5" x14ac:dyDescent="0.25">
      <c r="A412" s="241"/>
      <c r="B412" s="61" t="s">
        <v>324</v>
      </c>
      <c r="C412" s="24" t="s">
        <v>326</v>
      </c>
      <c r="D412" s="24" t="s">
        <v>337</v>
      </c>
      <c r="E412" s="24" t="s">
        <v>342</v>
      </c>
      <c r="F412" s="245" t="s">
        <v>433</v>
      </c>
      <c r="G412" s="68" t="s">
        <v>353</v>
      </c>
      <c r="H412" s="68" t="s">
        <v>346</v>
      </c>
      <c r="I412" s="70">
        <v>64115</v>
      </c>
      <c r="J412" s="24">
        <v>1</v>
      </c>
    </row>
    <row r="413" spans="1:10" ht="12.5" x14ac:dyDescent="0.25">
      <c r="A413" s="241"/>
      <c r="B413" s="61" t="s">
        <v>324</v>
      </c>
      <c r="C413" s="24" t="s">
        <v>326</v>
      </c>
      <c r="D413" s="24" t="s">
        <v>337</v>
      </c>
      <c r="E413" s="24" t="s">
        <v>342</v>
      </c>
      <c r="F413" s="245" t="s">
        <v>435</v>
      </c>
      <c r="G413" s="68" t="s">
        <v>353</v>
      </c>
      <c r="H413" s="68" t="s">
        <v>347</v>
      </c>
      <c r="I413" s="70">
        <v>64115</v>
      </c>
      <c r="J413" s="24">
        <v>1</v>
      </c>
    </row>
    <row r="414" spans="1:10" ht="12.5" x14ac:dyDescent="0.25">
      <c r="A414" s="246"/>
      <c r="B414" s="24" t="s">
        <v>1489</v>
      </c>
      <c r="C414" s="24" t="s">
        <v>1489</v>
      </c>
      <c r="D414" s="24"/>
      <c r="E414" s="24"/>
      <c r="F414" s="24"/>
      <c r="G414" s="68" t="s">
        <v>1489</v>
      </c>
      <c r="H414" s="68" t="s">
        <v>1489</v>
      </c>
      <c r="I414" s="70"/>
    </row>
    <row r="415" spans="1:10" ht="12.5" x14ac:dyDescent="0.25">
      <c r="A415" s="246"/>
      <c r="B415" s="24" t="s">
        <v>1489</v>
      </c>
      <c r="C415" s="24" t="s">
        <v>1489</v>
      </c>
      <c r="D415" s="24"/>
      <c r="E415" s="24"/>
      <c r="F415" s="24"/>
      <c r="G415" s="68" t="s">
        <v>1489</v>
      </c>
      <c r="H415" s="68" t="s">
        <v>1489</v>
      </c>
      <c r="I415" s="70"/>
    </row>
    <row r="416" spans="1:10" ht="12.5" x14ac:dyDescent="0.25">
      <c r="A416" s="241">
        <v>61</v>
      </c>
      <c r="B416" s="61" t="s">
        <v>324</v>
      </c>
      <c r="C416" s="24" t="s">
        <v>326</v>
      </c>
      <c r="D416" s="24" t="s">
        <v>337</v>
      </c>
      <c r="E416" s="24" t="s">
        <v>342</v>
      </c>
      <c r="F416" s="243" t="s">
        <v>398</v>
      </c>
      <c r="G416" s="68" t="s">
        <v>349</v>
      </c>
      <c r="H416" s="68" t="s">
        <v>346</v>
      </c>
      <c r="I416" s="70">
        <v>64346</v>
      </c>
      <c r="J416" s="24">
        <v>1</v>
      </c>
    </row>
    <row r="417" spans="1:10" ht="12.5" x14ac:dyDescent="0.25">
      <c r="A417" s="241"/>
      <c r="B417" s="61" t="s">
        <v>324</v>
      </c>
      <c r="C417" s="24" t="s">
        <v>326</v>
      </c>
      <c r="D417" s="24" t="s">
        <v>337</v>
      </c>
      <c r="E417" s="24" t="s">
        <v>342</v>
      </c>
      <c r="F417" s="243" t="s">
        <v>409</v>
      </c>
      <c r="G417" s="68" t="s">
        <v>349</v>
      </c>
      <c r="H417" s="68" t="s">
        <v>347</v>
      </c>
      <c r="I417" s="70">
        <v>64346</v>
      </c>
      <c r="J417" s="24">
        <v>0</v>
      </c>
    </row>
    <row r="418" spans="1:10" ht="12.5" x14ac:dyDescent="0.25">
      <c r="A418" s="241"/>
      <c r="B418" s="61" t="s">
        <v>324</v>
      </c>
      <c r="C418" s="24" t="s">
        <v>326</v>
      </c>
      <c r="D418" s="24" t="s">
        <v>337</v>
      </c>
      <c r="E418" s="24" t="s">
        <v>342</v>
      </c>
      <c r="F418" s="244" t="s">
        <v>420</v>
      </c>
      <c r="G418" s="68" t="s">
        <v>351</v>
      </c>
      <c r="H418" s="68" t="s">
        <v>346</v>
      </c>
      <c r="I418" s="70">
        <v>64346</v>
      </c>
      <c r="J418" s="24">
        <v>1</v>
      </c>
    </row>
    <row r="419" spans="1:10" ht="12.5" x14ac:dyDescent="0.25">
      <c r="A419" s="241"/>
      <c r="B419" s="61" t="s">
        <v>324</v>
      </c>
      <c r="C419" s="24" t="s">
        <v>326</v>
      </c>
      <c r="D419" s="24" t="s">
        <v>337</v>
      </c>
      <c r="E419" s="24" t="s">
        <v>342</v>
      </c>
      <c r="F419" s="244" t="s">
        <v>430</v>
      </c>
      <c r="G419" s="68" t="s">
        <v>351</v>
      </c>
      <c r="H419" s="68" t="s">
        <v>347</v>
      </c>
      <c r="I419" s="70">
        <v>64346</v>
      </c>
      <c r="J419" s="24">
        <v>1</v>
      </c>
    </row>
    <row r="420" spans="1:10" ht="12.5" x14ac:dyDescent="0.25">
      <c r="A420" s="241"/>
      <c r="B420" s="61" t="s">
        <v>324</v>
      </c>
      <c r="C420" s="24" t="s">
        <v>326</v>
      </c>
      <c r="D420" s="24" t="s">
        <v>337</v>
      </c>
      <c r="E420" s="24" t="s">
        <v>342</v>
      </c>
      <c r="F420" s="245" t="s">
        <v>433</v>
      </c>
      <c r="G420" s="68" t="s">
        <v>353</v>
      </c>
      <c r="H420" s="68" t="s">
        <v>346</v>
      </c>
      <c r="I420" s="70">
        <v>64346</v>
      </c>
      <c r="J420" s="24">
        <v>0</v>
      </c>
    </row>
    <row r="421" spans="1:10" ht="12.5" x14ac:dyDescent="0.25">
      <c r="A421" s="241"/>
      <c r="B421" s="61" t="s">
        <v>324</v>
      </c>
      <c r="C421" s="24" t="s">
        <v>326</v>
      </c>
      <c r="D421" s="24" t="s">
        <v>337</v>
      </c>
      <c r="E421" s="24" t="s">
        <v>342</v>
      </c>
      <c r="F421" s="245" t="s">
        <v>435</v>
      </c>
      <c r="G421" s="68" t="s">
        <v>353</v>
      </c>
      <c r="H421" s="68" t="s">
        <v>347</v>
      </c>
      <c r="I421" s="70">
        <v>64346</v>
      </c>
      <c r="J421" s="24">
        <v>1</v>
      </c>
    </row>
    <row r="422" spans="1:10" ht="12.5" x14ac:dyDescent="0.25">
      <c r="A422" s="246"/>
      <c r="B422" s="24" t="s">
        <v>1489</v>
      </c>
      <c r="C422" s="24" t="s">
        <v>1489</v>
      </c>
      <c r="D422" s="24"/>
      <c r="E422" s="24"/>
      <c r="F422" s="24"/>
      <c r="G422" s="68" t="s">
        <v>1489</v>
      </c>
      <c r="H422" s="68" t="s">
        <v>1489</v>
      </c>
      <c r="I422" s="70"/>
    </row>
    <row r="423" spans="1:10" ht="12.5" x14ac:dyDescent="0.25">
      <c r="A423" s="241">
        <v>62</v>
      </c>
      <c r="B423" s="61" t="s">
        <v>324</v>
      </c>
      <c r="C423" s="24" t="s">
        <v>326</v>
      </c>
      <c r="D423" s="24" t="s">
        <v>337</v>
      </c>
      <c r="E423" s="24" t="s">
        <v>342</v>
      </c>
      <c r="F423" s="243" t="s">
        <v>398</v>
      </c>
      <c r="G423" s="68" t="s">
        <v>349</v>
      </c>
      <c r="H423" s="68" t="s">
        <v>346</v>
      </c>
      <c r="I423" s="70">
        <v>64641</v>
      </c>
      <c r="J423" s="24">
        <v>1</v>
      </c>
    </row>
    <row r="424" spans="1:10" ht="12.5" x14ac:dyDescent="0.25">
      <c r="A424" s="241"/>
      <c r="B424" s="61" t="s">
        <v>324</v>
      </c>
      <c r="C424" s="24" t="s">
        <v>326</v>
      </c>
      <c r="D424" s="24" t="s">
        <v>337</v>
      </c>
      <c r="E424" s="24" t="s">
        <v>342</v>
      </c>
      <c r="F424" s="243" t="s">
        <v>409</v>
      </c>
      <c r="G424" s="68" t="s">
        <v>349</v>
      </c>
      <c r="H424" s="68" t="s">
        <v>347</v>
      </c>
      <c r="I424" s="70">
        <v>64641</v>
      </c>
      <c r="J424" s="24">
        <v>0</v>
      </c>
    </row>
    <row r="425" spans="1:10" ht="12.5" x14ac:dyDescent="0.25">
      <c r="A425" s="241"/>
      <c r="B425" s="61" t="s">
        <v>324</v>
      </c>
      <c r="C425" s="24" t="s">
        <v>326</v>
      </c>
      <c r="D425" s="24" t="s">
        <v>337</v>
      </c>
      <c r="E425" s="24" t="s">
        <v>342</v>
      </c>
      <c r="F425" s="244" t="s">
        <v>420</v>
      </c>
      <c r="G425" s="68" t="s">
        <v>351</v>
      </c>
      <c r="H425" s="68" t="s">
        <v>346</v>
      </c>
      <c r="I425" s="70">
        <v>64641</v>
      </c>
      <c r="J425" s="24">
        <v>1</v>
      </c>
    </row>
    <row r="426" spans="1:10" ht="12.5" x14ac:dyDescent="0.25">
      <c r="A426" s="241"/>
      <c r="B426" s="61" t="s">
        <v>324</v>
      </c>
      <c r="C426" s="24" t="s">
        <v>326</v>
      </c>
      <c r="D426" s="24" t="s">
        <v>337</v>
      </c>
      <c r="E426" s="24" t="s">
        <v>342</v>
      </c>
      <c r="F426" s="244" t="s">
        <v>430</v>
      </c>
      <c r="G426" s="68" t="s">
        <v>351</v>
      </c>
      <c r="H426" s="68" t="s">
        <v>347</v>
      </c>
      <c r="I426" s="70">
        <v>64641</v>
      </c>
      <c r="J426" s="24">
        <v>0</v>
      </c>
    </row>
    <row r="427" spans="1:10" ht="12.5" x14ac:dyDescent="0.25">
      <c r="A427" s="241"/>
      <c r="B427" s="61" t="s">
        <v>324</v>
      </c>
      <c r="C427" s="24" t="s">
        <v>326</v>
      </c>
      <c r="D427" s="24" t="s">
        <v>337</v>
      </c>
      <c r="E427" s="24" t="s">
        <v>342</v>
      </c>
      <c r="F427" s="245" t="s">
        <v>433</v>
      </c>
      <c r="G427" s="68" t="s">
        <v>353</v>
      </c>
      <c r="H427" s="68" t="s">
        <v>346</v>
      </c>
      <c r="I427" s="70">
        <v>64641</v>
      </c>
      <c r="J427" s="24">
        <v>0</v>
      </c>
    </row>
    <row r="428" spans="1:10" ht="12.5" x14ac:dyDescent="0.25">
      <c r="A428" s="241"/>
      <c r="B428" s="61" t="s">
        <v>324</v>
      </c>
      <c r="C428" s="24" t="s">
        <v>326</v>
      </c>
      <c r="D428" s="24" t="s">
        <v>337</v>
      </c>
      <c r="E428" s="24" t="s">
        <v>342</v>
      </c>
      <c r="F428" s="245" t="s">
        <v>435</v>
      </c>
      <c r="G428" s="68" t="s">
        <v>353</v>
      </c>
      <c r="H428" s="68" t="s">
        <v>347</v>
      </c>
      <c r="I428" s="70">
        <v>64641</v>
      </c>
      <c r="J428" s="24">
        <v>0</v>
      </c>
    </row>
    <row r="429" spans="1:10" ht="12.5" x14ac:dyDescent="0.25">
      <c r="A429" s="246"/>
      <c r="B429" s="24" t="s">
        <v>1489</v>
      </c>
      <c r="C429" s="24" t="s">
        <v>1489</v>
      </c>
      <c r="D429" s="24"/>
      <c r="E429" s="24"/>
      <c r="F429" s="24"/>
      <c r="G429" s="68" t="s">
        <v>1489</v>
      </c>
      <c r="H429" s="68" t="s">
        <v>1489</v>
      </c>
      <c r="I429" s="70"/>
    </row>
    <row r="430" spans="1:10" ht="12.5" x14ac:dyDescent="0.25">
      <c r="A430" s="241">
        <v>63</v>
      </c>
      <c r="B430" s="61" t="s">
        <v>324</v>
      </c>
      <c r="C430" s="24" t="s">
        <v>326</v>
      </c>
      <c r="D430" s="24" t="s">
        <v>337</v>
      </c>
      <c r="E430" s="24" t="s">
        <v>342</v>
      </c>
      <c r="F430" s="243" t="s">
        <v>398</v>
      </c>
      <c r="G430" s="68" t="s">
        <v>349</v>
      </c>
      <c r="H430" s="68" t="s">
        <v>346</v>
      </c>
      <c r="I430" s="70">
        <v>64829</v>
      </c>
      <c r="J430" s="24">
        <v>1</v>
      </c>
    </row>
    <row r="431" spans="1:10" ht="12.5" x14ac:dyDescent="0.25">
      <c r="A431" s="241"/>
      <c r="B431" s="61" t="s">
        <v>324</v>
      </c>
      <c r="C431" s="24" t="s">
        <v>326</v>
      </c>
      <c r="D431" s="24" t="s">
        <v>337</v>
      </c>
      <c r="E431" s="24" t="s">
        <v>342</v>
      </c>
      <c r="F431" s="243" t="s">
        <v>409</v>
      </c>
      <c r="G431" s="68" t="s">
        <v>349</v>
      </c>
      <c r="H431" s="68" t="s">
        <v>347</v>
      </c>
      <c r="I431" s="70">
        <v>64829</v>
      </c>
      <c r="J431" s="24">
        <v>0</v>
      </c>
    </row>
    <row r="432" spans="1:10" ht="12.5" x14ac:dyDescent="0.25">
      <c r="A432" s="241"/>
      <c r="B432" s="61" t="s">
        <v>324</v>
      </c>
      <c r="C432" s="24" t="s">
        <v>326</v>
      </c>
      <c r="D432" s="24" t="s">
        <v>337</v>
      </c>
      <c r="E432" s="24" t="s">
        <v>342</v>
      </c>
      <c r="F432" s="244" t="s">
        <v>420</v>
      </c>
      <c r="G432" s="68" t="s">
        <v>351</v>
      </c>
      <c r="H432" s="68" t="s">
        <v>346</v>
      </c>
      <c r="I432" s="70">
        <v>64829</v>
      </c>
      <c r="J432" s="24">
        <v>1</v>
      </c>
    </row>
    <row r="433" spans="1:10" ht="12.5" x14ac:dyDescent="0.25">
      <c r="A433" s="241"/>
      <c r="B433" s="61" t="s">
        <v>324</v>
      </c>
      <c r="C433" s="24" t="s">
        <v>326</v>
      </c>
      <c r="D433" s="24" t="s">
        <v>337</v>
      </c>
      <c r="E433" s="24" t="s">
        <v>342</v>
      </c>
      <c r="F433" s="244" t="s">
        <v>430</v>
      </c>
      <c r="G433" s="68" t="s">
        <v>351</v>
      </c>
      <c r="H433" s="68" t="s">
        <v>347</v>
      </c>
      <c r="I433" s="70">
        <v>64829</v>
      </c>
      <c r="J433" s="24">
        <v>0</v>
      </c>
    </row>
    <row r="434" spans="1:10" ht="12.5" x14ac:dyDescent="0.25">
      <c r="A434" s="241"/>
      <c r="B434" s="61" t="s">
        <v>324</v>
      </c>
      <c r="C434" s="24" t="s">
        <v>326</v>
      </c>
      <c r="D434" s="24" t="s">
        <v>337</v>
      </c>
      <c r="E434" s="24" t="s">
        <v>342</v>
      </c>
      <c r="F434" s="245" t="s">
        <v>433</v>
      </c>
      <c r="G434" s="68" t="s">
        <v>353</v>
      </c>
      <c r="H434" s="68" t="s">
        <v>346</v>
      </c>
      <c r="I434" s="70">
        <v>64829</v>
      </c>
      <c r="J434" s="24">
        <v>1</v>
      </c>
    </row>
    <row r="435" spans="1:10" ht="12.5" x14ac:dyDescent="0.25">
      <c r="A435" s="241"/>
      <c r="B435" s="61" t="s">
        <v>324</v>
      </c>
      <c r="C435" s="24" t="s">
        <v>326</v>
      </c>
      <c r="D435" s="24" t="s">
        <v>337</v>
      </c>
      <c r="E435" s="24" t="s">
        <v>342</v>
      </c>
      <c r="F435" s="245" t="s">
        <v>435</v>
      </c>
      <c r="G435" s="68" t="s">
        <v>353</v>
      </c>
      <c r="H435" s="68" t="s">
        <v>347</v>
      </c>
      <c r="I435" s="70">
        <v>64829</v>
      </c>
      <c r="J435" s="24">
        <v>1</v>
      </c>
    </row>
    <row r="436" spans="1:10" ht="12.5" x14ac:dyDescent="0.25">
      <c r="A436" s="246"/>
      <c r="B436" s="24" t="s">
        <v>1489</v>
      </c>
      <c r="C436" s="24" t="s">
        <v>1489</v>
      </c>
      <c r="D436" s="24"/>
      <c r="E436" s="24"/>
      <c r="F436" s="24"/>
      <c r="G436" s="68" t="s">
        <v>1489</v>
      </c>
      <c r="H436" s="68" t="s">
        <v>1489</v>
      </c>
      <c r="I436" s="70"/>
    </row>
    <row r="437" spans="1:10" ht="12.5" x14ac:dyDescent="0.25">
      <c r="A437" s="241">
        <v>64</v>
      </c>
      <c r="B437" s="61" t="s">
        <v>324</v>
      </c>
      <c r="C437" s="24" t="s">
        <v>326</v>
      </c>
      <c r="D437" s="24" t="s">
        <v>337</v>
      </c>
      <c r="E437" s="24" t="s">
        <v>342</v>
      </c>
      <c r="F437" s="243" t="s">
        <v>398</v>
      </c>
      <c r="G437" s="68" t="s">
        <v>349</v>
      </c>
      <c r="H437" s="68" t="s">
        <v>346</v>
      </c>
      <c r="I437" s="70">
        <v>64949</v>
      </c>
      <c r="J437" s="24">
        <v>1</v>
      </c>
    </row>
    <row r="438" spans="1:10" ht="12.5" x14ac:dyDescent="0.25">
      <c r="A438" s="241"/>
      <c r="B438" s="61" t="s">
        <v>324</v>
      </c>
      <c r="C438" s="24" t="s">
        <v>326</v>
      </c>
      <c r="D438" s="24" t="s">
        <v>337</v>
      </c>
      <c r="E438" s="24" t="s">
        <v>342</v>
      </c>
      <c r="F438" s="243" t="s">
        <v>409</v>
      </c>
      <c r="G438" s="68" t="s">
        <v>349</v>
      </c>
      <c r="H438" s="68" t="s">
        <v>347</v>
      </c>
      <c r="I438" s="70">
        <v>64949</v>
      </c>
      <c r="J438" s="24">
        <v>1</v>
      </c>
    </row>
    <row r="439" spans="1:10" ht="12.5" x14ac:dyDescent="0.25">
      <c r="A439" s="241"/>
      <c r="B439" s="61" t="s">
        <v>324</v>
      </c>
      <c r="C439" s="24" t="s">
        <v>326</v>
      </c>
      <c r="D439" s="24" t="s">
        <v>337</v>
      </c>
      <c r="E439" s="24" t="s">
        <v>342</v>
      </c>
      <c r="F439" s="244" t="s">
        <v>420</v>
      </c>
      <c r="G439" s="68" t="s">
        <v>351</v>
      </c>
      <c r="H439" s="68" t="s">
        <v>346</v>
      </c>
      <c r="I439" s="70">
        <v>64949</v>
      </c>
      <c r="J439" s="24">
        <v>0</v>
      </c>
    </row>
    <row r="440" spans="1:10" ht="12.5" x14ac:dyDescent="0.25">
      <c r="A440" s="241"/>
      <c r="B440" s="61" t="s">
        <v>324</v>
      </c>
      <c r="C440" s="24" t="s">
        <v>326</v>
      </c>
      <c r="D440" s="24" t="s">
        <v>337</v>
      </c>
      <c r="E440" s="24" t="s">
        <v>342</v>
      </c>
      <c r="F440" s="244" t="s">
        <v>430</v>
      </c>
      <c r="G440" s="68" t="s">
        <v>351</v>
      </c>
      <c r="H440" s="68" t="s">
        <v>347</v>
      </c>
      <c r="I440" s="70">
        <v>64949</v>
      </c>
      <c r="J440" s="24">
        <v>0</v>
      </c>
    </row>
    <row r="441" spans="1:10" ht="12.5" x14ac:dyDescent="0.25">
      <c r="A441" s="241"/>
      <c r="B441" s="61" t="s">
        <v>324</v>
      </c>
      <c r="C441" s="24" t="s">
        <v>326</v>
      </c>
      <c r="D441" s="24" t="s">
        <v>337</v>
      </c>
      <c r="E441" s="24" t="s">
        <v>342</v>
      </c>
      <c r="F441" s="245" t="s">
        <v>433</v>
      </c>
      <c r="G441" s="68" t="s">
        <v>353</v>
      </c>
      <c r="H441" s="68" t="s">
        <v>346</v>
      </c>
      <c r="I441" s="70">
        <v>64949</v>
      </c>
      <c r="J441" s="24">
        <v>1</v>
      </c>
    </row>
    <row r="442" spans="1:10" ht="12.5" x14ac:dyDescent="0.25">
      <c r="A442" s="241"/>
      <c r="B442" s="61" t="s">
        <v>324</v>
      </c>
      <c r="C442" s="24" t="s">
        <v>326</v>
      </c>
      <c r="D442" s="24" t="s">
        <v>337</v>
      </c>
      <c r="E442" s="24" t="s">
        <v>342</v>
      </c>
      <c r="F442" s="245" t="s">
        <v>435</v>
      </c>
      <c r="G442" s="68" t="s">
        <v>353</v>
      </c>
      <c r="H442" s="68" t="s">
        <v>347</v>
      </c>
      <c r="I442" s="70">
        <v>64949</v>
      </c>
      <c r="J442" s="24">
        <v>0</v>
      </c>
    </row>
    <row r="443" spans="1:10" ht="12.5" x14ac:dyDescent="0.25">
      <c r="A443" s="246"/>
      <c r="B443" s="24" t="s">
        <v>1489</v>
      </c>
      <c r="C443" s="24" t="s">
        <v>1489</v>
      </c>
      <c r="D443" s="24"/>
      <c r="E443" s="24"/>
      <c r="F443" s="24"/>
      <c r="G443" s="68" t="s">
        <v>1489</v>
      </c>
      <c r="H443" s="68" t="s">
        <v>1489</v>
      </c>
      <c r="I443" s="70"/>
    </row>
    <row r="444" spans="1:10" ht="12.5" x14ac:dyDescent="0.25">
      <c r="A444" s="241">
        <v>65</v>
      </c>
      <c r="B444" s="61" t="s">
        <v>324</v>
      </c>
      <c r="C444" s="24" t="s">
        <v>326</v>
      </c>
      <c r="D444" s="24" t="s">
        <v>337</v>
      </c>
      <c r="E444" s="24" t="s">
        <v>342</v>
      </c>
      <c r="F444" s="243" t="s">
        <v>398</v>
      </c>
      <c r="G444" s="68" t="s">
        <v>349</v>
      </c>
      <c r="H444" s="68" t="s">
        <v>346</v>
      </c>
      <c r="I444" s="70">
        <v>64996</v>
      </c>
      <c r="J444" s="24">
        <v>1</v>
      </c>
    </row>
    <row r="445" spans="1:10" ht="12.5" x14ac:dyDescent="0.25">
      <c r="A445" s="241"/>
      <c r="B445" s="61" t="s">
        <v>324</v>
      </c>
      <c r="C445" s="24" t="s">
        <v>326</v>
      </c>
      <c r="D445" s="24" t="s">
        <v>337</v>
      </c>
      <c r="E445" s="24" t="s">
        <v>342</v>
      </c>
      <c r="F445" s="243" t="s">
        <v>409</v>
      </c>
      <c r="G445" s="68" t="s">
        <v>349</v>
      </c>
      <c r="H445" s="68" t="s">
        <v>347</v>
      </c>
      <c r="I445" s="70">
        <v>64996</v>
      </c>
      <c r="J445" s="24">
        <v>0</v>
      </c>
    </row>
    <row r="446" spans="1:10" ht="12.5" x14ac:dyDescent="0.25">
      <c r="A446" s="241"/>
      <c r="B446" s="61" t="s">
        <v>324</v>
      </c>
      <c r="C446" s="24" t="s">
        <v>326</v>
      </c>
      <c r="D446" s="24" t="s">
        <v>337</v>
      </c>
      <c r="E446" s="24" t="s">
        <v>342</v>
      </c>
      <c r="F446" s="244" t="s">
        <v>420</v>
      </c>
      <c r="G446" s="68" t="s">
        <v>351</v>
      </c>
      <c r="H446" s="68" t="s">
        <v>346</v>
      </c>
      <c r="I446" s="70">
        <v>64996</v>
      </c>
      <c r="J446" s="24">
        <v>1</v>
      </c>
    </row>
    <row r="447" spans="1:10" ht="12.5" x14ac:dyDescent="0.25">
      <c r="A447" s="241"/>
      <c r="B447" s="61" t="s">
        <v>324</v>
      </c>
      <c r="C447" s="24" t="s">
        <v>326</v>
      </c>
      <c r="D447" s="24" t="s">
        <v>337</v>
      </c>
      <c r="E447" s="24" t="s">
        <v>342</v>
      </c>
      <c r="F447" s="244" t="s">
        <v>430</v>
      </c>
      <c r="G447" s="68" t="s">
        <v>351</v>
      </c>
      <c r="H447" s="68" t="s">
        <v>347</v>
      </c>
      <c r="I447" s="70">
        <v>64996</v>
      </c>
      <c r="J447" s="24">
        <v>1</v>
      </c>
    </row>
    <row r="448" spans="1:10" ht="12.5" x14ac:dyDescent="0.25">
      <c r="A448" s="241"/>
      <c r="B448" s="61" t="s">
        <v>324</v>
      </c>
      <c r="C448" s="24" t="s">
        <v>326</v>
      </c>
      <c r="D448" s="24" t="s">
        <v>337</v>
      </c>
      <c r="E448" s="24" t="s">
        <v>342</v>
      </c>
      <c r="F448" s="245" t="s">
        <v>433</v>
      </c>
      <c r="G448" s="68" t="s">
        <v>353</v>
      </c>
      <c r="H448" s="68" t="s">
        <v>346</v>
      </c>
      <c r="I448" s="70">
        <v>64996</v>
      </c>
      <c r="J448" s="24">
        <v>0</v>
      </c>
    </row>
    <row r="449" spans="1:10" ht="12.5" x14ac:dyDescent="0.25">
      <c r="A449" s="241"/>
      <c r="B449" s="61" t="s">
        <v>324</v>
      </c>
      <c r="C449" s="24" t="s">
        <v>326</v>
      </c>
      <c r="D449" s="24" t="s">
        <v>337</v>
      </c>
      <c r="E449" s="24" t="s">
        <v>342</v>
      </c>
      <c r="F449" s="245" t="s">
        <v>435</v>
      </c>
      <c r="G449" s="68" t="s">
        <v>353</v>
      </c>
      <c r="H449" s="68" t="s">
        <v>347</v>
      </c>
      <c r="I449" s="70">
        <v>64996</v>
      </c>
      <c r="J449" s="24">
        <v>1</v>
      </c>
    </row>
    <row r="450" spans="1:10" ht="12.5" x14ac:dyDescent="0.25">
      <c r="A450" s="246"/>
      <c r="B450" s="24" t="s">
        <v>1489</v>
      </c>
      <c r="C450" s="24" t="s">
        <v>1489</v>
      </c>
      <c r="D450" s="24"/>
      <c r="E450" s="24"/>
      <c r="F450" s="24"/>
      <c r="G450" s="68" t="s">
        <v>1489</v>
      </c>
      <c r="H450" s="68" t="s">
        <v>1489</v>
      </c>
      <c r="I450" s="70"/>
    </row>
    <row r="451" spans="1:10" ht="12.5" x14ac:dyDescent="0.25">
      <c r="A451" s="241">
        <v>66</v>
      </c>
      <c r="B451" s="61" t="s">
        <v>324</v>
      </c>
      <c r="C451" s="24" t="s">
        <v>326</v>
      </c>
      <c r="D451" s="24" t="s">
        <v>337</v>
      </c>
      <c r="E451" s="24" t="s">
        <v>342</v>
      </c>
      <c r="F451" s="243" t="s">
        <v>398</v>
      </c>
      <c r="G451" s="68" t="s">
        <v>349</v>
      </c>
      <c r="H451" s="68" t="s">
        <v>346</v>
      </c>
      <c r="I451" s="70">
        <v>65199</v>
      </c>
      <c r="J451" s="24">
        <v>1</v>
      </c>
    </row>
    <row r="452" spans="1:10" ht="12.5" x14ac:dyDescent="0.25">
      <c r="A452" s="241"/>
      <c r="B452" s="61" t="s">
        <v>324</v>
      </c>
      <c r="C452" s="24" t="s">
        <v>326</v>
      </c>
      <c r="D452" s="24" t="s">
        <v>337</v>
      </c>
      <c r="E452" s="24" t="s">
        <v>342</v>
      </c>
      <c r="F452" s="243" t="s">
        <v>409</v>
      </c>
      <c r="G452" s="68" t="s">
        <v>349</v>
      </c>
      <c r="H452" s="68" t="s">
        <v>347</v>
      </c>
      <c r="I452" s="70">
        <v>65199</v>
      </c>
      <c r="J452" s="24">
        <v>1</v>
      </c>
    </row>
    <row r="453" spans="1:10" ht="12.5" x14ac:dyDescent="0.25">
      <c r="A453" s="241"/>
      <c r="B453" s="61" t="s">
        <v>324</v>
      </c>
      <c r="C453" s="24" t="s">
        <v>326</v>
      </c>
      <c r="D453" s="24" t="s">
        <v>337</v>
      </c>
      <c r="E453" s="24" t="s">
        <v>342</v>
      </c>
      <c r="F453" s="244" t="s">
        <v>420</v>
      </c>
      <c r="G453" s="68" t="s">
        <v>351</v>
      </c>
      <c r="H453" s="68" t="s">
        <v>346</v>
      </c>
      <c r="I453" s="70">
        <v>65199</v>
      </c>
      <c r="J453" s="24">
        <v>1</v>
      </c>
    </row>
    <row r="454" spans="1:10" ht="12.5" x14ac:dyDescent="0.25">
      <c r="A454" s="241"/>
      <c r="B454" s="61" t="s">
        <v>324</v>
      </c>
      <c r="C454" s="24" t="s">
        <v>326</v>
      </c>
      <c r="D454" s="24" t="s">
        <v>337</v>
      </c>
      <c r="E454" s="24" t="s">
        <v>342</v>
      </c>
      <c r="F454" s="244" t="s">
        <v>430</v>
      </c>
      <c r="G454" s="68" t="s">
        <v>351</v>
      </c>
      <c r="H454" s="68" t="s">
        <v>347</v>
      </c>
      <c r="I454" s="70">
        <v>65199</v>
      </c>
      <c r="J454" s="24">
        <v>1</v>
      </c>
    </row>
    <row r="455" spans="1:10" ht="12.5" x14ac:dyDescent="0.25">
      <c r="A455" s="241"/>
      <c r="B455" s="61" t="s">
        <v>324</v>
      </c>
      <c r="C455" s="24" t="s">
        <v>326</v>
      </c>
      <c r="D455" s="24" t="s">
        <v>337</v>
      </c>
      <c r="E455" s="24" t="s">
        <v>342</v>
      </c>
      <c r="F455" s="245" t="s">
        <v>433</v>
      </c>
      <c r="G455" s="68" t="s">
        <v>353</v>
      </c>
      <c r="H455" s="68" t="s">
        <v>346</v>
      </c>
      <c r="I455" s="70">
        <v>65199</v>
      </c>
      <c r="J455" s="24">
        <v>0</v>
      </c>
    </row>
    <row r="456" spans="1:10" ht="12.5" x14ac:dyDescent="0.25">
      <c r="A456" s="241"/>
      <c r="B456" s="61" t="s">
        <v>324</v>
      </c>
      <c r="C456" s="24" t="s">
        <v>326</v>
      </c>
      <c r="D456" s="24" t="s">
        <v>337</v>
      </c>
      <c r="E456" s="24" t="s">
        <v>342</v>
      </c>
      <c r="F456" s="245" t="s">
        <v>435</v>
      </c>
      <c r="G456" s="68" t="s">
        <v>353</v>
      </c>
      <c r="H456" s="68" t="s">
        <v>347</v>
      </c>
      <c r="I456" s="70">
        <v>65199</v>
      </c>
      <c r="J456" s="24">
        <v>1</v>
      </c>
    </row>
    <row r="457" spans="1:10" ht="12.5" x14ac:dyDescent="0.25">
      <c r="A457" s="246"/>
      <c r="B457" s="24" t="s">
        <v>1489</v>
      </c>
      <c r="C457" s="24" t="s">
        <v>1489</v>
      </c>
      <c r="D457" s="24"/>
      <c r="E457" s="24"/>
      <c r="F457" s="24"/>
      <c r="G457" s="68" t="s">
        <v>1489</v>
      </c>
      <c r="H457" s="68" t="s">
        <v>1489</v>
      </c>
      <c r="I457" s="70"/>
    </row>
    <row r="458" spans="1:10" ht="12.5" x14ac:dyDescent="0.25">
      <c r="A458" s="241">
        <v>67</v>
      </c>
      <c r="B458" s="61" t="s">
        <v>324</v>
      </c>
      <c r="C458" s="24" t="s">
        <v>326</v>
      </c>
      <c r="D458" s="24" t="s">
        <v>337</v>
      </c>
      <c r="E458" s="24" t="s">
        <v>342</v>
      </c>
      <c r="F458" s="243" t="s">
        <v>398</v>
      </c>
      <c r="G458" s="68" t="s">
        <v>349</v>
      </c>
      <c r="H458" s="68" t="s">
        <v>346</v>
      </c>
      <c r="I458" s="70" t="s">
        <v>145</v>
      </c>
      <c r="J458" s="24">
        <v>5</v>
      </c>
    </row>
    <row r="459" spans="1:10" ht="12.5" x14ac:dyDescent="0.25">
      <c r="A459" s="241"/>
      <c r="B459" s="61" t="s">
        <v>324</v>
      </c>
      <c r="C459" s="24" t="s">
        <v>326</v>
      </c>
      <c r="D459" s="24" t="s">
        <v>337</v>
      </c>
      <c r="E459" s="24" t="s">
        <v>342</v>
      </c>
      <c r="F459" s="243" t="s">
        <v>409</v>
      </c>
      <c r="G459" s="68" t="s">
        <v>349</v>
      </c>
      <c r="H459" s="68" t="s">
        <v>347</v>
      </c>
      <c r="I459" s="70" t="s">
        <v>145</v>
      </c>
      <c r="J459" s="24">
        <v>3</v>
      </c>
    </row>
    <row r="460" spans="1:10" ht="12.5" x14ac:dyDescent="0.25">
      <c r="A460" s="241"/>
      <c r="B460" s="61" t="s">
        <v>324</v>
      </c>
      <c r="C460" s="24" t="s">
        <v>326</v>
      </c>
      <c r="D460" s="24" t="s">
        <v>337</v>
      </c>
      <c r="E460" s="24" t="s">
        <v>342</v>
      </c>
      <c r="F460" s="244" t="s">
        <v>420</v>
      </c>
      <c r="G460" s="68" t="s">
        <v>351</v>
      </c>
      <c r="H460" s="68" t="s">
        <v>346</v>
      </c>
      <c r="I460" s="70" t="s">
        <v>145</v>
      </c>
      <c r="J460" s="24">
        <v>4</v>
      </c>
    </row>
    <row r="461" spans="1:10" ht="12.5" x14ac:dyDescent="0.25">
      <c r="A461" s="241"/>
      <c r="B461" s="61" t="s">
        <v>324</v>
      </c>
      <c r="C461" s="24" t="s">
        <v>326</v>
      </c>
      <c r="D461" s="24" t="s">
        <v>337</v>
      </c>
      <c r="E461" s="24" t="s">
        <v>342</v>
      </c>
      <c r="F461" s="244" t="s">
        <v>430</v>
      </c>
      <c r="G461" s="68" t="s">
        <v>351</v>
      </c>
      <c r="H461" s="68" t="s">
        <v>347</v>
      </c>
      <c r="I461" s="70" t="s">
        <v>145</v>
      </c>
      <c r="J461" s="24">
        <v>5</v>
      </c>
    </row>
    <row r="462" spans="1:10" ht="12.5" x14ac:dyDescent="0.25">
      <c r="A462" s="241"/>
      <c r="B462" s="61" t="s">
        <v>324</v>
      </c>
      <c r="C462" s="24" t="s">
        <v>326</v>
      </c>
      <c r="D462" s="24" t="s">
        <v>337</v>
      </c>
      <c r="E462" s="24" t="s">
        <v>342</v>
      </c>
      <c r="F462" s="245" t="s">
        <v>433</v>
      </c>
      <c r="G462" s="68" t="s">
        <v>353</v>
      </c>
      <c r="H462" s="68" t="s">
        <v>346</v>
      </c>
      <c r="I462" s="70" t="s">
        <v>145</v>
      </c>
      <c r="J462" s="24">
        <v>4</v>
      </c>
    </row>
    <row r="463" spans="1:10" ht="12.5" x14ac:dyDescent="0.25">
      <c r="A463" s="241"/>
      <c r="B463" s="61" t="s">
        <v>324</v>
      </c>
      <c r="C463" s="24" t="s">
        <v>326</v>
      </c>
      <c r="D463" s="24" t="s">
        <v>337</v>
      </c>
      <c r="E463" s="24" t="s">
        <v>342</v>
      </c>
      <c r="F463" s="245" t="s">
        <v>435</v>
      </c>
      <c r="G463" s="68" t="s">
        <v>353</v>
      </c>
      <c r="H463" s="68" t="s">
        <v>347</v>
      </c>
      <c r="I463" s="70" t="s">
        <v>145</v>
      </c>
      <c r="J463" s="24">
        <v>4</v>
      </c>
    </row>
    <row r="464" spans="1:10" ht="12.5" x14ac:dyDescent="0.25">
      <c r="A464" s="246"/>
      <c r="B464" s="24" t="s">
        <v>1489</v>
      </c>
      <c r="C464" s="24" t="s">
        <v>1489</v>
      </c>
      <c r="D464" s="24"/>
      <c r="E464" s="24"/>
      <c r="F464" s="24"/>
      <c r="G464" s="68" t="s">
        <v>1489</v>
      </c>
      <c r="H464" s="68" t="s">
        <v>1489</v>
      </c>
      <c r="I464" s="70"/>
    </row>
    <row r="465" spans="1:10" ht="12.5" x14ac:dyDescent="0.25">
      <c r="A465" s="241">
        <v>68</v>
      </c>
      <c r="B465" s="61" t="s">
        <v>324</v>
      </c>
      <c r="C465" s="24" t="s">
        <v>326</v>
      </c>
      <c r="D465" s="24" t="s">
        <v>337</v>
      </c>
      <c r="E465" s="24" t="s">
        <v>342</v>
      </c>
      <c r="F465" s="243" t="s">
        <v>398</v>
      </c>
      <c r="G465" s="68" t="s">
        <v>349</v>
      </c>
      <c r="H465" s="68" t="s">
        <v>346</v>
      </c>
      <c r="I465" s="70" t="s">
        <v>147</v>
      </c>
      <c r="J465" s="24">
        <v>2</v>
      </c>
    </row>
    <row r="466" spans="1:10" ht="12.5" x14ac:dyDescent="0.25">
      <c r="A466" s="241"/>
      <c r="B466" s="61" t="s">
        <v>324</v>
      </c>
      <c r="C466" s="24" t="s">
        <v>326</v>
      </c>
      <c r="D466" s="24" t="s">
        <v>337</v>
      </c>
      <c r="E466" s="24" t="s">
        <v>342</v>
      </c>
      <c r="F466" s="243" t="s">
        <v>409</v>
      </c>
      <c r="G466" s="68" t="s">
        <v>349</v>
      </c>
      <c r="H466" s="68" t="s">
        <v>347</v>
      </c>
      <c r="I466" s="70" t="s">
        <v>147</v>
      </c>
      <c r="J466" s="24">
        <v>0</v>
      </c>
    </row>
    <row r="467" spans="1:10" ht="12.5" x14ac:dyDescent="0.25">
      <c r="A467" s="241"/>
      <c r="B467" s="61" t="s">
        <v>324</v>
      </c>
      <c r="C467" s="24" t="s">
        <v>326</v>
      </c>
      <c r="D467" s="24" t="s">
        <v>337</v>
      </c>
      <c r="E467" s="24" t="s">
        <v>342</v>
      </c>
      <c r="F467" s="244" t="s">
        <v>420</v>
      </c>
      <c r="G467" s="68" t="s">
        <v>351</v>
      </c>
      <c r="H467" s="68" t="s">
        <v>346</v>
      </c>
      <c r="I467" s="70" t="s">
        <v>147</v>
      </c>
      <c r="J467" s="24">
        <v>0</v>
      </c>
    </row>
    <row r="468" spans="1:10" ht="12.5" x14ac:dyDescent="0.25">
      <c r="A468" s="241"/>
      <c r="B468" s="61" t="s">
        <v>324</v>
      </c>
      <c r="C468" s="24" t="s">
        <v>326</v>
      </c>
      <c r="D468" s="24" t="s">
        <v>337</v>
      </c>
      <c r="E468" s="24" t="s">
        <v>342</v>
      </c>
      <c r="F468" s="244" t="s">
        <v>430</v>
      </c>
      <c r="G468" s="68" t="s">
        <v>351</v>
      </c>
      <c r="H468" s="68" t="s">
        <v>347</v>
      </c>
      <c r="I468" s="70" t="s">
        <v>147</v>
      </c>
      <c r="J468" s="24">
        <v>1</v>
      </c>
    </row>
    <row r="469" spans="1:10" ht="12.5" x14ac:dyDescent="0.25">
      <c r="A469" s="241"/>
      <c r="B469" s="61" t="s">
        <v>324</v>
      </c>
      <c r="C469" s="24" t="s">
        <v>326</v>
      </c>
      <c r="D469" s="24" t="s">
        <v>337</v>
      </c>
      <c r="E469" s="24" t="s">
        <v>342</v>
      </c>
      <c r="F469" s="245" t="s">
        <v>433</v>
      </c>
      <c r="G469" s="68" t="s">
        <v>353</v>
      </c>
      <c r="H469" s="68" t="s">
        <v>346</v>
      </c>
      <c r="I469" s="70" t="s">
        <v>147</v>
      </c>
      <c r="J469" s="24">
        <v>1</v>
      </c>
    </row>
    <row r="470" spans="1:10" ht="12.5" x14ac:dyDescent="0.25">
      <c r="A470" s="241"/>
      <c r="B470" s="61" t="s">
        <v>324</v>
      </c>
      <c r="C470" s="24" t="s">
        <v>326</v>
      </c>
      <c r="D470" s="24" t="s">
        <v>337</v>
      </c>
      <c r="E470" s="24" t="s">
        <v>342</v>
      </c>
      <c r="F470" s="245" t="s">
        <v>435</v>
      </c>
      <c r="G470" s="68" t="s">
        <v>353</v>
      </c>
      <c r="H470" s="68" t="s">
        <v>347</v>
      </c>
      <c r="I470" s="70" t="s">
        <v>147</v>
      </c>
      <c r="J470" s="24">
        <v>1</v>
      </c>
    </row>
    <row r="471" spans="1:10" ht="12.5" x14ac:dyDescent="0.25">
      <c r="A471" s="246"/>
      <c r="B471" s="24" t="s">
        <v>1489</v>
      </c>
      <c r="C471" s="24" t="s">
        <v>1489</v>
      </c>
      <c r="D471" s="24"/>
      <c r="E471" s="24"/>
      <c r="F471" s="24"/>
      <c r="G471" s="68" t="s">
        <v>1489</v>
      </c>
      <c r="H471" s="68" t="s">
        <v>1489</v>
      </c>
      <c r="I471" s="70"/>
    </row>
    <row r="472" spans="1:10" ht="12.5" x14ac:dyDescent="0.25">
      <c r="A472" s="241">
        <v>69</v>
      </c>
      <c r="B472" s="61" t="s">
        <v>324</v>
      </c>
      <c r="C472" s="24" t="s">
        <v>326</v>
      </c>
      <c r="D472" s="24" t="s">
        <v>337</v>
      </c>
      <c r="E472" s="24" t="s">
        <v>342</v>
      </c>
      <c r="F472" s="243" t="s">
        <v>398</v>
      </c>
      <c r="G472" s="68" t="s">
        <v>349</v>
      </c>
      <c r="H472" s="68" t="s">
        <v>346</v>
      </c>
      <c r="I472" s="70" t="s">
        <v>149</v>
      </c>
      <c r="J472" s="24">
        <v>5</v>
      </c>
    </row>
    <row r="473" spans="1:10" ht="12.5" x14ac:dyDescent="0.25">
      <c r="A473" s="241"/>
      <c r="B473" s="61" t="s">
        <v>324</v>
      </c>
      <c r="C473" s="24" t="s">
        <v>326</v>
      </c>
      <c r="D473" s="24" t="s">
        <v>337</v>
      </c>
      <c r="E473" s="24" t="s">
        <v>342</v>
      </c>
      <c r="F473" s="243" t="s">
        <v>409</v>
      </c>
      <c r="G473" s="68" t="s">
        <v>349</v>
      </c>
      <c r="H473" s="68" t="s">
        <v>347</v>
      </c>
      <c r="I473" s="70" t="s">
        <v>149</v>
      </c>
      <c r="J473" s="24">
        <v>4</v>
      </c>
    </row>
    <row r="474" spans="1:10" ht="12.5" x14ac:dyDescent="0.25">
      <c r="A474" s="241"/>
      <c r="B474" s="61" t="s">
        <v>324</v>
      </c>
      <c r="C474" s="24" t="s">
        <v>326</v>
      </c>
      <c r="D474" s="24" t="s">
        <v>337</v>
      </c>
      <c r="E474" s="24" t="s">
        <v>342</v>
      </c>
      <c r="F474" s="244" t="s">
        <v>420</v>
      </c>
      <c r="G474" s="68" t="s">
        <v>351</v>
      </c>
      <c r="H474" s="68" t="s">
        <v>346</v>
      </c>
      <c r="I474" s="70" t="s">
        <v>149</v>
      </c>
      <c r="J474" s="24">
        <v>6</v>
      </c>
    </row>
    <row r="475" spans="1:10" ht="12.5" x14ac:dyDescent="0.25">
      <c r="A475" s="241"/>
      <c r="B475" s="61" t="s">
        <v>324</v>
      </c>
      <c r="C475" s="24" t="s">
        <v>326</v>
      </c>
      <c r="D475" s="24" t="s">
        <v>337</v>
      </c>
      <c r="E475" s="24" t="s">
        <v>342</v>
      </c>
      <c r="F475" s="244" t="s">
        <v>430</v>
      </c>
      <c r="G475" s="68" t="s">
        <v>351</v>
      </c>
      <c r="H475" s="68" t="s">
        <v>347</v>
      </c>
      <c r="I475" s="70" t="s">
        <v>149</v>
      </c>
      <c r="J475" s="24">
        <v>4</v>
      </c>
    </row>
    <row r="476" spans="1:10" ht="12.5" x14ac:dyDescent="0.25">
      <c r="A476" s="241"/>
      <c r="B476" s="61" t="s">
        <v>324</v>
      </c>
      <c r="C476" s="24" t="s">
        <v>326</v>
      </c>
      <c r="D476" s="24" t="s">
        <v>337</v>
      </c>
      <c r="E476" s="24" t="s">
        <v>342</v>
      </c>
      <c r="F476" s="245" t="s">
        <v>433</v>
      </c>
      <c r="G476" s="68" t="s">
        <v>353</v>
      </c>
      <c r="H476" s="68" t="s">
        <v>346</v>
      </c>
      <c r="I476" s="70" t="s">
        <v>149</v>
      </c>
      <c r="J476" s="24">
        <v>4</v>
      </c>
    </row>
    <row r="477" spans="1:10" ht="12.5" x14ac:dyDescent="0.25">
      <c r="A477" s="241"/>
      <c r="B477" s="61" t="s">
        <v>324</v>
      </c>
      <c r="C477" s="24" t="s">
        <v>326</v>
      </c>
      <c r="D477" s="24" t="s">
        <v>337</v>
      </c>
      <c r="E477" s="24" t="s">
        <v>342</v>
      </c>
      <c r="F477" s="245" t="s">
        <v>435</v>
      </c>
      <c r="G477" s="68" t="s">
        <v>353</v>
      </c>
      <c r="H477" s="68" t="s">
        <v>347</v>
      </c>
      <c r="I477" s="70" t="s">
        <v>149</v>
      </c>
      <c r="J477" s="24">
        <v>6</v>
      </c>
    </row>
    <row r="478" spans="1:10" ht="12.5" x14ac:dyDescent="0.25">
      <c r="A478" s="246"/>
      <c r="B478" s="24" t="s">
        <v>1489</v>
      </c>
      <c r="C478" s="24" t="s">
        <v>1489</v>
      </c>
      <c r="D478" s="24"/>
      <c r="E478" s="24"/>
      <c r="F478" s="24"/>
      <c r="G478" s="68" t="s">
        <v>1489</v>
      </c>
      <c r="H478" s="68" t="s">
        <v>1489</v>
      </c>
      <c r="I478" s="70"/>
    </row>
    <row r="479" spans="1:10" ht="12.5" x14ac:dyDescent="0.25">
      <c r="A479" s="241">
        <v>70</v>
      </c>
      <c r="B479" s="61" t="s">
        <v>324</v>
      </c>
      <c r="C479" s="24" t="s">
        <v>326</v>
      </c>
      <c r="D479" s="24" t="s">
        <v>337</v>
      </c>
      <c r="E479" s="24" t="s">
        <v>342</v>
      </c>
      <c r="F479" s="243" t="s">
        <v>398</v>
      </c>
      <c r="G479" s="68" t="s">
        <v>349</v>
      </c>
      <c r="H479" s="68" t="s">
        <v>346</v>
      </c>
      <c r="I479" s="70" t="s">
        <v>146</v>
      </c>
      <c r="J479" s="24">
        <v>4</v>
      </c>
    </row>
    <row r="480" spans="1:10" ht="12.5" x14ac:dyDescent="0.25">
      <c r="A480" s="241"/>
      <c r="B480" s="61" t="s">
        <v>324</v>
      </c>
      <c r="C480" s="24" t="s">
        <v>326</v>
      </c>
      <c r="D480" s="24" t="s">
        <v>337</v>
      </c>
      <c r="E480" s="24" t="s">
        <v>342</v>
      </c>
      <c r="F480" s="243" t="s">
        <v>409</v>
      </c>
      <c r="G480" s="68" t="s">
        <v>349</v>
      </c>
      <c r="H480" s="68" t="s">
        <v>347</v>
      </c>
      <c r="I480" s="70" t="s">
        <v>146</v>
      </c>
      <c r="J480" s="24">
        <v>3</v>
      </c>
    </row>
    <row r="481" spans="1:10" ht="12.5" x14ac:dyDescent="0.25">
      <c r="A481" s="241"/>
      <c r="B481" s="61" t="s">
        <v>324</v>
      </c>
      <c r="C481" s="24" t="s">
        <v>326</v>
      </c>
      <c r="D481" s="24" t="s">
        <v>337</v>
      </c>
      <c r="E481" s="24" t="s">
        <v>342</v>
      </c>
      <c r="F481" s="244" t="s">
        <v>420</v>
      </c>
      <c r="G481" s="68" t="s">
        <v>351</v>
      </c>
      <c r="H481" s="68" t="s">
        <v>346</v>
      </c>
      <c r="I481" s="70" t="s">
        <v>146</v>
      </c>
      <c r="J481" s="24">
        <v>2</v>
      </c>
    </row>
    <row r="482" spans="1:10" ht="12.5" x14ac:dyDescent="0.25">
      <c r="A482" s="241"/>
      <c r="B482" s="61" t="s">
        <v>324</v>
      </c>
      <c r="C482" s="24" t="s">
        <v>326</v>
      </c>
      <c r="D482" s="24" t="s">
        <v>337</v>
      </c>
      <c r="E482" s="24" t="s">
        <v>342</v>
      </c>
      <c r="F482" s="244" t="s">
        <v>430</v>
      </c>
      <c r="G482" s="68" t="s">
        <v>351</v>
      </c>
      <c r="H482" s="68" t="s">
        <v>347</v>
      </c>
      <c r="I482" s="70" t="s">
        <v>146</v>
      </c>
      <c r="J482" s="24">
        <v>2</v>
      </c>
    </row>
    <row r="483" spans="1:10" ht="12.5" x14ac:dyDescent="0.25">
      <c r="A483" s="241"/>
      <c r="B483" s="61" t="s">
        <v>324</v>
      </c>
      <c r="C483" s="24" t="s">
        <v>326</v>
      </c>
      <c r="D483" s="24" t="s">
        <v>337</v>
      </c>
      <c r="E483" s="24" t="s">
        <v>342</v>
      </c>
      <c r="F483" s="245" t="s">
        <v>433</v>
      </c>
      <c r="G483" s="68" t="s">
        <v>353</v>
      </c>
      <c r="H483" s="68" t="s">
        <v>346</v>
      </c>
      <c r="I483" s="70" t="s">
        <v>146</v>
      </c>
      <c r="J483" s="24">
        <v>2</v>
      </c>
    </row>
    <row r="484" spans="1:10" ht="12.5" x14ac:dyDescent="0.25">
      <c r="A484" s="241"/>
      <c r="B484" s="61" t="s">
        <v>324</v>
      </c>
      <c r="C484" s="24" t="s">
        <v>326</v>
      </c>
      <c r="D484" s="24" t="s">
        <v>337</v>
      </c>
      <c r="E484" s="24" t="s">
        <v>342</v>
      </c>
      <c r="F484" s="245" t="s">
        <v>435</v>
      </c>
      <c r="G484" s="68" t="s">
        <v>353</v>
      </c>
      <c r="H484" s="68" t="s">
        <v>347</v>
      </c>
      <c r="I484" s="70" t="s">
        <v>146</v>
      </c>
      <c r="J484" s="24">
        <v>2</v>
      </c>
    </row>
    <row r="485" spans="1:10" ht="12.5" x14ac:dyDescent="0.25">
      <c r="A485" s="246"/>
      <c r="B485" s="24" t="s">
        <v>1489</v>
      </c>
      <c r="C485" s="24" t="s">
        <v>1489</v>
      </c>
      <c r="D485" s="24"/>
      <c r="E485" s="24"/>
      <c r="F485" s="24"/>
      <c r="G485" s="68" t="s">
        <v>1489</v>
      </c>
      <c r="H485" s="68" t="s">
        <v>1489</v>
      </c>
      <c r="I485" s="70"/>
    </row>
    <row r="486" spans="1:10" ht="12.5" x14ac:dyDescent="0.25">
      <c r="A486" s="241">
        <v>71</v>
      </c>
      <c r="B486" s="61" t="s">
        <v>324</v>
      </c>
      <c r="C486" s="24" t="s">
        <v>326</v>
      </c>
      <c r="D486" s="24" t="s">
        <v>337</v>
      </c>
      <c r="E486" s="24" t="s">
        <v>343</v>
      </c>
      <c r="F486" s="243" t="s">
        <v>398</v>
      </c>
      <c r="G486" s="68" t="s">
        <v>349</v>
      </c>
      <c r="H486" s="68" t="s">
        <v>346</v>
      </c>
      <c r="I486" s="70">
        <v>36167</v>
      </c>
      <c r="J486" s="24">
        <v>1</v>
      </c>
    </row>
    <row r="487" spans="1:10" ht="12.5" x14ac:dyDescent="0.25">
      <c r="A487" s="241"/>
      <c r="B487" s="61" t="s">
        <v>324</v>
      </c>
      <c r="C487" s="24" t="s">
        <v>326</v>
      </c>
      <c r="D487" s="24" t="s">
        <v>337</v>
      </c>
      <c r="E487" s="24" t="s">
        <v>343</v>
      </c>
      <c r="F487" s="243" t="s">
        <v>409</v>
      </c>
      <c r="G487" s="68" t="s">
        <v>349</v>
      </c>
      <c r="H487" s="68" t="s">
        <v>347</v>
      </c>
      <c r="I487" s="70">
        <v>36167</v>
      </c>
      <c r="J487" s="24">
        <v>1</v>
      </c>
    </row>
    <row r="488" spans="1:10" ht="12.5" x14ac:dyDescent="0.25">
      <c r="A488" s="241"/>
      <c r="B488" s="61" t="s">
        <v>324</v>
      </c>
      <c r="C488" s="24" t="s">
        <v>326</v>
      </c>
      <c r="D488" s="24" t="s">
        <v>337</v>
      </c>
      <c r="E488" s="24" t="s">
        <v>343</v>
      </c>
      <c r="F488" s="244" t="s">
        <v>420</v>
      </c>
      <c r="G488" s="68" t="s">
        <v>351</v>
      </c>
      <c r="H488" s="68" t="s">
        <v>346</v>
      </c>
      <c r="I488" s="70">
        <v>36167</v>
      </c>
      <c r="J488" s="24">
        <v>1</v>
      </c>
    </row>
    <row r="489" spans="1:10" ht="12.5" x14ac:dyDescent="0.25">
      <c r="A489" s="241"/>
      <c r="B489" s="61" t="s">
        <v>324</v>
      </c>
      <c r="C489" s="24" t="s">
        <v>326</v>
      </c>
      <c r="D489" s="24" t="s">
        <v>337</v>
      </c>
      <c r="E489" s="24" t="s">
        <v>343</v>
      </c>
      <c r="F489" s="244" t="s">
        <v>430</v>
      </c>
      <c r="G489" s="68" t="s">
        <v>351</v>
      </c>
      <c r="H489" s="68" t="s">
        <v>347</v>
      </c>
      <c r="I489" s="70">
        <v>36167</v>
      </c>
      <c r="J489" s="24">
        <v>0</v>
      </c>
    </row>
    <row r="490" spans="1:10" ht="12.5" x14ac:dyDescent="0.25">
      <c r="A490" s="241"/>
      <c r="B490" s="61" t="s">
        <v>324</v>
      </c>
      <c r="C490" s="24" t="s">
        <v>326</v>
      </c>
      <c r="D490" s="24" t="s">
        <v>337</v>
      </c>
      <c r="E490" s="24" t="s">
        <v>343</v>
      </c>
      <c r="F490" s="245" t="s">
        <v>433</v>
      </c>
      <c r="G490" s="68" t="s">
        <v>353</v>
      </c>
      <c r="H490" s="68" t="s">
        <v>346</v>
      </c>
      <c r="I490" s="70">
        <v>36167</v>
      </c>
      <c r="J490" s="24">
        <v>1</v>
      </c>
    </row>
    <row r="491" spans="1:10" ht="12.5" x14ac:dyDescent="0.25">
      <c r="A491" s="241"/>
      <c r="B491" s="61" t="s">
        <v>324</v>
      </c>
      <c r="C491" s="24" t="s">
        <v>326</v>
      </c>
      <c r="D491" s="24" t="s">
        <v>337</v>
      </c>
      <c r="E491" s="24" t="s">
        <v>343</v>
      </c>
      <c r="F491" s="245" t="s">
        <v>435</v>
      </c>
      <c r="G491" s="68" t="s">
        <v>353</v>
      </c>
      <c r="H491" s="68" t="s">
        <v>347</v>
      </c>
      <c r="I491" s="70">
        <v>36167</v>
      </c>
      <c r="J491" s="24">
        <v>0</v>
      </c>
    </row>
    <row r="492" spans="1:10" ht="12.5" x14ac:dyDescent="0.25">
      <c r="A492" s="246"/>
      <c r="B492" s="24" t="s">
        <v>1489</v>
      </c>
      <c r="C492" s="24" t="s">
        <v>1489</v>
      </c>
      <c r="D492" s="24"/>
      <c r="E492" s="24"/>
      <c r="F492" s="24"/>
      <c r="G492" s="68" t="s">
        <v>1489</v>
      </c>
      <c r="H492" s="68" t="s">
        <v>1489</v>
      </c>
      <c r="I492" s="70"/>
    </row>
    <row r="493" spans="1:10" ht="12.5" x14ac:dyDescent="0.25">
      <c r="A493" s="241">
        <v>72</v>
      </c>
      <c r="B493" s="61" t="s">
        <v>324</v>
      </c>
      <c r="C493" s="24" t="s">
        <v>326</v>
      </c>
      <c r="D493" s="24" t="s">
        <v>337</v>
      </c>
      <c r="E493" s="24" t="s">
        <v>343</v>
      </c>
      <c r="F493" s="243" t="s">
        <v>398</v>
      </c>
      <c r="G493" s="68" t="s">
        <v>349</v>
      </c>
      <c r="H493" s="68" t="s">
        <v>346</v>
      </c>
      <c r="I493" s="70">
        <v>36207</v>
      </c>
      <c r="J493" s="24">
        <v>1</v>
      </c>
    </row>
    <row r="494" spans="1:10" ht="12.5" x14ac:dyDescent="0.25">
      <c r="A494" s="241"/>
      <c r="B494" s="61" t="s">
        <v>324</v>
      </c>
      <c r="C494" s="24" t="s">
        <v>326</v>
      </c>
      <c r="D494" s="24" t="s">
        <v>337</v>
      </c>
      <c r="E494" s="24" t="s">
        <v>343</v>
      </c>
      <c r="F494" s="243" t="s">
        <v>409</v>
      </c>
      <c r="G494" s="68" t="s">
        <v>349</v>
      </c>
      <c r="H494" s="68" t="s">
        <v>347</v>
      </c>
      <c r="I494" s="70">
        <v>36207</v>
      </c>
      <c r="J494" s="24">
        <v>2</v>
      </c>
    </row>
    <row r="495" spans="1:10" ht="12.5" x14ac:dyDescent="0.25">
      <c r="A495" s="241"/>
      <c r="B495" s="61" t="s">
        <v>324</v>
      </c>
      <c r="C495" s="24" t="s">
        <v>326</v>
      </c>
      <c r="D495" s="24" t="s">
        <v>337</v>
      </c>
      <c r="E495" s="24" t="s">
        <v>343</v>
      </c>
      <c r="F495" s="244" t="s">
        <v>420</v>
      </c>
      <c r="G495" s="68" t="s">
        <v>351</v>
      </c>
      <c r="H495" s="68" t="s">
        <v>346</v>
      </c>
      <c r="I495" s="70">
        <v>36207</v>
      </c>
      <c r="J495" s="24">
        <v>1</v>
      </c>
    </row>
    <row r="496" spans="1:10" ht="12.5" x14ac:dyDescent="0.25">
      <c r="A496" s="241"/>
      <c r="B496" s="61" t="s">
        <v>324</v>
      </c>
      <c r="C496" s="24" t="s">
        <v>326</v>
      </c>
      <c r="D496" s="24" t="s">
        <v>337</v>
      </c>
      <c r="E496" s="24" t="s">
        <v>343</v>
      </c>
      <c r="F496" s="244" t="s">
        <v>430</v>
      </c>
      <c r="G496" s="68" t="s">
        <v>351</v>
      </c>
      <c r="H496" s="68" t="s">
        <v>347</v>
      </c>
      <c r="I496" s="70">
        <v>36207</v>
      </c>
      <c r="J496" s="24">
        <v>1</v>
      </c>
    </row>
    <row r="497" spans="1:10" ht="12.5" x14ac:dyDescent="0.25">
      <c r="A497" s="241"/>
      <c r="B497" s="61" t="s">
        <v>324</v>
      </c>
      <c r="C497" s="24" t="s">
        <v>326</v>
      </c>
      <c r="D497" s="24" t="s">
        <v>337</v>
      </c>
      <c r="E497" s="24" t="s">
        <v>343</v>
      </c>
      <c r="F497" s="245" t="s">
        <v>433</v>
      </c>
      <c r="G497" s="68" t="s">
        <v>353</v>
      </c>
      <c r="H497" s="68" t="s">
        <v>346</v>
      </c>
      <c r="I497" s="70">
        <v>36207</v>
      </c>
      <c r="J497" s="24">
        <v>1</v>
      </c>
    </row>
    <row r="498" spans="1:10" ht="12.5" x14ac:dyDescent="0.25">
      <c r="A498" s="241"/>
      <c r="B498" s="61" t="s">
        <v>324</v>
      </c>
      <c r="C498" s="24" t="s">
        <v>326</v>
      </c>
      <c r="D498" s="24" t="s">
        <v>337</v>
      </c>
      <c r="E498" s="24" t="s">
        <v>343</v>
      </c>
      <c r="F498" s="245" t="s">
        <v>435</v>
      </c>
      <c r="G498" s="68" t="s">
        <v>353</v>
      </c>
      <c r="H498" s="68" t="s">
        <v>347</v>
      </c>
      <c r="I498" s="70">
        <v>36207</v>
      </c>
      <c r="J498" s="24">
        <v>1</v>
      </c>
    </row>
    <row r="499" spans="1:10" ht="12.5" x14ac:dyDescent="0.25">
      <c r="A499" s="246"/>
      <c r="B499" s="24" t="s">
        <v>1489</v>
      </c>
      <c r="C499" s="24" t="s">
        <v>1489</v>
      </c>
      <c r="D499" s="24"/>
      <c r="E499" s="24"/>
      <c r="F499" s="24"/>
      <c r="G499" s="68" t="s">
        <v>1489</v>
      </c>
      <c r="H499" s="68" t="s">
        <v>1489</v>
      </c>
      <c r="I499" s="70"/>
    </row>
    <row r="500" spans="1:10" ht="12.5" x14ac:dyDescent="0.25">
      <c r="A500" s="241">
        <v>73</v>
      </c>
      <c r="B500" s="61" t="s">
        <v>324</v>
      </c>
      <c r="C500" s="24" t="s">
        <v>326</v>
      </c>
      <c r="D500" s="24" t="s">
        <v>337</v>
      </c>
      <c r="E500" s="24" t="s">
        <v>343</v>
      </c>
      <c r="F500" s="243" t="s">
        <v>398</v>
      </c>
      <c r="G500" s="68" t="s">
        <v>349</v>
      </c>
      <c r="H500" s="68" t="s">
        <v>346</v>
      </c>
      <c r="I500" s="70">
        <v>36831</v>
      </c>
      <c r="J500" s="24">
        <v>0</v>
      </c>
    </row>
    <row r="501" spans="1:10" ht="12.5" x14ac:dyDescent="0.25">
      <c r="A501" s="241"/>
      <c r="B501" s="61" t="s">
        <v>324</v>
      </c>
      <c r="C501" s="24" t="s">
        <v>326</v>
      </c>
      <c r="D501" s="24" t="s">
        <v>337</v>
      </c>
      <c r="E501" s="24" t="s">
        <v>343</v>
      </c>
      <c r="F501" s="243" t="s">
        <v>409</v>
      </c>
      <c r="G501" s="68" t="s">
        <v>349</v>
      </c>
      <c r="H501" s="68" t="s">
        <v>347</v>
      </c>
      <c r="I501" s="70">
        <v>36831</v>
      </c>
      <c r="J501" s="24">
        <v>1</v>
      </c>
    </row>
    <row r="502" spans="1:10" ht="12.5" x14ac:dyDescent="0.25">
      <c r="A502" s="241"/>
      <c r="B502" s="61" t="s">
        <v>324</v>
      </c>
      <c r="C502" s="24" t="s">
        <v>326</v>
      </c>
      <c r="D502" s="24" t="s">
        <v>337</v>
      </c>
      <c r="E502" s="24" t="s">
        <v>343</v>
      </c>
      <c r="F502" s="244" t="s">
        <v>420</v>
      </c>
      <c r="G502" s="68" t="s">
        <v>351</v>
      </c>
      <c r="H502" s="68" t="s">
        <v>346</v>
      </c>
      <c r="I502" s="70">
        <v>36831</v>
      </c>
      <c r="J502" s="24">
        <v>1</v>
      </c>
    </row>
    <row r="503" spans="1:10" ht="12.5" x14ac:dyDescent="0.25">
      <c r="A503" s="241"/>
      <c r="B503" s="61" t="s">
        <v>324</v>
      </c>
      <c r="C503" s="24" t="s">
        <v>326</v>
      </c>
      <c r="D503" s="24" t="s">
        <v>337</v>
      </c>
      <c r="E503" s="24" t="s">
        <v>343</v>
      </c>
      <c r="F503" s="244" t="s">
        <v>430</v>
      </c>
      <c r="G503" s="68" t="s">
        <v>351</v>
      </c>
      <c r="H503" s="68" t="s">
        <v>347</v>
      </c>
      <c r="I503" s="70">
        <v>36831</v>
      </c>
      <c r="J503" s="24">
        <v>1</v>
      </c>
    </row>
    <row r="504" spans="1:10" ht="12.5" x14ac:dyDescent="0.25">
      <c r="A504" s="241"/>
      <c r="B504" s="61" t="s">
        <v>324</v>
      </c>
      <c r="C504" s="24" t="s">
        <v>326</v>
      </c>
      <c r="D504" s="24" t="s">
        <v>337</v>
      </c>
      <c r="E504" s="24" t="s">
        <v>343</v>
      </c>
      <c r="F504" s="245" t="s">
        <v>433</v>
      </c>
      <c r="G504" s="68" t="s">
        <v>353</v>
      </c>
      <c r="H504" s="68" t="s">
        <v>346</v>
      </c>
      <c r="I504" s="70">
        <v>36831</v>
      </c>
      <c r="J504" s="24">
        <v>1</v>
      </c>
    </row>
    <row r="505" spans="1:10" ht="12.5" x14ac:dyDescent="0.25">
      <c r="A505" s="241"/>
      <c r="B505" s="61" t="s">
        <v>324</v>
      </c>
      <c r="C505" s="24" t="s">
        <v>326</v>
      </c>
      <c r="D505" s="24" t="s">
        <v>337</v>
      </c>
      <c r="E505" s="24" t="s">
        <v>343</v>
      </c>
      <c r="F505" s="245" t="s">
        <v>435</v>
      </c>
      <c r="G505" s="68" t="s">
        <v>353</v>
      </c>
      <c r="H505" s="68" t="s">
        <v>347</v>
      </c>
      <c r="I505" s="70">
        <v>36831</v>
      </c>
      <c r="J505" s="24">
        <v>1</v>
      </c>
    </row>
    <row r="506" spans="1:10" ht="12.5" x14ac:dyDescent="0.25">
      <c r="A506" s="246"/>
      <c r="B506" s="24" t="s">
        <v>1489</v>
      </c>
      <c r="C506" s="24" t="s">
        <v>1489</v>
      </c>
      <c r="D506" s="24"/>
      <c r="E506" s="24"/>
      <c r="F506" s="24"/>
      <c r="G506" s="68" t="s">
        <v>1489</v>
      </c>
      <c r="H506" s="68" t="s">
        <v>1489</v>
      </c>
      <c r="I506" s="70"/>
    </row>
    <row r="507" spans="1:10" ht="12.5" x14ac:dyDescent="0.25">
      <c r="A507" s="241">
        <v>74</v>
      </c>
      <c r="B507" s="61" t="s">
        <v>324</v>
      </c>
      <c r="C507" s="24" t="s">
        <v>326</v>
      </c>
      <c r="D507" s="24" t="s">
        <v>337</v>
      </c>
      <c r="E507" s="24" t="s">
        <v>343</v>
      </c>
      <c r="F507" s="243" t="s">
        <v>398</v>
      </c>
      <c r="G507" s="68" t="s">
        <v>349</v>
      </c>
      <c r="H507" s="68" t="s">
        <v>346</v>
      </c>
      <c r="I507" s="70" t="s">
        <v>411</v>
      </c>
      <c r="J507" s="24">
        <v>0</v>
      </c>
    </row>
    <row r="508" spans="1:10" ht="12.5" x14ac:dyDescent="0.25">
      <c r="A508" s="241"/>
      <c r="B508" s="61" t="s">
        <v>324</v>
      </c>
      <c r="C508" s="24" t="s">
        <v>326</v>
      </c>
      <c r="D508" s="24" t="s">
        <v>337</v>
      </c>
      <c r="E508" s="24" t="s">
        <v>343</v>
      </c>
      <c r="F508" s="243" t="s">
        <v>409</v>
      </c>
      <c r="G508" s="68" t="s">
        <v>349</v>
      </c>
      <c r="H508" s="68" t="s">
        <v>347</v>
      </c>
      <c r="I508" s="70" t="s">
        <v>411</v>
      </c>
      <c r="J508" s="24">
        <v>0</v>
      </c>
    </row>
    <row r="509" spans="1:10" ht="12.5" x14ac:dyDescent="0.25">
      <c r="A509" s="241"/>
      <c r="B509" s="61" t="s">
        <v>324</v>
      </c>
      <c r="C509" s="24" t="s">
        <v>326</v>
      </c>
      <c r="D509" s="24" t="s">
        <v>337</v>
      </c>
      <c r="E509" s="24" t="s">
        <v>343</v>
      </c>
      <c r="F509" s="244" t="s">
        <v>420</v>
      </c>
      <c r="G509" s="68" t="s">
        <v>351</v>
      </c>
      <c r="H509" s="68" t="s">
        <v>346</v>
      </c>
      <c r="I509" s="70" t="s">
        <v>411</v>
      </c>
      <c r="J509" s="24">
        <v>1</v>
      </c>
    </row>
    <row r="510" spans="1:10" ht="12.5" x14ac:dyDescent="0.25">
      <c r="A510" s="241"/>
      <c r="B510" s="61" t="s">
        <v>324</v>
      </c>
      <c r="C510" s="24" t="s">
        <v>326</v>
      </c>
      <c r="D510" s="24" t="s">
        <v>337</v>
      </c>
      <c r="E510" s="24" t="s">
        <v>343</v>
      </c>
      <c r="F510" s="244" t="s">
        <v>430</v>
      </c>
      <c r="G510" s="68" t="s">
        <v>351</v>
      </c>
      <c r="H510" s="68" t="s">
        <v>347</v>
      </c>
      <c r="I510" s="70" t="s">
        <v>411</v>
      </c>
      <c r="J510" s="24">
        <v>1</v>
      </c>
    </row>
    <row r="511" spans="1:10" ht="12.5" x14ac:dyDescent="0.25">
      <c r="A511" s="241"/>
      <c r="B511" s="61" t="s">
        <v>324</v>
      </c>
      <c r="C511" s="24" t="s">
        <v>326</v>
      </c>
      <c r="D511" s="24" t="s">
        <v>337</v>
      </c>
      <c r="E511" s="24" t="s">
        <v>343</v>
      </c>
      <c r="F511" s="245" t="s">
        <v>433</v>
      </c>
      <c r="G511" s="68" t="s">
        <v>353</v>
      </c>
      <c r="H511" s="68" t="s">
        <v>346</v>
      </c>
      <c r="I511" s="70" t="s">
        <v>411</v>
      </c>
      <c r="J511" s="24">
        <v>1</v>
      </c>
    </row>
    <row r="512" spans="1:10" ht="12.5" x14ac:dyDescent="0.25">
      <c r="A512" s="241"/>
      <c r="B512" s="61" t="s">
        <v>324</v>
      </c>
      <c r="C512" s="24" t="s">
        <v>326</v>
      </c>
      <c r="D512" s="24" t="s">
        <v>337</v>
      </c>
      <c r="E512" s="24" t="s">
        <v>343</v>
      </c>
      <c r="F512" s="245" t="s">
        <v>435</v>
      </c>
      <c r="G512" s="68" t="s">
        <v>353</v>
      </c>
      <c r="H512" s="68" t="s">
        <v>347</v>
      </c>
      <c r="I512" s="70" t="s">
        <v>411</v>
      </c>
      <c r="J512" s="24">
        <v>1</v>
      </c>
    </row>
    <row r="513" spans="1:10" ht="12.5" x14ac:dyDescent="0.25">
      <c r="A513" s="246"/>
      <c r="B513" s="24" t="s">
        <v>1489</v>
      </c>
      <c r="C513" s="24" t="s">
        <v>1489</v>
      </c>
      <c r="D513" s="24"/>
      <c r="E513" s="24"/>
      <c r="F513" s="24"/>
      <c r="G513" s="68" t="s">
        <v>1489</v>
      </c>
      <c r="H513" s="68" t="s">
        <v>1489</v>
      </c>
      <c r="I513" s="70"/>
    </row>
    <row r="514" spans="1:10" ht="12.5" x14ac:dyDescent="0.25">
      <c r="A514" s="241">
        <v>75</v>
      </c>
      <c r="B514" s="61" t="s">
        <v>324</v>
      </c>
      <c r="C514" s="24" t="s">
        <v>326</v>
      </c>
      <c r="D514" s="24" t="s">
        <v>337</v>
      </c>
      <c r="E514" s="24" t="s">
        <v>343</v>
      </c>
      <c r="F514" s="243" t="s">
        <v>398</v>
      </c>
      <c r="G514" s="68" t="s">
        <v>349</v>
      </c>
      <c r="H514" s="68" t="s">
        <v>346</v>
      </c>
      <c r="I514" s="70" t="s">
        <v>423</v>
      </c>
      <c r="J514" s="24">
        <v>1</v>
      </c>
    </row>
    <row r="515" spans="1:10" ht="12.5" x14ac:dyDescent="0.25">
      <c r="A515" s="241"/>
      <c r="B515" s="61" t="s">
        <v>324</v>
      </c>
      <c r="C515" s="24" t="s">
        <v>326</v>
      </c>
      <c r="D515" s="24" t="s">
        <v>337</v>
      </c>
      <c r="E515" s="24" t="s">
        <v>343</v>
      </c>
      <c r="F515" s="243" t="s">
        <v>409</v>
      </c>
      <c r="G515" s="68" t="s">
        <v>349</v>
      </c>
      <c r="H515" s="68" t="s">
        <v>347</v>
      </c>
      <c r="I515" s="70" t="s">
        <v>423</v>
      </c>
      <c r="J515" s="24">
        <v>0</v>
      </c>
    </row>
    <row r="516" spans="1:10" ht="12.5" x14ac:dyDescent="0.25">
      <c r="A516" s="241"/>
      <c r="B516" s="61" t="s">
        <v>324</v>
      </c>
      <c r="C516" s="24" t="s">
        <v>326</v>
      </c>
      <c r="D516" s="24" t="s">
        <v>337</v>
      </c>
      <c r="E516" s="24" t="s">
        <v>343</v>
      </c>
      <c r="F516" s="244" t="s">
        <v>420</v>
      </c>
      <c r="G516" s="68" t="s">
        <v>351</v>
      </c>
      <c r="H516" s="68" t="s">
        <v>346</v>
      </c>
      <c r="I516" s="70" t="s">
        <v>423</v>
      </c>
      <c r="J516" s="24">
        <v>0</v>
      </c>
    </row>
    <row r="517" spans="1:10" ht="12.5" x14ac:dyDescent="0.25">
      <c r="A517" s="241"/>
      <c r="B517" s="61" t="s">
        <v>324</v>
      </c>
      <c r="C517" s="24" t="s">
        <v>326</v>
      </c>
      <c r="D517" s="24" t="s">
        <v>337</v>
      </c>
      <c r="E517" s="24" t="s">
        <v>343</v>
      </c>
      <c r="F517" s="244" t="s">
        <v>430</v>
      </c>
      <c r="G517" s="68" t="s">
        <v>351</v>
      </c>
      <c r="H517" s="68" t="s">
        <v>347</v>
      </c>
      <c r="I517" s="70" t="s">
        <v>423</v>
      </c>
      <c r="J517" s="24">
        <v>2</v>
      </c>
    </row>
    <row r="518" spans="1:10" ht="12.5" x14ac:dyDescent="0.25">
      <c r="A518" s="241"/>
      <c r="B518" s="61" t="s">
        <v>324</v>
      </c>
      <c r="C518" s="24" t="s">
        <v>326</v>
      </c>
      <c r="D518" s="24" t="s">
        <v>337</v>
      </c>
      <c r="E518" s="24" t="s">
        <v>343</v>
      </c>
      <c r="F518" s="245" t="s">
        <v>433</v>
      </c>
      <c r="G518" s="68" t="s">
        <v>353</v>
      </c>
      <c r="H518" s="68" t="s">
        <v>346</v>
      </c>
      <c r="I518" s="70" t="s">
        <v>423</v>
      </c>
      <c r="J518" s="24">
        <v>1</v>
      </c>
    </row>
    <row r="519" spans="1:10" ht="12.5" x14ac:dyDescent="0.25">
      <c r="A519" s="241"/>
      <c r="B519" s="61" t="s">
        <v>324</v>
      </c>
      <c r="C519" s="24" t="s">
        <v>326</v>
      </c>
      <c r="D519" s="24" t="s">
        <v>337</v>
      </c>
      <c r="E519" s="24" t="s">
        <v>343</v>
      </c>
      <c r="F519" s="245" t="s">
        <v>435</v>
      </c>
      <c r="G519" s="68" t="s">
        <v>353</v>
      </c>
      <c r="H519" s="68" t="s">
        <v>347</v>
      </c>
      <c r="I519" s="70" t="s">
        <v>423</v>
      </c>
      <c r="J519" s="24">
        <v>1</v>
      </c>
    </row>
    <row r="520" spans="1:10" ht="12.5" x14ac:dyDescent="0.25">
      <c r="A520" s="246"/>
      <c r="B520" s="24" t="s">
        <v>1489</v>
      </c>
      <c r="C520" s="24" t="s">
        <v>1489</v>
      </c>
      <c r="D520" s="24"/>
      <c r="E520" s="24"/>
      <c r="F520" s="24"/>
      <c r="G520" s="68" t="s">
        <v>1489</v>
      </c>
      <c r="H520" s="68" t="s">
        <v>1489</v>
      </c>
      <c r="I520" s="70"/>
    </row>
    <row r="521" spans="1:10" ht="12.5" x14ac:dyDescent="0.25">
      <c r="A521" s="241">
        <v>76</v>
      </c>
      <c r="B521" s="61" t="s">
        <v>324</v>
      </c>
      <c r="C521" s="24" t="s">
        <v>326</v>
      </c>
      <c r="D521" s="24" t="s">
        <v>337</v>
      </c>
      <c r="E521" s="24" t="s">
        <v>343</v>
      </c>
      <c r="F521" s="243" t="s">
        <v>398</v>
      </c>
      <c r="G521" s="68" t="s">
        <v>349</v>
      </c>
      <c r="H521" s="68" t="s">
        <v>346</v>
      </c>
      <c r="I521" s="70" t="s">
        <v>153</v>
      </c>
      <c r="J521" s="24">
        <v>3</v>
      </c>
    </row>
    <row r="522" spans="1:10" ht="12.5" x14ac:dyDescent="0.25">
      <c r="A522" s="241"/>
      <c r="B522" s="61" t="s">
        <v>324</v>
      </c>
      <c r="C522" s="24" t="s">
        <v>326</v>
      </c>
      <c r="D522" s="24" t="s">
        <v>337</v>
      </c>
      <c r="E522" s="24" t="s">
        <v>343</v>
      </c>
      <c r="F522" s="243" t="s">
        <v>409</v>
      </c>
      <c r="G522" s="68" t="s">
        <v>349</v>
      </c>
      <c r="H522" s="68" t="s">
        <v>347</v>
      </c>
      <c r="I522" s="70" t="s">
        <v>153</v>
      </c>
      <c r="J522" s="24">
        <v>2</v>
      </c>
    </row>
    <row r="523" spans="1:10" ht="12.5" x14ac:dyDescent="0.25">
      <c r="A523" s="241"/>
      <c r="B523" s="61" t="s">
        <v>324</v>
      </c>
      <c r="C523" s="24" t="s">
        <v>326</v>
      </c>
      <c r="D523" s="24" t="s">
        <v>337</v>
      </c>
      <c r="E523" s="24" t="s">
        <v>343</v>
      </c>
      <c r="F523" s="244" t="s">
        <v>420</v>
      </c>
      <c r="G523" s="68" t="s">
        <v>351</v>
      </c>
      <c r="H523" s="68" t="s">
        <v>346</v>
      </c>
      <c r="I523" s="70" t="s">
        <v>153</v>
      </c>
      <c r="J523" s="24">
        <v>1</v>
      </c>
    </row>
    <row r="524" spans="1:10" ht="12.5" x14ac:dyDescent="0.25">
      <c r="A524" s="241"/>
      <c r="B524" s="61" t="s">
        <v>324</v>
      </c>
      <c r="C524" s="24" t="s">
        <v>326</v>
      </c>
      <c r="D524" s="24" t="s">
        <v>337</v>
      </c>
      <c r="E524" s="24" t="s">
        <v>343</v>
      </c>
      <c r="F524" s="244" t="s">
        <v>430</v>
      </c>
      <c r="G524" s="68" t="s">
        <v>351</v>
      </c>
      <c r="H524" s="68" t="s">
        <v>347</v>
      </c>
      <c r="I524" s="70" t="s">
        <v>153</v>
      </c>
      <c r="J524" s="24">
        <v>2</v>
      </c>
    </row>
    <row r="525" spans="1:10" ht="12.5" x14ac:dyDescent="0.25">
      <c r="A525" s="241"/>
      <c r="B525" s="61" t="s">
        <v>324</v>
      </c>
      <c r="C525" s="24" t="s">
        <v>326</v>
      </c>
      <c r="D525" s="24" t="s">
        <v>337</v>
      </c>
      <c r="E525" s="24" t="s">
        <v>343</v>
      </c>
      <c r="F525" s="245" t="s">
        <v>433</v>
      </c>
      <c r="G525" s="68" t="s">
        <v>353</v>
      </c>
      <c r="H525" s="68" t="s">
        <v>346</v>
      </c>
      <c r="I525" s="70" t="s">
        <v>153</v>
      </c>
      <c r="J525" s="24">
        <v>1</v>
      </c>
    </row>
    <row r="526" spans="1:10" ht="12.5" x14ac:dyDescent="0.25">
      <c r="A526" s="241"/>
      <c r="B526" s="61" t="s">
        <v>324</v>
      </c>
      <c r="C526" s="24" t="s">
        <v>326</v>
      </c>
      <c r="D526" s="24" t="s">
        <v>337</v>
      </c>
      <c r="E526" s="24" t="s">
        <v>343</v>
      </c>
      <c r="F526" s="245" t="s">
        <v>435</v>
      </c>
      <c r="G526" s="68" t="s">
        <v>353</v>
      </c>
      <c r="H526" s="68" t="s">
        <v>347</v>
      </c>
      <c r="I526" s="70" t="s">
        <v>153</v>
      </c>
      <c r="J526" s="24">
        <v>1</v>
      </c>
    </row>
    <row r="527" spans="1:10" ht="12.5" x14ac:dyDescent="0.25">
      <c r="A527" s="246"/>
      <c r="B527" s="24" t="s">
        <v>1489</v>
      </c>
      <c r="C527" s="24" t="s">
        <v>1489</v>
      </c>
      <c r="D527" s="24"/>
      <c r="E527" s="24"/>
      <c r="F527" s="24"/>
      <c r="G527" s="68" t="s">
        <v>1489</v>
      </c>
      <c r="H527" s="68" t="s">
        <v>1489</v>
      </c>
      <c r="I527" s="70"/>
    </row>
    <row r="528" spans="1:10" ht="12.5" x14ac:dyDescent="0.25">
      <c r="A528" s="241">
        <v>77</v>
      </c>
      <c r="B528" s="61" t="s">
        <v>324</v>
      </c>
      <c r="C528" s="24" t="s">
        <v>326</v>
      </c>
      <c r="D528" s="24" t="s">
        <v>337</v>
      </c>
      <c r="E528" s="24" t="s">
        <v>343</v>
      </c>
      <c r="F528" s="243" t="s">
        <v>398</v>
      </c>
      <c r="G528" s="68" t="s">
        <v>349</v>
      </c>
      <c r="H528" s="68" t="s">
        <v>346</v>
      </c>
      <c r="I528" s="70" t="s">
        <v>152</v>
      </c>
      <c r="J528" s="24">
        <v>1</v>
      </c>
    </row>
    <row r="529" spans="1:10" ht="12.5" x14ac:dyDescent="0.25">
      <c r="A529" s="241"/>
      <c r="B529" s="61" t="s">
        <v>324</v>
      </c>
      <c r="C529" s="24" t="s">
        <v>326</v>
      </c>
      <c r="D529" s="24" t="s">
        <v>337</v>
      </c>
      <c r="E529" s="24" t="s">
        <v>343</v>
      </c>
      <c r="F529" s="243" t="s">
        <v>409</v>
      </c>
      <c r="G529" s="68" t="s">
        <v>349</v>
      </c>
      <c r="H529" s="68" t="s">
        <v>347</v>
      </c>
      <c r="I529" s="70" t="s">
        <v>152</v>
      </c>
      <c r="J529" s="24">
        <v>1</v>
      </c>
    </row>
    <row r="530" spans="1:10" ht="12.5" x14ac:dyDescent="0.25">
      <c r="A530" s="241"/>
      <c r="B530" s="61" t="s">
        <v>324</v>
      </c>
      <c r="C530" s="24" t="s">
        <v>326</v>
      </c>
      <c r="D530" s="24" t="s">
        <v>337</v>
      </c>
      <c r="E530" s="24" t="s">
        <v>343</v>
      </c>
      <c r="F530" s="244" t="s">
        <v>420</v>
      </c>
      <c r="G530" s="68" t="s">
        <v>351</v>
      </c>
      <c r="H530" s="68" t="s">
        <v>346</v>
      </c>
      <c r="I530" s="70" t="s">
        <v>152</v>
      </c>
      <c r="J530" s="24">
        <v>0</v>
      </c>
    </row>
    <row r="531" spans="1:10" ht="12.5" x14ac:dyDescent="0.25">
      <c r="A531" s="241"/>
      <c r="B531" s="61" t="s">
        <v>324</v>
      </c>
      <c r="C531" s="24" t="s">
        <v>326</v>
      </c>
      <c r="D531" s="24" t="s">
        <v>337</v>
      </c>
      <c r="E531" s="24" t="s">
        <v>343</v>
      </c>
      <c r="F531" s="244" t="s">
        <v>430</v>
      </c>
      <c r="G531" s="68" t="s">
        <v>351</v>
      </c>
      <c r="H531" s="68" t="s">
        <v>347</v>
      </c>
      <c r="I531" s="70" t="s">
        <v>152</v>
      </c>
      <c r="J531" s="24">
        <v>0</v>
      </c>
    </row>
    <row r="532" spans="1:10" ht="12.5" x14ac:dyDescent="0.25">
      <c r="A532" s="241"/>
      <c r="B532" s="61" t="s">
        <v>324</v>
      </c>
      <c r="C532" s="24" t="s">
        <v>326</v>
      </c>
      <c r="D532" s="24" t="s">
        <v>337</v>
      </c>
      <c r="E532" s="24" t="s">
        <v>343</v>
      </c>
      <c r="F532" s="245" t="s">
        <v>433</v>
      </c>
      <c r="G532" s="68" t="s">
        <v>353</v>
      </c>
      <c r="H532" s="68" t="s">
        <v>346</v>
      </c>
      <c r="I532" s="70" t="s">
        <v>152</v>
      </c>
      <c r="J532" s="24">
        <v>1</v>
      </c>
    </row>
    <row r="533" spans="1:10" ht="12.5" x14ac:dyDescent="0.25">
      <c r="A533" s="241"/>
      <c r="B533" s="61" t="s">
        <v>324</v>
      </c>
      <c r="C533" s="24" t="s">
        <v>326</v>
      </c>
      <c r="D533" s="24" t="s">
        <v>337</v>
      </c>
      <c r="E533" s="24" t="s">
        <v>343</v>
      </c>
      <c r="F533" s="245" t="s">
        <v>435</v>
      </c>
      <c r="G533" s="68" t="s">
        <v>353</v>
      </c>
      <c r="H533" s="68" t="s">
        <v>347</v>
      </c>
      <c r="I533" s="70" t="s">
        <v>152</v>
      </c>
      <c r="J533" s="24">
        <v>1</v>
      </c>
    </row>
    <row r="534" spans="1:10" ht="12.5" x14ac:dyDescent="0.25">
      <c r="A534" s="246"/>
      <c r="B534" s="24"/>
      <c r="C534" s="24" t="s">
        <v>1489</v>
      </c>
      <c r="D534" s="24"/>
      <c r="E534" s="24"/>
      <c r="F534" s="24"/>
      <c r="G534" s="68"/>
      <c r="H534" s="68"/>
      <c r="I534" s="70"/>
    </row>
    <row r="535" spans="1:10" ht="12.5" x14ac:dyDescent="0.25">
      <c r="A535" s="246"/>
      <c r="B535" s="24"/>
      <c r="C535" s="24" t="s">
        <v>1489</v>
      </c>
      <c r="D535" s="24"/>
      <c r="E535" s="24"/>
      <c r="F535" s="24"/>
      <c r="G535" s="68"/>
      <c r="H535" s="68"/>
      <c r="I535" s="70"/>
    </row>
    <row r="536" spans="1:10" ht="12.5" x14ac:dyDescent="0.25">
      <c r="A536" s="246"/>
      <c r="B536" s="24"/>
      <c r="C536" s="24" t="s">
        <v>1489</v>
      </c>
      <c r="D536" s="24"/>
      <c r="E536" s="24"/>
      <c r="F536" s="24"/>
      <c r="G536" s="68"/>
      <c r="H536" s="68"/>
      <c r="I536" s="70"/>
    </row>
    <row r="537" spans="1:10" ht="12.5" x14ac:dyDescent="0.25">
      <c r="A537" s="241">
        <v>78</v>
      </c>
      <c r="B537" s="61" t="s">
        <v>324</v>
      </c>
      <c r="C537" s="61" t="s">
        <v>326</v>
      </c>
      <c r="D537" s="61" t="s">
        <v>339</v>
      </c>
      <c r="E537" s="24" t="s">
        <v>336</v>
      </c>
      <c r="F537" s="243" t="s">
        <v>398</v>
      </c>
      <c r="G537" s="68" t="s">
        <v>349</v>
      </c>
      <c r="H537" s="68" t="s">
        <v>346</v>
      </c>
      <c r="I537" s="70" t="s">
        <v>173</v>
      </c>
      <c r="J537" s="24">
        <v>2</v>
      </c>
    </row>
    <row r="538" spans="1:10" ht="12.5" x14ac:dyDescent="0.25">
      <c r="A538" s="241"/>
      <c r="B538" s="61" t="s">
        <v>324</v>
      </c>
      <c r="C538" s="61" t="s">
        <v>326</v>
      </c>
      <c r="D538" s="61" t="s">
        <v>339</v>
      </c>
      <c r="E538" s="24" t="s">
        <v>336</v>
      </c>
      <c r="F538" s="243" t="s">
        <v>409</v>
      </c>
      <c r="G538" s="68" t="s">
        <v>349</v>
      </c>
      <c r="H538" s="68" t="s">
        <v>347</v>
      </c>
      <c r="I538" s="70" t="s">
        <v>173</v>
      </c>
      <c r="J538" s="24">
        <v>4</v>
      </c>
    </row>
    <row r="539" spans="1:10" ht="12.5" x14ac:dyDescent="0.25">
      <c r="A539" s="241"/>
      <c r="B539" s="61" t="s">
        <v>324</v>
      </c>
      <c r="C539" s="61" t="s">
        <v>326</v>
      </c>
      <c r="D539" s="61" t="s">
        <v>339</v>
      </c>
      <c r="E539" s="24" t="s">
        <v>336</v>
      </c>
      <c r="F539" s="244" t="s">
        <v>420</v>
      </c>
      <c r="G539" s="68" t="s">
        <v>351</v>
      </c>
      <c r="H539" s="68" t="s">
        <v>346</v>
      </c>
      <c r="I539" s="70" t="s">
        <v>173</v>
      </c>
      <c r="J539" s="24">
        <v>4</v>
      </c>
    </row>
    <row r="540" spans="1:10" ht="12.5" x14ac:dyDescent="0.25">
      <c r="A540" s="241"/>
      <c r="B540" s="61" t="s">
        <v>324</v>
      </c>
      <c r="C540" s="61" t="s">
        <v>326</v>
      </c>
      <c r="D540" s="61" t="s">
        <v>339</v>
      </c>
      <c r="E540" s="24" t="s">
        <v>336</v>
      </c>
      <c r="F540" s="244" t="s">
        <v>430</v>
      </c>
      <c r="G540" s="68" t="s">
        <v>351</v>
      </c>
      <c r="H540" s="68" t="s">
        <v>347</v>
      </c>
      <c r="I540" s="70" t="s">
        <v>173</v>
      </c>
      <c r="J540" s="24">
        <v>4</v>
      </c>
    </row>
    <row r="541" spans="1:10" ht="12.5" x14ac:dyDescent="0.25">
      <c r="A541" s="241"/>
      <c r="B541" s="61"/>
      <c r="C541" s="61" t="s">
        <v>1489</v>
      </c>
      <c r="D541" s="61"/>
      <c r="E541" s="24"/>
      <c r="F541" s="24"/>
      <c r="G541" s="68"/>
      <c r="H541" s="68"/>
      <c r="I541" s="70"/>
    </row>
    <row r="542" spans="1:10" ht="12.5" x14ac:dyDescent="0.25">
      <c r="A542" s="241">
        <v>79</v>
      </c>
      <c r="B542" s="61" t="s">
        <v>324</v>
      </c>
      <c r="C542" s="61" t="s">
        <v>326</v>
      </c>
      <c r="D542" s="61" t="s">
        <v>339</v>
      </c>
      <c r="E542" s="24" t="s">
        <v>338</v>
      </c>
      <c r="F542" s="243" t="s">
        <v>398</v>
      </c>
      <c r="G542" s="68" t="s">
        <v>349</v>
      </c>
      <c r="H542" s="68" t="s">
        <v>346</v>
      </c>
      <c r="I542" s="70">
        <v>60133</v>
      </c>
      <c r="J542" s="24">
        <v>14</v>
      </c>
    </row>
    <row r="543" spans="1:10" ht="12.5" x14ac:dyDescent="0.25">
      <c r="A543" s="241"/>
      <c r="B543" s="61" t="s">
        <v>324</v>
      </c>
      <c r="C543" s="61" t="s">
        <v>326</v>
      </c>
      <c r="D543" s="61" t="s">
        <v>339</v>
      </c>
      <c r="E543" s="24" t="s">
        <v>338</v>
      </c>
      <c r="F543" s="243" t="s">
        <v>409</v>
      </c>
      <c r="G543" s="68" t="s">
        <v>349</v>
      </c>
      <c r="H543" s="68" t="s">
        <v>347</v>
      </c>
      <c r="I543" s="70">
        <v>60133</v>
      </c>
      <c r="J543" s="24">
        <v>17</v>
      </c>
    </row>
    <row r="544" spans="1:10" ht="12.5" x14ac:dyDescent="0.25">
      <c r="A544" s="241"/>
      <c r="B544" s="61" t="s">
        <v>324</v>
      </c>
      <c r="C544" s="61" t="s">
        <v>326</v>
      </c>
      <c r="D544" s="61" t="s">
        <v>339</v>
      </c>
      <c r="E544" s="24" t="s">
        <v>338</v>
      </c>
      <c r="F544" s="244" t="s">
        <v>420</v>
      </c>
      <c r="G544" s="68" t="s">
        <v>351</v>
      </c>
      <c r="H544" s="68" t="s">
        <v>346</v>
      </c>
      <c r="I544" s="70">
        <v>60133</v>
      </c>
      <c r="J544" s="24">
        <v>13</v>
      </c>
    </row>
    <row r="545" spans="1:10" ht="12.5" x14ac:dyDescent="0.25">
      <c r="A545" s="241"/>
      <c r="B545" s="61" t="s">
        <v>324</v>
      </c>
      <c r="C545" s="61" t="s">
        <v>326</v>
      </c>
      <c r="D545" s="61" t="s">
        <v>339</v>
      </c>
      <c r="E545" s="24" t="s">
        <v>338</v>
      </c>
      <c r="F545" s="244" t="s">
        <v>430</v>
      </c>
      <c r="G545" s="68" t="s">
        <v>351</v>
      </c>
      <c r="H545" s="68" t="s">
        <v>347</v>
      </c>
      <c r="I545" s="70">
        <v>60133</v>
      </c>
      <c r="J545" s="24">
        <v>17</v>
      </c>
    </row>
    <row r="546" spans="1:10" ht="12.5" x14ac:dyDescent="0.25">
      <c r="A546" s="246"/>
      <c r="B546" s="24"/>
      <c r="C546" s="24" t="s">
        <v>1489</v>
      </c>
      <c r="D546" s="24"/>
      <c r="E546" s="24"/>
      <c r="F546" s="24"/>
      <c r="G546" s="68"/>
      <c r="H546" s="68"/>
      <c r="I546" s="70"/>
    </row>
    <row r="547" spans="1:10" ht="12.5" x14ac:dyDescent="0.25">
      <c r="A547" s="246"/>
      <c r="B547" s="24"/>
      <c r="C547" s="24" t="s">
        <v>1489</v>
      </c>
      <c r="D547" s="24"/>
      <c r="E547" s="24"/>
      <c r="F547" s="24"/>
      <c r="G547" s="68"/>
      <c r="H547" s="68"/>
      <c r="I547" s="70"/>
    </row>
    <row r="548" spans="1:10" ht="14.5" x14ac:dyDescent="0.35">
      <c r="A548" s="247">
        <v>80</v>
      </c>
      <c r="B548" s="248" t="s">
        <v>324</v>
      </c>
      <c r="C548" s="248" t="s">
        <v>326</v>
      </c>
      <c r="D548" s="248" t="s">
        <v>339</v>
      </c>
      <c r="E548" s="249" t="s">
        <v>338</v>
      </c>
      <c r="F548" s="250" t="s">
        <v>398</v>
      </c>
      <c r="G548" s="251" t="s">
        <v>349</v>
      </c>
      <c r="H548" s="251" t="s">
        <v>346</v>
      </c>
      <c r="I548" s="252">
        <v>601331</v>
      </c>
      <c r="J548" s="253">
        <v>7</v>
      </c>
    </row>
    <row r="549" spans="1:10" ht="14.5" x14ac:dyDescent="0.35">
      <c r="A549" s="254"/>
      <c r="B549" s="248" t="s">
        <v>324</v>
      </c>
      <c r="C549" s="248" t="s">
        <v>326</v>
      </c>
      <c r="D549" s="248" t="s">
        <v>339</v>
      </c>
      <c r="E549" s="249" t="s">
        <v>338</v>
      </c>
      <c r="F549" s="250" t="s">
        <v>409</v>
      </c>
      <c r="G549" s="251" t="s">
        <v>349</v>
      </c>
      <c r="H549" s="251" t="s">
        <v>347</v>
      </c>
      <c r="I549" s="252">
        <v>601331</v>
      </c>
      <c r="J549" s="253">
        <v>5</v>
      </c>
    </row>
    <row r="550" spans="1:10" ht="14.5" x14ac:dyDescent="0.35">
      <c r="A550" s="254"/>
      <c r="B550" s="248" t="s">
        <v>324</v>
      </c>
      <c r="C550" s="248" t="s">
        <v>326</v>
      </c>
      <c r="D550" s="248" t="s">
        <v>339</v>
      </c>
      <c r="E550" s="249" t="s">
        <v>338</v>
      </c>
      <c r="F550" s="250" t="s">
        <v>420</v>
      </c>
      <c r="G550" s="251" t="s">
        <v>351</v>
      </c>
      <c r="H550" s="251" t="s">
        <v>346</v>
      </c>
      <c r="I550" s="252">
        <v>601331</v>
      </c>
      <c r="J550" s="253">
        <v>7</v>
      </c>
    </row>
    <row r="551" spans="1:10" ht="14.5" x14ac:dyDescent="0.35">
      <c r="A551" s="254"/>
      <c r="B551" s="248" t="s">
        <v>324</v>
      </c>
      <c r="C551" s="248" t="s">
        <v>326</v>
      </c>
      <c r="D551" s="248" t="s">
        <v>339</v>
      </c>
      <c r="E551" s="249" t="s">
        <v>338</v>
      </c>
      <c r="F551" s="250" t="s">
        <v>430</v>
      </c>
      <c r="G551" s="251" t="s">
        <v>351</v>
      </c>
      <c r="H551" s="251" t="s">
        <v>347</v>
      </c>
      <c r="I551" s="252">
        <v>601331</v>
      </c>
      <c r="J551" s="253">
        <v>4</v>
      </c>
    </row>
    <row r="552" spans="1:10" ht="12.5" x14ac:dyDescent="0.25">
      <c r="A552" s="246"/>
      <c r="B552" s="24"/>
      <c r="C552" s="24" t="s">
        <v>1489</v>
      </c>
      <c r="D552" s="24"/>
      <c r="E552" s="24"/>
      <c r="F552" s="24"/>
      <c r="G552" s="68"/>
      <c r="H552" s="68"/>
      <c r="I552" s="70"/>
    </row>
    <row r="553" spans="1:10" ht="14.5" x14ac:dyDescent="0.35">
      <c r="A553" s="247">
        <v>81</v>
      </c>
      <c r="B553" s="248" t="s">
        <v>324</v>
      </c>
      <c r="C553" s="248" t="s">
        <v>326</v>
      </c>
      <c r="D553" s="248" t="s">
        <v>339</v>
      </c>
      <c r="E553" s="249" t="s">
        <v>338</v>
      </c>
      <c r="F553" s="250" t="s">
        <v>398</v>
      </c>
      <c r="G553" s="251" t="s">
        <v>349</v>
      </c>
      <c r="H553" s="251" t="s">
        <v>346</v>
      </c>
      <c r="I553" s="252">
        <v>6010231</v>
      </c>
      <c r="J553" s="253">
        <v>11</v>
      </c>
    </row>
    <row r="554" spans="1:10" ht="14.5" x14ac:dyDescent="0.35">
      <c r="A554" s="254"/>
      <c r="B554" s="248" t="s">
        <v>324</v>
      </c>
      <c r="C554" s="248" t="s">
        <v>326</v>
      </c>
      <c r="D554" s="248" t="s">
        <v>339</v>
      </c>
      <c r="E554" s="249" t="s">
        <v>338</v>
      </c>
      <c r="F554" s="250" t="s">
        <v>409</v>
      </c>
      <c r="G554" s="251" t="s">
        <v>349</v>
      </c>
      <c r="H554" s="251" t="s">
        <v>347</v>
      </c>
      <c r="I554" s="252">
        <v>6010231</v>
      </c>
      <c r="J554" s="253">
        <v>12</v>
      </c>
    </row>
    <row r="555" spans="1:10" ht="14.5" x14ac:dyDescent="0.35">
      <c r="A555" s="254"/>
      <c r="B555" s="248" t="s">
        <v>324</v>
      </c>
      <c r="C555" s="248" t="s">
        <v>326</v>
      </c>
      <c r="D555" s="248" t="s">
        <v>339</v>
      </c>
      <c r="E555" s="249" t="s">
        <v>338</v>
      </c>
      <c r="F555" s="250" t="s">
        <v>420</v>
      </c>
      <c r="G555" s="251" t="s">
        <v>351</v>
      </c>
      <c r="H555" s="251" t="s">
        <v>346</v>
      </c>
      <c r="I555" s="252">
        <v>6010231</v>
      </c>
      <c r="J555" s="253">
        <v>5</v>
      </c>
    </row>
    <row r="556" spans="1:10" ht="14.5" x14ac:dyDescent="0.35">
      <c r="A556" s="254"/>
      <c r="B556" s="248" t="s">
        <v>324</v>
      </c>
      <c r="C556" s="248" t="s">
        <v>326</v>
      </c>
      <c r="D556" s="248" t="s">
        <v>339</v>
      </c>
      <c r="E556" s="249" t="s">
        <v>338</v>
      </c>
      <c r="F556" s="250" t="s">
        <v>430</v>
      </c>
      <c r="G556" s="251" t="s">
        <v>351</v>
      </c>
      <c r="H556" s="251" t="s">
        <v>347</v>
      </c>
      <c r="I556" s="252">
        <v>6010231</v>
      </c>
      <c r="J556" s="253">
        <v>7</v>
      </c>
    </row>
    <row r="557" spans="1:10" ht="12.5" x14ac:dyDescent="0.25">
      <c r="A557" s="246"/>
      <c r="B557" s="24"/>
      <c r="C557" s="24" t="s">
        <v>1489</v>
      </c>
      <c r="D557" s="24"/>
      <c r="E557" s="24"/>
      <c r="F557" s="24"/>
      <c r="G557" s="68"/>
      <c r="H557" s="68"/>
      <c r="I557" s="70"/>
    </row>
    <row r="558" spans="1:10" ht="14.5" x14ac:dyDescent="0.35">
      <c r="A558" s="247">
        <v>82</v>
      </c>
      <c r="B558" s="248" t="s">
        <v>324</v>
      </c>
      <c r="C558" s="248" t="s">
        <v>326</v>
      </c>
      <c r="D558" s="248" t="s">
        <v>339</v>
      </c>
      <c r="E558" s="249" t="s">
        <v>338</v>
      </c>
      <c r="F558" s="250" t="s">
        <v>398</v>
      </c>
      <c r="G558" s="251" t="s">
        <v>349</v>
      </c>
      <c r="H558" s="251" t="s">
        <v>346</v>
      </c>
      <c r="I558" s="252" t="s">
        <v>160</v>
      </c>
      <c r="J558" s="253">
        <v>6</v>
      </c>
    </row>
    <row r="559" spans="1:10" ht="14.5" x14ac:dyDescent="0.35">
      <c r="A559" s="254"/>
      <c r="B559" s="248" t="s">
        <v>324</v>
      </c>
      <c r="C559" s="248" t="s">
        <v>326</v>
      </c>
      <c r="D559" s="248" t="s">
        <v>339</v>
      </c>
      <c r="E559" s="249" t="s">
        <v>338</v>
      </c>
      <c r="F559" s="250" t="s">
        <v>409</v>
      </c>
      <c r="G559" s="251" t="s">
        <v>349</v>
      </c>
      <c r="H559" s="251" t="s">
        <v>347</v>
      </c>
      <c r="I559" s="252" t="s">
        <v>160</v>
      </c>
      <c r="J559" s="253">
        <v>2</v>
      </c>
    </row>
    <row r="560" spans="1:10" ht="14.5" x14ac:dyDescent="0.35">
      <c r="A560" s="254"/>
      <c r="B560" s="248" t="s">
        <v>324</v>
      </c>
      <c r="C560" s="248" t="s">
        <v>326</v>
      </c>
      <c r="D560" s="248" t="s">
        <v>339</v>
      </c>
      <c r="E560" s="249" t="s">
        <v>338</v>
      </c>
      <c r="F560" s="250" t="s">
        <v>420</v>
      </c>
      <c r="G560" s="251" t="s">
        <v>351</v>
      </c>
      <c r="H560" s="251" t="s">
        <v>346</v>
      </c>
      <c r="I560" s="252" t="s">
        <v>160</v>
      </c>
      <c r="J560" s="253">
        <v>1</v>
      </c>
    </row>
    <row r="561" spans="1:10" ht="14.5" x14ac:dyDescent="0.35">
      <c r="A561" s="254"/>
      <c r="B561" s="248" t="s">
        <v>324</v>
      </c>
      <c r="C561" s="248" t="s">
        <v>326</v>
      </c>
      <c r="D561" s="248" t="s">
        <v>339</v>
      </c>
      <c r="E561" s="249" t="s">
        <v>338</v>
      </c>
      <c r="F561" s="250" t="s">
        <v>430</v>
      </c>
      <c r="G561" s="251" t="s">
        <v>351</v>
      </c>
      <c r="H561" s="251" t="s">
        <v>347</v>
      </c>
      <c r="I561" s="252" t="s">
        <v>160</v>
      </c>
      <c r="J561" s="253">
        <v>2</v>
      </c>
    </row>
    <row r="562" spans="1:10" ht="12.5" x14ac:dyDescent="0.25">
      <c r="A562" s="246"/>
      <c r="B562" s="24"/>
      <c r="C562" s="24" t="s">
        <v>1489</v>
      </c>
      <c r="D562" s="24"/>
      <c r="E562" s="24"/>
      <c r="F562" s="24"/>
      <c r="G562" s="68"/>
      <c r="H562" s="68"/>
      <c r="I562" s="70"/>
    </row>
    <row r="563" spans="1:10" ht="14.5" x14ac:dyDescent="0.35">
      <c r="A563" s="247">
        <v>83</v>
      </c>
      <c r="B563" s="248" t="s">
        <v>324</v>
      </c>
      <c r="C563" s="248" t="s">
        <v>326</v>
      </c>
      <c r="D563" s="248" t="s">
        <v>339</v>
      </c>
      <c r="E563" s="249" t="s">
        <v>338</v>
      </c>
      <c r="F563" s="250" t="s">
        <v>398</v>
      </c>
      <c r="G563" s="251" t="s">
        <v>349</v>
      </c>
      <c r="H563" s="251" t="s">
        <v>346</v>
      </c>
      <c r="I563" s="252" t="s">
        <v>65</v>
      </c>
      <c r="J563" s="253">
        <v>10</v>
      </c>
    </row>
    <row r="564" spans="1:10" ht="14.5" x14ac:dyDescent="0.35">
      <c r="A564" s="254"/>
      <c r="B564" s="248" t="s">
        <v>324</v>
      </c>
      <c r="C564" s="248" t="s">
        <v>326</v>
      </c>
      <c r="D564" s="248" t="s">
        <v>339</v>
      </c>
      <c r="E564" s="249" t="s">
        <v>338</v>
      </c>
      <c r="F564" s="250" t="s">
        <v>409</v>
      </c>
      <c r="G564" s="251" t="s">
        <v>349</v>
      </c>
      <c r="H564" s="251" t="s">
        <v>347</v>
      </c>
      <c r="I564" s="252" t="s">
        <v>65</v>
      </c>
      <c r="J564" s="253">
        <v>16</v>
      </c>
    </row>
    <row r="565" spans="1:10" ht="14.5" x14ac:dyDescent="0.35">
      <c r="A565" s="254"/>
      <c r="B565" s="248" t="s">
        <v>324</v>
      </c>
      <c r="C565" s="248" t="s">
        <v>326</v>
      </c>
      <c r="D565" s="248" t="s">
        <v>339</v>
      </c>
      <c r="E565" s="249" t="s">
        <v>338</v>
      </c>
      <c r="F565" s="250" t="s">
        <v>420</v>
      </c>
      <c r="G565" s="251" t="s">
        <v>351</v>
      </c>
      <c r="H565" s="251" t="s">
        <v>346</v>
      </c>
      <c r="I565" s="252" t="s">
        <v>65</v>
      </c>
      <c r="J565" s="253">
        <v>17</v>
      </c>
    </row>
    <row r="566" spans="1:10" ht="14.5" x14ac:dyDescent="0.35">
      <c r="A566" s="254"/>
      <c r="B566" s="248" t="s">
        <v>324</v>
      </c>
      <c r="C566" s="248" t="s">
        <v>326</v>
      </c>
      <c r="D566" s="248" t="s">
        <v>339</v>
      </c>
      <c r="E566" s="249" t="s">
        <v>338</v>
      </c>
      <c r="F566" s="250" t="s">
        <v>430</v>
      </c>
      <c r="G566" s="251" t="s">
        <v>351</v>
      </c>
      <c r="H566" s="251" t="s">
        <v>347</v>
      </c>
      <c r="I566" s="252" t="s">
        <v>65</v>
      </c>
      <c r="J566" s="253">
        <v>7</v>
      </c>
    </row>
    <row r="567" spans="1:10" ht="12.5" x14ac:dyDescent="0.25">
      <c r="A567" s="246"/>
      <c r="B567" s="24"/>
      <c r="C567" s="24" t="s">
        <v>1489</v>
      </c>
      <c r="D567" s="24"/>
      <c r="E567" s="24"/>
      <c r="F567" s="24"/>
      <c r="G567" s="68"/>
      <c r="H567" s="68"/>
      <c r="I567" s="70"/>
    </row>
    <row r="568" spans="1:10" ht="14.5" x14ac:dyDescent="0.35">
      <c r="A568" s="247">
        <v>84</v>
      </c>
      <c r="B568" s="248" t="s">
        <v>324</v>
      </c>
      <c r="C568" s="248" t="s">
        <v>326</v>
      </c>
      <c r="D568" s="248" t="s">
        <v>339</v>
      </c>
      <c r="E568" s="249" t="s">
        <v>340</v>
      </c>
      <c r="F568" s="250" t="s">
        <v>398</v>
      </c>
      <c r="G568" s="251" t="s">
        <v>349</v>
      </c>
      <c r="H568" s="251" t="s">
        <v>346</v>
      </c>
      <c r="I568" s="252" t="s">
        <v>30</v>
      </c>
      <c r="J568" s="253">
        <v>20</v>
      </c>
    </row>
    <row r="569" spans="1:10" ht="14.5" x14ac:dyDescent="0.35">
      <c r="A569" s="254"/>
      <c r="B569" s="248" t="s">
        <v>324</v>
      </c>
      <c r="C569" s="248" t="s">
        <v>326</v>
      </c>
      <c r="D569" s="248" t="s">
        <v>339</v>
      </c>
      <c r="E569" s="249" t="s">
        <v>340</v>
      </c>
      <c r="F569" s="250" t="s">
        <v>409</v>
      </c>
      <c r="G569" s="251" t="s">
        <v>349</v>
      </c>
      <c r="H569" s="251" t="s">
        <v>347</v>
      </c>
      <c r="I569" s="252" t="s">
        <v>30</v>
      </c>
      <c r="J569" s="253">
        <v>17</v>
      </c>
    </row>
    <row r="570" spans="1:10" ht="14.5" x14ac:dyDescent="0.35">
      <c r="A570" s="254"/>
      <c r="B570" s="248" t="s">
        <v>324</v>
      </c>
      <c r="C570" s="248" t="s">
        <v>326</v>
      </c>
      <c r="D570" s="248" t="s">
        <v>339</v>
      </c>
      <c r="E570" s="249" t="s">
        <v>340</v>
      </c>
      <c r="F570" s="250" t="s">
        <v>420</v>
      </c>
      <c r="G570" s="251" t="s">
        <v>351</v>
      </c>
      <c r="H570" s="251" t="s">
        <v>346</v>
      </c>
      <c r="I570" s="252" t="s">
        <v>30</v>
      </c>
      <c r="J570" s="253">
        <v>15</v>
      </c>
    </row>
    <row r="571" spans="1:10" ht="14.5" x14ac:dyDescent="0.35">
      <c r="A571" s="254"/>
      <c r="B571" s="248" t="s">
        <v>324</v>
      </c>
      <c r="C571" s="248" t="s">
        <v>326</v>
      </c>
      <c r="D571" s="248" t="s">
        <v>339</v>
      </c>
      <c r="E571" s="249" t="s">
        <v>340</v>
      </c>
      <c r="F571" s="250" t="s">
        <v>430</v>
      </c>
      <c r="G571" s="251" t="s">
        <v>351</v>
      </c>
      <c r="H571" s="251" t="s">
        <v>347</v>
      </c>
      <c r="I571" s="252" t="s">
        <v>30</v>
      </c>
      <c r="J571" s="253">
        <v>15</v>
      </c>
    </row>
    <row r="572" spans="1:10" ht="12.5" x14ac:dyDescent="0.25">
      <c r="A572" s="246"/>
      <c r="B572" s="24"/>
      <c r="C572" s="24" t="s">
        <v>1489</v>
      </c>
      <c r="D572" s="24"/>
      <c r="E572" s="24"/>
      <c r="F572" s="24"/>
      <c r="G572" s="68"/>
      <c r="H572" s="68"/>
      <c r="I572" s="70"/>
    </row>
    <row r="573" spans="1:10" ht="14.5" x14ac:dyDescent="0.35">
      <c r="A573" s="247">
        <v>85</v>
      </c>
      <c r="B573" s="248" t="s">
        <v>324</v>
      </c>
      <c r="C573" s="248" t="s">
        <v>326</v>
      </c>
      <c r="D573" s="248" t="s">
        <v>339</v>
      </c>
      <c r="E573" s="249" t="s">
        <v>341</v>
      </c>
      <c r="F573" s="250" t="s">
        <v>398</v>
      </c>
      <c r="G573" s="251" t="s">
        <v>349</v>
      </c>
      <c r="H573" s="251" t="s">
        <v>346</v>
      </c>
      <c r="I573" s="252" t="s">
        <v>169</v>
      </c>
      <c r="J573" s="253">
        <v>6</v>
      </c>
    </row>
    <row r="574" spans="1:10" ht="14.5" x14ac:dyDescent="0.35">
      <c r="A574" s="254"/>
      <c r="B574" s="248" t="s">
        <v>324</v>
      </c>
      <c r="C574" s="248" t="s">
        <v>326</v>
      </c>
      <c r="D574" s="248" t="s">
        <v>339</v>
      </c>
      <c r="E574" s="249" t="s">
        <v>341</v>
      </c>
      <c r="F574" s="250" t="s">
        <v>409</v>
      </c>
      <c r="G574" s="251" t="s">
        <v>349</v>
      </c>
      <c r="H574" s="251" t="s">
        <v>347</v>
      </c>
      <c r="I574" s="252" t="s">
        <v>169</v>
      </c>
      <c r="J574" s="253">
        <v>6</v>
      </c>
    </row>
    <row r="575" spans="1:10" ht="14.5" x14ac:dyDescent="0.35">
      <c r="A575" s="254"/>
      <c r="B575" s="248" t="s">
        <v>324</v>
      </c>
      <c r="C575" s="248" t="s">
        <v>326</v>
      </c>
      <c r="D575" s="248" t="s">
        <v>339</v>
      </c>
      <c r="E575" s="249" t="s">
        <v>341</v>
      </c>
      <c r="F575" s="250" t="s">
        <v>420</v>
      </c>
      <c r="G575" s="251" t="s">
        <v>351</v>
      </c>
      <c r="H575" s="251" t="s">
        <v>346</v>
      </c>
      <c r="I575" s="252" t="s">
        <v>169</v>
      </c>
      <c r="J575" s="253">
        <v>6</v>
      </c>
    </row>
    <row r="576" spans="1:10" ht="14.5" x14ac:dyDescent="0.35">
      <c r="A576" s="254"/>
      <c r="B576" s="248" t="s">
        <v>324</v>
      </c>
      <c r="C576" s="248" t="s">
        <v>326</v>
      </c>
      <c r="D576" s="248" t="s">
        <v>339</v>
      </c>
      <c r="E576" s="249" t="s">
        <v>341</v>
      </c>
      <c r="F576" s="250" t="s">
        <v>430</v>
      </c>
      <c r="G576" s="251" t="s">
        <v>351</v>
      </c>
      <c r="H576" s="251" t="s">
        <v>347</v>
      </c>
      <c r="I576" s="252" t="s">
        <v>169</v>
      </c>
      <c r="J576" s="253">
        <v>7</v>
      </c>
    </row>
    <row r="577" spans="1:10" ht="12.5" x14ac:dyDescent="0.25">
      <c r="A577" s="246"/>
      <c r="B577" s="24"/>
      <c r="C577" s="24" t="s">
        <v>1489</v>
      </c>
      <c r="D577" s="24"/>
      <c r="E577" s="24"/>
      <c r="F577" s="24"/>
      <c r="G577" s="68"/>
      <c r="H577" s="68"/>
      <c r="I577" s="70"/>
    </row>
    <row r="578" spans="1:10" ht="14.5" x14ac:dyDescent="0.35">
      <c r="A578" s="247">
        <v>86</v>
      </c>
      <c r="B578" s="248" t="s">
        <v>324</v>
      </c>
      <c r="C578" s="248" t="s">
        <v>326</v>
      </c>
      <c r="D578" s="248" t="s">
        <v>339</v>
      </c>
      <c r="E578" s="249" t="s">
        <v>341</v>
      </c>
      <c r="F578" s="250" t="s">
        <v>398</v>
      </c>
      <c r="G578" s="251" t="s">
        <v>349</v>
      </c>
      <c r="H578" s="251" t="s">
        <v>346</v>
      </c>
      <c r="I578" s="252" t="s">
        <v>172</v>
      </c>
      <c r="J578" s="253">
        <v>1</v>
      </c>
    </row>
    <row r="579" spans="1:10" ht="14.5" x14ac:dyDescent="0.35">
      <c r="A579" s="254"/>
      <c r="B579" s="248" t="s">
        <v>324</v>
      </c>
      <c r="C579" s="248" t="s">
        <v>326</v>
      </c>
      <c r="D579" s="248" t="s">
        <v>339</v>
      </c>
      <c r="E579" s="249" t="s">
        <v>341</v>
      </c>
      <c r="F579" s="250" t="s">
        <v>409</v>
      </c>
      <c r="G579" s="251" t="s">
        <v>349</v>
      </c>
      <c r="H579" s="251" t="s">
        <v>347</v>
      </c>
      <c r="I579" s="252" t="s">
        <v>172</v>
      </c>
      <c r="J579" s="253">
        <v>2</v>
      </c>
    </row>
    <row r="580" spans="1:10" ht="14.5" x14ac:dyDescent="0.35">
      <c r="A580" s="254"/>
      <c r="B580" s="248" t="s">
        <v>324</v>
      </c>
      <c r="C580" s="248" t="s">
        <v>326</v>
      </c>
      <c r="D580" s="248" t="s">
        <v>339</v>
      </c>
      <c r="E580" s="249" t="s">
        <v>341</v>
      </c>
      <c r="F580" s="250" t="s">
        <v>420</v>
      </c>
      <c r="G580" s="251" t="s">
        <v>351</v>
      </c>
      <c r="H580" s="251" t="s">
        <v>346</v>
      </c>
      <c r="I580" s="252" t="s">
        <v>172</v>
      </c>
      <c r="J580" s="253">
        <v>2</v>
      </c>
    </row>
    <row r="581" spans="1:10" ht="14.5" x14ac:dyDescent="0.35">
      <c r="A581" s="254"/>
      <c r="B581" s="248" t="s">
        <v>324</v>
      </c>
      <c r="C581" s="248" t="s">
        <v>326</v>
      </c>
      <c r="D581" s="248" t="s">
        <v>339</v>
      </c>
      <c r="E581" s="249" t="s">
        <v>341</v>
      </c>
      <c r="F581" s="250" t="s">
        <v>430</v>
      </c>
      <c r="G581" s="251" t="s">
        <v>351</v>
      </c>
      <c r="H581" s="251" t="s">
        <v>347</v>
      </c>
      <c r="I581" s="252" t="s">
        <v>172</v>
      </c>
      <c r="J581" s="253">
        <v>2</v>
      </c>
    </row>
    <row r="582" spans="1:10" ht="12.5" x14ac:dyDescent="0.25">
      <c r="A582" s="246"/>
      <c r="B582" s="24"/>
      <c r="C582" s="24" t="s">
        <v>1489</v>
      </c>
      <c r="D582" s="24"/>
      <c r="E582" s="24"/>
      <c r="F582" s="24"/>
      <c r="G582" s="68"/>
      <c r="H582" s="68"/>
      <c r="I582" s="70"/>
    </row>
    <row r="583" spans="1:10" ht="14.5" x14ac:dyDescent="0.35">
      <c r="A583" s="247">
        <v>87</v>
      </c>
      <c r="B583" s="248" t="s">
        <v>324</v>
      </c>
      <c r="C583" s="248" t="s">
        <v>326</v>
      </c>
      <c r="D583" s="248" t="s">
        <v>339</v>
      </c>
      <c r="E583" s="249" t="s">
        <v>343</v>
      </c>
      <c r="F583" s="250" t="s">
        <v>398</v>
      </c>
      <c r="G583" s="251" t="s">
        <v>349</v>
      </c>
      <c r="H583" s="251" t="s">
        <v>346</v>
      </c>
      <c r="I583" s="252" t="s">
        <v>58</v>
      </c>
      <c r="J583" s="253">
        <v>3</v>
      </c>
    </row>
    <row r="584" spans="1:10" ht="14.5" x14ac:dyDescent="0.35">
      <c r="A584" s="254"/>
      <c r="B584" s="248" t="s">
        <v>324</v>
      </c>
      <c r="C584" s="248" t="s">
        <v>326</v>
      </c>
      <c r="D584" s="248" t="s">
        <v>339</v>
      </c>
      <c r="E584" s="249" t="s">
        <v>343</v>
      </c>
      <c r="F584" s="250" t="s">
        <v>409</v>
      </c>
      <c r="G584" s="251" t="s">
        <v>349</v>
      </c>
      <c r="H584" s="251" t="s">
        <v>347</v>
      </c>
      <c r="I584" s="252" t="s">
        <v>58</v>
      </c>
      <c r="J584" s="253">
        <v>4</v>
      </c>
    </row>
    <row r="585" spans="1:10" ht="14.5" x14ac:dyDescent="0.35">
      <c r="A585" s="254"/>
      <c r="B585" s="248" t="s">
        <v>324</v>
      </c>
      <c r="C585" s="248" t="s">
        <v>326</v>
      </c>
      <c r="D585" s="248" t="s">
        <v>339</v>
      </c>
      <c r="E585" s="249" t="s">
        <v>343</v>
      </c>
      <c r="F585" s="250" t="s">
        <v>420</v>
      </c>
      <c r="G585" s="251" t="s">
        <v>351</v>
      </c>
      <c r="H585" s="251" t="s">
        <v>346</v>
      </c>
      <c r="I585" s="252" t="s">
        <v>58</v>
      </c>
      <c r="J585" s="253">
        <v>7</v>
      </c>
    </row>
    <row r="586" spans="1:10" ht="14.5" x14ac:dyDescent="0.35">
      <c r="A586" s="254"/>
      <c r="B586" s="248" t="s">
        <v>324</v>
      </c>
      <c r="C586" s="248" t="s">
        <v>326</v>
      </c>
      <c r="D586" s="248" t="s">
        <v>339</v>
      </c>
      <c r="E586" s="249" t="s">
        <v>343</v>
      </c>
      <c r="F586" s="250" t="s">
        <v>430</v>
      </c>
      <c r="G586" s="251" t="s">
        <v>351</v>
      </c>
      <c r="H586" s="251" t="s">
        <v>347</v>
      </c>
      <c r="I586" s="252" t="s">
        <v>58</v>
      </c>
      <c r="J586" s="253">
        <v>6</v>
      </c>
    </row>
    <row r="587" spans="1:10" ht="12.5" x14ac:dyDescent="0.25">
      <c r="A587" s="246"/>
      <c r="B587" s="24"/>
      <c r="C587" s="24"/>
      <c r="D587" s="24"/>
      <c r="E587" s="24"/>
      <c r="F587" s="24"/>
      <c r="G587" s="68"/>
      <c r="H587" s="68"/>
      <c r="I587" s="70"/>
    </row>
    <row r="588" spans="1:10" ht="12.5" x14ac:dyDescent="0.25">
      <c r="A588" s="246"/>
      <c r="B588" s="24"/>
      <c r="C588" s="24"/>
      <c r="D588" s="24"/>
      <c r="E588" s="24"/>
      <c r="F588" s="24"/>
      <c r="G588" s="68"/>
      <c r="H588" s="68"/>
      <c r="I588" s="70"/>
    </row>
    <row r="589" spans="1:10" ht="12.5" x14ac:dyDescent="0.25">
      <c r="A589" s="246"/>
      <c r="B589" s="24"/>
      <c r="C589" s="24"/>
      <c r="D589" s="24"/>
      <c r="E589" s="24"/>
      <c r="F589" s="24"/>
      <c r="G589" s="68"/>
      <c r="H589" s="68"/>
      <c r="I589" s="70"/>
    </row>
    <row r="590" spans="1:10" ht="14.5" x14ac:dyDescent="0.35">
      <c r="A590" s="247">
        <v>89</v>
      </c>
      <c r="B590" s="248" t="s">
        <v>382</v>
      </c>
      <c r="C590" s="248" t="s">
        <v>326</v>
      </c>
      <c r="D590" s="248" t="s">
        <v>337</v>
      </c>
      <c r="E590" s="249" t="s">
        <v>336</v>
      </c>
      <c r="F590" s="244" t="s">
        <v>437</v>
      </c>
      <c r="G590" s="251" t="s">
        <v>352</v>
      </c>
      <c r="H590" s="251" t="s">
        <v>346</v>
      </c>
      <c r="I590" s="252">
        <v>50495</v>
      </c>
      <c r="J590" s="253">
        <v>1</v>
      </c>
    </row>
    <row r="591" spans="1:10" ht="14.5" x14ac:dyDescent="0.35">
      <c r="A591" s="254"/>
      <c r="B591" s="248" t="s">
        <v>382</v>
      </c>
      <c r="C591" s="248" t="s">
        <v>326</v>
      </c>
      <c r="D591" s="248" t="s">
        <v>337</v>
      </c>
      <c r="E591" s="249" t="s">
        <v>336</v>
      </c>
      <c r="F591" s="244" t="s">
        <v>440</v>
      </c>
      <c r="G591" s="251" t="s">
        <v>352</v>
      </c>
      <c r="H591" s="251" t="s">
        <v>347</v>
      </c>
      <c r="I591" s="252">
        <v>50495</v>
      </c>
      <c r="J591" s="253">
        <v>2</v>
      </c>
    </row>
    <row r="592" spans="1:10" ht="14.5" x14ac:dyDescent="0.35">
      <c r="A592" s="254"/>
      <c r="B592" s="248" t="s">
        <v>382</v>
      </c>
      <c r="C592" s="248" t="s">
        <v>326</v>
      </c>
      <c r="D592" s="248" t="s">
        <v>337</v>
      </c>
      <c r="E592" s="249" t="s">
        <v>336</v>
      </c>
      <c r="F592" s="245" t="s">
        <v>433</v>
      </c>
      <c r="G592" s="251" t="s">
        <v>353</v>
      </c>
      <c r="H592" s="251" t="s">
        <v>346</v>
      </c>
      <c r="I592" s="252">
        <v>50495</v>
      </c>
      <c r="J592" s="253">
        <v>1</v>
      </c>
    </row>
    <row r="593" spans="1:10" ht="14.5" x14ac:dyDescent="0.35">
      <c r="A593" s="254"/>
      <c r="B593" s="248" t="s">
        <v>382</v>
      </c>
      <c r="C593" s="248" t="s">
        <v>326</v>
      </c>
      <c r="D593" s="248" t="s">
        <v>337</v>
      </c>
      <c r="E593" s="249" t="s">
        <v>336</v>
      </c>
      <c r="F593" s="245" t="s">
        <v>435</v>
      </c>
      <c r="G593" s="251" t="s">
        <v>353</v>
      </c>
      <c r="H593" s="251" t="s">
        <v>347</v>
      </c>
      <c r="I593" s="252">
        <v>50495</v>
      </c>
      <c r="J593" s="253">
        <v>2</v>
      </c>
    </row>
    <row r="594" spans="1:10" ht="12.5" x14ac:dyDescent="0.25">
      <c r="A594" s="246"/>
      <c r="B594" s="24"/>
      <c r="C594" s="24"/>
      <c r="D594" s="24"/>
      <c r="E594" s="24"/>
      <c r="F594" s="24"/>
      <c r="G594" s="68"/>
      <c r="H594" s="68"/>
      <c r="I594" s="70"/>
    </row>
    <row r="595" spans="1:10" ht="14.5" x14ac:dyDescent="0.35">
      <c r="A595" s="247">
        <v>90</v>
      </c>
      <c r="B595" s="248" t="s">
        <v>382</v>
      </c>
      <c r="C595" s="248" t="s">
        <v>326</v>
      </c>
      <c r="D595" s="248" t="s">
        <v>337</v>
      </c>
      <c r="E595" s="249" t="s">
        <v>336</v>
      </c>
      <c r="F595" s="244" t="s">
        <v>437</v>
      </c>
      <c r="G595" s="251" t="s">
        <v>352</v>
      </c>
      <c r="H595" s="251" t="s">
        <v>346</v>
      </c>
      <c r="I595" s="252">
        <v>50536</v>
      </c>
      <c r="J595" s="253">
        <v>0</v>
      </c>
    </row>
    <row r="596" spans="1:10" ht="14.5" x14ac:dyDescent="0.35">
      <c r="A596" s="254"/>
      <c r="B596" s="248" t="s">
        <v>382</v>
      </c>
      <c r="C596" s="248" t="s">
        <v>326</v>
      </c>
      <c r="D596" s="248" t="s">
        <v>337</v>
      </c>
      <c r="E596" s="249" t="s">
        <v>336</v>
      </c>
      <c r="F596" s="244" t="s">
        <v>440</v>
      </c>
      <c r="G596" s="251" t="s">
        <v>352</v>
      </c>
      <c r="H596" s="251" t="s">
        <v>347</v>
      </c>
      <c r="I596" s="252">
        <v>50536</v>
      </c>
      <c r="J596" s="253">
        <v>1</v>
      </c>
    </row>
    <row r="597" spans="1:10" ht="14.5" x14ac:dyDescent="0.35">
      <c r="A597" s="254"/>
      <c r="B597" s="248" t="s">
        <v>382</v>
      </c>
      <c r="C597" s="248" t="s">
        <v>326</v>
      </c>
      <c r="D597" s="248" t="s">
        <v>337</v>
      </c>
      <c r="E597" s="249" t="s">
        <v>336</v>
      </c>
      <c r="F597" s="245" t="s">
        <v>433</v>
      </c>
      <c r="G597" s="251" t="s">
        <v>353</v>
      </c>
      <c r="H597" s="251" t="s">
        <v>346</v>
      </c>
      <c r="I597" s="252">
        <v>50536</v>
      </c>
      <c r="J597" s="253">
        <v>0</v>
      </c>
    </row>
    <row r="598" spans="1:10" ht="14.5" x14ac:dyDescent="0.35">
      <c r="A598" s="254"/>
      <c r="B598" s="248" t="s">
        <v>382</v>
      </c>
      <c r="C598" s="248" t="s">
        <v>326</v>
      </c>
      <c r="D598" s="248" t="s">
        <v>337</v>
      </c>
      <c r="E598" s="249" t="s">
        <v>336</v>
      </c>
      <c r="F598" s="245" t="s">
        <v>435</v>
      </c>
      <c r="G598" s="251" t="s">
        <v>353</v>
      </c>
      <c r="H598" s="251" t="s">
        <v>347</v>
      </c>
      <c r="I598" s="252">
        <v>50536</v>
      </c>
      <c r="J598" s="253">
        <v>2</v>
      </c>
    </row>
    <row r="599" spans="1:10" ht="12.5" x14ac:dyDescent="0.25">
      <c r="A599" s="246"/>
      <c r="B599" s="24"/>
      <c r="C599" s="24"/>
      <c r="D599" s="24"/>
      <c r="E599" s="24"/>
      <c r="F599" s="24"/>
      <c r="G599" s="68"/>
      <c r="H599" s="68"/>
      <c r="I599" s="70"/>
    </row>
    <row r="600" spans="1:10" ht="14.5" x14ac:dyDescent="0.35">
      <c r="A600" s="247">
        <v>91</v>
      </c>
      <c r="B600" s="248" t="s">
        <v>382</v>
      </c>
      <c r="C600" s="248" t="s">
        <v>326</v>
      </c>
      <c r="D600" s="248" t="s">
        <v>337</v>
      </c>
      <c r="E600" s="249" t="s">
        <v>336</v>
      </c>
      <c r="F600" s="255" t="s">
        <v>437</v>
      </c>
      <c r="G600" s="256" t="s">
        <v>352</v>
      </c>
      <c r="H600" s="251" t="s">
        <v>346</v>
      </c>
      <c r="I600" s="252">
        <v>50547</v>
      </c>
      <c r="J600" s="253">
        <v>2</v>
      </c>
    </row>
    <row r="601" spans="1:10" ht="14.5" x14ac:dyDescent="0.35">
      <c r="A601" s="254"/>
      <c r="B601" s="248" t="s">
        <v>382</v>
      </c>
      <c r="C601" s="248" t="s">
        <v>326</v>
      </c>
      <c r="D601" s="248" t="s">
        <v>337</v>
      </c>
      <c r="E601" s="249" t="s">
        <v>336</v>
      </c>
      <c r="F601" s="255" t="s">
        <v>440</v>
      </c>
      <c r="G601" s="256" t="s">
        <v>352</v>
      </c>
      <c r="H601" s="251" t="s">
        <v>347</v>
      </c>
      <c r="I601" s="252">
        <v>50547</v>
      </c>
      <c r="J601" s="253">
        <v>1</v>
      </c>
    </row>
    <row r="602" spans="1:10" ht="14.5" x14ac:dyDescent="0.35">
      <c r="A602" s="254"/>
      <c r="B602" s="248" t="s">
        <v>382</v>
      </c>
      <c r="C602" s="248" t="s">
        <v>326</v>
      </c>
      <c r="D602" s="248" t="s">
        <v>337</v>
      </c>
      <c r="E602" s="249" t="s">
        <v>336</v>
      </c>
      <c r="F602" s="257" t="s">
        <v>433</v>
      </c>
      <c r="G602" s="256" t="s">
        <v>353</v>
      </c>
      <c r="H602" s="251" t="s">
        <v>346</v>
      </c>
      <c r="I602" s="252">
        <v>50547</v>
      </c>
      <c r="J602" s="253">
        <v>2</v>
      </c>
    </row>
    <row r="603" spans="1:10" ht="14.5" x14ac:dyDescent="0.35">
      <c r="A603" s="254"/>
      <c r="B603" s="248" t="s">
        <v>382</v>
      </c>
      <c r="C603" s="248" t="s">
        <v>326</v>
      </c>
      <c r="D603" s="248" t="s">
        <v>337</v>
      </c>
      <c r="E603" s="249" t="s">
        <v>336</v>
      </c>
      <c r="F603" s="257" t="s">
        <v>435</v>
      </c>
      <c r="G603" s="256" t="s">
        <v>353</v>
      </c>
      <c r="H603" s="251" t="s">
        <v>347</v>
      </c>
      <c r="I603" s="252">
        <v>50547</v>
      </c>
      <c r="J603" s="253">
        <v>1</v>
      </c>
    </row>
    <row r="604" spans="1:10" ht="12.5" x14ac:dyDescent="0.25">
      <c r="A604" s="246"/>
      <c r="B604" s="24"/>
      <c r="C604" s="24"/>
      <c r="D604" s="24"/>
      <c r="E604" s="24"/>
      <c r="F604" s="24"/>
      <c r="G604" s="68"/>
      <c r="H604" s="68"/>
      <c r="I604" s="70"/>
    </row>
    <row r="605" spans="1:10" ht="14.5" x14ac:dyDescent="0.35">
      <c r="A605" s="247">
        <v>92</v>
      </c>
      <c r="B605" s="248" t="s">
        <v>382</v>
      </c>
      <c r="C605" s="248" t="s">
        <v>326</v>
      </c>
      <c r="D605" s="248" t="s">
        <v>337</v>
      </c>
      <c r="E605" s="249" t="s">
        <v>336</v>
      </c>
      <c r="F605" s="255" t="s">
        <v>437</v>
      </c>
      <c r="G605" s="256" t="s">
        <v>352</v>
      </c>
      <c r="H605" s="251" t="s">
        <v>346</v>
      </c>
      <c r="I605" s="252">
        <v>50550</v>
      </c>
      <c r="J605" s="253">
        <v>1</v>
      </c>
    </row>
    <row r="606" spans="1:10" ht="14.5" x14ac:dyDescent="0.35">
      <c r="A606" s="254"/>
      <c r="B606" s="248" t="s">
        <v>382</v>
      </c>
      <c r="C606" s="248" t="s">
        <v>326</v>
      </c>
      <c r="D606" s="248" t="s">
        <v>337</v>
      </c>
      <c r="E606" s="249" t="s">
        <v>336</v>
      </c>
      <c r="F606" s="255" t="s">
        <v>440</v>
      </c>
      <c r="G606" s="256" t="s">
        <v>352</v>
      </c>
      <c r="H606" s="251" t="s">
        <v>347</v>
      </c>
      <c r="I606" s="252">
        <v>50550</v>
      </c>
      <c r="J606" s="253">
        <v>0</v>
      </c>
    </row>
    <row r="607" spans="1:10" ht="14.5" x14ac:dyDescent="0.35">
      <c r="A607" s="254"/>
      <c r="B607" s="248" t="s">
        <v>382</v>
      </c>
      <c r="C607" s="248" t="s">
        <v>326</v>
      </c>
      <c r="D607" s="248" t="s">
        <v>337</v>
      </c>
      <c r="E607" s="249" t="s">
        <v>336</v>
      </c>
      <c r="F607" s="257" t="s">
        <v>433</v>
      </c>
      <c r="G607" s="256" t="s">
        <v>353</v>
      </c>
      <c r="H607" s="251" t="s">
        <v>346</v>
      </c>
      <c r="I607" s="252">
        <v>50550</v>
      </c>
      <c r="J607" s="253">
        <v>1</v>
      </c>
    </row>
    <row r="608" spans="1:10" ht="14.5" x14ac:dyDescent="0.35">
      <c r="A608" s="254"/>
      <c r="B608" s="248" t="s">
        <v>382</v>
      </c>
      <c r="C608" s="248" t="s">
        <v>326</v>
      </c>
      <c r="D608" s="248" t="s">
        <v>337</v>
      </c>
      <c r="E608" s="249" t="s">
        <v>336</v>
      </c>
      <c r="F608" s="257" t="s">
        <v>435</v>
      </c>
      <c r="G608" s="256" t="s">
        <v>353</v>
      </c>
      <c r="H608" s="251" t="s">
        <v>347</v>
      </c>
      <c r="I608" s="252">
        <v>50550</v>
      </c>
      <c r="J608" s="253">
        <v>0</v>
      </c>
    </row>
    <row r="609" spans="1:12" ht="12.5" x14ac:dyDescent="0.25">
      <c r="A609" s="246"/>
      <c r="B609" s="24"/>
      <c r="C609" s="24"/>
      <c r="D609" s="24"/>
      <c r="E609" s="24"/>
      <c r="F609" s="24"/>
      <c r="G609" s="68"/>
      <c r="H609" s="68"/>
      <c r="I609" s="70"/>
    </row>
    <row r="610" spans="1:12" ht="14.5" x14ac:dyDescent="0.35">
      <c r="A610" s="247">
        <v>93</v>
      </c>
      <c r="B610" s="248" t="s">
        <v>382</v>
      </c>
      <c r="C610" s="248" t="s">
        <v>326</v>
      </c>
      <c r="D610" s="248" t="s">
        <v>337</v>
      </c>
      <c r="E610" s="249" t="s">
        <v>336</v>
      </c>
      <c r="F610" s="255" t="s">
        <v>437</v>
      </c>
      <c r="G610" s="256" t="s">
        <v>352</v>
      </c>
      <c r="H610" s="251" t="s">
        <v>346</v>
      </c>
      <c r="I610" s="252">
        <v>50558</v>
      </c>
      <c r="J610" s="253">
        <v>2</v>
      </c>
      <c r="L610" s="24">
        <f>SUMIFS(J610:J613,B610:B613,B610)</f>
        <v>6</v>
      </c>
    </row>
    <row r="611" spans="1:12" ht="14.5" x14ac:dyDescent="0.35">
      <c r="A611" s="254"/>
      <c r="B611" s="248" t="s">
        <v>382</v>
      </c>
      <c r="C611" s="248" t="s">
        <v>326</v>
      </c>
      <c r="D611" s="248" t="s">
        <v>337</v>
      </c>
      <c r="E611" s="249" t="s">
        <v>336</v>
      </c>
      <c r="F611" s="255" t="s">
        <v>440</v>
      </c>
      <c r="G611" s="256" t="s">
        <v>352</v>
      </c>
      <c r="H611" s="251" t="s">
        <v>347</v>
      </c>
      <c r="I611" s="252">
        <v>50558</v>
      </c>
      <c r="J611" s="253">
        <v>1</v>
      </c>
    </row>
    <row r="612" spans="1:12" ht="14.5" x14ac:dyDescent="0.35">
      <c r="A612" s="254"/>
      <c r="B612" s="248" t="s">
        <v>382</v>
      </c>
      <c r="C612" s="248" t="s">
        <v>326</v>
      </c>
      <c r="D612" s="248" t="s">
        <v>337</v>
      </c>
      <c r="E612" s="249" t="s">
        <v>336</v>
      </c>
      <c r="F612" s="257" t="s">
        <v>433</v>
      </c>
      <c r="G612" s="256" t="s">
        <v>353</v>
      </c>
      <c r="H612" s="251" t="s">
        <v>346</v>
      </c>
      <c r="I612" s="252">
        <v>50558</v>
      </c>
      <c r="J612" s="253">
        <v>2</v>
      </c>
    </row>
    <row r="613" spans="1:12" ht="14.5" x14ac:dyDescent="0.35">
      <c r="A613" s="254"/>
      <c r="B613" s="248" t="s">
        <v>382</v>
      </c>
      <c r="C613" s="248" t="s">
        <v>326</v>
      </c>
      <c r="D613" s="248" t="s">
        <v>337</v>
      </c>
      <c r="E613" s="249" t="s">
        <v>336</v>
      </c>
      <c r="F613" s="257" t="s">
        <v>435</v>
      </c>
      <c r="G613" s="256" t="s">
        <v>353</v>
      </c>
      <c r="H613" s="251" t="s">
        <v>347</v>
      </c>
      <c r="I613" s="252">
        <v>50558</v>
      </c>
      <c r="J613" s="253">
        <v>1</v>
      </c>
    </row>
    <row r="614" spans="1:12" ht="12.5" x14ac:dyDescent="0.25">
      <c r="A614" s="246"/>
      <c r="B614" s="24"/>
      <c r="C614" s="24"/>
      <c r="D614" s="24"/>
      <c r="E614" s="24"/>
      <c r="F614" s="24"/>
      <c r="G614" s="68"/>
      <c r="H614" s="68"/>
      <c r="I614" s="70"/>
    </row>
    <row r="615" spans="1:12" ht="14.5" x14ac:dyDescent="0.35">
      <c r="A615" s="247">
        <v>94</v>
      </c>
      <c r="B615" s="248" t="s">
        <v>382</v>
      </c>
      <c r="C615" s="248" t="s">
        <v>326</v>
      </c>
      <c r="D615" s="248" t="s">
        <v>337</v>
      </c>
      <c r="E615" s="249" t="s">
        <v>336</v>
      </c>
      <c r="F615" s="258" t="s">
        <v>437</v>
      </c>
      <c r="G615" s="256" t="s">
        <v>352</v>
      </c>
      <c r="H615" s="251" t="s">
        <v>346</v>
      </c>
      <c r="I615" s="252">
        <v>50715</v>
      </c>
      <c r="J615" s="253">
        <v>1</v>
      </c>
    </row>
    <row r="616" spans="1:12" ht="14.5" x14ac:dyDescent="0.35">
      <c r="A616" s="254"/>
      <c r="B616" s="248" t="s">
        <v>382</v>
      </c>
      <c r="C616" s="248" t="s">
        <v>326</v>
      </c>
      <c r="D616" s="248" t="s">
        <v>337</v>
      </c>
      <c r="E616" s="249" t="s">
        <v>336</v>
      </c>
      <c r="F616" s="258" t="s">
        <v>440</v>
      </c>
      <c r="G616" s="256" t="s">
        <v>352</v>
      </c>
      <c r="H616" s="251" t="s">
        <v>347</v>
      </c>
      <c r="I616" s="252">
        <v>50715</v>
      </c>
      <c r="J616" s="253">
        <v>1</v>
      </c>
    </row>
    <row r="617" spans="1:12" ht="14.5" x14ac:dyDescent="0.35">
      <c r="A617" s="254"/>
      <c r="B617" s="248" t="s">
        <v>382</v>
      </c>
      <c r="C617" s="248" t="s">
        <v>326</v>
      </c>
      <c r="D617" s="248" t="s">
        <v>337</v>
      </c>
      <c r="E617" s="249" t="s">
        <v>336</v>
      </c>
      <c r="F617" s="259" t="s">
        <v>433</v>
      </c>
      <c r="G617" s="256" t="s">
        <v>353</v>
      </c>
      <c r="H617" s="251" t="s">
        <v>346</v>
      </c>
      <c r="I617" s="252">
        <v>50715</v>
      </c>
      <c r="J617" s="253">
        <v>0</v>
      </c>
    </row>
    <row r="618" spans="1:12" ht="14.5" x14ac:dyDescent="0.35">
      <c r="A618" s="254"/>
      <c r="B618" s="248" t="s">
        <v>382</v>
      </c>
      <c r="C618" s="248" t="s">
        <v>326</v>
      </c>
      <c r="D618" s="248" t="s">
        <v>337</v>
      </c>
      <c r="E618" s="249" t="s">
        <v>336</v>
      </c>
      <c r="F618" s="259" t="s">
        <v>435</v>
      </c>
      <c r="G618" s="256" t="s">
        <v>353</v>
      </c>
      <c r="H618" s="251" t="s">
        <v>347</v>
      </c>
      <c r="I618" s="252">
        <v>50715</v>
      </c>
      <c r="J618" s="253">
        <v>0</v>
      </c>
    </row>
    <row r="619" spans="1:12" ht="12.5" x14ac:dyDescent="0.25">
      <c r="A619" s="246"/>
      <c r="B619" s="24"/>
      <c r="C619" s="24"/>
      <c r="D619" s="24"/>
      <c r="E619" s="24"/>
      <c r="F619" s="24"/>
      <c r="G619" s="68"/>
      <c r="H619" s="68"/>
      <c r="I619" s="70"/>
    </row>
    <row r="620" spans="1:12" ht="14.5" x14ac:dyDescent="0.35">
      <c r="A620" s="247">
        <v>95</v>
      </c>
      <c r="B620" s="248" t="s">
        <v>382</v>
      </c>
      <c r="C620" s="248" t="s">
        <v>326</v>
      </c>
      <c r="D620" s="248" t="s">
        <v>337</v>
      </c>
      <c r="E620" s="249" t="s">
        <v>336</v>
      </c>
      <c r="F620" s="258" t="s">
        <v>437</v>
      </c>
      <c r="G620" s="256" t="s">
        <v>352</v>
      </c>
      <c r="H620" s="251" t="s">
        <v>346</v>
      </c>
      <c r="I620" s="252">
        <v>50765</v>
      </c>
      <c r="J620" s="253">
        <v>1</v>
      </c>
    </row>
    <row r="621" spans="1:12" ht="14.5" x14ac:dyDescent="0.35">
      <c r="A621" s="254"/>
      <c r="B621" s="248" t="s">
        <v>382</v>
      </c>
      <c r="C621" s="248" t="s">
        <v>326</v>
      </c>
      <c r="D621" s="248" t="s">
        <v>337</v>
      </c>
      <c r="E621" s="249" t="s">
        <v>336</v>
      </c>
      <c r="F621" s="258" t="s">
        <v>440</v>
      </c>
      <c r="G621" s="256" t="s">
        <v>352</v>
      </c>
      <c r="H621" s="251" t="s">
        <v>347</v>
      </c>
      <c r="I621" s="252">
        <v>50765</v>
      </c>
      <c r="J621" s="253">
        <v>2</v>
      </c>
    </row>
    <row r="622" spans="1:12" ht="14.5" x14ac:dyDescent="0.35">
      <c r="A622" s="254"/>
      <c r="B622" s="248" t="s">
        <v>382</v>
      </c>
      <c r="C622" s="248" t="s">
        <v>326</v>
      </c>
      <c r="D622" s="248" t="s">
        <v>337</v>
      </c>
      <c r="E622" s="249" t="s">
        <v>336</v>
      </c>
      <c r="F622" s="259" t="s">
        <v>433</v>
      </c>
      <c r="G622" s="256" t="s">
        <v>353</v>
      </c>
      <c r="H622" s="251" t="s">
        <v>346</v>
      </c>
      <c r="I622" s="252">
        <v>50765</v>
      </c>
      <c r="J622" s="253">
        <v>1</v>
      </c>
    </row>
    <row r="623" spans="1:12" ht="14.5" x14ac:dyDescent="0.35">
      <c r="A623" s="254"/>
      <c r="B623" s="248" t="s">
        <v>382</v>
      </c>
      <c r="C623" s="248" t="s">
        <v>326</v>
      </c>
      <c r="D623" s="248" t="s">
        <v>337</v>
      </c>
      <c r="E623" s="249" t="s">
        <v>336</v>
      </c>
      <c r="F623" s="259" t="s">
        <v>435</v>
      </c>
      <c r="G623" s="256" t="s">
        <v>353</v>
      </c>
      <c r="H623" s="251" t="s">
        <v>347</v>
      </c>
      <c r="I623" s="252">
        <v>50765</v>
      </c>
      <c r="J623" s="253">
        <v>1</v>
      </c>
    </row>
    <row r="624" spans="1:12" ht="12.5" x14ac:dyDescent="0.25">
      <c r="A624" s="246"/>
      <c r="B624" s="24"/>
      <c r="C624" s="24"/>
      <c r="D624" s="24"/>
      <c r="E624" s="24"/>
      <c r="F624" s="24"/>
      <c r="G624" s="68"/>
      <c r="H624" s="68"/>
      <c r="I624" s="70"/>
    </row>
    <row r="625" spans="1:10" ht="14.5" x14ac:dyDescent="0.35">
      <c r="A625" s="247">
        <v>96</v>
      </c>
      <c r="B625" s="248" t="s">
        <v>382</v>
      </c>
      <c r="C625" s="248" t="s">
        <v>326</v>
      </c>
      <c r="D625" s="248" t="s">
        <v>337</v>
      </c>
      <c r="E625" s="249" t="s">
        <v>336</v>
      </c>
      <c r="F625" s="258" t="s">
        <v>437</v>
      </c>
      <c r="G625" s="256" t="s">
        <v>352</v>
      </c>
      <c r="H625" s="251" t="s">
        <v>346</v>
      </c>
      <c r="I625" s="252">
        <v>50796</v>
      </c>
      <c r="J625" s="253">
        <v>1</v>
      </c>
    </row>
    <row r="626" spans="1:10" ht="14.5" x14ac:dyDescent="0.35">
      <c r="A626" s="254"/>
      <c r="B626" s="248" t="s">
        <v>382</v>
      </c>
      <c r="C626" s="248" t="s">
        <v>326</v>
      </c>
      <c r="D626" s="248" t="s">
        <v>337</v>
      </c>
      <c r="E626" s="249" t="s">
        <v>336</v>
      </c>
      <c r="F626" s="258" t="s">
        <v>440</v>
      </c>
      <c r="G626" s="256" t="s">
        <v>352</v>
      </c>
      <c r="H626" s="251" t="s">
        <v>347</v>
      </c>
      <c r="I626" s="252">
        <v>50796</v>
      </c>
      <c r="J626" s="253">
        <v>1</v>
      </c>
    </row>
    <row r="627" spans="1:10" ht="14.5" x14ac:dyDescent="0.35">
      <c r="A627" s="254"/>
      <c r="B627" s="248" t="s">
        <v>382</v>
      </c>
      <c r="C627" s="248" t="s">
        <v>326</v>
      </c>
      <c r="D627" s="248" t="s">
        <v>337</v>
      </c>
      <c r="E627" s="249" t="s">
        <v>336</v>
      </c>
      <c r="F627" s="259" t="s">
        <v>433</v>
      </c>
      <c r="G627" s="256" t="s">
        <v>353</v>
      </c>
      <c r="H627" s="251" t="s">
        <v>346</v>
      </c>
      <c r="I627" s="252">
        <v>50796</v>
      </c>
      <c r="J627" s="253">
        <v>2</v>
      </c>
    </row>
    <row r="628" spans="1:10" ht="14.5" x14ac:dyDescent="0.35">
      <c r="A628" s="254"/>
      <c r="B628" s="248" t="s">
        <v>382</v>
      </c>
      <c r="C628" s="248" t="s">
        <v>326</v>
      </c>
      <c r="D628" s="248" t="s">
        <v>337</v>
      </c>
      <c r="E628" s="249" t="s">
        <v>336</v>
      </c>
      <c r="F628" s="259" t="s">
        <v>435</v>
      </c>
      <c r="G628" s="256" t="s">
        <v>353</v>
      </c>
      <c r="H628" s="251" t="s">
        <v>347</v>
      </c>
      <c r="I628" s="252">
        <v>50796</v>
      </c>
      <c r="J628" s="253">
        <v>2</v>
      </c>
    </row>
    <row r="629" spans="1:10" ht="12.5" x14ac:dyDescent="0.25">
      <c r="A629" s="246"/>
      <c r="B629" s="24"/>
      <c r="C629" s="24"/>
      <c r="D629" s="24"/>
      <c r="E629" s="24"/>
      <c r="F629" s="24"/>
      <c r="G629" s="68"/>
      <c r="H629" s="68"/>
      <c r="I629" s="70"/>
    </row>
    <row r="630" spans="1:10" ht="14.5" x14ac:dyDescent="0.35">
      <c r="A630" s="247">
        <v>97</v>
      </c>
      <c r="B630" s="248" t="s">
        <v>382</v>
      </c>
      <c r="C630" s="248" t="s">
        <v>326</v>
      </c>
      <c r="D630" s="248" t="s">
        <v>337</v>
      </c>
      <c r="E630" s="249" t="s">
        <v>336</v>
      </c>
      <c r="F630" s="258" t="s">
        <v>437</v>
      </c>
      <c r="G630" s="256" t="s">
        <v>352</v>
      </c>
      <c r="H630" s="251" t="s">
        <v>346</v>
      </c>
      <c r="I630" s="252">
        <v>50854</v>
      </c>
      <c r="J630" s="253">
        <v>1</v>
      </c>
    </row>
    <row r="631" spans="1:10" ht="14.5" x14ac:dyDescent="0.35">
      <c r="A631" s="254"/>
      <c r="B631" s="248" t="s">
        <v>382</v>
      </c>
      <c r="C631" s="248" t="s">
        <v>326</v>
      </c>
      <c r="D631" s="248" t="s">
        <v>337</v>
      </c>
      <c r="E631" s="249" t="s">
        <v>336</v>
      </c>
      <c r="F631" s="258" t="s">
        <v>440</v>
      </c>
      <c r="G631" s="256" t="s">
        <v>352</v>
      </c>
      <c r="H631" s="251" t="s">
        <v>347</v>
      </c>
      <c r="I631" s="252">
        <v>50854</v>
      </c>
      <c r="J631" s="253">
        <v>1</v>
      </c>
    </row>
    <row r="632" spans="1:10" ht="14.5" x14ac:dyDescent="0.35">
      <c r="A632" s="254"/>
      <c r="B632" s="248" t="s">
        <v>382</v>
      </c>
      <c r="C632" s="248" t="s">
        <v>326</v>
      </c>
      <c r="D632" s="248" t="s">
        <v>337</v>
      </c>
      <c r="E632" s="249" t="s">
        <v>336</v>
      </c>
      <c r="F632" s="259" t="s">
        <v>433</v>
      </c>
      <c r="G632" s="256" t="s">
        <v>353</v>
      </c>
      <c r="H632" s="251" t="s">
        <v>346</v>
      </c>
      <c r="I632" s="252">
        <v>50854</v>
      </c>
      <c r="J632" s="253">
        <v>1</v>
      </c>
    </row>
    <row r="633" spans="1:10" ht="14.5" x14ac:dyDescent="0.35">
      <c r="A633" s="254"/>
      <c r="B633" s="248" t="s">
        <v>382</v>
      </c>
      <c r="C633" s="248" t="s">
        <v>326</v>
      </c>
      <c r="D633" s="248" t="s">
        <v>337</v>
      </c>
      <c r="E633" s="249" t="s">
        <v>336</v>
      </c>
      <c r="F633" s="259" t="s">
        <v>435</v>
      </c>
      <c r="G633" s="256" t="s">
        <v>353</v>
      </c>
      <c r="H633" s="251" t="s">
        <v>347</v>
      </c>
      <c r="I633" s="252">
        <v>50854</v>
      </c>
      <c r="J633" s="253">
        <v>0</v>
      </c>
    </row>
    <row r="634" spans="1:10" ht="12.5" x14ac:dyDescent="0.25">
      <c r="A634" s="246"/>
      <c r="B634" s="24"/>
      <c r="C634" s="24"/>
      <c r="D634" s="24"/>
      <c r="E634" s="24"/>
      <c r="F634" s="24"/>
      <c r="G634" s="68"/>
      <c r="H634" s="68"/>
      <c r="I634" s="70"/>
    </row>
    <row r="635" spans="1:10" ht="14.5" x14ac:dyDescent="0.35">
      <c r="A635" s="247">
        <v>98</v>
      </c>
      <c r="B635" s="248" t="s">
        <v>382</v>
      </c>
      <c r="C635" s="248" t="s">
        <v>326</v>
      </c>
      <c r="D635" s="248" t="s">
        <v>337</v>
      </c>
      <c r="E635" s="249" t="s">
        <v>336</v>
      </c>
      <c r="F635" s="258" t="s">
        <v>437</v>
      </c>
      <c r="G635" s="256" t="s">
        <v>352</v>
      </c>
      <c r="H635" s="251" t="s">
        <v>346</v>
      </c>
      <c r="I635" s="252">
        <v>50912</v>
      </c>
      <c r="J635" s="253">
        <v>1</v>
      </c>
    </row>
    <row r="636" spans="1:10" ht="14.5" x14ac:dyDescent="0.35">
      <c r="A636" s="254"/>
      <c r="B636" s="248" t="s">
        <v>382</v>
      </c>
      <c r="C636" s="248" t="s">
        <v>326</v>
      </c>
      <c r="D636" s="248" t="s">
        <v>337</v>
      </c>
      <c r="E636" s="249" t="s">
        <v>336</v>
      </c>
      <c r="F636" s="258" t="s">
        <v>440</v>
      </c>
      <c r="G636" s="256" t="s">
        <v>352</v>
      </c>
      <c r="H636" s="251" t="s">
        <v>347</v>
      </c>
      <c r="I636" s="252">
        <v>50912</v>
      </c>
      <c r="J636" s="253">
        <v>1</v>
      </c>
    </row>
    <row r="637" spans="1:10" ht="14.5" x14ac:dyDescent="0.35">
      <c r="A637" s="254"/>
      <c r="B637" s="248" t="s">
        <v>382</v>
      </c>
      <c r="C637" s="248" t="s">
        <v>326</v>
      </c>
      <c r="D637" s="248" t="s">
        <v>337</v>
      </c>
      <c r="E637" s="249" t="s">
        <v>336</v>
      </c>
      <c r="F637" s="259" t="s">
        <v>433</v>
      </c>
      <c r="G637" s="256" t="s">
        <v>353</v>
      </c>
      <c r="H637" s="251" t="s">
        <v>346</v>
      </c>
      <c r="I637" s="252">
        <v>50912</v>
      </c>
      <c r="J637" s="253">
        <v>1</v>
      </c>
    </row>
    <row r="638" spans="1:10" ht="14.5" x14ac:dyDescent="0.35">
      <c r="A638" s="254"/>
      <c r="B638" s="248" t="s">
        <v>382</v>
      </c>
      <c r="C638" s="248" t="s">
        <v>326</v>
      </c>
      <c r="D638" s="248" t="s">
        <v>337</v>
      </c>
      <c r="E638" s="249" t="s">
        <v>336</v>
      </c>
      <c r="F638" s="259" t="s">
        <v>435</v>
      </c>
      <c r="G638" s="256" t="s">
        <v>353</v>
      </c>
      <c r="H638" s="251" t="s">
        <v>347</v>
      </c>
      <c r="I638" s="252">
        <v>50912</v>
      </c>
      <c r="J638" s="253">
        <v>1</v>
      </c>
    </row>
    <row r="639" spans="1:10" ht="12.5" x14ac:dyDescent="0.25">
      <c r="A639" s="246"/>
      <c r="B639" s="24"/>
      <c r="C639" s="24"/>
      <c r="D639" s="24"/>
      <c r="E639" s="24"/>
      <c r="F639" s="24"/>
      <c r="G639" s="68"/>
      <c r="H639" s="68"/>
      <c r="I639" s="70"/>
    </row>
    <row r="640" spans="1:10" ht="14.5" x14ac:dyDescent="0.35">
      <c r="A640" s="247">
        <v>99</v>
      </c>
      <c r="B640" s="248" t="s">
        <v>382</v>
      </c>
      <c r="C640" s="248" t="s">
        <v>326</v>
      </c>
      <c r="D640" s="248" t="s">
        <v>337</v>
      </c>
      <c r="E640" s="249" t="s">
        <v>336</v>
      </c>
      <c r="F640" s="258" t="s">
        <v>437</v>
      </c>
      <c r="G640" s="256" t="s">
        <v>352</v>
      </c>
      <c r="H640" s="251" t="s">
        <v>346</v>
      </c>
      <c r="I640" s="252">
        <v>50977</v>
      </c>
      <c r="J640" s="253">
        <v>3</v>
      </c>
    </row>
    <row r="641" spans="1:10" ht="14.5" x14ac:dyDescent="0.35">
      <c r="A641" s="254"/>
      <c r="B641" s="248" t="s">
        <v>382</v>
      </c>
      <c r="C641" s="248" t="s">
        <v>326</v>
      </c>
      <c r="D641" s="248" t="s">
        <v>337</v>
      </c>
      <c r="E641" s="249" t="s">
        <v>336</v>
      </c>
      <c r="F641" s="258" t="s">
        <v>440</v>
      </c>
      <c r="G641" s="256" t="s">
        <v>352</v>
      </c>
      <c r="H641" s="251" t="s">
        <v>347</v>
      </c>
      <c r="I641" s="252">
        <v>50977</v>
      </c>
      <c r="J641" s="253">
        <v>1</v>
      </c>
    </row>
    <row r="642" spans="1:10" ht="14.5" x14ac:dyDescent="0.35">
      <c r="A642" s="254"/>
      <c r="B642" s="248" t="s">
        <v>382</v>
      </c>
      <c r="C642" s="248" t="s">
        <v>326</v>
      </c>
      <c r="D642" s="248" t="s">
        <v>337</v>
      </c>
      <c r="E642" s="249" t="s">
        <v>336</v>
      </c>
      <c r="F642" s="259" t="s">
        <v>433</v>
      </c>
      <c r="G642" s="256" t="s">
        <v>353</v>
      </c>
      <c r="H642" s="251" t="s">
        <v>346</v>
      </c>
      <c r="I642" s="252">
        <v>50977</v>
      </c>
      <c r="J642" s="253">
        <v>3</v>
      </c>
    </row>
    <row r="643" spans="1:10" ht="14.5" x14ac:dyDescent="0.35">
      <c r="A643" s="254"/>
      <c r="B643" s="248" t="s">
        <v>382</v>
      </c>
      <c r="C643" s="248" t="s">
        <v>326</v>
      </c>
      <c r="D643" s="248" t="s">
        <v>337</v>
      </c>
      <c r="E643" s="249" t="s">
        <v>336</v>
      </c>
      <c r="F643" s="259" t="s">
        <v>435</v>
      </c>
      <c r="G643" s="256" t="s">
        <v>353</v>
      </c>
      <c r="H643" s="251" t="s">
        <v>347</v>
      </c>
      <c r="I643" s="252">
        <v>50977</v>
      </c>
      <c r="J643" s="253">
        <v>1</v>
      </c>
    </row>
    <row r="644" spans="1:10" ht="12.5" x14ac:dyDescent="0.25">
      <c r="A644" s="246"/>
      <c r="B644" s="24"/>
      <c r="C644" s="24"/>
      <c r="D644" s="24"/>
      <c r="E644" s="24"/>
      <c r="F644" s="24"/>
      <c r="G644" s="68"/>
      <c r="H644" s="68"/>
      <c r="I644" s="70"/>
    </row>
    <row r="645" spans="1:10" ht="14.5" x14ac:dyDescent="0.35">
      <c r="A645" s="247">
        <v>100</v>
      </c>
      <c r="B645" s="248" t="s">
        <v>382</v>
      </c>
      <c r="C645" s="248" t="s">
        <v>326</v>
      </c>
      <c r="D645" s="248" t="s">
        <v>337</v>
      </c>
      <c r="E645" s="249" t="s">
        <v>336</v>
      </c>
      <c r="F645" s="258" t="s">
        <v>437</v>
      </c>
      <c r="G645" s="256" t="s">
        <v>352</v>
      </c>
      <c r="H645" s="251" t="s">
        <v>346</v>
      </c>
      <c r="I645" s="252">
        <v>501432</v>
      </c>
      <c r="J645" s="253">
        <v>2</v>
      </c>
    </row>
    <row r="646" spans="1:10" ht="14.5" x14ac:dyDescent="0.35">
      <c r="A646" s="254"/>
      <c r="B646" s="248" t="s">
        <v>382</v>
      </c>
      <c r="C646" s="248" t="s">
        <v>326</v>
      </c>
      <c r="D646" s="248" t="s">
        <v>337</v>
      </c>
      <c r="E646" s="249" t="s">
        <v>336</v>
      </c>
      <c r="F646" s="258" t="s">
        <v>440</v>
      </c>
      <c r="G646" s="256" t="s">
        <v>352</v>
      </c>
      <c r="H646" s="251" t="s">
        <v>347</v>
      </c>
      <c r="I646" s="252">
        <v>501432</v>
      </c>
      <c r="J646" s="253">
        <v>1</v>
      </c>
    </row>
    <row r="647" spans="1:10" ht="14.5" x14ac:dyDescent="0.35">
      <c r="A647" s="254"/>
      <c r="B647" s="248" t="s">
        <v>382</v>
      </c>
      <c r="C647" s="248" t="s">
        <v>326</v>
      </c>
      <c r="D647" s="248" t="s">
        <v>337</v>
      </c>
      <c r="E647" s="249" t="s">
        <v>336</v>
      </c>
      <c r="F647" s="259" t="s">
        <v>433</v>
      </c>
      <c r="G647" s="256" t="s">
        <v>353</v>
      </c>
      <c r="H647" s="251" t="s">
        <v>346</v>
      </c>
      <c r="I647" s="252">
        <v>501432</v>
      </c>
      <c r="J647" s="253">
        <v>3</v>
      </c>
    </row>
    <row r="648" spans="1:10" ht="14.5" x14ac:dyDescent="0.35">
      <c r="A648" s="254"/>
      <c r="B648" s="248" t="s">
        <v>382</v>
      </c>
      <c r="C648" s="248" t="s">
        <v>326</v>
      </c>
      <c r="D648" s="248" t="s">
        <v>337</v>
      </c>
      <c r="E648" s="249" t="s">
        <v>336</v>
      </c>
      <c r="F648" s="259" t="s">
        <v>435</v>
      </c>
      <c r="G648" s="256" t="s">
        <v>353</v>
      </c>
      <c r="H648" s="251" t="s">
        <v>347</v>
      </c>
      <c r="I648" s="252">
        <v>501432</v>
      </c>
      <c r="J648" s="253">
        <v>1</v>
      </c>
    </row>
    <row r="649" spans="1:10" ht="12.5" x14ac:dyDescent="0.25">
      <c r="A649" s="246"/>
      <c r="B649" s="24"/>
      <c r="C649" s="24"/>
      <c r="D649" s="24"/>
      <c r="E649" s="24"/>
      <c r="F649" s="24"/>
      <c r="G649" s="68"/>
      <c r="H649" s="68"/>
      <c r="I649" s="70"/>
    </row>
    <row r="650" spans="1:10" ht="14.5" x14ac:dyDescent="0.35">
      <c r="A650" s="247">
        <v>101</v>
      </c>
      <c r="B650" s="248" t="s">
        <v>382</v>
      </c>
      <c r="C650" s="248" t="s">
        <v>326</v>
      </c>
      <c r="D650" s="248" t="s">
        <v>337</v>
      </c>
      <c r="E650" s="249" t="s">
        <v>336</v>
      </c>
      <c r="F650" s="258" t="s">
        <v>437</v>
      </c>
      <c r="G650" s="256" t="s">
        <v>352</v>
      </c>
      <c r="H650" s="251" t="s">
        <v>346</v>
      </c>
      <c r="I650" s="252" t="s">
        <v>443</v>
      </c>
      <c r="J650" s="253">
        <v>1</v>
      </c>
    </row>
    <row r="651" spans="1:10" ht="14.5" x14ac:dyDescent="0.35">
      <c r="A651" s="254"/>
      <c r="B651" s="248" t="s">
        <v>382</v>
      </c>
      <c r="C651" s="248" t="s">
        <v>326</v>
      </c>
      <c r="D651" s="248" t="s">
        <v>337</v>
      </c>
      <c r="E651" s="249" t="s">
        <v>336</v>
      </c>
      <c r="F651" s="258" t="s">
        <v>440</v>
      </c>
      <c r="G651" s="256" t="s">
        <v>352</v>
      </c>
      <c r="H651" s="251" t="s">
        <v>347</v>
      </c>
      <c r="I651" s="252" t="s">
        <v>443</v>
      </c>
      <c r="J651" s="253">
        <v>2</v>
      </c>
    </row>
    <row r="652" spans="1:10" ht="14.5" x14ac:dyDescent="0.35">
      <c r="A652" s="254"/>
      <c r="B652" s="248" t="s">
        <v>382</v>
      </c>
      <c r="C652" s="248" t="s">
        <v>326</v>
      </c>
      <c r="D652" s="248" t="s">
        <v>337</v>
      </c>
      <c r="E652" s="249" t="s">
        <v>336</v>
      </c>
      <c r="F652" s="259" t="s">
        <v>433</v>
      </c>
      <c r="G652" s="256" t="s">
        <v>353</v>
      </c>
      <c r="H652" s="251" t="s">
        <v>346</v>
      </c>
      <c r="I652" s="252" t="s">
        <v>443</v>
      </c>
      <c r="J652" s="253">
        <v>1</v>
      </c>
    </row>
    <row r="653" spans="1:10" ht="14.5" x14ac:dyDescent="0.35">
      <c r="A653" s="254"/>
      <c r="B653" s="248" t="s">
        <v>382</v>
      </c>
      <c r="C653" s="248" t="s">
        <v>326</v>
      </c>
      <c r="D653" s="248" t="s">
        <v>337</v>
      </c>
      <c r="E653" s="249" t="s">
        <v>336</v>
      </c>
      <c r="F653" s="259" t="s">
        <v>435</v>
      </c>
      <c r="G653" s="256" t="s">
        <v>353</v>
      </c>
      <c r="H653" s="251" t="s">
        <v>347</v>
      </c>
      <c r="I653" s="252" t="s">
        <v>443</v>
      </c>
      <c r="J653" s="253">
        <v>2</v>
      </c>
    </row>
    <row r="654" spans="1:10" ht="12.5" x14ac:dyDescent="0.25">
      <c r="A654" s="246"/>
      <c r="B654" s="24"/>
      <c r="C654" s="24"/>
      <c r="D654" s="24"/>
      <c r="E654" s="24"/>
      <c r="F654" s="24"/>
      <c r="G654" s="68"/>
      <c r="H654" s="68"/>
      <c r="I654" s="70"/>
    </row>
    <row r="655" spans="1:10" ht="14.5" x14ac:dyDescent="0.35">
      <c r="A655" s="247">
        <v>102</v>
      </c>
      <c r="B655" s="248" t="s">
        <v>382</v>
      </c>
      <c r="C655" s="248" t="s">
        <v>326</v>
      </c>
      <c r="D655" s="248" t="s">
        <v>337</v>
      </c>
      <c r="E655" s="249" t="s">
        <v>336</v>
      </c>
      <c r="F655" s="258" t="s">
        <v>437</v>
      </c>
      <c r="G655" s="256" t="s">
        <v>352</v>
      </c>
      <c r="H655" s="251" t="s">
        <v>346</v>
      </c>
      <c r="I655" s="252" t="s">
        <v>444</v>
      </c>
      <c r="J655" s="253">
        <v>10</v>
      </c>
    </row>
    <row r="656" spans="1:10" ht="14.5" x14ac:dyDescent="0.35">
      <c r="A656" s="254"/>
      <c r="B656" s="248" t="s">
        <v>382</v>
      </c>
      <c r="C656" s="248" t="s">
        <v>326</v>
      </c>
      <c r="D656" s="248" t="s">
        <v>337</v>
      </c>
      <c r="E656" s="249" t="s">
        <v>336</v>
      </c>
      <c r="F656" s="258" t="s">
        <v>440</v>
      </c>
      <c r="G656" s="256" t="s">
        <v>352</v>
      </c>
      <c r="H656" s="251" t="s">
        <v>347</v>
      </c>
      <c r="I656" s="252" t="s">
        <v>444</v>
      </c>
      <c r="J656" s="253">
        <v>14</v>
      </c>
    </row>
    <row r="657" spans="1:10" ht="14.5" x14ac:dyDescent="0.35">
      <c r="A657" s="254"/>
      <c r="B657" s="248" t="s">
        <v>382</v>
      </c>
      <c r="C657" s="248" t="s">
        <v>326</v>
      </c>
      <c r="D657" s="248" t="s">
        <v>337</v>
      </c>
      <c r="E657" s="249" t="s">
        <v>336</v>
      </c>
      <c r="F657" s="259" t="s">
        <v>433</v>
      </c>
      <c r="G657" s="256" t="s">
        <v>353</v>
      </c>
      <c r="H657" s="251" t="s">
        <v>346</v>
      </c>
      <c r="I657" s="252" t="s">
        <v>444</v>
      </c>
      <c r="J657" s="253">
        <v>11</v>
      </c>
    </row>
    <row r="658" spans="1:10" ht="14.5" x14ac:dyDescent="0.35">
      <c r="A658" s="254"/>
      <c r="B658" s="248" t="s">
        <v>382</v>
      </c>
      <c r="C658" s="248" t="s">
        <v>326</v>
      </c>
      <c r="D658" s="248" t="s">
        <v>337</v>
      </c>
      <c r="E658" s="249" t="s">
        <v>336</v>
      </c>
      <c r="F658" s="259" t="s">
        <v>435</v>
      </c>
      <c r="G658" s="256" t="s">
        <v>353</v>
      </c>
      <c r="H658" s="251" t="s">
        <v>347</v>
      </c>
      <c r="I658" s="252" t="s">
        <v>444</v>
      </c>
      <c r="J658" s="253">
        <v>14</v>
      </c>
    </row>
    <row r="659" spans="1:10" ht="12.5" x14ac:dyDescent="0.25">
      <c r="A659" s="246"/>
      <c r="B659" s="24"/>
      <c r="C659" s="24"/>
      <c r="D659" s="24"/>
      <c r="E659" s="24"/>
      <c r="F659" s="24"/>
      <c r="G659" s="68"/>
      <c r="H659" s="68"/>
      <c r="I659" s="70"/>
    </row>
    <row r="660" spans="1:10" ht="14.5" x14ac:dyDescent="0.35">
      <c r="A660" s="247">
        <v>103</v>
      </c>
      <c r="B660" s="248" t="s">
        <v>382</v>
      </c>
      <c r="C660" s="248" t="s">
        <v>326</v>
      </c>
      <c r="D660" s="248" t="s">
        <v>337</v>
      </c>
      <c r="E660" s="249" t="s">
        <v>336</v>
      </c>
      <c r="F660" s="258" t="s">
        <v>437</v>
      </c>
      <c r="G660" s="256" t="s">
        <v>352</v>
      </c>
      <c r="H660" s="251" t="s">
        <v>346</v>
      </c>
      <c r="I660" s="252" t="s">
        <v>447</v>
      </c>
      <c r="J660" s="253">
        <v>9</v>
      </c>
    </row>
    <row r="661" spans="1:10" ht="14.5" x14ac:dyDescent="0.35">
      <c r="A661" s="254"/>
      <c r="B661" s="248" t="s">
        <v>382</v>
      </c>
      <c r="C661" s="248" t="s">
        <v>326</v>
      </c>
      <c r="D661" s="248" t="s">
        <v>337</v>
      </c>
      <c r="E661" s="249" t="s">
        <v>336</v>
      </c>
      <c r="F661" s="258" t="s">
        <v>440</v>
      </c>
      <c r="G661" s="256" t="s">
        <v>352</v>
      </c>
      <c r="H661" s="251" t="s">
        <v>347</v>
      </c>
      <c r="I661" s="252" t="s">
        <v>447</v>
      </c>
      <c r="J661" s="253">
        <v>5</v>
      </c>
    </row>
    <row r="662" spans="1:10" ht="14.5" x14ac:dyDescent="0.35">
      <c r="A662" s="254"/>
      <c r="B662" s="248" t="s">
        <v>382</v>
      </c>
      <c r="C662" s="248" t="s">
        <v>326</v>
      </c>
      <c r="D662" s="248" t="s">
        <v>337</v>
      </c>
      <c r="E662" s="249" t="s">
        <v>336</v>
      </c>
      <c r="F662" s="259" t="s">
        <v>433</v>
      </c>
      <c r="G662" s="256" t="s">
        <v>353</v>
      </c>
      <c r="H662" s="251" t="s">
        <v>346</v>
      </c>
      <c r="I662" s="252" t="s">
        <v>447</v>
      </c>
      <c r="J662" s="253">
        <v>10</v>
      </c>
    </row>
    <row r="663" spans="1:10" ht="14.5" x14ac:dyDescent="0.35">
      <c r="A663" s="254"/>
      <c r="B663" s="248" t="s">
        <v>382</v>
      </c>
      <c r="C663" s="248" t="s">
        <v>326</v>
      </c>
      <c r="D663" s="248" t="s">
        <v>337</v>
      </c>
      <c r="E663" s="249" t="s">
        <v>336</v>
      </c>
      <c r="F663" s="259" t="s">
        <v>435</v>
      </c>
      <c r="G663" s="256" t="s">
        <v>353</v>
      </c>
      <c r="H663" s="251" t="s">
        <v>347</v>
      </c>
      <c r="I663" s="252" t="s">
        <v>447</v>
      </c>
      <c r="J663" s="253">
        <v>5</v>
      </c>
    </row>
    <row r="664" spans="1:10" ht="12.5" x14ac:dyDescent="0.25">
      <c r="A664" s="246"/>
      <c r="B664" s="24"/>
      <c r="C664" s="24"/>
      <c r="D664" s="24"/>
      <c r="E664" s="24"/>
      <c r="F664" s="24"/>
      <c r="G664" s="68"/>
      <c r="H664" s="68"/>
      <c r="I664" s="70"/>
    </row>
    <row r="665" spans="1:10" ht="14.5" x14ac:dyDescent="0.35">
      <c r="A665" s="247">
        <v>104</v>
      </c>
      <c r="B665" s="248" t="s">
        <v>382</v>
      </c>
      <c r="C665" s="248" t="s">
        <v>326</v>
      </c>
      <c r="D665" s="248" t="s">
        <v>337</v>
      </c>
      <c r="E665" s="249" t="s">
        <v>338</v>
      </c>
      <c r="F665" s="258" t="s">
        <v>437</v>
      </c>
      <c r="G665" s="256" t="s">
        <v>352</v>
      </c>
      <c r="H665" s="251" t="s">
        <v>346</v>
      </c>
      <c r="I665" s="252">
        <v>60133</v>
      </c>
      <c r="J665" s="253">
        <v>6</v>
      </c>
    </row>
    <row r="666" spans="1:10" ht="14.5" x14ac:dyDescent="0.35">
      <c r="A666" s="254"/>
      <c r="B666" s="248" t="s">
        <v>382</v>
      </c>
      <c r="C666" s="248" t="s">
        <v>326</v>
      </c>
      <c r="D666" s="248" t="s">
        <v>337</v>
      </c>
      <c r="E666" s="249" t="s">
        <v>338</v>
      </c>
      <c r="F666" s="258" t="s">
        <v>440</v>
      </c>
      <c r="G666" s="256" t="s">
        <v>352</v>
      </c>
      <c r="H666" s="251" t="s">
        <v>347</v>
      </c>
      <c r="I666" s="252">
        <v>60133</v>
      </c>
      <c r="J666" s="253">
        <v>10</v>
      </c>
    </row>
    <row r="667" spans="1:10" ht="14.5" x14ac:dyDescent="0.35">
      <c r="A667" s="254"/>
      <c r="B667" s="248" t="s">
        <v>382</v>
      </c>
      <c r="C667" s="248" t="s">
        <v>326</v>
      </c>
      <c r="D667" s="248" t="s">
        <v>337</v>
      </c>
      <c r="E667" s="249" t="s">
        <v>338</v>
      </c>
      <c r="F667" s="259" t="s">
        <v>433</v>
      </c>
      <c r="G667" s="256" t="s">
        <v>353</v>
      </c>
      <c r="H667" s="251" t="s">
        <v>346</v>
      </c>
      <c r="I667" s="252">
        <v>60133</v>
      </c>
      <c r="J667" s="253">
        <v>5</v>
      </c>
    </row>
    <row r="668" spans="1:10" ht="14.5" x14ac:dyDescent="0.35">
      <c r="A668" s="254"/>
      <c r="B668" s="248" t="s">
        <v>382</v>
      </c>
      <c r="C668" s="248" t="s">
        <v>326</v>
      </c>
      <c r="D668" s="248" t="s">
        <v>337</v>
      </c>
      <c r="E668" s="249" t="s">
        <v>338</v>
      </c>
      <c r="F668" s="259" t="s">
        <v>435</v>
      </c>
      <c r="G668" s="256" t="s">
        <v>353</v>
      </c>
      <c r="H668" s="251" t="s">
        <v>347</v>
      </c>
      <c r="I668" s="252">
        <v>60133</v>
      </c>
      <c r="J668" s="253">
        <v>10</v>
      </c>
    </row>
    <row r="669" spans="1:10" ht="12.5" x14ac:dyDescent="0.25">
      <c r="A669" s="246"/>
      <c r="B669" s="24"/>
      <c r="C669" s="24"/>
      <c r="D669" s="24"/>
      <c r="E669" s="24"/>
      <c r="F669" s="24"/>
      <c r="G669" s="68"/>
      <c r="H669" s="68"/>
      <c r="I669" s="70"/>
    </row>
    <row r="670" spans="1:10" ht="14.5" x14ac:dyDescent="0.35">
      <c r="A670" s="247">
        <v>105</v>
      </c>
      <c r="B670" s="248" t="s">
        <v>382</v>
      </c>
      <c r="C670" s="248" t="s">
        <v>326</v>
      </c>
      <c r="D670" s="248" t="s">
        <v>337</v>
      </c>
      <c r="E670" s="249" t="s">
        <v>338</v>
      </c>
      <c r="F670" s="258" t="s">
        <v>437</v>
      </c>
      <c r="G670" s="256" t="s">
        <v>352</v>
      </c>
      <c r="H670" s="251" t="s">
        <v>346</v>
      </c>
      <c r="I670" s="252">
        <v>601331</v>
      </c>
      <c r="J670" s="253">
        <v>4</v>
      </c>
    </row>
    <row r="671" spans="1:10" ht="14.5" x14ac:dyDescent="0.35">
      <c r="A671" s="254"/>
      <c r="B671" s="248" t="s">
        <v>382</v>
      </c>
      <c r="C671" s="248" t="s">
        <v>326</v>
      </c>
      <c r="D671" s="248" t="s">
        <v>337</v>
      </c>
      <c r="E671" s="249" t="s">
        <v>338</v>
      </c>
      <c r="F671" s="258" t="s">
        <v>440</v>
      </c>
      <c r="G671" s="256" t="s">
        <v>352</v>
      </c>
      <c r="H671" s="251" t="s">
        <v>347</v>
      </c>
      <c r="I671" s="252">
        <v>601331</v>
      </c>
      <c r="J671" s="253">
        <v>6</v>
      </c>
    </row>
    <row r="672" spans="1:10" ht="14.5" x14ac:dyDescent="0.35">
      <c r="A672" s="254"/>
      <c r="B672" s="248" t="s">
        <v>382</v>
      </c>
      <c r="C672" s="248" t="s">
        <v>326</v>
      </c>
      <c r="D672" s="248" t="s">
        <v>337</v>
      </c>
      <c r="E672" s="249" t="s">
        <v>338</v>
      </c>
      <c r="F672" s="259" t="s">
        <v>433</v>
      </c>
      <c r="G672" s="256" t="s">
        <v>353</v>
      </c>
      <c r="H672" s="251" t="s">
        <v>346</v>
      </c>
      <c r="I672" s="252">
        <v>601331</v>
      </c>
      <c r="J672" s="253">
        <v>4</v>
      </c>
    </row>
    <row r="673" spans="1:10" ht="14.5" x14ac:dyDescent="0.35">
      <c r="A673" s="254"/>
      <c r="B673" s="248" t="s">
        <v>382</v>
      </c>
      <c r="C673" s="248" t="s">
        <v>326</v>
      </c>
      <c r="D673" s="248" t="s">
        <v>337</v>
      </c>
      <c r="E673" s="249" t="s">
        <v>338</v>
      </c>
      <c r="F673" s="259" t="s">
        <v>435</v>
      </c>
      <c r="G673" s="256" t="s">
        <v>353</v>
      </c>
      <c r="H673" s="251" t="s">
        <v>347</v>
      </c>
      <c r="I673" s="252">
        <v>601331</v>
      </c>
      <c r="J673" s="253">
        <v>5</v>
      </c>
    </row>
    <row r="674" spans="1:10" ht="12.5" x14ac:dyDescent="0.25">
      <c r="A674" s="246"/>
      <c r="B674" s="24"/>
      <c r="C674" s="24"/>
      <c r="D674" s="24"/>
      <c r="E674" s="24"/>
      <c r="F674" s="24"/>
      <c r="G674" s="68"/>
      <c r="H674" s="68"/>
      <c r="I674" s="70"/>
    </row>
    <row r="675" spans="1:10" ht="14.5" x14ac:dyDescent="0.35">
      <c r="A675" s="247">
        <v>106</v>
      </c>
      <c r="B675" s="248" t="s">
        <v>382</v>
      </c>
      <c r="C675" s="248" t="s">
        <v>326</v>
      </c>
      <c r="D675" s="248" t="s">
        <v>337</v>
      </c>
      <c r="E675" s="249" t="s">
        <v>338</v>
      </c>
      <c r="F675" s="258" t="s">
        <v>437</v>
      </c>
      <c r="G675" s="256" t="s">
        <v>352</v>
      </c>
      <c r="H675" s="251" t="s">
        <v>346</v>
      </c>
      <c r="I675" s="252">
        <v>601448</v>
      </c>
      <c r="J675" s="253">
        <v>1</v>
      </c>
    </row>
    <row r="676" spans="1:10" ht="14.5" x14ac:dyDescent="0.35">
      <c r="A676" s="254"/>
      <c r="B676" s="248" t="s">
        <v>382</v>
      </c>
      <c r="C676" s="248" t="s">
        <v>326</v>
      </c>
      <c r="D676" s="248" t="s">
        <v>337</v>
      </c>
      <c r="E676" s="249" t="s">
        <v>338</v>
      </c>
      <c r="F676" s="258" t="s">
        <v>440</v>
      </c>
      <c r="G676" s="256" t="s">
        <v>352</v>
      </c>
      <c r="H676" s="251" t="s">
        <v>347</v>
      </c>
      <c r="I676" s="252">
        <v>601448</v>
      </c>
      <c r="J676" s="253">
        <v>2</v>
      </c>
    </row>
    <row r="677" spans="1:10" ht="14.5" x14ac:dyDescent="0.35">
      <c r="A677" s="254"/>
      <c r="B677" s="248" t="s">
        <v>382</v>
      </c>
      <c r="C677" s="248" t="s">
        <v>326</v>
      </c>
      <c r="D677" s="248" t="s">
        <v>337</v>
      </c>
      <c r="E677" s="249" t="s">
        <v>338</v>
      </c>
      <c r="F677" s="259" t="s">
        <v>433</v>
      </c>
      <c r="G677" s="256" t="s">
        <v>353</v>
      </c>
      <c r="H677" s="251" t="s">
        <v>346</v>
      </c>
      <c r="I677" s="252">
        <v>601448</v>
      </c>
      <c r="J677" s="253">
        <v>1</v>
      </c>
    </row>
    <row r="678" spans="1:10" ht="14.5" x14ac:dyDescent="0.35">
      <c r="A678" s="254"/>
      <c r="B678" s="248" t="s">
        <v>382</v>
      </c>
      <c r="C678" s="248" t="s">
        <v>326</v>
      </c>
      <c r="D678" s="248" t="s">
        <v>337</v>
      </c>
      <c r="E678" s="249" t="s">
        <v>338</v>
      </c>
      <c r="F678" s="259" t="s">
        <v>435</v>
      </c>
      <c r="G678" s="256" t="s">
        <v>353</v>
      </c>
      <c r="H678" s="251" t="s">
        <v>347</v>
      </c>
      <c r="I678" s="252">
        <v>601448</v>
      </c>
      <c r="J678" s="253">
        <v>1</v>
      </c>
    </row>
    <row r="679" spans="1:10" ht="12.5" x14ac:dyDescent="0.25">
      <c r="A679" s="246"/>
      <c r="B679" s="24"/>
      <c r="C679" s="24"/>
      <c r="D679" s="24"/>
      <c r="E679" s="24"/>
      <c r="F679" s="24"/>
      <c r="G679" s="68"/>
      <c r="H679" s="68"/>
      <c r="I679" s="70"/>
    </row>
    <row r="680" spans="1:10" ht="14.5" x14ac:dyDescent="0.35">
      <c r="A680" s="247">
        <v>107</v>
      </c>
      <c r="B680" s="248" t="s">
        <v>382</v>
      </c>
      <c r="C680" s="248" t="s">
        <v>326</v>
      </c>
      <c r="D680" s="248" t="s">
        <v>337</v>
      </c>
      <c r="E680" s="249" t="s">
        <v>338</v>
      </c>
      <c r="F680" s="258" t="s">
        <v>437</v>
      </c>
      <c r="G680" s="256" t="s">
        <v>352</v>
      </c>
      <c r="H680" s="251" t="s">
        <v>346</v>
      </c>
      <c r="I680" s="252">
        <v>601514</v>
      </c>
      <c r="J680" s="253">
        <v>2</v>
      </c>
    </row>
    <row r="681" spans="1:10" ht="14.5" x14ac:dyDescent="0.35">
      <c r="A681" s="254"/>
      <c r="B681" s="248" t="s">
        <v>382</v>
      </c>
      <c r="C681" s="248" t="s">
        <v>326</v>
      </c>
      <c r="D681" s="248" t="s">
        <v>337</v>
      </c>
      <c r="E681" s="249" t="s">
        <v>338</v>
      </c>
      <c r="F681" s="258" t="s">
        <v>440</v>
      </c>
      <c r="G681" s="256" t="s">
        <v>352</v>
      </c>
      <c r="H681" s="251" t="s">
        <v>347</v>
      </c>
      <c r="I681" s="252">
        <v>601514</v>
      </c>
      <c r="J681" s="253">
        <v>2</v>
      </c>
    </row>
    <row r="682" spans="1:10" ht="14.5" x14ac:dyDescent="0.35">
      <c r="A682" s="254"/>
      <c r="B682" s="248" t="s">
        <v>382</v>
      </c>
      <c r="C682" s="248" t="s">
        <v>326</v>
      </c>
      <c r="D682" s="248" t="s">
        <v>337</v>
      </c>
      <c r="E682" s="249" t="s">
        <v>338</v>
      </c>
      <c r="F682" s="259" t="s">
        <v>433</v>
      </c>
      <c r="G682" s="256" t="s">
        <v>353</v>
      </c>
      <c r="H682" s="251" t="s">
        <v>346</v>
      </c>
      <c r="I682" s="252">
        <v>601514</v>
      </c>
      <c r="J682" s="253">
        <v>1</v>
      </c>
    </row>
    <row r="683" spans="1:10" ht="14.5" x14ac:dyDescent="0.35">
      <c r="A683" s="254"/>
      <c r="B683" s="248" t="s">
        <v>382</v>
      </c>
      <c r="C683" s="248" t="s">
        <v>326</v>
      </c>
      <c r="D683" s="248" t="s">
        <v>337</v>
      </c>
      <c r="E683" s="249" t="s">
        <v>338</v>
      </c>
      <c r="F683" s="259" t="s">
        <v>435</v>
      </c>
      <c r="G683" s="256" t="s">
        <v>353</v>
      </c>
      <c r="H683" s="251" t="s">
        <v>347</v>
      </c>
      <c r="I683" s="252">
        <v>601514</v>
      </c>
      <c r="J683" s="253">
        <v>1</v>
      </c>
    </row>
    <row r="684" spans="1:10" ht="12.5" x14ac:dyDescent="0.25">
      <c r="A684" s="246"/>
      <c r="B684" s="24"/>
      <c r="C684" s="24"/>
      <c r="D684" s="24"/>
      <c r="E684" s="24"/>
      <c r="F684" s="24"/>
      <c r="G684" s="68"/>
      <c r="H684" s="68"/>
      <c r="I684" s="70"/>
    </row>
    <row r="685" spans="1:10" ht="14.5" x14ac:dyDescent="0.35">
      <c r="A685" s="247">
        <v>108</v>
      </c>
      <c r="B685" s="248" t="s">
        <v>382</v>
      </c>
      <c r="C685" s="248" t="s">
        <v>326</v>
      </c>
      <c r="D685" s="248" t="s">
        <v>337</v>
      </c>
      <c r="E685" s="249" t="s">
        <v>338</v>
      </c>
      <c r="F685" s="258" t="s">
        <v>437</v>
      </c>
      <c r="G685" s="256" t="s">
        <v>352</v>
      </c>
      <c r="H685" s="251" t="s">
        <v>346</v>
      </c>
      <c r="I685" s="252">
        <v>601614</v>
      </c>
      <c r="J685" s="253">
        <v>1</v>
      </c>
    </row>
    <row r="686" spans="1:10" ht="14.5" x14ac:dyDescent="0.35">
      <c r="A686" s="254"/>
      <c r="B686" s="248" t="s">
        <v>382</v>
      </c>
      <c r="C686" s="248" t="s">
        <v>326</v>
      </c>
      <c r="D686" s="248" t="s">
        <v>337</v>
      </c>
      <c r="E686" s="249" t="s">
        <v>338</v>
      </c>
      <c r="F686" s="258" t="s">
        <v>440</v>
      </c>
      <c r="G686" s="256" t="s">
        <v>352</v>
      </c>
      <c r="H686" s="251" t="s">
        <v>347</v>
      </c>
      <c r="I686" s="252">
        <v>601614</v>
      </c>
      <c r="J686" s="253">
        <v>0</v>
      </c>
    </row>
    <row r="687" spans="1:10" ht="14.5" x14ac:dyDescent="0.35">
      <c r="A687" s="254"/>
      <c r="B687" s="248" t="s">
        <v>382</v>
      </c>
      <c r="C687" s="248" t="s">
        <v>326</v>
      </c>
      <c r="D687" s="248" t="s">
        <v>337</v>
      </c>
      <c r="E687" s="249" t="s">
        <v>338</v>
      </c>
      <c r="F687" s="259" t="s">
        <v>433</v>
      </c>
      <c r="G687" s="256" t="s">
        <v>353</v>
      </c>
      <c r="H687" s="251" t="s">
        <v>346</v>
      </c>
      <c r="I687" s="252">
        <v>601614</v>
      </c>
      <c r="J687" s="253">
        <v>0</v>
      </c>
    </row>
    <row r="688" spans="1:10" ht="14.5" x14ac:dyDescent="0.35">
      <c r="A688" s="254"/>
      <c r="B688" s="248" t="s">
        <v>382</v>
      </c>
      <c r="C688" s="248" t="s">
        <v>326</v>
      </c>
      <c r="D688" s="248" t="s">
        <v>337</v>
      </c>
      <c r="E688" s="249" t="s">
        <v>338</v>
      </c>
      <c r="F688" s="259" t="s">
        <v>435</v>
      </c>
      <c r="G688" s="256" t="s">
        <v>353</v>
      </c>
      <c r="H688" s="251" t="s">
        <v>347</v>
      </c>
      <c r="I688" s="252">
        <v>601614</v>
      </c>
      <c r="J688" s="253">
        <v>0</v>
      </c>
    </row>
    <row r="689" spans="1:10" ht="12.5" x14ac:dyDescent="0.25">
      <c r="A689" s="246"/>
      <c r="B689" s="24"/>
      <c r="C689" s="24"/>
      <c r="D689" s="24"/>
      <c r="E689" s="24"/>
      <c r="F689" s="24"/>
      <c r="G689" s="68"/>
      <c r="H689" s="68"/>
      <c r="I689" s="70"/>
    </row>
    <row r="690" spans="1:10" ht="14.5" x14ac:dyDescent="0.35">
      <c r="A690" s="247">
        <v>109</v>
      </c>
      <c r="B690" s="248" t="s">
        <v>382</v>
      </c>
      <c r="C690" s="248" t="s">
        <v>326</v>
      </c>
      <c r="D690" s="248" t="s">
        <v>337</v>
      </c>
      <c r="E690" s="249" t="s">
        <v>338</v>
      </c>
      <c r="F690" s="258" t="s">
        <v>437</v>
      </c>
      <c r="G690" s="256" t="s">
        <v>352</v>
      </c>
      <c r="H690" s="251" t="s">
        <v>346</v>
      </c>
      <c r="I690" s="252">
        <v>6010231</v>
      </c>
      <c r="J690" s="253">
        <v>6</v>
      </c>
    </row>
    <row r="691" spans="1:10" ht="14.5" x14ac:dyDescent="0.35">
      <c r="A691" s="254"/>
      <c r="B691" s="248" t="s">
        <v>382</v>
      </c>
      <c r="C691" s="248" t="s">
        <v>326</v>
      </c>
      <c r="D691" s="248" t="s">
        <v>337</v>
      </c>
      <c r="E691" s="249" t="s">
        <v>338</v>
      </c>
      <c r="F691" s="258" t="s">
        <v>440</v>
      </c>
      <c r="G691" s="256" t="s">
        <v>352</v>
      </c>
      <c r="H691" s="251" t="s">
        <v>347</v>
      </c>
      <c r="I691" s="252">
        <v>6010231</v>
      </c>
      <c r="J691" s="253">
        <v>9</v>
      </c>
    </row>
    <row r="692" spans="1:10" ht="14.5" x14ac:dyDescent="0.35">
      <c r="A692" s="254"/>
      <c r="B692" s="248" t="s">
        <v>382</v>
      </c>
      <c r="C692" s="248" t="s">
        <v>326</v>
      </c>
      <c r="D692" s="248" t="s">
        <v>337</v>
      </c>
      <c r="E692" s="249" t="s">
        <v>338</v>
      </c>
      <c r="F692" s="259" t="s">
        <v>433</v>
      </c>
      <c r="G692" s="256" t="s">
        <v>353</v>
      </c>
      <c r="H692" s="251" t="s">
        <v>346</v>
      </c>
      <c r="I692" s="252">
        <v>6010231</v>
      </c>
      <c r="J692" s="253">
        <v>6</v>
      </c>
    </row>
    <row r="693" spans="1:10" ht="14.5" x14ac:dyDescent="0.35">
      <c r="A693" s="254"/>
      <c r="B693" s="248" t="s">
        <v>382</v>
      </c>
      <c r="C693" s="248" t="s">
        <v>326</v>
      </c>
      <c r="D693" s="248" t="s">
        <v>337</v>
      </c>
      <c r="E693" s="249" t="s">
        <v>338</v>
      </c>
      <c r="F693" s="259" t="s">
        <v>435</v>
      </c>
      <c r="G693" s="256" t="s">
        <v>353</v>
      </c>
      <c r="H693" s="251" t="s">
        <v>347</v>
      </c>
      <c r="I693" s="252">
        <v>6010231</v>
      </c>
      <c r="J693" s="253">
        <v>8</v>
      </c>
    </row>
    <row r="694" spans="1:10" ht="12.5" x14ac:dyDescent="0.25">
      <c r="A694" s="246"/>
      <c r="B694" s="24"/>
      <c r="C694" s="24"/>
      <c r="D694" s="24"/>
      <c r="E694" s="24"/>
      <c r="F694" s="24"/>
      <c r="G694" s="68"/>
      <c r="H694" s="68"/>
      <c r="I694" s="70"/>
    </row>
    <row r="695" spans="1:10" ht="14.5" x14ac:dyDescent="0.35">
      <c r="A695" s="247">
        <v>110</v>
      </c>
      <c r="B695" s="248" t="s">
        <v>382</v>
      </c>
      <c r="C695" s="248" t="s">
        <v>326</v>
      </c>
      <c r="D695" s="248" t="s">
        <v>337</v>
      </c>
      <c r="E695" s="249" t="s">
        <v>338</v>
      </c>
      <c r="F695" s="258" t="s">
        <v>437</v>
      </c>
      <c r="G695" s="256" t="s">
        <v>352</v>
      </c>
      <c r="H695" s="251" t="s">
        <v>346</v>
      </c>
      <c r="I695" s="252" t="s">
        <v>160</v>
      </c>
      <c r="J695" s="253">
        <v>2</v>
      </c>
    </row>
    <row r="696" spans="1:10" ht="14.5" x14ac:dyDescent="0.35">
      <c r="A696" s="254"/>
      <c r="B696" s="248" t="s">
        <v>382</v>
      </c>
      <c r="C696" s="248" t="s">
        <v>326</v>
      </c>
      <c r="D696" s="248" t="s">
        <v>337</v>
      </c>
      <c r="E696" s="249" t="s">
        <v>338</v>
      </c>
      <c r="F696" s="258" t="s">
        <v>440</v>
      </c>
      <c r="G696" s="256" t="s">
        <v>352</v>
      </c>
      <c r="H696" s="251" t="s">
        <v>347</v>
      </c>
      <c r="I696" s="252" t="s">
        <v>160</v>
      </c>
      <c r="J696" s="253">
        <v>1</v>
      </c>
    </row>
    <row r="697" spans="1:10" ht="14.5" x14ac:dyDescent="0.35">
      <c r="A697" s="254"/>
      <c r="B697" s="248" t="s">
        <v>382</v>
      </c>
      <c r="C697" s="248" t="s">
        <v>326</v>
      </c>
      <c r="D697" s="248" t="s">
        <v>337</v>
      </c>
      <c r="E697" s="249" t="s">
        <v>338</v>
      </c>
      <c r="F697" s="259" t="s">
        <v>433</v>
      </c>
      <c r="G697" s="256" t="s">
        <v>353</v>
      </c>
      <c r="H697" s="251" t="s">
        <v>346</v>
      </c>
      <c r="I697" s="252" t="s">
        <v>160</v>
      </c>
      <c r="J697" s="253">
        <v>4</v>
      </c>
    </row>
    <row r="698" spans="1:10" ht="14.5" x14ac:dyDescent="0.35">
      <c r="A698" s="254"/>
      <c r="B698" s="248" t="s">
        <v>382</v>
      </c>
      <c r="C698" s="248" t="s">
        <v>326</v>
      </c>
      <c r="D698" s="248" t="s">
        <v>337</v>
      </c>
      <c r="E698" s="249" t="s">
        <v>338</v>
      </c>
      <c r="F698" s="259" t="s">
        <v>435</v>
      </c>
      <c r="G698" s="256" t="s">
        <v>353</v>
      </c>
      <c r="H698" s="251" t="s">
        <v>347</v>
      </c>
      <c r="I698" s="252" t="s">
        <v>160</v>
      </c>
      <c r="J698" s="253">
        <v>1</v>
      </c>
    </row>
    <row r="699" spans="1:10" ht="12.5" x14ac:dyDescent="0.25">
      <c r="A699" s="246"/>
      <c r="B699" s="24"/>
      <c r="C699" s="24"/>
      <c r="D699" s="24"/>
      <c r="E699" s="24"/>
      <c r="F699" s="24"/>
      <c r="G699" s="68"/>
      <c r="H699" s="68"/>
      <c r="I699" s="70"/>
    </row>
    <row r="700" spans="1:10" ht="14.5" x14ac:dyDescent="0.35">
      <c r="A700" s="247">
        <v>111</v>
      </c>
      <c r="B700" s="248" t="s">
        <v>382</v>
      </c>
      <c r="C700" s="248" t="s">
        <v>326</v>
      </c>
      <c r="D700" s="248" t="s">
        <v>337</v>
      </c>
      <c r="E700" s="249" t="s">
        <v>338</v>
      </c>
      <c r="F700" s="258" t="s">
        <v>437</v>
      </c>
      <c r="G700" s="256" t="s">
        <v>352</v>
      </c>
      <c r="H700" s="251" t="s">
        <v>346</v>
      </c>
      <c r="I700" s="252">
        <v>14045</v>
      </c>
      <c r="J700" s="253">
        <v>1</v>
      </c>
    </row>
    <row r="701" spans="1:10" ht="14.5" x14ac:dyDescent="0.35">
      <c r="A701" s="254"/>
      <c r="B701" s="248" t="s">
        <v>382</v>
      </c>
      <c r="C701" s="248" t="s">
        <v>326</v>
      </c>
      <c r="D701" s="248" t="s">
        <v>337</v>
      </c>
      <c r="E701" s="249" t="s">
        <v>338</v>
      </c>
      <c r="F701" s="258" t="s">
        <v>440</v>
      </c>
      <c r="G701" s="256" t="s">
        <v>352</v>
      </c>
      <c r="H701" s="251" t="s">
        <v>347</v>
      </c>
      <c r="I701" s="252">
        <v>14045</v>
      </c>
      <c r="J701" s="253">
        <v>0</v>
      </c>
    </row>
    <row r="702" spans="1:10" ht="14.5" x14ac:dyDescent="0.35">
      <c r="A702" s="254"/>
      <c r="B702" s="248" t="s">
        <v>382</v>
      </c>
      <c r="C702" s="248" t="s">
        <v>326</v>
      </c>
      <c r="D702" s="248" t="s">
        <v>337</v>
      </c>
      <c r="E702" s="249" t="s">
        <v>338</v>
      </c>
      <c r="F702" s="259" t="s">
        <v>433</v>
      </c>
      <c r="G702" s="256" t="s">
        <v>353</v>
      </c>
      <c r="H702" s="251" t="s">
        <v>346</v>
      </c>
      <c r="I702" s="252">
        <v>14045</v>
      </c>
      <c r="J702" s="253">
        <v>1</v>
      </c>
    </row>
    <row r="703" spans="1:10" ht="14.5" x14ac:dyDescent="0.35">
      <c r="A703" s="254"/>
      <c r="B703" s="248" t="s">
        <v>382</v>
      </c>
      <c r="C703" s="248" t="s">
        <v>326</v>
      </c>
      <c r="D703" s="248" t="s">
        <v>337</v>
      </c>
      <c r="E703" s="249" t="s">
        <v>338</v>
      </c>
      <c r="F703" s="259" t="s">
        <v>435</v>
      </c>
      <c r="G703" s="256" t="s">
        <v>353</v>
      </c>
      <c r="H703" s="251" t="s">
        <v>347</v>
      </c>
      <c r="I703" s="252">
        <v>14045</v>
      </c>
      <c r="J703" s="253">
        <v>0</v>
      </c>
    </row>
    <row r="704" spans="1:10" ht="12.5" x14ac:dyDescent="0.25">
      <c r="A704" s="246"/>
      <c r="B704" s="24"/>
      <c r="C704" s="24"/>
      <c r="D704" s="24"/>
      <c r="E704" s="24"/>
      <c r="F704" s="24"/>
      <c r="G704" s="68"/>
      <c r="H704" s="68"/>
      <c r="I704" s="70"/>
    </row>
    <row r="705" spans="1:10" ht="14.5" x14ac:dyDescent="0.35">
      <c r="A705" s="247">
        <v>112</v>
      </c>
      <c r="B705" s="248" t="s">
        <v>382</v>
      </c>
      <c r="C705" s="248" t="s">
        <v>326</v>
      </c>
      <c r="D705" s="248" t="s">
        <v>337</v>
      </c>
      <c r="E705" s="249" t="s">
        <v>338</v>
      </c>
      <c r="F705" s="258" t="s">
        <v>437</v>
      </c>
      <c r="G705" s="256" t="s">
        <v>352</v>
      </c>
      <c r="H705" s="251" t="s">
        <v>346</v>
      </c>
      <c r="I705" s="252">
        <v>14141</v>
      </c>
      <c r="J705" s="253">
        <v>1</v>
      </c>
    </row>
    <row r="706" spans="1:10" ht="14.5" x14ac:dyDescent="0.35">
      <c r="A706" s="254"/>
      <c r="B706" s="248" t="s">
        <v>382</v>
      </c>
      <c r="C706" s="248" t="s">
        <v>326</v>
      </c>
      <c r="D706" s="248" t="s">
        <v>337</v>
      </c>
      <c r="E706" s="249" t="s">
        <v>338</v>
      </c>
      <c r="F706" s="258" t="s">
        <v>440</v>
      </c>
      <c r="G706" s="256" t="s">
        <v>352</v>
      </c>
      <c r="H706" s="251" t="s">
        <v>347</v>
      </c>
      <c r="I706" s="252">
        <v>14141</v>
      </c>
      <c r="J706" s="253">
        <v>0</v>
      </c>
    </row>
    <row r="707" spans="1:10" ht="14.5" x14ac:dyDescent="0.35">
      <c r="A707" s="254"/>
      <c r="B707" s="248" t="s">
        <v>382</v>
      </c>
      <c r="C707" s="248" t="s">
        <v>326</v>
      </c>
      <c r="D707" s="248" t="s">
        <v>337</v>
      </c>
      <c r="E707" s="249" t="s">
        <v>338</v>
      </c>
      <c r="F707" s="259" t="s">
        <v>433</v>
      </c>
      <c r="G707" s="256" t="s">
        <v>353</v>
      </c>
      <c r="H707" s="251" t="s">
        <v>346</v>
      </c>
      <c r="I707" s="252">
        <v>14141</v>
      </c>
      <c r="J707" s="253">
        <v>1</v>
      </c>
    </row>
    <row r="708" spans="1:10" ht="14.5" x14ac:dyDescent="0.35">
      <c r="A708" s="254"/>
      <c r="B708" s="248" t="s">
        <v>382</v>
      </c>
      <c r="C708" s="248" t="s">
        <v>326</v>
      </c>
      <c r="D708" s="248" t="s">
        <v>337</v>
      </c>
      <c r="E708" s="249" t="s">
        <v>338</v>
      </c>
      <c r="F708" s="259" t="s">
        <v>435</v>
      </c>
      <c r="G708" s="256" t="s">
        <v>353</v>
      </c>
      <c r="H708" s="251" t="s">
        <v>347</v>
      </c>
      <c r="I708" s="252">
        <v>14141</v>
      </c>
      <c r="J708" s="253">
        <v>0</v>
      </c>
    </row>
    <row r="709" spans="1:10" ht="12.5" x14ac:dyDescent="0.25">
      <c r="A709" s="246"/>
      <c r="B709" s="24"/>
      <c r="C709" s="24"/>
      <c r="D709" s="24"/>
      <c r="E709" s="24"/>
      <c r="F709" s="24"/>
      <c r="G709" s="68"/>
      <c r="H709" s="68"/>
      <c r="I709" s="70"/>
    </row>
    <row r="710" spans="1:10" ht="14.5" x14ac:dyDescent="0.35">
      <c r="A710" s="247">
        <v>113</v>
      </c>
      <c r="B710" s="248" t="s">
        <v>382</v>
      </c>
      <c r="C710" s="248" t="s">
        <v>326</v>
      </c>
      <c r="D710" s="248" t="s">
        <v>337</v>
      </c>
      <c r="E710" s="249" t="s">
        <v>338</v>
      </c>
      <c r="F710" s="258" t="s">
        <v>437</v>
      </c>
      <c r="G710" s="256" t="s">
        <v>352</v>
      </c>
      <c r="H710" s="251" t="s">
        <v>346</v>
      </c>
      <c r="I710" s="252">
        <v>14894</v>
      </c>
      <c r="J710" s="253">
        <v>0</v>
      </c>
    </row>
    <row r="711" spans="1:10" ht="14.5" x14ac:dyDescent="0.35">
      <c r="A711" s="254"/>
      <c r="B711" s="248" t="s">
        <v>382</v>
      </c>
      <c r="C711" s="248" t="s">
        <v>326</v>
      </c>
      <c r="D711" s="248" t="s">
        <v>337</v>
      </c>
      <c r="E711" s="249" t="s">
        <v>338</v>
      </c>
      <c r="F711" s="258" t="s">
        <v>440</v>
      </c>
      <c r="G711" s="256" t="s">
        <v>352</v>
      </c>
      <c r="H711" s="251" t="s">
        <v>347</v>
      </c>
      <c r="I711" s="252">
        <v>14894</v>
      </c>
      <c r="J711" s="253">
        <v>0</v>
      </c>
    </row>
    <row r="712" spans="1:10" ht="14.5" x14ac:dyDescent="0.35">
      <c r="A712" s="254"/>
      <c r="B712" s="248" t="s">
        <v>382</v>
      </c>
      <c r="C712" s="248" t="s">
        <v>326</v>
      </c>
      <c r="D712" s="248" t="s">
        <v>337</v>
      </c>
      <c r="E712" s="249" t="s">
        <v>338</v>
      </c>
      <c r="F712" s="259" t="s">
        <v>433</v>
      </c>
      <c r="G712" s="256" t="s">
        <v>353</v>
      </c>
      <c r="H712" s="251" t="s">
        <v>346</v>
      </c>
      <c r="I712" s="252">
        <v>14894</v>
      </c>
      <c r="J712" s="253">
        <v>0</v>
      </c>
    </row>
    <row r="713" spans="1:10" ht="14.5" x14ac:dyDescent="0.35">
      <c r="A713" s="254"/>
      <c r="B713" s="248" t="s">
        <v>382</v>
      </c>
      <c r="C713" s="248" t="s">
        <v>326</v>
      </c>
      <c r="D713" s="248" t="s">
        <v>337</v>
      </c>
      <c r="E713" s="249" t="s">
        <v>338</v>
      </c>
      <c r="F713" s="259" t="s">
        <v>435</v>
      </c>
      <c r="G713" s="256" t="s">
        <v>353</v>
      </c>
      <c r="H713" s="251" t="s">
        <v>347</v>
      </c>
      <c r="I713" s="252">
        <v>14894</v>
      </c>
      <c r="J713" s="253">
        <v>0</v>
      </c>
    </row>
    <row r="714" spans="1:10" ht="12.5" x14ac:dyDescent="0.25">
      <c r="A714" s="246"/>
      <c r="B714" s="24"/>
      <c r="C714" s="24"/>
      <c r="D714" s="24"/>
      <c r="E714" s="24"/>
      <c r="F714" s="24"/>
      <c r="G714" s="68"/>
      <c r="H714" s="68"/>
      <c r="I714" s="70"/>
    </row>
    <row r="715" spans="1:10" ht="14.5" x14ac:dyDescent="0.35">
      <c r="A715" s="247">
        <v>114</v>
      </c>
      <c r="B715" s="248" t="s">
        <v>382</v>
      </c>
      <c r="C715" s="248" t="s">
        <v>326</v>
      </c>
      <c r="D715" s="248" t="s">
        <v>337</v>
      </c>
      <c r="E715" s="249" t="s">
        <v>338</v>
      </c>
      <c r="F715" s="258" t="s">
        <v>437</v>
      </c>
      <c r="G715" s="256" t="s">
        <v>352</v>
      </c>
      <c r="H715" s="251" t="s">
        <v>346</v>
      </c>
      <c r="I715" s="252">
        <v>14975</v>
      </c>
      <c r="J715" s="253">
        <v>2</v>
      </c>
    </row>
    <row r="716" spans="1:10" ht="14.5" x14ac:dyDescent="0.35">
      <c r="A716" s="254"/>
      <c r="B716" s="248" t="s">
        <v>382</v>
      </c>
      <c r="C716" s="248" t="s">
        <v>326</v>
      </c>
      <c r="D716" s="248" t="s">
        <v>337</v>
      </c>
      <c r="E716" s="249" t="s">
        <v>338</v>
      </c>
      <c r="F716" s="258" t="s">
        <v>440</v>
      </c>
      <c r="G716" s="256" t="s">
        <v>352</v>
      </c>
      <c r="H716" s="251" t="s">
        <v>347</v>
      </c>
      <c r="I716" s="252">
        <v>14975</v>
      </c>
      <c r="J716" s="253">
        <v>3</v>
      </c>
    </row>
    <row r="717" spans="1:10" ht="14.5" x14ac:dyDescent="0.35">
      <c r="A717" s="254"/>
      <c r="B717" s="248" t="s">
        <v>382</v>
      </c>
      <c r="C717" s="248" t="s">
        <v>326</v>
      </c>
      <c r="D717" s="248" t="s">
        <v>337</v>
      </c>
      <c r="E717" s="249" t="s">
        <v>338</v>
      </c>
      <c r="F717" s="259" t="s">
        <v>433</v>
      </c>
      <c r="G717" s="256" t="s">
        <v>353</v>
      </c>
      <c r="H717" s="251" t="s">
        <v>346</v>
      </c>
      <c r="I717" s="252">
        <v>14975</v>
      </c>
      <c r="J717" s="253">
        <v>2</v>
      </c>
    </row>
    <row r="718" spans="1:10" ht="14.5" x14ac:dyDescent="0.35">
      <c r="A718" s="254"/>
      <c r="B718" s="248" t="s">
        <v>382</v>
      </c>
      <c r="C718" s="248" t="s">
        <v>326</v>
      </c>
      <c r="D718" s="248" t="s">
        <v>337</v>
      </c>
      <c r="E718" s="249" t="s">
        <v>338</v>
      </c>
      <c r="F718" s="259" t="s">
        <v>435</v>
      </c>
      <c r="G718" s="256" t="s">
        <v>353</v>
      </c>
      <c r="H718" s="251" t="s">
        <v>347</v>
      </c>
      <c r="I718" s="252">
        <v>14975</v>
      </c>
      <c r="J718" s="253">
        <v>3</v>
      </c>
    </row>
    <row r="719" spans="1:10" ht="12.5" x14ac:dyDescent="0.25">
      <c r="A719" s="246"/>
      <c r="B719" s="24"/>
      <c r="C719" s="24"/>
      <c r="D719" s="24"/>
      <c r="E719" s="24"/>
      <c r="F719" s="24"/>
      <c r="G719" s="68"/>
      <c r="H719" s="68"/>
      <c r="I719" s="70"/>
    </row>
    <row r="720" spans="1:10" ht="14.5" x14ac:dyDescent="0.35">
      <c r="A720" s="247">
        <v>115</v>
      </c>
      <c r="B720" s="248" t="s">
        <v>382</v>
      </c>
      <c r="C720" s="248" t="s">
        <v>326</v>
      </c>
      <c r="D720" s="248" t="s">
        <v>337</v>
      </c>
      <c r="E720" s="249" t="s">
        <v>338</v>
      </c>
      <c r="F720" s="258" t="s">
        <v>437</v>
      </c>
      <c r="G720" s="256" t="s">
        <v>352</v>
      </c>
      <c r="H720" s="251" t="s">
        <v>346</v>
      </c>
      <c r="I720" s="252">
        <v>15219</v>
      </c>
      <c r="J720" s="253">
        <v>0</v>
      </c>
    </row>
    <row r="721" spans="1:10" ht="14.5" x14ac:dyDescent="0.35">
      <c r="A721" s="254"/>
      <c r="B721" s="248" t="s">
        <v>382</v>
      </c>
      <c r="C721" s="248" t="s">
        <v>326</v>
      </c>
      <c r="D721" s="248" t="s">
        <v>337</v>
      </c>
      <c r="E721" s="249" t="s">
        <v>338</v>
      </c>
      <c r="F721" s="258" t="s">
        <v>440</v>
      </c>
      <c r="G721" s="256" t="s">
        <v>352</v>
      </c>
      <c r="H721" s="251" t="s">
        <v>347</v>
      </c>
      <c r="I721" s="252">
        <v>15219</v>
      </c>
      <c r="J721" s="253">
        <v>1</v>
      </c>
    </row>
    <row r="722" spans="1:10" ht="14.5" x14ac:dyDescent="0.35">
      <c r="A722" s="254"/>
      <c r="B722" s="248" t="s">
        <v>382</v>
      </c>
      <c r="C722" s="248" t="s">
        <v>326</v>
      </c>
      <c r="D722" s="248" t="s">
        <v>337</v>
      </c>
      <c r="E722" s="249" t="s">
        <v>338</v>
      </c>
      <c r="F722" s="259" t="s">
        <v>433</v>
      </c>
      <c r="G722" s="256" t="s">
        <v>353</v>
      </c>
      <c r="H722" s="251" t="s">
        <v>346</v>
      </c>
      <c r="I722" s="252">
        <v>15219</v>
      </c>
      <c r="J722" s="253">
        <v>0</v>
      </c>
    </row>
    <row r="723" spans="1:10" ht="14.5" x14ac:dyDescent="0.35">
      <c r="A723" s="254"/>
      <c r="B723" s="248" t="s">
        <v>382</v>
      </c>
      <c r="C723" s="248" t="s">
        <v>326</v>
      </c>
      <c r="D723" s="248" t="s">
        <v>337</v>
      </c>
      <c r="E723" s="249" t="s">
        <v>338</v>
      </c>
      <c r="F723" s="259" t="s">
        <v>435</v>
      </c>
      <c r="G723" s="256" t="s">
        <v>353</v>
      </c>
      <c r="H723" s="251" t="s">
        <v>347</v>
      </c>
      <c r="I723" s="252">
        <v>15219</v>
      </c>
      <c r="J723" s="253">
        <v>1</v>
      </c>
    </row>
    <row r="724" spans="1:10" ht="12.5" x14ac:dyDescent="0.25">
      <c r="A724" s="246"/>
      <c r="B724" s="24"/>
      <c r="C724" s="24"/>
      <c r="D724" s="24"/>
      <c r="E724" s="24"/>
      <c r="F724" s="24"/>
      <c r="G724" s="68"/>
      <c r="H724" s="68"/>
      <c r="I724" s="70"/>
    </row>
    <row r="725" spans="1:10" ht="14.5" x14ac:dyDescent="0.35">
      <c r="A725" s="247">
        <v>116</v>
      </c>
      <c r="B725" s="248" t="s">
        <v>382</v>
      </c>
      <c r="C725" s="248" t="s">
        <v>326</v>
      </c>
      <c r="D725" s="248" t="s">
        <v>337</v>
      </c>
      <c r="E725" s="249" t="s">
        <v>338</v>
      </c>
      <c r="F725" s="258" t="s">
        <v>437</v>
      </c>
      <c r="G725" s="256" t="s">
        <v>352</v>
      </c>
      <c r="H725" s="251" t="s">
        <v>346</v>
      </c>
      <c r="I725" s="252">
        <v>15220</v>
      </c>
      <c r="J725" s="253">
        <v>1</v>
      </c>
    </row>
    <row r="726" spans="1:10" ht="14.5" x14ac:dyDescent="0.35">
      <c r="A726" s="254"/>
      <c r="B726" s="248" t="s">
        <v>382</v>
      </c>
      <c r="C726" s="248" t="s">
        <v>326</v>
      </c>
      <c r="D726" s="248" t="s">
        <v>337</v>
      </c>
      <c r="E726" s="249" t="s">
        <v>338</v>
      </c>
      <c r="F726" s="258" t="s">
        <v>440</v>
      </c>
      <c r="G726" s="256" t="s">
        <v>352</v>
      </c>
      <c r="H726" s="251" t="s">
        <v>347</v>
      </c>
      <c r="I726" s="252">
        <v>15220</v>
      </c>
      <c r="J726" s="253">
        <v>0</v>
      </c>
    </row>
    <row r="727" spans="1:10" ht="14.5" x14ac:dyDescent="0.35">
      <c r="A727" s="254"/>
      <c r="B727" s="248" t="s">
        <v>382</v>
      </c>
      <c r="C727" s="248" t="s">
        <v>326</v>
      </c>
      <c r="D727" s="248" t="s">
        <v>337</v>
      </c>
      <c r="E727" s="249" t="s">
        <v>338</v>
      </c>
      <c r="F727" s="259" t="s">
        <v>433</v>
      </c>
      <c r="G727" s="256" t="s">
        <v>353</v>
      </c>
      <c r="H727" s="251" t="s">
        <v>346</v>
      </c>
      <c r="I727" s="252">
        <v>15220</v>
      </c>
      <c r="J727" s="253">
        <v>1</v>
      </c>
    </row>
    <row r="728" spans="1:10" ht="14.5" x14ac:dyDescent="0.35">
      <c r="A728" s="254"/>
      <c r="B728" s="248" t="s">
        <v>382</v>
      </c>
      <c r="C728" s="248" t="s">
        <v>326</v>
      </c>
      <c r="D728" s="248" t="s">
        <v>337</v>
      </c>
      <c r="E728" s="249" t="s">
        <v>338</v>
      </c>
      <c r="F728" s="259" t="s">
        <v>435</v>
      </c>
      <c r="G728" s="256" t="s">
        <v>353</v>
      </c>
      <c r="H728" s="251" t="s">
        <v>347</v>
      </c>
      <c r="I728" s="252">
        <v>15220</v>
      </c>
      <c r="J728" s="253">
        <v>0</v>
      </c>
    </row>
    <row r="729" spans="1:10" ht="12.5" x14ac:dyDescent="0.25">
      <c r="A729" s="246"/>
      <c r="B729" s="24"/>
      <c r="C729" s="24"/>
      <c r="D729" s="24"/>
      <c r="E729" s="24"/>
      <c r="F729" s="24"/>
      <c r="G729" s="68"/>
      <c r="H729" s="68"/>
      <c r="I729" s="70"/>
    </row>
    <row r="730" spans="1:10" ht="14.5" x14ac:dyDescent="0.35">
      <c r="A730" s="247">
        <v>117</v>
      </c>
      <c r="B730" s="248" t="s">
        <v>382</v>
      </c>
      <c r="C730" s="248" t="s">
        <v>326</v>
      </c>
      <c r="D730" s="248" t="s">
        <v>337</v>
      </c>
      <c r="E730" s="249" t="s">
        <v>338</v>
      </c>
      <c r="F730" s="258" t="s">
        <v>437</v>
      </c>
      <c r="G730" s="256" t="s">
        <v>352</v>
      </c>
      <c r="H730" s="251" t="s">
        <v>346</v>
      </c>
      <c r="I730" s="252">
        <v>15304</v>
      </c>
      <c r="J730" s="253">
        <v>1</v>
      </c>
    </row>
    <row r="731" spans="1:10" ht="14.5" x14ac:dyDescent="0.35">
      <c r="A731" s="254"/>
      <c r="B731" s="248" t="s">
        <v>382</v>
      </c>
      <c r="C731" s="248" t="s">
        <v>326</v>
      </c>
      <c r="D731" s="248" t="s">
        <v>337</v>
      </c>
      <c r="E731" s="249" t="s">
        <v>338</v>
      </c>
      <c r="F731" s="258" t="s">
        <v>440</v>
      </c>
      <c r="G731" s="256" t="s">
        <v>352</v>
      </c>
      <c r="H731" s="251" t="s">
        <v>347</v>
      </c>
      <c r="I731" s="252">
        <v>15304</v>
      </c>
      <c r="J731" s="253">
        <v>2</v>
      </c>
    </row>
    <row r="732" spans="1:10" ht="14.5" x14ac:dyDescent="0.35">
      <c r="A732" s="254"/>
      <c r="B732" s="248" t="s">
        <v>382</v>
      </c>
      <c r="C732" s="248" t="s">
        <v>326</v>
      </c>
      <c r="D732" s="248" t="s">
        <v>337</v>
      </c>
      <c r="E732" s="249" t="s">
        <v>338</v>
      </c>
      <c r="F732" s="259" t="s">
        <v>433</v>
      </c>
      <c r="G732" s="256" t="s">
        <v>353</v>
      </c>
      <c r="H732" s="251" t="s">
        <v>346</v>
      </c>
      <c r="I732" s="252">
        <v>15304</v>
      </c>
      <c r="J732" s="253">
        <v>1</v>
      </c>
    </row>
    <row r="733" spans="1:10" ht="14.5" x14ac:dyDescent="0.35">
      <c r="A733" s="254"/>
      <c r="B733" s="248" t="s">
        <v>382</v>
      </c>
      <c r="C733" s="248" t="s">
        <v>326</v>
      </c>
      <c r="D733" s="248" t="s">
        <v>337</v>
      </c>
      <c r="E733" s="249" t="s">
        <v>338</v>
      </c>
      <c r="F733" s="259" t="s">
        <v>435</v>
      </c>
      <c r="G733" s="256" t="s">
        <v>353</v>
      </c>
      <c r="H733" s="251" t="s">
        <v>347</v>
      </c>
      <c r="I733" s="252">
        <v>15304</v>
      </c>
      <c r="J733" s="253">
        <v>2</v>
      </c>
    </row>
    <row r="734" spans="1:10" ht="12.5" x14ac:dyDescent="0.25">
      <c r="A734" s="246"/>
      <c r="B734" s="24"/>
      <c r="C734" s="24"/>
      <c r="D734" s="24"/>
      <c r="E734" s="24"/>
      <c r="F734" s="24"/>
      <c r="G734" s="68"/>
      <c r="H734" s="68"/>
      <c r="I734" s="70"/>
    </row>
    <row r="735" spans="1:10" ht="14.5" x14ac:dyDescent="0.35">
      <c r="A735" s="247">
        <v>118</v>
      </c>
      <c r="B735" s="248" t="s">
        <v>382</v>
      </c>
      <c r="C735" s="248" t="s">
        <v>326</v>
      </c>
      <c r="D735" s="248" t="s">
        <v>337</v>
      </c>
      <c r="E735" s="249" t="s">
        <v>338</v>
      </c>
      <c r="F735" s="258" t="s">
        <v>437</v>
      </c>
      <c r="G735" s="256" t="s">
        <v>352</v>
      </c>
      <c r="H735" s="251" t="s">
        <v>346</v>
      </c>
      <c r="I735" s="252">
        <v>15383</v>
      </c>
      <c r="J735" s="253">
        <v>0</v>
      </c>
    </row>
    <row r="736" spans="1:10" ht="14.5" x14ac:dyDescent="0.35">
      <c r="A736" s="254"/>
      <c r="B736" s="248" t="s">
        <v>382</v>
      </c>
      <c r="C736" s="248" t="s">
        <v>326</v>
      </c>
      <c r="D736" s="248" t="s">
        <v>337</v>
      </c>
      <c r="E736" s="249" t="s">
        <v>338</v>
      </c>
      <c r="F736" s="258" t="s">
        <v>440</v>
      </c>
      <c r="G736" s="256" t="s">
        <v>352</v>
      </c>
      <c r="H736" s="251" t="s">
        <v>347</v>
      </c>
      <c r="I736" s="252">
        <v>15383</v>
      </c>
      <c r="J736" s="253">
        <v>1</v>
      </c>
    </row>
    <row r="737" spans="1:10" ht="14.5" x14ac:dyDescent="0.35">
      <c r="A737" s="254"/>
      <c r="B737" s="248" t="s">
        <v>382</v>
      </c>
      <c r="C737" s="248" t="s">
        <v>326</v>
      </c>
      <c r="D737" s="248" t="s">
        <v>337</v>
      </c>
      <c r="E737" s="249" t="s">
        <v>338</v>
      </c>
      <c r="F737" s="259" t="s">
        <v>433</v>
      </c>
      <c r="G737" s="256" t="s">
        <v>353</v>
      </c>
      <c r="H737" s="251" t="s">
        <v>346</v>
      </c>
      <c r="I737" s="252">
        <v>15383</v>
      </c>
      <c r="J737" s="253">
        <v>0</v>
      </c>
    </row>
    <row r="738" spans="1:10" ht="14.5" x14ac:dyDescent="0.35">
      <c r="A738" s="254"/>
      <c r="B738" s="248" t="s">
        <v>382</v>
      </c>
      <c r="C738" s="248" t="s">
        <v>326</v>
      </c>
      <c r="D738" s="248" t="s">
        <v>337</v>
      </c>
      <c r="E738" s="249" t="s">
        <v>338</v>
      </c>
      <c r="F738" s="259" t="s">
        <v>435</v>
      </c>
      <c r="G738" s="256" t="s">
        <v>353</v>
      </c>
      <c r="H738" s="251" t="s">
        <v>347</v>
      </c>
      <c r="I738" s="252">
        <v>15383</v>
      </c>
      <c r="J738" s="253">
        <v>0</v>
      </c>
    </row>
    <row r="739" spans="1:10" ht="12.5" x14ac:dyDescent="0.25">
      <c r="A739" s="246"/>
      <c r="B739" s="24"/>
      <c r="C739" s="24"/>
      <c r="D739" s="24"/>
      <c r="E739" s="24"/>
      <c r="F739" s="24"/>
      <c r="G739" s="68"/>
      <c r="H739" s="68"/>
      <c r="I739" s="70"/>
    </row>
    <row r="740" spans="1:10" ht="14.5" x14ac:dyDescent="0.35">
      <c r="A740" s="247">
        <v>119</v>
      </c>
      <c r="B740" s="248" t="s">
        <v>382</v>
      </c>
      <c r="C740" s="248" t="s">
        <v>326</v>
      </c>
      <c r="D740" s="248" t="s">
        <v>337</v>
      </c>
      <c r="E740" s="249" t="s">
        <v>338</v>
      </c>
      <c r="F740" s="258" t="s">
        <v>437</v>
      </c>
      <c r="G740" s="256" t="s">
        <v>352</v>
      </c>
      <c r="H740" s="251" t="s">
        <v>346</v>
      </c>
      <c r="I740" s="252">
        <v>15478</v>
      </c>
      <c r="J740" s="253">
        <v>0</v>
      </c>
    </row>
    <row r="741" spans="1:10" ht="14.5" x14ac:dyDescent="0.35">
      <c r="A741" s="254"/>
      <c r="B741" s="248" t="s">
        <v>382</v>
      </c>
      <c r="C741" s="248" t="s">
        <v>326</v>
      </c>
      <c r="D741" s="248" t="s">
        <v>337</v>
      </c>
      <c r="E741" s="249" t="s">
        <v>338</v>
      </c>
      <c r="F741" s="258" t="s">
        <v>440</v>
      </c>
      <c r="G741" s="256" t="s">
        <v>352</v>
      </c>
      <c r="H741" s="251" t="s">
        <v>347</v>
      </c>
      <c r="I741" s="252">
        <v>15478</v>
      </c>
      <c r="J741" s="253">
        <v>2</v>
      </c>
    </row>
    <row r="742" spans="1:10" ht="14.5" x14ac:dyDescent="0.35">
      <c r="A742" s="254"/>
      <c r="B742" s="248" t="s">
        <v>382</v>
      </c>
      <c r="C742" s="248" t="s">
        <v>326</v>
      </c>
      <c r="D742" s="248" t="s">
        <v>337</v>
      </c>
      <c r="E742" s="249" t="s">
        <v>338</v>
      </c>
      <c r="F742" s="259" t="s">
        <v>433</v>
      </c>
      <c r="G742" s="256" t="s">
        <v>353</v>
      </c>
      <c r="H742" s="251" t="s">
        <v>346</v>
      </c>
      <c r="I742" s="252">
        <v>15478</v>
      </c>
      <c r="J742" s="253">
        <v>0</v>
      </c>
    </row>
    <row r="743" spans="1:10" ht="14.5" x14ac:dyDescent="0.35">
      <c r="A743" s="254"/>
      <c r="B743" s="248" t="s">
        <v>382</v>
      </c>
      <c r="C743" s="248" t="s">
        <v>326</v>
      </c>
      <c r="D743" s="248" t="s">
        <v>337</v>
      </c>
      <c r="E743" s="249" t="s">
        <v>338</v>
      </c>
      <c r="F743" s="259" t="s">
        <v>435</v>
      </c>
      <c r="G743" s="256" t="s">
        <v>353</v>
      </c>
      <c r="H743" s="251" t="s">
        <v>347</v>
      </c>
      <c r="I743" s="252">
        <v>15478</v>
      </c>
      <c r="J743" s="253">
        <v>2</v>
      </c>
    </row>
    <row r="744" spans="1:10" ht="12.5" x14ac:dyDescent="0.25">
      <c r="A744" s="246"/>
      <c r="B744" s="24"/>
      <c r="C744" s="24"/>
      <c r="D744" s="24"/>
      <c r="E744" s="24"/>
      <c r="F744" s="24"/>
      <c r="G744" s="68"/>
      <c r="H744" s="68"/>
      <c r="I744" s="70"/>
    </row>
    <row r="745" spans="1:10" ht="14.5" x14ac:dyDescent="0.35">
      <c r="A745" s="247">
        <v>120</v>
      </c>
      <c r="B745" s="248" t="s">
        <v>382</v>
      </c>
      <c r="C745" s="248" t="s">
        <v>326</v>
      </c>
      <c r="D745" s="248" t="s">
        <v>337</v>
      </c>
      <c r="E745" s="249" t="s">
        <v>338</v>
      </c>
      <c r="F745" s="258" t="s">
        <v>437</v>
      </c>
      <c r="G745" s="256" t="s">
        <v>352</v>
      </c>
      <c r="H745" s="251" t="s">
        <v>346</v>
      </c>
      <c r="I745" s="252">
        <v>20104</v>
      </c>
      <c r="J745" s="253">
        <v>3</v>
      </c>
    </row>
    <row r="746" spans="1:10" ht="14.5" x14ac:dyDescent="0.35">
      <c r="A746" s="254"/>
      <c r="B746" s="248" t="s">
        <v>382</v>
      </c>
      <c r="C746" s="248" t="s">
        <v>326</v>
      </c>
      <c r="D746" s="248" t="s">
        <v>337</v>
      </c>
      <c r="E746" s="249" t="s">
        <v>338</v>
      </c>
      <c r="F746" s="258" t="s">
        <v>440</v>
      </c>
      <c r="G746" s="256" t="s">
        <v>352</v>
      </c>
      <c r="H746" s="251" t="s">
        <v>347</v>
      </c>
      <c r="I746" s="252">
        <v>20104</v>
      </c>
      <c r="J746" s="253">
        <v>1</v>
      </c>
    </row>
    <row r="747" spans="1:10" ht="14.5" x14ac:dyDescent="0.35">
      <c r="A747" s="254"/>
      <c r="B747" s="248" t="s">
        <v>382</v>
      </c>
      <c r="C747" s="248" t="s">
        <v>326</v>
      </c>
      <c r="D747" s="248" t="s">
        <v>337</v>
      </c>
      <c r="E747" s="249" t="s">
        <v>338</v>
      </c>
      <c r="F747" s="259" t="s">
        <v>433</v>
      </c>
      <c r="G747" s="256" t="s">
        <v>353</v>
      </c>
      <c r="H747" s="251" t="s">
        <v>346</v>
      </c>
      <c r="I747" s="252">
        <v>20104</v>
      </c>
      <c r="J747" s="253">
        <v>3</v>
      </c>
    </row>
    <row r="748" spans="1:10" ht="14.5" x14ac:dyDescent="0.35">
      <c r="A748" s="254"/>
      <c r="B748" s="248" t="s">
        <v>382</v>
      </c>
      <c r="C748" s="248" t="s">
        <v>326</v>
      </c>
      <c r="D748" s="248" t="s">
        <v>337</v>
      </c>
      <c r="E748" s="249" t="s">
        <v>338</v>
      </c>
      <c r="F748" s="259" t="s">
        <v>435</v>
      </c>
      <c r="G748" s="256" t="s">
        <v>353</v>
      </c>
      <c r="H748" s="251" t="s">
        <v>347</v>
      </c>
      <c r="I748" s="252">
        <v>20104</v>
      </c>
      <c r="J748" s="253">
        <v>1</v>
      </c>
    </row>
    <row r="749" spans="1:10" ht="12.5" x14ac:dyDescent="0.25">
      <c r="A749" s="246"/>
      <c r="B749" s="24"/>
      <c r="C749" s="24"/>
      <c r="D749" s="24"/>
      <c r="E749" s="24"/>
      <c r="F749" s="24"/>
      <c r="G749" s="68"/>
      <c r="H749" s="68"/>
      <c r="I749" s="70"/>
    </row>
    <row r="750" spans="1:10" ht="14.5" x14ac:dyDescent="0.35">
      <c r="A750" s="247">
        <v>121</v>
      </c>
      <c r="B750" s="248" t="s">
        <v>382</v>
      </c>
      <c r="C750" s="248" t="s">
        <v>326</v>
      </c>
      <c r="D750" s="248" t="s">
        <v>337</v>
      </c>
      <c r="E750" s="249" t="s">
        <v>338</v>
      </c>
      <c r="F750" s="258" t="s">
        <v>437</v>
      </c>
      <c r="G750" s="256" t="s">
        <v>352</v>
      </c>
      <c r="H750" s="251" t="s">
        <v>346</v>
      </c>
      <c r="I750" s="252">
        <v>20123</v>
      </c>
      <c r="J750" s="253">
        <v>1</v>
      </c>
    </row>
    <row r="751" spans="1:10" ht="14.5" x14ac:dyDescent="0.35">
      <c r="A751" s="254"/>
      <c r="B751" s="248" t="s">
        <v>382</v>
      </c>
      <c r="C751" s="248" t="s">
        <v>326</v>
      </c>
      <c r="D751" s="248" t="s">
        <v>337</v>
      </c>
      <c r="E751" s="249" t="s">
        <v>338</v>
      </c>
      <c r="F751" s="258" t="s">
        <v>440</v>
      </c>
      <c r="G751" s="256" t="s">
        <v>352</v>
      </c>
      <c r="H751" s="251" t="s">
        <v>347</v>
      </c>
      <c r="I751" s="252">
        <v>20123</v>
      </c>
      <c r="J751" s="253">
        <v>0</v>
      </c>
    </row>
    <row r="752" spans="1:10" ht="14.5" x14ac:dyDescent="0.35">
      <c r="A752" s="254"/>
      <c r="B752" s="248" t="s">
        <v>382</v>
      </c>
      <c r="C752" s="248" t="s">
        <v>326</v>
      </c>
      <c r="D752" s="248" t="s">
        <v>337</v>
      </c>
      <c r="E752" s="249" t="s">
        <v>338</v>
      </c>
      <c r="F752" s="259" t="s">
        <v>433</v>
      </c>
      <c r="G752" s="256" t="s">
        <v>353</v>
      </c>
      <c r="H752" s="251" t="s">
        <v>346</v>
      </c>
      <c r="I752" s="252">
        <v>20123</v>
      </c>
      <c r="J752" s="253">
        <v>1</v>
      </c>
    </row>
    <row r="753" spans="1:10" ht="14.5" x14ac:dyDescent="0.35">
      <c r="A753" s="254"/>
      <c r="B753" s="248" t="s">
        <v>382</v>
      </c>
      <c r="C753" s="248" t="s">
        <v>326</v>
      </c>
      <c r="D753" s="248" t="s">
        <v>337</v>
      </c>
      <c r="E753" s="249" t="s">
        <v>338</v>
      </c>
      <c r="F753" s="259" t="s">
        <v>435</v>
      </c>
      <c r="G753" s="256" t="s">
        <v>353</v>
      </c>
      <c r="H753" s="251" t="s">
        <v>347</v>
      </c>
      <c r="I753" s="252">
        <v>20123</v>
      </c>
      <c r="J753" s="253">
        <v>1</v>
      </c>
    </row>
    <row r="754" spans="1:10" ht="12.5" x14ac:dyDescent="0.25">
      <c r="A754" s="246"/>
      <c r="B754" s="24"/>
      <c r="C754" s="24"/>
      <c r="D754" s="24"/>
      <c r="E754" s="24"/>
      <c r="F754" s="24"/>
      <c r="G754" s="68"/>
      <c r="H754" s="68"/>
      <c r="I754" s="70"/>
    </row>
    <row r="755" spans="1:10" ht="14.5" x14ac:dyDescent="0.35">
      <c r="A755" s="247">
        <v>122</v>
      </c>
      <c r="B755" s="248" t="s">
        <v>382</v>
      </c>
      <c r="C755" s="248" t="s">
        <v>326</v>
      </c>
      <c r="D755" s="248" t="s">
        <v>337</v>
      </c>
      <c r="E755" s="249" t="s">
        <v>338</v>
      </c>
      <c r="F755" s="258" t="s">
        <v>437</v>
      </c>
      <c r="G755" s="256" t="s">
        <v>352</v>
      </c>
      <c r="H755" s="251" t="s">
        <v>346</v>
      </c>
      <c r="I755" s="252" t="s">
        <v>30</v>
      </c>
      <c r="J755" s="253">
        <v>14</v>
      </c>
    </row>
    <row r="756" spans="1:10" ht="14.5" x14ac:dyDescent="0.35">
      <c r="A756" s="254"/>
      <c r="B756" s="248" t="s">
        <v>382</v>
      </c>
      <c r="C756" s="248" t="s">
        <v>326</v>
      </c>
      <c r="D756" s="248" t="s">
        <v>337</v>
      </c>
      <c r="E756" s="249" t="s">
        <v>338</v>
      </c>
      <c r="F756" s="258" t="s">
        <v>440</v>
      </c>
      <c r="G756" s="256" t="s">
        <v>352</v>
      </c>
      <c r="H756" s="251" t="s">
        <v>347</v>
      </c>
      <c r="I756" s="252" t="s">
        <v>30</v>
      </c>
      <c r="J756" s="253">
        <v>11</v>
      </c>
    </row>
    <row r="757" spans="1:10" ht="14.5" x14ac:dyDescent="0.35">
      <c r="A757" s="254"/>
      <c r="B757" s="248" t="s">
        <v>382</v>
      </c>
      <c r="C757" s="248" t="s">
        <v>326</v>
      </c>
      <c r="D757" s="248" t="s">
        <v>337</v>
      </c>
      <c r="E757" s="249" t="s">
        <v>338</v>
      </c>
      <c r="F757" s="259" t="s">
        <v>433</v>
      </c>
      <c r="G757" s="256" t="s">
        <v>353</v>
      </c>
      <c r="H757" s="251" t="s">
        <v>346</v>
      </c>
      <c r="I757" s="252" t="s">
        <v>30</v>
      </c>
      <c r="J757" s="253">
        <v>14</v>
      </c>
    </row>
    <row r="758" spans="1:10" ht="14.5" x14ac:dyDescent="0.35">
      <c r="A758" s="254"/>
      <c r="B758" s="248" t="s">
        <v>382</v>
      </c>
      <c r="C758" s="248" t="s">
        <v>326</v>
      </c>
      <c r="D758" s="248" t="s">
        <v>337</v>
      </c>
      <c r="E758" s="249" t="s">
        <v>338</v>
      </c>
      <c r="F758" s="259" t="s">
        <v>435</v>
      </c>
      <c r="G758" s="256" t="s">
        <v>353</v>
      </c>
      <c r="H758" s="251" t="s">
        <v>347</v>
      </c>
      <c r="I758" s="252" t="s">
        <v>30</v>
      </c>
      <c r="J758" s="253">
        <v>12</v>
      </c>
    </row>
    <row r="759" spans="1:10" ht="12.5" x14ac:dyDescent="0.25">
      <c r="A759" s="246"/>
      <c r="B759" s="24"/>
      <c r="C759" s="24"/>
      <c r="D759" s="24"/>
      <c r="E759" s="24"/>
      <c r="F759" s="24"/>
      <c r="G759" s="68"/>
      <c r="H759" s="68"/>
      <c r="I759" s="70"/>
    </row>
    <row r="760" spans="1:10" ht="14.5" x14ac:dyDescent="0.35">
      <c r="A760" s="247">
        <v>123</v>
      </c>
      <c r="B760" s="248" t="s">
        <v>382</v>
      </c>
      <c r="C760" s="248" t="s">
        <v>326</v>
      </c>
      <c r="D760" s="248" t="s">
        <v>337</v>
      </c>
      <c r="E760" s="249" t="s">
        <v>338</v>
      </c>
      <c r="F760" s="258" t="s">
        <v>437</v>
      </c>
      <c r="G760" s="256" t="s">
        <v>352</v>
      </c>
      <c r="H760" s="251" t="s">
        <v>346</v>
      </c>
      <c r="I760" s="252" t="s">
        <v>36</v>
      </c>
      <c r="J760" s="253">
        <v>5</v>
      </c>
    </row>
    <row r="761" spans="1:10" ht="14.5" x14ac:dyDescent="0.35">
      <c r="A761" s="254"/>
      <c r="B761" s="248" t="s">
        <v>382</v>
      </c>
      <c r="C761" s="248" t="s">
        <v>326</v>
      </c>
      <c r="D761" s="248" t="s">
        <v>337</v>
      </c>
      <c r="E761" s="249" t="s">
        <v>338</v>
      </c>
      <c r="F761" s="258" t="s">
        <v>440</v>
      </c>
      <c r="G761" s="256" t="s">
        <v>352</v>
      </c>
      <c r="H761" s="251" t="s">
        <v>347</v>
      </c>
      <c r="I761" s="252" t="s">
        <v>36</v>
      </c>
      <c r="J761" s="253">
        <v>5</v>
      </c>
    </row>
    <row r="762" spans="1:10" ht="14.5" x14ac:dyDescent="0.35">
      <c r="A762" s="254"/>
      <c r="B762" s="248" t="s">
        <v>382</v>
      </c>
      <c r="C762" s="248" t="s">
        <v>326</v>
      </c>
      <c r="D762" s="248" t="s">
        <v>337</v>
      </c>
      <c r="E762" s="249" t="s">
        <v>338</v>
      </c>
      <c r="F762" s="259" t="s">
        <v>433</v>
      </c>
      <c r="G762" s="256" t="s">
        <v>353</v>
      </c>
      <c r="H762" s="251" t="s">
        <v>346</v>
      </c>
      <c r="I762" s="252" t="s">
        <v>36</v>
      </c>
      <c r="J762" s="253">
        <v>5</v>
      </c>
    </row>
    <row r="763" spans="1:10" ht="14.5" x14ac:dyDescent="0.35">
      <c r="A763" s="254"/>
      <c r="B763" s="248" t="s">
        <v>382</v>
      </c>
      <c r="C763" s="248" t="s">
        <v>326</v>
      </c>
      <c r="D763" s="248" t="s">
        <v>337</v>
      </c>
      <c r="E763" s="249" t="s">
        <v>338</v>
      </c>
      <c r="F763" s="259" t="s">
        <v>435</v>
      </c>
      <c r="G763" s="256" t="s">
        <v>353</v>
      </c>
      <c r="H763" s="251" t="s">
        <v>347</v>
      </c>
      <c r="I763" s="252" t="s">
        <v>36</v>
      </c>
      <c r="J763" s="253">
        <v>6</v>
      </c>
    </row>
    <row r="764" spans="1:10" ht="12.5" x14ac:dyDescent="0.25">
      <c r="A764" s="246"/>
      <c r="B764" s="24"/>
      <c r="C764" s="24"/>
      <c r="D764" s="24"/>
      <c r="E764" s="24"/>
      <c r="F764" s="24"/>
      <c r="G764" s="68"/>
      <c r="H764" s="68"/>
      <c r="I764" s="70"/>
    </row>
    <row r="765" spans="1:10" ht="14.5" x14ac:dyDescent="0.35">
      <c r="A765" s="247">
        <v>124</v>
      </c>
      <c r="B765" s="248" t="s">
        <v>382</v>
      </c>
      <c r="C765" s="248" t="s">
        <v>326</v>
      </c>
      <c r="D765" s="248" t="s">
        <v>337</v>
      </c>
      <c r="E765" s="249" t="s">
        <v>338</v>
      </c>
      <c r="F765" s="258" t="s">
        <v>437</v>
      </c>
      <c r="G765" s="256" t="s">
        <v>352</v>
      </c>
      <c r="H765" s="251" t="s">
        <v>346</v>
      </c>
      <c r="I765" s="252" t="s">
        <v>21</v>
      </c>
      <c r="J765" s="253">
        <v>11</v>
      </c>
    </row>
    <row r="766" spans="1:10" ht="14.5" x14ac:dyDescent="0.35">
      <c r="A766" s="254"/>
      <c r="B766" s="248" t="s">
        <v>382</v>
      </c>
      <c r="C766" s="248" t="s">
        <v>326</v>
      </c>
      <c r="D766" s="248" t="s">
        <v>337</v>
      </c>
      <c r="E766" s="249" t="s">
        <v>338</v>
      </c>
      <c r="F766" s="258" t="s">
        <v>440</v>
      </c>
      <c r="G766" s="256" t="s">
        <v>352</v>
      </c>
      <c r="H766" s="251" t="s">
        <v>347</v>
      </c>
      <c r="I766" s="252" t="s">
        <v>21</v>
      </c>
      <c r="J766" s="253">
        <v>13</v>
      </c>
    </row>
    <row r="767" spans="1:10" ht="14.5" x14ac:dyDescent="0.35">
      <c r="A767" s="254"/>
      <c r="B767" s="248" t="s">
        <v>382</v>
      </c>
      <c r="C767" s="248" t="s">
        <v>326</v>
      </c>
      <c r="D767" s="248" t="s">
        <v>337</v>
      </c>
      <c r="E767" s="249" t="s">
        <v>338</v>
      </c>
      <c r="F767" s="259" t="s">
        <v>433</v>
      </c>
      <c r="G767" s="256" t="s">
        <v>353</v>
      </c>
      <c r="H767" s="251" t="s">
        <v>346</v>
      </c>
      <c r="I767" s="252" t="s">
        <v>21</v>
      </c>
      <c r="J767" s="253">
        <v>12</v>
      </c>
    </row>
    <row r="768" spans="1:10" ht="14.5" x14ac:dyDescent="0.35">
      <c r="A768" s="254"/>
      <c r="B768" s="248" t="s">
        <v>382</v>
      </c>
      <c r="C768" s="248" t="s">
        <v>326</v>
      </c>
      <c r="D768" s="248" t="s">
        <v>337</v>
      </c>
      <c r="E768" s="249" t="s">
        <v>338</v>
      </c>
      <c r="F768" s="259" t="s">
        <v>435</v>
      </c>
      <c r="G768" s="256" t="s">
        <v>353</v>
      </c>
      <c r="H768" s="251" t="s">
        <v>347</v>
      </c>
      <c r="I768" s="252" t="s">
        <v>21</v>
      </c>
      <c r="J768" s="253">
        <v>13</v>
      </c>
    </row>
    <row r="769" spans="1:10" ht="12.5" x14ac:dyDescent="0.25">
      <c r="A769" s="246"/>
      <c r="B769" s="24"/>
      <c r="C769" s="24"/>
      <c r="D769" s="24"/>
      <c r="E769" s="24"/>
      <c r="F769" s="24"/>
      <c r="G769" s="68"/>
      <c r="H769" s="68"/>
      <c r="I769" s="70"/>
    </row>
    <row r="770" spans="1:10" ht="14.5" x14ac:dyDescent="0.35">
      <c r="A770" s="247">
        <v>125</v>
      </c>
      <c r="B770" s="248" t="s">
        <v>382</v>
      </c>
      <c r="C770" s="248" t="s">
        <v>326</v>
      </c>
      <c r="D770" s="248" t="s">
        <v>337</v>
      </c>
      <c r="E770" s="249" t="s">
        <v>338</v>
      </c>
      <c r="F770" s="258" t="s">
        <v>437</v>
      </c>
      <c r="G770" s="256" t="s">
        <v>352</v>
      </c>
      <c r="H770" s="251" t="s">
        <v>346</v>
      </c>
      <c r="I770" s="252" t="s">
        <v>29</v>
      </c>
      <c r="J770" s="253">
        <v>4</v>
      </c>
    </row>
    <row r="771" spans="1:10" ht="14.5" x14ac:dyDescent="0.35">
      <c r="A771" s="254"/>
      <c r="B771" s="248" t="s">
        <v>382</v>
      </c>
      <c r="C771" s="248" t="s">
        <v>326</v>
      </c>
      <c r="D771" s="248" t="s">
        <v>337</v>
      </c>
      <c r="E771" s="249" t="s">
        <v>338</v>
      </c>
      <c r="F771" s="258" t="s">
        <v>440</v>
      </c>
      <c r="G771" s="256" t="s">
        <v>352</v>
      </c>
      <c r="H771" s="251" t="s">
        <v>347</v>
      </c>
      <c r="I771" s="252" t="s">
        <v>29</v>
      </c>
      <c r="J771" s="253">
        <v>5</v>
      </c>
    </row>
    <row r="772" spans="1:10" ht="14.5" x14ac:dyDescent="0.35">
      <c r="A772" s="254"/>
      <c r="B772" s="248" t="s">
        <v>382</v>
      </c>
      <c r="C772" s="248" t="s">
        <v>326</v>
      </c>
      <c r="D772" s="248" t="s">
        <v>337</v>
      </c>
      <c r="E772" s="249" t="s">
        <v>338</v>
      </c>
      <c r="F772" s="259" t="s">
        <v>433</v>
      </c>
      <c r="G772" s="256" t="s">
        <v>353</v>
      </c>
      <c r="H772" s="251" t="s">
        <v>346</v>
      </c>
      <c r="I772" s="252" t="s">
        <v>29</v>
      </c>
      <c r="J772" s="253">
        <v>4</v>
      </c>
    </row>
    <row r="773" spans="1:10" ht="14.5" x14ac:dyDescent="0.35">
      <c r="A773" s="254"/>
      <c r="B773" s="248" t="s">
        <v>382</v>
      </c>
      <c r="C773" s="248" t="s">
        <v>326</v>
      </c>
      <c r="D773" s="248" t="s">
        <v>337</v>
      </c>
      <c r="E773" s="249" t="s">
        <v>338</v>
      </c>
      <c r="F773" s="259" t="s">
        <v>435</v>
      </c>
      <c r="G773" s="256" t="s">
        <v>353</v>
      </c>
      <c r="H773" s="251" t="s">
        <v>347</v>
      </c>
      <c r="I773" s="252" t="s">
        <v>29</v>
      </c>
      <c r="J773" s="253">
        <v>5</v>
      </c>
    </row>
    <row r="774" spans="1:10" ht="12.5" x14ac:dyDescent="0.25">
      <c r="A774" s="246"/>
      <c r="B774" s="24"/>
      <c r="C774" s="24"/>
      <c r="D774" s="24"/>
      <c r="E774" s="24"/>
      <c r="F774" s="24"/>
      <c r="G774" s="68"/>
      <c r="H774" s="68"/>
      <c r="I774" s="70"/>
    </row>
    <row r="775" spans="1:10" ht="14.5" x14ac:dyDescent="0.35">
      <c r="A775" s="247">
        <v>126</v>
      </c>
      <c r="B775" s="248" t="s">
        <v>382</v>
      </c>
      <c r="C775" s="248" t="s">
        <v>326</v>
      </c>
      <c r="D775" s="248" t="s">
        <v>337</v>
      </c>
      <c r="E775" s="249" t="s">
        <v>341</v>
      </c>
      <c r="F775" s="258" t="s">
        <v>437</v>
      </c>
      <c r="G775" s="256" t="s">
        <v>352</v>
      </c>
      <c r="H775" s="251" t="s">
        <v>346</v>
      </c>
      <c r="I775" s="252">
        <v>86809</v>
      </c>
      <c r="J775" s="253">
        <v>0</v>
      </c>
    </row>
    <row r="776" spans="1:10" ht="14.5" x14ac:dyDescent="0.35">
      <c r="A776" s="254"/>
      <c r="B776" s="248" t="s">
        <v>382</v>
      </c>
      <c r="C776" s="248" t="s">
        <v>326</v>
      </c>
      <c r="D776" s="248" t="s">
        <v>337</v>
      </c>
      <c r="E776" s="249" t="s">
        <v>341</v>
      </c>
      <c r="F776" s="258" t="s">
        <v>440</v>
      </c>
      <c r="G776" s="256" t="s">
        <v>352</v>
      </c>
      <c r="H776" s="251" t="s">
        <v>347</v>
      </c>
      <c r="I776" s="252">
        <v>86809</v>
      </c>
      <c r="J776" s="253">
        <v>1</v>
      </c>
    </row>
    <row r="777" spans="1:10" ht="14.5" x14ac:dyDescent="0.35">
      <c r="A777" s="254"/>
      <c r="B777" s="248" t="s">
        <v>382</v>
      </c>
      <c r="C777" s="248" t="s">
        <v>326</v>
      </c>
      <c r="D777" s="248" t="s">
        <v>337</v>
      </c>
      <c r="E777" s="249" t="s">
        <v>341</v>
      </c>
      <c r="F777" s="259" t="s">
        <v>433</v>
      </c>
      <c r="G777" s="256" t="s">
        <v>353</v>
      </c>
      <c r="H777" s="251" t="s">
        <v>346</v>
      </c>
      <c r="I777" s="252">
        <v>86809</v>
      </c>
      <c r="J777" s="253">
        <v>0</v>
      </c>
    </row>
    <row r="778" spans="1:10" ht="14.5" x14ac:dyDescent="0.35">
      <c r="A778" s="254"/>
      <c r="B778" s="248" t="s">
        <v>382</v>
      </c>
      <c r="C778" s="248" t="s">
        <v>326</v>
      </c>
      <c r="D778" s="248" t="s">
        <v>337</v>
      </c>
      <c r="E778" s="249" t="s">
        <v>341</v>
      </c>
      <c r="F778" s="259" t="s">
        <v>435</v>
      </c>
      <c r="G778" s="256" t="s">
        <v>353</v>
      </c>
      <c r="H778" s="251" t="s">
        <v>347</v>
      </c>
      <c r="I778" s="252">
        <v>86809</v>
      </c>
      <c r="J778" s="253">
        <v>1</v>
      </c>
    </row>
    <row r="779" spans="1:10" ht="12.5" x14ac:dyDescent="0.25">
      <c r="A779" s="246"/>
      <c r="B779" s="24"/>
      <c r="C779" s="24"/>
      <c r="D779" s="24"/>
      <c r="E779" s="24"/>
      <c r="F779" s="24"/>
      <c r="G779" s="68"/>
      <c r="H779" s="68"/>
      <c r="I779" s="70"/>
    </row>
    <row r="780" spans="1:10" ht="14.5" x14ac:dyDescent="0.35">
      <c r="A780" s="247">
        <v>127</v>
      </c>
      <c r="B780" s="248" t="s">
        <v>382</v>
      </c>
      <c r="C780" s="248" t="s">
        <v>326</v>
      </c>
      <c r="D780" s="248" t="s">
        <v>337</v>
      </c>
      <c r="E780" s="249" t="s">
        <v>341</v>
      </c>
      <c r="F780" s="258" t="s">
        <v>437</v>
      </c>
      <c r="G780" s="256" t="s">
        <v>352</v>
      </c>
      <c r="H780" s="251" t="s">
        <v>346</v>
      </c>
      <c r="I780" s="252">
        <v>88327</v>
      </c>
      <c r="J780" s="253">
        <v>0</v>
      </c>
    </row>
    <row r="781" spans="1:10" ht="14.5" x14ac:dyDescent="0.35">
      <c r="A781" s="254"/>
      <c r="B781" s="248" t="s">
        <v>382</v>
      </c>
      <c r="C781" s="248" t="s">
        <v>326</v>
      </c>
      <c r="D781" s="248" t="s">
        <v>337</v>
      </c>
      <c r="E781" s="249" t="s">
        <v>341</v>
      </c>
      <c r="F781" s="258" t="s">
        <v>440</v>
      </c>
      <c r="G781" s="256" t="s">
        <v>352</v>
      </c>
      <c r="H781" s="251" t="s">
        <v>347</v>
      </c>
      <c r="I781" s="252">
        <v>88327</v>
      </c>
      <c r="J781" s="253">
        <v>1</v>
      </c>
    </row>
    <row r="782" spans="1:10" ht="14.5" x14ac:dyDescent="0.35">
      <c r="A782" s="254"/>
      <c r="B782" s="248" t="s">
        <v>382</v>
      </c>
      <c r="C782" s="248" t="s">
        <v>326</v>
      </c>
      <c r="D782" s="248" t="s">
        <v>337</v>
      </c>
      <c r="E782" s="249" t="s">
        <v>341</v>
      </c>
      <c r="F782" s="259" t="s">
        <v>433</v>
      </c>
      <c r="G782" s="256" t="s">
        <v>353</v>
      </c>
      <c r="H782" s="251" t="s">
        <v>346</v>
      </c>
      <c r="I782" s="252">
        <v>88327</v>
      </c>
      <c r="J782" s="253">
        <v>0</v>
      </c>
    </row>
    <row r="783" spans="1:10" ht="14.5" x14ac:dyDescent="0.35">
      <c r="A783" s="254"/>
      <c r="B783" s="248" t="s">
        <v>382</v>
      </c>
      <c r="C783" s="248" t="s">
        <v>326</v>
      </c>
      <c r="D783" s="248" t="s">
        <v>337</v>
      </c>
      <c r="E783" s="249" t="s">
        <v>341</v>
      </c>
      <c r="F783" s="259" t="s">
        <v>435</v>
      </c>
      <c r="G783" s="256" t="s">
        <v>353</v>
      </c>
      <c r="H783" s="251" t="s">
        <v>347</v>
      </c>
      <c r="I783" s="252">
        <v>88327</v>
      </c>
      <c r="J783" s="253">
        <v>0</v>
      </c>
    </row>
    <row r="784" spans="1:10" ht="12.5" x14ac:dyDescent="0.25">
      <c r="A784" s="246"/>
      <c r="B784" s="24"/>
      <c r="C784" s="24"/>
      <c r="D784" s="24"/>
      <c r="E784" s="24"/>
      <c r="F784" s="24"/>
      <c r="G784" s="68"/>
      <c r="H784" s="68"/>
      <c r="I784" s="70"/>
    </row>
    <row r="785" spans="1:10" ht="14.5" x14ac:dyDescent="0.35">
      <c r="A785" s="247">
        <v>128</v>
      </c>
      <c r="B785" s="248" t="s">
        <v>382</v>
      </c>
      <c r="C785" s="248" t="s">
        <v>326</v>
      </c>
      <c r="D785" s="248" t="s">
        <v>337</v>
      </c>
      <c r="E785" s="249" t="s">
        <v>341</v>
      </c>
      <c r="F785" s="258" t="s">
        <v>437</v>
      </c>
      <c r="G785" s="256" t="s">
        <v>352</v>
      </c>
      <c r="H785" s="251" t="s">
        <v>346</v>
      </c>
      <c r="I785" s="252" t="s">
        <v>169</v>
      </c>
      <c r="J785" s="253">
        <v>1</v>
      </c>
    </row>
    <row r="786" spans="1:10" ht="14.5" x14ac:dyDescent="0.35">
      <c r="A786" s="254"/>
      <c r="B786" s="248" t="s">
        <v>382</v>
      </c>
      <c r="C786" s="248" t="s">
        <v>326</v>
      </c>
      <c r="D786" s="248" t="s">
        <v>337</v>
      </c>
      <c r="E786" s="249" t="s">
        <v>341</v>
      </c>
      <c r="F786" s="258" t="s">
        <v>440</v>
      </c>
      <c r="G786" s="256" t="s">
        <v>352</v>
      </c>
      <c r="H786" s="251" t="s">
        <v>347</v>
      </c>
      <c r="I786" s="252" t="s">
        <v>169</v>
      </c>
      <c r="J786" s="253">
        <v>1</v>
      </c>
    </row>
    <row r="787" spans="1:10" ht="14.5" x14ac:dyDescent="0.35">
      <c r="A787" s="254"/>
      <c r="B787" s="248" t="s">
        <v>382</v>
      </c>
      <c r="C787" s="248" t="s">
        <v>326</v>
      </c>
      <c r="D787" s="248" t="s">
        <v>337</v>
      </c>
      <c r="E787" s="249" t="s">
        <v>341</v>
      </c>
      <c r="F787" s="259" t="s">
        <v>433</v>
      </c>
      <c r="G787" s="256" t="s">
        <v>353</v>
      </c>
      <c r="H787" s="251" t="s">
        <v>346</v>
      </c>
      <c r="I787" s="252" t="s">
        <v>169</v>
      </c>
      <c r="J787" s="253">
        <v>1</v>
      </c>
    </row>
    <row r="788" spans="1:10" ht="14.5" x14ac:dyDescent="0.35">
      <c r="A788" s="254"/>
      <c r="B788" s="248" t="s">
        <v>382</v>
      </c>
      <c r="C788" s="248" t="s">
        <v>326</v>
      </c>
      <c r="D788" s="248" t="s">
        <v>337</v>
      </c>
      <c r="E788" s="249" t="s">
        <v>341</v>
      </c>
      <c r="F788" s="259" t="s">
        <v>435</v>
      </c>
      <c r="G788" s="256" t="s">
        <v>353</v>
      </c>
      <c r="H788" s="251" t="s">
        <v>347</v>
      </c>
      <c r="I788" s="252" t="s">
        <v>169</v>
      </c>
      <c r="J788" s="253">
        <v>3</v>
      </c>
    </row>
    <row r="789" spans="1:10" ht="12.5" x14ac:dyDescent="0.25">
      <c r="A789" s="246"/>
      <c r="B789" s="24"/>
      <c r="C789" s="24"/>
      <c r="D789" s="24"/>
      <c r="E789" s="24"/>
      <c r="F789" s="24"/>
      <c r="G789" s="68"/>
      <c r="H789" s="68"/>
      <c r="I789" s="70"/>
    </row>
    <row r="790" spans="1:10" ht="14.5" x14ac:dyDescent="0.35">
      <c r="A790" s="247">
        <v>129</v>
      </c>
      <c r="B790" s="248" t="s">
        <v>382</v>
      </c>
      <c r="C790" s="248" t="s">
        <v>326</v>
      </c>
      <c r="D790" s="248" t="s">
        <v>337</v>
      </c>
      <c r="E790" s="249" t="s">
        <v>341</v>
      </c>
      <c r="F790" s="258" t="s">
        <v>437</v>
      </c>
      <c r="G790" s="256" t="s">
        <v>352</v>
      </c>
      <c r="H790" s="251" t="s">
        <v>346</v>
      </c>
      <c r="I790" s="252" t="s">
        <v>172</v>
      </c>
      <c r="J790" s="253">
        <v>2</v>
      </c>
    </row>
    <row r="791" spans="1:10" ht="14.5" x14ac:dyDescent="0.35">
      <c r="A791" s="254"/>
      <c r="B791" s="248" t="s">
        <v>382</v>
      </c>
      <c r="C791" s="248" t="s">
        <v>326</v>
      </c>
      <c r="D791" s="248" t="s">
        <v>337</v>
      </c>
      <c r="E791" s="249" t="s">
        <v>341</v>
      </c>
      <c r="F791" s="258" t="s">
        <v>440</v>
      </c>
      <c r="G791" s="256" t="s">
        <v>352</v>
      </c>
      <c r="H791" s="251" t="s">
        <v>347</v>
      </c>
      <c r="I791" s="252" t="s">
        <v>172</v>
      </c>
      <c r="J791" s="253">
        <v>0</v>
      </c>
    </row>
    <row r="792" spans="1:10" ht="14.5" x14ac:dyDescent="0.35">
      <c r="A792" s="254"/>
      <c r="B792" s="248" t="s">
        <v>382</v>
      </c>
      <c r="C792" s="248" t="s">
        <v>326</v>
      </c>
      <c r="D792" s="248" t="s">
        <v>337</v>
      </c>
      <c r="E792" s="249" t="s">
        <v>341</v>
      </c>
      <c r="F792" s="259" t="s">
        <v>433</v>
      </c>
      <c r="G792" s="256" t="s">
        <v>353</v>
      </c>
      <c r="H792" s="251" t="s">
        <v>346</v>
      </c>
      <c r="I792" s="252" t="s">
        <v>172</v>
      </c>
      <c r="J792" s="253">
        <v>1</v>
      </c>
    </row>
    <row r="793" spans="1:10" ht="14.5" x14ac:dyDescent="0.35">
      <c r="A793" s="254"/>
      <c r="B793" s="248" t="s">
        <v>382</v>
      </c>
      <c r="C793" s="248" t="s">
        <v>326</v>
      </c>
      <c r="D793" s="248" t="s">
        <v>337</v>
      </c>
      <c r="E793" s="249" t="s">
        <v>341</v>
      </c>
      <c r="F793" s="259" t="s">
        <v>435</v>
      </c>
      <c r="G793" s="256" t="s">
        <v>353</v>
      </c>
      <c r="H793" s="251" t="s">
        <v>347</v>
      </c>
      <c r="I793" s="252" t="s">
        <v>172</v>
      </c>
      <c r="J793" s="253">
        <v>0</v>
      </c>
    </row>
    <row r="794" spans="1:10" ht="12.5" x14ac:dyDescent="0.25">
      <c r="A794" s="246"/>
      <c r="B794" s="24"/>
      <c r="C794" s="24"/>
      <c r="D794" s="24"/>
      <c r="E794" s="24"/>
      <c r="F794" s="24"/>
      <c r="G794" s="68"/>
      <c r="H794" s="68"/>
      <c r="I794" s="70"/>
    </row>
    <row r="795" spans="1:10" ht="14.5" x14ac:dyDescent="0.35">
      <c r="A795" s="247">
        <v>130</v>
      </c>
      <c r="B795" s="248" t="s">
        <v>382</v>
      </c>
      <c r="C795" s="248" t="s">
        <v>326</v>
      </c>
      <c r="D795" s="248" t="s">
        <v>337</v>
      </c>
      <c r="E795" s="249" t="s">
        <v>341</v>
      </c>
      <c r="F795" s="258" t="s">
        <v>437</v>
      </c>
      <c r="G795" s="256" t="s">
        <v>352</v>
      </c>
      <c r="H795" s="251" t="s">
        <v>346</v>
      </c>
      <c r="I795" s="252" t="s">
        <v>171</v>
      </c>
      <c r="J795" s="253">
        <v>1</v>
      </c>
    </row>
    <row r="796" spans="1:10" ht="14.5" x14ac:dyDescent="0.35">
      <c r="A796" s="254"/>
      <c r="B796" s="248" t="s">
        <v>382</v>
      </c>
      <c r="C796" s="248" t="s">
        <v>326</v>
      </c>
      <c r="D796" s="248" t="s">
        <v>337</v>
      </c>
      <c r="E796" s="249" t="s">
        <v>341</v>
      </c>
      <c r="F796" s="258" t="s">
        <v>440</v>
      </c>
      <c r="G796" s="256" t="s">
        <v>352</v>
      </c>
      <c r="H796" s="251" t="s">
        <v>347</v>
      </c>
      <c r="I796" s="252" t="s">
        <v>171</v>
      </c>
      <c r="J796" s="253">
        <v>2</v>
      </c>
    </row>
    <row r="797" spans="1:10" ht="14.5" x14ac:dyDescent="0.35">
      <c r="A797" s="254"/>
      <c r="B797" s="248" t="s">
        <v>382</v>
      </c>
      <c r="C797" s="248" t="s">
        <v>326</v>
      </c>
      <c r="D797" s="248" t="s">
        <v>337</v>
      </c>
      <c r="E797" s="249" t="s">
        <v>341</v>
      </c>
      <c r="F797" s="259" t="s">
        <v>433</v>
      </c>
      <c r="G797" s="256" t="s">
        <v>353</v>
      </c>
      <c r="H797" s="251" t="s">
        <v>346</v>
      </c>
      <c r="I797" s="252" t="s">
        <v>171</v>
      </c>
      <c r="J797" s="253">
        <v>1</v>
      </c>
    </row>
    <row r="798" spans="1:10" ht="14.5" x14ac:dyDescent="0.35">
      <c r="A798" s="254"/>
      <c r="B798" s="248" t="s">
        <v>382</v>
      </c>
      <c r="C798" s="248" t="s">
        <v>326</v>
      </c>
      <c r="D798" s="248" t="s">
        <v>337</v>
      </c>
      <c r="E798" s="249" t="s">
        <v>341</v>
      </c>
      <c r="F798" s="259" t="s">
        <v>435</v>
      </c>
      <c r="G798" s="256" t="s">
        <v>353</v>
      </c>
      <c r="H798" s="251" t="s">
        <v>347</v>
      </c>
      <c r="I798" s="252" t="s">
        <v>171</v>
      </c>
      <c r="J798" s="253">
        <v>1</v>
      </c>
    </row>
    <row r="799" spans="1:10" ht="12.5" x14ac:dyDescent="0.25">
      <c r="A799" s="246"/>
      <c r="B799" s="24"/>
      <c r="C799" s="24"/>
      <c r="D799" s="24"/>
      <c r="E799" s="24"/>
      <c r="F799" s="24"/>
      <c r="G799" s="68"/>
      <c r="H799" s="68"/>
      <c r="I799" s="70"/>
    </row>
    <row r="800" spans="1:10" ht="14.5" x14ac:dyDescent="0.35">
      <c r="A800" s="247">
        <v>131</v>
      </c>
      <c r="B800" s="248" t="s">
        <v>382</v>
      </c>
      <c r="C800" s="248" t="s">
        <v>326</v>
      </c>
      <c r="D800" s="248" t="s">
        <v>337</v>
      </c>
      <c r="E800" s="249" t="s">
        <v>342</v>
      </c>
      <c r="F800" s="258" t="s">
        <v>437</v>
      </c>
      <c r="G800" s="256" t="s">
        <v>352</v>
      </c>
      <c r="H800" s="251" t="s">
        <v>346</v>
      </c>
      <c r="I800" s="252">
        <v>64028</v>
      </c>
      <c r="J800" s="253">
        <v>3</v>
      </c>
    </row>
    <row r="801" spans="1:10" ht="14.5" x14ac:dyDescent="0.35">
      <c r="A801" s="254"/>
      <c r="B801" s="248" t="s">
        <v>382</v>
      </c>
      <c r="C801" s="248" t="s">
        <v>326</v>
      </c>
      <c r="D801" s="248" t="s">
        <v>337</v>
      </c>
      <c r="E801" s="249" t="s">
        <v>342</v>
      </c>
      <c r="F801" s="258" t="s">
        <v>440</v>
      </c>
      <c r="G801" s="256" t="s">
        <v>352</v>
      </c>
      <c r="H801" s="251" t="s">
        <v>347</v>
      </c>
      <c r="I801" s="252">
        <v>64028</v>
      </c>
      <c r="J801" s="253">
        <v>3</v>
      </c>
    </row>
    <row r="802" spans="1:10" ht="14.5" x14ac:dyDescent="0.35">
      <c r="A802" s="254"/>
      <c r="B802" s="248" t="s">
        <v>382</v>
      </c>
      <c r="C802" s="248" t="s">
        <v>326</v>
      </c>
      <c r="D802" s="248" t="s">
        <v>337</v>
      </c>
      <c r="E802" s="249" t="s">
        <v>342</v>
      </c>
      <c r="F802" s="259" t="s">
        <v>433</v>
      </c>
      <c r="G802" s="256" t="s">
        <v>353</v>
      </c>
      <c r="H802" s="251" t="s">
        <v>346</v>
      </c>
      <c r="I802" s="252">
        <v>64028</v>
      </c>
      <c r="J802" s="253">
        <v>3</v>
      </c>
    </row>
    <row r="803" spans="1:10" ht="14.5" x14ac:dyDescent="0.35">
      <c r="A803" s="254"/>
      <c r="B803" s="248" t="s">
        <v>382</v>
      </c>
      <c r="C803" s="248" t="s">
        <v>326</v>
      </c>
      <c r="D803" s="248" t="s">
        <v>337</v>
      </c>
      <c r="E803" s="249" t="s">
        <v>342</v>
      </c>
      <c r="F803" s="259" t="s">
        <v>435</v>
      </c>
      <c r="G803" s="256" t="s">
        <v>353</v>
      </c>
      <c r="H803" s="251" t="s">
        <v>347</v>
      </c>
      <c r="I803" s="252">
        <v>64028</v>
      </c>
      <c r="J803" s="253">
        <v>3</v>
      </c>
    </row>
    <row r="804" spans="1:10" ht="12.5" x14ac:dyDescent="0.25">
      <c r="A804" s="246"/>
      <c r="B804" s="24"/>
      <c r="C804" s="24"/>
      <c r="D804" s="24"/>
      <c r="E804" s="24"/>
      <c r="F804" s="24"/>
      <c r="G804" s="68"/>
      <c r="H804" s="68"/>
      <c r="I804" s="70"/>
    </row>
    <row r="805" spans="1:10" ht="14.5" x14ac:dyDescent="0.35">
      <c r="A805" s="247">
        <v>132</v>
      </c>
      <c r="B805" s="248" t="s">
        <v>382</v>
      </c>
      <c r="C805" s="248" t="s">
        <v>326</v>
      </c>
      <c r="D805" s="248" t="s">
        <v>337</v>
      </c>
      <c r="E805" s="249" t="s">
        <v>342</v>
      </c>
      <c r="F805" s="258" t="s">
        <v>437</v>
      </c>
      <c r="G805" s="256" t="s">
        <v>352</v>
      </c>
      <c r="H805" s="251" t="s">
        <v>346</v>
      </c>
      <c r="I805" s="252">
        <v>64048</v>
      </c>
      <c r="J805" s="253">
        <v>1</v>
      </c>
    </row>
    <row r="806" spans="1:10" ht="14.5" x14ac:dyDescent="0.35">
      <c r="A806" s="254"/>
      <c r="B806" s="248" t="s">
        <v>382</v>
      </c>
      <c r="C806" s="248" t="s">
        <v>326</v>
      </c>
      <c r="D806" s="248" t="s">
        <v>337</v>
      </c>
      <c r="E806" s="249" t="s">
        <v>342</v>
      </c>
      <c r="F806" s="258" t="s">
        <v>440</v>
      </c>
      <c r="G806" s="256" t="s">
        <v>352</v>
      </c>
      <c r="H806" s="251" t="s">
        <v>347</v>
      </c>
      <c r="I806" s="252">
        <v>64048</v>
      </c>
      <c r="J806" s="253">
        <v>2</v>
      </c>
    </row>
    <row r="807" spans="1:10" ht="14.5" x14ac:dyDescent="0.35">
      <c r="A807" s="254"/>
      <c r="B807" s="248" t="s">
        <v>382</v>
      </c>
      <c r="C807" s="248" t="s">
        <v>326</v>
      </c>
      <c r="D807" s="248" t="s">
        <v>337</v>
      </c>
      <c r="E807" s="249" t="s">
        <v>342</v>
      </c>
      <c r="F807" s="259" t="s">
        <v>433</v>
      </c>
      <c r="G807" s="256" t="s">
        <v>353</v>
      </c>
      <c r="H807" s="251" t="s">
        <v>346</v>
      </c>
      <c r="I807" s="252">
        <v>64048</v>
      </c>
      <c r="J807" s="253">
        <v>1</v>
      </c>
    </row>
    <row r="808" spans="1:10" ht="14.5" x14ac:dyDescent="0.35">
      <c r="A808" s="254"/>
      <c r="B808" s="248" t="s">
        <v>382</v>
      </c>
      <c r="C808" s="248" t="s">
        <v>326</v>
      </c>
      <c r="D808" s="248" t="s">
        <v>337</v>
      </c>
      <c r="E808" s="249" t="s">
        <v>342</v>
      </c>
      <c r="F808" s="259" t="s">
        <v>435</v>
      </c>
      <c r="G808" s="256" t="s">
        <v>353</v>
      </c>
      <c r="H808" s="251" t="s">
        <v>347</v>
      </c>
      <c r="I808" s="252">
        <v>64048</v>
      </c>
      <c r="J808" s="253">
        <v>2</v>
      </c>
    </row>
    <row r="809" spans="1:10" ht="12.5" x14ac:dyDescent="0.25">
      <c r="A809" s="246"/>
      <c r="B809" s="24"/>
      <c r="C809" s="24"/>
      <c r="D809" s="24"/>
      <c r="E809" s="24"/>
      <c r="F809" s="24"/>
      <c r="G809" s="68"/>
      <c r="H809" s="68"/>
      <c r="I809" s="70"/>
    </row>
    <row r="810" spans="1:10" ht="14.5" x14ac:dyDescent="0.35">
      <c r="A810" s="247">
        <v>133</v>
      </c>
      <c r="B810" s="248" t="s">
        <v>382</v>
      </c>
      <c r="C810" s="248" t="s">
        <v>326</v>
      </c>
      <c r="D810" s="248" t="s">
        <v>337</v>
      </c>
      <c r="E810" s="249" t="s">
        <v>342</v>
      </c>
      <c r="F810" s="258" t="s">
        <v>437</v>
      </c>
      <c r="G810" s="256" t="s">
        <v>352</v>
      </c>
      <c r="H810" s="251" t="s">
        <v>346</v>
      </c>
      <c r="I810" s="252">
        <v>64115</v>
      </c>
      <c r="J810" s="253">
        <v>1</v>
      </c>
    </row>
    <row r="811" spans="1:10" ht="14.5" x14ac:dyDescent="0.35">
      <c r="A811" s="254"/>
      <c r="B811" s="248" t="s">
        <v>382</v>
      </c>
      <c r="C811" s="248" t="s">
        <v>326</v>
      </c>
      <c r="D811" s="248" t="s">
        <v>337</v>
      </c>
      <c r="E811" s="249" t="s">
        <v>342</v>
      </c>
      <c r="F811" s="258" t="s">
        <v>440</v>
      </c>
      <c r="G811" s="256" t="s">
        <v>352</v>
      </c>
      <c r="H811" s="251" t="s">
        <v>347</v>
      </c>
      <c r="I811" s="252">
        <v>64115</v>
      </c>
      <c r="J811" s="253">
        <v>1</v>
      </c>
    </row>
    <row r="812" spans="1:10" ht="14.5" x14ac:dyDescent="0.35">
      <c r="A812" s="254"/>
      <c r="B812" s="248" t="s">
        <v>382</v>
      </c>
      <c r="C812" s="248" t="s">
        <v>326</v>
      </c>
      <c r="D812" s="248" t="s">
        <v>337</v>
      </c>
      <c r="E812" s="249" t="s">
        <v>342</v>
      </c>
      <c r="F812" s="259" t="s">
        <v>433</v>
      </c>
      <c r="G812" s="256" t="s">
        <v>353</v>
      </c>
      <c r="H812" s="251" t="s">
        <v>346</v>
      </c>
      <c r="I812" s="252">
        <v>64115</v>
      </c>
      <c r="J812" s="253">
        <v>1</v>
      </c>
    </row>
    <row r="813" spans="1:10" ht="14.5" x14ac:dyDescent="0.35">
      <c r="A813" s="254"/>
      <c r="B813" s="248" t="s">
        <v>382</v>
      </c>
      <c r="C813" s="248" t="s">
        <v>326</v>
      </c>
      <c r="D813" s="248" t="s">
        <v>337</v>
      </c>
      <c r="E813" s="249" t="s">
        <v>342</v>
      </c>
      <c r="F813" s="259" t="s">
        <v>435</v>
      </c>
      <c r="G813" s="256" t="s">
        <v>353</v>
      </c>
      <c r="H813" s="251" t="s">
        <v>347</v>
      </c>
      <c r="I813" s="252">
        <v>64115</v>
      </c>
      <c r="J813" s="253">
        <v>1</v>
      </c>
    </row>
    <row r="814" spans="1:10" ht="12.5" x14ac:dyDescent="0.25">
      <c r="A814" s="246"/>
      <c r="B814" s="24"/>
      <c r="C814" s="24"/>
      <c r="D814" s="24"/>
      <c r="E814" s="24"/>
      <c r="F814" s="24"/>
      <c r="G814" s="68"/>
      <c r="H814" s="68"/>
      <c r="I814" s="70"/>
    </row>
    <row r="815" spans="1:10" ht="14.5" x14ac:dyDescent="0.35">
      <c r="A815" s="247">
        <v>134</v>
      </c>
      <c r="B815" s="248" t="s">
        <v>382</v>
      </c>
      <c r="C815" s="248" t="s">
        <v>326</v>
      </c>
      <c r="D815" s="248" t="s">
        <v>337</v>
      </c>
      <c r="E815" s="249" t="s">
        <v>342</v>
      </c>
      <c r="F815" s="258" t="s">
        <v>437</v>
      </c>
      <c r="G815" s="256" t="s">
        <v>352</v>
      </c>
      <c r="H815" s="251" t="s">
        <v>346</v>
      </c>
      <c r="I815" s="252">
        <v>64346</v>
      </c>
      <c r="J815" s="253">
        <v>1</v>
      </c>
    </row>
    <row r="816" spans="1:10" ht="14.5" x14ac:dyDescent="0.35">
      <c r="A816" s="254"/>
      <c r="B816" s="248" t="s">
        <v>382</v>
      </c>
      <c r="C816" s="248" t="s">
        <v>326</v>
      </c>
      <c r="D816" s="248" t="s">
        <v>337</v>
      </c>
      <c r="E816" s="249" t="s">
        <v>342</v>
      </c>
      <c r="F816" s="258" t="s">
        <v>440</v>
      </c>
      <c r="G816" s="256" t="s">
        <v>352</v>
      </c>
      <c r="H816" s="251" t="s">
        <v>347</v>
      </c>
      <c r="I816" s="252">
        <v>64346</v>
      </c>
      <c r="J816" s="253">
        <v>0</v>
      </c>
    </row>
    <row r="817" spans="1:10" ht="14.5" x14ac:dyDescent="0.35">
      <c r="A817" s="254"/>
      <c r="B817" s="248" t="s">
        <v>382</v>
      </c>
      <c r="C817" s="248" t="s">
        <v>326</v>
      </c>
      <c r="D817" s="248" t="s">
        <v>337</v>
      </c>
      <c r="E817" s="249" t="s">
        <v>342</v>
      </c>
      <c r="F817" s="259" t="s">
        <v>433</v>
      </c>
      <c r="G817" s="256" t="s">
        <v>353</v>
      </c>
      <c r="H817" s="251" t="s">
        <v>346</v>
      </c>
      <c r="I817" s="252">
        <v>64346</v>
      </c>
      <c r="J817" s="253">
        <v>0</v>
      </c>
    </row>
    <row r="818" spans="1:10" ht="14.5" x14ac:dyDescent="0.35">
      <c r="A818" s="254"/>
      <c r="B818" s="248" t="s">
        <v>382</v>
      </c>
      <c r="C818" s="248" t="s">
        <v>326</v>
      </c>
      <c r="D818" s="248" t="s">
        <v>337</v>
      </c>
      <c r="E818" s="249" t="s">
        <v>342</v>
      </c>
      <c r="F818" s="259" t="s">
        <v>435</v>
      </c>
      <c r="G818" s="256" t="s">
        <v>353</v>
      </c>
      <c r="H818" s="251" t="s">
        <v>347</v>
      </c>
      <c r="I818" s="252">
        <v>64346</v>
      </c>
      <c r="J818" s="253">
        <v>1</v>
      </c>
    </row>
    <row r="819" spans="1:10" ht="12.5" x14ac:dyDescent="0.25">
      <c r="A819" s="246"/>
      <c r="B819" s="24"/>
      <c r="C819" s="24"/>
      <c r="D819" s="24"/>
      <c r="E819" s="24"/>
      <c r="F819" s="24"/>
      <c r="G819" s="68"/>
      <c r="H819" s="68"/>
      <c r="I819" s="70"/>
    </row>
    <row r="820" spans="1:10" ht="14.5" x14ac:dyDescent="0.35">
      <c r="A820" s="247">
        <v>135</v>
      </c>
      <c r="B820" s="248" t="s">
        <v>382</v>
      </c>
      <c r="C820" s="248" t="s">
        <v>326</v>
      </c>
      <c r="D820" s="248" t="s">
        <v>337</v>
      </c>
      <c r="E820" s="249" t="s">
        <v>342</v>
      </c>
      <c r="F820" s="258" t="s">
        <v>437</v>
      </c>
      <c r="G820" s="256" t="s">
        <v>352</v>
      </c>
      <c r="H820" s="251" t="s">
        <v>346</v>
      </c>
      <c r="I820" s="252">
        <v>64641</v>
      </c>
      <c r="J820" s="253">
        <v>0</v>
      </c>
    </row>
    <row r="821" spans="1:10" ht="14.5" x14ac:dyDescent="0.35">
      <c r="A821" s="254"/>
      <c r="B821" s="248" t="s">
        <v>382</v>
      </c>
      <c r="C821" s="248" t="s">
        <v>326</v>
      </c>
      <c r="D821" s="248" t="s">
        <v>337</v>
      </c>
      <c r="E821" s="249" t="s">
        <v>342</v>
      </c>
      <c r="F821" s="258" t="s">
        <v>440</v>
      </c>
      <c r="G821" s="256" t="s">
        <v>352</v>
      </c>
      <c r="H821" s="251" t="s">
        <v>347</v>
      </c>
      <c r="I821" s="252">
        <v>64641</v>
      </c>
      <c r="J821" s="253">
        <v>0</v>
      </c>
    </row>
    <row r="822" spans="1:10" ht="14.5" x14ac:dyDescent="0.35">
      <c r="A822" s="254"/>
      <c r="B822" s="248" t="s">
        <v>382</v>
      </c>
      <c r="C822" s="248" t="s">
        <v>326</v>
      </c>
      <c r="D822" s="248" t="s">
        <v>337</v>
      </c>
      <c r="E822" s="249" t="s">
        <v>342</v>
      </c>
      <c r="F822" s="259" t="s">
        <v>433</v>
      </c>
      <c r="G822" s="256" t="s">
        <v>353</v>
      </c>
      <c r="H822" s="251" t="s">
        <v>346</v>
      </c>
      <c r="I822" s="252">
        <v>64641</v>
      </c>
      <c r="J822" s="253">
        <v>0</v>
      </c>
    </row>
    <row r="823" spans="1:10" ht="14.5" x14ac:dyDescent="0.35">
      <c r="A823" s="254"/>
      <c r="B823" s="248" t="s">
        <v>382</v>
      </c>
      <c r="C823" s="248" t="s">
        <v>326</v>
      </c>
      <c r="D823" s="248" t="s">
        <v>337</v>
      </c>
      <c r="E823" s="249" t="s">
        <v>342</v>
      </c>
      <c r="F823" s="259" t="s">
        <v>435</v>
      </c>
      <c r="G823" s="256" t="s">
        <v>353</v>
      </c>
      <c r="H823" s="251" t="s">
        <v>347</v>
      </c>
      <c r="I823" s="252">
        <v>64641</v>
      </c>
      <c r="J823" s="253">
        <v>0</v>
      </c>
    </row>
    <row r="824" spans="1:10" ht="12.5" x14ac:dyDescent="0.25">
      <c r="A824" s="246"/>
      <c r="B824" s="24"/>
      <c r="C824" s="24"/>
      <c r="D824" s="24"/>
      <c r="E824" s="24"/>
      <c r="F824" s="24"/>
      <c r="G824" s="68"/>
      <c r="H824" s="68"/>
      <c r="I824" s="70"/>
    </row>
    <row r="825" spans="1:10" ht="14.5" x14ac:dyDescent="0.35">
      <c r="A825" s="247">
        <v>136</v>
      </c>
      <c r="B825" s="248" t="s">
        <v>382</v>
      </c>
      <c r="C825" s="248" t="s">
        <v>326</v>
      </c>
      <c r="D825" s="248" t="s">
        <v>337</v>
      </c>
      <c r="E825" s="249" t="s">
        <v>342</v>
      </c>
      <c r="F825" s="258" t="s">
        <v>437</v>
      </c>
      <c r="G825" s="256" t="s">
        <v>352</v>
      </c>
      <c r="H825" s="251" t="s">
        <v>346</v>
      </c>
      <c r="I825" s="252">
        <v>64829</v>
      </c>
      <c r="J825" s="253">
        <v>1</v>
      </c>
    </row>
    <row r="826" spans="1:10" ht="14.5" x14ac:dyDescent="0.35">
      <c r="A826" s="254"/>
      <c r="B826" s="248" t="s">
        <v>382</v>
      </c>
      <c r="C826" s="248" t="s">
        <v>326</v>
      </c>
      <c r="D826" s="248" t="s">
        <v>337</v>
      </c>
      <c r="E826" s="249" t="s">
        <v>342</v>
      </c>
      <c r="F826" s="258" t="s">
        <v>440</v>
      </c>
      <c r="G826" s="256" t="s">
        <v>352</v>
      </c>
      <c r="H826" s="251" t="s">
        <v>347</v>
      </c>
      <c r="I826" s="252">
        <v>64829</v>
      </c>
      <c r="J826" s="253">
        <v>0</v>
      </c>
    </row>
    <row r="827" spans="1:10" ht="14.5" x14ac:dyDescent="0.35">
      <c r="A827" s="254"/>
      <c r="B827" s="248" t="s">
        <v>382</v>
      </c>
      <c r="C827" s="248" t="s">
        <v>326</v>
      </c>
      <c r="D827" s="248" t="s">
        <v>337</v>
      </c>
      <c r="E827" s="249" t="s">
        <v>342</v>
      </c>
      <c r="F827" s="259" t="s">
        <v>433</v>
      </c>
      <c r="G827" s="256" t="s">
        <v>353</v>
      </c>
      <c r="H827" s="251" t="s">
        <v>346</v>
      </c>
      <c r="I827" s="252">
        <v>64829</v>
      </c>
      <c r="J827" s="253">
        <v>1</v>
      </c>
    </row>
    <row r="828" spans="1:10" ht="14.5" x14ac:dyDescent="0.35">
      <c r="A828" s="254"/>
      <c r="B828" s="248" t="s">
        <v>382</v>
      </c>
      <c r="C828" s="248" t="s">
        <v>326</v>
      </c>
      <c r="D828" s="248" t="s">
        <v>337</v>
      </c>
      <c r="E828" s="249" t="s">
        <v>342</v>
      </c>
      <c r="F828" s="259" t="s">
        <v>435</v>
      </c>
      <c r="G828" s="256" t="s">
        <v>353</v>
      </c>
      <c r="H828" s="251" t="s">
        <v>347</v>
      </c>
      <c r="I828" s="252">
        <v>64829</v>
      </c>
      <c r="J828" s="253">
        <v>1</v>
      </c>
    </row>
    <row r="829" spans="1:10" ht="12.5" x14ac:dyDescent="0.25">
      <c r="A829" s="246"/>
      <c r="B829" s="24"/>
      <c r="C829" s="24"/>
      <c r="D829" s="24"/>
      <c r="E829" s="24"/>
      <c r="F829" s="24"/>
      <c r="G829" s="68"/>
      <c r="H829" s="68"/>
      <c r="I829" s="70"/>
    </row>
    <row r="830" spans="1:10" ht="12.5" x14ac:dyDescent="0.25">
      <c r="A830" s="246"/>
      <c r="B830" s="24"/>
      <c r="C830" s="24"/>
      <c r="D830" s="24"/>
      <c r="E830" s="24"/>
      <c r="F830" s="24"/>
      <c r="G830" s="68"/>
      <c r="H830" s="68"/>
      <c r="I830" s="70"/>
    </row>
    <row r="831" spans="1:10" ht="14.5" x14ac:dyDescent="0.35">
      <c r="A831" s="247">
        <v>137</v>
      </c>
      <c r="B831" s="248" t="s">
        <v>382</v>
      </c>
      <c r="C831" s="248" t="s">
        <v>326</v>
      </c>
      <c r="D831" s="248" t="s">
        <v>337</v>
      </c>
      <c r="E831" s="249" t="s">
        <v>342</v>
      </c>
      <c r="F831" s="258" t="s">
        <v>437</v>
      </c>
      <c r="G831" s="256" t="s">
        <v>352</v>
      </c>
      <c r="H831" s="251" t="s">
        <v>346</v>
      </c>
      <c r="I831" s="252">
        <v>64996</v>
      </c>
      <c r="J831" s="253">
        <v>0</v>
      </c>
    </row>
    <row r="832" spans="1:10" ht="14.5" x14ac:dyDescent="0.35">
      <c r="A832" s="254"/>
      <c r="B832" s="248" t="s">
        <v>382</v>
      </c>
      <c r="C832" s="248" t="s">
        <v>326</v>
      </c>
      <c r="D832" s="248" t="s">
        <v>337</v>
      </c>
      <c r="E832" s="249" t="s">
        <v>342</v>
      </c>
      <c r="F832" s="258" t="s">
        <v>440</v>
      </c>
      <c r="G832" s="256" t="s">
        <v>352</v>
      </c>
      <c r="H832" s="251" t="s">
        <v>347</v>
      </c>
      <c r="I832" s="252">
        <v>64996</v>
      </c>
      <c r="J832" s="253">
        <v>1</v>
      </c>
    </row>
    <row r="833" spans="1:10" ht="14.5" x14ac:dyDescent="0.35">
      <c r="A833" s="254"/>
      <c r="B833" s="248" t="s">
        <v>382</v>
      </c>
      <c r="C833" s="248" t="s">
        <v>326</v>
      </c>
      <c r="D833" s="248" t="s">
        <v>337</v>
      </c>
      <c r="E833" s="249" t="s">
        <v>342</v>
      </c>
      <c r="F833" s="259" t="s">
        <v>433</v>
      </c>
      <c r="G833" s="256" t="s">
        <v>353</v>
      </c>
      <c r="H833" s="251" t="s">
        <v>346</v>
      </c>
      <c r="I833" s="252">
        <v>64996</v>
      </c>
      <c r="J833" s="253">
        <v>0</v>
      </c>
    </row>
    <row r="834" spans="1:10" ht="14.5" x14ac:dyDescent="0.35">
      <c r="A834" s="254"/>
      <c r="B834" s="248" t="s">
        <v>382</v>
      </c>
      <c r="C834" s="248" t="s">
        <v>326</v>
      </c>
      <c r="D834" s="248" t="s">
        <v>337</v>
      </c>
      <c r="E834" s="249" t="s">
        <v>342</v>
      </c>
      <c r="F834" s="259" t="s">
        <v>435</v>
      </c>
      <c r="G834" s="256" t="s">
        <v>353</v>
      </c>
      <c r="H834" s="251" t="s">
        <v>347</v>
      </c>
      <c r="I834" s="252">
        <v>64996</v>
      </c>
      <c r="J834" s="253">
        <v>1</v>
      </c>
    </row>
    <row r="835" spans="1:10" ht="12.5" x14ac:dyDescent="0.25">
      <c r="A835" s="246"/>
      <c r="B835" s="24"/>
      <c r="C835" s="24"/>
      <c r="D835" s="24"/>
      <c r="E835" s="24"/>
      <c r="F835" s="24"/>
      <c r="G835" s="68"/>
      <c r="H835" s="68"/>
      <c r="I835" s="70"/>
    </row>
    <row r="836" spans="1:10" ht="14.5" x14ac:dyDescent="0.35">
      <c r="A836" s="247">
        <v>138</v>
      </c>
      <c r="B836" s="248" t="s">
        <v>382</v>
      </c>
      <c r="C836" s="248" t="s">
        <v>326</v>
      </c>
      <c r="D836" s="248" t="s">
        <v>337</v>
      </c>
      <c r="E836" s="249" t="s">
        <v>342</v>
      </c>
      <c r="F836" s="258" t="s">
        <v>437</v>
      </c>
      <c r="G836" s="256" t="s">
        <v>352</v>
      </c>
      <c r="H836" s="251" t="s">
        <v>346</v>
      </c>
      <c r="I836" s="252">
        <v>65199</v>
      </c>
      <c r="J836" s="253">
        <v>0</v>
      </c>
    </row>
    <row r="837" spans="1:10" ht="14.5" x14ac:dyDescent="0.35">
      <c r="A837" s="254"/>
      <c r="B837" s="248" t="s">
        <v>382</v>
      </c>
      <c r="C837" s="248" t="s">
        <v>326</v>
      </c>
      <c r="D837" s="248" t="s">
        <v>337</v>
      </c>
      <c r="E837" s="249" t="s">
        <v>342</v>
      </c>
      <c r="F837" s="258" t="s">
        <v>440</v>
      </c>
      <c r="G837" s="256" t="s">
        <v>352</v>
      </c>
      <c r="H837" s="251" t="s">
        <v>347</v>
      </c>
      <c r="I837" s="252">
        <v>65199</v>
      </c>
      <c r="J837" s="253">
        <v>1</v>
      </c>
    </row>
    <row r="838" spans="1:10" ht="14.5" x14ac:dyDescent="0.35">
      <c r="A838" s="254"/>
      <c r="B838" s="248" t="s">
        <v>382</v>
      </c>
      <c r="C838" s="248" t="s">
        <v>326</v>
      </c>
      <c r="D838" s="248" t="s">
        <v>337</v>
      </c>
      <c r="E838" s="249" t="s">
        <v>342</v>
      </c>
      <c r="F838" s="259" t="s">
        <v>433</v>
      </c>
      <c r="G838" s="256" t="s">
        <v>353</v>
      </c>
      <c r="H838" s="251" t="s">
        <v>346</v>
      </c>
      <c r="I838" s="252">
        <v>65199</v>
      </c>
      <c r="J838" s="253">
        <v>0</v>
      </c>
    </row>
    <row r="839" spans="1:10" ht="14.5" x14ac:dyDescent="0.35">
      <c r="A839" s="254"/>
      <c r="B839" s="248" t="s">
        <v>382</v>
      </c>
      <c r="C839" s="248" t="s">
        <v>326</v>
      </c>
      <c r="D839" s="248" t="s">
        <v>337</v>
      </c>
      <c r="E839" s="249" t="s">
        <v>342</v>
      </c>
      <c r="F839" s="259" t="s">
        <v>435</v>
      </c>
      <c r="G839" s="256" t="s">
        <v>353</v>
      </c>
      <c r="H839" s="251" t="s">
        <v>347</v>
      </c>
      <c r="I839" s="252">
        <v>65199</v>
      </c>
      <c r="J839" s="253">
        <v>1</v>
      </c>
    </row>
    <row r="840" spans="1:10" ht="12.5" x14ac:dyDescent="0.25">
      <c r="A840" s="246"/>
      <c r="B840" s="24"/>
      <c r="C840" s="24"/>
      <c r="D840" s="24"/>
      <c r="E840" s="24"/>
      <c r="F840" s="24"/>
      <c r="G840" s="68"/>
      <c r="H840" s="68"/>
      <c r="I840" s="70"/>
    </row>
    <row r="841" spans="1:10" ht="12.5" x14ac:dyDescent="0.25">
      <c r="A841" s="246"/>
      <c r="B841" s="24"/>
      <c r="C841" s="24"/>
      <c r="D841" s="24"/>
      <c r="E841" s="24"/>
      <c r="F841" s="24"/>
      <c r="G841" s="68"/>
      <c r="H841" s="68"/>
      <c r="I841" s="70"/>
    </row>
    <row r="842" spans="1:10" ht="14.5" x14ac:dyDescent="0.35">
      <c r="A842" s="247">
        <v>139</v>
      </c>
      <c r="B842" s="248" t="s">
        <v>382</v>
      </c>
      <c r="C842" s="248" t="s">
        <v>326</v>
      </c>
      <c r="D842" s="248" t="s">
        <v>337</v>
      </c>
      <c r="E842" s="249" t="s">
        <v>342</v>
      </c>
      <c r="F842" s="258" t="s">
        <v>437</v>
      </c>
      <c r="G842" s="256" t="s">
        <v>352</v>
      </c>
      <c r="H842" s="251" t="s">
        <v>346</v>
      </c>
      <c r="I842" s="252" t="s">
        <v>145</v>
      </c>
      <c r="J842" s="253">
        <v>5</v>
      </c>
    </row>
    <row r="843" spans="1:10" ht="14.5" x14ac:dyDescent="0.35">
      <c r="A843" s="254"/>
      <c r="B843" s="248" t="s">
        <v>382</v>
      </c>
      <c r="C843" s="248" t="s">
        <v>326</v>
      </c>
      <c r="D843" s="248" t="s">
        <v>337</v>
      </c>
      <c r="E843" s="249" t="s">
        <v>342</v>
      </c>
      <c r="F843" s="258" t="s">
        <v>440</v>
      </c>
      <c r="G843" s="256" t="s">
        <v>352</v>
      </c>
      <c r="H843" s="251" t="s">
        <v>347</v>
      </c>
      <c r="I843" s="252" t="s">
        <v>145</v>
      </c>
      <c r="J843" s="253">
        <v>6</v>
      </c>
    </row>
    <row r="844" spans="1:10" ht="14.5" x14ac:dyDescent="0.35">
      <c r="A844" s="254"/>
      <c r="B844" s="248" t="s">
        <v>382</v>
      </c>
      <c r="C844" s="248" t="s">
        <v>326</v>
      </c>
      <c r="D844" s="248" t="s">
        <v>337</v>
      </c>
      <c r="E844" s="249" t="s">
        <v>342</v>
      </c>
      <c r="F844" s="259" t="s">
        <v>433</v>
      </c>
      <c r="G844" s="256" t="s">
        <v>353</v>
      </c>
      <c r="H844" s="251" t="s">
        <v>346</v>
      </c>
      <c r="I844" s="252" t="s">
        <v>145</v>
      </c>
      <c r="J844" s="253">
        <v>4</v>
      </c>
    </row>
    <row r="845" spans="1:10" ht="14.5" x14ac:dyDescent="0.35">
      <c r="A845" s="254"/>
      <c r="B845" s="248" t="s">
        <v>382</v>
      </c>
      <c r="C845" s="248" t="s">
        <v>326</v>
      </c>
      <c r="D845" s="248" t="s">
        <v>337</v>
      </c>
      <c r="E845" s="249" t="s">
        <v>342</v>
      </c>
      <c r="F845" s="259" t="s">
        <v>435</v>
      </c>
      <c r="G845" s="256" t="s">
        <v>353</v>
      </c>
      <c r="H845" s="251" t="s">
        <v>347</v>
      </c>
      <c r="I845" s="252" t="s">
        <v>145</v>
      </c>
      <c r="J845" s="253">
        <v>4</v>
      </c>
    </row>
    <row r="846" spans="1:10" ht="12.5" x14ac:dyDescent="0.25">
      <c r="A846" s="246"/>
      <c r="B846" s="24"/>
      <c r="C846" s="24"/>
      <c r="D846" s="24"/>
      <c r="E846" s="24"/>
      <c r="F846" s="24"/>
      <c r="G846" s="68"/>
      <c r="H846" s="68"/>
      <c r="I846" s="70"/>
    </row>
    <row r="847" spans="1:10" ht="12.5" x14ac:dyDescent="0.25">
      <c r="A847" s="246"/>
      <c r="B847" s="24"/>
      <c r="C847" s="24"/>
      <c r="D847" s="24"/>
      <c r="E847" s="24"/>
      <c r="F847" s="24"/>
      <c r="G847" s="68"/>
      <c r="H847" s="68"/>
      <c r="I847" s="70"/>
    </row>
    <row r="848" spans="1:10" ht="14.5" x14ac:dyDescent="0.35">
      <c r="A848" s="247">
        <v>140</v>
      </c>
      <c r="B848" s="248" t="s">
        <v>382</v>
      </c>
      <c r="C848" s="248" t="s">
        <v>326</v>
      </c>
      <c r="D848" s="248" t="s">
        <v>337</v>
      </c>
      <c r="E848" s="249" t="s">
        <v>342</v>
      </c>
      <c r="F848" s="258" t="s">
        <v>437</v>
      </c>
      <c r="G848" s="256" t="s">
        <v>352</v>
      </c>
      <c r="H848" s="251" t="s">
        <v>346</v>
      </c>
      <c r="I848" s="252" t="s">
        <v>149</v>
      </c>
      <c r="J848" s="253">
        <v>6</v>
      </c>
    </row>
    <row r="849" spans="1:10" ht="14.5" x14ac:dyDescent="0.35">
      <c r="A849" s="254"/>
      <c r="B849" s="248" t="s">
        <v>382</v>
      </c>
      <c r="C849" s="248" t="s">
        <v>326</v>
      </c>
      <c r="D849" s="248" t="s">
        <v>337</v>
      </c>
      <c r="E849" s="249" t="s">
        <v>342</v>
      </c>
      <c r="F849" s="258" t="s">
        <v>440</v>
      </c>
      <c r="G849" s="256" t="s">
        <v>352</v>
      </c>
      <c r="H849" s="251" t="s">
        <v>347</v>
      </c>
      <c r="I849" s="252" t="s">
        <v>149</v>
      </c>
      <c r="J849" s="253">
        <v>7</v>
      </c>
    </row>
    <row r="850" spans="1:10" ht="14.5" x14ac:dyDescent="0.35">
      <c r="A850" s="254"/>
      <c r="B850" s="248" t="s">
        <v>382</v>
      </c>
      <c r="C850" s="248" t="s">
        <v>326</v>
      </c>
      <c r="D850" s="248" t="s">
        <v>337</v>
      </c>
      <c r="E850" s="249" t="s">
        <v>342</v>
      </c>
      <c r="F850" s="259" t="s">
        <v>433</v>
      </c>
      <c r="G850" s="256" t="s">
        <v>353</v>
      </c>
      <c r="H850" s="251" t="s">
        <v>346</v>
      </c>
      <c r="I850" s="252" t="s">
        <v>149</v>
      </c>
      <c r="J850" s="253">
        <v>5</v>
      </c>
    </row>
    <row r="851" spans="1:10" ht="14.5" x14ac:dyDescent="0.35">
      <c r="A851" s="254"/>
      <c r="B851" s="248" t="s">
        <v>382</v>
      </c>
      <c r="C851" s="248" t="s">
        <v>326</v>
      </c>
      <c r="D851" s="248" t="s">
        <v>337</v>
      </c>
      <c r="E851" s="249" t="s">
        <v>342</v>
      </c>
      <c r="F851" s="259" t="s">
        <v>435</v>
      </c>
      <c r="G851" s="256" t="s">
        <v>353</v>
      </c>
      <c r="H851" s="251" t="s">
        <v>347</v>
      </c>
      <c r="I851" s="252" t="s">
        <v>149</v>
      </c>
      <c r="J851" s="253">
        <v>7</v>
      </c>
    </row>
    <row r="852" spans="1:10" ht="12.5" x14ac:dyDescent="0.25">
      <c r="A852" s="246"/>
      <c r="B852" s="24"/>
      <c r="C852" s="24"/>
      <c r="D852" s="24"/>
      <c r="E852" s="24"/>
      <c r="F852" s="24"/>
      <c r="G852" s="68"/>
      <c r="H852" s="68"/>
      <c r="I852" s="70"/>
    </row>
    <row r="853" spans="1:10" ht="14.5" x14ac:dyDescent="0.35">
      <c r="A853" s="247">
        <v>141</v>
      </c>
      <c r="B853" s="248" t="s">
        <v>382</v>
      </c>
      <c r="C853" s="248" t="s">
        <v>326</v>
      </c>
      <c r="D853" s="248" t="s">
        <v>337</v>
      </c>
      <c r="E853" s="249" t="s">
        <v>343</v>
      </c>
      <c r="F853" s="258" t="s">
        <v>437</v>
      </c>
      <c r="G853" s="256" t="s">
        <v>352</v>
      </c>
      <c r="H853" s="251" t="s">
        <v>346</v>
      </c>
      <c r="I853" s="252">
        <v>36207</v>
      </c>
      <c r="J853" s="253">
        <v>1</v>
      </c>
    </row>
    <row r="854" spans="1:10" ht="14.5" x14ac:dyDescent="0.35">
      <c r="A854" s="254"/>
      <c r="B854" s="248" t="s">
        <v>382</v>
      </c>
      <c r="C854" s="248" t="s">
        <v>326</v>
      </c>
      <c r="D854" s="248" t="s">
        <v>337</v>
      </c>
      <c r="E854" s="249" t="s">
        <v>343</v>
      </c>
      <c r="F854" s="258" t="s">
        <v>440</v>
      </c>
      <c r="G854" s="256" t="s">
        <v>352</v>
      </c>
      <c r="H854" s="251" t="s">
        <v>347</v>
      </c>
      <c r="I854" s="252">
        <v>36207</v>
      </c>
      <c r="J854" s="253">
        <v>1</v>
      </c>
    </row>
    <row r="855" spans="1:10" ht="14.5" x14ac:dyDescent="0.35">
      <c r="A855" s="254"/>
      <c r="B855" s="248" t="s">
        <v>382</v>
      </c>
      <c r="C855" s="248" t="s">
        <v>326</v>
      </c>
      <c r="D855" s="248" t="s">
        <v>337</v>
      </c>
      <c r="E855" s="249" t="s">
        <v>343</v>
      </c>
      <c r="F855" s="259" t="s">
        <v>433</v>
      </c>
      <c r="G855" s="256" t="s">
        <v>353</v>
      </c>
      <c r="H855" s="251" t="s">
        <v>346</v>
      </c>
      <c r="I855" s="252">
        <v>36207</v>
      </c>
      <c r="J855" s="253">
        <v>1</v>
      </c>
    </row>
    <row r="856" spans="1:10" ht="14.5" x14ac:dyDescent="0.35">
      <c r="A856" s="254"/>
      <c r="B856" s="248" t="s">
        <v>382</v>
      </c>
      <c r="C856" s="248" t="s">
        <v>326</v>
      </c>
      <c r="D856" s="248" t="s">
        <v>337</v>
      </c>
      <c r="E856" s="249" t="s">
        <v>343</v>
      </c>
      <c r="F856" s="259" t="s">
        <v>435</v>
      </c>
      <c r="G856" s="256" t="s">
        <v>353</v>
      </c>
      <c r="H856" s="251" t="s">
        <v>347</v>
      </c>
      <c r="I856" s="252">
        <v>36207</v>
      </c>
      <c r="J856" s="253">
        <v>1</v>
      </c>
    </row>
    <row r="857" spans="1:10" ht="12.5" x14ac:dyDescent="0.25">
      <c r="A857" s="246"/>
      <c r="B857" s="24"/>
      <c r="C857" s="24"/>
      <c r="D857" s="24"/>
      <c r="E857" s="24"/>
      <c r="F857" s="24"/>
      <c r="G857" s="68"/>
      <c r="H857" s="68"/>
      <c r="I857" s="70"/>
    </row>
    <row r="858" spans="1:10" ht="12.5" x14ac:dyDescent="0.25">
      <c r="A858" s="246"/>
      <c r="B858" s="24"/>
      <c r="C858" s="24"/>
      <c r="D858" s="24"/>
      <c r="E858" s="24"/>
      <c r="F858" s="24"/>
      <c r="G858" s="68"/>
      <c r="H858" s="68"/>
      <c r="I858" s="70"/>
    </row>
    <row r="859" spans="1:10" ht="14.5" x14ac:dyDescent="0.35">
      <c r="A859" s="247">
        <v>142</v>
      </c>
      <c r="B859" s="248" t="s">
        <v>382</v>
      </c>
      <c r="C859" s="248" t="s">
        <v>326</v>
      </c>
      <c r="D859" s="248" t="s">
        <v>337</v>
      </c>
      <c r="E859" s="249" t="s">
        <v>343</v>
      </c>
      <c r="F859" s="258" t="s">
        <v>437</v>
      </c>
      <c r="G859" s="256" t="s">
        <v>352</v>
      </c>
      <c r="H859" s="251" t="s">
        <v>346</v>
      </c>
      <c r="I859" s="252" t="s">
        <v>411</v>
      </c>
      <c r="J859" s="253">
        <v>1</v>
      </c>
    </row>
    <row r="860" spans="1:10" ht="14.5" x14ac:dyDescent="0.35">
      <c r="A860" s="254"/>
      <c r="B860" s="248" t="s">
        <v>382</v>
      </c>
      <c r="C860" s="248" t="s">
        <v>326</v>
      </c>
      <c r="D860" s="248" t="s">
        <v>337</v>
      </c>
      <c r="E860" s="249" t="s">
        <v>343</v>
      </c>
      <c r="F860" s="258" t="s">
        <v>440</v>
      </c>
      <c r="G860" s="256" t="s">
        <v>352</v>
      </c>
      <c r="H860" s="251" t="s">
        <v>347</v>
      </c>
      <c r="I860" s="252" t="s">
        <v>411</v>
      </c>
      <c r="J860" s="253">
        <v>1</v>
      </c>
    </row>
    <row r="861" spans="1:10" ht="14.5" x14ac:dyDescent="0.35">
      <c r="A861" s="254"/>
      <c r="B861" s="248" t="s">
        <v>382</v>
      </c>
      <c r="C861" s="248" t="s">
        <v>326</v>
      </c>
      <c r="D861" s="248" t="s">
        <v>337</v>
      </c>
      <c r="E861" s="249" t="s">
        <v>343</v>
      </c>
      <c r="F861" s="259" t="s">
        <v>433</v>
      </c>
      <c r="G861" s="256" t="s">
        <v>353</v>
      </c>
      <c r="H861" s="251" t="s">
        <v>346</v>
      </c>
      <c r="I861" s="252" t="s">
        <v>411</v>
      </c>
      <c r="J861" s="253">
        <v>1</v>
      </c>
    </row>
    <row r="862" spans="1:10" ht="14.5" x14ac:dyDescent="0.35">
      <c r="A862" s="254"/>
      <c r="B862" s="248" t="s">
        <v>382</v>
      </c>
      <c r="C862" s="248" t="s">
        <v>326</v>
      </c>
      <c r="D862" s="248" t="s">
        <v>337</v>
      </c>
      <c r="E862" s="249" t="s">
        <v>343</v>
      </c>
      <c r="F862" s="259" t="s">
        <v>435</v>
      </c>
      <c r="G862" s="256" t="s">
        <v>353</v>
      </c>
      <c r="H862" s="251" t="s">
        <v>347</v>
      </c>
      <c r="I862" s="252" t="s">
        <v>411</v>
      </c>
      <c r="J862" s="253">
        <v>1</v>
      </c>
    </row>
    <row r="863" spans="1:10" ht="12.5" x14ac:dyDescent="0.25">
      <c r="A863" s="246"/>
      <c r="B863" s="24"/>
      <c r="C863" s="24"/>
      <c r="D863" s="24"/>
      <c r="E863" s="24"/>
      <c r="F863" s="24"/>
      <c r="G863" s="68"/>
      <c r="H863" s="68"/>
      <c r="I863" s="70"/>
    </row>
    <row r="864" spans="1:10" ht="12.5" x14ac:dyDescent="0.25">
      <c r="A864" s="246"/>
      <c r="B864" s="24"/>
      <c r="C864" s="24"/>
      <c r="D864" s="24"/>
      <c r="E864" s="24"/>
      <c r="F864" s="24"/>
      <c r="G864" s="68"/>
      <c r="H864" s="68"/>
      <c r="I864" s="70"/>
    </row>
    <row r="865" spans="1:10" ht="14.5" x14ac:dyDescent="0.35">
      <c r="A865" s="247">
        <v>146</v>
      </c>
      <c r="B865" s="248" t="s">
        <v>382</v>
      </c>
      <c r="C865" s="248" t="s">
        <v>326</v>
      </c>
      <c r="D865" s="248" t="s">
        <v>337</v>
      </c>
      <c r="E865" s="249" t="s">
        <v>343</v>
      </c>
      <c r="F865" s="258" t="s">
        <v>437</v>
      </c>
      <c r="G865" s="256" t="s">
        <v>352</v>
      </c>
      <c r="H865" s="251" t="s">
        <v>346</v>
      </c>
      <c r="I865" s="252" t="s">
        <v>153</v>
      </c>
      <c r="J865" s="253">
        <v>1</v>
      </c>
    </row>
    <row r="866" spans="1:10" ht="14.5" x14ac:dyDescent="0.35">
      <c r="A866" s="254"/>
      <c r="B866" s="248" t="s">
        <v>382</v>
      </c>
      <c r="C866" s="248" t="s">
        <v>326</v>
      </c>
      <c r="D866" s="248" t="s">
        <v>337</v>
      </c>
      <c r="E866" s="249" t="s">
        <v>343</v>
      </c>
      <c r="F866" s="258" t="s">
        <v>440</v>
      </c>
      <c r="G866" s="256" t="s">
        <v>352</v>
      </c>
      <c r="H866" s="251" t="s">
        <v>347</v>
      </c>
      <c r="I866" s="252" t="s">
        <v>153</v>
      </c>
      <c r="J866" s="253">
        <v>2</v>
      </c>
    </row>
    <row r="867" spans="1:10" ht="14.5" x14ac:dyDescent="0.35">
      <c r="A867" s="254"/>
      <c r="B867" s="248" t="s">
        <v>382</v>
      </c>
      <c r="C867" s="248" t="s">
        <v>326</v>
      </c>
      <c r="D867" s="248" t="s">
        <v>337</v>
      </c>
      <c r="E867" s="249" t="s">
        <v>343</v>
      </c>
      <c r="F867" s="259" t="s">
        <v>433</v>
      </c>
      <c r="G867" s="256" t="s">
        <v>353</v>
      </c>
      <c r="H867" s="251" t="s">
        <v>346</v>
      </c>
      <c r="I867" s="252" t="s">
        <v>153</v>
      </c>
      <c r="J867" s="253">
        <v>1</v>
      </c>
    </row>
    <row r="868" spans="1:10" ht="14.5" x14ac:dyDescent="0.35">
      <c r="A868" s="254"/>
      <c r="B868" s="248" t="s">
        <v>382</v>
      </c>
      <c r="C868" s="248" t="s">
        <v>326</v>
      </c>
      <c r="D868" s="248" t="s">
        <v>337</v>
      </c>
      <c r="E868" s="249" t="s">
        <v>343</v>
      </c>
      <c r="F868" s="259" t="s">
        <v>435</v>
      </c>
      <c r="G868" s="256" t="s">
        <v>353</v>
      </c>
      <c r="H868" s="251" t="s">
        <v>347</v>
      </c>
      <c r="I868" s="252" t="s">
        <v>153</v>
      </c>
      <c r="J868" s="253">
        <v>2</v>
      </c>
    </row>
    <row r="869" spans="1:10" ht="12.5" x14ac:dyDescent="0.25">
      <c r="A869" s="246"/>
      <c r="B869" s="24"/>
      <c r="C869" s="24"/>
      <c r="D869" s="24"/>
      <c r="E869" s="24"/>
      <c r="F869" s="24"/>
      <c r="G869" s="68"/>
      <c r="H869" s="68"/>
      <c r="I869" s="70"/>
    </row>
    <row r="870" spans="1:10" ht="14.5" x14ac:dyDescent="0.35">
      <c r="A870" s="247"/>
      <c r="B870" s="248"/>
      <c r="C870" s="248"/>
      <c r="D870" s="248"/>
      <c r="E870" s="249"/>
      <c r="F870" s="258"/>
      <c r="G870" s="256"/>
      <c r="H870" s="251"/>
      <c r="I870" s="252"/>
      <c r="J870" s="253"/>
    </row>
    <row r="871" spans="1:10" ht="14.5" x14ac:dyDescent="0.35">
      <c r="A871" s="247">
        <v>147</v>
      </c>
      <c r="B871" s="248" t="s">
        <v>382</v>
      </c>
      <c r="C871" s="248" t="s">
        <v>326</v>
      </c>
      <c r="D871" s="248" t="s">
        <v>339</v>
      </c>
      <c r="E871" s="249" t="s">
        <v>336</v>
      </c>
      <c r="F871" s="242" t="s">
        <v>398</v>
      </c>
      <c r="G871" s="256" t="s">
        <v>349</v>
      </c>
      <c r="H871" s="251" t="s">
        <v>346</v>
      </c>
      <c r="I871" s="252" t="s">
        <v>173</v>
      </c>
      <c r="J871" s="253">
        <v>2</v>
      </c>
    </row>
    <row r="872" spans="1:10" ht="14.5" x14ac:dyDescent="0.35">
      <c r="A872" s="254"/>
      <c r="B872" s="248" t="s">
        <v>382</v>
      </c>
      <c r="C872" s="248" t="s">
        <v>326</v>
      </c>
      <c r="D872" s="248" t="s">
        <v>339</v>
      </c>
      <c r="E872" s="249" t="s">
        <v>336</v>
      </c>
      <c r="F872" s="242" t="s">
        <v>409</v>
      </c>
      <c r="G872" s="256" t="s">
        <v>349</v>
      </c>
      <c r="H872" s="251" t="s">
        <v>347</v>
      </c>
      <c r="I872" s="252" t="s">
        <v>173</v>
      </c>
      <c r="J872" s="253">
        <v>4</v>
      </c>
    </row>
    <row r="873" spans="1:10" ht="14.5" x14ac:dyDescent="0.35">
      <c r="A873" s="254"/>
      <c r="B873" s="248" t="s">
        <v>382</v>
      </c>
      <c r="C873" s="248" t="s">
        <v>326</v>
      </c>
      <c r="D873" s="248" t="s">
        <v>339</v>
      </c>
      <c r="E873" s="249" t="s">
        <v>336</v>
      </c>
      <c r="F873" s="255" t="s">
        <v>420</v>
      </c>
      <c r="G873" s="256" t="s">
        <v>351</v>
      </c>
      <c r="H873" s="251" t="s">
        <v>346</v>
      </c>
      <c r="I873" s="252" t="s">
        <v>173</v>
      </c>
      <c r="J873" s="253">
        <v>4</v>
      </c>
    </row>
    <row r="874" spans="1:10" ht="14.5" x14ac:dyDescent="0.35">
      <c r="A874" s="254"/>
      <c r="B874" s="248" t="s">
        <v>382</v>
      </c>
      <c r="C874" s="248" t="s">
        <v>326</v>
      </c>
      <c r="D874" s="248" t="s">
        <v>339</v>
      </c>
      <c r="E874" s="249" t="s">
        <v>336</v>
      </c>
      <c r="F874" s="255" t="s">
        <v>430</v>
      </c>
      <c r="G874" s="256" t="s">
        <v>351</v>
      </c>
      <c r="H874" s="251" t="s">
        <v>347</v>
      </c>
      <c r="I874" s="252" t="s">
        <v>173</v>
      </c>
      <c r="J874" s="253">
        <v>4</v>
      </c>
    </row>
    <row r="875" spans="1:10" ht="12.5" x14ac:dyDescent="0.25">
      <c r="A875" s="246"/>
      <c r="B875" s="24"/>
      <c r="C875" s="24"/>
      <c r="D875" s="24"/>
      <c r="E875" s="24"/>
      <c r="F875" s="24"/>
      <c r="G875" s="68"/>
      <c r="H875" s="68"/>
      <c r="I875" s="70"/>
    </row>
    <row r="876" spans="1:10" ht="14.5" x14ac:dyDescent="0.35">
      <c r="A876" s="247">
        <v>148</v>
      </c>
      <c r="B876" s="248" t="s">
        <v>382</v>
      </c>
      <c r="C876" s="248" t="s">
        <v>326</v>
      </c>
      <c r="D876" s="248" t="s">
        <v>339</v>
      </c>
      <c r="E876" s="249" t="s">
        <v>336</v>
      </c>
      <c r="F876" s="260" t="s">
        <v>398</v>
      </c>
      <c r="G876" s="256" t="s">
        <v>349</v>
      </c>
      <c r="H876" s="251" t="s">
        <v>346</v>
      </c>
      <c r="I876" s="249" t="s">
        <v>208</v>
      </c>
      <c r="J876" s="253">
        <v>5</v>
      </c>
    </row>
    <row r="877" spans="1:10" ht="14.5" x14ac:dyDescent="0.35">
      <c r="A877" s="254"/>
      <c r="B877" s="248" t="s">
        <v>382</v>
      </c>
      <c r="C877" s="248" t="s">
        <v>326</v>
      </c>
      <c r="D877" s="248" t="s">
        <v>339</v>
      </c>
      <c r="E877" s="249" t="s">
        <v>336</v>
      </c>
      <c r="F877" s="260" t="s">
        <v>409</v>
      </c>
      <c r="G877" s="256" t="s">
        <v>349</v>
      </c>
      <c r="H877" s="251" t="s">
        <v>347</v>
      </c>
      <c r="I877" s="249" t="s">
        <v>208</v>
      </c>
      <c r="J877" s="253">
        <v>5</v>
      </c>
    </row>
    <row r="878" spans="1:10" ht="14.5" x14ac:dyDescent="0.35">
      <c r="A878" s="254"/>
      <c r="B878" s="248" t="s">
        <v>382</v>
      </c>
      <c r="C878" s="248" t="s">
        <v>326</v>
      </c>
      <c r="D878" s="248" t="s">
        <v>339</v>
      </c>
      <c r="E878" s="249" t="s">
        <v>336</v>
      </c>
      <c r="F878" s="258" t="s">
        <v>420</v>
      </c>
      <c r="G878" s="256" t="s">
        <v>351</v>
      </c>
      <c r="H878" s="251" t="s">
        <v>346</v>
      </c>
      <c r="I878" s="249" t="s">
        <v>208</v>
      </c>
      <c r="J878" s="253">
        <v>5</v>
      </c>
    </row>
    <row r="879" spans="1:10" ht="14.5" x14ac:dyDescent="0.35">
      <c r="A879" s="254"/>
      <c r="B879" s="248" t="s">
        <v>382</v>
      </c>
      <c r="C879" s="248" t="s">
        <v>326</v>
      </c>
      <c r="D879" s="248" t="s">
        <v>339</v>
      </c>
      <c r="E879" s="249" t="s">
        <v>336</v>
      </c>
      <c r="F879" s="258" t="s">
        <v>430</v>
      </c>
      <c r="G879" s="256" t="s">
        <v>351</v>
      </c>
      <c r="H879" s="251" t="s">
        <v>347</v>
      </c>
      <c r="I879" s="249" t="s">
        <v>208</v>
      </c>
      <c r="J879" s="253">
        <v>3</v>
      </c>
    </row>
    <row r="880" spans="1:10" ht="12.5" x14ac:dyDescent="0.25">
      <c r="A880" s="246"/>
      <c r="B880" s="24"/>
      <c r="C880" s="24"/>
      <c r="D880" s="24"/>
      <c r="E880" s="24"/>
      <c r="F880" s="24"/>
      <c r="G880" s="68"/>
      <c r="H880" s="68"/>
      <c r="I880" s="70"/>
    </row>
    <row r="881" spans="1:10" ht="14.5" x14ac:dyDescent="0.35">
      <c r="A881" s="247">
        <v>149</v>
      </c>
      <c r="B881" s="248" t="s">
        <v>382</v>
      </c>
      <c r="C881" s="248" t="s">
        <v>326</v>
      </c>
      <c r="D881" s="248" t="s">
        <v>339</v>
      </c>
      <c r="E881" s="249" t="s">
        <v>338</v>
      </c>
      <c r="F881" s="260" t="s">
        <v>420</v>
      </c>
      <c r="G881" s="256" t="s">
        <v>351</v>
      </c>
      <c r="H881" s="251" t="s">
        <v>346</v>
      </c>
      <c r="I881" s="249">
        <v>60133</v>
      </c>
      <c r="J881" s="253">
        <v>13</v>
      </c>
    </row>
    <row r="882" spans="1:10" ht="14.5" x14ac:dyDescent="0.35">
      <c r="A882" s="254"/>
      <c r="B882" s="248" t="s">
        <v>382</v>
      </c>
      <c r="C882" s="248" t="s">
        <v>326</v>
      </c>
      <c r="D882" s="248" t="s">
        <v>339</v>
      </c>
      <c r="E882" s="249" t="s">
        <v>338</v>
      </c>
      <c r="F882" s="260" t="s">
        <v>409</v>
      </c>
      <c r="G882" s="256" t="s">
        <v>349</v>
      </c>
      <c r="H882" s="251" t="s">
        <v>347</v>
      </c>
      <c r="I882" s="249">
        <v>60133</v>
      </c>
      <c r="J882" s="253">
        <v>16</v>
      </c>
    </row>
    <row r="883" spans="1:10" ht="14.5" x14ac:dyDescent="0.35">
      <c r="A883" s="254"/>
      <c r="B883" s="248" t="s">
        <v>382</v>
      </c>
      <c r="C883" s="248" t="s">
        <v>326</v>
      </c>
      <c r="D883" s="248" t="s">
        <v>339</v>
      </c>
      <c r="E883" s="249" t="s">
        <v>338</v>
      </c>
      <c r="F883" s="258" t="s">
        <v>420</v>
      </c>
      <c r="G883" s="256" t="s">
        <v>351</v>
      </c>
      <c r="H883" s="251" t="s">
        <v>346</v>
      </c>
      <c r="I883" s="249">
        <v>60133</v>
      </c>
      <c r="J883" s="253">
        <v>13</v>
      </c>
    </row>
    <row r="884" spans="1:10" ht="14.5" x14ac:dyDescent="0.35">
      <c r="A884" s="254"/>
      <c r="B884" s="248" t="s">
        <v>382</v>
      </c>
      <c r="C884" s="248" t="s">
        <v>326</v>
      </c>
      <c r="D884" s="248" t="s">
        <v>339</v>
      </c>
      <c r="E884" s="249" t="s">
        <v>338</v>
      </c>
      <c r="F884" s="258" t="s">
        <v>430</v>
      </c>
      <c r="G884" s="256" t="s">
        <v>351</v>
      </c>
      <c r="H884" s="251" t="s">
        <v>347</v>
      </c>
      <c r="I884" s="249">
        <v>60133</v>
      </c>
      <c r="J884" s="253">
        <v>17</v>
      </c>
    </row>
    <row r="885" spans="1:10" ht="12.5" x14ac:dyDescent="0.25">
      <c r="A885" s="246"/>
      <c r="B885" s="24"/>
      <c r="C885" s="24"/>
      <c r="D885" s="24"/>
      <c r="E885" s="24"/>
      <c r="F885" s="24"/>
      <c r="G885" s="68"/>
      <c r="H885" s="68"/>
      <c r="I885" s="70"/>
    </row>
    <row r="886" spans="1:10" ht="14.5" x14ac:dyDescent="0.35">
      <c r="A886" s="247">
        <v>150</v>
      </c>
      <c r="B886" s="248" t="s">
        <v>382</v>
      </c>
      <c r="C886" s="248" t="s">
        <v>326</v>
      </c>
      <c r="D886" s="248" t="s">
        <v>339</v>
      </c>
      <c r="E886" s="249" t="s">
        <v>338</v>
      </c>
      <c r="F886" s="260" t="s">
        <v>398</v>
      </c>
      <c r="G886" s="256" t="s">
        <v>349</v>
      </c>
      <c r="H886" s="251" t="s">
        <v>346</v>
      </c>
      <c r="I886" s="249">
        <v>601331</v>
      </c>
      <c r="J886" s="253">
        <v>7</v>
      </c>
    </row>
    <row r="887" spans="1:10" ht="14.5" x14ac:dyDescent="0.35">
      <c r="A887" s="254"/>
      <c r="B887" s="248" t="s">
        <v>382</v>
      </c>
      <c r="C887" s="248" t="s">
        <v>326</v>
      </c>
      <c r="D887" s="248" t="s">
        <v>339</v>
      </c>
      <c r="E887" s="249" t="s">
        <v>338</v>
      </c>
      <c r="F887" s="260" t="s">
        <v>409</v>
      </c>
      <c r="G887" s="256" t="s">
        <v>349</v>
      </c>
      <c r="H887" s="251" t="s">
        <v>347</v>
      </c>
      <c r="I887" s="249">
        <v>601331</v>
      </c>
      <c r="J887" s="253">
        <v>5</v>
      </c>
    </row>
    <row r="888" spans="1:10" ht="14.5" x14ac:dyDescent="0.35">
      <c r="A888" s="254"/>
      <c r="B888" s="248" t="s">
        <v>382</v>
      </c>
      <c r="C888" s="248" t="s">
        <v>326</v>
      </c>
      <c r="D888" s="248" t="s">
        <v>339</v>
      </c>
      <c r="E888" s="249" t="s">
        <v>338</v>
      </c>
      <c r="F888" s="258" t="s">
        <v>420</v>
      </c>
      <c r="G888" s="256" t="s">
        <v>351</v>
      </c>
      <c r="H888" s="251" t="s">
        <v>346</v>
      </c>
      <c r="I888" s="249">
        <v>601331</v>
      </c>
      <c r="J888" s="253">
        <v>7</v>
      </c>
    </row>
    <row r="889" spans="1:10" ht="14.5" x14ac:dyDescent="0.35">
      <c r="A889" s="254"/>
      <c r="B889" s="248" t="s">
        <v>382</v>
      </c>
      <c r="C889" s="248" t="s">
        <v>326</v>
      </c>
      <c r="D889" s="248" t="s">
        <v>339</v>
      </c>
      <c r="E889" s="249" t="s">
        <v>338</v>
      </c>
      <c r="F889" s="258" t="s">
        <v>430</v>
      </c>
      <c r="G889" s="256" t="s">
        <v>351</v>
      </c>
      <c r="H889" s="251" t="s">
        <v>347</v>
      </c>
      <c r="I889" s="249">
        <v>601331</v>
      </c>
      <c r="J889" s="253">
        <v>4</v>
      </c>
    </row>
    <row r="890" spans="1:10" ht="12.5" x14ac:dyDescent="0.25">
      <c r="A890" s="246"/>
      <c r="B890" s="24"/>
      <c r="C890" s="24"/>
      <c r="D890" s="24"/>
      <c r="E890" s="24"/>
      <c r="F890" s="24"/>
      <c r="G890" s="68"/>
      <c r="H890" s="68"/>
      <c r="I890" s="70"/>
    </row>
    <row r="891" spans="1:10" ht="12.5" x14ac:dyDescent="0.25">
      <c r="A891" s="246"/>
      <c r="B891" s="24"/>
      <c r="C891" s="24"/>
      <c r="D891" s="24"/>
      <c r="E891" s="24"/>
      <c r="F891" s="24"/>
      <c r="G891" s="68"/>
      <c r="H891" s="68"/>
      <c r="I891" s="70"/>
    </row>
    <row r="892" spans="1:10" ht="14.5" x14ac:dyDescent="0.35">
      <c r="A892" s="247">
        <v>151</v>
      </c>
      <c r="B892" s="248" t="s">
        <v>382</v>
      </c>
      <c r="C892" s="248" t="s">
        <v>326</v>
      </c>
      <c r="D892" s="248" t="s">
        <v>339</v>
      </c>
      <c r="E892" s="249" t="s">
        <v>338</v>
      </c>
      <c r="F892" s="260" t="s">
        <v>398</v>
      </c>
      <c r="G892" s="256" t="s">
        <v>349</v>
      </c>
      <c r="H892" s="251" t="s">
        <v>346</v>
      </c>
      <c r="I892" s="249">
        <v>6010231</v>
      </c>
      <c r="J892" s="253">
        <v>11</v>
      </c>
    </row>
    <row r="893" spans="1:10" ht="14.5" x14ac:dyDescent="0.35">
      <c r="A893" s="254"/>
      <c r="B893" s="248" t="s">
        <v>382</v>
      </c>
      <c r="C893" s="248" t="s">
        <v>326</v>
      </c>
      <c r="D893" s="248" t="s">
        <v>339</v>
      </c>
      <c r="E893" s="249" t="s">
        <v>338</v>
      </c>
      <c r="F893" s="260" t="s">
        <v>409</v>
      </c>
      <c r="G893" s="256" t="s">
        <v>349</v>
      </c>
      <c r="H893" s="251" t="s">
        <v>347</v>
      </c>
      <c r="I893" s="249">
        <v>6010231</v>
      </c>
      <c r="J893" s="253">
        <v>12</v>
      </c>
    </row>
    <row r="894" spans="1:10" ht="14.5" x14ac:dyDescent="0.35">
      <c r="A894" s="254"/>
      <c r="B894" s="248" t="s">
        <v>382</v>
      </c>
      <c r="C894" s="248" t="s">
        <v>326</v>
      </c>
      <c r="D894" s="248" t="s">
        <v>339</v>
      </c>
      <c r="E894" s="249" t="s">
        <v>338</v>
      </c>
      <c r="F894" s="258" t="s">
        <v>420</v>
      </c>
      <c r="G894" s="256" t="s">
        <v>351</v>
      </c>
      <c r="H894" s="251" t="s">
        <v>346</v>
      </c>
      <c r="I894" s="249">
        <v>6010231</v>
      </c>
      <c r="J894" s="253">
        <v>5</v>
      </c>
    </row>
    <row r="895" spans="1:10" ht="14.5" x14ac:dyDescent="0.35">
      <c r="A895" s="254"/>
      <c r="B895" s="248" t="s">
        <v>382</v>
      </c>
      <c r="C895" s="248" t="s">
        <v>326</v>
      </c>
      <c r="D895" s="248" t="s">
        <v>339</v>
      </c>
      <c r="E895" s="249" t="s">
        <v>338</v>
      </c>
      <c r="F895" s="258" t="s">
        <v>430</v>
      </c>
      <c r="G895" s="256" t="s">
        <v>351</v>
      </c>
      <c r="H895" s="251" t="s">
        <v>347</v>
      </c>
      <c r="I895" s="249">
        <v>6010231</v>
      </c>
      <c r="J895" s="253">
        <v>7</v>
      </c>
    </row>
    <row r="896" spans="1:10" ht="12.5" x14ac:dyDescent="0.25">
      <c r="A896" s="246"/>
      <c r="B896" s="24"/>
      <c r="C896" s="24"/>
      <c r="D896" s="24"/>
      <c r="E896" s="24"/>
      <c r="F896" s="24"/>
      <c r="G896" s="68"/>
      <c r="H896" s="68"/>
      <c r="I896" s="70"/>
    </row>
    <row r="897" spans="1:10" ht="12.5" x14ac:dyDescent="0.25">
      <c r="A897" s="246"/>
      <c r="B897" s="24"/>
      <c r="C897" s="24"/>
      <c r="D897" s="24"/>
      <c r="E897" s="24"/>
      <c r="F897" s="24"/>
      <c r="G897" s="68"/>
      <c r="H897" s="68"/>
      <c r="I897" s="70"/>
    </row>
    <row r="898" spans="1:10" ht="14.5" x14ac:dyDescent="0.35">
      <c r="A898" s="247">
        <v>152</v>
      </c>
      <c r="B898" s="248" t="s">
        <v>382</v>
      </c>
      <c r="C898" s="248" t="s">
        <v>326</v>
      </c>
      <c r="D898" s="248" t="s">
        <v>339</v>
      </c>
      <c r="E898" s="249" t="s">
        <v>338</v>
      </c>
      <c r="F898" s="260" t="s">
        <v>398</v>
      </c>
      <c r="G898" s="256" t="s">
        <v>349</v>
      </c>
      <c r="H898" s="251" t="s">
        <v>346</v>
      </c>
      <c r="I898" s="249" t="s">
        <v>160</v>
      </c>
      <c r="J898" s="253">
        <v>6</v>
      </c>
    </row>
    <row r="899" spans="1:10" ht="14.5" x14ac:dyDescent="0.35">
      <c r="A899" s="254"/>
      <c r="B899" s="248" t="s">
        <v>382</v>
      </c>
      <c r="C899" s="248" t="s">
        <v>326</v>
      </c>
      <c r="D899" s="248" t="s">
        <v>339</v>
      </c>
      <c r="E899" s="249" t="s">
        <v>338</v>
      </c>
      <c r="F899" s="260" t="s">
        <v>409</v>
      </c>
      <c r="G899" s="256" t="s">
        <v>349</v>
      </c>
      <c r="H899" s="251" t="s">
        <v>347</v>
      </c>
      <c r="I899" s="249" t="s">
        <v>160</v>
      </c>
      <c r="J899" s="253">
        <v>2</v>
      </c>
    </row>
    <row r="900" spans="1:10" ht="14.5" x14ac:dyDescent="0.35">
      <c r="A900" s="254"/>
      <c r="B900" s="248" t="s">
        <v>382</v>
      </c>
      <c r="C900" s="248" t="s">
        <v>326</v>
      </c>
      <c r="D900" s="248" t="s">
        <v>339</v>
      </c>
      <c r="E900" s="249" t="s">
        <v>338</v>
      </c>
      <c r="F900" s="258" t="s">
        <v>420</v>
      </c>
      <c r="G900" s="256" t="s">
        <v>351</v>
      </c>
      <c r="H900" s="251" t="s">
        <v>346</v>
      </c>
      <c r="I900" s="249" t="s">
        <v>160</v>
      </c>
      <c r="J900" s="253">
        <v>1</v>
      </c>
    </row>
    <row r="901" spans="1:10" ht="14.5" x14ac:dyDescent="0.35">
      <c r="A901" s="254"/>
      <c r="B901" s="248" t="s">
        <v>382</v>
      </c>
      <c r="C901" s="248" t="s">
        <v>326</v>
      </c>
      <c r="D901" s="248" t="s">
        <v>339</v>
      </c>
      <c r="E901" s="249" t="s">
        <v>338</v>
      </c>
      <c r="F901" s="258" t="s">
        <v>430</v>
      </c>
      <c r="G901" s="256" t="s">
        <v>351</v>
      </c>
      <c r="H901" s="251" t="s">
        <v>347</v>
      </c>
      <c r="I901" s="249" t="s">
        <v>160</v>
      </c>
      <c r="J901" s="253">
        <v>2</v>
      </c>
    </row>
    <row r="902" spans="1:10" ht="12.5" x14ac:dyDescent="0.25">
      <c r="A902" s="246"/>
      <c r="B902" s="24"/>
      <c r="C902" s="24"/>
      <c r="D902" s="24"/>
      <c r="E902" s="24"/>
      <c r="F902" s="24"/>
      <c r="G902" s="68"/>
      <c r="H902" s="68"/>
      <c r="I902" s="70"/>
    </row>
    <row r="903" spans="1:10" ht="14.5" x14ac:dyDescent="0.35">
      <c r="A903" s="247">
        <v>153</v>
      </c>
      <c r="B903" s="248" t="s">
        <v>382</v>
      </c>
      <c r="C903" s="248" t="s">
        <v>326</v>
      </c>
      <c r="D903" s="248" t="s">
        <v>339</v>
      </c>
      <c r="E903" s="249" t="s">
        <v>338</v>
      </c>
      <c r="F903" s="260" t="s">
        <v>398</v>
      </c>
      <c r="G903" s="256" t="s">
        <v>349</v>
      </c>
      <c r="H903" s="251" t="s">
        <v>346</v>
      </c>
      <c r="I903" s="249" t="s">
        <v>65</v>
      </c>
      <c r="J903" s="253">
        <v>10</v>
      </c>
    </row>
    <row r="904" spans="1:10" ht="14.5" x14ac:dyDescent="0.35">
      <c r="A904" s="254"/>
      <c r="B904" s="248" t="s">
        <v>382</v>
      </c>
      <c r="C904" s="248" t="s">
        <v>326</v>
      </c>
      <c r="D904" s="248" t="s">
        <v>339</v>
      </c>
      <c r="E904" s="249" t="s">
        <v>338</v>
      </c>
      <c r="F904" s="260" t="s">
        <v>409</v>
      </c>
      <c r="G904" s="256" t="s">
        <v>349</v>
      </c>
      <c r="H904" s="251" t="s">
        <v>347</v>
      </c>
      <c r="I904" s="249" t="s">
        <v>65</v>
      </c>
      <c r="J904" s="253">
        <v>16</v>
      </c>
    </row>
    <row r="905" spans="1:10" ht="14.5" x14ac:dyDescent="0.35">
      <c r="A905" s="254"/>
      <c r="B905" s="248" t="s">
        <v>382</v>
      </c>
      <c r="C905" s="248" t="s">
        <v>326</v>
      </c>
      <c r="D905" s="248" t="s">
        <v>339</v>
      </c>
      <c r="E905" s="249" t="s">
        <v>338</v>
      </c>
      <c r="F905" s="258" t="s">
        <v>420</v>
      </c>
      <c r="G905" s="256" t="s">
        <v>351</v>
      </c>
      <c r="H905" s="251" t="s">
        <v>346</v>
      </c>
      <c r="I905" s="249" t="s">
        <v>65</v>
      </c>
      <c r="J905" s="253">
        <v>17</v>
      </c>
    </row>
    <row r="906" spans="1:10" ht="14.5" x14ac:dyDescent="0.35">
      <c r="A906" s="254"/>
      <c r="B906" s="248" t="s">
        <v>382</v>
      </c>
      <c r="C906" s="248" t="s">
        <v>326</v>
      </c>
      <c r="D906" s="248" t="s">
        <v>339</v>
      </c>
      <c r="E906" s="249" t="s">
        <v>338</v>
      </c>
      <c r="F906" s="258" t="s">
        <v>430</v>
      </c>
      <c r="G906" s="256" t="s">
        <v>351</v>
      </c>
      <c r="H906" s="251" t="s">
        <v>347</v>
      </c>
      <c r="I906" s="249" t="s">
        <v>65</v>
      </c>
      <c r="J906" s="253">
        <v>7</v>
      </c>
    </row>
    <row r="907" spans="1:10" ht="12.5" x14ac:dyDescent="0.25">
      <c r="A907" s="246"/>
      <c r="B907" s="24"/>
      <c r="C907" s="24"/>
      <c r="D907" s="24"/>
      <c r="E907" s="24"/>
      <c r="F907" s="24"/>
      <c r="G907" s="68"/>
      <c r="H907" s="68"/>
      <c r="I907" s="70"/>
    </row>
    <row r="908" spans="1:10" ht="12.5" x14ac:dyDescent="0.25">
      <c r="A908" s="246"/>
      <c r="B908" s="24"/>
      <c r="C908" s="24"/>
      <c r="D908" s="24"/>
      <c r="E908" s="24"/>
      <c r="F908" s="24"/>
      <c r="G908" s="68"/>
      <c r="H908" s="68"/>
      <c r="I908" s="70"/>
    </row>
    <row r="909" spans="1:10" ht="14.5" x14ac:dyDescent="0.35">
      <c r="A909" s="247">
        <v>154</v>
      </c>
      <c r="B909" s="248" t="s">
        <v>382</v>
      </c>
      <c r="C909" s="248" t="s">
        <v>326</v>
      </c>
      <c r="D909" s="248" t="s">
        <v>339</v>
      </c>
      <c r="E909" s="249" t="s">
        <v>340</v>
      </c>
      <c r="F909" s="260" t="s">
        <v>398</v>
      </c>
      <c r="G909" s="256" t="s">
        <v>349</v>
      </c>
      <c r="H909" s="251" t="s">
        <v>346</v>
      </c>
      <c r="I909" s="249" t="s">
        <v>30</v>
      </c>
      <c r="J909" s="253">
        <v>20</v>
      </c>
    </row>
    <row r="910" spans="1:10" ht="14.5" x14ac:dyDescent="0.35">
      <c r="A910" s="254"/>
      <c r="B910" s="248" t="s">
        <v>382</v>
      </c>
      <c r="C910" s="248" t="s">
        <v>326</v>
      </c>
      <c r="D910" s="248" t="s">
        <v>339</v>
      </c>
      <c r="E910" s="249" t="s">
        <v>340</v>
      </c>
      <c r="F910" s="260" t="s">
        <v>409</v>
      </c>
      <c r="G910" s="256" t="s">
        <v>349</v>
      </c>
      <c r="H910" s="251" t="s">
        <v>347</v>
      </c>
      <c r="I910" s="249" t="s">
        <v>30</v>
      </c>
      <c r="J910" s="253">
        <v>17</v>
      </c>
    </row>
    <row r="911" spans="1:10" ht="14.5" x14ac:dyDescent="0.35">
      <c r="A911" s="254"/>
      <c r="B911" s="248" t="s">
        <v>382</v>
      </c>
      <c r="C911" s="248" t="s">
        <v>326</v>
      </c>
      <c r="D911" s="248" t="s">
        <v>339</v>
      </c>
      <c r="E911" s="249" t="s">
        <v>340</v>
      </c>
      <c r="F911" s="258" t="s">
        <v>420</v>
      </c>
      <c r="G911" s="256" t="s">
        <v>351</v>
      </c>
      <c r="H911" s="251" t="s">
        <v>346</v>
      </c>
      <c r="I911" s="249" t="s">
        <v>30</v>
      </c>
      <c r="J911" s="253">
        <v>15</v>
      </c>
    </row>
    <row r="912" spans="1:10" ht="14.5" x14ac:dyDescent="0.35">
      <c r="A912" s="254"/>
      <c r="B912" s="248" t="s">
        <v>382</v>
      </c>
      <c r="C912" s="248" t="s">
        <v>326</v>
      </c>
      <c r="D912" s="248" t="s">
        <v>339</v>
      </c>
      <c r="E912" s="249" t="s">
        <v>340</v>
      </c>
      <c r="F912" s="258" t="s">
        <v>430</v>
      </c>
      <c r="G912" s="256" t="s">
        <v>351</v>
      </c>
      <c r="H912" s="251" t="s">
        <v>347</v>
      </c>
      <c r="I912" s="249" t="s">
        <v>30</v>
      </c>
      <c r="J912" s="253">
        <v>14</v>
      </c>
    </row>
    <row r="913" spans="1:10" ht="12.5" x14ac:dyDescent="0.25">
      <c r="A913" s="246"/>
      <c r="B913" s="24"/>
      <c r="C913" s="24"/>
      <c r="D913" s="24"/>
      <c r="E913" s="24"/>
      <c r="F913" s="24"/>
      <c r="G913" s="68"/>
      <c r="H913" s="68"/>
      <c r="I913" s="70"/>
    </row>
    <row r="914" spans="1:10" ht="14.5" x14ac:dyDescent="0.35">
      <c r="A914" s="247">
        <v>155</v>
      </c>
      <c r="B914" s="248" t="s">
        <v>382</v>
      </c>
      <c r="C914" s="248" t="s">
        <v>326</v>
      </c>
      <c r="D914" s="248" t="s">
        <v>339</v>
      </c>
      <c r="E914" s="249" t="s">
        <v>341</v>
      </c>
      <c r="F914" s="260" t="s">
        <v>398</v>
      </c>
      <c r="G914" s="256" t="s">
        <v>349</v>
      </c>
      <c r="H914" s="251" t="s">
        <v>346</v>
      </c>
      <c r="I914" s="249" t="s">
        <v>169</v>
      </c>
      <c r="J914" s="253">
        <v>6</v>
      </c>
    </row>
    <row r="915" spans="1:10" ht="14.5" x14ac:dyDescent="0.35">
      <c r="A915" s="254"/>
      <c r="B915" s="248" t="s">
        <v>382</v>
      </c>
      <c r="C915" s="248" t="s">
        <v>326</v>
      </c>
      <c r="D915" s="248" t="s">
        <v>339</v>
      </c>
      <c r="E915" s="249" t="s">
        <v>341</v>
      </c>
      <c r="F915" s="260" t="s">
        <v>409</v>
      </c>
      <c r="G915" s="256" t="s">
        <v>349</v>
      </c>
      <c r="H915" s="251" t="s">
        <v>347</v>
      </c>
      <c r="I915" s="249" t="s">
        <v>169</v>
      </c>
      <c r="J915" s="253">
        <v>6</v>
      </c>
    </row>
    <row r="916" spans="1:10" ht="14.5" x14ac:dyDescent="0.35">
      <c r="A916" s="254"/>
      <c r="B916" s="248" t="s">
        <v>382</v>
      </c>
      <c r="C916" s="248" t="s">
        <v>326</v>
      </c>
      <c r="D916" s="248" t="s">
        <v>339</v>
      </c>
      <c r="E916" s="249" t="s">
        <v>341</v>
      </c>
      <c r="F916" s="258" t="s">
        <v>420</v>
      </c>
      <c r="G916" s="256" t="s">
        <v>351</v>
      </c>
      <c r="H916" s="251" t="s">
        <v>346</v>
      </c>
      <c r="I916" s="249" t="s">
        <v>169</v>
      </c>
      <c r="J916" s="253">
        <v>6</v>
      </c>
    </row>
    <row r="917" spans="1:10" ht="14.5" x14ac:dyDescent="0.35">
      <c r="A917" s="254"/>
      <c r="B917" s="248" t="s">
        <v>382</v>
      </c>
      <c r="C917" s="248" t="s">
        <v>326</v>
      </c>
      <c r="D917" s="248" t="s">
        <v>339</v>
      </c>
      <c r="E917" s="249" t="s">
        <v>341</v>
      </c>
      <c r="F917" s="258" t="s">
        <v>430</v>
      </c>
      <c r="G917" s="256" t="s">
        <v>351</v>
      </c>
      <c r="H917" s="251" t="s">
        <v>347</v>
      </c>
      <c r="I917" s="249" t="s">
        <v>169</v>
      </c>
      <c r="J917" s="253">
        <v>8</v>
      </c>
    </row>
    <row r="918" spans="1:10" ht="12.5" x14ac:dyDescent="0.25">
      <c r="A918" s="246"/>
      <c r="B918" s="24"/>
      <c r="C918" s="24"/>
      <c r="D918" s="24"/>
      <c r="E918" s="24"/>
      <c r="F918" s="24"/>
      <c r="G918" s="68"/>
      <c r="H918" s="68"/>
      <c r="I918" s="70"/>
    </row>
    <row r="919" spans="1:10" ht="14.5" x14ac:dyDescent="0.35">
      <c r="A919" s="247">
        <v>156</v>
      </c>
      <c r="B919" s="248" t="s">
        <v>382</v>
      </c>
      <c r="C919" s="248" t="s">
        <v>326</v>
      </c>
      <c r="D919" s="248" t="s">
        <v>339</v>
      </c>
      <c r="E919" s="249" t="s">
        <v>341</v>
      </c>
      <c r="F919" s="260" t="s">
        <v>398</v>
      </c>
      <c r="G919" s="256" t="s">
        <v>349</v>
      </c>
      <c r="H919" s="251" t="s">
        <v>346</v>
      </c>
      <c r="I919" s="249" t="s">
        <v>172</v>
      </c>
      <c r="J919" s="253">
        <v>1</v>
      </c>
    </row>
    <row r="920" spans="1:10" ht="14.5" x14ac:dyDescent="0.35">
      <c r="A920" s="254"/>
      <c r="B920" s="248" t="s">
        <v>382</v>
      </c>
      <c r="C920" s="248" t="s">
        <v>326</v>
      </c>
      <c r="D920" s="248" t="s">
        <v>339</v>
      </c>
      <c r="E920" s="249" t="s">
        <v>341</v>
      </c>
      <c r="F920" s="260" t="s">
        <v>409</v>
      </c>
      <c r="G920" s="256" t="s">
        <v>349</v>
      </c>
      <c r="H920" s="251" t="s">
        <v>347</v>
      </c>
      <c r="I920" s="249" t="s">
        <v>172</v>
      </c>
      <c r="J920" s="253">
        <v>2</v>
      </c>
    </row>
    <row r="921" spans="1:10" ht="14.5" x14ac:dyDescent="0.35">
      <c r="A921" s="254"/>
      <c r="B921" s="248" t="s">
        <v>382</v>
      </c>
      <c r="C921" s="248" t="s">
        <v>326</v>
      </c>
      <c r="D921" s="248" t="s">
        <v>339</v>
      </c>
      <c r="E921" s="249" t="s">
        <v>341</v>
      </c>
      <c r="F921" s="258" t="s">
        <v>420</v>
      </c>
      <c r="G921" s="256" t="s">
        <v>351</v>
      </c>
      <c r="H921" s="251" t="s">
        <v>346</v>
      </c>
      <c r="I921" s="249" t="s">
        <v>172</v>
      </c>
      <c r="J921" s="253">
        <v>2</v>
      </c>
    </row>
    <row r="922" spans="1:10" ht="14.5" x14ac:dyDescent="0.35">
      <c r="A922" s="254"/>
      <c r="B922" s="248" t="s">
        <v>382</v>
      </c>
      <c r="C922" s="248" t="s">
        <v>326</v>
      </c>
      <c r="D922" s="248" t="s">
        <v>339</v>
      </c>
      <c r="E922" s="249" t="s">
        <v>341</v>
      </c>
      <c r="F922" s="258" t="s">
        <v>430</v>
      </c>
      <c r="G922" s="256" t="s">
        <v>351</v>
      </c>
      <c r="H922" s="251" t="s">
        <v>347</v>
      </c>
      <c r="I922" s="249" t="s">
        <v>172</v>
      </c>
      <c r="J922" s="253">
        <v>2</v>
      </c>
    </row>
    <row r="923" spans="1:10" ht="12.5" x14ac:dyDescent="0.25">
      <c r="A923" s="246"/>
      <c r="B923" s="24"/>
      <c r="C923" s="24"/>
      <c r="D923" s="24"/>
      <c r="E923" s="24"/>
      <c r="F923" s="24"/>
      <c r="G923" s="68"/>
      <c r="H923" s="68"/>
      <c r="I923" s="70"/>
    </row>
    <row r="924" spans="1:10" ht="12.5" x14ac:dyDescent="0.25">
      <c r="A924" s="246"/>
      <c r="B924" s="24"/>
      <c r="C924" s="24"/>
      <c r="D924" s="24"/>
      <c r="E924" s="24"/>
      <c r="F924" s="24"/>
      <c r="G924" s="68"/>
      <c r="H924" s="68"/>
      <c r="I924" s="70"/>
    </row>
    <row r="925" spans="1:10" ht="14.5" x14ac:dyDescent="0.35">
      <c r="A925" s="247">
        <v>157</v>
      </c>
      <c r="B925" s="248" t="s">
        <v>382</v>
      </c>
      <c r="C925" s="248" t="s">
        <v>326</v>
      </c>
      <c r="D925" s="248" t="s">
        <v>339</v>
      </c>
      <c r="E925" s="249" t="s">
        <v>343</v>
      </c>
      <c r="F925" s="260" t="s">
        <v>398</v>
      </c>
      <c r="G925" s="256" t="s">
        <v>349</v>
      </c>
      <c r="H925" s="251" t="s">
        <v>346</v>
      </c>
      <c r="I925" s="249" t="s">
        <v>107</v>
      </c>
      <c r="J925" s="253">
        <v>4</v>
      </c>
    </row>
    <row r="926" spans="1:10" ht="14.5" x14ac:dyDescent="0.35">
      <c r="A926" s="254"/>
      <c r="B926" s="248" t="s">
        <v>382</v>
      </c>
      <c r="C926" s="248" t="s">
        <v>326</v>
      </c>
      <c r="D926" s="248" t="s">
        <v>339</v>
      </c>
      <c r="E926" s="249" t="s">
        <v>343</v>
      </c>
      <c r="F926" s="260" t="s">
        <v>409</v>
      </c>
      <c r="G926" s="256" t="s">
        <v>349</v>
      </c>
      <c r="H926" s="251" t="s">
        <v>347</v>
      </c>
      <c r="I926" s="249" t="s">
        <v>107</v>
      </c>
      <c r="J926" s="253">
        <v>5</v>
      </c>
    </row>
    <row r="927" spans="1:10" ht="14.5" x14ac:dyDescent="0.35">
      <c r="A927" s="254"/>
      <c r="B927" s="248" t="s">
        <v>382</v>
      </c>
      <c r="C927" s="248" t="s">
        <v>326</v>
      </c>
      <c r="D927" s="248" t="s">
        <v>339</v>
      </c>
      <c r="E927" s="249" t="s">
        <v>343</v>
      </c>
      <c r="F927" s="258" t="s">
        <v>420</v>
      </c>
      <c r="G927" s="256" t="s">
        <v>351</v>
      </c>
      <c r="H927" s="251" t="s">
        <v>346</v>
      </c>
      <c r="I927" s="249" t="s">
        <v>107</v>
      </c>
      <c r="J927" s="253">
        <v>9</v>
      </c>
    </row>
    <row r="928" spans="1:10" ht="14.5" x14ac:dyDescent="0.35">
      <c r="A928" s="254"/>
      <c r="B928" s="248" t="s">
        <v>382</v>
      </c>
      <c r="C928" s="248" t="s">
        <v>326</v>
      </c>
      <c r="D928" s="248" t="s">
        <v>339</v>
      </c>
      <c r="E928" s="249" t="s">
        <v>343</v>
      </c>
      <c r="F928" s="258" t="s">
        <v>430</v>
      </c>
      <c r="G928" s="256" t="s">
        <v>351</v>
      </c>
      <c r="H928" s="251" t="s">
        <v>347</v>
      </c>
      <c r="I928" s="249" t="s">
        <v>107</v>
      </c>
      <c r="J928" s="253">
        <v>9</v>
      </c>
    </row>
    <row r="929" spans="1:10" ht="12.5" x14ac:dyDescent="0.25">
      <c r="A929" s="246"/>
      <c r="B929" s="24"/>
      <c r="C929" s="24"/>
      <c r="D929" s="24"/>
      <c r="E929" s="24"/>
      <c r="F929" s="24"/>
      <c r="G929" s="68"/>
      <c r="H929" s="68"/>
      <c r="I929" s="70"/>
    </row>
    <row r="930" spans="1:10" ht="12.5" x14ac:dyDescent="0.25">
      <c r="A930" s="246"/>
      <c r="B930" s="24"/>
      <c r="C930" s="24"/>
      <c r="D930" s="24"/>
      <c r="E930" s="24"/>
      <c r="F930" s="24"/>
      <c r="G930" s="68"/>
      <c r="H930" s="68"/>
      <c r="I930" s="70"/>
    </row>
    <row r="931" spans="1:10" ht="14.5" x14ac:dyDescent="0.35">
      <c r="A931" s="247">
        <v>158</v>
      </c>
      <c r="B931" s="248" t="s">
        <v>382</v>
      </c>
      <c r="C931" s="248" t="s">
        <v>326</v>
      </c>
      <c r="D931" s="248" t="s">
        <v>339</v>
      </c>
      <c r="E931" s="249" t="s">
        <v>343</v>
      </c>
      <c r="F931" s="260" t="s">
        <v>398</v>
      </c>
      <c r="G931" s="256" t="s">
        <v>349</v>
      </c>
      <c r="H931" s="251" t="s">
        <v>346</v>
      </c>
      <c r="I931" s="249" t="s">
        <v>108</v>
      </c>
      <c r="J931" s="253">
        <v>0</v>
      </c>
    </row>
    <row r="932" spans="1:10" ht="14.5" x14ac:dyDescent="0.35">
      <c r="A932" s="254"/>
      <c r="B932" s="248" t="s">
        <v>382</v>
      </c>
      <c r="C932" s="248" t="s">
        <v>326</v>
      </c>
      <c r="D932" s="248" t="s">
        <v>339</v>
      </c>
      <c r="E932" s="249" t="s">
        <v>343</v>
      </c>
      <c r="F932" s="260" t="s">
        <v>409</v>
      </c>
      <c r="G932" s="256" t="s">
        <v>349</v>
      </c>
      <c r="H932" s="251" t="s">
        <v>347</v>
      </c>
      <c r="I932" s="249" t="s">
        <v>108</v>
      </c>
      <c r="J932" s="253">
        <v>0</v>
      </c>
    </row>
    <row r="933" spans="1:10" ht="14.5" x14ac:dyDescent="0.35">
      <c r="A933" s="254"/>
      <c r="B933" s="248" t="s">
        <v>382</v>
      </c>
      <c r="C933" s="248" t="s">
        <v>326</v>
      </c>
      <c r="D933" s="248" t="s">
        <v>339</v>
      </c>
      <c r="E933" s="249" t="s">
        <v>343</v>
      </c>
      <c r="F933" s="258" t="s">
        <v>420</v>
      </c>
      <c r="G933" s="256" t="s">
        <v>351</v>
      </c>
      <c r="H933" s="251" t="s">
        <v>346</v>
      </c>
      <c r="I933" s="249" t="s">
        <v>108</v>
      </c>
      <c r="J933" s="253">
        <v>0</v>
      </c>
    </row>
    <row r="934" spans="1:10" ht="14.5" x14ac:dyDescent="0.35">
      <c r="A934" s="254"/>
      <c r="B934" s="248" t="s">
        <v>382</v>
      </c>
      <c r="C934" s="248" t="s">
        <v>326</v>
      </c>
      <c r="D934" s="248" t="s">
        <v>339</v>
      </c>
      <c r="E934" s="249" t="s">
        <v>343</v>
      </c>
      <c r="F934" s="258" t="s">
        <v>430</v>
      </c>
      <c r="G934" s="256" t="s">
        <v>351</v>
      </c>
      <c r="H934" s="251" t="s">
        <v>347</v>
      </c>
      <c r="I934" s="249" t="s">
        <v>108</v>
      </c>
      <c r="J934" s="253">
        <v>0</v>
      </c>
    </row>
    <row r="935" spans="1:10" ht="12.5" x14ac:dyDescent="0.25">
      <c r="A935" s="246"/>
      <c r="B935" s="24"/>
      <c r="C935" s="24"/>
      <c r="D935" s="24"/>
      <c r="E935" s="24"/>
      <c r="F935" s="24"/>
      <c r="G935" s="68"/>
      <c r="H935" s="68"/>
      <c r="I935" s="70"/>
    </row>
    <row r="936" spans="1:10" ht="12.5" x14ac:dyDescent="0.25">
      <c r="A936" s="246"/>
      <c r="B936" s="24"/>
      <c r="C936" s="24"/>
      <c r="D936" s="24"/>
      <c r="E936" s="24"/>
      <c r="F936" s="24"/>
      <c r="G936" s="68"/>
      <c r="H936" s="68"/>
      <c r="I936" s="70"/>
    </row>
    <row r="937" spans="1:10" ht="14.5" x14ac:dyDescent="0.35">
      <c r="A937" s="247">
        <v>159</v>
      </c>
      <c r="B937" s="248" t="s">
        <v>382</v>
      </c>
      <c r="C937" s="248" t="s">
        <v>326</v>
      </c>
      <c r="D937" s="248" t="s">
        <v>339</v>
      </c>
      <c r="E937" s="249" t="s">
        <v>343</v>
      </c>
      <c r="F937" s="260" t="s">
        <v>398</v>
      </c>
      <c r="G937" s="256" t="s">
        <v>349</v>
      </c>
      <c r="H937" s="251" t="s">
        <v>346</v>
      </c>
      <c r="I937" s="249" t="s">
        <v>151</v>
      </c>
      <c r="J937" s="253">
        <v>6</v>
      </c>
    </row>
    <row r="938" spans="1:10" ht="14.5" x14ac:dyDescent="0.35">
      <c r="A938" s="254"/>
      <c r="B938" s="248" t="s">
        <v>382</v>
      </c>
      <c r="C938" s="248" t="s">
        <v>326</v>
      </c>
      <c r="D938" s="248" t="s">
        <v>339</v>
      </c>
      <c r="E938" s="249" t="s">
        <v>343</v>
      </c>
      <c r="F938" s="260" t="s">
        <v>409</v>
      </c>
      <c r="G938" s="256" t="s">
        <v>349</v>
      </c>
      <c r="H938" s="251" t="s">
        <v>347</v>
      </c>
      <c r="I938" s="249" t="s">
        <v>151</v>
      </c>
      <c r="J938" s="253">
        <v>16</v>
      </c>
    </row>
    <row r="939" spans="1:10" ht="14.5" x14ac:dyDescent="0.35">
      <c r="A939" s="254"/>
      <c r="B939" s="248" t="s">
        <v>382</v>
      </c>
      <c r="C939" s="248" t="s">
        <v>326</v>
      </c>
      <c r="D939" s="248" t="s">
        <v>339</v>
      </c>
      <c r="E939" s="249" t="s">
        <v>343</v>
      </c>
      <c r="F939" s="258" t="s">
        <v>420</v>
      </c>
      <c r="G939" s="256" t="s">
        <v>351</v>
      </c>
      <c r="H939" s="251" t="s">
        <v>346</v>
      </c>
      <c r="I939" s="249" t="s">
        <v>151</v>
      </c>
      <c r="J939" s="253">
        <v>14</v>
      </c>
    </row>
    <row r="940" spans="1:10" ht="14.5" x14ac:dyDescent="0.35">
      <c r="A940" s="254"/>
      <c r="B940" s="248" t="s">
        <v>382</v>
      </c>
      <c r="C940" s="248" t="s">
        <v>326</v>
      </c>
      <c r="D940" s="248" t="s">
        <v>339</v>
      </c>
      <c r="E940" s="249" t="s">
        <v>343</v>
      </c>
      <c r="F940" s="258" t="s">
        <v>430</v>
      </c>
      <c r="G940" s="256" t="s">
        <v>351</v>
      </c>
      <c r="H940" s="251" t="s">
        <v>347</v>
      </c>
      <c r="I940" s="249" t="s">
        <v>151</v>
      </c>
      <c r="J940" s="253">
        <v>19</v>
      </c>
    </row>
    <row r="941" spans="1:10" ht="12.5" x14ac:dyDescent="0.25">
      <c r="A941" s="246"/>
      <c r="B941" s="24"/>
      <c r="C941" s="24"/>
      <c r="D941" s="24"/>
      <c r="E941" s="24"/>
      <c r="F941" s="24"/>
      <c r="G941" s="68"/>
      <c r="H941" s="68"/>
      <c r="I941" s="70"/>
    </row>
    <row r="942" spans="1:10" ht="14.5" x14ac:dyDescent="0.35">
      <c r="A942" s="247">
        <v>160</v>
      </c>
      <c r="B942" s="248" t="s">
        <v>382</v>
      </c>
      <c r="C942" s="248" t="s">
        <v>326</v>
      </c>
      <c r="D942" s="248" t="s">
        <v>339</v>
      </c>
      <c r="E942" s="249" t="s">
        <v>343</v>
      </c>
      <c r="F942" s="260" t="s">
        <v>398</v>
      </c>
      <c r="G942" s="256" t="s">
        <v>349</v>
      </c>
      <c r="H942" s="251" t="s">
        <v>346</v>
      </c>
      <c r="I942" s="249" t="s">
        <v>109</v>
      </c>
      <c r="J942" s="253">
        <v>5</v>
      </c>
    </row>
    <row r="943" spans="1:10" ht="14.5" x14ac:dyDescent="0.35">
      <c r="A943" s="254"/>
      <c r="B943" s="248" t="s">
        <v>382</v>
      </c>
      <c r="C943" s="248" t="s">
        <v>326</v>
      </c>
      <c r="D943" s="248" t="s">
        <v>339</v>
      </c>
      <c r="E943" s="249" t="s">
        <v>343</v>
      </c>
      <c r="F943" s="260" t="s">
        <v>409</v>
      </c>
      <c r="G943" s="256" t="s">
        <v>349</v>
      </c>
      <c r="H943" s="251" t="s">
        <v>347</v>
      </c>
      <c r="I943" s="249" t="s">
        <v>109</v>
      </c>
      <c r="J943" s="253">
        <v>2</v>
      </c>
    </row>
    <row r="944" spans="1:10" ht="14.5" x14ac:dyDescent="0.35">
      <c r="A944" s="254"/>
      <c r="B944" s="248" t="s">
        <v>382</v>
      </c>
      <c r="C944" s="248" t="s">
        <v>326</v>
      </c>
      <c r="D944" s="248" t="s">
        <v>339</v>
      </c>
      <c r="E944" s="249" t="s">
        <v>343</v>
      </c>
      <c r="F944" s="258" t="s">
        <v>420</v>
      </c>
      <c r="G944" s="256" t="s">
        <v>351</v>
      </c>
      <c r="H944" s="251" t="s">
        <v>346</v>
      </c>
      <c r="I944" s="249" t="s">
        <v>109</v>
      </c>
      <c r="J944" s="253">
        <v>6</v>
      </c>
    </row>
    <row r="945" spans="1:10" ht="14.5" x14ac:dyDescent="0.35">
      <c r="A945" s="254"/>
      <c r="B945" s="248" t="s">
        <v>382</v>
      </c>
      <c r="C945" s="248" t="s">
        <v>326</v>
      </c>
      <c r="D945" s="248" t="s">
        <v>339</v>
      </c>
      <c r="E945" s="249" t="s">
        <v>343</v>
      </c>
      <c r="F945" s="258" t="s">
        <v>430</v>
      </c>
      <c r="G945" s="256" t="s">
        <v>351</v>
      </c>
      <c r="H945" s="251" t="s">
        <v>347</v>
      </c>
      <c r="I945" s="249" t="s">
        <v>109</v>
      </c>
      <c r="J945" s="253">
        <v>4</v>
      </c>
    </row>
    <row r="946" spans="1:10" ht="12.5" x14ac:dyDescent="0.25">
      <c r="A946" s="246"/>
      <c r="B946" s="24"/>
      <c r="C946" s="24"/>
      <c r="D946" s="24"/>
      <c r="E946" s="24"/>
      <c r="F946" s="24"/>
      <c r="G946" s="68"/>
      <c r="H946" s="68"/>
      <c r="I946" s="70"/>
    </row>
    <row r="947" spans="1:10" ht="12.5" x14ac:dyDescent="0.25">
      <c r="A947" s="246"/>
      <c r="B947" s="24"/>
      <c r="C947" s="24"/>
      <c r="D947" s="24"/>
      <c r="E947" s="24"/>
      <c r="F947" s="24"/>
      <c r="G947" s="68"/>
      <c r="H947" s="68"/>
      <c r="I947" s="70"/>
    </row>
    <row r="948" spans="1:10" ht="12.5" x14ac:dyDescent="0.25">
      <c r="A948" s="241">
        <v>161</v>
      </c>
      <c r="B948" s="61" t="s">
        <v>382</v>
      </c>
      <c r="C948" s="61" t="s">
        <v>329</v>
      </c>
      <c r="D948" s="61" t="s">
        <v>335</v>
      </c>
      <c r="E948" s="24" t="s">
        <v>336</v>
      </c>
      <c r="F948" s="24"/>
      <c r="G948" s="68"/>
      <c r="H948" s="68"/>
      <c r="I948" s="70">
        <v>50495</v>
      </c>
      <c r="J948" s="24">
        <v>0</v>
      </c>
    </row>
    <row r="949" spans="1:10" ht="12.5" x14ac:dyDescent="0.25">
      <c r="A949" s="246"/>
      <c r="B949" s="61" t="s">
        <v>382</v>
      </c>
      <c r="C949" s="61" t="s">
        <v>329</v>
      </c>
      <c r="D949" s="61" t="s">
        <v>337</v>
      </c>
      <c r="E949" s="24" t="s">
        <v>336</v>
      </c>
      <c r="F949" s="24"/>
      <c r="G949" s="68"/>
      <c r="H949" s="68"/>
      <c r="I949" s="70">
        <v>50495</v>
      </c>
      <c r="J949" s="24">
        <v>2</v>
      </c>
    </row>
    <row r="950" spans="1:10" ht="12.5" x14ac:dyDescent="0.25">
      <c r="A950" s="246"/>
      <c r="B950" s="61" t="s">
        <v>382</v>
      </c>
      <c r="C950" s="61" t="s">
        <v>329</v>
      </c>
      <c r="D950" s="61" t="s">
        <v>339</v>
      </c>
      <c r="E950" s="24" t="s">
        <v>336</v>
      </c>
      <c r="F950" s="24"/>
      <c r="G950" s="68"/>
      <c r="H950" s="68"/>
      <c r="I950" s="70">
        <v>50495</v>
      </c>
      <c r="J950" s="24">
        <v>0</v>
      </c>
    </row>
    <row r="951" spans="1:10" ht="12.5" x14ac:dyDescent="0.25">
      <c r="A951" s="246"/>
      <c r="B951" s="24"/>
      <c r="C951" s="24"/>
      <c r="D951" s="24"/>
      <c r="E951" s="24"/>
      <c r="F951" s="24"/>
      <c r="G951" s="68"/>
      <c r="H951" s="68"/>
      <c r="I951" s="70"/>
    </row>
    <row r="952" spans="1:10" ht="12.5" x14ac:dyDescent="0.25">
      <c r="A952" s="241">
        <v>162</v>
      </c>
      <c r="B952" s="61" t="s">
        <v>382</v>
      </c>
      <c r="C952" s="61" t="s">
        <v>329</v>
      </c>
      <c r="D952" s="61" t="s">
        <v>335</v>
      </c>
      <c r="E952" s="24" t="s">
        <v>336</v>
      </c>
      <c r="F952" s="24"/>
      <c r="G952" s="68"/>
      <c r="H952" s="68"/>
      <c r="I952" s="70">
        <v>50536</v>
      </c>
      <c r="J952" s="24">
        <v>0</v>
      </c>
    </row>
    <row r="953" spans="1:10" ht="12.5" x14ac:dyDescent="0.25">
      <c r="A953" s="246"/>
      <c r="B953" s="61" t="s">
        <v>382</v>
      </c>
      <c r="C953" s="61" t="s">
        <v>329</v>
      </c>
      <c r="D953" s="61" t="s">
        <v>337</v>
      </c>
      <c r="E953" s="24" t="s">
        <v>336</v>
      </c>
      <c r="F953" s="24"/>
      <c r="G953" s="68"/>
      <c r="H953" s="68"/>
      <c r="I953" s="70">
        <v>50536</v>
      </c>
      <c r="J953" s="24">
        <v>2</v>
      </c>
    </row>
    <row r="954" spans="1:10" ht="12.5" x14ac:dyDescent="0.25">
      <c r="A954" s="246"/>
      <c r="B954" s="61" t="s">
        <v>382</v>
      </c>
      <c r="C954" s="61" t="s">
        <v>329</v>
      </c>
      <c r="D954" s="61" t="s">
        <v>339</v>
      </c>
      <c r="E954" s="24" t="s">
        <v>336</v>
      </c>
      <c r="F954" s="24"/>
      <c r="G954" s="68"/>
      <c r="H954" s="68"/>
      <c r="I954" s="70">
        <v>50536</v>
      </c>
      <c r="J954" s="24">
        <v>0</v>
      </c>
    </row>
    <row r="955" spans="1:10" ht="12.5" x14ac:dyDescent="0.25">
      <c r="A955" s="246"/>
      <c r="B955" s="24"/>
      <c r="C955" s="24"/>
      <c r="D955" s="24"/>
      <c r="E955" s="24"/>
      <c r="F955" s="24"/>
      <c r="G955" s="68"/>
      <c r="H955" s="68"/>
      <c r="I955" s="70"/>
    </row>
    <row r="956" spans="1:10" ht="14.5" x14ac:dyDescent="0.35">
      <c r="A956" s="247">
        <v>163</v>
      </c>
      <c r="B956" s="248" t="s">
        <v>382</v>
      </c>
      <c r="C956" s="248" t="s">
        <v>329</v>
      </c>
      <c r="D956" s="248" t="s">
        <v>335</v>
      </c>
      <c r="E956" s="249" t="s">
        <v>336</v>
      </c>
      <c r="F956" s="249"/>
      <c r="G956" s="249"/>
      <c r="H956" s="249"/>
      <c r="I956" s="249">
        <v>50547</v>
      </c>
      <c r="J956" s="253">
        <v>0</v>
      </c>
    </row>
    <row r="957" spans="1:10" ht="14.5" x14ac:dyDescent="0.35">
      <c r="A957" s="254"/>
      <c r="B957" s="248" t="s">
        <v>382</v>
      </c>
      <c r="C957" s="248" t="s">
        <v>329</v>
      </c>
      <c r="D957" s="248" t="s">
        <v>337</v>
      </c>
      <c r="E957" s="249" t="s">
        <v>336</v>
      </c>
      <c r="F957" s="249"/>
      <c r="G957" s="249"/>
      <c r="H957" s="249"/>
      <c r="I957" s="249">
        <v>50547</v>
      </c>
      <c r="J957" s="253">
        <v>2</v>
      </c>
    </row>
    <row r="958" spans="1:10" ht="14.5" x14ac:dyDescent="0.35">
      <c r="A958" s="254"/>
      <c r="B958" s="248" t="s">
        <v>382</v>
      </c>
      <c r="C958" s="248" t="s">
        <v>329</v>
      </c>
      <c r="D958" s="248" t="s">
        <v>339</v>
      </c>
      <c r="E958" s="249" t="s">
        <v>336</v>
      </c>
      <c r="F958" s="249"/>
      <c r="G958" s="249"/>
      <c r="H958" s="249"/>
      <c r="I958" s="249">
        <v>50547</v>
      </c>
      <c r="J958" s="253">
        <v>0</v>
      </c>
    </row>
    <row r="959" spans="1:10" ht="12.5" x14ac:dyDescent="0.25">
      <c r="A959" s="246"/>
      <c r="B959" s="24"/>
      <c r="C959" s="24"/>
      <c r="D959" s="24"/>
      <c r="E959" s="24"/>
      <c r="F959" s="24"/>
      <c r="G959" s="68"/>
      <c r="H959" s="68"/>
      <c r="I959" s="70"/>
    </row>
    <row r="960" spans="1:10" ht="14.5" x14ac:dyDescent="0.35">
      <c r="A960" s="247">
        <v>164</v>
      </c>
      <c r="B960" s="248" t="s">
        <v>382</v>
      </c>
      <c r="C960" s="248" t="s">
        <v>329</v>
      </c>
      <c r="D960" s="248" t="s">
        <v>335</v>
      </c>
      <c r="E960" s="249" t="s">
        <v>336</v>
      </c>
      <c r="F960" s="249"/>
      <c r="G960" s="249"/>
      <c r="H960" s="249"/>
      <c r="I960" s="249">
        <v>50550</v>
      </c>
      <c r="J960" s="253">
        <v>0</v>
      </c>
    </row>
    <row r="961" spans="1:10" ht="14.5" x14ac:dyDescent="0.35">
      <c r="A961" s="254"/>
      <c r="B961" s="248" t="s">
        <v>382</v>
      </c>
      <c r="C961" s="248" t="s">
        <v>329</v>
      </c>
      <c r="D961" s="248" t="s">
        <v>337</v>
      </c>
      <c r="E961" s="249" t="s">
        <v>336</v>
      </c>
      <c r="F961" s="249"/>
      <c r="G961" s="249"/>
      <c r="H961" s="249"/>
      <c r="I961" s="249">
        <v>50550</v>
      </c>
      <c r="J961" s="253">
        <v>2</v>
      </c>
    </row>
    <row r="962" spans="1:10" ht="14.5" x14ac:dyDescent="0.35">
      <c r="A962" s="254"/>
      <c r="B962" s="248" t="s">
        <v>382</v>
      </c>
      <c r="C962" s="248" t="s">
        <v>329</v>
      </c>
      <c r="D962" s="248" t="s">
        <v>339</v>
      </c>
      <c r="E962" s="249" t="s">
        <v>336</v>
      </c>
      <c r="F962" s="249"/>
      <c r="G962" s="249"/>
      <c r="H962" s="249"/>
      <c r="I962" s="249">
        <v>50550</v>
      </c>
      <c r="J962" s="253">
        <v>0</v>
      </c>
    </row>
    <row r="963" spans="1:10" ht="12.5" x14ac:dyDescent="0.25">
      <c r="A963" s="246"/>
      <c r="B963" s="24"/>
      <c r="C963" s="24"/>
      <c r="D963" s="24"/>
      <c r="E963" s="24"/>
      <c r="F963" s="24"/>
      <c r="G963" s="68"/>
      <c r="H963" s="68"/>
      <c r="I963" s="70"/>
    </row>
    <row r="964" spans="1:10" ht="14.5" x14ac:dyDescent="0.35">
      <c r="A964" s="247">
        <v>165</v>
      </c>
      <c r="B964" s="248" t="s">
        <v>382</v>
      </c>
      <c r="C964" s="248" t="s">
        <v>329</v>
      </c>
      <c r="D964" s="248" t="s">
        <v>335</v>
      </c>
      <c r="E964" s="249" t="s">
        <v>336</v>
      </c>
      <c r="F964" s="249"/>
      <c r="G964" s="249"/>
      <c r="H964" s="249"/>
      <c r="I964" s="249">
        <v>50558</v>
      </c>
      <c r="J964" s="253">
        <v>0</v>
      </c>
    </row>
    <row r="965" spans="1:10" ht="14.5" x14ac:dyDescent="0.35">
      <c r="A965" s="254"/>
      <c r="B965" s="248" t="s">
        <v>382</v>
      </c>
      <c r="C965" s="248" t="s">
        <v>329</v>
      </c>
      <c r="D965" s="248" t="s">
        <v>337</v>
      </c>
      <c r="E965" s="249" t="s">
        <v>336</v>
      </c>
      <c r="F965" s="249"/>
      <c r="G965" s="249"/>
      <c r="H965" s="249"/>
      <c r="I965" s="249">
        <v>50558</v>
      </c>
      <c r="J965" s="253">
        <v>2</v>
      </c>
    </row>
    <row r="966" spans="1:10" ht="14.5" x14ac:dyDescent="0.35">
      <c r="A966" s="254"/>
      <c r="B966" s="248" t="s">
        <v>382</v>
      </c>
      <c r="C966" s="248" t="s">
        <v>329</v>
      </c>
      <c r="D966" s="248" t="s">
        <v>339</v>
      </c>
      <c r="E966" s="249" t="s">
        <v>336</v>
      </c>
      <c r="F966" s="249"/>
      <c r="G966" s="249"/>
      <c r="H966" s="249"/>
      <c r="I966" s="249">
        <v>50558</v>
      </c>
      <c r="J966" s="253">
        <v>0</v>
      </c>
    </row>
    <row r="967" spans="1:10" ht="12.5" x14ac:dyDescent="0.25">
      <c r="A967" s="246"/>
      <c r="B967" s="24"/>
      <c r="C967" s="24"/>
      <c r="D967" s="24"/>
      <c r="E967" s="24"/>
      <c r="F967" s="24"/>
      <c r="G967" s="68"/>
      <c r="H967" s="68"/>
      <c r="I967" s="70"/>
    </row>
    <row r="968" spans="1:10" ht="14.5" x14ac:dyDescent="0.35">
      <c r="A968" s="247">
        <v>166</v>
      </c>
      <c r="B968" s="248" t="s">
        <v>382</v>
      </c>
      <c r="C968" s="248" t="s">
        <v>329</v>
      </c>
      <c r="D968" s="248" t="s">
        <v>335</v>
      </c>
      <c r="E968" s="249" t="s">
        <v>336</v>
      </c>
      <c r="F968" s="249"/>
      <c r="G968" s="249"/>
      <c r="H968" s="249"/>
      <c r="I968" s="249">
        <v>50715</v>
      </c>
      <c r="J968" s="253">
        <v>0</v>
      </c>
    </row>
    <row r="969" spans="1:10" ht="14.5" x14ac:dyDescent="0.35">
      <c r="A969" s="254"/>
      <c r="B969" s="248" t="s">
        <v>382</v>
      </c>
      <c r="C969" s="248" t="s">
        <v>329</v>
      </c>
      <c r="D969" s="248" t="s">
        <v>337</v>
      </c>
      <c r="E969" s="249" t="s">
        <v>336</v>
      </c>
      <c r="F969" s="249"/>
      <c r="G969" s="249"/>
      <c r="H969" s="249"/>
      <c r="I969" s="249">
        <v>50715</v>
      </c>
      <c r="J969" s="253">
        <v>1</v>
      </c>
    </row>
    <row r="970" spans="1:10" ht="14.5" x14ac:dyDescent="0.35">
      <c r="A970" s="254"/>
      <c r="B970" s="248" t="s">
        <v>382</v>
      </c>
      <c r="C970" s="248" t="s">
        <v>329</v>
      </c>
      <c r="D970" s="248" t="s">
        <v>339</v>
      </c>
      <c r="E970" s="249" t="s">
        <v>336</v>
      </c>
      <c r="F970" s="249"/>
      <c r="G970" s="249"/>
      <c r="H970" s="249"/>
      <c r="I970" s="249">
        <v>50715</v>
      </c>
      <c r="J970" s="253">
        <v>0</v>
      </c>
    </row>
    <row r="971" spans="1:10" ht="12.5" x14ac:dyDescent="0.25">
      <c r="A971" s="246"/>
      <c r="B971" s="24"/>
      <c r="C971" s="24"/>
      <c r="D971" s="24"/>
      <c r="E971" s="24"/>
      <c r="F971" s="24"/>
      <c r="G971" s="68"/>
      <c r="H971" s="68"/>
      <c r="I971" s="70"/>
    </row>
    <row r="972" spans="1:10" ht="14.5" x14ac:dyDescent="0.35">
      <c r="A972" s="247">
        <v>167</v>
      </c>
      <c r="B972" s="248" t="s">
        <v>382</v>
      </c>
      <c r="C972" s="248" t="s">
        <v>329</v>
      </c>
      <c r="D972" s="248" t="s">
        <v>335</v>
      </c>
      <c r="E972" s="249" t="s">
        <v>336</v>
      </c>
      <c r="F972" s="249"/>
      <c r="G972" s="249"/>
      <c r="H972" s="249"/>
      <c r="I972" s="249">
        <v>50765</v>
      </c>
      <c r="J972" s="253">
        <v>0</v>
      </c>
    </row>
    <row r="973" spans="1:10" ht="14.5" x14ac:dyDescent="0.35">
      <c r="A973" s="254"/>
      <c r="B973" s="248" t="s">
        <v>382</v>
      </c>
      <c r="C973" s="248" t="s">
        <v>329</v>
      </c>
      <c r="D973" s="248" t="s">
        <v>337</v>
      </c>
      <c r="E973" s="249" t="s">
        <v>336</v>
      </c>
      <c r="F973" s="249"/>
      <c r="G973" s="249"/>
      <c r="H973" s="249"/>
      <c r="I973" s="249">
        <v>50765</v>
      </c>
      <c r="J973" s="253">
        <v>1</v>
      </c>
    </row>
    <row r="974" spans="1:10" ht="14.5" x14ac:dyDescent="0.35">
      <c r="A974" s="254"/>
      <c r="B974" s="248" t="s">
        <v>382</v>
      </c>
      <c r="C974" s="248" t="s">
        <v>329</v>
      </c>
      <c r="D974" s="248" t="s">
        <v>339</v>
      </c>
      <c r="E974" s="249" t="s">
        <v>336</v>
      </c>
      <c r="F974" s="249"/>
      <c r="G974" s="249"/>
      <c r="H974" s="249"/>
      <c r="I974" s="249">
        <v>50765</v>
      </c>
      <c r="J974" s="253">
        <v>0</v>
      </c>
    </row>
    <row r="975" spans="1:10" ht="12.5" x14ac:dyDescent="0.25">
      <c r="A975" s="246"/>
      <c r="B975" s="24"/>
      <c r="C975" s="24"/>
      <c r="D975" s="24"/>
      <c r="E975" s="24"/>
      <c r="F975" s="24"/>
      <c r="G975" s="68"/>
      <c r="H975" s="68"/>
      <c r="I975" s="70"/>
    </row>
    <row r="976" spans="1:10" ht="12.5" x14ac:dyDescent="0.25">
      <c r="A976" s="246"/>
      <c r="B976" s="24"/>
      <c r="C976" s="24"/>
      <c r="D976" s="24"/>
      <c r="E976" s="24"/>
      <c r="F976" s="24"/>
      <c r="G976" s="68"/>
      <c r="H976" s="68"/>
      <c r="I976" s="70"/>
    </row>
    <row r="977" spans="1:10" ht="14.5" x14ac:dyDescent="0.35">
      <c r="A977" s="247">
        <v>168</v>
      </c>
      <c r="B977" s="248" t="s">
        <v>382</v>
      </c>
      <c r="C977" s="248" t="s">
        <v>329</v>
      </c>
      <c r="D977" s="248" t="s">
        <v>335</v>
      </c>
      <c r="E977" s="249" t="s">
        <v>336</v>
      </c>
      <c r="F977" s="249"/>
      <c r="G977" s="249"/>
      <c r="H977" s="249"/>
      <c r="I977" s="249">
        <v>50796</v>
      </c>
      <c r="J977" s="253">
        <v>0</v>
      </c>
    </row>
    <row r="978" spans="1:10" ht="14.5" x14ac:dyDescent="0.35">
      <c r="A978" s="254"/>
      <c r="B978" s="248" t="s">
        <v>382</v>
      </c>
      <c r="C978" s="248" t="s">
        <v>329</v>
      </c>
      <c r="D978" s="248" t="s">
        <v>337</v>
      </c>
      <c r="E978" s="249" t="s">
        <v>336</v>
      </c>
      <c r="F978" s="249"/>
      <c r="G978" s="249"/>
      <c r="H978" s="249"/>
      <c r="I978" s="249">
        <v>50796</v>
      </c>
      <c r="J978" s="253">
        <v>1</v>
      </c>
    </row>
    <row r="979" spans="1:10" ht="14.5" x14ac:dyDescent="0.35">
      <c r="A979" s="254"/>
      <c r="B979" s="248" t="s">
        <v>382</v>
      </c>
      <c r="C979" s="248" t="s">
        <v>329</v>
      </c>
      <c r="D979" s="248" t="s">
        <v>339</v>
      </c>
      <c r="E979" s="249" t="s">
        <v>336</v>
      </c>
      <c r="F979" s="249"/>
      <c r="G979" s="249"/>
      <c r="H979" s="249"/>
      <c r="I979" s="249">
        <v>50796</v>
      </c>
      <c r="J979" s="253">
        <v>0</v>
      </c>
    </row>
    <row r="980" spans="1:10" ht="12.5" x14ac:dyDescent="0.25">
      <c r="A980" s="246"/>
      <c r="B980" s="24"/>
      <c r="C980" s="24"/>
      <c r="D980" s="24"/>
      <c r="E980" s="24"/>
      <c r="F980" s="24"/>
      <c r="G980" s="68"/>
      <c r="H980" s="68"/>
      <c r="I980" s="70"/>
    </row>
    <row r="981" spans="1:10" ht="14.5" x14ac:dyDescent="0.35">
      <c r="A981" s="247">
        <v>169</v>
      </c>
      <c r="B981" s="248" t="s">
        <v>382</v>
      </c>
      <c r="C981" s="248" t="s">
        <v>329</v>
      </c>
      <c r="D981" s="248" t="s">
        <v>335</v>
      </c>
      <c r="E981" s="249" t="s">
        <v>336</v>
      </c>
      <c r="F981" s="249"/>
      <c r="G981" s="249"/>
      <c r="H981" s="249"/>
      <c r="I981" s="249">
        <v>50854</v>
      </c>
      <c r="J981" s="253">
        <v>0</v>
      </c>
    </row>
    <row r="982" spans="1:10" ht="14.5" x14ac:dyDescent="0.35">
      <c r="A982" s="254"/>
      <c r="B982" s="248" t="s">
        <v>382</v>
      </c>
      <c r="C982" s="248" t="s">
        <v>329</v>
      </c>
      <c r="D982" s="248" t="s">
        <v>337</v>
      </c>
      <c r="E982" s="249" t="s">
        <v>336</v>
      </c>
      <c r="F982" s="249"/>
      <c r="G982" s="249"/>
      <c r="H982" s="249"/>
      <c r="I982" s="249">
        <v>50854</v>
      </c>
      <c r="J982" s="253">
        <v>1</v>
      </c>
    </row>
    <row r="983" spans="1:10" ht="14.5" x14ac:dyDescent="0.35">
      <c r="A983" s="254"/>
      <c r="B983" s="248" t="s">
        <v>382</v>
      </c>
      <c r="C983" s="248" t="s">
        <v>329</v>
      </c>
      <c r="D983" s="248" t="s">
        <v>339</v>
      </c>
      <c r="E983" s="249" t="s">
        <v>336</v>
      </c>
      <c r="F983" s="249"/>
      <c r="G983" s="249"/>
      <c r="H983" s="249"/>
      <c r="I983" s="249">
        <v>50854</v>
      </c>
      <c r="J983" s="253">
        <v>0</v>
      </c>
    </row>
    <row r="984" spans="1:10" ht="12.5" x14ac:dyDescent="0.25">
      <c r="A984" s="246"/>
      <c r="B984" s="24"/>
      <c r="C984" s="24"/>
      <c r="D984" s="24"/>
      <c r="E984" s="24"/>
      <c r="F984" s="24"/>
      <c r="G984" s="68"/>
      <c r="H984" s="68"/>
      <c r="I984" s="70"/>
    </row>
    <row r="985" spans="1:10" ht="14.5" x14ac:dyDescent="0.35">
      <c r="A985" s="247">
        <v>170</v>
      </c>
      <c r="B985" s="248" t="s">
        <v>382</v>
      </c>
      <c r="C985" s="248" t="s">
        <v>329</v>
      </c>
      <c r="D985" s="248" t="s">
        <v>335</v>
      </c>
      <c r="E985" s="249" t="s">
        <v>336</v>
      </c>
      <c r="F985" s="249"/>
      <c r="G985" s="249"/>
      <c r="H985" s="249"/>
      <c r="I985" s="249">
        <v>50912</v>
      </c>
      <c r="J985" s="253">
        <v>0</v>
      </c>
    </row>
    <row r="986" spans="1:10" ht="14.5" x14ac:dyDescent="0.35">
      <c r="A986" s="254"/>
      <c r="B986" s="248" t="s">
        <v>382</v>
      </c>
      <c r="C986" s="248" t="s">
        <v>329</v>
      </c>
      <c r="D986" s="248" t="s">
        <v>337</v>
      </c>
      <c r="E986" s="249" t="s">
        <v>336</v>
      </c>
      <c r="F986" s="249"/>
      <c r="G986" s="249"/>
      <c r="H986" s="249"/>
      <c r="I986" s="249">
        <v>50912</v>
      </c>
      <c r="J986" s="253">
        <v>2</v>
      </c>
    </row>
    <row r="987" spans="1:10" ht="14.5" x14ac:dyDescent="0.35">
      <c r="A987" s="254"/>
      <c r="B987" s="248" t="s">
        <v>382</v>
      </c>
      <c r="C987" s="248" t="s">
        <v>329</v>
      </c>
      <c r="D987" s="248" t="s">
        <v>339</v>
      </c>
      <c r="E987" s="249" t="s">
        <v>336</v>
      </c>
      <c r="F987" s="249"/>
      <c r="G987" s="249"/>
      <c r="H987" s="249"/>
      <c r="I987" s="249">
        <v>50912</v>
      </c>
      <c r="J987" s="253">
        <v>0</v>
      </c>
    </row>
    <row r="988" spans="1:10" ht="12.5" x14ac:dyDescent="0.25">
      <c r="A988" s="246"/>
      <c r="B988" s="24"/>
      <c r="C988" s="24"/>
      <c r="D988" s="24"/>
      <c r="E988" s="24"/>
      <c r="F988" s="24"/>
      <c r="G988" s="68"/>
      <c r="H988" s="68"/>
      <c r="I988" s="70"/>
    </row>
    <row r="989" spans="1:10" ht="14.5" x14ac:dyDescent="0.35">
      <c r="A989" s="247">
        <v>171</v>
      </c>
      <c r="B989" s="248" t="s">
        <v>382</v>
      </c>
      <c r="C989" s="248" t="s">
        <v>329</v>
      </c>
      <c r="D989" s="248" t="s">
        <v>335</v>
      </c>
      <c r="E989" s="249" t="s">
        <v>336</v>
      </c>
      <c r="F989" s="249"/>
      <c r="G989" s="249"/>
      <c r="H989" s="249"/>
      <c r="I989" s="249">
        <v>50977</v>
      </c>
      <c r="J989" s="253">
        <v>0</v>
      </c>
    </row>
    <row r="990" spans="1:10" ht="14.5" x14ac:dyDescent="0.35">
      <c r="A990" s="254"/>
      <c r="B990" s="248" t="s">
        <v>382</v>
      </c>
      <c r="C990" s="248" t="s">
        <v>329</v>
      </c>
      <c r="D990" s="248" t="s">
        <v>337</v>
      </c>
      <c r="E990" s="249" t="s">
        <v>336</v>
      </c>
      <c r="F990" s="249"/>
      <c r="G990" s="249"/>
      <c r="H990" s="249"/>
      <c r="I990" s="249">
        <v>50977</v>
      </c>
      <c r="J990" s="253">
        <v>2</v>
      </c>
    </row>
    <row r="991" spans="1:10" ht="14.5" x14ac:dyDescent="0.35">
      <c r="A991" s="254"/>
      <c r="B991" s="248" t="s">
        <v>382</v>
      </c>
      <c r="C991" s="248" t="s">
        <v>329</v>
      </c>
      <c r="D991" s="248" t="s">
        <v>339</v>
      </c>
      <c r="E991" s="249" t="s">
        <v>336</v>
      </c>
      <c r="F991" s="249"/>
      <c r="G991" s="249"/>
      <c r="H991" s="249"/>
      <c r="I991" s="249">
        <v>50977</v>
      </c>
      <c r="J991" s="253">
        <v>0</v>
      </c>
    </row>
    <row r="992" spans="1:10" ht="12.5" x14ac:dyDescent="0.25">
      <c r="A992" s="246"/>
      <c r="B992" s="24"/>
      <c r="C992" s="24"/>
      <c r="D992" s="24"/>
      <c r="E992" s="24"/>
      <c r="F992" s="24"/>
      <c r="G992" s="68"/>
      <c r="H992" s="68"/>
      <c r="I992" s="70"/>
    </row>
    <row r="993" spans="1:10" ht="14.5" x14ac:dyDescent="0.35">
      <c r="A993" s="247">
        <v>172</v>
      </c>
      <c r="B993" s="248" t="s">
        <v>382</v>
      </c>
      <c r="C993" s="248" t="s">
        <v>329</v>
      </c>
      <c r="D993" s="248" t="s">
        <v>335</v>
      </c>
      <c r="E993" s="249" t="s">
        <v>336</v>
      </c>
      <c r="F993" s="249"/>
      <c r="G993" s="249"/>
      <c r="H993" s="249"/>
      <c r="I993" s="249">
        <v>501432</v>
      </c>
      <c r="J993" s="253">
        <v>0</v>
      </c>
    </row>
    <row r="994" spans="1:10" ht="14.5" x14ac:dyDescent="0.35">
      <c r="A994" s="254"/>
      <c r="B994" s="248" t="s">
        <v>382</v>
      </c>
      <c r="C994" s="248" t="s">
        <v>329</v>
      </c>
      <c r="D994" s="248" t="s">
        <v>337</v>
      </c>
      <c r="E994" s="249" t="s">
        <v>336</v>
      </c>
      <c r="F994" s="249"/>
      <c r="G994" s="249"/>
      <c r="H994" s="249"/>
      <c r="I994" s="249">
        <v>501432</v>
      </c>
      <c r="J994" s="253">
        <v>2</v>
      </c>
    </row>
    <row r="995" spans="1:10" ht="14.5" x14ac:dyDescent="0.35">
      <c r="A995" s="254"/>
      <c r="B995" s="248" t="s">
        <v>382</v>
      </c>
      <c r="C995" s="248" t="s">
        <v>329</v>
      </c>
      <c r="D995" s="248" t="s">
        <v>339</v>
      </c>
      <c r="E995" s="249" t="s">
        <v>336</v>
      </c>
      <c r="F995" s="249"/>
      <c r="G995" s="249"/>
      <c r="H995" s="249"/>
      <c r="I995" s="249">
        <v>501432</v>
      </c>
      <c r="J995" s="253">
        <v>0</v>
      </c>
    </row>
    <row r="996" spans="1:10" ht="12.5" x14ac:dyDescent="0.25">
      <c r="A996" s="246"/>
      <c r="B996" s="24"/>
      <c r="C996" s="24"/>
      <c r="D996" s="24"/>
      <c r="E996" s="24"/>
      <c r="F996" s="24"/>
      <c r="G996" s="68"/>
      <c r="H996" s="68"/>
      <c r="I996" s="70"/>
    </row>
    <row r="997" spans="1:10" ht="14.5" x14ac:dyDescent="0.35">
      <c r="A997" s="247">
        <v>173</v>
      </c>
      <c r="B997" s="248" t="s">
        <v>382</v>
      </c>
      <c r="C997" s="248" t="s">
        <v>329</v>
      </c>
      <c r="D997" s="248" t="s">
        <v>335</v>
      </c>
      <c r="E997" s="249" t="s">
        <v>336</v>
      </c>
      <c r="F997" s="249"/>
      <c r="G997" s="249"/>
      <c r="H997" s="249"/>
      <c r="I997" s="249" t="s">
        <v>173</v>
      </c>
      <c r="J997" s="253">
        <v>0</v>
      </c>
    </row>
    <row r="998" spans="1:10" ht="14.5" x14ac:dyDescent="0.35">
      <c r="A998" s="254"/>
      <c r="B998" s="248" t="s">
        <v>382</v>
      </c>
      <c r="C998" s="248" t="s">
        <v>329</v>
      </c>
      <c r="D998" s="248" t="s">
        <v>337</v>
      </c>
      <c r="E998" s="249" t="s">
        <v>336</v>
      </c>
      <c r="F998" s="249"/>
      <c r="G998" s="249"/>
      <c r="H998" s="249"/>
      <c r="I998" s="249" t="s">
        <v>173</v>
      </c>
      <c r="J998" s="253">
        <v>0</v>
      </c>
    </row>
    <row r="999" spans="1:10" ht="14.5" x14ac:dyDescent="0.35">
      <c r="A999" s="254"/>
      <c r="B999" s="248" t="s">
        <v>382</v>
      </c>
      <c r="C999" s="248" t="s">
        <v>329</v>
      </c>
      <c r="D999" s="248" t="s">
        <v>339</v>
      </c>
      <c r="E999" s="249" t="s">
        <v>336</v>
      </c>
      <c r="F999" s="249"/>
      <c r="G999" s="249"/>
      <c r="H999" s="249"/>
      <c r="I999" s="249" t="s">
        <v>173</v>
      </c>
      <c r="J999" s="253">
        <v>5</v>
      </c>
    </row>
    <row r="1000" spans="1:10" ht="12.5" x14ac:dyDescent="0.25">
      <c r="A1000" s="246"/>
      <c r="B1000" s="24"/>
      <c r="C1000" s="24"/>
      <c r="D1000" s="24"/>
      <c r="E1000" s="24"/>
      <c r="F1000" s="24"/>
      <c r="G1000" s="68"/>
      <c r="H1000" s="68"/>
      <c r="I1000" s="70"/>
    </row>
    <row r="1001" spans="1:10" ht="14.5" x14ac:dyDescent="0.35">
      <c r="A1001" s="247">
        <v>174</v>
      </c>
      <c r="B1001" s="248" t="s">
        <v>382</v>
      </c>
      <c r="C1001" s="248" t="s">
        <v>329</v>
      </c>
      <c r="D1001" s="248" t="s">
        <v>335</v>
      </c>
      <c r="E1001" s="249" t="s">
        <v>336</v>
      </c>
      <c r="F1001" s="249"/>
      <c r="G1001" s="249"/>
      <c r="H1001" s="249"/>
      <c r="I1001" s="249" t="s">
        <v>443</v>
      </c>
      <c r="J1001" s="253">
        <v>2</v>
      </c>
    </row>
    <row r="1002" spans="1:10" ht="14.5" x14ac:dyDescent="0.35">
      <c r="A1002" s="254"/>
      <c r="B1002" s="248" t="s">
        <v>382</v>
      </c>
      <c r="C1002" s="248" t="s">
        <v>329</v>
      </c>
      <c r="D1002" s="248" t="s">
        <v>337</v>
      </c>
      <c r="E1002" s="249" t="s">
        <v>336</v>
      </c>
      <c r="F1002" s="249"/>
      <c r="G1002" s="249"/>
      <c r="H1002" s="249"/>
      <c r="I1002" s="249" t="s">
        <v>443</v>
      </c>
      <c r="J1002" s="253">
        <v>2</v>
      </c>
    </row>
    <row r="1003" spans="1:10" ht="14.5" x14ac:dyDescent="0.35">
      <c r="A1003" s="254"/>
      <c r="B1003" s="248" t="s">
        <v>382</v>
      </c>
      <c r="C1003" s="248" t="s">
        <v>329</v>
      </c>
      <c r="D1003" s="248" t="s">
        <v>339</v>
      </c>
      <c r="E1003" s="249" t="s">
        <v>336</v>
      </c>
      <c r="F1003" s="249"/>
      <c r="G1003" s="249"/>
      <c r="H1003" s="249"/>
      <c r="I1003" s="249" t="s">
        <v>443</v>
      </c>
      <c r="J1003" s="253">
        <v>0</v>
      </c>
    </row>
    <row r="1004" spans="1:10" ht="14.5" x14ac:dyDescent="0.35">
      <c r="A1004" s="254"/>
      <c r="B1004" s="248"/>
      <c r="C1004" s="248"/>
      <c r="D1004" s="248"/>
      <c r="E1004" s="249"/>
      <c r="F1004" s="249"/>
      <c r="G1004" s="249"/>
      <c r="H1004" s="249"/>
      <c r="I1004" s="249"/>
      <c r="J1004" s="253"/>
    </row>
    <row r="1005" spans="1:10" ht="14.5" x14ac:dyDescent="0.35">
      <c r="A1005" s="247">
        <v>175</v>
      </c>
      <c r="B1005" s="248" t="s">
        <v>382</v>
      </c>
      <c r="C1005" s="248" t="s">
        <v>329</v>
      </c>
      <c r="D1005" s="248" t="s">
        <v>335</v>
      </c>
      <c r="E1005" s="249" t="s">
        <v>336</v>
      </c>
      <c r="F1005" s="249"/>
      <c r="G1005" s="249"/>
      <c r="H1005" s="249"/>
      <c r="I1005" s="249" t="s">
        <v>444</v>
      </c>
      <c r="J1005" s="253">
        <v>0</v>
      </c>
    </row>
    <row r="1006" spans="1:10" ht="14.5" x14ac:dyDescent="0.35">
      <c r="A1006" s="254"/>
      <c r="B1006" s="248" t="s">
        <v>382</v>
      </c>
      <c r="C1006" s="248" t="s">
        <v>329</v>
      </c>
      <c r="D1006" s="248" t="s">
        <v>337</v>
      </c>
      <c r="E1006" s="249" t="s">
        <v>336</v>
      </c>
      <c r="F1006" s="249"/>
      <c r="G1006" s="249"/>
      <c r="H1006" s="249"/>
      <c r="I1006" s="249" t="s">
        <v>444</v>
      </c>
      <c r="J1006" s="253">
        <v>13</v>
      </c>
    </row>
    <row r="1007" spans="1:10" ht="14.5" x14ac:dyDescent="0.35">
      <c r="A1007" s="254"/>
      <c r="B1007" s="248" t="s">
        <v>382</v>
      </c>
      <c r="C1007" s="248" t="s">
        <v>329</v>
      </c>
      <c r="D1007" s="248" t="s">
        <v>339</v>
      </c>
      <c r="E1007" s="249" t="s">
        <v>336</v>
      </c>
      <c r="F1007" s="249"/>
      <c r="G1007" s="249"/>
      <c r="H1007" s="249"/>
      <c r="I1007" s="249" t="s">
        <v>444</v>
      </c>
      <c r="J1007" s="253">
        <v>0</v>
      </c>
    </row>
    <row r="1008" spans="1:10" ht="14.5" x14ac:dyDescent="0.35">
      <c r="A1008" s="254"/>
      <c r="B1008" s="248"/>
      <c r="C1008" s="248"/>
      <c r="D1008" s="248"/>
      <c r="E1008" s="249"/>
      <c r="F1008" s="249"/>
      <c r="G1008" s="249"/>
      <c r="H1008" s="249"/>
      <c r="I1008" s="249"/>
      <c r="J1008" s="253"/>
    </row>
    <row r="1009" spans="1:10" ht="14.5" x14ac:dyDescent="0.35">
      <c r="A1009" s="247">
        <v>176</v>
      </c>
      <c r="B1009" s="248" t="s">
        <v>382</v>
      </c>
      <c r="C1009" s="248" t="s">
        <v>329</v>
      </c>
      <c r="D1009" s="248" t="s">
        <v>335</v>
      </c>
      <c r="E1009" s="249" t="s">
        <v>336</v>
      </c>
      <c r="F1009" s="249"/>
      <c r="G1009" s="249"/>
      <c r="H1009" s="249"/>
      <c r="I1009" s="249" t="s">
        <v>447</v>
      </c>
      <c r="J1009" s="253">
        <v>0</v>
      </c>
    </row>
    <row r="1010" spans="1:10" ht="14.5" x14ac:dyDescent="0.35">
      <c r="A1010" s="254"/>
      <c r="B1010" s="248" t="s">
        <v>382</v>
      </c>
      <c r="C1010" s="248" t="s">
        <v>329</v>
      </c>
      <c r="D1010" s="248" t="s">
        <v>337</v>
      </c>
      <c r="E1010" s="249" t="s">
        <v>336</v>
      </c>
      <c r="F1010" s="249"/>
      <c r="G1010" s="249"/>
      <c r="H1010" s="249"/>
      <c r="I1010" s="249" t="s">
        <v>447</v>
      </c>
      <c r="J1010" s="253">
        <v>9</v>
      </c>
    </row>
    <row r="1011" spans="1:10" ht="14.5" x14ac:dyDescent="0.35">
      <c r="A1011" s="254"/>
      <c r="B1011" s="248" t="s">
        <v>382</v>
      </c>
      <c r="C1011" s="248" t="s">
        <v>329</v>
      </c>
      <c r="D1011" s="248" t="s">
        <v>339</v>
      </c>
      <c r="E1011" s="249" t="s">
        <v>336</v>
      </c>
      <c r="F1011" s="249"/>
      <c r="G1011" s="249"/>
      <c r="H1011" s="249"/>
      <c r="I1011" s="249" t="s">
        <v>447</v>
      </c>
      <c r="J1011" s="253">
        <v>0</v>
      </c>
    </row>
    <row r="1012" spans="1:10" ht="14.5" x14ac:dyDescent="0.35">
      <c r="A1012" s="254"/>
      <c r="B1012" s="248"/>
      <c r="C1012" s="248"/>
      <c r="D1012" s="248"/>
      <c r="E1012" s="249"/>
      <c r="F1012" s="249"/>
      <c r="G1012" s="249"/>
      <c r="H1012" s="249"/>
      <c r="I1012" s="249"/>
      <c r="J1012" s="253"/>
    </row>
    <row r="1013" spans="1:10" ht="14.5" x14ac:dyDescent="0.35">
      <c r="A1013" s="247">
        <v>177</v>
      </c>
      <c r="B1013" s="248" t="s">
        <v>382</v>
      </c>
      <c r="C1013" s="248" t="s">
        <v>329</v>
      </c>
      <c r="D1013" s="248" t="s">
        <v>335</v>
      </c>
      <c r="E1013" s="249" t="s">
        <v>336</v>
      </c>
      <c r="F1013" s="249"/>
      <c r="G1013" s="249"/>
      <c r="H1013" s="249"/>
      <c r="I1013" s="249" t="s">
        <v>208</v>
      </c>
      <c r="J1013" s="253">
        <v>0</v>
      </c>
    </row>
    <row r="1014" spans="1:10" ht="14.5" x14ac:dyDescent="0.35">
      <c r="A1014" s="254"/>
      <c r="B1014" s="248" t="s">
        <v>382</v>
      </c>
      <c r="C1014" s="248" t="s">
        <v>329</v>
      </c>
      <c r="D1014" s="248" t="s">
        <v>337</v>
      </c>
      <c r="E1014" s="249" t="s">
        <v>336</v>
      </c>
      <c r="F1014" s="249"/>
      <c r="G1014" s="249"/>
      <c r="H1014" s="249"/>
      <c r="I1014" s="249" t="s">
        <v>208</v>
      </c>
      <c r="J1014" s="253">
        <v>0</v>
      </c>
    </row>
    <row r="1015" spans="1:10" ht="14.5" x14ac:dyDescent="0.35">
      <c r="A1015" s="254"/>
      <c r="B1015" s="248" t="s">
        <v>382</v>
      </c>
      <c r="C1015" s="248" t="s">
        <v>329</v>
      </c>
      <c r="D1015" s="248" t="s">
        <v>339</v>
      </c>
      <c r="E1015" s="249" t="s">
        <v>336</v>
      </c>
      <c r="F1015" s="249"/>
      <c r="G1015" s="249"/>
      <c r="H1015" s="249"/>
      <c r="I1015" s="249" t="s">
        <v>208</v>
      </c>
      <c r="J1015" s="253">
        <v>5</v>
      </c>
    </row>
    <row r="1016" spans="1:10" ht="14.5" x14ac:dyDescent="0.35">
      <c r="A1016" s="254"/>
      <c r="B1016" s="248"/>
      <c r="C1016" s="248"/>
      <c r="D1016" s="248"/>
      <c r="E1016" s="249"/>
      <c r="F1016" s="249"/>
      <c r="G1016" s="249"/>
      <c r="H1016" s="249"/>
      <c r="I1016" s="249"/>
      <c r="J1016" s="253"/>
    </row>
    <row r="1017" spans="1:10" ht="14.5" x14ac:dyDescent="0.35">
      <c r="A1017" s="247">
        <v>178</v>
      </c>
      <c r="B1017" s="248" t="s">
        <v>382</v>
      </c>
      <c r="C1017" s="248" t="s">
        <v>329</v>
      </c>
      <c r="D1017" s="248" t="s">
        <v>335</v>
      </c>
      <c r="E1017" s="249" t="s">
        <v>338</v>
      </c>
      <c r="F1017" s="249"/>
      <c r="G1017" s="249"/>
      <c r="H1017" s="249"/>
      <c r="I1017" s="249">
        <v>60133</v>
      </c>
      <c r="J1017" s="253">
        <v>0</v>
      </c>
    </row>
    <row r="1018" spans="1:10" ht="14.5" x14ac:dyDescent="0.35">
      <c r="A1018" s="254"/>
      <c r="B1018" s="248" t="s">
        <v>382</v>
      </c>
      <c r="C1018" s="248" t="s">
        <v>329</v>
      </c>
      <c r="D1018" s="248" t="s">
        <v>337</v>
      </c>
      <c r="E1018" s="249" t="s">
        <v>338</v>
      </c>
      <c r="F1018" s="249"/>
      <c r="G1018" s="249"/>
      <c r="H1018" s="249"/>
      <c r="I1018" s="249">
        <v>60133</v>
      </c>
      <c r="J1018" s="253">
        <v>7</v>
      </c>
    </row>
    <row r="1019" spans="1:10" ht="14.5" x14ac:dyDescent="0.35">
      <c r="A1019" s="254"/>
      <c r="B1019" s="248" t="s">
        <v>382</v>
      </c>
      <c r="C1019" s="248" t="s">
        <v>329</v>
      </c>
      <c r="D1019" s="248" t="s">
        <v>339</v>
      </c>
      <c r="E1019" s="249" t="s">
        <v>338</v>
      </c>
      <c r="F1019" s="249"/>
      <c r="G1019" s="249"/>
      <c r="H1019" s="249"/>
      <c r="I1019" s="249">
        <v>60133</v>
      </c>
      <c r="J1019" s="253">
        <v>6</v>
      </c>
    </row>
    <row r="1020" spans="1:10" ht="14.5" x14ac:dyDescent="0.35">
      <c r="A1020" s="254"/>
      <c r="B1020" s="248"/>
      <c r="C1020" s="248"/>
      <c r="D1020" s="248"/>
      <c r="E1020" s="249"/>
      <c r="F1020" s="249"/>
      <c r="G1020" s="249"/>
      <c r="H1020" s="249"/>
      <c r="I1020" s="249"/>
      <c r="J1020" s="253"/>
    </row>
    <row r="1021" spans="1:10" ht="14.5" x14ac:dyDescent="0.35">
      <c r="A1021" s="247">
        <v>179</v>
      </c>
      <c r="B1021" s="248" t="s">
        <v>382</v>
      </c>
      <c r="C1021" s="248" t="s">
        <v>329</v>
      </c>
      <c r="D1021" s="248" t="s">
        <v>335</v>
      </c>
      <c r="E1021" s="249" t="s">
        <v>338</v>
      </c>
      <c r="F1021" s="249"/>
      <c r="G1021" s="249"/>
      <c r="H1021" s="249"/>
      <c r="I1021" s="249">
        <v>601331</v>
      </c>
      <c r="J1021" s="253">
        <v>0</v>
      </c>
    </row>
    <row r="1022" spans="1:10" ht="14.5" x14ac:dyDescent="0.35">
      <c r="A1022" s="254"/>
      <c r="B1022" s="248" t="s">
        <v>382</v>
      </c>
      <c r="C1022" s="248" t="s">
        <v>329</v>
      </c>
      <c r="D1022" s="248" t="s">
        <v>337</v>
      </c>
      <c r="E1022" s="249" t="s">
        <v>338</v>
      </c>
      <c r="F1022" s="249"/>
      <c r="G1022" s="249"/>
      <c r="H1022" s="249"/>
      <c r="I1022" s="249">
        <v>601331</v>
      </c>
      <c r="J1022" s="253">
        <v>4</v>
      </c>
    </row>
    <row r="1023" spans="1:10" ht="14.5" x14ac:dyDescent="0.35">
      <c r="A1023" s="254"/>
      <c r="B1023" s="248" t="s">
        <v>382</v>
      </c>
      <c r="C1023" s="248" t="s">
        <v>329</v>
      </c>
      <c r="D1023" s="248" t="s">
        <v>339</v>
      </c>
      <c r="E1023" s="249" t="s">
        <v>338</v>
      </c>
      <c r="F1023" s="249"/>
      <c r="G1023" s="249"/>
      <c r="H1023" s="249"/>
      <c r="I1023" s="249">
        <v>601331</v>
      </c>
      <c r="J1023" s="253">
        <v>5</v>
      </c>
    </row>
    <row r="1024" spans="1:10" ht="14.5" x14ac:dyDescent="0.35">
      <c r="A1024" s="254"/>
      <c r="B1024" s="248"/>
      <c r="C1024" s="248"/>
      <c r="D1024" s="248"/>
      <c r="E1024" s="249"/>
      <c r="F1024" s="249"/>
      <c r="G1024" s="249"/>
      <c r="H1024" s="249"/>
      <c r="I1024" s="249"/>
      <c r="J1024" s="253"/>
    </row>
    <row r="1025" spans="1:10" ht="14.5" x14ac:dyDescent="0.35">
      <c r="A1025" s="247">
        <v>180</v>
      </c>
      <c r="B1025" s="248" t="s">
        <v>382</v>
      </c>
      <c r="C1025" s="248" t="s">
        <v>329</v>
      </c>
      <c r="D1025" s="248" t="s">
        <v>335</v>
      </c>
      <c r="E1025" s="249" t="s">
        <v>338</v>
      </c>
      <c r="F1025" s="249"/>
      <c r="G1025" s="249"/>
      <c r="H1025" s="249"/>
      <c r="I1025" s="249">
        <v>601448</v>
      </c>
      <c r="J1025" s="253">
        <v>0</v>
      </c>
    </row>
    <row r="1026" spans="1:10" ht="14.5" x14ac:dyDescent="0.35">
      <c r="A1026" s="254"/>
      <c r="B1026" s="248" t="s">
        <v>382</v>
      </c>
      <c r="C1026" s="248" t="s">
        <v>329</v>
      </c>
      <c r="D1026" s="248" t="s">
        <v>337</v>
      </c>
      <c r="E1026" s="249" t="s">
        <v>338</v>
      </c>
      <c r="F1026" s="249"/>
      <c r="G1026" s="249"/>
      <c r="H1026" s="249"/>
      <c r="I1026" s="249">
        <v>601448</v>
      </c>
      <c r="J1026" s="253">
        <v>2</v>
      </c>
    </row>
    <row r="1027" spans="1:10" ht="14.5" x14ac:dyDescent="0.35">
      <c r="A1027" s="254"/>
      <c r="B1027" s="248" t="s">
        <v>382</v>
      </c>
      <c r="C1027" s="248" t="s">
        <v>329</v>
      </c>
      <c r="D1027" s="248" t="s">
        <v>339</v>
      </c>
      <c r="E1027" s="249" t="s">
        <v>338</v>
      </c>
      <c r="F1027" s="249"/>
      <c r="G1027" s="249"/>
      <c r="H1027" s="249"/>
      <c r="I1027" s="249">
        <v>601448</v>
      </c>
      <c r="J1027" s="253">
        <v>0</v>
      </c>
    </row>
    <row r="1028" spans="1:10" ht="14.5" x14ac:dyDescent="0.35">
      <c r="A1028" s="254"/>
      <c r="B1028" s="248"/>
      <c r="C1028" s="248"/>
      <c r="D1028" s="248"/>
      <c r="E1028" s="249"/>
      <c r="F1028" s="249"/>
      <c r="G1028" s="249"/>
      <c r="H1028" s="249"/>
      <c r="I1028" s="249"/>
      <c r="J1028" s="253"/>
    </row>
    <row r="1029" spans="1:10" ht="14.5" x14ac:dyDescent="0.35">
      <c r="A1029" s="247">
        <v>181</v>
      </c>
      <c r="B1029" s="248" t="s">
        <v>382</v>
      </c>
      <c r="C1029" s="248" t="s">
        <v>329</v>
      </c>
      <c r="D1029" s="248" t="s">
        <v>335</v>
      </c>
      <c r="E1029" s="249" t="s">
        <v>338</v>
      </c>
      <c r="F1029" s="249"/>
      <c r="G1029" s="249"/>
      <c r="H1029" s="249"/>
      <c r="I1029" s="249">
        <v>601514</v>
      </c>
      <c r="J1029" s="253">
        <v>0</v>
      </c>
    </row>
    <row r="1030" spans="1:10" ht="14.5" x14ac:dyDescent="0.35">
      <c r="A1030" s="254"/>
      <c r="B1030" s="248" t="s">
        <v>382</v>
      </c>
      <c r="C1030" s="248" t="s">
        <v>329</v>
      </c>
      <c r="D1030" s="248" t="s">
        <v>337</v>
      </c>
      <c r="E1030" s="249" t="s">
        <v>338</v>
      </c>
      <c r="F1030" s="249"/>
      <c r="G1030" s="249"/>
      <c r="H1030" s="249"/>
      <c r="I1030" s="249">
        <v>601514</v>
      </c>
      <c r="J1030" s="253">
        <v>2</v>
      </c>
    </row>
    <row r="1031" spans="1:10" ht="14.5" x14ac:dyDescent="0.35">
      <c r="A1031" s="254"/>
      <c r="B1031" s="248" t="s">
        <v>382</v>
      </c>
      <c r="C1031" s="248" t="s">
        <v>329</v>
      </c>
      <c r="D1031" s="248" t="s">
        <v>339</v>
      </c>
      <c r="E1031" s="249" t="s">
        <v>338</v>
      </c>
      <c r="F1031" s="249"/>
      <c r="G1031" s="249"/>
      <c r="H1031" s="249"/>
      <c r="I1031" s="249">
        <v>601514</v>
      </c>
      <c r="J1031" s="253">
        <v>0</v>
      </c>
    </row>
    <row r="1032" spans="1:10" ht="14.5" x14ac:dyDescent="0.35">
      <c r="A1032" s="254"/>
      <c r="B1032" s="248"/>
      <c r="C1032" s="248"/>
      <c r="D1032" s="248"/>
      <c r="E1032" s="249"/>
      <c r="F1032" s="249"/>
      <c r="G1032" s="249"/>
      <c r="H1032" s="249"/>
      <c r="I1032" s="249"/>
      <c r="J1032" s="253"/>
    </row>
    <row r="1033" spans="1:10" ht="14.5" x14ac:dyDescent="0.35">
      <c r="A1033" s="247">
        <v>182</v>
      </c>
      <c r="B1033" s="248" t="s">
        <v>382</v>
      </c>
      <c r="C1033" s="248" t="s">
        <v>329</v>
      </c>
      <c r="D1033" s="248" t="s">
        <v>335</v>
      </c>
      <c r="E1033" s="249" t="s">
        <v>338</v>
      </c>
      <c r="F1033" s="249"/>
      <c r="G1033" s="249"/>
      <c r="H1033" s="249"/>
      <c r="I1033" s="249">
        <v>601614</v>
      </c>
      <c r="J1033" s="253">
        <v>0</v>
      </c>
    </row>
    <row r="1034" spans="1:10" ht="14.5" x14ac:dyDescent="0.35">
      <c r="A1034" s="254"/>
      <c r="B1034" s="248" t="s">
        <v>382</v>
      </c>
      <c r="C1034" s="248" t="s">
        <v>329</v>
      </c>
      <c r="D1034" s="248" t="s">
        <v>337</v>
      </c>
      <c r="E1034" s="249" t="s">
        <v>338</v>
      </c>
      <c r="F1034" s="249"/>
      <c r="G1034" s="249"/>
      <c r="H1034" s="249"/>
      <c r="I1034" s="249">
        <v>601614</v>
      </c>
      <c r="J1034" s="253">
        <v>1</v>
      </c>
    </row>
    <row r="1035" spans="1:10" ht="14.5" x14ac:dyDescent="0.35">
      <c r="A1035" s="254"/>
      <c r="B1035" s="248" t="s">
        <v>382</v>
      </c>
      <c r="C1035" s="248" t="s">
        <v>329</v>
      </c>
      <c r="D1035" s="248" t="s">
        <v>339</v>
      </c>
      <c r="E1035" s="249" t="s">
        <v>338</v>
      </c>
      <c r="F1035" s="249"/>
      <c r="G1035" s="249"/>
      <c r="H1035" s="249"/>
      <c r="I1035" s="249">
        <v>601614</v>
      </c>
      <c r="J1035" s="253">
        <v>0</v>
      </c>
    </row>
    <row r="1036" spans="1:10" ht="14.5" x14ac:dyDescent="0.35">
      <c r="A1036" s="254"/>
      <c r="B1036" s="248"/>
      <c r="C1036" s="248"/>
      <c r="D1036" s="248"/>
      <c r="E1036" s="249"/>
      <c r="F1036" s="249"/>
      <c r="G1036" s="249"/>
      <c r="H1036" s="249"/>
      <c r="I1036" s="249"/>
      <c r="J1036" s="253"/>
    </row>
    <row r="1037" spans="1:10" ht="14.5" x14ac:dyDescent="0.35">
      <c r="A1037" s="254"/>
      <c r="B1037" s="248"/>
      <c r="C1037" s="248"/>
      <c r="D1037" s="248"/>
      <c r="E1037" s="249"/>
      <c r="F1037" s="249"/>
      <c r="G1037" s="249"/>
      <c r="H1037" s="249"/>
      <c r="I1037" s="249"/>
      <c r="J1037" s="253"/>
    </row>
    <row r="1038" spans="1:10" ht="14.5" x14ac:dyDescent="0.35">
      <c r="A1038" s="247">
        <v>183</v>
      </c>
      <c r="B1038" s="248" t="s">
        <v>382</v>
      </c>
      <c r="C1038" s="248" t="s">
        <v>329</v>
      </c>
      <c r="D1038" s="248" t="s">
        <v>335</v>
      </c>
      <c r="E1038" s="249" t="s">
        <v>338</v>
      </c>
      <c r="F1038" s="249"/>
      <c r="G1038" s="249"/>
      <c r="H1038" s="249"/>
      <c r="I1038" s="249">
        <v>6010231</v>
      </c>
      <c r="J1038" s="253">
        <v>0</v>
      </c>
    </row>
    <row r="1039" spans="1:10" ht="14.5" x14ac:dyDescent="0.35">
      <c r="A1039" s="254"/>
      <c r="B1039" s="248" t="s">
        <v>382</v>
      </c>
      <c r="C1039" s="248" t="s">
        <v>329</v>
      </c>
      <c r="D1039" s="248" t="s">
        <v>337</v>
      </c>
      <c r="E1039" s="249" t="s">
        <v>338</v>
      </c>
      <c r="F1039" s="249"/>
      <c r="G1039" s="249"/>
      <c r="H1039" s="249"/>
      <c r="I1039" s="249">
        <v>6010231</v>
      </c>
      <c r="J1039" s="253">
        <v>7</v>
      </c>
    </row>
    <row r="1040" spans="1:10" ht="14.5" x14ac:dyDescent="0.35">
      <c r="A1040" s="254"/>
      <c r="B1040" s="248" t="s">
        <v>382</v>
      </c>
      <c r="C1040" s="248" t="s">
        <v>329</v>
      </c>
      <c r="D1040" s="248" t="s">
        <v>339</v>
      </c>
      <c r="E1040" s="249" t="s">
        <v>338</v>
      </c>
      <c r="F1040" s="249"/>
      <c r="G1040" s="249"/>
      <c r="H1040" s="249"/>
      <c r="I1040" s="249">
        <v>6010231</v>
      </c>
      <c r="J1040" s="253">
        <v>6</v>
      </c>
    </row>
    <row r="1041" spans="1:10" ht="14.5" x14ac:dyDescent="0.35">
      <c r="A1041" s="254"/>
      <c r="B1041" s="248"/>
      <c r="C1041" s="248"/>
      <c r="D1041" s="248"/>
      <c r="E1041" s="249"/>
      <c r="F1041" s="249"/>
      <c r="G1041" s="249"/>
      <c r="H1041" s="249"/>
      <c r="I1041" s="249"/>
      <c r="J1041" s="253"/>
    </row>
    <row r="1042" spans="1:10" ht="14.5" x14ac:dyDescent="0.35">
      <c r="A1042" s="247">
        <v>184</v>
      </c>
      <c r="B1042" s="248" t="s">
        <v>382</v>
      </c>
      <c r="C1042" s="248" t="s">
        <v>329</v>
      </c>
      <c r="D1042" s="248" t="s">
        <v>335</v>
      </c>
      <c r="E1042" s="249" t="s">
        <v>338</v>
      </c>
      <c r="F1042" s="249"/>
      <c r="G1042" s="249"/>
      <c r="H1042" s="249"/>
      <c r="I1042" s="249" t="s">
        <v>160</v>
      </c>
      <c r="J1042" s="253">
        <v>0</v>
      </c>
    </row>
    <row r="1043" spans="1:10" ht="14.5" x14ac:dyDescent="0.35">
      <c r="A1043" s="254"/>
      <c r="B1043" s="248" t="s">
        <v>382</v>
      </c>
      <c r="C1043" s="248" t="s">
        <v>329</v>
      </c>
      <c r="D1043" s="248" t="s">
        <v>337</v>
      </c>
      <c r="E1043" s="249" t="s">
        <v>338</v>
      </c>
      <c r="F1043" s="249"/>
      <c r="G1043" s="249"/>
      <c r="H1043" s="249"/>
      <c r="I1043" s="249" t="s">
        <v>160</v>
      </c>
      <c r="J1043" s="253">
        <v>2</v>
      </c>
    </row>
    <row r="1044" spans="1:10" ht="14.5" x14ac:dyDescent="0.35">
      <c r="A1044" s="254"/>
      <c r="B1044" s="248" t="s">
        <v>382</v>
      </c>
      <c r="C1044" s="248" t="s">
        <v>329</v>
      </c>
      <c r="D1044" s="248" t="s">
        <v>339</v>
      </c>
      <c r="E1044" s="249" t="s">
        <v>338</v>
      </c>
      <c r="F1044" s="249"/>
      <c r="G1044" s="249"/>
      <c r="H1044" s="249"/>
      <c r="I1044" s="249" t="s">
        <v>160</v>
      </c>
      <c r="J1044" s="253">
        <v>5</v>
      </c>
    </row>
    <row r="1045" spans="1:10" ht="14.5" x14ac:dyDescent="0.35">
      <c r="A1045" s="254"/>
      <c r="B1045" s="248"/>
      <c r="C1045" s="248"/>
      <c r="D1045" s="248"/>
      <c r="E1045" s="249"/>
      <c r="F1045" s="249"/>
      <c r="G1045" s="249"/>
      <c r="H1045" s="249"/>
      <c r="I1045" s="249"/>
      <c r="J1045" s="253"/>
    </row>
    <row r="1046" spans="1:10" ht="14.5" x14ac:dyDescent="0.35">
      <c r="A1046" s="247">
        <v>185</v>
      </c>
      <c r="B1046" s="248" t="s">
        <v>382</v>
      </c>
      <c r="C1046" s="248" t="s">
        <v>329</v>
      </c>
      <c r="D1046" s="248" t="s">
        <v>335</v>
      </c>
      <c r="E1046" s="249" t="s">
        <v>338</v>
      </c>
      <c r="F1046" s="249"/>
      <c r="G1046" s="249"/>
      <c r="H1046" s="249"/>
      <c r="I1046" s="249" t="s">
        <v>65</v>
      </c>
      <c r="J1046" s="253">
        <v>0</v>
      </c>
    </row>
    <row r="1047" spans="1:10" ht="14.5" x14ac:dyDescent="0.35">
      <c r="A1047" s="254"/>
      <c r="B1047" s="248" t="s">
        <v>382</v>
      </c>
      <c r="C1047" s="248" t="s">
        <v>329</v>
      </c>
      <c r="D1047" s="248" t="s">
        <v>337</v>
      </c>
      <c r="E1047" s="249" t="s">
        <v>338</v>
      </c>
      <c r="F1047" s="249"/>
      <c r="G1047" s="249"/>
      <c r="H1047" s="249"/>
      <c r="I1047" s="249" t="s">
        <v>65</v>
      </c>
      <c r="J1047" s="253">
        <v>0</v>
      </c>
    </row>
    <row r="1048" spans="1:10" ht="14.5" x14ac:dyDescent="0.35">
      <c r="A1048" s="254"/>
      <c r="B1048" s="248" t="s">
        <v>382</v>
      </c>
      <c r="C1048" s="248" t="s">
        <v>329</v>
      </c>
      <c r="D1048" s="248" t="s">
        <v>339</v>
      </c>
      <c r="E1048" s="249" t="s">
        <v>338</v>
      </c>
      <c r="F1048" s="249"/>
      <c r="G1048" s="249"/>
      <c r="H1048" s="249"/>
      <c r="I1048" s="249" t="s">
        <v>65</v>
      </c>
      <c r="J1048" s="253">
        <v>9</v>
      </c>
    </row>
    <row r="1049" spans="1:10" ht="14.5" x14ac:dyDescent="0.35">
      <c r="A1049" s="254"/>
      <c r="B1049" s="248"/>
      <c r="C1049" s="248"/>
      <c r="D1049" s="248"/>
      <c r="E1049" s="249"/>
      <c r="F1049" s="249"/>
      <c r="G1049" s="249"/>
      <c r="H1049" s="249"/>
      <c r="I1049" s="249"/>
      <c r="J1049" s="253"/>
    </row>
    <row r="1050" spans="1:10" ht="14.5" x14ac:dyDescent="0.35">
      <c r="A1050" s="254"/>
      <c r="B1050" s="248"/>
      <c r="C1050" s="248"/>
      <c r="D1050" s="248"/>
      <c r="E1050" s="249"/>
      <c r="F1050" s="249"/>
      <c r="G1050" s="249"/>
      <c r="H1050" s="249"/>
      <c r="I1050" s="249"/>
      <c r="J1050" s="253"/>
    </row>
    <row r="1051" spans="1:10" ht="14.5" x14ac:dyDescent="0.35">
      <c r="A1051" s="247">
        <v>186</v>
      </c>
      <c r="B1051" s="248" t="s">
        <v>382</v>
      </c>
      <c r="C1051" s="248" t="s">
        <v>329</v>
      </c>
      <c r="D1051" s="248" t="s">
        <v>335</v>
      </c>
      <c r="E1051" s="249" t="s">
        <v>338</v>
      </c>
      <c r="F1051" s="249"/>
      <c r="G1051" s="249"/>
      <c r="H1051" s="249"/>
      <c r="I1051" s="249" t="s">
        <v>1490</v>
      </c>
      <c r="J1051" s="253">
        <v>1</v>
      </c>
    </row>
    <row r="1052" spans="1:10" ht="14.5" x14ac:dyDescent="0.35">
      <c r="A1052" s="254"/>
      <c r="B1052" s="248" t="s">
        <v>382</v>
      </c>
      <c r="C1052" s="248" t="s">
        <v>329</v>
      </c>
      <c r="D1052" s="248" t="s">
        <v>337</v>
      </c>
      <c r="E1052" s="249" t="s">
        <v>338</v>
      </c>
      <c r="F1052" s="249"/>
      <c r="G1052" s="249"/>
      <c r="H1052" s="249"/>
      <c r="I1052" s="249" t="s">
        <v>1490</v>
      </c>
      <c r="J1052" s="253">
        <v>0</v>
      </c>
    </row>
    <row r="1053" spans="1:10" ht="14.5" x14ac:dyDescent="0.35">
      <c r="A1053" s="254"/>
      <c r="B1053" s="248" t="s">
        <v>382</v>
      </c>
      <c r="C1053" s="248" t="s">
        <v>329</v>
      </c>
      <c r="D1053" s="248" t="s">
        <v>339</v>
      </c>
      <c r="E1053" s="249" t="s">
        <v>338</v>
      </c>
      <c r="F1053" s="249"/>
      <c r="G1053" s="249"/>
      <c r="H1053" s="249"/>
      <c r="I1053" s="249" t="s">
        <v>1490</v>
      </c>
      <c r="J1053" s="253">
        <v>0</v>
      </c>
    </row>
    <row r="1054" spans="1:10" ht="14.5" x14ac:dyDescent="0.35">
      <c r="A1054" s="254"/>
      <c r="B1054" s="248"/>
      <c r="C1054" s="248"/>
      <c r="D1054" s="248"/>
      <c r="E1054" s="249"/>
      <c r="F1054" s="249"/>
      <c r="G1054" s="249"/>
      <c r="H1054" s="249"/>
      <c r="I1054" s="249"/>
      <c r="J1054" s="253"/>
    </row>
    <row r="1055" spans="1:10" ht="14.5" x14ac:dyDescent="0.35">
      <c r="A1055" s="247">
        <v>187</v>
      </c>
      <c r="B1055" s="248" t="s">
        <v>382</v>
      </c>
      <c r="C1055" s="248" t="s">
        <v>329</v>
      </c>
      <c r="D1055" s="248" t="s">
        <v>335</v>
      </c>
      <c r="E1055" s="249" t="s">
        <v>338</v>
      </c>
      <c r="F1055" s="249"/>
      <c r="G1055" s="249"/>
      <c r="H1055" s="249"/>
      <c r="I1055" s="249" t="s">
        <v>1491</v>
      </c>
      <c r="J1055" s="253">
        <v>2</v>
      </c>
    </row>
    <row r="1056" spans="1:10" ht="14.5" x14ac:dyDescent="0.35">
      <c r="A1056" s="254"/>
      <c r="B1056" s="248" t="s">
        <v>382</v>
      </c>
      <c r="C1056" s="248" t="s">
        <v>329</v>
      </c>
      <c r="D1056" s="248" t="s">
        <v>337</v>
      </c>
      <c r="E1056" s="249" t="s">
        <v>338</v>
      </c>
      <c r="F1056" s="249"/>
      <c r="G1056" s="249"/>
      <c r="H1056" s="249"/>
      <c r="I1056" s="249" t="s">
        <v>1491</v>
      </c>
      <c r="J1056" s="253">
        <v>0</v>
      </c>
    </row>
    <row r="1057" spans="1:10" ht="14.5" x14ac:dyDescent="0.35">
      <c r="A1057" s="254"/>
      <c r="B1057" s="248" t="s">
        <v>382</v>
      </c>
      <c r="C1057" s="248" t="s">
        <v>329</v>
      </c>
      <c r="D1057" s="248" t="s">
        <v>339</v>
      </c>
      <c r="E1057" s="249" t="s">
        <v>338</v>
      </c>
      <c r="F1057" s="249"/>
      <c r="G1057" s="249"/>
      <c r="H1057" s="249"/>
      <c r="I1057" s="249" t="s">
        <v>1491</v>
      </c>
      <c r="J1057" s="253">
        <v>0</v>
      </c>
    </row>
    <row r="1058" spans="1:10" ht="14.5" x14ac:dyDescent="0.35">
      <c r="A1058" s="254"/>
      <c r="B1058" s="248"/>
      <c r="C1058" s="248"/>
      <c r="D1058" s="248"/>
      <c r="E1058" s="249"/>
      <c r="F1058" s="249"/>
      <c r="G1058" s="249"/>
      <c r="H1058" s="249"/>
      <c r="I1058" s="249"/>
      <c r="J1058" s="253"/>
    </row>
    <row r="1059" spans="1:10" ht="14.5" x14ac:dyDescent="0.35">
      <c r="A1059" s="254"/>
      <c r="B1059" s="248"/>
      <c r="C1059" s="248"/>
      <c r="D1059" s="248"/>
      <c r="E1059" s="249"/>
      <c r="F1059" s="249"/>
      <c r="G1059" s="249"/>
      <c r="H1059" s="249"/>
      <c r="I1059" s="249"/>
      <c r="J1059" s="253"/>
    </row>
    <row r="1060" spans="1:10" ht="14.5" x14ac:dyDescent="0.35">
      <c r="A1060" s="247">
        <v>188</v>
      </c>
      <c r="B1060" s="248" t="s">
        <v>382</v>
      </c>
      <c r="C1060" s="248" t="s">
        <v>329</v>
      </c>
      <c r="D1060" s="248" t="s">
        <v>335</v>
      </c>
      <c r="E1060" s="249" t="s">
        <v>338</v>
      </c>
      <c r="F1060" s="249"/>
      <c r="G1060" s="249"/>
      <c r="H1060" s="249"/>
      <c r="I1060" s="249" t="s">
        <v>1492</v>
      </c>
      <c r="J1060" s="253">
        <v>3</v>
      </c>
    </row>
    <row r="1061" spans="1:10" ht="14.5" x14ac:dyDescent="0.35">
      <c r="A1061" s="254"/>
      <c r="B1061" s="248" t="s">
        <v>382</v>
      </c>
      <c r="C1061" s="248" t="s">
        <v>329</v>
      </c>
      <c r="D1061" s="248" t="s">
        <v>337</v>
      </c>
      <c r="E1061" s="249" t="s">
        <v>338</v>
      </c>
      <c r="F1061" s="249"/>
      <c r="G1061" s="249"/>
      <c r="H1061" s="249"/>
      <c r="I1061" s="249" t="s">
        <v>1492</v>
      </c>
      <c r="J1061" s="253">
        <v>0</v>
      </c>
    </row>
    <row r="1062" spans="1:10" ht="14.5" x14ac:dyDescent="0.35">
      <c r="A1062" s="254"/>
      <c r="B1062" s="248" t="s">
        <v>382</v>
      </c>
      <c r="C1062" s="248" t="s">
        <v>329</v>
      </c>
      <c r="D1062" s="248" t="s">
        <v>339</v>
      </c>
      <c r="E1062" s="249" t="s">
        <v>338</v>
      </c>
      <c r="F1062" s="249"/>
      <c r="G1062" s="249"/>
      <c r="H1062" s="249"/>
      <c r="I1062" s="249" t="s">
        <v>1492</v>
      </c>
      <c r="J1062" s="253">
        <v>0</v>
      </c>
    </row>
    <row r="1063" spans="1:10" ht="14.5" x14ac:dyDescent="0.35">
      <c r="A1063" s="254"/>
      <c r="B1063" s="248"/>
      <c r="C1063" s="248"/>
      <c r="D1063" s="248"/>
      <c r="E1063" s="249"/>
      <c r="F1063" s="249"/>
      <c r="G1063" s="249"/>
      <c r="H1063" s="249"/>
      <c r="I1063" s="249"/>
      <c r="J1063" s="253"/>
    </row>
    <row r="1064" spans="1:10" ht="14.5" x14ac:dyDescent="0.35">
      <c r="A1064" s="247">
        <v>189</v>
      </c>
      <c r="B1064" s="248" t="s">
        <v>382</v>
      </c>
      <c r="C1064" s="248" t="s">
        <v>329</v>
      </c>
      <c r="D1064" s="248" t="s">
        <v>335</v>
      </c>
      <c r="E1064" s="249" t="s">
        <v>340</v>
      </c>
      <c r="F1064" s="249"/>
      <c r="G1064" s="249"/>
      <c r="H1064" s="249"/>
      <c r="I1064" s="249">
        <v>14045</v>
      </c>
      <c r="J1064" s="253">
        <v>0</v>
      </c>
    </row>
    <row r="1065" spans="1:10" ht="14.5" x14ac:dyDescent="0.35">
      <c r="A1065" s="254"/>
      <c r="B1065" s="248" t="s">
        <v>382</v>
      </c>
      <c r="C1065" s="248" t="s">
        <v>329</v>
      </c>
      <c r="D1065" s="248" t="s">
        <v>337</v>
      </c>
      <c r="E1065" s="249" t="s">
        <v>340</v>
      </c>
      <c r="F1065" s="249"/>
      <c r="G1065" s="249"/>
      <c r="H1065" s="249"/>
      <c r="I1065" s="249">
        <v>14045</v>
      </c>
      <c r="J1065" s="253">
        <v>1</v>
      </c>
    </row>
    <row r="1066" spans="1:10" ht="14.5" x14ac:dyDescent="0.35">
      <c r="A1066" s="254"/>
      <c r="B1066" s="248" t="s">
        <v>382</v>
      </c>
      <c r="C1066" s="248" t="s">
        <v>329</v>
      </c>
      <c r="D1066" s="248" t="s">
        <v>339</v>
      </c>
      <c r="E1066" s="249" t="s">
        <v>340</v>
      </c>
      <c r="F1066" s="249"/>
      <c r="G1066" s="249"/>
      <c r="H1066" s="249"/>
      <c r="I1066" s="249">
        <v>14045</v>
      </c>
      <c r="J1066" s="253">
        <v>0</v>
      </c>
    </row>
    <row r="1067" spans="1:10" ht="14.5" x14ac:dyDescent="0.35">
      <c r="A1067" s="254"/>
      <c r="B1067" s="248"/>
      <c r="C1067" s="248"/>
      <c r="D1067" s="248"/>
      <c r="E1067" s="249"/>
      <c r="F1067" s="249"/>
      <c r="G1067" s="249"/>
      <c r="H1067" s="249"/>
      <c r="I1067" s="249"/>
      <c r="J1067" s="253"/>
    </row>
    <row r="1068" spans="1:10" ht="14.5" x14ac:dyDescent="0.35">
      <c r="A1068" s="254"/>
      <c r="B1068" s="248"/>
      <c r="C1068" s="248"/>
      <c r="D1068" s="248"/>
      <c r="E1068" s="249"/>
      <c r="F1068" s="249"/>
      <c r="G1068" s="249"/>
      <c r="H1068" s="249"/>
      <c r="I1068" s="249"/>
      <c r="J1068" s="253"/>
    </row>
    <row r="1069" spans="1:10" ht="14.5" x14ac:dyDescent="0.35">
      <c r="A1069" s="247">
        <v>190</v>
      </c>
      <c r="B1069" s="248" t="s">
        <v>382</v>
      </c>
      <c r="C1069" s="248" t="s">
        <v>329</v>
      </c>
      <c r="D1069" s="248" t="s">
        <v>335</v>
      </c>
      <c r="E1069" s="249" t="s">
        <v>340</v>
      </c>
      <c r="F1069" s="249"/>
      <c r="G1069" s="249"/>
      <c r="H1069" s="249"/>
      <c r="I1069" s="249">
        <v>14141</v>
      </c>
      <c r="J1069" s="253">
        <v>0</v>
      </c>
    </row>
    <row r="1070" spans="1:10" ht="14.5" x14ac:dyDescent="0.35">
      <c r="A1070" s="254"/>
      <c r="B1070" s="248" t="s">
        <v>382</v>
      </c>
      <c r="C1070" s="248" t="s">
        <v>329</v>
      </c>
      <c r="D1070" s="248" t="s">
        <v>337</v>
      </c>
      <c r="E1070" s="249" t="s">
        <v>340</v>
      </c>
      <c r="F1070" s="249"/>
      <c r="G1070" s="249"/>
      <c r="H1070" s="249"/>
      <c r="I1070" s="249">
        <v>14141</v>
      </c>
      <c r="J1070" s="253">
        <v>1</v>
      </c>
    </row>
    <row r="1071" spans="1:10" ht="14.5" x14ac:dyDescent="0.35">
      <c r="A1071" s="254"/>
      <c r="B1071" s="248" t="s">
        <v>382</v>
      </c>
      <c r="C1071" s="248" t="s">
        <v>329</v>
      </c>
      <c r="D1071" s="248" t="s">
        <v>339</v>
      </c>
      <c r="E1071" s="249" t="s">
        <v>340</v>
      </c>
      <c r="F1071" s="249"/>
      <c r="G1071" s="249"/>
      <c r="H1071" s="249"/>
      <c r="I1071" s="249">
        <v>14141</v>
      </c>
      <c r="J1071" s="253">
        <v>0</v>
      </c>
    </row>
    <row r="1072" spans="1:10" ht="14.5" x14ac:dyDescent="0.35">
      <c r="A1072" s="254"/>
      <c r="B1072" s="248"/>
      <c r="C1072" s="248"/>
      <c r="D1072" s="248"/>
      <c r="E1072" s="249"/>
      <c r="F1072" s="249"/>
      <c r="G1072" s="249"/>
      <c r="H1072" s="249"/>
      <c r="I1072" s="249"/>
      <c r="J1072" s="253"/>
    </row>
    <row r="1073" spans="1:10" ht="14.5" x14ac:dyDescent="0.35">
      <c r="A1073" s="254"/>
      <c r="B1073" s="248"/>
      <c r="C1073" s="248"/>
      <c r="D1073" s="248"/>
      <c r="E1073" s="249"/>
      <c r="F1073" s="249"/>
      <c r="G1073" s="249"/>
      <c r="H1073" s="249"/>
      <c r="I1073" s="249"/>
      <c r="J1073" s="253"/>
    </row>
    <row r="1074" spans="1:10" ht="14.5" x14ac:dyDescent="0.35">
      <c r="A1074" s="247">
        <v>191</v>
      </c>
      <c r="B1074" s="248" t="s">
        <v>382</v>
      </c>
      <c r="C1074" s="248" t="s">
        <v>329</v>
      </c>
      <c r="D1074" s="248" t="s">
        <v>335</v>
      </c>
      <c r="E1074" s="249" t="s">
        <v>340</v>
      </c>
      <c r="F1074" s="249"/>
      <c r="G1074" s="249"/>
      <c r="H1074" s="249"/>
      <c r="I1074" s="249">
        <v>14894</v>
      </c>
      <c r="J1074" s="253">
        <v>0</v>
      </c>
    </row>
    <row r="1075" spans="1:10" ht="14.5" x14ac:dyDescent="0.35">
      <c r="A1075" s="254"/>
      <c r="B1075" s="248" t="s">
        <v>382</v>
      </c>
      <c r="C1075" s="248" t="s">
        <v>329</v>
      </c>
      <c r="D1075" s="248" t="s">
        <v>337</v>
      </c>
      <c r="E1075" s="249" t="s">
        <v>340</v>
      </c>
      <c r="F1075" s="249"/>
      <c r="G1075" s="249"/>
      <c r="H1075" s="249"/>
      <c r="I1075" s="249">
        <v>14894</v>
      </c>
      <c r="J1075" s="253">
        <v>1</v>
      </c>
    </row>
    <row r="1076" spans="1:10" ht="14.5" x14ac:dyDescent="0.35">
      <c r="A1076" s="254"/>
      <c r="B1076" s="248" t="s">
        <v>382</v>
      </c>
      <c r="C1076" s="248" t="s">
        <v>329</v>
      </c>
      <c r="D1076" s="248" t="s">
        <v>339</v>
      </c>
      <c r="E1076" s="249" t="s">
        <v>340</v>
      </c>
      <c r="F1076" s="249"/>
      <c r="G1076" s="249"/>
      <c r="H1076" s="249"/>
      <c r="I1076" s="249">
        <v>14894</v>
      </c>
      <c r="J1076" s="253">
        <v>0</v>
      </c>
    </row>
    <row r="1077" spans="1:10" ht="14.5" x14ac:dyDescent="0.35">
      <c r="A1077" s="254"/>
      <c r="B1077" s="248"/>
      <c r="C1077" s="248"/>
      <c r="D1077" s="248"/>
      <c r="E1077" s="249"/>
      <c r="F1077" s="249"/>
      <c r="G1077" s="249"/>
      <c r="H1077" s="249"/>
      <c r="I1077" s="249"/>
      <c r="J1077" s="253"/>
    </row>
    <row r="1078" spans="1:10" ht="14.5" x14ac:dyDescent="0.35">
      <c r="A1078" s="247">
        <v>192</v>
      </c>
      <c r="B1078" s="248" t="s">
        <v>382</v>
      </c>
      <c r="C1078" s="248" t="s">
        <v>329</v>
      </c>
      <c r="D1078" s="248" t="s">
        <v>335</v>
      </c>
      <c r="E1078" s="249" t="s">
        <v>340</v>
      </c>
      <c r="F1078" s="249"/>
      <c r="G1078" s="249"/>
      <c r="H1078" s="249"/>
      <c r="I1078" s="249">
        <v>14975</v>
      </c>
      <c r="J1078" s="253">
        <v>0</v>
      </c>
    </row>
    <row r="1079" spans="1:10" ht="14.5" x14ac:dyDescent="0.35">
      <c r="A1079" s="254"/>
      <c r="B1079" s="248" t="s">
        <v>382</v>
      </c>
      <c r="C1079" s="248" t="s">
        <v>329</v>
      </c>
      <c r="D1079" s="248" t="s">
        <v>337</v>
      </c>
      <c r="E1079" s="249" t="s">
        <v>340</v>
      </c>
      <c r="F1079" s="249"/>
      <c r="G1079" s="249"/>
      <c r="H1079" s="249"/>
      <c r="I1079" s="249">
        <v>14975</v>
      </c>
      <c r="J1079" s="253">
        <v>2</v>
      </c>
    </row>
    <row r="1080" spans="1:10" ht="14.5" x14ac:dyDescent="0.35">
      <c r="A1080" s="254"/>
      <c r="B1080" s="248" t="s">
        <v>382</v>
      </c>
      <c r="C1080" s="248" t="s">
        <v>329</v>
      </c>
      <c r="D1080" s="248" t="s">
        <v>339</v>
      </c>
      <c r="E1080" s="249" t="s">
        <v>340</v>
      </c>
      <c r="F1080" s="249"/>
      <c r="G1080" s="249"/>
      <c r="H1080" s="249"/>
      <c r="I1080" s="249">
        <v>14975</v>
      </c>
      <c r="J1080" s="253">
        <v>0</v>
      </c>
    </row>
    <row r="1081" spans="1:10" ht="14.5" x14ac:dyDescent="0.35">
      <c r="A1081" s="254"/>
      <c r="B1081" s="248"/>
      <c r="C1081" s="248"/>
      <c r="D1081" s="248"/>
      <c r="E1081" s="249"/>
      <c r="F1081" s="249"/>
      <c r="G1081" s="249"/>
      <c r="H1081" s="249"/>
      <c r="I1081" s="249"/>
      <c r="J1081" s="253"/>
    </row>
    <row r="1082" spans="1:10" ht="14.5" x14ac:dyDescent="0.35">
      <c r="A1082" s="254"/>
      <c r="B1082" s="248"/>
      <c r="C1082" s="248"/>
      <c r="D1082" s="248"/>
      <c r="E1082" s="249"/>
      <c r="F1082" s="249"/>
      <c r="G1082" s="249"/>
      <c r="H1082" s="249"/>
      <c r="I1082" s="249"/>
      <c r="J1082" s="253"/>
    </row>
    <row r="1083" spans="1:10" ht="14.5" x14ac:dyDescent="0.35">
      <c r="A1083" s="247">
        <v>193</v>
      </c>
      <c r="B1083" s="248" t="s">
        <v>382</v>
      </c>
      <c r="C1083" s="248" t="s">
        <v>329</v>
      </c>
      <c r="D1083" s="248" t="s">
        <v>335</v>
      </c>
      <c r="E1083" s="249" t="s">
        <v>340</v>
      </c>
      <c r="F1083" s="249"/>
      <c r="G1083" s="249"/>
      <c r="H1083" s="249"/>
      <c r="I1083" s="249">
        <v>15219</v>
      </c>
      <c r="J1083" s="253">
        <v>0</v>
      </c>
    </row>
    <row r="1084" spans="1:10" ht="14.5" x14ac:dyDescent="0.35">
      <c r="A1084" s="254"/>
      <c r="B1084" s="248" t="s">
        <v>382</v>
      </c>
      <c r="C1084" s="248" t="s">
        <v>329</v>
      </c>
      <c r="D1084" s="248" t="s">
        <v>337</v>
      </c>
      <c r="E1084" s="249" t="s">
        <v>340</v>
      </c>
      <c r="F1084" s="249"/>
      <c r="G1084" s="249"/>
      <c r="H1084" s="249"/>
      <c r="I1084" s="249">
        <v>15219</v>
      </c>
      <c r="J1084" s="253">
        <v>1</v>
      </c>
    </row>
    <row r="1085" spans="1:10" ht="14.5" x14ac:dyDescent="0.35">
      <c r="A1085" s="254"/>
      <c r="B1085" s="248" t="s">
        <v>382</v>
      </c>
      <c r="C1085" s="248" t="s">
        <v>329</v>
      </c>
      <c r="D1085" s="248" t="s">
        <v>339</v>
      </c>
      <c r="E1085" s="249" t="s">
        <v>340</v>
      </c>
      <c r="F1085" s="249"/>
      <c r="G1085" s="249"/>
      <c r="H1085" s="249"/>
      <c r="I1085" s="249">
        <v>15219</v>
      </c>
      <c r="J1085" s="253">
        <v>0</v>
      </c>
    </row>
    <row r="1086" spans="1:10" ht="14.5" x14ac:dyDescent="0.35">
      <c r="A1086" s="254"/>
      <c r="B1086" s="248"/>
      <c r="C1086" s="248"/>
      <c r="D1086" s="248"/>
      <c r="E1086" s="249"/>
      <c r="F1086" s="249"/>
      <c r="G1086" s="249"/>
      <c r="H1086" s="249"/>
      <c r="I1086" s="249"/>
      <c r="J1086" s="253"/>
    </row>
    <row r="1087" spans="1:10" ht="14.5" x14ac:dyDescent="0.35">
      <c r="A1087" s="254"/>
      <c r="B1087" s="248"/>
      <c r="C1087" s="248"/>
      <c r="D1087" s="248"/>
      <c r="E1087" s="249"/>
      <c r="F1087" s="249"/>
      <c r="G1087" s="249"/>
      <c r="H1087" s="249"/>
      <c r="I1087" s="249"/>
      <c r="J1087" s="253"/>
    </row>
    <row r="1088" spans="1:10" ht="14.5" x14ac:dyDescent="0.35">
      <c r="A1088" s="247">
        <v>194</v>
      </c>
      <c r="B1088" s="248" t="s">
        <v>382</v>
      </c>
      <c r="C1088" s="248" t="s">
        <v>329</v>
      </c>
      <c r="D1088" s="248" t="s">
        <v>335</v>
      </c>
      <c r="E1088" s="249" t="s">
        <v>340</v>
      </c>
      <c r="F1088" s="249"/>
      <c r="G1088" s="249"/>
      <c r="H1088" s="249"/>
      <c r="I1088" s="249">
        <v>15220</v>
      </c>
      <c r="J1088" s="253">
        <v>0</v>
      </c>
    </row>
    <row r="1089" spans="1:10" ht="14.5" x14ac:dyDescent="0.35">
      <c r="A1089" s="254"/>
      <c r="B1089" s="248" t="s">
        <v>382</v>
      </c>
      <c r="C1089" s="248" t="s">
        <v>329</v>
      </c>
      <c r="D1089" s="248" t="s">
        <v>337</v>
      </c>
      <c r="E1089" s="249" t="s">
        <v>340</v>
      </c>
      <c r="F1089" s="249"/>
      <c r="G1089" s="249"/>
      <c r="H1089" s="249"/>
      <c r="I1089" s="249">
        <v>15220</v>
      </c>
      <c r="J1089" s="253">
        <v>1</v>
      </c>
    </row>
    <row r="1090" spans="1:10" ht="14.5" x14ac:dyDescent="0.35">
      <c r="A1090" s="254"/>
      <c r="B1090" s="248" t="s">
        <v>382</v>
      </c>
      <c r="C1090" s="248" t="s">
        <v>329</v>
      </c>
      <c r="D1090" s="248" t="s">
        <v>339</v>
      </c>
      <c r="E1090" s="249" t="s">
        <v>340</v>
      </c>
      <c r="F1090" s="249"/>
      <c r="G1090" s="249"/>
      <c r="H1090" s="249"/>
      <c r="I1090" s="249">
        <v>15220</v>
      </c>
      <c r="J1090" s="253">
        <v>0</v>
      </c>
    </row>
    <row r="1091" spans="1:10" ht="14.5" x14ac:dyDescent="0.35">
      <c r="A1091" s="254"/>
      <c r="B1091" s="248"/>
      <c r="C1091" s="248"/>
      <c r="D1091" s="248"/>
      <c r="E1091" s="249"/>
      <c r="F1091" s="249"/>
      <c r="G1091" s="249"/>
      <c r="H1091" s="249"/>
      <c r="I1091" s="249"/>
      <c r="J1091" s="253"/>
    </row>
    <row r="1092" spans="1:10" ht="14.5" x14ac:dyDescent="0.35">
      <c r="A1092" s="247">
        <v>195</v>
      </c>
      <c r="B1092" s="248" t="s">
        <v>382</v>
      </c>
      <c r="C1092" s="248" t="s">
        <v>329</v>
      </c>
      <c r="D1092" s="248" t="s">
        <v>335</v>
      </c>
      <c r="E1092" s="249" t="s">
        <v>340</v>
      </c>
      <c r="F1092" s="249"/>
      <c r="G1092" s="249"/>
      <c r="H1092" s="249"/>
      <c r="I1092" s="249">
        <v>15304</v>
      </c>
      <c r="J1092" s="253">
        <v>0</v>
      </c>
    </row>
    <row r="1093" spans="1:10" ht="14.5" x14ac:dyDescent="0.35">
      <c r="A1093" s="254"/>
      <c r="B1093" s="248" t="s">
        <v>382</v>
      </c>
      <c r="C1093" s="248" t="s">
        <v>329</v>
      </c>
      <c r="D1093" s="248" t="s">
        <v>337</v>
      </c>
      <c r="E1093" s="249" t="s">
        <v>340</v>
      </c>
      <c r="F1093" s="249"/>
      <c r="G1093" s="249"/>
      <c r="H1093" s="249"/>
      <c r="I1093" s="249">
        <v>15304</v>
      </c>
      <c r="J1093" s="253">
        <v>2</v>
      </c>
    </row>
    <row r="1094" spans="1:10" ht="14.5" x14ac:dyDescent="0.35">
      <c r="A1094" s="254"/>
      <c r="B1094" s="248" t="s">
        <v>382</v>
      </c>
      <c r="C1094" s="248" t="s">
        <v>329</v>
      </c>
      <c r="D1094" s="248" t="s">
        <v>339</v>
      </c>
      <c r="E1094" s="249" t="s">
        <v>340</v>
      </c>
      <c r="F1094" s="249"/>
      <c r="G1094" s="249"/>
      <c r="H1094" s="249"/>
      <c r="I1094" s="249">
        <v>15304</v>
      </c>
      <c r="J1094" s="253">
        <v>0</v>
      </c>
    </row>
    <row r="1095" spans="1:10" ht="14.5" x14ac:dyDescent="0.35">
      <c r="A1095" s="254"/>
      <c r="B1095" s="248"/>
      <c r="C1095" s="248"/>
      <c r="D1095" s="248"/>
      <c r="E1095" s="249"/>
      <c r="F1095" s="249"/>
      <c r="G1095" s="249"/>
      <c r="H1095" s="249"/>
      <c r="I1095" s="249"/>
      <c r="J1095" s="253"/>
    </row>
    <row r="1096" spans="1:10" ht="14.5" x14ac:dyDescent="0.35">
      <c r="A1096" s="254"/>
      <c r="B1096" s="248"/>
      <c r="C1096" s="248"/>
      <c r="D1096" s="248"/>
      <c r="E1096" s="249"/>
      <c r="F1096" s="249"/>
      <c r="G1096" s="249"/>
      <c r="H1096" s="249"/>
      <c r="I1096" s="249"/>
      <c r="J1096" s="253"/>
    </row>
    <row r="1097" spans="1:10" ht="14.5" x14ac:dyDescent="0.35">
      <c r="A1097" s="247">
        <v>196</v>
      </c>
      <c r="B1097" s="248" t="s">
        <v>382</v>
      </c>
      <c r="C1097" s="248" t="s">
        <v>329</v>
      </c>
      <c r="D1097" s="248" t="s">
        <v>335</v>
      </c>
      <c r="E1097" s="249" t="s">
        <v>340</v>
      </c>
      <c r="F1097" s="249"/>
      <c r="G1097" s="249"/>
      <c r="H1097" s="249"/>
      <c r="I1097" s="249">
        <v>15383</v>
      </c>
      <c r="J1097" s="253">
        <v>0</v>
      </c>
    </row>
    <row r="1098" spans="1:10" ht="14.5" x14ac:dyDescent="0.35">
      <c r="A1098" s="254"/>
      <c r="B1098" s="248" t="s">
        <v>382</v>
      </c>
      <c r="C1098" s="248" t="s">
        <v>329</v>
      </c>
      <c r="D1098" s="248" t="s">
        <v>337</v>
      </c>
      <c r="E1098" s="249" t="s">
        <v>340</v>
      </c>
      <c r="F1098" s="249"/>
      <c r="G1098" s="249"/>
      <c r="H1098" s="249"/>
      <c r="I1098" s="249">
        <v>15383</v>
      </c>
      <c r="J1098" s="253">
        <v>1</v>
      </c>
    </row>
    <row r="1099" spans="1:10" ht="14.5" x14ac:dyDescent="0.35">
      <c r="A1099" s="254"/>
      <c r="B1099" s="248" t="s">
        <v>382</v>
      </c>
      <c r="C1099" s="248" t="s">
        <v>329</v>
      </c>
      <c r="D1099" s="248" t="s">
        <v>339</v>
      </c>
      <c r="E1099" s="249" t="s">
        <v>340</v>
      </c>
      <c r="F1099" s="249"/>
      <c r="G1099" s="249"/>
      <c r="H1099" s="249"/>
      <c r="I1099" s="249">
        <v>15383</v>
      </c>
      <c r="J1099" s="253">
        <v>0</v>
      </c>
    </row>
    <row r="1100" spans="1:10" ht="14.5" x14ac:dyDescent="0.35">
      <c r="A1100" s="254"/>
      <c r="B1100" s="248"/>
      <c r="C1100" s="248"/>
      <c r="D1100" s="248"/>
      <c r="E1100" s="249"/>
      <c r="F1100" s="249"/>
      <c r="G1100" s="249"/>
      <c r="H1100" s="249"/>
      <c r="I1100" s="249"/>
      <c r="J1100" s="253"/>
    </row>
    <row r="1101" spans="1:10" ht="14.5" x14ac:dyDescent="0.35">
      <c r="A1101" s="254"/>
      <c r="B1101" s="248"/>
      <c r="C1101" s="248"/>
      <c r="D1101" s="248"/>
      <c r="E1101" s="249"/>
      <c r="F1101" s="249"/>
      <c r="G1101" s="249"/>
      <c r="H1101" s="249"/>
      <c r="I1101" s="249"/>
      <c r="J1101" s="253"/>
    </row>
    <row r="1102" spans="1:10" ht="14.5" x14ac:dyDescent="0.35">
      <c r="A1102" s="247">
        <v>197</v>
      </c>
      <c r="B1102" s="248" t="s">
        <v>382</v>
      </c>
      <c r="C1102" s="248" t="s">
        <v>329</v>
      </c>
      <c r="D1102" s="248" t="s">
        <v>335</v>
      </c>
      <c r="E1102" s="249" t="s">
        <v>340</v>
      </c>
      <c r="F1102" s="249"/>
      <c r="G1102" s="249"/>
      <c r="H1102" s="249"/>
      <c r="I1102" s="249">
        <v>15478</v>
      </c>
      <c r="J1102" s="253">
        <v>0</v>
      </c>
    </row>
    <row r="1103" spans="1:10" ht="14.5" x14ac:dyDescent="0.35">
      <c r="A1103" s="254"/>
      <c r="B1103" s="248" t="s">
        <v>382</v>
      </c>
      <c r="C1103" s="248" t="s">
        <v>329</v>
      </c>
      <c r="D1103" s="248" t="s">
        <v>337</v>
      </c>
      <c r="E1103" s="249" t="s">
        <v>340</v>
      </c>
      <c r="F1103" s="249"/>
      <c r="G1103" s="249"/>
      <c r="H1103" s="249"/>
      <c r="I1103" s="249">
        <v>15478</v>
      </c>
      <c r="J1103" s="253">
        <v>1</v>
      </c>
    </row>
    <row r="1104" spans="1:10" ht="14.5" x14ac:dyDescent="0.35">
      <c r="A1104" s="254"/>
      <c r="B1104" s="248" t="s">
        <v>382</v>
      </c>
      <c r="C1104" s="248" t="s">
        <v>329</v>
      </c>
      <c r="D1104" s="248" t="s">
        <v>339</v>
      </c>
      <c r="E1104" s="249" t="s">
        <v>340</v>
      </c>
      <c r="F1104" s="249"/>
      <c r="G1104" s="249"/>
      <c r="H1104" s="249"/>
      <c r="I1104" s="249">
        <v>15478</v>
      </c>
      <c r="J1104" s="253">
        <v>0</v>
      </c>
    </row>
    <row r="1105" spans="1:10" ht="14.5" x14ac:dyDescent="0.35">
      <c r="A1105" s="254"/>
      <c r="B1105" s="248"/>
      <c r="C1105" s="248"/>
      <c r="D1105" s="248"/>
      <c r="E1105" s="249"/>
      <c r="F1105" s="249"/>
      <c r="G1105" s="249"/>
      <c r="H1105" s="249"/>
      <c r="I1105" s="249"/>
      <c r="J1105" s="253"/>
    </row>
    <row r="1106" spans="1:10" ht="14.5" x14ac:dyDescent="0.35">
      <c r="A1106" s="254"/>
      <c r="B1106" s="248"/>
      <c r="C1106" s="248"/>
      <c r="D1106" s="248"/>
      <c r="E1106" s="249"/>
      <c r="F1106" s="249"/>
      <c r="G1106" s="249"/>
      <c r="H1106" s="249"/>
      <c r="I1106" s="249"/>
      <c r="J1106" s="253"/>
    </row>
    <row r="1107" spans="1:10" ht="14.5" x14ac:dyDescent="0.35">
      <c r="A1107" s="247">
        <v>198</v>
      </c>
      <c r="B1107" s="248" t="s">
        <v>382</v>
      </c>
      <c r="C1107" s="248" t="s">
        <v>329</v>
      </c>
      <c r="D1107" s="248" t="s">
        <v>335</v>
      </c>
      <c r="E1107" s="249" t="s">
        <v>340</v>
      </c>
      <c r="F1107" s="249"/>
      <c r="G1107" s="249"/>
      <c r="H1107" s="249"/>
      <c r="I1107" s="249">
        <v>20104</v>
      </c>
      <c r="J1107" s="253">
        <v>0</v>
      </c>
    </row>
    <row r="1108" spans="1:10" ht="14.5" x14ac:dyDescent="0.35">
      <c r="A1108" s="254"/>
      <c r="B1108" s="248" t="s">
        <v>382</v>
      </c>
      <c r="C1108" s="248" t="s">
        <v>329</v>
      </c>
      <c r="D1108" s="248" t="s">
        <v>337</v>
      </c>
      <c r="E1108" s="249" t="s">
        <v>340</v>
      </c>
      <c r="F1108" s="249"/>
      <c r="G1108" s="249"/>
      <c r="H1108" s="249"/>
      <c r="I1108" s="249">
        <v>20104</v>
      </c>
      <c r="J1108" s="253">
        <v>2</v>
      </c>
    </row>
    <row r="1109" spans="1:10" ht="14.5" x14ac:dyDescent="0.35">
      <c r="A1109" s="254"/>
      <c r="B1109" s="248" t="s">
        <v>382</v>
      </c>
      <c r="C1109" s="248" t="s">
        <v>329</v>
      </c>
      <c r="D1109" s="248" t="s">
        <v>339</v>
      </c>
      <c r="E1109" s="249" t="s">
        <v>340</v>
      </c>
      <c r="F1109" s="249"/>
      <c r="G1109" s="249"/>
      <c r="H1109" s="249"/>
      <c r="I1109" s="249">
        <v>20104</v>
      </c>
      <c r="J1109" s="253">
        <v>0</v>
      </c>
    </row>
    <row r="1110" spans="1:10" ht="14.5" x14ac:dyDescent="0.35">
      <c r="A1110" s="254"/>
      <c r="B1110" s="248"/>
      <c r="C1110" s="248"/>
      <c r="D1110" s="248"/>
      <c r="E1110" s="249"/>
      <c r="F1110" s="249"/>
      <c r="G1110" s="249"/>
      <c r="H1110" s="249"/>
      <c r="I1110" s="249"/>
      <c r="J1110" s="253"/>
    </row>
    <row r="1111" spans="1:10" ht="14.5" x14ac:dyDescent="0.35">
      <c r="A1111" s="247">
        <v>199</v>
      </c>
      <c r="B1111" s="248" t="s">
        <v>382</v>
      </c>
      <c r="C1111" s="248" t="s">
        <v>329</v>
      </c>
      <c r="D1111" s="248" t="s">
        <v>335</v>
      </c>
      <c r="E1111" s="249" t="s">
        <v>340</v>
      </c>
      <c r="F1111" s="249"/>
      <c r="G1111" s="249"/>
      <c r="H1111" s="249"/>
      <c r="I1111" s="249">
        <v>20123</v>
      </c>
      <c r="J1111" s="253">
        <v>0</v>
      </c>
    </row>
    <row r="1112" spans="1:10" ht="14.5" x14ac:dyDescent="0.35">
      <c r="A1112" s="254"/>
      <c r="B1112" s="248" t="s">
        <v>382</v>
      </c>
      <c r="C1112" s="248" t="s">
        <v>329</v>
      </c>
      <c r="D1112" s="248" t="s">
        <v>337</v>
      </c>
      <c r="E1112" s="249" t="s">
        <v>340</v>
      </c>
      <c r="F1112" s="249"/>
      <c r="G1112" s="249"/>
      <c r="H1112" s="249"/>
      <c r="I1112" s="249">
        <v>20123</v>
      </c>
      <c r="J1112" s="253">
        <v>1</v>
      </c>
    </row>
    <row r="1113" spans="1:10" ht="14.5" x14ac:dyDescent="0.35">
      <c r="A1113" s="254"/>
      <c r="B1113" s="248" t="s">
        <v>382</v>
      </c>
      <c r="C1113" s="248" t="s">
        <v>329</v>
      </c>
      <c r="D1113" s="248" t="s">
        <v>339</v>
      </c>
      <c r="E1113" s="249" t="s">
        <v>340</v>
      </c>
      <c r="F1113" s="249"/>
      <c r="G1113" s="249"/>
      <c r="H1113" s="249"/>
      <c r="I1113" s="249">
        <v>20123</v>
      </c>
      <c r="J1113" s="253">
        <v>0</v>
      </c>
    </row>
    <row r="1114" spans="1:10" ht="14.5" x14ac:dyDescent="0.35">
      <c r="A1114" s="254"/>
      <c r="B1114" s="248"/>
      <c r="C1114" s="248"/>
      <c r="D1114" s="248"/>
      <c r="E1114" s="249"/>
      <c r="F1114" s="249"/>
      <c r="G1114" s="249"/>
      <c r="H1114" s="249"/>
      <c r="I1114" s="249"/>
      <c r="J1114" s="253"/>
    </row>
    <row r="1115" spans="1:10" ht="14.5" x14ac:dyDescent="0.35">
      <c r="A1115" s="247">
        <v>200</v>
      </c>
      <c r="B1115" s="248" t="s">
        <v>382</v>
      </c>
      <c r="C1115" s="248" t="s">
        <v>329</v>
      </c>
      <c r="D1115" s="248" t="s">
        <v>335</v>
      </c>
      <c r="E1115" s="249" t="s">
        <v>340</v>
      </c>
      <c r="F1115" s="249"/>
      <c r="G1115" s="249"/>
      <c r="H1115" s="249"/>
      <c r="I1115" s="249" t="s">
        <v>30</v>
      </c>
      <c r="J1115" s="253">
        <v>0</v>
      </c>
    </row>
    <row r="1116" spans="1:10" ht="14.5" x14ac:dyDescent="0.35">
      <c r="A1116" s="254"/>
      <c r="B1116" s="248" t="s">
        <v>382</v>
      </c>
      <c r="C1116" s="248" t="s">
        <v>329</v>
      </c>
      <c r="D1116" s="248" t="s">
        <v>337</v>
      </c>
      <c r="E1116" s="249" t="s">
        <v>340</v>
      </c>
      <c r="F1116" s="249"/>
      <c r="G1116" s="249"/>
      <c r="H1116" s="249"/>
      <c r="I1116" s="249" t="s">
        <v>30</v>
      </c>
      <c r="J1116" s="253">
        <v>12</v>
      </c>
    </row>
    <row r="1117" spans="1:10" ht="14.5" x14ac:dyDescent="0.35">
      <c r="A1117" s="254"/>
      <c r="B1117" s="248" t="s">
        <v>382</v>
      </c>
      <c r="C1117" s="248" t="s">
        <v>329</v>
      </c>
      <c r="D1117" s="248" t="s">
        <v>339</v>
      </c>
      <c r="E1117" s="249" t="s">
        <v>340</v>
      </c>
      <c r="F1117" s="249"/>
      <c r="G1117" s="249"/>
      <c r="H1117" s="249"/>
      <c r="I1117" s="249" t="s">
        <v>30</v>
      </c>
      <c r="J1117" s="253">
        <v>16</v>
      </c>
    </row>
    <row r="1118" spans="1:10" ht="14.5" x14ac:dyDescent="0.35">
      <c r="A1118" s="254"/>
      <c r="B1118" s="248"/>
      <c r="C1118" s="248"/>
      <c r="D1118" s="248"/>
      <c r="E1118" s="249"/>
      <c r="F1118" s="249"/>
      <c r="G1118" s="249"/>
      <c r="H1118" s="249"/>
      <c r="I1118" s="249"/>
      <c r="J1118" s="253"/>
    </row>
    <row r="1119" spans="1:10" ht="14.5" x14ac:dyDescent="0.35">
      <c r="A1119" s="247">
        <v>201</v>
      </c>
      <c r="B1119" s="248" t="s">
        <v>382</v>
      </c>
      <c r="C1119" s="248" t="s">
        <v>329</v>
      </c>
      <c r="D1119" s="248" t="s">
        <v>335</v>
      </c>
      <c r="E1119" s="249" t="s">
        <v>340</v>
      </c>
      <c r="F1119" s="249"/>
      <c r="G1119" s="249"/>
      <c r="H1119" s="249"/>
      <c r="I1119" s="249" t="s">
        <v>36</v>
      </c>
      <c r="J1119" s="253">
        <v>0</v>
      </c>
    </row>
    <row r="1120" spans="1:10" ht="14.5" x14ac:dyDescent="0.35">
      <c r="A1120" s="254"/>
      <c r="B1120" s="248" t="s">
        <v>382</v>
      </c>
      <c r="C1120" s="248" t="s">
        <v>329</v>
      </c>
      <c r="D1120" s="248" t="s">
        <v>337</v>
      </c>
      <c r="E1120" s="249" t="s">
        <v>340</v>
      </c>
      <c r="F1120" s="249"/>
      <c r="G1120" s="249"/>
      <c r="H1120" s="249"/>
      <c r="I1120" s="249" t="s">
        <v>36</v>
      </c>
      <c r="J1120" s="253">
        <v>5</v>
      </c>
    </row>
    <row r="1121" spans="1:10" ht="14.5" x14ac:dyDescent="0.35">
      <c r="A1121" s="254"/>
      <c r="B1121" s="248" t="s">
        <v>382</v>
      </c>
      <c r="C1121" s="248" t="s">
        <v>329</v>
      </c>
      <c r="D1121" s="248" t="s">
        <v>339</v>
      </c>
      <c r="E1121" s="249" t="s">
        <v>340</v>
      </c>
      <c r="F1121" s="249"/>
      <c r="G1121" s="249"/>
      <c r="H1121" s="249"/>
      <c r="I1121" s="249" t="s">
        <v>36</v>
      </c>
      <c r="J1121" s="253">
        <v>0</v>
      </c>
    </row>
    <row r="1122" spans="1:10" ht="14.5" x14ac:dyDescent="0.35">
      <c r="A1122" s="254"/>
      <c r="B1122" s="248"/>
      <c r="C1122" s="248"/>
      <c r="D1122" s="248"/>
      <c r="E1122" s="249"/>
      <c r="F1122" s="249"/>
      <c r="G1122" s="249"/>
      <c r="H1122" s="249"/>
      <c r="I1122" s="249"/>
      <c r="J1122" s="253"/>
    </row>
    <row r="1123" spans="1:10" ht="14.5" x14ac:dyDescent="0.35">
      <c r="A1123" s="254"/>
      <c r="B1123" s="248"/>
      <c r="C1123" s="248"/>
      <c r="D1123" s="248"/>
      <c r="E1123" s="249"/>
      <c r="F1123" s="249"/>
      <c r="G1123" s="249"/>
      <c r="H1123" s="249"/>
      <c r="I1123" s="249"/>
      <c r="J1123" s="253"/>
    </row>
    <row r="1124" spans="1:10" ht="14.5" x14ac:dyDescent="0.35">
      <c r="A1124" s="247">
        <v>202</v>
      </c>
      <c r="B1124" s="248" t="s">
        <v>382</v>
      </c>
      <c r="C1124" s="248" t="s">
        <v>329</v>
      </c>
      <c r="D1124" s="248" t="s">
        <v>335</v>
      </c>
      <c r="E1124" s="249" t="s">
        <v>340</v>
      </c>
      <c r="F1124" s="249"/>
      <c r="G1124" s="249"/>
      <c r="H1124" s="249"/>
      <c r="I1124" s="249" t="s">
        <v>21</v>
      </c>
      <c r="J1124" s="253">
        <v>0</v>
      </c>
    </row>
    <row r="1125" spans="1:10" ht="14.5" x14ac:dyDescent="0.35">
      <c r="A1125" s="254"/>
      <c r="B1125" s="248" t="s">
        <v>382</v>
      </c>
      <c r="C1125" s="248" t="s">
        <v>329</v>
      </c>
      <c r="D1125" s="248" t="s">
        <v>337</v>
      </c>
      <c r="E1125" s="249" t="s">
        <v>340</v>
      </c>
      <c r="F1125" s="249"/>
      <c r="G1125" s="249"/>
      <c r="H1125" s="249"/>
      <c r="I1125" s="249" t="s">
        <v>21</v>
      </c>
      <c r="J1125" s="253">
        <v>12</v>
      </c>
    </row>
    <row r="1126" spans="1:10" ht="14.5" x14ac:dyDescent="0.35">
      <c r="A1126" s="254"/>
      <c r="B1126" s="248" t="s">
        <v>382</v>
      </c>
      <c r="C1126" s="248" t="s">
        <v>329</v>
      </c>
      <c r="D1126" s="248" t="s">
        <v>339</v>
      </c>
      <c r="E1126" s="249" t="s">
        <v>340</v>
      </c>
      <c r="F1126" s="249"/>
      <c r="G1126" s="249"/>
      <c r="H1126" s="249"/>
      <c r="I1126" s="249" t="s">
        <v>21</v>
      </c>
      <c r="J1126" s="253">
        <v>0</v>
      </c>
    </row>
    <row r="1127" spans="1:10" ht="14.5" x14ac:dyDescent="0.35">
      <c r="A1127" s="254"/>
      <c r="B1127" s="248"/>
      <c r="C1127" s="248"/>
      <c r="D1127" s="248"/>
      <c r="E1127" s="249"/>
      <c r="F1127" s="249"/>
      <c r="G1127" s="249"/>
      <c r="H1127" s="249"/>
      <c r="I1127" s="249"/>
      <c r="J1127" s="253"/>
    </row>
    <row r="1128" spans="1:10" ht="14.5" x14ac:dyDescent="0.35">
      <c r="A1128" s="254"/>
      <c r="B1128" s="248"/>
      <c r="C1128" s="248"/>
      <c r="D1128" s="248"/>
      <c r="E1128" s="249"/>
      <c r="F1128" s="249"/>
      <c r="G1128" s="249"/>
      <c r="H1128" s="249"/>
      <c r="I1128" s="249"/>
      <c r="J1128" s="253"/>
    </row>
    <row r="1129" spans="1:10" ht="14.5" x14ac:dyDescent="0.35">
      <c r="A1129" s="247">
        <v>203</v>
      </c>
      <c r="B1129" s="248" t="s">
        <v>382</v>
      </c>
      <c r="C1129" s="248" t="s">
        <v>329</v>
      </c>
      <c r="D1129" s="248" t="s">
        <v>335</v>
      </c>
      <c r="E1129" s="249" t="s">
        <v>340</v>
      </c>
      <c r="F1129" s="249"/>
      <c r="G1129" s="249"/>
      <c r="H1129" s="249"/>
      <c r="I1129" s="249" t="s">
        <v>29</v>
      </c>
      <c r="J1129" s="253">
        <v>0</v>
      </c>
    </row>
    <row r="1130" spans="1:10" ht="14.5" x14ac:dyDescent="0.35">
      <c r="A1130" s="254"/>
      <c r="B1130" s="248" t="s">
        <v>382</v>
      </c>
      <c r="C1130" s="248" t="s">
        <v>329</v>
      </c>
      <c r="D1130" s="248" t="s">
        <v>337</v>
      </c>
      <c r="E1130" s="249" t="s">
        <v>340</v>
      </c>
      <c r="F1130" s="249"/>
      <c r="G1130" s="249"/>
      <c r="H1130" s="249"/>
      <c r="I1130" s="249" t="s">
        <v>29</v>
      </c>
      <c r="J1130" s="253">
        <v>4</v>
      </c>
    </row>
    <row r="1131" spans="1:10" ht="14.5" x14ac:dyDescent="0.35">
      <c r="A1131" s="254"/>
      <c r="B1131" s="248" t="s">
        <v>382</v>
      </c>
      <c r="C1131" s="248" t="s">
        <v>329</v>
      </c>
      <c r="D1131" s="248" t="s">
        <v>339</v>
      </c>
      <c r="E1131" s="249" t="s">
        <v>340</v>
      </c>
      <c r="F1131" s="249"/>
      <c r="G1131" s="249"/>
      <c r="H1131" s="249"/>
      <c r="I1131" s="249" t="s">
        <v>29</v>
      </c>
      <c r="J1131" s="253">
        <v>0</v>
      </c>
    </row>
    <row r="1132" spans="1:10" ht="14.5" x14ac:dyDescent="0.35">
      <c r="A1132" s="254"/>
      <c r="B1132" s="248"/>
      <c r="C1132" s="248"/>
      <c r="D1132" s="248"/>
      <c r="E1132" s="249"/>
      <c r="F1132" s="249"/>
      <c r="G1132" s="249"/>
      <c r="H1132" s="249"/>
      <c r="I1132" s="249"/>
      <c r="J1132" s="253"/>
    </row>
    <row r="1133" spans="1:10" ht="14.5" x14ac:dyDescent="0.35">
      <c r="A1133" s="247">
        <v>204</v>
      </c>
      <c r="B1133" s="248" t="s">
        <v>382</v>
      </c>
      <c r="C1133" s="248" t="s">
        <v>329</v>
      </c>
      <c r="D1133" s="248" t="s">
        <v>335</v>
      </c>
      <c r="E1133" s="249" t="s">
        <v>341</v>
      </c>
      <c r="F1133" s="249"/>
      <c r="G1133" s="249"/>
      <c r="H1133" s="249"/>
      <c r="I1133" s="249">
        <v>86809</v>
      </c>
      <c r="J1133" s="253">
        <v>0</v>
      </c>
    </row>
    <row r="1134" spans="1:10" ht="14.5" x14ac:dyDescent="0.35">
      <c r="A1134" s="254"/>
      <c r="B1134" s="248" t="s">
        <v>382</v>
      </c>
      <c r="C1134" s="248" t="s">
        <v>329</v>
      </c>
      <c r="D1134" s="248" t="s">
        <v>337</v>
      </c>
      <c r="E1134" s="249" t="s">
        <v>341</v>
      </c>
      <c r="F1134" s="249"/>
      <c r="G1134" s="249"/>
      <c r="H1134" s="249"/>
      <c r="I1134" s="249">
        <v>86809</v>
      </c>
      <c r="J1134" s="253">
        <v>1</v>
      </c>
    </row>
    <row r="1135" spans="1:10" ht="14.5" x14ac:dyDescent="0.35">
      <c r="A1135" s="254"/>
      <c r="B1135" s="248" t="s">
        <v>382</v>
      </c>
      <c r="C1135" s="248" t="s">
        <v>329</v>
      </c>
      <c r="D1135" s="248" t="s">
        <v>339</v>
      </c>
      <c r="E1135" s="249" t="s">
        <v>341</v>
      </c>
      <c r="F1135" s="249"/>
      <c r="G1135" s="249"/>
      <c r="H1135" s="249"/>
      <c r="I1135" s="249">
        <v>86809</v>
      </c>
      <c r="J1135" s="253">
        <v>0</v>
      </c>
    </row>
    <row r="1136" spans="1:10" ht="14.5" x14ac:dyDescent="0.35">
      <c r="A1136" s="254"/>
      <c r="B1136" s="248"/>
      <c r="C1136" s="248"/>
      <c r="D1136" s="248"/>
      <c r="E1136" s="249"/>
      <c r="F1136" s="249"/>
      <c r="G1136" s="249"/>
      <c r="H1136" s="249"/>
      <c r="I1136" s="249"/>
      <c r="J1136" s="253"/>
    </row>
    <row r="1137" spans="1:10" ht="14.5" x14ac:dyDescent="0.35">
      <c r="A1137" s="247">
        <v>205</v>
      </c>
      <c r="B1137" s="248" t="s">
        <v>382</v>
      </c>
      <c r="C1137" s="248" t="s">
        <v>329</v>
      </c>
      <c r="D1137" s="248" t="s">
        <v>335</v>
      </c>
      <c r="E1137" s="249" t="s">
        <v>341</v>
      </c>
      <c r="F1137" s="249"/>
      <c r="G1137" s="249"/>
      <c r="H1137" s="249"/>
      <c r="I1137" s="249">
        <v>88327</v>
      </c>
      <c r="J1137" s="253">
        <v>0</v>
      </c>
    </row>
    <row r="1138" spans="1:10" ht="14.5" x14ac:dyDescent="0.35">
      <c r="A1138" s="254"/>
      <c r="B1138" s="248" t="s">
        <v>382</v>
      </c>
      <c r="C1138" s="248" t="s">
        <v>329</v>
      </c>
      <c r="D1138" s="248" t="s">
        <v>337</v>
      </c>
      <c r="E1138" s="249" t="s">
        <v>341</v>
      </c>
      <c r="F1138" s="249"/>
      <c r="G1138" s="249"/>
      <c r="H1138" s="249"/>
      <c r="I1138" s="249">
        <v>88327</v>
      </c>
      <c r="J1138" s="253">
        <v>1</v>
      </c>
    </row>
    <row r="1139" spans="1:10" ht="14.5" x14ac:dyDescent="0.35">
      <c r="A1139" s="254"/>
      <c r="B1139" s="248" t="s">
        <v>382</v>
      </c>
      <c r="C1139" s="248" t="s">
        <v>329</v>
      </c>
      <c r="D1139" s="248" t="s">
        <v>339</v>
      </c>
      <c r="E1139" s="249" t="s">
        <v>341</v>
      </c>
      <c r="F1139" s="249"/>
      <c r="G1139" s="249"/>
      <c r="H1139" s="249"/>
      <c r="I1139" s="249">
        <v>88327</v>
      </c>
      <c r="J1139" s="253">
        <v>0</v>
      </c>
    </row>
    <row r="1140" spans="1:10" ht="14.5" x14ac:dyDescent="0.35">
      <c r="A1140" s="254"/>
      <c r="B1140" s="248"/>
      <c r="C1140" s="248"/>
      <c r="D1140" s="248"/>
      <c r="E1140" s="249"/>
      <c r="F1140" s="249"/>
      <c r="G1140" s="249"/>
      <c r="H1140" s="249"/>
      <c r="I1140" s="249"/>
      <c r="J1140" s="253"/>
    </row>
    <row r="1141" spans="1:10" ht="14.5" x14ac:dyDescent="0.35">
      <c r="A1141" s="247">
        <v>206</v>
      </c>
      <c r="B1141" s="248" t="s">
        <v>382</v>
      </c>
      <c r="C1141" s="248" t="s">
        <v>329</v>
      </c>
      <c r="D1141" s="248" t="s">
        <v>335</v>
      </c>
      <c r="E1141" s="249" t="s">
        <v>341</v>
      </c>
      <c r="F1141" s="249"/>
      <c r="G1141" s="249"/>
      <c r="H1141" s="249"/>
      <c r="I1141" s="249" t="s">
        <v>169</v>
      </c>
      <c r="J1141" s="253">
        <v>2</v>
      </c>
    </row>
    <row r="1142" spans="1:10" ht="14.5" x14ac:dyDescent="0.35">
      <c r="A1142" s="254"/>
      <c r="B1142" s="248" t="s">
        <v>382</v>
      </c>
      <c r="C1142" s="248" t="s">
        <v>329</v>
      </c>
      <c r="D1142" s="248" t="s">
        <v>337</v>
      </c>
      <c r="E1142" s="249" t="s">
        <v>341</v>
      </c>
      <c r="F1142" s="249"/>
      <c r="G1142" s="249"/>
      <c r="H1142" s="249"/>
      <c r="I1142" s="249" t="s">
        <v>169</v>
      </c>
      <c r="J1142" s="253">
        <v>3</v>
      </c>
    </row>
    <row r="1143" spans="1:10" ht="14.5" x14ac:dyDescent="0.35">
      <c r="A1143" s="254"/>
      <c r="B1143" s="248" t="s">
        <v>382</v>
      </c>
      <c r="C1143" s="248" t="s">
        <v>329</v>
      </c>
      <c r="D1143" s="248" t="s">
        <v>339</v>
      </c>
      <c r="E1143" s="249" t="s">
        <v>341</v>
      </c>
      <c r="F1143" s="249"/>
      <c r="G1143" s="249"/>
      <c r="H1143" s="249"/>
      <c r="I1143" s="249" t="s">
        <v>169</v>
      </c>
      <c r="J1143" s="253">
        <v>10</v>
      </c>
    </row>
    <row r="1144" spans="1:10" ht="14.5" x14ac:dyDescent="0.35">
      <c r="A1144" s="254"/>
      <c r="B1144" s="248"/>
      <c r="C1144" s="248"/>
      <c r="D1144" s="248"/>
      <c r="E1144" s="249"/>
      <c r="F1144" s="249"/>
      <c r="G1144" s="249"/>
      <c r="H1144" s="249"/>
      <c r="I1144" s="249"/>
      <c r="J1144" s="253"/>
    </row>
    <row r="1145" spans="1:10" ht="14.5" x14ac:dyDescent="0.35">
      <c r="A1145" s="247">
        <v>207</v>
      </c>
      <c r="B1145" s="248" t="s">
        <v>382</v>
      </c>
      <c r="C1145" s="248" t="s">
        <v>329</v>
      </c>
      <c r="D1145" s="248" t="s">
        <v>335</v>
      </c>
      <c r="E1145" s="249" t="s">
        <v>341</v>
      </c>
      <c r="F1145" s="249"/>
      <c r="G1145" s="249"/>
      <c r="H1145" s="249"/>
      <c r="I1145" s="249" t="s">
        <v>172</v>
      </c>
      <c r="J1145" s="253">
        <v>0</v>
      </c>
    </row>
    <row r="1146" spans="1:10" ht="14.5" x14ac:dyDescent="0.35">
      <c r="A1146" s="254"/>
      <c r="B1146" s="248" t="s">
        <v>382</v>
      </c>
      <c r="C1146" s="248" t="s">
        <v>329</v>
      </c>
      <c r="D1146" s="248" t="s">
        <v>337</v>
      </c>
      <c r="E1146" s="249" t="s">
        <v>341</v>
      </c>
      <c r="F1146" s="249"/>
      <c r="G1146" s="249"/>
      <c r="H1146" s="249"/>
      <c r="I1146" s="249" t="s">
        <v>172</v>
      </c>
      <c r="J1146" s="253">
        <v>2</v>
      </c>
    </row>
    <row r="1147" spans="1:10" ht="14.5" x14ac:dyDescent="0.35">
      <c r="A1147" s="254"/>
      <c r="B1147" s="248" t="s">
        <v>382</v>
      </c>
      <c r="C1147" s="248" t="s">
        <v>329</v>
      </c>
      <c r="D1147" s="248" t="s">
        <v>339</v>
      </c>
      <c r="E1147" s="249" t="s">
        <v>341</v>
      </c>
      <c r="F1147" s="249"/>
      <c r="G1147" s="249"/>
      <c r="H1147" s="249"/>
      <c r="I1147" s="249" t="s">
        <v>172</v>
      </c>
      <c r="J1147" s="253">
        <v>5</v>
      </c>
    </row>
    <row r="1148" spans="1:10" ht="14.5" x14ac:dyDescent="0.35">
      <c r="A1148" s="254"/>
      <c r="B1148" s="248"/>
      <c r="C1148" s="248"/>
      <c r="D1148" s="248"/>
      <c r="E1148" s="249"/>
      <c r="F1148" s="249"/>
      <c r="G1148" s="249"/>
      <c r="H1148" s="249"/>
      <c r="I1148" s="249"/>
      <c r="J1148" s="253"/>
    </row>
    <row r="1149" spans="1:10" ht="14.5" x14ac:dyDescent="0.35">
      <c r="A1149" s="247">
        <v>208</v>
      </c>
      <c r="B1149" s="248" t="s">
        <v>382</v>
      </c>
      <c r="C1149" s="248" t="s">
        <v>329</v>
      </c>
      <c r="D1149" s="248" t="s">
        <v>335</v>
      </c>
      <c r="E1149" s="249" t="s">
        <v>341</v>
      </c>
      <c r="F1149" s="249"/>
      <c r="G1149" s="249"/>
      <c r="H1149" s="249"/>
      <c r="I1149" s="249" t="s">
        <v>171</v>
      </c>
      <c r="J1149" s="253">
        <v>1</v>
      </c>
    </row>
    <row r="1150" spans="1:10" ht="14.5" x14ac:dyDescent="0.35">
      <c r="A1150" s="254"/>
      <c r="B1150" s="248" t="s">
        <v>382</v>
      </c>
      <c r="C1150" s="248" t="s">
        <v>329</v>
      </c>
      <c r="D1150" s="248" t="s">
        <v>337</v>
      </c>
      <c r="E1150" s="249" t="s">
        <v>341</v>
      </c>
      <c r="F1150" s="249"/>
      <c r="G1150" s="249"/>
      <c r="H1150" s="249"/>
      <c r="I1150" s="249" t="s">
        <v>171</v>
      </c>
      <c r="J1150" s="253">
        <v>1</v>
      </c>
    </row>
    <row r="1151" spans="1:10" ht="14.5" x14ac:dyDescent="0.35">
      <c r="A1151" s="254"/>
      <c r="B1151" s="248" t="s">
        <v>382</v>
      </c>
      <c r="C1151" s="248" t="s">
        <v>329</v>
      </c>
      <c r="D1151" s="248" t="s">
        <v>339</v>
      </c>
      <c r="E1151" s="249" t="s">
        <v>341</v>
      </c>
      <c r="F1151" s="249"/>
      <c r="G1151" s="249"/>
      <c r="H1151" s="249"/>
      <c r="I1151" s="249" t="s">
        <v>171</v>
      </c>
      <c r="J1151" s="253">
        <v>0</v>
      </c>
    </row>
    <row r="1152" spans="1:10" ht="14.5" x14ac:dyDescent="0.35">
      <c r="A1152" s="254"/>
      <c r="B1152" s="248"/>
      <c r="C1152" s="248"/>
      <c r="D1152" s="248"/>
      <c r="E1152" s="249"/>
      <c r="F1152" s="249"/>
      <c r="G1152" s="249"/>
      <c r="H1152" s="249"/>
      <c r="I1152" s="249"/>
      <c r="J1152" s="253"/>
    </row>
    <row r="1153" spans="1:10" ht="14.5" x14ac:dyDescent="0.35">
      <c r="A1153" s="247">
        <v>209</v>
      </c>
      <c r="B1153" s="248" t="s">
        <v>382</v>
      </c>
      <c r="C1153" s="248" t="s">
        <v>329</v>
      </c>
      <c r="D1153" s="248" t="s">
        <v>335</v>
      </c>
      <c r="E1153" s="249" t="s">
        <v>342</v>
      </c>
      <c r="F1153" s="249"/>
      <c r="G1153" s="249"/>
      <c r="H1153" s="249"/>
      <c r="I1153" s="249">
        <v>566</v>
      </c>
      <c r="J1153" s="253">
        <v>1</v>
      </c>
    </row>
    <row r="1154" spans="1:10" ht="14.5" x14ac:dyDescent="0.35">
      <c r="A1154" s="254"/>
      <c r="B1154" s="248" t="s">
        <v>382</v>
      </c>
      <c r="C1154" s="248" t="s">
        <v>329</v>
      </c>
      <c r="D1154" s="248" t="s">
        <v>337</v>
      </c>
      <c r="E1154" s="249" t="s">
        <v>342</v>
      </c>
      <c r="F1154" s="249"/>
      <c r="G1154" s="249"/>
      <c r="H1154" s="249"/>
      <c r="I1154" s="249">
        <v>566</v>
      </c>
      <c r="J1154" s="253">
        <v>0</v>
      </c>
    </row>
    <row r="1155" spans="1:10" ht="14.5" x14ac:dyDescent="0.35">
      <c r="A1155" s="254"/>
      <c r="B1155" s="248" t="s">
        <v>382</v>
      </c>
      <c r="C1155" s="248" t="s">
        <v>329</v>
      </c>
      <c r="D1155" s="248" t="s">
        <v>339</v>
      </c>
      <c r="E1155" s="249" t="s">
        <v>342</v>
      </c>
      <c r="F1155" s="249"/>
      <c r="G1155" s="249"/>
      <c r="H1155" s="249"/>
      <c r="I1155" s="249">
        <v>566</v>
      </c>
      <c r="J1155" s="253">
        <v>0</v>
      </c>
    </row>
    <row r="1156" spans="1:10" ht="14.5" x14ac:dyDescent="0.35">
      <c r="A1156" s="254"/>
      <c r="B1156" s="248"/>
      <c r="C1156" s="248"/>
      <c r="D1156" s="248"/>
      <c r="E1156" s="249"/>
      <c r="F1156" s="249"/>
      <c r="G1156" s="249"/>
      <c r="H1156" s="249"/>
      <c r="I1156" s="249"/>
      <c r="J1156" s="253"/>
    </row>
    <row r="1157" spans="1:10" ht="14.5" x14ac:dyDescent="0.35">
      <c r="A1157" s="247">
        <v>210</v>
      </c>
      <c r="B1157" s="248" t="s">
        <v>382</v>
      </c>
      <c r="C1157" s="248" t="s">
        <v>329</v>
      </c>
      <c r="D1157" s="248" t="s">
        <v>335</v>
      </c>
      <c r="E1157" s="249" t="s">
        <v>342</v>
      </c>
      <c r="F1157" s="249"/>
      <c r="G1157" s="249"/>
      <c r="H1157" s="249"/>
      <c r="I1157" s="249">
        <v>64028</v>
      </c>
      <c r="J1157" s="253">
        <v>0</v>
      </c>
    </row>
    <row r="1158" spans="1:10" ht="14.5" x14ac:dyDescent="0.35">
      <c r="A1158" s="254"/>
      <c r="B1158" s="248" t="s">
        <v>382</v>
      </c>
      <c r="C1158" s="248" t="s">
        <v>329</v>
      </c>
      <c r="D1158" s="248" t="s">
        <v>337</v>
      </c>
      <c r="E1158" s="249" t="s">
        <v>342</v>
      </c>
      <c r="F1158" s="249"/>
      <c r="G1158" s="249"/>
      <c r="H1158" s="249"/>
      <c r="I1158" s="249">
        <v>64028</v>
      </c>
      <c r="J1158" s="253">
        <v>3</v>
      </c>
    </row>
    <row r="1159" spans="1:10" ht="14.5" x14ac:dyDescent="0.35">
      <c r="A1159" s="254"/>
      <c r="B1159" s="248" t="s">
        <v>382</v>
      </c>
      <c r="C1159" s="248" t="s">
        <v>329</v>
      </c>
      <c r="D1159" s="248" t="s">
        <v>339</v>
      </c>
      <c r="E1159" s="249" t="s">
        <v>342</v>
      </c>
      <c r="F1159" s="249"/>
      <c r="G1159" s="249"/>
      <c r="H1159" s="249"/>
      <c r="I1159" s="249">
        <v>64028</v>
      </c>
      <c r="J1159" s="253">
        <v>0</v>
      </c>
    </row>
    <row r="1160" spans="1:10" ht="14.5" x14ac:dyDescent="0.35">
      <c r="A1160" s="254"/>
      <c r="B1160" s="248"/>
      <c r="C1160" s="248"/>
      <c r="D1160" s="248"/>
      <c r="E1160" s="249"/>
      <c r="F1160" s="249"/>
      <c r="G1160" s="249"/>
      <c r="H1160" s="249"/>
      <c r="I1160" s="249"/>
      <c r="J1160" s="253"/>
    </row>
    <row r="1161" spans="1:10" ht="14.5" x14ac:dyDescent="0.35">
      <c r="A1161" s="247">
        <v>211</v>
      </c>
      <c r="B1161" s="248" t="s">
        <v>382</v>
      </c>
      <c r="C1161" s="248" t="s">
        <v>329</v>
      </c>
      <c r="D1161" s="248" t="s">
        <v>335</v>
      </c>
      <c r="E1161" s="249" t="s">
        <v>342</v>
      </c>
      <c r="F1161" s="249"/>
      <c r="G1161" s="249"/>
      <c r="H1161" s="249"/>
      <c r="I1161" s="249">
        <v>64048</v>
      </c>
      <c r="J1161" s="253">
        <v>0</v>
      </c>
    </row>
    <row r="1162" spans="1:10" ht="14.5" x14ac:dyDescent="0.35">
      <c r="A1162" s="254"/>
      <c r="B1162" s="248" t="s">
        <v>382</v>
      </c>
      <c r="C1162" s="248" t="s">
        <v>329</v>
      </c>
      <c r="D1162" s="248" t="s">
        <v>337</v>
      </c>
      <c r="E1162" s="249" t="s">
        <v>342</v>
      </c>
      <c r="F1162" s="249"/>
      <c r="G1162" s="249"/>
      <c r="H1162" s="249"/>
      <c r="I1162" s="249">
        <v>64048</v>
      </c>
      <c r="J1162" s="253">
        <v>2</v>
      </c>
    </row>
    <row r="1163" spans="1:10" ht="14.5" x14ac:dyDescent="0.35">
      <c r="A1163" s="254"/>
      <c r="B1163" s="248" t="s">
        <v>382</v>
      </c>
      <c r="C1163" s="248" t="s">
        <v>329</v>
      </c>
      <c r="D1163" s="248" t="s">
        <v>339</v>
      </c>
      <c r="E1163" s="249" t="s">
        <v>342</v>
      </c>
      <c r="F1163" s="249"/>
      <c r="G1163" s="249"/>
      <c r="H1163" s="249"/>
      <c r="I1163" s="249">
        <v>64048</v>
      </c>
      <c r="J1163" s="253">
        <v>0</v>
      </c>
    </row>
    <row r="1164" spans="1:10" ht="14.5" x14ac:dyDescent="0.35">
      <c r="A1164" s="254"/>
      <c r="B1164" s="248"/>
      <c r="C1164" s="248"/>
      <c r="D1164" s="248"/>
      <c r="E1164" s="249"/>
      <c r="F1164" s="249"/>
      <c r="G1164" s="249"/>
      <c r="H1164" s="249"/>
      <c r="I1164" s="249"/>
      <c r="J1164" s="253"/>
    </row>
    <row r="1165" spans="1:10" ht="14.5" x14ac:dyDescent="0.35">
      <c r="A1165" s="254"/>
      <c r="B1165" s="248"/>
      <c r="C1165" s="248"/>
      <c r="D1165" s="248"/>
      <c r="E1165" s="249"/>
      <c r="F1165" s="249"/>
      <c r="G1165" s="249"/>
      <c r="H1165" s="249"/>
      <c r="I1165" s="249"/>
      <c r="J1165" s="253"/>
    </row>
    <row r="1166" spans="1:10" ht="14.5" x14ac:dyDescent="0.35">
      <c r="A1166" s="247">
        <v>212</v>
      </c>
      <c r="B1166" s="248" t="s">
        <v>382</v>
      </c>
      <c r="C1166" s="248" t="s">
        <v>329</v>
      </c>
      <c r="D1166" s="248" t="s">
        <v>335</v>
      </c>
      <c r="E1166" s="249" t="s">
        <v>342</v>
      </c>
      <c r="F1166" s="249"/>
      <c r="G1166" s="249"/>
      <c r="H1166" s="249"/>
      <c r="I1166" s="249">
        <v>64115</v>
      </c>
      <c r="J1166" s="253">
        <v>0</v>
      </c>
    </row>
    <row r="1167" spans="1:10" ht="14.5" x14ac:dyDescent="0.35">
      <c r="A1167" s="254"/>
      <c r="B1167" s="248" t="s">
        <v>382</v>
      </c>
      <c r="C1167" s="248" t="s">
        <v>329</v>
      </c>
      <c r="D1167" s="248" t="s">
        <v>337</v>
      </c>
      <c r="E1167" s="249" t="s">
        <v>342</v>
      </c>
      <c r="F1167" s="249"/>
      <c r="G1167" s="249"/>
      <c r="H1167" s="249"/>
      <c r="I1167" s="249">
        <v>64115</v>
      </c>
      <c r="J1167" s="253">
        <v>2</v>
      </c>
    </row>
    <row r="1168" spans="1:10" ht="14.5" x14ac:dyDescent="0.35">
      <c r="A1168" s="254"/>
      <c r="B1168" s="248" t="s">
        <v>382</v>
      </c>
      <c r="C1168" s="248" t="s">
        <v>329</v>
      </c>
      <c r="D1168" s="248" t="s">
        <v>339</v>
      </c>
      <c r="E1168" s="249" t="s">
        <v>342</v>
      </c>
      <c r="F1168" s="249"/>
      <c r="G1168" s="249"/>
      <c r="H1168" s="249"/>
      <c r="I1168" s="249">
        <v>64115</v>
      </c>
      <c r="J1168" s="253">
        <v>0</v>
      </c>
    </row>
    <row r="1169" spans="1:10" ht="14.5" x14ac:dyDescent="0.35">
      <c r="A1169" s="254"/>
      <c r="B1169" s="248"/>
      <c r="C1169" s="248"/>
      <c r="D1169" s="248"/>
      <c r="E1169" s="249"/>
      <c r="F1169" s="249"/>
      <c r="G1169" s="249"/>
      <c r="H1169" s="249"/>
      <c r="I1169" s="249"/>
      <c r="J1169" s="253"/>
    </row>
    <row r="1170" spans="1:10" ht="14.5" x14ac:dyDescent="0.35">
      <c r="A1170" s="254"/>
      <c r="B1170" s="248"/>
      <c r="C1170" s="248"/>
      <c r="D1170" s="248"/>
      <c r="E1170" s="249"/>
      <c r="F1170" s="249"/>
      <c r="G1170" s="249"/>
      <c r="H1170" s="249"/>
      <c r="I1170" s="249"/>
      <c r="J1170" s="253"/>
    </row>
    <row r="1171" spans="1:10" ht="14.5" x14ac:dyDescent="0.35">
      <c r="A1171" s="247">
        <v>213</v>
      </c>
      <c r="B1171" s="248" t="s">
        <v>382</v>
      </c>
      <c r="C1171" s="248" t="s">
        <v>329</v>
      </c>
      <c r="D1171" s="248" t="s">
        <v>335</v>
      </c>
      <c r="E1171" s="249" t="s">
        <v>342</v>
      </c>
      <c r="F1171" s="249"/>
      <c r="G1171" s="249"/>
      <c r="H1171" s="249"/>
      <c r="I1171" s="249">
        <v>64346</v>
      </c>
      <c r="J1171" s="253">
        <v>0</v>
      </c>
    </row>
    <row r="1172" spans="1:10" ht="14.5" x14ac:dyDescent="0.35">
      <c r="A1172" s="254"/>
      <c r="B1172" s="248" t="s">
        <v>382</v>
      </c>
      <c r="C1172" s="248" t="s">
        <v>329</v>
      </c>
      <c r="D1172" s="248" t="s">
        <v>337</v>
      </c>
      <c r="E1172" s="249" t="s">
        <v>342</v>
      </c>
      <c r="F1172" s="249"/>
      <c r="G1172" s="249"/>
      <c r="H1172" s="249"/>
      <c r="I1172" s="249">
        <v>64346</v>
      </c>
      <c r="J1172" s="253">
        <v>1</v>
      </c>
    </row>
    <row r="1173" spans="1:10" ht="14.5" x14ac:dyDescent="0.35">
      <c r="A1173" s="254"/>
      <c r="B1173" s="248" t="s">
        <v>382</v>
      </c>
      <c r="C1173" s="248" t="s">
        <v>329</v>
      </c>
      <c r="D1173" s="248" t="s">
        <v>339</v>
      </c>
      <c r="E1173" s="249" t="s">
        <v>342</v>
      </c>
      <c r="F1173" s="249"/>
      <c r="G1173" s="249"/>
      <c r="H1173" s="249"/>
      <c r="I1173" s="249">
        <v>64346</v>
      </c>
      <c r="J1173" s="253">
        <v>0</v>
      </c>
    </row>
    <row r="1174" spans="1:10" ht="14.5" x14ac:dyDescent="0.35">
      <c r="A1174" s="254"/>
      <c r="B1174" s="248"/>
      <c r="C1174" s="248"/>
      <c r="D1174" s="248"/>
      <c r="E1174" s="249"/>
      <c r="F1174" s="249"/>
      <c r="G1174" s="249"/>
      <c r="H1174" s="249"/>
      <c r="I1174" s="249"/>
      <c r="J1174" s="253"/>
    </row>
    <row r="1175" spans="1:10" ht="14.5" x14ac:dyDescent="0.35">
      <c r="A1175" s="254"/>
      <c r="B1175" s="248"/>
      <c r="C1175" s="248"/>
      <c r="D1175" s="248"/>
      <c r="E1175" s="249"/>
      <c r="F1175" s="249"/>
      <c r="G1175" s="249"/>
      <c r="H1175" s="249"/>
      <c r="I1175" s="249"/>
      <c r="J1175" s="253"/>
    </row>
    <row r="1176" spans="1:10" ht="14.5" x14ac:dyDescent="0.35">
      <c r="A1176" s="247">
        <v>214</v>
      </c>
      <c r="B1176" s="248" t="s">
        <v>382</v>
      </c>
      <c r="C1176" s="248" t="s">
        <v>329</v>
      </c>
      <c r="D1176" s="248" t="s">
        <v>335</v>
      </c>
      <c r="E1176" s="249" t="s">
        <v>342</v>
      </c>
      <c r="F1176" s="249"/>
      <c r="G1176" s="249"/>
      <c r="H1176" s="249"/>
      <c r="I1176" s="249">
        <v>64641</v>
      </c>
      <c r="J1176" s="253">
        <v>0</v>
      </c>
    </row>
    <row r="1177" spans="1:10" ht="14.5" x14ac:dyDescent="0.35">
      <c r="A1177" s="254"/>
      <c r="B1177" s="248" t="s">
        <v>382</v>
      </c>
      <c r="C1177" s="248" t="s">
        <v>329</v>
      </c>
      <c r="D1177" s="248" t="s">
        <v>337</v>
      </c>
      <c r="E1177" s="249" t="s">
        <v>342</v>
      </c>
      <c r="F1177" s="249"/>
      <c r="G1177" s="249"/>
      <c r="H1177" s="249"/>
      <c r="I1177" s="249">
        <v>64641</v>
      </c>
      <c r="J1177" s="253">
        <v>1</v>
      </c>
    </row>
    <row r="1178" spans="1:10" ht="14.5" x14ac:dyDescent="0.35">
      <c r="A1178" s="254"/>
      <c r="B1178" s="248" t="s">
        <v>382</v>
      </c>
      <c r="C1178" s="248" t="s">
        <v>329</v>
      </c>
      <c r="D1178" s="248" t="s">
        <v>339</v>
      </c>
      <c r="E1178" s="249" t="s">
        <v>342</v>
      </c>
      <c r="F1178" s="249"/>
      <c r="G1178" s="249"/>
      <c r="H1178" s="249"/>
      <c r="I1178" s="249">
        <v>64641</v>
      </c>
      <c r="J1178" s="253">
        <v>0</v>
      </c>
    </row>
    <row r="1179" spans="1:10" ht="14.5" x14ac:dyDescent="0.35">
      <c r="A1179" s="254"/>
      <c r="B1179" s="248"/>
      <c r="C1179" s="248"/>
      <c r="D1179" s="248"/>
      <c r="E1179" s="249"/>
      <c r="F1179" s="249"/>
      <c r="G1179" s="249"/>
      <c r="H1179" s="249"/>
      <c r="I1179" s="249"/>
      <c r="J1179" s="253"/>
    </row>
    <row r="1180" spans="1:10" ht="14.5" x14ac:dyDescent="0.35">
      <c r="A1180" s="247">
        <v>215</v>
      </c>
      <c r="B1180" s="248" t="s">
        <v>382</v>
      </c>
      <c r="C1180" s="248" t="s">
        <v>329</v>
      </c>
      <c r="D1180" s="248" t="s">
        <v>335</v>
      </c>
      <c r="E1180" s="249" t="s">
        <v>342</v>
      </c>
      <c r="F1180" s="249"/>
      <c r="G1180" s="249"/>
      <c r="H1180" s="249"/>
      <c r="I1180" s="249">
        <v>64829</v>
      </c>
      <c r="J1180" s="253">
        <v>0</v>
      </c>
    </row>
    <row r="1181" spans="1:10" ht="14.5" x14ac:dyDescent="0.35">
      <c r="A1181" s="254"/>
      <c r="B1181" s="248" t="s">
        <v>382</v>
      </c>
      <c r="C1181" s="248" t="s">
        <v>329</v>
      </c>
      <c r="D1181" s="248" t="s">
        <v>337</v>
      </c>
      <c r="E1181" s="249" t="s">
        <v>342</v>
      </c>
      <c r="F1181" s="249"/>
      <c r="G1181" s="249"/>
      <c r="H1181" s="249"/>
      <c r="I1181" s="249">
        <v>64829</v>
      </c>
      <c r="J1181" s="253">
        <v>1</v>
      </c>
    </row>
    <row r="1182" spans="1:10" ht="14.5" x14ac:dyDescent="0.35">
      <c r="A1182" s="254"/>
      <c r="B1182" s="248" t="s">
        <v>382</v>
      </c>
      <c r="C1182" s="248" t="s">
        <v>329</v>
      </c>
      <c r="D1182" s="248" t="s">
        <v>339</v>
      </c>
      <c r="E1182" s="249" t="s">
        <v>342</v>
      </c>
      <c r="F1182" s="249"/>
      <c r="G1182" s="249"/>
      <c r="H1182" s="249"/>
      <c r="I1182" s="249">
        <v>64829</v>
      </c>
      <c r="J1182" s="253">
        <v>0</v>
      </c>
    </row>
    <row r="1183" spans="1:10" ht="14.5" x14ac:dyDescent="0.35">
      <c r="A1183" s="254"/>
      <c r="B1183" s="248"/>
      <c r="C1183" s="248"/>
      <c r="D1183" s="248"/>
      <c r="E1183" s="249"/>
      <c r="F1183" s="249"/>
      <c r="G1183" s="249"/>
      <c r="H1183" s="249"/>
      <c r="I1183" s="249"/>
      <c r="J1183" s="253"/>
    </row>
    <row r="1184" spans="1:10" ht="14.5" x14ac:dyDescent="0.35">
      <c r="A1184" s="247">
        <v>216</v>
      </c>
      <c r="B1184" s="248" t="s">
        <v>382</v>
      </c>
      <c r="C1184" s="248" t="s">
        <v>329</v>
      </c>
      <c r="D1184" s="248" t="s">
        <v>335</v>
      </c>
      <c r="E1184" s="249" t="s">
        <v>342</v>
      </c>
      <c r="F1184" s="249"/>
      <c r="G1184" s="249"/>
      <c r="H1184" s="249"/>
      <c r="I1184" s="249">
        <v>64996</v>
      </c>
      <c r="J1184" s="253">
        <v>0</v>
      </c>
    </row>
    <row r="1185" spans="1:10" ht="14.5" x14ac:dyDescent="0.35">
      <c r="A1185" s="254"/>
      <c r="B1185" s="248" t="s">
        <v>382</v>
      </c>
      <c r="C1185" s="248" t="s">
        <v>329</v>
      </c>
      <c r="D1185" s="248" t="s">
        <v>337</v>
      </c>
      <c r="E1185" s="249" t="s">
        <v>342</v>
      </c>
      <c r="F1185" s="249"/>
      <c r="G1185" s="249"/>
      <c r="H1185" s="249"/>
      <c r="I1185" s="249">
        <v>64996</v>
      </c>
      <c r="J1185" s="253">
        <v>1</v>
      </c>
    </row>
    <row r="1186" spans="1:10" ht="14.5" x14ac:dyDescent="0.35">
      <c r="A1186" s="254"/>
      <c r="B1186" s="248" t="s">
        <v>382</v>
      </c>
      <c r="C1186" s="248" t="s">
        <v>329</v>
      </c>
      <c r="D1186" s="248" t="s">
        <v>339</v>
      </c>
      <c r="E1186" s="249" t="s">
        <v>342</v>
      </c>
      <c r="F1186" s="249"/>
      <c r="G1186" s="249"/>
      <c r="H1186" s="249"/>
      <c r="I1186" s="249">
        <v>64996</v>
      </c>
      <c r="J1186" s="253">
        <v>0</v>
      </c>
    </row>
    <row r="1187" spans="1:10" ht="14.5" x14ac:dyDescent="0.35">
      <c r="A1187" s="254"/>
      <c r="B1187" s="248"/>
      <c r="C1187" s="248"/>
      <c r="D1187" s="248"/>
      <c r="E1187" s="249"/>
      <c r="F1187" s="249"/>
      <c r="G1187" s="249"/>
      <c r="H1187" s="249"/>
      <c r="I1187" s="249"/>
      <c r="J1187" s="253"/>
    </row>
    <row r="1188" spans="1:10" ht="14.5" x14ac:dyDescent="0.35">
      <c r="A1188" s="254"/>
      <c r="B1188" s="248"/>
      <c r="C1188" s="248"/>
      <c r="D1188" s="248"/>
      <c r="E1188" s="249"/>
      <c r="F1188" s="249"/>
      <c r="G1188" s="249"/>
      <c r="H1188" s="249"/>
      <c r="I1188" s="249"/>
      <c r="J1188" s="253"/>
    </row>
    <row r="1189" spans="1:10" ht="14.5" x14ac:dyDescent="0.35">
      <c r="A1189" s="247">
        <v>217</v>
      </c>
      <c r="B1189" s="248" t="s">
        <v>382</v>
      </c>
      <c r="C1189" s="248" t="s">
        <v>329</v>
      </c>
      <c r="D1189" s="248" t="s">
        <v>335</v>
      </c>
      <c r="E1189" s="249" t="s">
        <v>342</v>
      </c>
      <c r="F1189" s="249"/>
      <c r="G1189" s="249"/>
      <c r="H1189" s="249"/>
      <c r="I1189" s="249">
        <v>65199</v>
      </c>
      <c r="J1189" s="253">
        <v>0</v>
      </c>
    </row>
    <row r="1190" spans="1:10" ht="14.5" x14ac:dyDescent="0.35">
      <c r="A1190" s="254"/>
      <c r="B1190" s="248" t="s">
        <v>382</v>
      </c>
      <c r="C1190" s="248" t="s">
        <v>329</v>
      </c>
      <c r="D1190" s="248" t="s">
        <v>337</v>
      </c>
      <c r="E1190" s="249" t="s">
        <v>342</v>
      </c>
      <c r="F1190" s="249"/>
      <c r="G1190" s="249"/>
      <c r="H1190" s="249"/>
      <c r="I1190" s="249">
        <v>65199</v>
      </c>
      <c r="J1190" s="253">
        <v>1</v>
      </c>
    </row>
    <row r="1191" spans="1:10" ht="14.5" x14ac:dyDescent="0.35">
      <c r="A1191" s="254"/>
      <c r="B1191" s="248" t="s">
        <v>382</v>
      </c>
      <c r="C1191" s="248" t="s">
        <v>329</v>
      </c>
      <c r="D1191" s="248" t="s">
        <v>339</v>
      </c>
      <c r="E1191" s="249" t="s">
        <v>342</v>
      </c>
      <c r="F1191" s="249"/>
      <c r="G1191" s="249"/>
      <c r="H1191" s="249"/>
      <c r="I1191" s="249">
        <v>65199</v>
      </c>
      <c r="J1191" s="253">
        <v>0</v>
      </c>
    </row>
    <row r="1192" spans="1:10" ht="14.5" x14ac:dyDescent="0.35">
      <c r="A1192" s="254"/>
      <c r="B1192" s="248"/>
      <c r="C1192" s="248"/>
      <c r="D1192" s="248"/>
      <c r="E1192" s="249"/>
      <c r="F1192" s="249"/>
      <c r="G1192" s="249"/>
      <c r="H1192" s="249"/>
      <c r="I1192" s="249"/>
      <c r="J1192" s="253"/>
    </row>
    <row r="1193" spans="1:10" ht="14.5" x14ac:dyDescent="0.35">
      <c r="A1193" s="254"/>
      <c r="B1193" s="248"/>
      <c r="C1193" s="248"/>
      <c r="D1193" s="248"/>
      <c r="E1193" s="249"/>
      <c r="F1193" s="249"/>
      <c r="G1193" s="249"/>
      <c r="H1193" s="249"/>
      <c r="I1193" s="249"/>
      <c r="J1193" s="253"/>
    </row>
    <row r="1194" spans="1:10" ht="14.5" x14ac:dyDescent="0.35">
      <c r="A1194" s="247">
        <v>218</v>
      </c>
      <c r="B1194" s="248" t="s">
        <v>382</v>
      </c>
      <c r="C1194" s="248" t="s">
        <v>329</v>
      </c>
      <c r="D1194" s="248" t="s">
        <v>335</v>
      </c>
      <c r="E1194" s="249" t="s">
        <v>342</v>
      </c>
      <c r="F1194" s="249"/>
      <c r="G1194" s="249"/>
      <c r="H1194" s="249"/>
      <c r="I1194" s="249" t="s">
        <v>448</v>
      </c>
      <c r="J1194" s="253">
        <v>4</v>
      </c>
    </row>
    <row r="1195" spans="1:10" ht="14.5" x14ac:dyDescent="0.35">
      <c r="A1195" s="254"/>
      <c r="B1195" s="248" t="s">
        <v>382</v>
      </c>
      <c r="C1195" s="248" t="s">
        <v>329</v>
      </c>
      <c r="D1195" s="248" t="s">
        <v>337</v>
      </c>
      <c r="E1195" s="249" t="s">
        <v>342</v>
      </c>
      <c r="F1195" s="249"/>
      <c r="G1195" s="249"/>
      <c r="H1195" s="249"/>
      <c r="I1195" s="249" t="s">
        <v>448</v>
      </c>
      <c r="J1195" s="253">
        <v>0</v>
      </c>
    </row>
    <row r="1196" spans="1:10" ht="14.5" x14ac:dyDescent="0.35">
      <c r="A1196" s="254"/>
      <c r="B1196" s="248" t="s">
        <v>382</v>
      </c>
      <c r="C1196" s="248" t="s">
        <v>329</v>
      </c>
      <c r="D1196" s="248" t="s">
        <v>339</v>
      </c>
      <c r="E1196" s="249" t="s">
        <v>342</v>
      </c>
      <c r="F1196" s="249"/>
      <c r="G1196" s="249"/>
      <c r="H1196" s="249"/>
      <c r="I1196" s="249" t="s">
        <v>448</v>
      </c>
      <c r="J1196" s="253">
        <v>0</v>
      </c>
    </row>
    <row r="1197" spans="1:10" ht="14.5" x14ac:dyDescent="0.35">
      <c r="A1197" s="254"/>
      <c r="B1197" s="248"/>
      <c r="C1197" s="248"/>
      <c r="D1197" s="248"/>
      <c r="E1197" s="249"/>
      <c r="F1197" s="249"/>
      <c r="G1197" s="249"/>
      <c r="H1197" s="249"/>
      <c r="I1197" s="249"/>
      <c r="J1197" s="253"/>
    </row>
    <row r="1198" spans="1:10" ht="14.5" x14ac:dyDescent="0.35">
      <c r="A1198" s="247">
        <v>219</v>
      </c>
      <c r="B1198" s="248" t="s">
        <v>382</v>
      </c>
      <c r="C1198" s="248" t="s">
        <v>329</v>
      </c>
      <c r="D1198" s="248" t="s">
        <v>335</v>
      </c>
      <c r="E1198" s="249" t="s">
        <v>342</v>
      </c>
      <c r="F1198" s="249"/>
      <c r="G1198" s="249"/>
      <c r="H1198" s="249"/>
      <c r="I1198" s="253" t="s">
        <v>449</v>
      </c>
      <c r="J1198" s="253">
        <v>3</v>
      </c>
    </row>
    <row r="1199" spans="1:10" ht="14.5" x14ac:dyDescent="0.35">
      <c r="A1199" s="254"/>
      <c r="B1199" s="248" t="s">
        <v>382</v>
      </c>
      <c r="C1199" s="248" t="s">
        <v>329</v>
      </c>
      <c r="D1199" s="248" t="s">
        <v>337</v>
      </c>
      <c r="E1199" s="249" t="s">
        <v>342</v>
      </c>
      <c r="F1199" s="249"/>
      <c r="G1199" s="249"/>
      <c r="H1199" s="249"/>
      <c r="I1199" s="253" t="s">
        <v>449</v>
      </c>
      <c r="J1199" s="253">
        <v>0</v>
      </c>
    </row>
    <row r="1200" spans="1:10" ht="14.5" x14ac:dyDescent="0.35">
      <c r="A1200" s="254"/>
      <c r="B1200" s="248" t="s">
        <v>382</v>
      </c>
      <c r="C1200" s="248" t="s">
        <v>329</v>
      </c>
      <c r="D1200" s="248" t="s">
        <v>339</v>
      </c>
      <c r="E1200" s="249" t="s">
        <v>342</v>
      </c>
      <c r="F1200" s="249"/>
      <c r="G1200" s="249"/>
      <c r="H1200" s="249"/>
      <c r="I1200" s="253" t="s">
        <v>449</v>
      </c>
      <c r="J1200" s="253">
        <v>0</v>
      </c>
    </row>
    <row r="1201" spans="1:10" ht="14.5" x14ac:dyDescent="0.35">
      <c r="A1201" s="254"/>
      <c r="B1201" s="248"/>
      <c r="C1201" s="248"/>
      <c r="D1201" s="248"/>
      <c r="E1201" s="249"/>
      <c r="F1201" s="249"/>
      <c r="G1201" s="249"/>
      <c r="H1201" s="249"/>
      <c r="I1201" s="249"/>
      <c r="J1201" s="253"/>
    </row>
    <row r="1202" spans="1:10" ht="14.5" x14ac:dyDescent="0.35">
      <c r="A1202" s="247">
        <v>220</v>
      </c>
      <c r="B1202" s="248" t="s">
        <v>382</v>
      </c>
      <c r="C1202" s="248" t="s">
        <v>329</v>
      </c>
      <c r="D1202" s="248" t="s">
        <v>335</v>
      </c>
      <c r="E1202" s="249" t="s">
        <v>342</v>
      </c>
      <c r="F1202" s="249"/>
      <c r="G1202" s="249"/>
      <c r="H1202" s="249"/>
      <c r="I1202" s="253" t="s">
        <v>145</v>
      </c>
      <c r="J1202" s="253">
        <v>0</v>
      </c>
    </row>
    <row r="1203" spans="1:10" ht="14.5" x14ac:dyDescent="0.35">
      <c r="A1203" s="254"/>
      <c r="B1203" s="248" t="s">
        <v>382</v>
      </c>
      <c r="C1203" s="248" t="s">
        <v>329</v>
      </c>
      <c r="D1203" s="248" t="s">
        <v>337</v>
      </c>
      <c r="E1203" s="249" t="s">
        <v>342</v>
      </c>
      <c r="F1203" s="249"/>
      <c r="G1203" s="249"/>
      <c r="H1203" s="249"/>
      <c r="I1203" s="253" t="s">
        <v>145</v>
      </c>
      <c r="J1203" s="253">
        <v>4</v>
      </c>
    </row>
    <row r="1204" spans="1:10" ht="14.5" x14ac:dyDescent="0.35">
      <c r="A1204" s="254"/>
      <c r="B1204" s="248" t="s">
        <v>382</v>
      </c>
      <c r="C1204" s="248" t="s">
        <v>329</v>
      </c>
      <c r="D1204" s="248" t="s">
        <v>339</v>
      </c>
      <c r="E1204" s="249" t="s">
        <v>342</v>
      </c>
      <c r="F1204" s="249"/>
      <c r="G1204" s="249"/>
      <c r="H1204" s="249"/>
      <c r="I1204" s="253" t="s">
        <v>145</v>
      </c>
      <c r="J1204" s="253">
        <v>0</v>
      </c>
    </row>
    <row r="1205" spans="1:10" ht="14.5" x14ac:dyDescent="0.35">
      <c r="A1205" s="254"/>
      <c r="B1205" s="248"/>
      <c r="C1205" s="248"/>
      <c r="D1205" s="248"/>
      <c r="E1205" s="249"/>
      <c r="F1205" s="249"/>
      <c r="G1205" s="249"/>
      <c r="H1205" s="249"/>
      <c r="I1205" s="249"/>
      <c r="J1205" s="253"/>
    </row>
    <row r="1206" spans="1:10" ht="14.5" x14ac:dyDescent="0.35">
      <c r="A1206" s="247">
        <v>221</v>
      </c>
      <c r="B1206" s="248" t="s">
        <v>382</v>
      </c>
      <c r="C1206" s="248" t="s">
        <v>329</v>
      </c>
      <c r="D1206" s="248" t="s">
        <v>335</v>
      </c>
      <c r="E1206" s="249" t="s">
        <v>342</v>
      </c>
      <c r="F1206" s="249"/>
      <c r="G1206" s="249"/>
      <c r="H1206" s="249"/>
      <c r="I1206" s="253" t="s">
        <v>149</v>
      </c>
      <c r="J1206" s="253">
        <v>0</v>
      </c>
    </row>
    <row r="1207" spans="1:10" ht="14.5" x14ac:dyDescent="0.35">
      <c r="A1207" s="254"/>
      <c r="B1207" s="248" t="s">
        <v>382</v>
      </c>
      <c r="C1207" s="248" t="s">
        <v>329</v>
      </c>
      <c r="D1207" s="248" t="s">
        <v>337</v>
      </c>
      <c r="E1207" s="249" t="s">
        <v>342</v>
      </c>
      <c r="F1207" s="249"/>
      <c r="G1207" s="249"/>
      <c r="H1207" s="249"/>
      <c r="I1207" s="253" t="s">
        <v>149</v>
      </c>
      <c r="J1207" s="253">
        <v>7</v>
      </c>
    </row>
    <row r="1208" spans="1:10" ht="14.5" x14ac:dyDescent="0.35">
      <c r="A1208" s="254"/>
      <c r="B1208" s="248" t="s">
        <v>382</v>
      </c>
      <c r="C1208" s="248" t="s">
        <v>329</v>
      </c>
      <c r="D1208" s="248" t="s">
        <v>339</v>
      </c>
      <c r="E1208" s="249" t="s">
        <v>342</v>
      </c>
      <c r="F1208" s="249"/>
      <c r="G1208" s="249"/>
      <c r="H1208" s="249"/>
      <c r="I1208" s="253" t="s">
        <v>149</v>
      </c>
      <c r="J1208" s="253">
        <v>0</v>
      </c>
    </row>
    <row r="1209" spans="1:10" ht="14.5" x14ac:dyDescent="0.35">
      <c r="A1209" s="254"/>
      <c r="B1209" s="248"/>
      <c r="C1209" s="248"/>
      <c r="D1209" s="248"/>
      <c r="E1209" s="249"/>
      <c r="F1209" s="249"/>
      <c r="G1209" s="249"/>
      <c r="H1209" s="249"/>
      <c r="I1209" s="249"/>
      <c r="J1209" s="253"/>
    </row>
    <row r="1210" spans="1:10" ht="14.5" x14ac:dyDescent="0.35">
      <c r="A1210" s="247">
        <v>222</v>
      </c>
      <c r="B1210" s="248" t="s">
        <v>382</v>
      </c>
      <c r="C1210" s="248" t="s">
        <v>329</v>
      </c>
      <c r="D1210" s="248" t="s">
        <v>335</v>
      </c>
      <c r="E1210" s="249" t="s">
        <v>343</v>
      </c>
      <c r="F1210" s="249"/>
      <c r="G1210" s="249"/>
      <c r="H1210" s="249"/>
      <c r="I1210" s="253">
        <v>36207</v>
      </c>
      <c r="J1210" s="253">
        <v>0</v>
      </c>
    </row>
    <row r="1211" spans="1:10" ht="14.5" x14ac:dyDescent="0.35">
      <c r="A1211" s="254"/>
      <c r="B1211" s="248" t="s">
        <v>382</v>
      </c>
      <c r="C1211" s="248" t="s">
        <v>329</v>
      </c>
      <c r="D1211" s="248" t="s">
        <v>337</v>
      </c>
      <c r="E1211" s="249" t="s">
        <v>343</v>
      </c>
      <c r="F1211" s="249"/>
      <c r="G1211" s="249"/>
      <c r="H1211" s="249"/>
      <c r="I1211" s="253">
        <v>36207</v>
      </c>
      <c r="J1211" s="253">
        <v>2</v>
      </c>
    </row>
    <row r="1212" spans="1:10" ht="14.5" x14ac:dyDescent="0.35">
      <c r="A1212" s="254"/>
      <c r="B1212" s="248" t="s">
        <v>382</v>
      </c>
      <c r="C1212" s="248" t="s">
        <v>329</v>
      </c>
      <c r="D1212" s="248" t="s">
        <v>339</v>
      </c>
      <c r="E1212" s="249" t="s">
        <v>343</v>
      </c>
      <c r="F1212" s="249"/>
      <c r="G1212" s="249"/>
      <c r="H1212" s="249"/>
      <c r="I1212" s="253">
        <v>36207</v>
      </c>
      <c r="J1212" s="253">
        <v>0</v>
      </c>
    </row>
    <row r="1213" spans="1:10" ht="14.5" x14ac:dyDescent="0.35">
      <c r="A1213" s="254"/>
      <c r="B1213" s="248"/>
      <c r="C1213" s="248"/>
      <c r="D1213" s="248"/>
      <c r="E1213" s="249"/>
      <c r="F1213" s="249"/>
      <c r="G1213" s="249"/>
      <c r="H1213" s="249"/>
      <c r="I1213" s="249"/>
      <c r="J1213" s="253"/>
    </row>
    <row r="1214" spans="1:10" ht="14.5" x14ac:dyDescent="0.35">
      <c r="A1214" s="254"/>
      <c r="B1214" s="248"/>
      <c r="C1214" s="248"/>
      <c r="D1214" s="248"/>
      <c r="E1214" s="249"/>
      <c r="F1214" s="249"/>
      <c r="G1214" s="249"/>
      <c r="H1214" s="249"/>
      <c r="I1214" s="249"/>
      <c r="J1214" s="253"/>
    </row>
    <row r="1215" spans="1:10" ht="14.5" x14ac:dyDescent="0.35">
      <c r="A1215" s="247">
        <v>223</v>
      </c>
      <c r="B1215" s="248" t="s">
        <v>382</v>
      </c>
      <c r="C1215" s="248" t="s">
        <v>329</v>
      </c>
      <c r="D1215" s="248" t="s">
        <v>335</v>
      </c>
      <c r="E1215" s="249" t="s">
        <v>343</v>
      </c>
      <c r="F1215" s="249"/>
      <c r="G1215" s="249"/>
      <c r="H1215" s="249"/>
      <c r="I1215" s="253" t="s">
        <v>411</v>
      </c>
      <c r="J1215" s="253">
        <v>0</v>
      </c>
    </row>
    <row r="1216" spans="1:10" ht="14.5" x14ac:dyDescent="0.35">
      <c r="A1216" s="254"/>
      <c r="B1216" s="248" t="s">
        <v>382</v>
      </c>
      <c r="C1216" s="248" t="s">
        <v>329</v>
      </c>
      <c r="D1216" s="248" t="s">
        <v>337</v>
      </c>
      <c r="E1216" s="249" t="s">
        <v>343</v>
      </c>
      <c r="F1216" s="249"/>
      <c r="G1216" s="249"/>
      <c r="H1216" s="249"/>
      <c r="I1216" s="253" t="s">
        <v>411</v>
      </c>
      <c r="J1216" s="253">
        <v>1</v>
      </c>
    </row>
    <row r="1217" spans="1:10" ht="14.5" x14ac:dyDescent="0.35">
      <c r="A1217" s="254"/>
      <c r="B1217" s="248" t="s">
        <v>382</v>
      </c>
      <c r="C1217" s="248" t="s">
        <v>329</v>
      </c>
      <c r="D1217" s="248" t="s">
        <v>339</v>
      </c>
      <c r="E1217" s="249" t="s">
        <v>343</v>
      </c>
      <c r="F1217" s="249"/>
      <c r="G1217" s="249"/>
      <c r="H1217" s="249"/>
      <c r="I1217" s="253" t="s">
        <v>411</v>
      </c>
      <c r="J1217" s="253">
        <v>0</v>
      </c>
    </row>
    <row r="1218" spans="1:10" ht="14.5" x14ac:dyDescent="0.35">
      <c r="A1218" s="254"/>
      <c r="B1218" s="248"/>
      <c r="C1218" s="248"/>
      <c r="D1218" s="248"/>
      <c r="E1218" s="249"/>
      <c r="F1218" s="249"/>
      <c r="G1218" s="249"/>
      <c r="H1218" s="249"/>
      <c r="I1218" s="249"/>
      <c r="J1218" s="253"/>
    </row>
    <row r="1219" spans="1:10" ht="14.5" x14ac:dyDescent="0.35">
      <c r="A1219" s="254"/>
      <c r="B1219" s="248"/>
      <c r="C1219" s="248"/>
      <c r="D1219" s="248"/>
      <c r="E1219" s="249"/>
      <c r="F1219" s="249"/>
      <c r="G1219" s="249"/>
      <c r="H1219" s="249"/>
      <c r="I1219" s="249"/>
      <c r="J1219" s="253"/>
    </row>
    <row r="1220" spans="1:10" ht="14.5" x14ac:dyDescent="0.35">
      <c r="A1220" s="247">
        <v>224</v>
      </c>
      <c r="B1220" s="248" t="s">
        <v>382</v>
      </c>
      <c r="C1220" s="248" t="s">
        <v>329</v>
      </c>
      <c r="D1220" s="248" t="s">
        <v>335</v>
      </c>
      <c r="E1220" s="249" t="s">
        <v>343</v>
      </c>
      <c r="F1220" s="249"/>
      <c r="G1220" s="249"/>
      <c r="H1220" s="249"/>
      <c r="I1220" s="253" t="s">
        <v>178</v>
      </c>
      <c r="J1220" s="253">
        <v>0</v>
      </c>
    </row>
    <row r="1221" spans="1:10" ht="14.5" x14ac:dyDescent="0.35">
      <c r="A1221" s="254"/>
      <c r="B1221" s="248" t="s">
        <v>382</v>
      </c>
      <c r="C1221" s="248" t="s">
        <v>329</v>
      </c>
      <c r="D1221" s="248" t="s">
        <v>337</v>
      </c>
      <c r="E1221" s="249" t="s">
        <v>343</v>
      </c>
      <c r="F1221" s="249"/>
      <c r="G1221" s="249"/>
      <c r="H1221" s="249"/>
      <c r="I1221" s="253" t="s">
        <v>178</v>
      </c>
      <c r="J1221" s="253">
        <v>2</v>
      </c>
    </row>
    <row r="1222" spans="1:10" ht="14.5" x14ac:dyDescent="0.35">
      <c r="A1222" s="254"/>
      <c r="B1222" s="248" t="s">
        <v>382</v>
      </c>
      <c r="C1222" s="248" t="s">
        <v>329</v>
      </c>
      <c r="D1222" s="248" t="s">
        <v>339</v>
      </c>
      <c r="E1222" s="249" t="s">
        <v>343</v>
      </c>
      <c r="F1222" s="249"/>
      <c r="G1222" s="249"/>
      <c r="H1222" s="249"/>
      <c r="I1222" s="253" t="s">
        <v>178</v>
      </c>
      <c r="J1222" s="253">
        <v>0</v>
      </c>
    </row>
    <row r="1223" spans="1:10" ht="14.5" x14ac:dyDescent="0.35">
      <c r="A1223" s="254"/>
      <c r="B1223" s="248"/>
      <c r="C1223" s="248"/>
      <c r="D1223" s="248"/>
      <c r="E1223" s="249"/>
      <c r="F1223" s="249"/>
      <c r="G1223" s="249"/>
      <c r="H1223" s="249"/>
      <c r="I1223" s="249"/>
      <c r="J1223" s="253"/>
    </row>
    <row r="1224" spans="1:10" ht="14.5" x14ac:dyDescent="0.35">
      <c r="A1224" s="247">
        <v>225</v>
      </c>
      <c r="B1224" s="248" t="s">
        <v>382</v>
      </c>
      <c r="C1224" s="248" t="s">
        <v>329</v>
      </c>
      <c r="D1224" s="248" t="s">
        <v>335</v>
      </c>
      <c r="E1224" s="249" t="s">
        <v>343</v>
      </c>
      <c r="F1224" s="249"/>
      <c r="G1224" s="249"/>
      <c r="H1224" s="249"/>
      <c r="I1224" s="253" t="s">
        <v>423</v>
      </c>
      <c r="J1224" s="253">
        <v>0</v>
      </c>
    </row>
    <row r="1225" spans="1:10" ht="14.5" x14ac:dyDescent="0.35">
      <c r="A1225" s="254"/>
      <c r="B1225" s="248" t="s">
        <v>382</v>
      </c>
      <c r="C1225" s="248" t="s">
        <v>329</v>
      </c>
      <c r="D1225" s="248" t="s">
        <v>337</v>
      </c>
      <c r="E1225" s="249" t="s">
        <v>343</v>
      </c>
      <c r="F1225" s="249"/>
      <c r="G1225" s="249"/>
      <c r="H1225" s="249"/>
      <c r="I1225" s="253" t="s">
        <v>423</v>
      </c>
      <c r="J1225" s="253">
        <v>2</v>
      </c>
    </row>
    <row r="1226" spans="1:10" ht="14.5" x14ac:dyDescent="0.35">
      <c r="A1226" s="254"/>
      <c r="B1226" s="248" t="s">
        <v>382</v>
      </c>
      <c r="C1226" s="248" t="s">
        <v>329</v>
      </c>
      <c r="D1226" s="248" t="s">
        <v>339</v>
      </c>
      <c r="E1226" s="249" t="s">
        <v>343</v>
      </c>
      <c r="F1226" s="249"/>
      <c r="G1226" s="249"/>
      <c r="H1226" s="249"/>
      <c r="I1226" s="253" t="s">
        <v>423</v>
      </c>
      <c r="J1226" s="253">
        <v>0</v>
      </c>
    </row>
    <row r="1227" spans="1:10" ht="14.5" x14ac:dyDescent="0.35">
      <c r="A1227" s="254"/>
      <c r="B1227" s="248"/>
      <c r="C1227" s="248"/>
      <c r="D1227" s="248"/>
      <c r="E1227" s="249"/>
      <c r="F1227" s="249"/>
      <c r="G1227" s="249"/>
      <c r="H1227" s="249"/>
      <c r="I1227" s="249"/>
      <c r="J1227" s="253"/>
    </row>
    <row r="1228" spans="1:10" ht="14.5" x14ac:dyDescent="0.35">
      <c r="A1228" s="254"/>
      <c r="B1228" s="248"/>
      <c r="C1228" s="248"/>
      <c r="D1228" s="248"/>
      <c r="E1228" s="249"/>
      <c r="F1228" s="249"/>
      <c r="G1228" s="249"/>
      <c r="H1228" s="249"/>
      <c r="I1228" s="249"/>
      <c r="J1228" s="253"/>
    </row>
    <row r="1229" spans="1:10" ht="14.5" x14ac:dyDescent="0.35">
      <c r="A1229" s="247">
        <v>226</v>
      </c>
      <c r="B1229" s="248" t="s">
        <v>382</v>
      </c>
      <c r="C1229" s="248" t="s">
        <v>329</v>
      </c>
      <c r="D1229" s="248" t="s">
        <v>335</v>
      </c>
      <c r="E1229" s="249" t="s">
        <v>343</v>
      </c>
      <c r="F1229" s="249"/>
      <c r="G1229" s="249"/>
      <c r="H1229" s="249"/>
      <c r="I1229" s="253" t="s">
        <v>288</v>
      </c>
      <c r="J1229" s="253">
        <v>0</v>
      </c>
    </row>
    <row r="1230" spans="1:10" ht="14.5" x14ac:dyDescent="0.35">
      <c r="A1230" s="254"/>
      <c r="B1230" s="248" t="s">
        <v>382</v>
      </c>
      <c r="C1230" s="248" t="s">
        <v>329</v>
      </c>
      <c r="D1230" s="248" t="s">
        <v>337</v>
      </c>
      <c r="E1230" s="249" t="s">
        <v>343</v>
      </c>
      <c r="F1230" s="249"/>
      <c r="G1230" s="249"/>
      <c r="H1230" s="249"/>
      <c r="I1230" s="253" t="s">
        <v>288</v>
      </c>
      <c r="J1230" s="253">
        <v>2</v>
      </c>
    </row>
    <row r="1231" spans="1:10" ht="14.5" x14ac:dyDescent="0.35">
      <c r="A1231" s="254"/>
      <c r="B1231" s="248" t="s">
        <v>382</v>
      </c>
      <c r="C1231" s="248" t="s">
        <v>329</v>
      </c>
      <c r="D1231" s="248" t="s">
        <v>339</v>
      </c>
      <c r="E1231" s="249" t="s">
        <v>343</v>
      </c>
      <c r="F1231" s="249"/>
      <c r="G1231" s="249"/>
      <c r="H1231" s="249"/>
      <c r="I1231" s="253" t="s">
        <v>288</v>
      </c>
      <c r="J1231" s="253">
        <v>0</v>
      </c>
    </row>
    <row r="1232" spans="1:10" ht="14.5" x14ac:dyDescent="0.35">
      <c r="A1232" s="254"/>
      <c r="B1232" s="248"/>
      <c r="C1232" s="248"/>
      <c r="D1232" s="248"/>
      <c r="E1232" s="249"/>
      <c r="F1232" s="249"/>
      <c r="G1232" s="249"/>
      <c r="H1232" s="249"/>
      <c r="I1232" s="249"/>
      <c r="J1232" s="253"/>
    </row>
    <row r="1233" spans="1:10" ht="14.5" x14ac:dyDescent="0.35">
      <c r="A1233" s="247">
        <v>227</v>
      </c>
      <c r="B1233" s="248" t="s">
        <v>382</v>
      </c>
      <c r="C1233" s="248" t="s">
        <v>329</v>
      </c>
      <c r="D1233" s="248" t="s">
        <v>335</v>
      </c>
      <c r="E1233" s="249" t="s">
        <v>343</v>
      </c>
      <c r="F1233" s="249"/>
      <c r="G1233" s="249"/>
      <c r="H1233" s="249"/>
      <c r="I1233" s="253" t="s">
        <v>153</v>
      </c>
      <c r="J1233" s="253">
        <v>0</v>
      </c>
    </row>
    <row r="1234" spans="1:10" ht="14.5" x14ac:dyDescent="0.35">
      <c r="A1234" s="254"/>
      <c r="B1234" s="248" t="s">
        <v>382</v>
      </c>
      <c r="C1234" s="248" t="s">
        <v>329</v>
      </c>
      <c r="D1234" s="248" t="s">
        <v>337</v>
      </c>
      <c r="E1234" s="249" t="s">
        <v>343</v>
      </c>
      <c r="F1234" s="249"/>
      <c r="G1234" s="249"/>
      <c r="H1234" s="249"/>
      <c r="I1234" s="253" t="s">
        <v>153</v>
      </c>
      <c r="J1234" s="253">
        <v>4</v>
      </c>
    </row>
    <row r="1235" spans="1:10" ht="14.5" x14ac:dyDescent="0.35">
      <c r="A1235" s="254"/>
      <c r="B1235" s="248" t="s">
        <v>382</v>
      </c>
      <c r="C1235" s="248" t="s">
        <v>329</v>
      </c>
      <c r="D1235" s="248" t="s">
        <v>339</v>
      </c>
      <c r="E1235" s="249" t="s">
        <v>343</v>
      </c>
      <c r="F1235" s="249"/>
      <c r="G1235" s="249"/>
      <c r="H1235" s="249"/>
      <c r="I1235" s="253" t="s">
        <v>153</v>
      </c>
      <c r="J1235" s="253">
        <v>0</v>
      </c>
    </row>
    <row r="1236" spans="1:10" ht="14.5" x14ac:dyDescent="0.35">
      <c r="A1236" s="254"/>
      <c r="B1236" s="248"/>
      <c r="C1236" s="248"/>
      <c r="D1236" s="248"/>
      <c r="E1236" s="249"/>
      <c r="F1236" s="249"/>
      <c r="G1236" s="249"/>
      <c r="H1236" s="249"/>
      <c r="I1236" s="249"/>
      <c r="J1236" s="253"/>
    </row>
    <row r="1237" spans="1:10" ht="14.5" x14ac:dyDescent="0.35">
      <c r="A1237" s="254"/>
      <c r="B1237" s="248"/>
      <c r="C1237" s="248"/>
      <c r="D1237" s="248"/>
      <c r="E1237" s="249"/>
      <c r="F1237" s="249"/>
      <c r="G1237" s="249"/>
      <c r="H1237" s="249"/>
      <c r="I1237" s="249"/>
      <c r="J1237" s="253"/>
    </row>
    <row r="1238" spans="1:10" ht="14.5" x14ac:dyDescent="0.35">
      <c r="A1238" s="247">
        <v>228</v>
      </c>
      <c r="B1238" s="248" t="s">
        <v>382</v>
      </c>
      <c r="C1238" s="248" t="s">
        <v>329</v>
      </c>
      <c r="D1238" s="248" t="s">
        <v>335</v>
      </c>
      <c r="E1238" s="249" t="s">
        <v>343</v>
      </c>
      <c r="F1238" s="249"/>
      <c r="G1238" s="249"/>
      <c r="H1238" s="249"/>
      <c r="I1238" s="253" t="s">
        <v>107</v>
      </c>
      <c r="J1238" s="253">
        <v>0</v>
      </c>
    </row>
    <row r="1239" spans="1:10" ht="14.5" x14ac:dyDescent="0.35">
      <c r="A1239" s="254"/>
      <c r="B1239" s="248" t="s">
        <v>382</v>
      </c>
      <c r="C1239" s="248" t="s">
        <v>329</v>
      </c>
      <c r="D1239" s="248" t="s">
        <v>337</v>
      </c>
      <c r="E1239" s="249" t="s">
        <v>343</v>
      </c>
      <c r="F1239" s="249"/>
      <c r="G1239" s="249"/>
      <c r="H1239" s="249"/>
      <c r="I1239" s="253" t="s">
        <v>107</v>
      </c>
      <c r="J1239" s="253">
        <v>0</v>
      </c>
    </row>
    <row r="1240" spans="1:10" ht="14.5" x14ac:dyDescent="0.35">
      <c r="A1240" s="254"/>
      <c r="B1240" s="248" t="s">
        <v>382</v>
      </c>
      <c r="C1240" s="248" t="s">
        <v>329</v>
      </c>
      <c r="D1240" s="248" t="s">
        <v>339</v>
      </c>
      <c r="E1240" s="249" t="s">
        <v>343</v>
      </c>
      <c r="F1240" s="249"/>
      <c r="G1240" s="249"/>
      <c r="H1240" s="249"/>
      <c r="I1240" s="253" t="s">
        <v>107</v>
      </c>
      <c r="J1240" s="253">
        <v>13</v>
      </c>
    </row>
    <row r="1241" spans="1:10" ht="14.5" x14ac:dyDescent="0.35">
      <c r="A1241" s="254"/>
      <c r="B1241" s="248"/>
      <c r="C1241" s="248"/>
      <c r="D1241" s="248"/>
      <c r="E1241" s="249"/>
      <c r="F1241" s="249"/>
      <c r="G1241" s="249"/>
      <c r="H1241" s="249"/>
      <c r="I1241" s="249"/>
      <c r="J1241" s="253"/>
    </row>
    <row r="1242" spans="1:10" ht="14.5" x14ac:dyDescent="0.35">
      <c r="A1242" s="247">
        <v>229</v>
      </c>
      <c r="B1242" s="248" t="s">
        <v>382</v>
      </c>
      <c r="C1242" s="248" t="s">
        <v>329</v>
      </c>
      <c r="D1242" s="248" t="s">
        <v>335</v>
      </c>
      <c r="E1242" s="249" t="s">
        <v>343</v>
      </c>
      <c r="F1242" s="249"/>
      <c r="G1242" s="249"/>
      <c r="H1242" s="249"/>
      <c r="I1242" s="253" t="s">
        <v>108</v>
      </c>
      <c r="J1242" s="253">
        <v>0</v>
      </c>
    </row>
    <row r="1243" spans="1:10" ht="14.5" x14ac:dyDescent="0.35">
      <c r="A1243" s="254"/>
      <c r="B1243" s="248" t="s">
        <v>382</v>
      </c>
      <c r="C1243" s="248" t="s">
        <v>329</v>
      </c>
      <c r="D1243" s="248" t="s">
        <v>337</v>
      </c>
      <c r="E1243" s="249" t="s">
        <v>343</v>
      </c>
      <c r="F1243" s="249"/>
      <c r="G1243" s="249"/>
      <c r="H1243" s="249"/>
      <c r="I1243" s="253" t="s">
        <v>108</v>
      </c>
      <c r="J1243" s="253">
        <v>0</v>
      </c>
    </row>
    <row r="1244" spans="1:10" ht="14.5" x14ac:dyDescent="0.35">
      <c r="A1244" s="254"/>
      <c r="B1244" s="248" t="s">
        <v>382</v>
      </c>
      <c r="C1244" s="248" t="s">
        <v>329</v>
      </c>
      <c r="D1244" s="248" t="s">
        <v>339</v>
      </c>
      <c r="E1244" s="249" t="s">
        <v>343</v>
      </c>
      <c r="F1244" s="249"/>
      <c r="G1244" s="249"/>
      <c r="H1244" s="249"/>
      <c r="I1244" s="253" t="s">
        <v>108</v>
      </c>
      <c r="J1244" s="253">
        <v>0</v>
      </c>
    </row>
    <row r="1245" spans="1:10" ht="14.5" x14ac:dyDescent="0.35">
      <c r="A1245" s="254"/>
      <c r="B1245" s="248"/>
      <c r="C1245" s="248"/>
      <c r="D1245" s="248"/>
      <c r="E1245" s="249"/>
      <c r="F1245" s="249"/>
      <c r="G1245" s="249"/>
      <c r="H1245" s="249"/>
      <c r="I1245" s="249"/>
      <c r="J1245" s="253"/>
    </row>
    <row r="1246" spans="1:10" ht="14.5" x14ac:dyDescent="0.35">
      <c r="A1246" s="254"/>
      <c r="B1246" s="248"/>
      <c r="C1246" s="248"/>
      <c r="D1246" s="248"/>
      <c r="E1246" s="249"/>
      <c r="F1246" s="249"/>
      <c r="G1246" s="249"/>
      <c r="H1246" s="249"/>
      <c r="I1246" s="249"/>
      <c r="J1246" s="253"/>
    </row>
    <row r="1247" spans="1:10" ht="14.5" x14ac:dyDescent="0.35">
      <c r="A1247" s="247">
        <v>230</v>
      </c>
      <c r="B1247" s="248" t="s">
        <v>382</v>
      </c>
      <c r="C1247" s="248" t="s">
        <v>329</v>
      </c>
      <c r="D1247" s="248" t="s">
        <v>335</v>
      </c>
      <c r="E1247" s="249" t="s">
        <v>343</v>
      </c>
      <c r="F1247" s="249"/>
      <c r="G1247" s="249"/>
      <c r="H1247" s="249"/>
      <c r="I1247" s="253" t="s">
        <v>151</v>
      </c>
      <c r="J1247" s="253">
        <v>0</v>
      </c>
    </row>
    <row r="1248" spans="1:10" ht="14.5" x14ac:dyDescent="0.35">
      <c r="A1248" s="254"/>
      <c r="B1248" s="248" t="s">
        <v>382</v>
      </c>
      <c r="C1248" s="248" t="s">
        <v>329</v>
      </c>
      <c r="D1248" s="248" t="s">
        <v>337</v>
      </c>
      <c r="E1248" s="249" t="s">
        <v>343</v>
      </c>
      <c r="F1248" s="249"/>
      <c r="G1248" s="249"/>
      <c r="H1248" s="249"/>
      <c r="I1248" s="253" t="s">
        <v>151</v>
      </c>
      <c r="J1248" s="253">
        <v>0</v>
      </c>
    </row>
    <row r="1249" spans="1:10" ht="14.5" x14ac:dyDescent="0.35">
      <c r="A1249" s="254"/>
      <c r="B1249" s="248" t="s">
        <v>382</v>
      </c>
      <c r="C1249" s="248" t="s">
        <v>329</v>
      </c>
      <c r="D1249" s="248" t="s">
        <v>339</v>
      </c>
      <c r="E1249" s="249" t="s">
        <v>343</v>
      </c>
      <c r="F1249" s="249"/>
      <c r="G1249" s="249"/>
      <c r="H1249" s="249"/>
      <c r="I1249" s="253" t="s">
        <v>151</v>
      </c>
      <c r="J1249" s="253">
        <v>23</v>
      </c>
    </row>
    <row r="1250" spans="1:10" ht="14.5" x14ac:dyDescent="0.35">
      <c r="A1250" s="254"/>
      <c r="B1250" s="248"/>
      <c r="C1250" s="248"/>
      <c r="D1250" s="248"/>
      <c r="E1250" s="249"/>
      <c r="F1250" s="249"/>
      <c r="G1250" s="249"/>
      <c r="H1250" s="249"/>
      <c r="I1250" s="249"/>
      <c r="J1250" s="253"/>
    </row>
    <row r="1251" spans="1:10" ht="14.5" x14ac:dyDescent="0.35">
      <c r="A1251" s="247">
        <v>231</v>
      </c>
      <c r="B1251" s="248" t="s">
        <v>382</v>
      </c>
      <c r="C1251" s="248" t="s">
        <v>329</v>
      </c>
      <c r="D1251" s="248" t="s">
        <v>335</v>
      </c>
      <c r="E1251" s="249" t="s">
        <v>343</v>
      </c>
      <c r="F1251" s="249"/>
      <c r="G1251" s="249"/>
      <c r="H1251" s="249"/>
      <c r="I1251" s="253" t="s">
        <v>109</v>
      </c>
      <c r="J1251" s="253">
        <v>0</v>
      </c>
    </row>
    <row r="1252" spans="1:10" ht="14.5" x14ac:dyDescent="0.35">
      <c r="A1252" s="254"/>
      <c r="B1252" s="248" t="s">
        <v>382</v>
      </c>
      <c r="C1252" s="248" t="s">
        <v>329</v>
      </c>
      <c r="D1252" s="248" t="s">
        <v>337</v>
      </c>
      <c r="E1252" s="249" t="s">
        <v>343</v>
      </c>
      <c r="F1252" s="249"/>
      <c r="G1252" s="249"/>
      <c r="H1252" s="249"/>
      <c r="I1252" s="253" t="s">
        <v>109</v>
      </c>
      <c r="J1252" s="253">
        <v>0</v>
      </c>
    </row>
    <row r="1253" spans="1:10" ht="14.5" x14ac:dyDescent="0.35">
      <c r="A1253" s="254"/>
      <c r="B1253" s="248" t="s">
        <v>382</v>
      </c>
      <c r="C1253" s="248" t="s">
        <v>329</v>
      </c>
      <c r="D1253" s="248" t="s">
        <v>339</v>
      </c>
      <c r="E1253" s="249" t="s">
        <v>343</v>
      </c>
      <c r="F1253" s="249"/>
      <c r="G1253" s="249"/>
      <c r="H1253" s="249"/>
      <c r="I1253" s="253" t="s">
        <v>109</v>
      </c>
      <c r="J1253" s="253">
        <v>7</v>
      </c>
    </row>
    <row r="1254" spans="1:10" ht="14.5" x14ac:dyDescent="0.35">
      <c r="A1254" s="254"/>
      <c r="B1254" s="248"/>
      <c r="C1254" s="248"/>
      <c r="D1254" s="248"/>
      <c r="E1254" s="249"/>
      <c r="F1254" s="249"/>
      <c r="G1254" s="249"/>
      <c r="H1254" s="249"/>
      <c r="I1254" s="249"/>
      <c r="J1254" s="253"/>
    </row>
    <row r="1255" spans="1:10" ht="14.5" x14ac:dyDescent="0.35">
      <c r="A1255" s="254"/>
      <c r="B1255" s="248"/>
      <c r="C1255" s="248"/>
      <c r="D1255" s="248"/>
      <c r="E1255" s="249"/>
      <c r="F1255" s="249"/>
      <c r="G1255" s="249"/>
      <c r="H1255" s="249"/>
      <c r="I1255" s="249"/>
      <c r="J1255" s="253"/>
    </row>
    <row r="1256" spans="1:10" ht="14.5" x14ac:dyDescent="0.35">
      <c r="A1256" s="254"/>
      <c r="B1256" s="248"/>
      <c r="C1256" s="248"/>
      <c r="D1256" s="248"/>
      <c r="E1256" s="249"/>
      <c r="F1256" s="249"/>
      <c r="G1256" s="249"/>
      <c r="H1256" s="249"/>
      <c r="I1256" s="249"/>
      <c r="J1256" s="253"/>
    </row>
    <row r="1257" spans="1:10" ht="14.5" x14ac:dyDescent="0.35">
      <c r="A1257" s="254"/>
      <c r="B1257" s="248"/>
      <c r="C1257" s="248"/>
      <c r="D1257" s="248"/>
      <c r="E1257" s="249"/>
      <c r="F1257" s="249"/>
      <c r="G1257" s="249"/>
      <c r="H1257" s="249"/>
      <c r="I1257" s="249"/>
      <c r="J1257" s="253"/>
    </row>
    <row r="1258" spans="1:10" ht="14.5" x14ac:dyDescent="0.35">
      <c r="A1258" s="261">
        <v>232</v>
      </c>
      <c r="B1258" s="248" t="s">
        <v>393</v>
      </c>
      <c r="C1258" s="248" t="s">
        <v>326</v>
      </c>
      <c r="D1258" s="248" t="s">
        <v>337</v>
      </c>
      <c r="E1258" s="248" t="s">
        <v>336</v>
      </c>
      <c r="F1258" s="242" t="s">
        <v>433</v>
      </c>
      <c r="G1258" s="256" t="s">
        <v>353</v>
      </c>
      <c r="H1258" s="251" t="s">
        <v>346</v>
      </c>
      <c r="I1258" s="249">
        <v>50536</v>
      </c>
      <c r="J1258" s="253">
        <v>1</v>
      </c>
    </row>
    <row r="1259" spans="1:10" ht="14.5" x14ac:dyDescent="0.35">
      <c r="A1259" s="254"/>
      <c r="B1259" s="248" t="s">
        <v>393</v>
      </c>
      <c r="C1259" s="248" t="s">
        <v>326</v>
      </c>
      <c r="D1259" s="248" t="s">
        <v>337</v>
      </c>
      <c r="E1259" s="248" t="s">
        <v>336</v>
      </c>
      <c r="F1259" s="242" t="s">
        <v>435</v>
      </c>
      <c r="G1259" s="256" t="s">
        <v>353</v>
      </c>
      <c r="H1259" s="251" t="s">
        <v>347</v>
      </c>
      <c r="I1259" s="249">
        <v>50536</v>
      </c>
      <c r="J1259" s="253">
        <v>3</v>
      </c>
    </row>
    <row r="1260" spans="1:10" ht="14.5" x14ac:dyDescent="0.35">
      <c r="A1260" s="254"/>
      <c r="B1260" s="248"/>
      <c r="C1260" s="248"/>
      <c r="D1260" s="248"/>
      <c r="E1260" s="249"/>
      <c r="F1260" s="249"/>
      <c r="G1260" s="249"/>
      <c r="H1260" s="249"/>
      <c r="I1260" s="249"/>
      <c r="J1260" s="253"/>
    </row>
    <row r="1261" spans="1:10" ht="14.5" x14ac:dyDescent="0.35">
      <c r="A1261" s="261">
        <v>233</v>
      </c>
      <c r="B1261" s="248" t="s">
        <v>393</v>
      </c>
      <c r="C1261" s="248" t="s">
        <v>326</v>
      </c>
      <c r="D1261" s="248" t="s">
        <v>337</v>
      </c>
      <c r="E1261" s="248" t="s">
        <v>336</v>
      </c>
      <c r="F1261" s="242" t="s">
        <v>433</v>
      </c>
      <c r="G1261" s="256" t="s">
        <v>353</v>
      </c>
      <c r="H1261" s="251" t="s">
        <v>346</v>
      </c>
      <c r="I1261" s="249">
        <v>50550</v>
      </c>
      <c r="J1261" s="253">
        <v>1</v>
      </c>
    </row>
    <row r="1262" spans="1:10" ht="14.5" x14ac:dyDescent="0.35">
      <c r="A1262" s="254"/>
      <c r="B1262" s="248" t="s">
        <v>393</v>
      </c>
      <c r="C1262" s="248" t="s">
        <v>326</v>
      </c>
      <c r="D1262" s="248" t="s">
        <v>337</v>
      </c>
      <c r="E1262" s="248" t="s">
        <v>336</v>
      </c>
      <c r="F1262" s="242" t="s">
        <v>435</v>
      </c>
      <c r="G1262" s="256" t="s">
        <v>353</v>
      </c>
      <c r="H1262" s="251" t="s">
        <v>347</v>
      </c>
      <c r="I1262" s="249">
        <v>50550</v>
      </c>
      <c r="J1262" s="253">
        <v>0</v>
      </c>
    </row>
    <row r="1263" spans="1:10" ht="14.5" x14ac:dyDescent="0.35">
      <c r="A1263" s="254"/>
      <c r="B1263" s="248"/>
      <c r="C1263" s="248"/>
      <c r="D1263" s="248"/>
      <c r="E1263" s="249"/>
      <c r="F1263" s="249"/>
      <c r="G1263" s="249"/>
      <c r="H1263" s="249"/>
      <c r="I1263" s="249"/>
      <c r="J1263" s="253"/>
    </row>
    <row r="1264" spans="1:10" ht="14.5" x14ac:dyDescent="0.35">
      <c r="A1264" s="261">
        <v>234</v>
      </c>
      <c r="B1264" s="248" t="s">
        <v>393</v>
      </c>
      <c r="C1264" s="248" t="s">
        <v>326</v>
      </c>
      <c r="D1264" s="248" t="s">
        <v>337</v>
      </c>
      <c r="E1264" s="248" t="s">
        <v>336</v>
      </c>
      <c r="F1264" s="242" t="s">
        <v>433</v>
      </c>
      <c r="G1264" s="256" t="s">
        <v>353</v>
      </c>
      <c r="H1264" s="251" t="s">
        <v>346</v>
      </c>
      <c r="I1264" s="249">
        <v>50558</v>
      </c>
      <c r="J1264" s="253">
        <v>3</v>
      </c>
    </row>
    <row r="1265" spans="1:10" ht="14.5" x14ac:dyDescent="0.35">
      <c r="A1265" s="254"/>
      <c r="B1265" s="248" t="s">
        <v>393</v>
      </c>
      <c r="C1265" s="248" t="s">
        <v>326</v>
      </c>
      <c r="D1265" s="248" t="s">
        <v>337</v>
      </c>
      <c r="E1265" s="248" t="s">
        <v>336</v>
      </c>
      <c r="F1265" s="242" t="s">
        <v>435</v>
      </c>
      <c r="G1265" s="256" t="s">
        <v>353</v>
      </c>
      <c r="H1265" s="251" t="s">
        <v>347</v>
      </c>
      <c r="I1265" s="249">
        <v>50558</v>
      </c>
      <c r="J1265" s="253">
        <v>1</v>
      </c>
    </row>
    <row r="1266" spans="1:10" ht="14.5" x14ac:dyDescent="0.35">
      <c r="A1266" s="254"/>
      <c r="B1266" s="248"/>
      <c r="C1266" s="248"/>
      <c r="D1266" s="248"/>
      <c r="E1266" s="249"/>
      <c r="F1266" s="249"/>
      <c r="G1266" s="249"/>
      <c r="H1266" s="249"/>
      <c r="I1266" s="249"/>
      <c r="J1266" s="253"/>
    </row>
    <row r="1267" spans="1:10" ht="14.5" x14ac:dyDescent="0.35">
      <c r="A1267" s="261">
        <v>235</v>
      </c>
      <c r="B1267" s="248" t="s">
        <v>393</v>
      </c>
      <c r="C1267" s="248" t="s">
        <v>326</v>
      </c>
      <c r="D1267" s="248" t="s">
        <v>337</v>
      </c>
      <c r="E1267" s="248" t="s">
        <v>336</v>
      </c>
      <c r="F1267" s="242" t="s">
        <v>433</v>
      </c>
      <c r="G1267" s="256" t="s">
        <v>353</v>
      </c>
      <c r="H1267" s="251" t="s">
        <v>346</v>
      </c>
      <c r="I1267" s="249">
        <v>50854</v>
      </c>
      <c r="J1267" s="253">
        <v>1</v>
      </c>
    </row>
    <row r="1268" spans="1:10" ht="14.5" x14ac:dyDescent="0.35">
      <c r="A1268" s="254"/>
      <c r="B1268" s="248" t="s">
        <v>393</v>
      </c>
      <c r="C1268" s="248" t="s">
        <v>326</v>
      </c>
      <c r="D1268" s="248" t="s">
        <v>337</v>
      </c>
      <c r="E1268" s="248" t="s">
        <v>336</v>
      </c>
      <c r="F1268" s="242" t="s">
        <v>435</v>
      </c>
      <c r="G1268" s="256" t="s">
        <v>353</v>
      </c>
      <c r="H1268" s="251" t="s">
        <v>347</v>
      </c>
      <c r="I1268" s="249">
        <v>50854</v>
      </c>
      <c r="J1268" s="253">
        <v>0</v>
      </c>
    </row>
    <row r="1269" spans="1:10" ht="14.5" x14ac:dyDescent="0.35">
      <c r="A1269" s="254"/>
      <c r="B1269" s="248"/>
      <c r="C1269" s="248"/>
      <c r="D1269" s="248"/>
      <c r="E1269" s="249"/>
      <c r="F1269" s="249"/>
      <c r="G1269" s="249"/>
      <c r="H1269" s="249"/>
      <c r="I1269" s="249"/>
      <c r="J1269" s="253"/>
    </row>
    <row r="1270" spans="1:10" ht="14.5" x14ac:dyDescent="0.35">
      <c r="A1270" s="261">
        <v>236</v>
      </c>
      <c r="B1270" s="248" t="s">
        <v>393</v>
      </c>
      <c r="C1270" s="248" t="s">
        <v>326</v>
      </c>
      <c r="D1270" s="248" t="s">
        <v>337</v>
      </c>
      <c r="E1270" s="248" t="s">
        <v>336</v>
      </c>
      <c r="F1270" s="242" t="s">
        <v>433</v>
      </c>
      <c r="G1270" s="256" t="s">
        <v>353</v>
      </c>
      <c r="H1270" s="251" t="s">
        <v>346</v>
      </c>
      <c r="I1270" s="249">
        <v>50912</v>
      </c>
      <c r="J1270" s="253">
        <v>1</v>
      </c>
    </row>
    <row r="1271" spans="1:10" ht="14.5" x14ac:dyDescent="0.35">
      <c r="A1271" s="254"/>
      <c r="B1271" s="248" t="s">
        <v>393</v>
      </c>
      <c r="C1271" s="248" t="s">
        <v>326</v>
      </c>
      <c r="D1271" s="248" t="s">
        <v>337</v>
      </c>
      <c r="E1271" s="248" t="s">
        <v>336</v>
      </c>
      <c r="F1271" s="242" t="s">
        <v>435</v>
      </c>
      <c r="G1271" s="256" t="s">
        <v>353</v>
      </c>
      <c r="H1271" s="251" t="s">
        <v>347</v>
      </c>
      <c r="I1271" s="249">
        <v>50912</v>
      </c>
      <c r="J1271" s="253">
        <v>2</v>
      </c>
    </row>
    <row r="1272" spans="1:10" ht="14.5" x14ac:dyDescent="0.35">
      <c r="A1272" s="254"/>
      <c r="B1272" s="248"/>
      <c r="C1272" s="248"/>
      <c r="D1272" s="248"/>
      <c r="E1272" s="249"/>
      <c r="F1272" s="249"/>
      <c r="G1272" s="249"/>
      <c r="H1272" s="249"/>
      <c r="I1272" s="249"/>
      <c r="J1272" s="253"/>
    </row>
    <row r="1273" spans="1:10" ht="14.5" x14ac:dyDescent="0.35">
      <c r="A1273" s="261">
        <v>237</v>
      </c>
      <c r="B1273" s="248" t="s">
        <v>393</v>
      </c>
      <c r="C1273" s="248" t="s">
        <v>326</v>
      </c>
      <c r="D1273" s="248" t="s">
        <v>337</v>
      </c>
      <c r="E1273" s="248" t="s">
        <v>336</v>
      </c>
      <c r="F1273" s="242" t="s">
        <v>433</v>
      </c>
      <c r="G1273" s="256" t="s">
        <v>353</v>
      </c>
      <c r="H1273" s="251" t="s">
        <v>346</v>
      </c>
      <c r="I1273" s="249">
        <v>501432</v>
      </c>
      <c r="J1273" s="253">
        <v>3</v>
      </c>
    </row>
    <row r="1274" spans="1:10" ht="14.5" x14ac:dyDescent="0.35">
      <c r="A1274" s="254"/>
      <c r="B1274" s="248" t="s">
        <v>393</v>
      </c>
      <c r="C1274" s="248" t="s">
        <v>326</v>
      </c>
      <c r="D1274" s="248" t="s">
        <v>337</v>
      </c>
      <c r="E1274" s="248" t="s">
        <v>336</v>
      </c>
      <c r="F1274" s="242" t="s">
        <v>435</v>
      </c>
      <c r="G1274" s="256" t="s">
        <v>353</v>
      </c>
      <c r="H1274" s="251" t="s">
        <v>347</v>
      </c>
      <c r="I1274" s="249">
        <v>501432</v>
      </c>
      <c r="J1274" s="253">
        <v>2</v>
      </c>
    </row>
    <row r="1275" spans="1:10" ht="14.5" x14ac:dyDescent="0.35">
      <c r="A1275" s="254"/>
      <c r="B1275" s="248"/>
      <c r="C1275" s="248"/>
      <c r="D1275" s="248"/>
      <c r="E1275" s="249"/>
      <c r="F1275" s="249"/>
      <c r="G1275" s="249"/>
      <c r="H1275" s="249"/>
      <c r="I1275" s="249"/>
      <c r="J1275" s="253"/>
    </row>
    <row r="1276" spans="1:10" ht="14.5" x14ac:dyDescent="0.35">
      <c r="A1276" s="261">
        <v>238</v>
      </c>
      <c r="B1276" s="248" t="s">
        <v>393</v>
      </c>
      <c r="C1276" s="248" t="s">
        <v>326</v>
      </c>
      <c r="D1276" s="248" t="s">
        <v>337</v>
      </c>
      <c r="E1276" s="248" t="s">
        <v>336</v>
      </c>
      <c r="F1276" s="242" t="s">
        <v>433</v>
      </c>
      <c r="G1276" s="256" t="s">
        <v>353</v>
      </c>
      <c r="H1276" s="251" t="s">
        <v>346</v>
      </c>
      <c r="I1276" s="249" t="s">
        <v>444</v>
      </c>
      <c r="J1276" s="253">
        <v>14</v>
      </c>
    </row>
    <row r="1277" spans="1:10" ht="14.5" x14ac:dyDescent="0.35">
      <c r="A1277" s="254"/>
      <c r="B1277" s="248" t="s">
        <v>393</v>
      </c>
      <c r="C1277" s="248" t="s">
        <v>326</v>
      </c>
      <c r="D1277" s="248" t="s">
        <v>337</v>
      </c>
      <c r="E1277" s="248" t="s">
        <v>336</v>
      </c>
      <c r="F1277" s="242" t="s">
        <v>435</v>
      </c>
      <c r="G1277" s="256" t="s">
        <v>353</v>
      </c>
      <c r="H1277" s="251" t="s">
        <v>347</v>
      </c>
      <c r="I1277" s="249" t="s">
        <v>444</v>
      </c>
      <c r="J1277" s="253">
        <v>19</v>
      </c>
    </row>
    <row r="1278" spans="1:10" ht="14.5" x14ac:dyDescent="0.35">
      <c r="A1278" s="254"/>
      <c r="B1278" s="248"/>
      <c r="C1278" s="248"/>
      <c r="D1278" s="248"/>
      <c r="E1278" s="249"/>
      <c r="F1278" s="249"/>
      <c r="G1278" s="249"/>
      <c r="H1278" s="249"/>
      <c r="I1278" s="249"/>
      <c r="J1278" s="253"/>
    </row>
    <row r="1279" spans="1:10" ht="14.5" x14ac:dyDescent="0.35">
      <c r="A1279" s="261">
        <v>239</v>
      </c>
      <c r="B1279" s="248" t="s">
        <v>393</v>
      </c>
      <c r="C1279" s="248" t="s">
        <v>326</v>
      </c>
      <c r="D1279" s="248" t="s">
        <v>337</v>
      </c>
      <c r="E1279" s="248" t="s">
        <v>336</v>
      </c>
      <c r="F1279" s="242" t="s">
        <v>433</v>
      </c>
      <c r="G1279" s="256" t="s">
        <v>353</v>
      </c>
      <c r="H1279" s="251" t="s">
        <v>346</v>
      </c>
      <c r="I1279" s="249" t="s">
        <v>447</v>
      </c>
      <c r="J1279" s="253">
        <v>13</v>
      </c>
    </row>
    <row r="1280" spans="1:10" ht="14.5" x14ac:dyDescent="0.35">
      <c r="A1280" s="254"/>
      <c r="B1280" s="248" t="s">
        <v>393</v>
      </c>
      <c r="C1280" s="248" t="s">
        <v>326</v>
      </c>
      <c r="D1280" s="248" t="s">
        <v>337</v>
      </c>
      <c r="E1280" s="248" t="s">
        <v>336</v>
      </c>
      <c r="F1280" s="242" t="s">
        <v>435</v>
      </c>
      <c r="G1280" s="256" t="s">
        <v>353</v>
      </c>
      <c r="H1280" s="251" t="s">
        <v>347</v>
      </c>
      <c r="I1280" s="249" t="s">
        <v>447</v>
      </c>
      <c r="J1280" s="253">
        <v>7</v>
      </c>
    </row>
    <row r="1281" spans="1:10" ht="14.5" x14ac:dyDescent="0.35">
      <c r="A1281" s="254"/>
      <c r="B1281" s="248"/>
      <c r="C1281" s="248"/>
      <c r="D1281" s="248"/>
      <c r="E1281" s="249"/>
      <c r="F1281" s="249"/>
      <c r="G1281" s="249"/>
      <c r="H1281" s="249"/>
      <c r="I1281" s="249"/>
      <c r="J1281" s="253"/>
    </row>
    <row r="1282" spans="1:10" ht="14.5" x14ac:dyDescent="0.35">
      <c r="A1282" s="261">
        <v>240</v>
      </c>
      <c r="B1282" s="248" t="s">
        <v>393</v>
      </c>
      <c r="C1282" s="248" t="s">
        <v>326</v>
      </c>
      <c r="D1282" s="248" t="s">
        <v>337</v>
      </c>
      <c r="E1282" s="248" t="s">
        <v>338</v>
      </c>
      <c r="F1282" s="242" t="s">
        <v>433</v>
      </c>
      <c r="G1282" s="256" t="s">
        <v>353</v>
      </c>
      <c r="H1282" s="251" t="s">
        <v>346</v>
      </c>
      <c r="I1282" s="249">
        <v>60133</v>
      </c>
      <c r="J1282" s="253">
        <v>7</v>
      </c>
    </row>
    <row r="1283" spans="1:10" ht="14.5" x14ac:dyDescent="0.35">
      <c r="A1283" s="254"/>
      <c r="B1283" s="248" t="s">
        <v>393</v>
      </c>
      <c r="C1283" s="248" t="s">
        <v>326</v>
      </c>
      <c r="D1283" s="248" t="s">
        <v>337</v>
      </c>
      <c r="E1283" s="248" t="s">
        <v>338</v>
      </c>
      <c r="F1283" s="242" t="s">
        <v>435</v>
      </c>
      <c r="G1283" s="256" t="s">
        <v>353</v>
      </c>
      <c r="H1283" s="251" t="s">
        <v>347</v>
      </c>
      <c r="I1283" s="249">
        <v>60133</v>
      </c>
      <c r="J1283" s="253">
        <v>13</v>
      </c>
    </row>
    <row r="1284" spans="1:10" ht="14.5" x14ac:dyDescent="0.35">
      <c r="A1284" s="254"/>
      <c r="B1284" s="248"/>
      <c r="C1284" s="248"/>
      <c r="D1284" s="248"/>
      <c r="E1284" s="249"/>
      <c r="F1284" s="249"/>
      <c r="G1284" s="249"/>
      <c r="H1284" s="249"/>
      <c r="I1284" s="249"/>
      <c r="J1284" s="253"/>
    </row>
    <row r="1285" spans="1:10" ht="14.5" x14ac:dyDescent="0.35">
      <c r="A1285" s="261">
        <v>241</v>
      </c>
      <c r="B1285" s="248" t="s">
        <v>393</v>
      </c>
      <c r="C1285" s="248" t="s">
        <v>326</v>
      </c>
      <c r="D1285" s="248" t="s">
        <v>337</v>
      </c>
      <c r="E1285" s="248" t="s">
        <v>338</v>
      </c>
      <c r="F1285" s="242" t="s">
        <v>433</v>
      </c>
      <c r="G1285" s="256" t="s">
        <v>353</v>
      </c>
      <c r="H1285" s="251" t="s">
        <v>346</v>
      </c>
      <c r="I1285" s="249">
        <v>601331</v>
      </c>
      <c r="J1285" s="253">
        <v>6</v>
      </c>
    </row>
    <row r="1286" spans="1:10" ht="14.5" x14ac:dyDescent="0.35">
      <c r="A1286" s="254"/>
      <c r="B1286" s="248" t="s">
        <v>393</v>
      </c>
      <c r="C1286" s="248" t="s">
        <v>326</v>
      </c>
      <c r="D1286" s="248" t="s">
        <v>337</v>
      </c>
      <c r="E1286" s="248" t="s">
        <v>338</v>
      </c>
      <c r="F1286" s="242" t="s">
        <v>435</v>
      </c>
      <c r="G1286" s="256" t="s">
        <v>353</v>
      </c>
      <c r="H1286" s="251" t="s">
        <v>347</v>
      </c>
      <c r="I1286" s="249">
        <v>601331</v>
      </c>
      <c r="J1286" s="253">
        <v>6</v>
      </c>
    </row>
    <row r="1287" spans="1:10" ht="14.5" x14ac:dyDescent="0.35">
      <c r="A1287" s="254"/>
      <c r="B1287" s="248"/>
      <c r="C1287" s="248"/>
      <c r="D1287" s="248"/>
      <c r="E1287" s="249"/>
      <c r="F1287" s="249"/>
      <c r="G1287" s="249"/>
      <c r="H1287" s="249"/>
      <c r="I1287" s="249"/>
      <c r="J1287" s="253"/>
    </row>
    <row r="1288" spans="1:10" ht="14.5" x14ac:dyDescent="0.35">
      <c r="A1288" s="261">
        <v>242</v>
      </c>
      <c r="B1288" s="248" t="s">
        <v>393</v>
      </c>
      <c r="C1288" s="248" t="s">
        <v>326</v>
      </c>
      <c r="D1288" s="248" t="s">
        <v>337</v>
      </c>
      <c r="E1288" s="248" t="s">
        <v>338</v>
      </c>
      <c r="F1288" s="242" t="s">
        <v>433</v>
      </c>
      <c r="G1288" s="256" t="s">
        <v>353</v>
      </c>
      <c r="H1288" s="251" t="s">
        <v>346</v>
      </c>
      <c r="I1288" s="249">
        <v>601448</v>
      </c>
      <c r="J1288" s="253">
        <v>3</v>
      </c>
    </row>
    <row r="1289" spans="1:10" ht="14.5" x14ac:dyDescent="0.35">
      <c r="A1289" s="254"/>
      <c r="B1289" s="248" t="s">
        <v>393</v>
      </c>
      <c r="C1289" s="248" t="s">
        <v>326</v>
      </c>
      <c r="D1289" s="248" t="s">
        <v>337</v>
      </c>
      <c r="E1289" s="248" t="s">
        <v>338</v>
      </c>
      <c r="F1289" s="242" t="s">
        <v>435</v>
      </c>
      <c r="G1289" s="256" t="s">
        <v>353</v>
      </c>
      <c r="H1289" s="251" t="s">
        <v>347</v>
      </c>
      <c r="I1289" s="249">
        <v>601448</v>
      </c>
      <c r="J1289" s="253">
        <v>1</v>
      </c>
    </row>
    <row r="1290" spans="1:10" ht="14.5" x14ac:dyDescent="0.35">
      <c r="A1290" s="254"/>
      <c r="B1290" s="248"/>
      <c r="C1290" s="248"/>
      <c r="D1290" s="248"/>
      <c r="E1290" s="249"/>
      <c r="F1290" s="249"/>
      <c r="G1290" s="249"/>
      <c r="H1290" s="249"/>
      <c r="I1290" s="249"/>
      <c r="J1290" s="253"/>
    </row>
    <row r="1291" spans="1:10" ht="14.5" x14ac:dyDescent="0.35">
      <c r="A1291" s="261">
        <v>243</v>
      </c>
      <c r="B1291" s="248" t="s">
        <v>393</v>
      </c>
      <c r="C1291" s="248" t="s">
        <v>326</v>
      </c>
      <c r="D1291" s="248" t="s">
        <v>337</v>
      </c>
      <c r="E1291" s="248" t="s">
        <v>338</v>
      </c>
      <c r="F1291" s="242" t="s">
        <v>433</v>
      </c>
      <c r="G1291" s="256" t="s">
        <v>353</v>
      </c>
      <c r="H1291" s="251" t="s">
        <v>346</v>
      </c>
      <c r="I1291" s="249">
        <v>6010231</v>
      </c>
      <c r="J1291" s="253">
        <v>8</v>
      </c>
    </row>
    <row r="1292" spans="1:10" ht="14.5" x14ac:dyDescent="0.35">
      <c r="A1292" s="254"/>
      <c r="B1292" s="248" t="s">
        <v>393</v>
      </c>
      <c r="C1292" s="248" t="s">
        <v>326</v>
      </c>
      <c r="D1292" s="248" t="s">
        <v>337</v>
      </c>
      <c r="E1292" s="248" t="s">
        <v>338</v>
      </c>
      <c r="F1292" s="242" t="s">
        <v>435</v>
      </c>
      <c r="G1292" s="256" t="s">
        <v>353</v>
      </c>
      <c r="H1292" s="251" t="s">
        <v>347</v>
      </c>
      <c r="I1292" s="249">
        <v>6010231</v>
      </c>
      <c r="J1292" s="253">
        <v>11</v>
      </c>
    </row>
    <row r="1293" spans="1:10" ht="14.5" x14ac:dyDescent="0.35">
      <c r="A1293" s="254"/>
      <c r="B1293" s="248"/>
      <c r="C1293" s="248"/>
      <c r="D1293" s="248"/>
      <c r="E1293" s="249"/>
      <c r="F1293" s="249"/>
      <c r="G1293" s="249"/>
      <c r="H1293" s="249"/>
      <c r="I1293" s="249"/>
      <c r="J1293" s="253"/>
    </row>
    <row r="1294" spans="1:10" ht="14.5" x14ac:dyDescent="0.35">
      <c r="A1294" s="261">
        <v>244</v>
      </c>
      <c r="B1294" s="248" t="s">
        <v>393</v>
      </c>
      <c r="C1294" s="248" t="s">
        <v>326</v>
      </c>
      <c r="D1294" s="248" t="s">
        <v>337</v>
      </c>
      <c r="E1294" s="248" t="s">
        <v>340</v>
      </c>
      <c r="F1294" s="242" t="s">
        <v>433</v>
      </c>
      <c r="G1294" s="256" t="s">
        <v>353</v>
      </c>
      <c r="H1294" s="251" t="s">
        <v>346</v>
      </c>
      <c r="I1294" s="249">
        <v>14894</v>
      </c>
      <c r="J1294" s="253">
        <v>0</v>
      </c>
    </row>
    <row r="1295" spans="1:10" ht="14.5" x14ac:dyDescent="0.35">
      <c r="A1295" s="254"/>
      <c r="B1295" s="248" t="s">
        <v>393</v>
      </c>
      <c r="C1295" s="248" t="s">
        <v>326</v>
      </c>
      <c r="D1295" s="248" t="s">
        <v>337</v>
      </c>
      <c r="E1295" s="248" t="s">
        <v>340</v>
      </c>
      <c r="F1295" s="242" t="s">
        <v>435</v>
      </c>
      <c r="G1295" s="256" t="s">
        <v>353</v>
      </c>
      <c r="H1295" s="251" t="s">
        <v>347</v>
      </c>
      <c r="I1295" s="249">
        <v>14894</v>
      </c>
      <c r="J1295" s="253">
        <v>0</v>
      </c>
    </row>
    <row r="1296" spans="1:10" ht="14.5" x14ac:dyDescent="0.35">
      <c r="A1296" s="254"/>
      <c r="B1296" s="248"/>
      <c r="C1296" s="248"/>
      <c r="D1296" s="248"/>
      <c r="E1296" s="249"/>
      <c r="F1296" s="249"/>
      <c r="G1296" s="249"/>
      <c r="H1296" s="249"/>
      <c r="I1296" s="249"/>
      <c r="J1296" s="253"/>
    </row>
    <row r="1297" spans="1:10" ht="14.5" x14ac:dyDescent="0.35">
      <c r="A1297" s="261">
        <v>245</v>
      </c>
      <c r="B1297" s="248" t="s">
        <v>393</v>
      </c>
      <c r="C1297" s="248" t="s">
        <v>326</v>
      </c>
      <c r="D1297" s="248" t="s">
        <v>337</v>
      </c>
      <c r="E1297" s="248" t="s">
        <v>340</v>
      </c>
      <c r="F1297" s="242" t="s">
        <v>433</v>
      </c>
      <c r="G1297" s="256" t="s">
        <v>353</v>
      </c>
      <c r="H1297" s="251" t="s">
        <v>346</v>
      </c>
      <c r="I1297" s="249" t="s">
        <v>30</v>
      </c>
      <c r="J1297" s="253">
        <v>19</v>
      </c>
    </row>
    <row r="1298" spans="1:10" ht="14.5" x14ac:dyDescent="0.35">
      <c r="A1298" s="254"/>
      <c r="B1298" s="248" t="s">
        <v>393</v>
      </c>
      <c r="C1298" s="248" t="s">
        <v>326</v>
      </c>
      <c r="D1298" s="248" t="s">
        <v>337</v>
      </c>
      <c r="E1298" s="248" t="s">
        <v>340</v>
      </c>
      <c r="F1298" s="242" t="s">
        <v>435</v>
      </c>
      <c r="G1298" s="256" t="s">
        <v>353</v>
      </c>
      <c r="H1298" s="251" t="s">
        <v>347</v>
      </c>
      <c r="I1298" s="249" t="s">
        <v>30</v>
      </c>
      <c r="J1298" s="253">
        <v>16</v>
      </c>
    </row>
    <row r="1299" spans="1:10" ht="14.5" x14ac:dyDescent="0.35">
      <c r="A1299" s="254"/>
      <c r="B1299" s="248"/>
      <c r="C1299" s="248"/>
      <c r="D1299" s="248"/>
      <c r="E1299" s="249"/>
      <c r="F1299" s="249"/>
      <c r="G1299" s="249"/>
      <c r="H1299" s="249"/>
      <c r="I1299" s="249"/>
      <c r="J1299" s="253"/>
    </row>
    <row r="1300" spans="1:10" ht="14.5" x14ac:dyDescent="0.35">
      <c r="A1300" s="261">
        <v>246</v>
      </c>
      <c r="B1300" s="248" t="s">
        <v>393</v>
      </c>
      <c r="C1300" s="248" t="s">
        <v>326</v>
      </c>
      <c r="D1300" s="248" t="s">
        <v>337</v>
      </c>
      <c r="E1300" s="248" t="s">
        <v>340</v>
      </c>
      <c r="F1300" s="242" t="s">
        <v>433</v>
      </c>
      <c r="G1300" s="256" t="s">
        <v>353</v>
      </c>
      <c r="H1300" s="251" t="s">
        <v>346</v>
      </c>
      <c r="I1300" s="249" t="s">
        <v>36</v>
      </c>
      <c r="J1300" s="253">
        <v>7</v>
      </c>
    </row>
    <row r="1301" spans="1:10" ht="14.5" x14ac:dyDescent="0.35">
      <c r="A1301" s="254"/>
      <c r="B1301" s="248" t="s">
        <v>393</v>
      </c>
      <c r="C1301" s="248" t="s">
        <v>326</v>
      </c>
      <c r="D1301" s="248" t="s">
        <v>337</v>
      </c>
      <c r="E1301" s="248" t="s">
        <v>340</v>
      </c>
      <c r="F1301" s="242" t="s">
        <v>435</v>
      </c>
      <c r="G1301" s="256" t="s">
        <v>353</v>
      </c>
      <c r="H1301" s="251" t="s">
        <v>347</v>
      </c>
      <c r="I1301" s="249" t="s">
        <v>36</v>
      </c>
      <c r="J1301" s="253">
        <v>8</v>
      </c>
    </row>
    <row r="1302" spans="1:10" ht="14.5" x14ac:dyDescent="0.35">
      <c r="A1302" s="254"/>
      <c r="B1302" s="248"/>
      <c r="C1302" s="248"/>
      <c r="D1302" s="248"/>
      <c r="E1302" s="249"/>
      <c r="F1302" s="249"/>
      <c r="G1302" s="249"/>
      <c r="H1302" s="249"/>
      <c r="I1302" s="249"/>
      <c r="J1302" s="253"/>
    </row>
    <row r="1303" spans="1:10" ht="14.5" x14ac:dyDescent="0.35">
      <c r="A1303" s="261">
        <v>247</v>
      </c>
      <c r="B1303" s="248" t="s">
        <v>393</v>
      </c>
      <c r="C1303" s="248" t="s">
        <v>326</v>
      </c>
      <c r="D1303" s="248" t="s">
        <v>337</v>
      </c>
      <c r="E1303" s="248" t="s">
        <v>340</v>
      </c>
      <c r="F1303" s="242" t="s">
        <v>433</v>
      </c>
      <c r="G1303" s="256" t="s">
        <v>353</v>
      </c>
      <c r="H1303" s="251" t="s">
        <v>346</v>
      </c>
      <c r="I1303" s="249" t="s">
        <v>29</v>
      </c>
      <c r="J1303" s="253">
        <v>6</v>
      </c>
    </row>
    <row r="1304" spans="1:10" ht="14.5" x14ac:dyDescent="0.35">
      <c r="A1304" s="254"/>
      <c r="B1304" s="248" t="s">
        <v>393</v>
      </c>
      <c r="C1304" s="248" t="s">
        <v>326</v>
      </c>
      <c r="D1304" s="248" t="s">
        <v>337</v>
      </c>
      <c r="E1304" s="248" t="s">
        <v>340</v>
      </c>
      <c r="F1304" s="242" t="s">
        <v>435</v>
      </c>
      <c r="G1304" s="256" t="s">
        <v>353</v>
      </c>
      <c r="H1304" s="251" t="s">
        <v>347</v>
      </c>
      <c r="I1304" s="249" t="s">
        <v>29</v>
      </c>
      <c r="J1304" s="253">
        <v>7</v>
      </c>
    </row>
    <row r="1305" spans="1:10" ht="14.5" x14ac:dyDescent="0.35">
      <c r="A1305" s="254"/>
      <c r="B1305" s="248"/>
      <c r="C1305" s="248"/>
      <c r="D1305" s="248"/>
      <c r="E1305" s="249"/>
      <c r="F1305" s="249"/>
      <c r="G1305" s="249"/>
      <c r="H1305" s="249"/>
      <c r="I1305" s="249"/>
      <c r="J1305" s="253"/>
    </row>
    <row r="1306" spans="1:10" ht="14.5" x14ac:dyDescent="0.35">
      <c r="A1306" s="261">
        <v>248</v>
      </c>
      <c r="B1306" s="248" t="s">
        <v>393</v>
      </c>
      <c r="C1306" s="248" t="s">
        <v>326</v>
      </c>
      <c r="D1306" s="248" t="s">
        <v>337</v>
      </c>
      <c r="E1306" s="248" t="s">
        <v>341</v>
      </c>
      <c r="F1306" s="242" t="s">
        <v>433</v>
      </c>
      <c r="G1306" s="256" t="s">
        <v>353</v>
      </c>
      <c r="H1306" s="251" t="s">
        <v>346</v>
      </c>
      <c r="I1306" s="249">
        <v>86809</v>
      </c>
      <c r="J1306" s="253">
        <v>0</v>
      </c>
    </row>
    <row r="1307" spans="1:10" ht="14.5" x14ac:dyDescent="0.35">
      <c r="A1307" s="254"/>
      <c r="B1307" s="248" t="s">
        <v>393</v>
      </c>
      <c r="C1307" s="248" t="s">
        <v>326</v>
      </c>
      <c r="D1307" s="248" t="s">
        <v>337</v>
      </c>
      <c r="E1307" s="248" t="s">
        <v>341</v>
      </c>
      <c r="F1307" s="242" t="s">
        <v>435</v>
      </c>
      <c r="G1307" s="256" t="s">
        <v>353</v>
      </c>
      <c r="H1307" s="251" t="s">
        <v>347</v>
      </c>
      <c r="I1307" s="249">
        <v>86809</v>
      </c>
      <c r="J1307" s="253">
        <v>1</v>
      </c>
    </row>
    <row r="1308" spans="1:10" ht="14.5" x14ac:dyDescent="0.35">
      <c r="A1308" s="254"/>
      <c r="B1308" s="248"/>
      <c r="C1308" s="248"/>
      <c r="D1308" s="248"/>
      <c r="E1308" s="249"/>
      <c r="F1308" s="249"/>
      <c r="G1308" s="249"/>
      <c r="H1308" s="249"/>
      <c r="I1308" s="249"/>
      <c r="J1308" s="253"/>
    </row>
    <row r="1309" spans="1:10" ht="14.5" x14ac:dyDescent="0.35">
      <c r="A1309" s="261">
        <v>249</v>
      </c>
      <c r="B1309" s="248" t="s">
        <v>393</v>
      </c>
      <c r="C1309" s="248" t="s">
        <v>326</v>
      </c>
      <c r="D1309" s="248" t="s">
        <v>337</v>
      </c>
      <c r="E1309" s="248" t="s">
        <v>341</v>
      </c>
      <c r="F1309" s="242" t="s">
        <v>433</v>
      </c>
      <c r="G1309" s="256" t="s">
        <v>353</v>
      </c>
      <c r="H1309" s="251" t="s">
        <v>346</v>
      </c>
      <c r="I1309" s="249">
        <v>88327</v>
      </c>
      <c r="J1309" s="253">
        <v>0</v>
      </c>
    </row>
    <row r="1310" spans="1:10" ht="14.5" x14ac:dyDescent="0.35">
      <c r="A1310" s="254"/>
      <c r="B1310" s="248" t="s">
        <v>393</v>
      </c>
      <c r="C1310" s="248" t="s">
        <v>326</v>
      </c>
      <c r="D1310" s="248" t="s">
        <v>337</v>
      </c>
      <c r="E1310" s="248" t="s">
        <v>341</v>
      </c>
      <c r="F1310" s="242" t="s">
        <v>435</v>
      </c>
      <c r="G1310" s="256" t="s">
        <v>353</v>
      </c>
      <c r="H1310" s="251" t="s">
        <v>347</v>
      </c>
      <c r="I1310" s="249">
        <v>88327</v>
      </c>
      <c r="J1310" s="253">
        <v>1</v>
      </c>
    </row>
    <row r="1311" spans="1:10" ht="14.5" x14ac:dyDescent="0.35">
      <c r="A1311" s="254"/>
      <c r="B1311" s="248"/>
      <c r="C1311" s="248"/>
      <c r="D1311" s="248"/>
      <c r="E1311" s="249"/>
      <c r="F1311" s="249"/>
      <c r="G1311" s="249"/>
      <c r="H1311" s="249"/>
      <c r="I1311" s="249"/>
      <c r="J1311" s="253"/>
    </row>
    <row r="1312" spans="1:10" ht="14.5" x14ac:dyDescent="0.35">
      <c r="A1312" s="261">
        <v>250</v>
      </c>
      <c r="B1312" s="248" t="s">
        <v>393</v>
      </c>
      <c r="C1312" s="248" t="s">
        <v>326</v>
      </c>
      <c r="D1312" s="248" t="s">
        <v>337</v>
      </c>
      <c r="E1312" s="248" t="s">
        <v>341</v>
      </c>
      <c r="F1312" s="242" t="s">
        <v>433</v>
      </c>
      <c r="G1312" s="256" t="s">
        <v>353</v>
      </c>
      <c r="H1312" s="251" t="s">
        <v>346</v>
      </c>
      <c r="I1312" s="249" t="s">
        <v>169</v>
      </c>
      <c r="J1312" s="253">
        <v>2</v>
      </c>
    </row>
    <row r="1313" spans="1:10" ht="14.5" x14ac:dyDescent="0.35">
      <c r="A1313" s="254"/>
      <c r="B1313" s="248" t="s">
        <v>393</v>
      </c>
      <c r="C1313" s="248" t="s">
        <v>326</v>
      </c>
      <c r="D1313" s="248" t="s">
        <v>337</v>
      </c>
      <c r="E1313" s="248" t="s">
        <v>341</v>
      </c>
      <c r="F1313" s="242" t="s">
        <v>435</v>
      </c>
      <c r="G1313" s="256" t="s">
        <v>353</v>
      </c>
      <c r="H1313" s="251" t="s">
        <v>347</v>
      </c>
      <c r="I1313" s="249" t="s">
        <v>169</v>
      </c>
      <c r="J1313" s="253">
        <v>4</v>
      </c>
    </row>
    <row r="1314" spans="1:10" ht="14.5" x14ac:dyDescent="0.35">
      <c r="A1314" s="254"/>
      <c r="B1314" s="248"/>
      <c r="C1314" s="248"/>
      <c r="D1314" s="248"/>
      <c r="E1314" s="249"/>
      <c r="F1314" s="249"/>
      <c r="G1314" s="249"/>
      <c r="H1314" s="249"/>
      <c r="I1314" s="249"/>
      <c r="J1314" s="253"/>
    </row>
    <row r="1315" spans="1:10" ht="14.5" x14ac:dyDescent="0.35">
      <c r="A1315" s="261">
        <v>251</v>
      </c>
      <c r="B1315" s="248" t="s">
        <v>393</v>
      </c>
      <c r="C1315" s="248" t="s">
        <v>326</v>
      </c>
      <c r="D1315" s="248" t="s">
        <v>337</v>
      </c>
      <c r="E1315" s="248" t="s">
        <v>342</v>
      </c>
      <c r="F1315" s="242" t="s">
        <v>433</v>
      </c>
      <c r="G1315" s="256" t="s">
        <v>353</v>
      </c>
      <c r="H1315" s="251" t="s">
        <v>346</v>
      </c>
      <c r="I1315" s="249">
        <v>64028</v>
      </c>
      <c r="J1315" s="253">
        <v>3</v>
      </c>
    </row>
    <row r="1316" spans="1:10" ht="14.5" x14ac:dyDescent="0.35">
      <c r="A1316" s="254"/>
      <c r="B1316" s="248" t="s">
        <v>393</v>
      </c>
      <c r="C1316" s="248" t="s">
        <v>326</v>
      </c>
      <c r="D1316" s="248" t="s">
        <v>337</v>
      </c>
      <c r="E1316" s="248" t="s">
        <v>342</v>
      </c>
      <c r="F1316" s="242" t="s">
        <v>435</v>
      </c>
      <c r="G1316" s="256" t="s">
        <v>353</v>
      </c>
      <c r="H1316" s="251" t="s">
        <v>347</v>
      </c>
      <c r="I1316" s="249">
        <v>64028</v>
      </c>
      <c r="J1316" s="253">
        <v>3</v>
      </c>
    </row>
    <row r="1317" spans="1:10" ht="14.5" x14ac:dyDescent="0.35">
      <c r="A1317" s="254"/>
      <c r="B1317" s="248"/>
      <c r="C1317" s="248"/>
      <c r="D1317" s="248"/>
      <c r="E1317" s="249"/>
      <c r="F1317" s="249"/>
      <c r="G1317" s="249"/>
      <c r="H1317" s="249"/>
      <c r="I1317" s="249"/>
      <c r="J1317" s="253"/>
    </row>
    <row r="1318" spans="1:10" ht="14.5" x14ac:dyDescent="0.35">
      <c r="A1318" s="261">
        <v>252</v>
      </c>
      <c r="B1318" s="248" t="s">
        <v>393</v>
      </c>
      <c r="C1318" s="248" t="s">
        <v>326</v>
      </c>
      <c r="D1318" s="248" t="s">
        <v>337</v>
      </c>
      <c r="E1318" s="248" t="s">
        <v>342</v>
      </c>
      <c r="F1318" s="242" t="s">
        <v>433</v>
      </c>
      <c r="G1318" s="256" t="s">
        <v>353</v>
      </c>
      <c r="H1318" s="251" t="s">
        <v>346</v>
      </c>
      <c r="I1318" s="249">
        <v>64048</v>
      </c>
      <c r="J1318" s="253">
        <v>2</v>
      </c>
    </row>
    <row r="1319" spans="1:10" ht="14.5" x14ac:dyDescent="0.35">
      <c r="A1319" s="254"/>
      <c r="B1319" s="248" t="s">
        <v>393</v>
      </c>
      <c r="C1319" s="248" t="s">
        <v>326</v>
      </c>
      <c r="D1319" s="248" t="s">
        <v>337</v>
      </c>
      <c r="E1319" s="248" t="s">
        <v>342</v>
      </c>
      <c r="F1319" s="242" t="s">
        <v>435</v>
      </c>
      <c r="G1319" s="256" t="s">
        <v>353</v>
      </c>
      <c r="H1319" s="251" t="s">
        <v>347</v>
      </c>
      <c r="I1319" s="249">
        <v>64048</v>
      </c>
      <c r="J1319" s="253">
        <v>2</v>
      </c>
    </row>
    <row r="1320" spans="1:10" ht="14.5" x14ac:dyDescent="0.35">
      <c r="A1320" s="254"/>
      <c r="B1320" s="248"/>
      <c r="C1320" s="248"/>
      <c r="D1320" s="248"/>
      <c r="E1320" s="249"/>
      <c r="F1320" s="249"/>
      <c r="G1320" s="249"/>
      <c r="H1320" s="249"/>
      <c r="I1320" s="249"/>
      <c r="J1320" s="253"/>
    </row>
    <row r="1321" spans="1:10" ht="14.5" x14ac:dyDescent="0.35">
      <c r="A1321" s="261">
        <v>253</v>
      </c>
      <c r="B1321" s="248" t="s">
        <v>393</v>
      </c>
      <c r="C1321" s="248" t="s">
        <v>326</v>
      </c>
      <c r="D1321" s="248" t="s">
        <v>337</v>
      </c>
      <c r="E1321" s="248" t="s">
        <v>342</v>
      </c>
      <c r="F1321" s="242" t="s">
        <v>433</v>
      </c>
      <c r="G1321" s="256" t="s">
        <v>353</v>
      </c>
      <c r="H1321" s="251" t="s">
        <v>346</v>
      </c>
      <c r="I1321" s="249">
        <v>64115</v>
      </c>
      <c r="J1321" s="253">
        <v>1</v>
      </c>
    </row>
    <row r="1322" spans="1:10" ht="14.5" x14ac:dyDescent="0.35">
      <c r="A1322" s="254"/>
      <c r="B1322" s="248" t="s">
        <v>393</v>
      </c>
      <c r="C1322" s="248" t="s">
        <v>326</v>
      </c>
      <c r="D1322" s="248" t="s">
        <v>337</v>
      </c>
      <c r="E1322" s="248" t="s">
        <v>342</v>
      </c>
      <c r="F1322" s="242" t="s">
        <v>435</v>
      </c>
      <c r="G1322" s="256" t="s">
        <v>353</v>
      </c>
      <c r="H1322" s="251" t="s">
        <v>347</v>
      </c>
      <c r="I1322" s="249">
        <v>64115</v>
      </c>
      <c r="J1322" s="253">
        <v>1</v>
      </c>
    </row>
    <row r="1323" spans="1:10" ht="14.5" x14ac:dyDescent="0.35">
      <c r="A1323" s="254"/>
      <c r="B1323" s="248"/>
      <c r="C1323" s="248"/>
      <c r="D1323" s="248"/>
      <c r="E1323" s="249"/>
      <c r="F1323" s="249"/>
      <c r="G1323" s="249"/>
      <c r="H1323" s="249"/>
      <c r="I1323" s="249"/>
      <c r="J1323" s="253"/>
    </row>
    <row r="1324" spans="1:10" ht="14.5" x14ac:dyDescent="0.35">
      <c r="A1324" s="261">
        <v>254</v>
      </c>
      <c r="B1324" s="248" t="s">
        <v>393</v>
      </c>
      <c r="C1324" s="248" t="s">
        <v>326</v>
      </c>
      <c r="D1324" s="248" t="s">
        <v>337</v>
      </c>
      <c r="E1324" s="248" t="s">
        <v>342</v>
      </c>
      <c r="F1324" s="242" t="s">
        <v>433</v>
      </c>
      <c r="G1324" s="256" t="s">
        <v>353</v>
      </c>
      <c r="H1324" s="251" t="s">
        <v>346</v>
      </c>
      <c r="I1324" s="249">
        <v>64346</v>
      </c>
      <c r="J1324" s="253">
        <v>1</v>
      </c>
    </row>
    <row r="1325" spans="1:10" ht="14.5" x14ac:dyDescent="0.35">
      <c r="A1325" s="254"/>
      <c r="B1325" s="248" t="s">
        <v>393</v>
      </c>
      <c r="C1325" s="248" t="s">
        <v>326</v>
      </c>
      <c r="D1325" s="248" t="s">
        <v>337</v>
      </c>
      <c r="E1325" s="248" t="s">
        <v>342</v>
      </c>
      <c r="F1325" s="242" t="s">
        <v>435</v>
      </c>
      <c r="G1325" s="256" t="s">
        <v>353</v>
      </c>
      <c r="H1325" s="251" t="s">
        <v>347</v>
      </c>
      <c r="I1325" s="249">
        <v>64346</v>
      </c>
      <c r="J1325" s="253">
        <v>1</v>
      </c>
    </row>
    <row r="1326" spans="1:10" ht="14.5" x14ac:dyDescent="0.35">
      <c r="A1326" s="254"/>
      <c r="B1326" s="248"/>
      <c r="C1326" s="248"/>
      <c r="D1326" s="248"/>
      <c r="E1326" s="249"/>
      <c r="F1326" s="249"/>
      <c r="G1326" s="249"/>
      <c r="H1326" s="249"/>
      <c r="I1326" s="249"/>
      <c r="J1326" s="253"/>
    </row>
    <row r="1327" spans="1:10" ht="14.5" x14ac:dyDescent="0.35">
      <c r="A1327" s="261">
        <v>255</v>
      </c>
      <c r="B1327" s="248" t="s">
        <v>393</v>
      </c>
      <c r="C1327" s="248" t="s">
        <v>326</v>
      </c>
      <c r="D1327" s="248" t="s">
        <v>337</v>
      </c>
      <c r="E1327" s="248" t="s">
        <v>342</v>
      </c>
      <c r="F1327" s="242" t="s">
        <v>433</v>
      </c>
      <c r="G1327" s="256" t="s">
        <v>353</v>
      </c>
      <c r="H1327" s="251" t="s">
        <v>346</v>
      </c>
      <c r="I1327" s="249">
        <v>64829</v>
      </c>
      <c r="J1327" s="253">
        <v>1</v>
      </c>
    </row>
    <row r="1328" spans="1:10" ht="14.5" x14ac:dyDescent="0.35">
      <c r="A1328" s="254"/>
      <c r="B1328" s="248" t="s">
        <v>393</v>
      </c>
      <c r="C1328" s="248" t="s">
        <v>326</v>
      </c>
      <c r="D1328" s="248" t="s">
        <v>337</v>
      </c>
      <c r="E1328" s="248" t="s">
        <v>342</v>
      </c>
      <c r="F1328" s="242" t="s">
        <v>435</v>
      </c>
      <c r="G1328" s="256" t="s">
        <v>353</v>
      </c>
      <c r="H1328" s="251" t="s">
        <v>347</v>
      </c>
      <c r="I1328" s="249">
        <v>64829</v>
      </c>
      <c r="J1328" s="253">
        <v>1</v>
      </c>
    </row>
    <row r="1329" spans="1:10" ht="14.5" x14ac:dyDescent="0.35">
      <c r="A1329" s="254"/>
      <c r="B1329" s="248"/>
      <c r="C1329" s="248"/>
      <c r="D1329" s="248"/>
      <c r="E1329" s="249"/>
      <c r="F1329" s="249"/>
      <c r="G1329" s="249"/>
      <c r="H1329" s="249"/>
      <c r="I1329" s="249"/>
      <c r="J1329" s="253"/>
    </row>
    <row r="1330" spans="1:10" ht="14.5" x14ac:dyDescent="0.35">
      <c r="A1330" s="261">
        <v>256</v>
      </c>
      <c r="B1330" s="248" t="s">
        <v>393</v>
      </c>
      <c r="C1330" s="248" t="s">
        <v>326</v>
      </c>
      <c r="D1330" s="248" t="s">
        <v>337</v>
      </c>
      <c r="E1330" s="248" t="s">
        <v>342</v>
      </c>
      <c r="F1330" s="242" t="s">
        <v>433</v>
      </c>
      <c r="G1330" s="256" t="s">
        <v>353</v>
      </c>
      <c r="H1330" s="251" t="s">
        <v>346</v>
      </c>
      <c r="I1330" s="249">
        <v>65199</v>
      </c>
      <c r="J1330" s="253">
        <v>1</v>
      </c>
    </row>
    <row r="1331" spans="1:10" ht="14.5" x14ac:dyDescent="0.35">
      <c r="A1331" s="254"/>
      <c r="B1331" s="248" t="s">
        <v>393</v>
      </c>
      <c r="C1331" s="248" t="s">
        <v>326</v>
      </c>
      <c r="D1331" s="248" t="s">
        <v>337</v>
      </c>
      <c r="E1331" s="248" t="s">
        <v>342</v>
      </c>
      <c r="F1331" s="242" t="s">
        <v>435</v>
      </c>
      <c r="G1331" s="256" t="s">
        <v>353</v>
      </c>
      <c r="H1331" s="251" t="s">
        <v>347</v>
      </c>
      <c r="I1331" s="249">
        <v>65199</v>
      </c>
      <c r="J1331" s="253">
        <v>2</v>
      </c>
    </row>
    <row r="1332" spans="1:10" ht="14.5" x14ac:dyDescent="0.35">
      <c r="A1332" s="254"/>
      <c r="B1332" s="248"/>
      <c r="C1332" s="248"/>
      <c r="D1332" s="248"/>
      <c r="E1332" s="249"/>
      <c r="F1332" s="249"/>
      <c r="G1332" s="249"/>
      <c r="H1332" s="249"/>
      <c r="I1332" s="249"/>
      <c r="J1332" s="253"/>
    </row>
    <row r="1333" spans="1:10" ht="14.5" x14ac:dyDescent="0.35">
      <c r="A1333" s="261">
        <v>257</v>
      </c>
      <c r="B1333" s="248" t="s">
        <v>393</v>
      </c>
      <c r="C1333" s="248" t="s">
        <v>326</v>
      </c>
      <c r="D1333" s="248" t="s">
        <v>337</v>
      </c>
      <c r="E1333" s="248" t="s">
        <v>343</v>
      </c>
      <c r="F1333" s="242" t="s">
        <v>433</v>
      </c>
      <c r="G1333" s="256" t="s">
        <v>353</v>
      </c>
      <c r="H1333" s="251" t="s">
        <v>346</v>
      </c>
      <c r="I1333" s="249">
        <v>36207</v>
      </c>
      <c r="J1333" s="253">
        <v>1</v>
      </c>
    </row>
    <row r="1334" spans="1:10" ht="14.5" x14ac:dyDescent="0.35">
      <c r="A1334" s="254"/>
      <c r="B1334" s="248" t="s">
        <v>393</v>
      </c>
      <c r="C1334" s="248" t="s">
        <v>326</v>
      </c>
      <c r="D1334" s="248" t="s">
        <v>337</v>
      </c>
      <c r="E1334" s="248" t="s">
        <v>343</v>
      </c>
      <c r="F1334" s="242" t="s">
        <v>435</v>
      </c>
      <c r="G1334" s="256" t="s">
        <v>353</v>
      </c>
      <c r="H1334" s="251" t="s">
        <v>347</v>
      </c>
      <c r="I1334" s="249">
        <v>36207</v>
      </c>
      <c r="J1334" s="253">
        <v>1</v>
      </c>
    </row>
    <row r="1335" spans="1:10" ht="14.5" x14ac:dyDescent="0.35">
      <c r="A1335" s="254"/>
      <c r="B1335" s="248"/>
      <c r="C1335" s="248"/>
      <c r="D1335" s="248"/>
      <c r="E1335" s="249"/>
      <c r="F1335" s="249"/>
      <c r="G1335" s="249"/>
      <c r="H1335" s="249"/>
      <c r="I1335" s="249"/>
      <c r="J1335" s="253"/>
    </row>
    <row r="1336" spans="1:10" ht="14.5" x14ac:dyDescent="0.35">
      <c r="A1336" s="261">
        <v>258</v>
      </c>
      <c r="B1336" s="248" t="s">
        <v>393</v>
      </c>
      <c r="C1336" s="248" t="s">
        <v>326</v>
      </c>
      <c r="D1336" s="248" t="s">
        <v>337</v>
      </c>
      <c r="E1336" s="248" t="s">
        <v>343</v>
      </c>
      <c r="F1336" s="242" t="s">
        <v>433</v>
      </c>
      <c r="G1336" s="256" t="s">
        <v>353</v>
      </c>
      <c r="H1336" s="251" t="s">
        <v>346</v>
      </c>
      <c r="I1336" s="249" t="s">
        <v>178</v>
      </c>
      <c r="J1336" s="253">
        <v>1</v>
      </c>
    </row>
    <row r="1337" spans="1:10" ht="14.5" x14ac:dyDescent="0.35">
      <c r="A1337" s="254"/>
      <c r="B1337" s="248" t="s">
        <v>393</v>
      </c>
      <c r="C1337" s="248" t="s">
        <v>326</v>
      </c>
      <c r="D1337" s="248" t="s">
        <v>337</v>
      </c>
      <c r="E1337" s="248" t="s">
        <v>343</v>
      </c>
      <c r="F1337" s="242" t="s">
        <v>435</v>
      </c>
      <c r="G1337" s="256" t="s">
        <v>353</v>
      </c>
      <c r="H1337" s="251" t="s">
        <v>347</v>
      </c>
      <c r="I1337" s="249" t="s">
        <v>178</v>
      </c>
      <c r="J1337" s="253">
        <v>1</v>
      </c>
    </row>
    <row r="1338" spans="1:10" ht="14.5" x14ac:dyDescent="0.35">
      <c r="A1338" s="254"/>
      <c r="B1338" s="248"/>
      <c r="C1338" s="248"/>
      <c r="D1338" s="248"/>
      <c r="E1338" s="249"/>
      <c r="F1338" s="249"/>
      <c r="G1338" s="249"/>
      <c r="H1338" s="249"/>
      <c r="I1338" s="249"/>
      <c r="J1338" s="253"/>
    </row>
    <row r="1339" spans="1:10" ht="14.5" x14ac:dyDescent="0.35">
      <c r="A1339" s="261">
        <v>259</v>
      </c>
      <c r="B1339" s="248" t="s">
        <v>393</v>
      </c>
      <c r="C1339" s="248" t="s">
        <v>326</v>
      </c>
      <c r="D1339" s="248" t="s">
        <v>337</v>
      </c>
      <c r="E1339" s="248" t="s">
        <v>343</v>
      </c>
      <c r="F1339" s="242" t="s">
        <v>433</v>
      </c>
      <c r="G1339" s="256" t="s">
        <v>353</v>
      </c>
      <c r="H1339" s="251" t="s">
        <v>346</v>
      </c>
      <c r="I1339" s="249" t="s">
        <v>288</v>
      </c>
      <c r="J1339" s="253">
        <v>3</v>
      </c>
    </row>
    <row r="1340" spans="1:10" ht="14.5" x14ac:dyDescent="0.35">
      <c r="A1340" s="254"/>
      <c r="B1340" s="248" t="s">
        <v>393</v>
      </c>
      <c r="C1340" s="248" t="s">
        <v>326</v>
      </c>
      <c r="D1340" s="248" t="s">
        <v>337</v>
      </c>
      <c r="E1340" s="248" t="s">
        <v>343</v>
      </c>
      <c r="F1340" s="242" t="s">
        <v>435</v>
      </c>
      <c r="G1340" s="256" t="s">
        <v>353</v>
      </c>
      <c r="H1340" s="251" t="s">
        <v>347</v>
      </c>
      <c r="I1340" s="249" t="s">
        <v>288</v>
      </c>
      <c r="J1340" s="253">
        <v>2</v>
      </c>
    </row>
    <row r="1341" spans="1:10" ht="14.5" x14ac:dyDescent="0.35">
      <c r="A1341" s="254"/>
      <c r="B1341" s="248"/>
      <c r="C1341" s="248"/>
      <c r="D1341" s="248"/>
      <c r="E1341" s="249"/>
      <c r="F1341" s="249"/>
      <c r="G1341" s="249"/>
      <c r="H1341" s="249"/>
      <c r="I1341" s="249"/>
      <c r="J1341" s="253"/>
    </row>
    <row r="1342" spans="1:10" ht="14.5" x14ac:dyDescent="0.35">
      <c r="A1342" s="261">
        <v>260</v>
      </c>
      <c r="B1342" s="248" t="s">
        <v>393</v>
      </c>
      <c r="C1342" s="248" t="s">
        <v>326</v>
      </c>
      <c r="D1342" s="248" t="s">
        <v>339</v>
      </c>
      <c r="E1342" s="248" t="s">
        <v>336</v>
      </c>
      <c r="F1342" s="242" t="s">
        <v>420</v>
      </c>
      <c r="G1342" s="256" t="s">
        <v>351</v>
      </c>
      <c r="H1342" s="251" t="s">
        <v>346</v>
      </c>
      <c r="I1342" s="249" t="s">
        <v>208</v>
      </c>
      <c r="J1342" s="253">
        <v>5</v>
      </c>
    </row>
    <row r="1343" spans="1:10" ht="14.5" x14ac:dyDescent="0.35">
      <c r="A1343" s="254"/>
      <c r="B1343" s="248" t="s">
        <v>393</v>
      </c>
      <c r="C1343" s="248" t="s">
        <v>326</v>
      </c>
      <c r="D1343" s="248" t="s">
        <v>339</v>
      </c>
      <c r="E1343" s="248" t="s">
        <v>336</v>
      </c>
      <c r="F1343" s="242" t="s">
        <v>430</v>
      </c>
      <c r="G1343" s="256" t="s">
        <v>351</v>
      </c>
      <c r="H1343" s="251" t="s">
        <v>347</v>
      </c>
      <c r="I1343" s="249" t="s">
        <v>208</v>
      </c>
      <c r="J1343" s="253">
        <v>5</v>
      </c>
    </row>
    <row r="1344" spans="1:10" ht="14.5" x14ac:dyDescent="0.35">
      <c r="A1344" s="254"/>
      <c r="B1344" s="248"/>
      <c r="C1344" s="248"/>
      <c r="D1344" s="248"/>
      <c r="E1344" s="249"/>
      <c r="F1344" s="249"/>
      <c r="G1344" s="249"/>
      <c r="H1344" s="249"/>
      <c r="I1344" s="249"/>
      <c r="J1344" s="253"/>
    </row>
    <row r="1345" spans="1:10" ht="14.5" x14ac:dyDescent="0.35">
      <c r="A1345" s="261">
        <v>261</v>
      </c>
      <c r="B1345" s="248" t="s">
        <v>393</v>
      </c>
      <c r="C1345" s="248" t="s">
        <v>326</v>
      </c>
      <c r="D1345" s="248" t="s">
        <v>339</v>
      </c>
      <c r="E1345" s="248" t="s">
        <v>338</v>
      </c>
      <c r="F1345" s="242" t="s">
        <v>420</v>
      </c>
      <c r="G1345" s="256" t="s">
        <v>351</v>
      </c>
      <c r="H1345" s="251" t="s">
        <v>346</v>
      </c>
      <c r="I1345" s="249">
        <v>60133</v>
      </c>
      <c r="J1345" s="253">
        <v>15</v>
      </c>
    </row>
    <row r="1346" spans="1:10" ht="14.5" x14ac:dyDescent="0.35">
      <c r="A1346" s="254"/>
      <c r="B1346" s="248" t="s">
        <v>393</v>
      </c>
      <c r="C1346" s="248" t="s">
        <v>326</v>
      </c>
      <c r="D1346" s="248" t="s">
        <v>339</v>
      </c>
      <c r="E1346" s="248" t="s">
        <v>338</v>
      </c>
      <c r="F1346" s="242" t="s">
        <v>430</v>
      </c>
      <c r="G1346" s="256" t="s">
        <v>351</v>
      </c>
      <c r="H1346" s="251" t="s">
        <v>347</v>
      </c>
      <c r="I1346" s="249">
        <v>60133</v>
      </c>
      <c r="J1346" s="253">
        <v>15</v>
      </c>
    </row>
    <row r="1347" spans="1:10" ht="14.5" x14ac:dyDescent="0.35">
      <c r="A1347" s="254"/>
      <c r="B1347" s="248"/>
      <c r="C1347" s="248"/>
      <c r="D1347" s="248"/>
      <c r="E1347" s="249"/>
      <c r="F1347" s="249"/>
      <c r="G1347" s="249"/>
      <c r="H1347" s="249"/>
      <c r="I1347" s="249"/>
      <c r="J1347" s="253"/>
    </row>
    <row r="1348" spans="1:10" ht="14.5" x14ac:dyDescent="0.35">
      <c r="A1348" s="261">
        <v>262</v>
      </c>
      <c r="B1348" s="248" t="s">
        <v>393</v>
      </c>
      <c r="C1348" s="248" t="s">
        <v>326</v>
      </c>
      <c r="D1348" s="248" t="s">
        <v>339</v>
      </c>
      <c r="E1348" s="248" t="s">
        <v>338</v>
      </c>
      <c r="F1348" s="242" t="s">
        <v>420</v>
      </c>
      <c r="G1348" s="256" t="s">
        <v>351</v>
      </c>
      <c r="H1348" s="251" t="s">
        <v>346</v>
      </c>
      <c r="I1348" s="249">
        <v>601331</v>
      </c>
      <c r="J1348" s="253">
        <v>8</v>
      </c>
    </row>
    <row r="1349" spans="1:10" ht="14.5" x14ac:dyDescent="0.35">
      <c r="A1349" s="254"/>
      <c r="B1349" s="248" t="s">
        <v>393</v>
      </c>
      <c r="C1349" s="248" t="s">
        <v>326</v>
      </c>
      <c r="D1349" s="248" t="s">
        <v>339</v>
      </c>
      <c r="E1349" s="248" t="s">
        <v>338</v>
      </c>
      <c r="F1349" s="242" t="s">
        <v>430</v>
      </c>
      <c r="G1349" s="256" t="s">
        <v>351</v>
      </c>
      <c r="H1349" s="251" t="s">
        <v>347</v>
      </c>
      <c r="I1349" s="249">
        <v>601331</v>
      </c>
      <c r="J1349" s="253">
        <v>8</v>
      </c>
    </row>
    <row r="1350" spans="1:10" ht="14.5" x14ac:dyDescent="0.35">
      <c r="A1350" s="254"/>
      <c r="B1350" s="248"/>
      <c r="C1350" s="248"/>
      <c r="D1350" s="248"/>
      <c r="E1350" s="249"/>
      <c r="F1350" s="249"/>
      <c r="G1350" s="249"/>
      <c r="H1350" s="249"/>
      <c r="I1350" s="249"/>
      <c r="J1350" s="253"/>
    </row>
    <row r="1351" spans="1:10" ht="14.5" x14ac:dyDescent="0.35">
      <c r="A1351" s="261">
        <v>263</v>
      </c>
      <c r="B1351" s="248" t="s">
        <v>393</v>
      </c>
      <c r="C1351" s="248" t="s">
        <v>326</v>
      </c>
      <c r="D1351" s="248" t="s">
        <v>339</v>
      </c>
      <c r="E1351" s="248" t="s">
        <v>338</v>
      </c>
      <c r="F1351" s="242" t="s">
        <v>420</v>
      </c>
      <c r="G1351" s="256" t="s">
        <v>351</v>
      </c>
      <c r="H1351" s="251" t="s">
        <v>346</v>
      </c>
      <c r="I1351" s="249">
        <v>6010231</v>
      </c>
      <c r="J1351" s="253">
        <v>5</v>
      </c>
    </row>
    <row r="1352" spans="1:10" ht="14.5" x14ac:dyDescent="0.35">
      <c r="A1352" s="254"/>
      <c r="B1352" s="248" t="s">
        <v>393</v>
      </c>
      <c r="C1352" s="248" t="s">
        <v>326</v>
      </c>
      <c r="D1352" s="248" t="s">
        <v>339</v>
      </c>
      <c r="E1352" s="248" t="s">
        <v>338</v>
      </c>
      <c r="F1352" s="242" t="s">
        <v>430</v>
      </c>
      <c r="G1352" s="256" t="s">
        <v>351</v>
      </c>
      <c r="H1352" s="251" t="s">
        <v>347</v>
      </c>
      <c r="I1352" s="249">
        <v>6010231</v>
      </c>
      <c r="J1352" s="253">
        <v>5</v>
      </c>
    </row>
    <row r="1353" spans="1:10" ht="14.5" x14ac:dyDescent="0.35">
      <c r="A1353" s="254"/>
      <c r="B1353" s="248"/>
      <c r="C1353" s="248"/>
      <c r="D1353" s="248"/>
      <c r="E1353" s="249"/>
      <c r="F1353" s="249"/>
      <c r="G1353" s="249"/>
      <c r="H1353" s="249"/>
      <c r="I1353" s="249"/>
      <c r="J1353" s="253"/>
    </row>
    <row r="1354" spans="1:10" ht="14.5" x14ac:dyDescent="0.35">
      <c r="A1354" s="261">
        <v>264</v>
      </c>
      <c r="B1354" s="248" t="s">
        <v>393</v>
      </c>
      <c r="C1354" s="248" t="s">
        <v>326</v>
      </c>
      <c r="D1354" s="248" t="s">
        <v>339</v>
      </c>
      <c r="E1354" s="248" t="s">
        <v>338</v>
      </c>
      <c r="F1354" s="242" t="s">
        <v>420</v>
      </c>
      <c r="G1354" s="256" t="s">
        <v>351</v>
      </c>
      <c r="H1354" s="251" t="s">
        <v>346</v>
      </c>
      <c r="I1354" s="249" t="s">
        <v>65</v>
      </c>
      <c r="J1354" s="253">
        <v>19</v>
      </c>
    </row>
    <row r="1355" spans="1:10" ht="14.5" x14ac:dyDescent="0.35">
      <c r="A1355" s="254"/>
      <c r="B1355" s="248" t="s">
        <v>393</v>
      </c>
      <c r="C1355" s="248" t="s">
        <v>326</v>
      </c>
      <c r="D1355" s="248" t="s">
        <v>339</v>
      </c>
      <c r="E1355" s="248" t="s">
        <v>338</v>
      </c>
      <c r="F1355" s="242" t="s">
        <v>430</v>
      </c>
      <c r="G1355" s="256" t="s">
        <v>351</v>
      </c>
      <c r="H1355" s="251" t="s">
        <v>347</v>
      </c>
      <c r="I1355" s="249" t="s">
        <v>65</v>
      </c>
      <c r="J1355" s="253">
        <v>19</v>
      </c>
    </row>
    <row r="1356" spans="1:10" ht="14.5" x14ac:dyDescent="0.35">
      <c r="A1356" s="254"/>
      <c r="B1356" s="248"/>
      <c r="C1356" s="248"/>
      <c r="D1356" s="248"/>
      <c r="E1356" s="249"/>
      <c r="F1356" s="249"/>
      <c r="G1356" s="249"/>
      <c r="H1356" s="249"/>
      <c r="I1356" s="249"/>
      <c r="J1356" s="253"/>
    </row>
    <row r="1357" spans="1:10" ht="14.5" x14ac:dyDescent="0.35">
      <c r="A1357" s="261">
        <v>265</v>
      </c>
      <c r="B1357" s="248" t="s">
        <v>393</v>
      </c>
      <c r="C1357" s="248" t="s">
        <v>326</v>
      </c>
      <c r="D1357" s="248" t="s">
        <v>339</v>
      </c>
      <c r="E1357" s="248" t="s">
        <v>340</v>
      </c>
      <c r="F1357" s="242" t="s">
        <v>420</v>
      </c>
      <c r="G1357" s="256" t="s">
        <v>351</v>
      </c>
      <c r="H1357" s="251" t="s">
        <v>346</v>
      </c>
      <c r="I1357" s="249" t="s">
        <v>30</v>
      </c>
      <c r="J1357" s="253">
        <v>18</v>
      </c>
    </row>
    <row r="1358" spans="1:10" ht="14.5" x14ac:dyDescent="0.35">
      <c r="A1358" s="254"/>
      <c r="B1358" s="248" t="s">
        <v>393</v>
      </c>
      <c r="C1358" s="248" t="s">
        <v>326</v>
      </c>
      <c r="D1358" s="248" t="s">
        <v>339</v>
      </c>
      <c r="E1358" s="248" t="s">
        <v>340</v>
      </c>
      <c r="F1358" s="242" t="s">
        <v>430</v>
      </c>
      <c r="G1358" s="256" t="s">
        <v>351</v>
      </c>
      <c r="H1358" s="251" t="s">
        <v>347</v>
      </c>
      <c r="I1358" s="249" t="s">
        <v>30</v>
      </c>
      <c r="J1358" s="253">
        <v>18</v>
      </c>
    </row>
    <row r="1359" spans="1:10" ht="14.5" x14ac:dyDescent="0.35">
      <c r="A1359" s="254"/>
      <c r="B1359" s="248"/>
      <c r="C1359" s="248"/>
      <c r="D1359" s="248"/>
      <c r="E1359" s="249"/>
      <c r="F1359" s="249"/>
      <c r="G1359" s="249"/>
      <c r="H1359" s="249"/>
      <c r="I1359" s="249"/>
      <c r="J1359" s="253"/>
    </row>
    <row r="1360" spans="1:10" ht="14.5" x14ac:dyDescent="0.35">
      <c r="A1360" s="261">
        <v>266</v>
      </c>
      <c r="B1360" s="248" t="s">
        <v>393</v>
      </c>
      <c r="C1360" s="248" t="s">
        <v>326</v>
      </c>
      <c r="D1360" s="248" t="s">
        <v>339</v>
      </c>
      <c r="E1360" s="248" t="s">
        <v>341</v>
      </c>
      <c r="F1360" s="242" t="s">
        <v>420</v>
      </c>
      <c r="G1360" s="256" t="s">
        <v>351</v>
      </c>
      <c r="H1360" s="251" t="s">
        <v>346</v>
      </c>
      <c r="I1360" s="249" t="s">
        <v>172</v>
      </c>
      <c r="J1360" s="253">
        <v>2</v>
      </c>
    </row>
    <row r="1361" spans="1:10" ht="14.5" x14ac:dyDescent="0.35">
      <c r="A1361" s="254"/>
      <c r="B1361" s="248" t="s">
        <v>393</v>
      </c>
      <c r="C1361" s="248" t="s">
        <v>326</v>
      </c>
      <c r="D1361" s="248" t="s">
        <v>339</v>
      </c>
      <c r="E1361" s="248" t="s">
        <v>341</v>
      </c>
      <c r="F1361" s="242" t="s">
        <v>430</v>
      </c>
      <c r="G1361" s="256" t="s">
        <v>351</v>
      </c>
      <c r="H1361" s="251" t="s">
        <v>347</v>
      </c>
      <c r="I1361" s="249" t="s">
        <v>172</v>
      </c>
      <c r="J1361" s="253">
        <v>2</v>
      </c>
    </row>
    <row r="1362" spans="1:10" ht="14.5" x14ac:dyDescent="0.35">
      <c r="A1362" s="254"/>
      <c r="B1362" s="248"/>
      <c r="C1362" s="248"/>
      <c r="D1362" s="248"/>
      <c r="E1362" s="249"/>
      <c r="F1362" s="249"/>
      <c r="G1362" s="249"/>
      <c r="H1362" s="249"/>
      <c r="I1362" s="249"/>
      <c r="J1362" s="253"/>
    </row>
    <row r="1363" spans="1:10" ht="14.5" x14ac:dyDescent="0.35">
      <c r="A1363" s="261">
        <v>267</v>
      </c>
      <c r="B1363" s="248" t="s">
        <v>393</v>
      </c>
      <c r="C1363" s="248" t="s">
        <v>326</v>
      </c>
      <c r="D1363" s="248" t="s">
        <v>339</v>
      </c>
      <c r="E1363" s="248" t="s">
        <v>343</v>
      </c>
      <c r="F1363" s="242" t="s">
        <v>420</v>
      </c>
      <c r="G1363" s="256" t="s">
        <v>351</v>
      </c>
      <c r="H1363" s="251" t="s">
        <v>346</v>
      </c>
      <c r="I1363" s="249" t="s">
        <v>107</v>
      </c>
      <c r="J1363" s="253">
        <v>11</v>
      </c>
    </row>
    <row r="1364" spans="1:10" ht="14.5" x14ac:dyDescent="0.35">
      <c r="A1364" s="254"/>
      <c r="B1364" s="248" t="s">
        <v>393</v>
      </c>
      <c r="C1364" s="248" t="s">
        <v>326</v>
      </c>
      <c r="D1364" s="248" t="s">
        <v>339</v>
      </c>
      <c r="E1364" s="248" t="s">
        <v>343</v>
      </c>
      <c r="F1364" s="242" t="s">
        <v>430</v>
      </c>
      <c r="G1364" s="256" t="s">
        <v>351</v>
      </c>
      <c r="H1364" s="251" t="s">
        <v>347</v>
      </c>
      <c r="I1364" s="249" t="s">
        <v>107</v>
      </c>
      <c r="J1364" s="253">
        <v>11</v>
      </c>
    </row>
    <row r="1365" spans="1:10" ht="14.5" x14ac:dyDescent="0.35">
      <c r="A1365" s="254"/>
      <c r="B1365" s="248"/>
      <c r="C1365" s="248"/>
      <c r="D1365" s="248"/>
      <c r="E1365" s="249"/>
      <c r="F1365" s="249"/>
      <c r="G1365" s="249"/>
      <c r="H1365" s="249"/>
      <c r="I1365" s="249"/>
      <c r="J1365" s="253"/>
    </row>
    <row r="1366" spans="1:10" ht="14.5" x14ac:dyDescent="0.35">
      <c r="A1366" s="261">
        <v>268</v>
      </c>
      <c r="B1366" s="248" t="s">
        <v>393</v>
      </c>
      <c r="C1366" s="248" t="s">
        <v>326</v>
      </c>
      <c r="D1366" s="248" t="s">
        <v>339</v>
      </c>
      <c r="E1366" s="248" t="s">
        <v>343</v>
      </c>
      <c r="F1366" s="242" t="s">
        <v>420</v>
      </c>
      <c r="G1366" s="256" t="s">
        <v>351</v>
      </c>
      <c r="H1366" s="251" t="s">
        <v>346</v>
      </c>
      <c r="I1366" s="249" t="s">
        <v>108</v>
      </c>
      <c r="J1366" s="253">
        <v>0</v>
      </c>
    </row>
    <row r="1367" spans="1:10" ht="14.5" x14ac:dyDescent="0.35">
      <c r="A1367" s="254"/>
      <c r="B1367" s="248" t="s">
        <v>393</v>
      </c>
      <c r="C1367" s="248" t="s">
        <v>326</v>
      </c>
      <c r="D1367" s="248" t="s">
        <v>339</v>
      </c>
      <c r="E1367" s="248" t="s">
        <v>343</v>
      </c>
      <c r="F1367" s="242" t="s">
        <v>430</v>
      </c>
      <c r="G1367" s="256" t="s">
        <v>351</v>
      </c>
      <c r="H1367" s="251" t="s">
        <v>347</v>
      </c>
      <c r="I1367" s="249" t="s">
        <v>108</v>
      </c>
      <c r="J1367" s="253">
        <v>0</v>
      </c>
    </row>
    <row r="1368" spans="1:10" ht="14.5" x14ac:dyDescent="0.35">
      <c r="A1368" s="254"/>
      <c r="B1368" s="248"/>
      <c r="C1368" s="248"/>
      <c r="D1368" s="248"/>
      <c r="E1368" s="249"/>
      <c r="F1368" s="249"/>
      <c r="G1368" s="249"/>
      <c r="H1368" s="249"/>
      <c r="I1368" s="249"/>
      <c r="J1368" s="253"/>
    </row>
    <row r="1369" spans="1:10" ht="14.5" x14ac:dyDescent="0.35">
      <c r="A1369" s="261">
        <v>269</v>
      </c>
      <c r="B1369" s="248" t="s">
        <v>393</v>
      </c>
      <c r="C1369" s="248" t="s">
        <v>326</v>
      </c>
      <c r="D1369" s="248" t="s">
        <v>339</v>
      </c>
      <c r="E1369" s="248" t="s">
        <v>343</v>
      </c>
      <c r="F1369" s="242" t="s">
        <v>420</v>
      </c>
      <c r="G1369" s="256" t="s">
        <v>351</v>
      </c>
      <c r="H1369" s="251" t="s">
        <v>346</v>
      </c>
      <c r="I1369" s="249" t="s">
        <v>109</v>
      </c>
      <c r="J1369" s="253">
        <v>6</v>
      </c>
    </row>
    <row r="1370" spans="1:10" ht="14.5" x14ac:dyDescent="0.35">
      <c r="A1370" s="254"/>
      <c r="B1370" s="248" t="s">
        <v>393</v>
      </c>
      <c r="C1370" s="248" t="s">
        <v>326</v>
      </c>
      <c r="D1370" s="248" t="s">
        <v>339</v>
      </c>
      <c r="E1370" s="248" t="s">
        <v>343</v>
      </c>
      <c r="F1370" s="242" t="s">
        <v>430</v>
      </c>
      <c r="G1370" s="256" t="s">
        <v>351</v>
      </c>
      <c r="H1370" s="251" t="s">
        <v>347</v>
      </c>
      <c r="I1370" s="249" t="s">
        <v>109</v>
      </c>
      <c r="J1370" s="253">
        <v>6</v>
      </c>
    </row>
    <row r="1371" spans="1:10" ht="14.5" x14ac:dyDescent="0.35">
      <c r="A1371" s="254"/>
      <c r="B1371" s="248"/>
      <c r="C1371" s="248"/>
      <c r="D1371" s="248"/>
      <c r="E1371" s="249"/>
      <c r="F1371" s="249"/>
      <c r="G1371" s="249"/>
      <c r="H1371" s="249"/>
      <c r="I1371" s="249"/>
      <c r="J1371" s="253"/>
    </row>
    <row r="1372" spans="1:10" ht="14.5" x14ac:dyDescent="0.35">
      <c r="A1372" s="261">
        <v>270</v>
      </c>
      <c r="B1372" s="248" t="s">
        <v>393</v>
      </c>
      <c r="C1372" s="248" t="s">
        <v>329</v>
      </c>
      <c r="D1372" s="248" t="s">
        <v>337</v>
      </c>
      <c r="E1372" s="248" t="s">
        <v>336</v>
      </c>
      <c r="F1372" s="262"/>
      <c r="G1372" s="256"/>
      <c r="H1372" s="251"/>
      <c r="I1372" s="249">
        <v>50536</v>
      </c>
      <c r="J1372" s="253">
        <v>2</v>
      </c>
    </row>
    <row r="1373" spans="1:10" ht="14.5" x14ac:dyDescent="0.35">
      <c r="A1373" s="254"/>
      <c r="B1373" s="248" t="s">
        <v>393</v>
      </c>
      <c r="C1373" s="248" t="s">
        <v>329</v>
      </c>
      <c r="D1373" s="248" t="s">
        <v>339</v>
      </c>
      <c r="E1373" s="248" t="s">
        <v>336</v>
      </c>
      <c r="F1373" s="262"/>
      <c r="G1373" s="256"/>
      <c r="H1373" s="251"/>
      <c r="I1373" s="249">
        <v>50536</v>
      </c>
      <c r="J1373" s="253">
        <v>0</v>
      </c>
    </row>
    <row r="1374" spans="1:10" ht="14.5" x14ac:dyDescent="0.35">
      <c r="A1374" s="254"/>
      <c r="B1374" s="248"/>
      <c r="C1374" s="248"/>
      <c r="D1374" s="248"/>
      <c r="E1374" s="249"/>
      <c r="F1374" s="249"/>
      <c r="G1374" s="249"/>
      <c r="H1374" s="249"/>
      <c r="I1374" s="249"/>
      <c r="J1374" s="253"/>
    </row>
    <row r="1375" spans="1:10" ht="14.5" x14ac:dyDescent="0.35">
      <c r="A1375" s="261">
        <v>271</v>
      </c>
      <c r="B1375" s="248" t="s">
        <v>393</v>
      </c>
      <c r="C1375" s="248" t="s">
        <v>329</v>
      </c>
      <c r="D1375" s="248" t="s">
        <v>337</v>
      </c>
      <c r="E1375" s="248" t="s">
        <v>336</v>
      </c>
      <c r="F1375" s="262"/>
      <c r="G1375" s="256"/>
      <c r="H1375" s="251"/>
      <c r="I1375" s="249">
        <v>50550</v>
      </c>
      <c r="J1375" s="253">
        <v>2</v>
      </c>
    </row>
    <row r="1376" spans="1:10" ht="14.5" x14ac:dyDescent="0.35">
      <c r="A1376" s="254"/>
      <c r="B1376" s="248" t="s">
        <v>393</v>
      </c>
      <c r="C1376" s="248" t="s">
        <v>329</v>
      </c>
      <c r="D1376" s="248" t="s">
        <v>339</v>
      </c>
      <c r="E1376" s="248" t="s">
        <v>336</v>
      </c>
      <c r="F1376" s="262"/>
      <c r="G1376" s="256"/>
      <c r="H1376" s="251"/>
      <c r="I1376" s="249">
        <v>50550</v>
      </c>
      <c r="J1376" s="253">
        <v>0</v>
      </c>
    </row>
    <row r="1377" spans="1:10" ht="14.5" x14ac:dyDescent="0.35">
      <c r="A1377" s="254"/>
      <c r="B1377" s="248"/>
      <c r="C1377" s="248"/>
      <c r="D1377" s="248"/>
      <c r="E1377" s="249"/>
      <c r="F1377" s="249"/>
      <c r="G1377" s="249"/>
      <c r="H1377" s="249"/>
      <c r="I1377" s="249"/>
      <c r="J1377" s="253"/>
    </row>
    <row r="1378" spans="1:10" ht="14.5" x14ac:dyDescent="0.35">
      <c r="A1378" s="261">
        <v>272</v>
      </c>
      <c r="B1378" s="248" t="s">
        <v>393</v>
      </c>
      <c r="C1378" s="248" t="s">
        <v>329</v>
      </c>
      <c r="D1378" s="248" t="s">
        <v>337</v>
      </c>
      <c r="E1378" s="248" t="s">
        <v>336</v>
      </c>
      <c r="F1378" s="262"/>
      <c r="G1378" s="256"/>
      <c r="H1378" s="251"/>
      <c r="I1378" s="249">
        <v>50558</v>
      </c>
      <c r="J1378" s="253">
        <v>2</v>
      </c>
    </row>
    <row r="1379" spans="1:10" ht="14.5" x14ac:dyDescent="0.35">
      <c r="A1379" s="254"/>
      <c r="B1379" s="248" t="s">
        <v>393</v>
      </c>
      <c r="C1379" s="248" t="s">
        <v>329</v>
      </c>
      <c r="D1379" s="248" t="s">
        <v>339</v>
      </c>
      <c r="E1379" s="248" t="s">
        <v>336</v>
      </c>
      <c r="F1379" s="262"/>
      <c r="G1379" s="256"/>
      <c r="H1379" s="251"/>
      <c r="I1379" s="249">
        <v>50558</v>
      </c>
      <c r="J1379" s="253">
        <v>0</v>
      </c>
    </row>
    <row r="1380" spans="1:10" ht="14.5" x14ac:dyDescent="0.35">
      <c r="A1380" s="254"/>
      <c r="B1380" s="248"/>
      <c r="C1380" s="248"/>
      <c r="D1380" s="248"/>
      <c r="E1380" s="249"/>
      <c r="F1380" s="249"/>
      <c r="G1380" s="249"/>
      <c r="H1380" s="249"/>
      <c r="I1380" s="249"/>
      <c r="J1380" s="253"/>
    </row>
    <row r="1381" spans="1:10" ht="14.5" x14ac:dyDescent="0.35">
      <c r="A1381" s="261">
        <v>273</v>
      </c>
      <c r="B1381" s="248" t="s">
        <v>393</v>
      </c>
      <c r="C1381" s="248" t="s">
        <v>329</v>
      </c>
      <c r="D1381" s="248" t="s">
        <v>337</v>
      </c>
      <c r="E1381" s="248" t="s">
        <v>336</v>
      </c>
      <c r="F1381" s="262"/>
      <c r="G1381" s="256"/>
      <c r="H1381" s="251"/>
      <c r="I1381" s="249">
        <v>50854</v>
      </c>
      <c r="J1381" s="253">
        <v>2</v>
      </c>
    </row>
    <row r="1382" spans="1:10" ht="14.5" x14ac:dyDescent="0.35">
      <c r="A1382" s="254"/>
      <c r="B1382" s="248" t="s">
        <v>393</v>
      </c>
      <c r="C1382" s="248" t="s">
        <v>329</v>
      </c>
      <c r="D1382" s="248" t="s">
        <v>339</v>
      </c>
      <c r="E1382" s="248" t="s">
        <v>336</v>
      </c>
      <c r="F1382" s="262"/>
      <c r="G1382" s="256"/>
      <c r="H1382" s="251"/>
      <c r="I1382" s="249">
        <v>50854</v>
      </c>
      <c r="J1382" s="253">
        <v>0</v>
      </c>
    </row>
    <row r="1383" spans="1:10" ht="14.5" x14ac:dyDescent="0.35">
      <c r="A1383" s="254"/>
      <c r="B1383" s="248"/>
      <c r="C1383" s="248"/>
      <c r="D1383" s="248"/>
      <c r="E1383" s="249"/>
      <c r="F1383" s="249"/>
      <c r="G1383" s="249"/>
      <c r="H1383" s="249"/>
      <c r="I1383" s="249"/>
      <c r="J1383" s="253"/>
    </row>
    <row r="1384" spans="1:10" ht="14.5" x14ac:dyDescent="0.35">
      <c r="A1384" s="261">
        <v>274</v>
      </c>
      <c r="B1384" s="248" t="s">
        <v>393</v>
      </c>
      <c r="C1384" s="248" t="s">
        <v>329</v>
      </c>
      <c r="D1384" s="248" t="s">
        <v>337</v>
      </c>
      <c r="E1384" s="248" t="s">
        <v>336</v>
      </c>
      <c r="F1384" s="262"/>
      <c r="G1384" s="256"/>
      <c r="H1384" s="251"/>
      <c r="I1384" s="249">
        <v>50912</v>
      </c>
      <c r="J1384" s="253">
        <v>2</v>
      </c>
    </row>
    <row r="1385" spans="1:10" ht="14.5" x14ac:dyDescent="0.35">
      <c r="A1385" s="254"/>
      <c r="B1385" s="248" t="s">
        <v>393</v>
      </c>
      <c r="C1385" s="248" t="s">
        <v>329</v>
      </c>
      <c r="D1385" s="248" t="s">
        <v>339</v>
      </c>
      <c r="E1385" s="248" t="s">
        <v>336</v>
      </c>
      <c r="F1385" s="262"/>
      <c r="G1385" s="256"/>
      <c r="H1385" s="251"/>
      <c r="I1385" s="249">
        <v>50912</v>
      </c>
      <c r="J1385" s="253">
        <v>0</v>
      </c>
    </row>
    <row r="1386" spans="1:10" ht="14.5" x14ac:dyDescent="0.35">
      <c r="A1386" s="254"/>
      <c r="B1386" s="248"/>
      <c r="C1386" s="248"/>
      <c r="D1386" s="248"/>
      <c r="E1386" s="249"/>
      <c r="F1386" s="249"/>
      <c r="G1386" s="249"/>
      <c r="H1386" s="249"/>
      <c r="I1386" s="249"/>
      <c r="J1386" s="253"/>
    </row>
    <row r="1387" spans="1:10" ht="14.5" x14ac:dyDescent="0.35">
      <c r="A1387" s="261">
        <v>275</v>
      </c>
      <c r="B1387" s="248" t="s">
        <v>393</v>
      </c>
      <c r="C1387" s="248" t="s">
        <v>329</v>
      </c>
      <c r="D1387" s="248" t="s">
        <v>337</v>
      </c>
      <c r="E1387" s="248" t="s">
        <v>336</v>
      </c>
      <c r="F1387" s="262"/>
      <c r="G1387" s="256"/>
      <c r="H1387" s="251"/>
      <c r="I1387" s="249">
        <v>501432</v>
      </c>
      <c r="J1387" s="253">
        <v>2</v>
      </c>
    </row>
    <row r="1388" spans="1:10" ht="14.5" x14ac:dyDescent="0.35">
      <c r="A1388" s="254"/>
      <c r="B1388" s="248" t="s">
        <v>393</v>
      </c>
      <c r="C1388" s="248" t="s">
        <v>329</v>
      </c>
      <c r="D1388" s="248" t="s">
        <v>339</v>
      </c>
      <c r="E1388" s="248" t="s">
        <v>336</v>
      </c>
      <c r="F1388" s="262"/>
      <c r="G1388" s="256"/>
      <c r="H1388" s="251"/>
      <c r="I1388" s="249">
        <v>501432</v>
      </c>
      <c r="J1388" s="253">
        <v>0</v>
      </c>
    </row>
    <row r="1389" spans="1:10" ht="14.5" x14ac:dyDescent="0.35">
      <c r="A1389" s="254"/>
      <c r="B1389" s="248"/>
      <c r="C1389" s="248"/>
      <c r="D1389" s="248"/>
      <c r="E1389" s="249"/>
      <c r="F1389" s="249"/>
      <c r="G1389" s="249"/>
      <c r="H1389" s="249"/>
      <c r="I1389" s="249"/>
      <c r="J1389" s="253"/>
    </row>
    <row r="1390" spans="1:10" ht="14.5" x14ac:dyDescent="0.35">
      <c r="A1390" s="261">
        <v>276</v>
      </c>
      <c r="B1390" s="248" t="s">
        <v>393</v>
      </c>
      <c r="C1390" s="248" t="s">
        <v>329</v>
      </c>
      <c r="D1390" s="248" t="s">
        <v>337</v>
      </c>
      <c r="E1390" s="248" t="s">
        <v>336</v>
      </c>
      <c r="F1390" s="262"/>
      <c r="G1390" s="256"/>
      <c r="H1390" s="251"/>
      <c r="I1390" s="249" t="s">
        <v>444</v>
      </c>
      <c r="J1390" s="253">
        <v>13</v>
      </c>
    </row>
    <row r="1391" spans="1:10" ht="14.5" x14ac:dyDescent="0.35">
      <c r="A1391" s="254"/>
      <c r="B1391" s="248" t="s">
        <v>393</v>
      </c>
      <c r="C1391" s="248" t="s">
        <v>329</v>
      </c>
      <c r="D1391" s="248" t="s">
        <v>339</v>
      </c>
      <c r="E1391" s="248" t="s">
        <v>336</v>
      </c>
      <c r="F1391" s="262"/>
      <c r="G1391" s="256"/>
      <c r="H1391" s="251"/>
      <c r="I1391" s="249" t="s">
        <v>444</v>
      </c>
      <c r="J1391" s="253">
        <v>0</v>
      </c>
    </row>
    <row r="1392" spans="1:10" ht="14.5" x14ac:dyDescent="0.35">
      <c r="A1392" s="254"/>
      <c r="B1392" s="248"/>
      <c r="C1392" s="248"/>
      <c r="D1392" s="248"/>
      <c r="E1392" s="249"/>
      <c r="F1392" s="249"/>
      <c r="G1392" s="249"/>
      <c r="H1392" s="249"/>
      <c r="I1392" s="249"/>
      <c r="J1392" s="253"/>
    </row>
    <row r="1393" spans="1:10" ht="14.5" x14ac:dyDescent="0.35">
      <c r="A1393" s="261">
        <v>277</v>
      </c>
      <c r="B1393" s="248" t="s">
        <v>393</v>
      </c>
      <c r="C1393" s="248" t="s">
        <v>329</v>
      </c>
      <c r="D1393" s="248" t="s">
        <v>337</v>
      </c>
      <c r="E1393" s="248" t="s">
        <v>336</v>
      </c>
      <c r="F1393" s="262"/>
      <c r="G1393" s="256"/>
      <c r="H1393" s="251"/>
      <c r="I1393" s="249" t="s">
        <v>447</v>
      </c>
      <c r="J1393" s="253">
        <v>9</v>
      </c>
    </row>
    <row r="1394" spans="1:10" ht="14.5" x14ac:dyDescent="0.35">
      <c r="A1394" s="254"/>
      <c r="B1394" s="248" t="s">
        <v>393</v>
      </c>
      <c r="C1394" s="248" t="s">
        <v>329</v>
      </c>
      <c r="D1394" s="248" t="s">
        <v>339</v>
      </c>
      <c r="E1394" s="248" t="s">
        <v>336</v>
      </c>
      <c r="F1394" s="262"/>
      <c r="G1394" s="256"/>
      <c r="H1394" s="251"/>
      <c r="I1394" s="249" t="s">
        <v>447</v>
      </c>
      <c r="J1394" s="253">
        <v>0</v>
      </c>
    </row>
    <row r="1395" spans="1:10" ht="14.5" x14ac:dyDescent="0.35">
      <c r="A1395" s="254"/>
      <c r="B1395" s="248"/>
      <c r="C1395" s="248"/>
      <c r="D1395" s="248"/>
      <c r="E1395" s="249"/>
      <c r="F1395" s="249"/>
      <c r="G1395" s="249"/>
      <c r="H1395" s="249"/>
      <c r="I1395" s="249"/>
      <c r="J1395" s="253"/>
    </row>
    <row r="1396" spans="1:10" ht="14.5" x14ac:dyDescent="0.35">
      <c r="A1396" s="261">
        <v>278</v>
      </c>
      <c r="B1396" s="248" t="s">
        <v>393</v>
      </c>
      <c r="C1396" s="248" t="s">
        <v>329</v>
      </c>
      <c r="D1396" s="248" t="s">
        <v>337</v>
      </c>
      <c r="E1396" s="248" t="s">
        <v>336</v>
      </c>
      <c r="F1396" s="262"/>
      <c r="G1396" s="256"/>
      <c r="H1396" s="251"/>
      <c r="I1396" s="249" t="s">
        <v>208</v>
      </c>
      <c r="J1396" s="253">
        <v>0</v>
      </c>
    </row>
    <row r="1397" spans="1:10" ht="14.5" x14ac:dyDescent="0.35">
      <c r="A1397" s="254"/>
      <c r="B1397" s="248" t="s">
        <v>393</v>
      </c>
      <c r="C1397" s="248" t="s">
        <v>329</v>
      </c>
      <c r="D1397" s="248" t="s">
        <v>339</v>
      </c>
      <c r="E1397" s="248" t="s">
        <v>336</v>
      </c>
      <c r="F1397" s="262"/>
      <c r="G1397" s="256"/>
      <c r="H1397" s="251"/>
      <c r="I1397" s="249" t="s">
        <v>208</v>
      </c>
      <c r="J1397" s="253">
        <v>4</v>
      </c>
    </row>
    <row r="1398" spans="1:10" ht="14.5" x14ac:dyDescent="0.35">
      <c r="A1398" s="254"/>
      <c r="B1398" s="248"/>
      <c r="C1398" s="248"/>
      <c r="D1398" s="248"/>
      <c r="E1398" s="249"/>
      <c r="F1398" s="249"/>
      <c r="G1398" s="249"/>
      <c r="H1398" s="249"/>
      <c r="I1398" s="249"/>
      <c r="J1398" s="253"/>
    </row>
    <row r="1399" spans="1:10" ht="14.5" x14ac:dyDescent="0.35">
      <c r="A1399" s="261">
        <v>279</v>
      </c>
      <c r="B1399" s="248" t="s">
        <v>393</v>
      </c>
      <c r="C1399" s="248" t="s">
        <v>329</v>
      </c>
      <c r="D1399" s="248" t="s">
        <v>337</v>
      </c>
      <c r="E1399" s="248" t="s">
        <v>338</v>
      </c>
      <c r="F1399" s="262"/>
      <c r="G1399" s="256"/>
      <c r="H1399" s="251"/>
      <c r="I1399" s="249">
        <v>60133</v>
      </c>
      <c r="J1399" s="253">
        <v>7</v>
      </c>
    </row>
    <row r="1400" spans="1:10" ht="14.5" x14ac:dyDescent="0.35">
      <c r="A1400" s="254"/>
      <c r="B1400" s="248" t="s">
        <v>393</v>
      </c>
      <c r="C1400" s="248" t="s">
        <v>329</v>
      </c>
      <c r="D1400" s="248" t="s">
        <v>339</v>
      </c>
      <c r="E1400" s="248" t="s">
        <v>338</v>
      </c>
      <c r="F1400" s="262"/>
      <c r="G1400" s="256"/>
      <c r="H1400" s="251"/>
      <c r="I1400" s="249">
        <v>60133</v>
      </c>
      <c r="J1400" s="253">
        <v>5</v>
      </c>
    </row>
    <row r="1401" spans="1:10" ht="14.5" x14ac:dyDescent="0.35">
      <c r="A1401" s="254"/>
      <c r="B1401" s="248"/>
      <c r="C1401" s="248"/>
      <c r="D1401" s="248"/>
      <c r="E1401" s="249"/>
      <c r="F1401" s="249"/>
      <c r="G1401" s="249"/>
      <c r="H1401" s="249"/>
      <c r="I1401" s="249"/>
      <c r="J1401" s="253"/>
    </row>
    <row r="1402" spans="1:10" ht="14.5" x14ac:dyDescent="0.35">
      <c r="A1402" s="261">
        <v>280</v>
      </c>
      <c r="B1402" s="248" t="s">
        <v>393</v>
      </c>
      <c r="C1402" s="248" t="s">
        <v>329</v>
      </c>
      <c r="D1402" s="248" t="s">
        <v>337</v>
      </c>
      <c r="E1402" s="248" t="s">
        <v>338</v>
      </c>
      <c r="F1402" s="262"/>
      <c r="G1402" s="256"/>
      <c r="H1402" s="251"/>
      <c r="I1402" s="249">
        <v>601331</v>
      </c>
      <c r="J1402" s="253">
        <v>5</v>
      </c>
    </row>
    <row r="1403" spans="1:10" ht="14.5" x14ac:dyDescent="0.35">
      <c r="A1403" s="254"/>
      <c r="B1403" s="248" t="s">
        <v>393</v>
      </c>
      <c r="C1403" s="248" t="s">
        <v>329</v>
      </c>
      <c r="D1403" s="248" t="s">
        <v>339</v>
      </c>
      <c r="E1403" s="248" t="s">
        <v>338</v>
      </c>
      <c r="F1403" s="262"/>
      <c r="G1403" s="256"/>
      <c r="H1403" s="251"/>
      <c r="I1403" s="249">
        <v>601331</v>
      </c>
      <c r="J1403" s="253">
        <v>5</v>
      </c>
    </row>
    <row r="1404" spans="1:10" ht="14.5" x14ac:dyDescent="0.35">
      <c r="A1404" s="254"/>
      <c r="B1404" s="248"/>
      <c r="C1404" s="248"/>
      <c r="D1404" s="248"/>
      <c r="E1404" s="249"/>
      <c r="F1404" s="249"/>
      <c r="G1404" s="249"/>
      <c r="H1404" s="249"/>
      <c r="I1404" s="249"/>
      <c r="J1404" s="253"/>
    </row>
    <row r="1405" spans="1:10" ht="14.5" x14ac:dyDescent="0.35">
      <c r="A1405" s="261">
        <v>281</v>
      </c>
      <c r="B1405" s="248" t="s">
        <v>393</v>
      </c>
      <c r="C1405" s="248" t="s">
        <v>329</v>
      </c>
      <c r="D1405" s="248" t="s">
        <v>337</v>
      </c>
      <c r="E1405" s="248" t="s">
        <v>338</v>
      </c>
      <c r="F1405" s="262"/>
      <c r="G1405" s="256"/>
      <c r="H1405" s="251"/>
      <c r="I1405" s="249">
        <v>601448</v>
      </c>
      <c r="J1405" s="253">
        <v>2</v>
      </c>
    </row>
    <row r="1406" spans="1:10" ht="14.5" x14ac:dyDescent="0.35">
      <c r="A1406" s="254"/>
      <c r="B1406" s="248" t="s">
        <v>393</v>
      </c>
      <c r="C1406" s="248" t="s">
        <v>329</v>
      </c>
      <c r="D1406" s="248" t="s">
        <v>339</v>
      </c>
      <c r="E1406" s="248" t="s">
        <v>338</v>
      </c>
      <c r="F1406" s="262"/>
      <c r="G1406" s="256"/>
      <c r="H1406" s="251"/>
      <c r="I1406" s="249">
        <v>601448</v>
      </c>
      <c r="J1406" s="253">
        <v>0</v>
      </c>
    </row>
    <row r="1407" spans="1:10" ht="14.5" x14ac:dyDescent="0.35">
      <c r="A1407" s="254"/>
      <c r="B1407" s="248"/>
      <c r="C1407" s="248"/>
      <c r="D1407" s="248"/>
      <c r="E1407" s="249"/>
      <c r="F1407" s="249"/>
      <c r="G1407" s="249"/>
      <c r="H1407" s="249"/>
      <c r="I1407" s="249"/>
      <c r="J1407" s="253"/>
    </row>
    <row r="1408" spans="1:10" ht="14.5" x14ac:dyDescent="0.35">
      <c r="A1408" s="261">
        <v>282</v>
      </c>
      <c r="B1408" s="248" t="s">
        <v>393</v>
      </c>
      <c r="C1408" s="248" t="s">
        <v>329</v>
      </c>
      <c r="D1408" s="248" t="s">
        <v>337</v>
      </c>
      <c r="E1408" s="248" t="s">
        <v>338</v>
      </c>
      <c r="F1408" s="262"/>
      <c r="G1408" s="256"/>
      <c r="H1408" s="251"/>
      <c r="I1408" s="249">
        <v>6010231</v>
      </c>
      <c r="J1408" s="253">
        <v>7</v>
      </c>
    </row>
    <row r="1409" spans="1:10" ht="14.5" x14ac:dyDescent="0.35">
      <c r="A1409" s="254"/>
      <c r="B1409" s="248" t="s">
        <v>393</v>
      </c>
      <c r="C1409" s="248" t="s">
        <v>329</v>
      </c>
      <c r="D1409" s="248" t="s">
        <v>339</v>
      </c>
      <c r="E1409" s="248" t="s">
        <v>338</v>
      </c>
      <c r="F1409" s="262"/>
      <c r="G1409" s="256"/>
      <c r="H1409" s="251"/>
      <c r="I1409" s="249">
        <v>6010231</v>
      </c>
      <c r="J1409" s="253">
        <v>6</v>
      </c>
    </row>
    <row r="1410" spans="1:10" ht="14.5" x14ac:dyDescent="0.35">
      <c r="A1410" s="254"/>
      <c r="B1410" s="248"/>
      <c r="C1410" s="248"/>
      <c r="D1410" s="248"/>
      <c r="E1410" s="249"/>
      <c r="F1410" s="249"/>
      <c r="G1410" s="249"/>
      <c r="H1410" s="249"/>
      <c r="I1410" s="249"/>
      <c r="J1410" s="253"/>
    </row>
    <row r="1411" spans="1:10" ht="14.5" x14ac:dyDescent="0.35">
      <c r="A1411" s="261">
        <v>283</v>
      </c>
      <c r="B1411" s="248" t="s">
        <v>393</v>
      </c>
      <c r="C1411" s="248" t="s">
        <v>329</v>
      </c>
      <c r="D1411" s="248" t="s">
        <v>337</v>
      </c>
      <c r="E1411" s="248" t="s">
        <v>338</v>
      </c>
      <c r="F1411" s="262"/>
      <c r="G1411" s="256"/>
      <c r="H1411" s="251"/>
      <c r="I1411" s="249" t="s">
        <v>65</v>
      </c>
      <c r="J1411" s="253">
        <v>0</v>
      </c>
    </row>
    <row r="1412" spans="1:10" ht="14.5" x14ac:dyDescent="0.35">
      <c r="A1412" s="254"/>
      <c r="B1412" s="248" t="s">
        <v>393</v>
      </c>
      <c r="C1412" s="248" t="s">
        <v>329</v>
      </c>
      <c r="D1412" s="248" t="s">
        <v>339</v>
      </c>
      <c r="E1412" s="248" t="s">
        <v>338</v>
      </c>
      <c r="F1412" s="262"/>
      <c r="G1412" s="256"/>
      <c r="H1412" s="251"/>
      <c r="I1412" s="249" t="s">
        <v>65</v>
      </c>
      <c r="J1412" s="253">
        <v>7</v>
      </c>
    </row>
    <row r="1413" spans="1:10" ht="14.5" x14ac:dyDescent="0.35">
      <c r="A1413" s="254"/>
      <c r="B1413" s="248"/>
      <c r="C1413" s="248"/>
      <c r="D1413" s="248"/>
      <c r="E1413" s="249"/>
      <c r="F1413" s="249"/>
      <c r="G1413" s="249"/>
      <c r="H1413" s="249"/>
      <c r="I1413" s="249"/>
      <c r="J1413" s="253"/>
    </row>
    <row r="1414" spans="1:10" ht="14.5" x14ac:dyDescent="0.35">
      <c r="A1414" s="261">
        <v>284</v>
      </c>
      <c r="B1414" s="248" t="s">
        <v>393</v>
      </c>
      <c r="C1414" s="248" t="s">
        <v>329</v>
      </c>
      <c r="D1414" s="248" t="s">
        <v>337</v>
      </c>
      <c r="E1414" s="248" t="s">
        <v>340</v>
      </c>
      <c r="F1414" s="262"/>
      <c r="G1414" s="256"/>
      <c r="H1414" s="251"/>
      <c r="I1414" s="249">
        <v>14894</v>
      </c>
      <c r="J1414" s="253">
        <v>1</v>
      </c>
    </row>
    <row r="1415" spans="1:10" ht="14.5" x14ac:dyDescent="0.35">
      <c r="A1415" s="254"/>
      <c r="B1415" s="248" t="s">
        <v>393</v>
      </c>
      <c r="C1415" s="248" t="s">
        <v>329</v>
      </c>
      <c r="D1415" s="248" t="s">
        <v>339</v>
      </c>
      <c r="E1415" s="248" t="s">
        <v>340</v>
      </c>
      <c r="F1415" s="262"/>
      <c r="G1415" s="256"/>
      <c r="H1415" s="251"/>
      <c r="I1415" s="249">
        <v>14894</v>
      </c>
      <c r="J1415" s="253">
        <v>0</v>
      </c>
    </row>
    <row r="1416" spans="1:10" ht="14.5" x14ac:dyDescent="0.35">
      <c r="A1416" s="254"/>
      <c r="B1416" s="248"/>
      <c r="C1416" s="248"/>
      <c r="D1416" s="248"/>
      <c r="E1416" s="249"/>
      <c r="F1416" s="249"/>
      <c r="G1416" s="249"/>
      <c r="H1416" s="249"/>
      <c r="I1416" s="249"/>
      <c r="J1416" s="253"/>
    </row>
    <row r="1417" spans="1:10" ht="14.5" x14ac:dyDescent="0.35">
      <c r="A1417" s="261">
        <v>285</v>
      </c>
      <c r="B1417" s="248" t="s">
        <v>393</v>
      </c>
      <c r="C1417" s="248" t="s">
        <v>329</v>
      </c>
      <c r="D1417" s="248" t="s">
        <v>337</v>
      </c>
      <c r="E1417" s="248" t="s">
        <v>340</v>
      </c>
      <c r="F1417" s="262"/>
      <c r="G1417" s="256"/>
      <c r="H1417" s="251"/>
      <c r="I1417" s="249" t="s">
        <v>30</v>
      </c>
      <c r="J1417" s="253">
        <v>12</v>
      </c>
    </row>
    <row r="1418" spans="1:10" ht="14.5" x14ac:dyDescent="0.35">
      <c r="A1418" s="254"/>
      <c r="B1418" s="248" t="s">
        <v>393</v>
      </c>
      <c r="C1418" s="248" t="s">
        <v>329</v>
      </c>
      <c r="D1418" s="248" t="s">
        <v>339</v>
      </c>
      <c r="E1418" s="248" t="s">
        <v>340</v>
      </c>
      <c r="F1418" s="262"/>
      <c r="G1418" s="256"/>
      <c r="H1418" s="251"/>
      <c r="I1418" s="249" t="s">
        <v>30</v>
      </c>
      <c r="J1418" s="253">
        <v>13</v>
      </c>
    </row>
    <row r="1419" spans="1:10" ht="14.5" x14ac:dyDescent="0.35">
      <c r="A1419" s="254"/>
      <c r="B1419" s="248"/>
      <c r="C1419" s="248"/>
      <c r="D1419" s="248"/>
      <c r="E1419" s="249"/>
      <c r="F1419" s="249"/>
      <c r="G1419" s="249"/>
      <c r="H1419" s="249"/>
      <c r="I1419" s="249"/>
      <c r="J1419" s="253"/>
    </row>
    <row r="1420" spans="1:10" ht="14.5" x14ac:dyDescent="0.35">
      <c r="A1420" s="261">
        <v>286</v>
      </c>
      <c r="B1420" s="248" t="s">
        <v>393</v>
      </c>
      <c r="C1420" s="248" t="s">
        <v>329</v>
      </c>
      <c r="D1420" s="248" t="s">
        <v>337</v>
      </c>
      <c r="E1420" s="248" t="s">
        <v>340</v>
      </c>
      <c r="F1420" s="262"/>
      <c r="G1420" s="256"/>
      <c r="H1420" s="251"/>
      <c r="I1420" s="249" t="s">
        <v>36</v>
      </c>
      <c r="J1420" s="253">
        <v>5</v>
      </c>
    </row>
    <row r="1421" spans="1:10" ht="14.5" x14ac:dyDescent="0.35">
      <c r="A1421" s="254"/>
      <c r="B1421" s="248" t="s">
        <v>393</v>
      </c>
      <c r="C1421" s="248" t="s">
        <v>329</v>
      </c>
      <c r="D1421" s="248" t="s">
        <v>339</v>
      </c>
      <c r="E1421" s="248" t="s">
        <v>340</v>
      </c>
      <c r="F1421" s="262"/>
      <c r="G1421" s="256"/>
      <c r="H1421" s="251"/>
      <c r="I1421" s="249" t="s">
        <v>36</v>
      </c>
      <c r="J1421" s="253">
        <v>0</v>
      </c>
    </row>
    <row r="1422" spans="1:10" ht="14.5" x14ac:dyDescent="0.35">
      <c r="A1422" s="254"/>
      <c r="B1422" s="248"/>
      <c r="C1422" s="248"/>
      <c r="D1422" s="248"/>
      <c r="E1422" s="249"/>
      <c r="F1422" s="249"/>
      <c r="G1422" s="249"/>
      <c r="H1422" s="249"/>
      <c r="I1422" s="249"/>
      <c r="J1422" s="253"/>
    </row>
    <row r="1423" spans="1:10" ht="14.5" x14ac:dyDescent="0.35">
      <c r="A1423" s="261">
        <v>287</v>
      </c>
      <c r="B1423" s="248" t="s">
        <v>393</v>
      </c>
      <c r="C1423" s="248" t="s">
        <v>329</v>
      </c>
      <c r="D1423" s="248" t="s">
        <v>337</v>
      </c>
      <c r="E1423" s="248" t="s">
        <v>340</v>
      </c>
      <c r="F1423" s="262"/>
      <c r="G1423" s="256"/>
      <c r="H1423" s="251"/>
      <c r="I1423" s="249" t="s">
        <v>29</v>
      </c>
      <c r="J1423" s="253">
        <v>4</v>
      </c>
    </row>
    <row r="1424" spans="1:10" ht="14.5" x14ac:dyDescent="0.35">
      <c r="A1424" s="254"/>
      <c r="B1424" s="248" t="s">
        <v>393</v>
      </c>
      <c r="C1424" s="248" t="s">
        <v>329</v>
      </c>
      <c r="D1424" s="248" t="s">
        <v>339</v>
      </c>
      <c r="E1424" s="248" t="s">
        <v>340</v>
      </c>
      <c r="F1424" s="262"/>
      <c r="G1424" s="256"/>
      <c r="H1424" s="251"/>
      <c r="I1424" s="249" t="s">
        <v>29</v>
      </c>
      <c r="J1424" s="253">
        <v>0</v>
      </c>
    </row>
    <row r="1425" spans="1:10" ht="14.5" x14ac:dyDescent="0.35">
      <c r="A1425" s="254"/>
      <c r="B1425" s="248"/>
      <c r="C1425" s="248"/>
      <c r="D1425" s="248"/>
      <c r="E1425" s="249"/>
      <c r="F1425" s="249"/>
      <c r="G1425" s="249"/>
      <c r="H1425" s="249"/>
      <c r="I1425" s="249"/>
      <c r="J1425" s="253"/>
    </row>
    <row r="1426" spans="1:10" ht="14.5" x14ac:dyDescent="0.35">
      <c r="A1426" s="261">
        <v>288</v>
      </c>
      <c r="B1426" s="248" t="s">
        <v>393</v>
      </c>
      <c r="C1426" s="248" t="s">
        <v>329</v>
      </c>
      <c r="D1426" s="248" t="s">
        <v>337</v>
      </c>
      <c r="E1426" s="248" t="s">
        <v>341</v>
      </c>
      <c r="F1426" s="262"/>
      <c r="G1426" s="256"/>
      <c r="H1426" s="251"/>
      <c r="I1426" s="249">
        <v>86809</v>
      </c>
      <c r="J1426" s="253">
        <v>1</v>
      </c>
    </row>
    <row r="1427" spans="1:10" ht="14.5" x14ac:dyDescent="0.35">
      <c r="A1427" s="254"/>
      <c r="B1427" s="248" t="s">
        <v>393</v>
      </c>
      <c r="C1427" s="248" t="s">
        <v>329</v>
      </c>
      <c r="D1427" s="248" t="s">
        <v>339</v>
      </c>
      <c r="E1427" s="248" t="s">
        <v>341</v>
      </c>
      <c r="F1427" s="262"/>
      <c r="G1427" s="256"/>
      <c r="H1427" s="251"/>
      <c r="I1427" s="249">
        <v>86809</v>
      </c>
      <c r="J1427" s="253">
        <v>0</v>
      </c>
    </row>
    <row r="1428" spans="1:10" ht="14.5" x14ac:dyDescent="0.35">
      <c r="A1428" s="254"/>
      <c r="B1428" s="248"/>
      <c r="C1428" s="248"/>
      <c r="D1428" s="248"/>
      <c r="E1428" s="249"/>
      <c r="F1428" s="249"/>
      <c r="G1428" s="249"/>
      <c r="H1428" s="249"/>
      <c r="I1428" s="249"/>
      <c r="J1428" s="253"/>
    </row>
    <row r="1429" spans="1:10" ht="14.5" x14ac:dyDescent="0.35">
      <c r="A1429" s="261">
        <v>289</v>
      </c>
      <c r="B1429" s="248" t="s">
        <v>393</v>
      </c>
      <c r="C1429" s="248" t="s">
        <v>329</v>
      </c>
      <c r="D1429" s="248" t="s">
        <v>337</v>
      </c>
      <c r="E1429" s="248" t="s">
        <v>341</v>
      </c>
      <c r="F1429" s="262"/>
      <c r="G1429" s="256"/>
      <c r="H1429" s="251"/>
      <c r="I1429" s="249">
        <v>88327</v>
      </c>
      <c r="J1429" s="253">
        <v>2</v>
      </c>
    </row>
    <row r="1430" spans="1:10" ht="14.5" x14ac:dyDescent="0.35">
      <c r="A1430" s="254"/>
      <c r="B1430" s="248" t="s">
        <v>393</v>
      </c>
      <c r="C1430" s="248" t="s">
        <v>329</v>
      </c>
      <c r="D1430" s="248" t="s">
        <v>339</v>
      </c>
      <c r="E1430" s="248" t="s">
        <v>341</v>
      </c>
      <c r="F1430" s="262"/>
      <c r="G1430" s="256"/>
      <c r="H1430" s="251"/>
      <c r="I1430" s="249">
        <v>88327</v>
      </c>
      <c r="J1430" s="253">
        <v>0</v>
      </c>
    </row>
    <row r="1431" spans="1:10" ht="14.5" x14ac:dyDescent="0.35">
      <c r="A1431" s="254"/>
      <c r="B1431" s="248"/>
      <c r="C1431" s="248"/>
      <c r="D1431" s="248"/>
      <c r="E1431" s="249"/>
      <c r="F1431" s="249"/>
      <c r="G1431" s="249"/>
      <c r="H1431" s="249"/>
      <c r="I1431" s="249"/>
      <c r="J1431" s="253"/>
    </row>
    <row r="1432" spans="1:10" ht="14.5" x14ac:dyDescent="0.35">
      <c r="A1432" s="261">
        <v>290</v>
      </c>
      <c r="B1432" s="248" t="s">
        <v>393</v>
      </c>
      <c r="C1432" s="248" t="s">
        <v>329</v>
      </c>
      <c r="D1432" s="248" t="s">
        <v>337</v>
      </c>
      <c r="E1432" s="248" t="s">
        <v>341</v>
      </c>
      <c r="F1432" s="262"/>
      <c r="G1432" s="256"/>
      <c r="H1432" s="251"/>
      <c r="I1432" s="249" t="s">
        <v>169</v>
      </c>
      <c r="J1432" s="253">
        <v>3</v>
      </c>
    </row>
    <row r="1433" spans="1:10" ht="14.5" x14ac:dyDescent="0.35">
      <c r="A1433" s="254"/>
      <c r="B1433" s="248" t="s">
        <v>393</v>
      </c>
      <c r="C1433" s="248" t="s">
        <v>329</v>
      </c>
      <c r="D1433" s="248" t="s">
        <v>339</v>
      </c>
      <c r="E1433" s="248" t="s">
        <v>341</v>
      </c>
      <c r="F1433" s="262"/>
      <c r="G1433" s="256"/>
      <c r="H1433" s="251"/>
      <c r="I1433" s="249" t="s">
        <v>169</v>
      </c>
      <c r="J1433" s="253">
        <v>0</v>
      </c>
    </row>
    <row r="1434" spans="1:10" ht="14.5" x14ac:dyDescent="0.35">
      <c r="A1434" s="254"/>
      <c r="B1434" s="248"/>
      <c r="C1434" s="248"/>
      <c r="D1434" s="248"/>
      <c r="E1434" s="249"/>
      <c r="F1434" s="249"/>
      <c r="G1434" s="249"/>
      <c r="H1434" s="249"/>
      <c r="I1434" s="249"/>
      <c r="J1434" s="253"/>
    </row>
    <row r="1435" spans="1:10" ht="14.5" x14ac:dyDescent="0.35">
      <c r="A1435" s="261">
        <v>291</v>
      </c>
      <c r="B1435" s="248" t="s">
        <v>393</v>
      </c>
      <c r="C1435" s="248" t="s">
        <v>329</v>
      </c>
      <c r="D1435" s="248" t="s">
        <v>337</v>
      </c>
      <c r="E1435" s="248" t="s">
        <v>341</v>
      </c>
      <c r="F1435" s="262"/>
      <c r="G1435" s="256"/>
      <c r="H1435" s="251"/>
      <c r="I1435" s="249" t="s">
        <v>172</v>
      </c>
      <c r="J1435" s="253">
        <v>0</v>
      </c>
    </row>
    <row r="1436" spans="1:10" ht="14.5" x14ac:dyDescent="0.35">
      <c r="A1436" s="254"/>
      <c r="B1436" s="248" t="s">
        <v>393</v>
      </c>
      <c r="C1436" s="248" t="s">
        <v>329</v>
      </c>
      <c r="D1436" s="248" t="s">
        <v>339</v>
      </c>
      <c r="E1436" s="248" t="s">
        <v>341</v>
      </c>
      <c r="F1436" s="262"/>
      <c r="G1436" s="256"/>
      <c r="H1436" s="251"/>
      <c r="I1436" s="249" t="s">
        <v>172</v>
      </c>
      <c r="J1436" s="253">
        <v>4</v>
      </c>
    </row>
    <row r="1437" spans="1:10" ht="14.5" x14ac:dyDescent="0.35">
      <c r="A1437" s="254"/>
      <c r="B1437" s="248"/>
      <c r="C1437" s="248"/>
      <c r="D1437" s="248"/>
      <c r="E1437" s="249"/>
      <c r="F1437" s="249"/>
      <c r="G1437" s="249"/>
      <c r="H1437" s="249"/>
      <c r="I1437" s="249"/>
      <c r="J1437" s="253"/>
    </row>
    <row r="1438" spans="1:10" ht="14.5" x14ac:dyDescent="0.35">
      <c r="A1438" s="261">
        <v>292</v>
      </c>
      <c r="B1438" s="248" t="s">
        <v>393</v>
      </c>
      <c r="C1438" s="248" t="s">
        <v>329</v>
      </c>
      <c r="D1438" s="248" t="s">
        <v>337</v>
      </c>
      <c r="E1438" s="248" t="s">
        <v>342</v>
      </c>
      <c r="F1438" s="262"/>
      <c r="G1438" s="256"/>
      <c r="H1438" s="251"/>
      <c r="I1438" s="249">
        <v>64028</v>
      </c>
      <c r="J1438" s="253">
        <v>3</v>
      </c>
    </row>
    <row r="1439" spans="1:10" ht="14.5" x14ac:dyDescent="0.35">
      <c r="A1439" s="254"/>
      <c r="B1439" s="248" t="s">
        <v>393</v>
      </c>
      <c r="C1439" s="248" t="s">
        <v>329</v>
      </c>
      <c r="D1439" s="248" t="s">
        <v>339</v>
      </c>
      <c r="E1439" s="248" t="s">
        <v>342</v>
      </c>
      <c r="F1439" s="262"/>
      <c r="G1439" s="256"/>
      <c r="H1439" s="251"/>
      <c r="I1439" s="249">
        <v>64028</v>
      </c>
      <c r="J1439" s="253">
        <v>0</v>
      </c>
    </row>
    <row r="1440" spans="1:10" ht="14.5" x14ac:dyDescent="0.35">
      <c r="A1440" s="254"/>
      <c r="B1440" s="248"/>
      <c r="C1440" s="248"/>
      <c r="D1440" s="248"/>
      <c r="E1440" s="249"/>
      <c r="F1440" s="249"/>
      <c r="G1440" s="249"/>
      <c r="H1440" s="249"/>
      <c r="I1440" s="249"/>
      <c r="J1440" s="253"/>
    </row>
    <row r="1441" spans="1:10" ht="14.5" x14ac:dyDescent="0.35">
      <c r="A1441" s="261">
        <v>293</v>
      </c>
      <c r="B1441" s="248" t="s">
        <v>393</v>
      </c>
      <c r="C1441" s="248" t="s">
        <v>329</v>
      </c>
      <c r="D1441" s="248" t="s">
        <v>337</v>
      </c>
      <c r="E1441" s="248" t="s">
        <v>342</v>
      </c>
      <c r="F1441" s="262"/>
      <c r="G1441" s="256"/>
      <c r="H1441" s="251"/>
      <c r="I1441" s="249">
        <v>64048</v>
      </c>
      <c r="J1441" s="253">
        <v>2</v>
      </c>
    </row>
    <row r="1442" spans="1:10" ht="14.5" x14ac:dyDescent="0.35">
      <c r="A1442" s="254"/>
      <c r="B1442" s="248" t="s">
        <v>393</v>
      </c>
      <c r="C1442" s="248" t="s">
        <v>329</v>
      </c>
      <c r="D1442" s="248" t="s">
        <v>339</v>
      </c>
      <c r="E1442" s="248" t="s">
        <v>342</v>
      </c>
      <c r="F1442" s="262"/>
      <c r="G1442" s="256"/>
      <c r="H1442" s="251"/>
      <c r="I1442" s="249">
        <v>64048</v>
      </c>
      <c r="J1442" s="253">
        <v>0</v>
      </c>
    </row>
    <row r="1443" spans="1:10" ht="14.5" x14ac:dyDescent="0.35">
      <c r="A1443" s="254"/>
      <c r="B1443" s="248"/>
      <c r="C1443" s="248"/>
      <c r="D1443" s="248"/>
      <c r="E1443" s="249"/>
      <c r="F1443" s="249"/>
      <c r="G1443" s="249"/>
      <c r="H1443" s="249"/>
      <c r="I1443" s="249"/>
      <c r="J1443" s="253"/>
    </row>
    <row r="1444" spans="1:10" ht="14.5" x14ac:dyDescent="0.35">
      <c r="A1444" s="261">
        <v>294</v>
      </c>
      <c r="B1444" s="248" t="s">
        <v>393</v>
      </c>
      <c r="C1444" s="248" t="s">
        <v>329</v>
      </c>
      <c r="D1444" s="248" t="s">
        <v>337</v>
      </c>
      <c r="E1444" s="248" t="s">
        <v>342</v>
      </c>
      <c r="F1444" s="262"/>
      <c r="G1444" s="256"/>
      <c r="H1444" s="251"/>
      <c r="I1444" s="249">
        <v>64115</v>
      </c>
      <c r="J1444" s="253">
        <v>2</v>
      </c>
    </row>
    <row r="1445" spans="1:10" ht="14.5" x14ac:dyDescent="0.35">
      <c r="A1445" s="254"/>
      <c r="B1445" s="248" t="s">
        <v>393</v>
      </c>
      <c r="C1445" s="248" t="s">
        <v>329</v>
      </c>
      <c r="D1445" s="248" t="s">
        <v>339</v>
      </c>
      <c r="E1445" s="248" t="s">
        <v>342</v>
      </c>
      <c r="F1445" s="262"/>
      <c r="G1445" s="256"/>
      <c r="H1445" s="251"/>
      <c r="I1445" s="249">
        <v>64115</v>
      </c>
      <c r="J1445" s="253">
        <v>0</v>
      </c>
    </row>
    <row r="1446" spans="1:10" ht="14.5" x14ac:dyDescent="0.35">
      <c r="A1446" s="254"/>
      <c r="B1446" s="248"/>
      <c r="C1446" s="248"/>
      <c r="D1446" s="248"/>
      <c r="E1446" s="249"/>
      <c r="F1446" s="249"/>
      <c r="G1446" s="249"/>
      <c r="H1446" s="249"/>
      <c r="I1446" s="249"/>
      <c r="J1446" s="253"/>
    </row>
    <row r="1447" spans="1:10" ht="14.5" x14ac:dyDescent="0.35">
      <c r="A1447" s="261">
        <v>295</v>
      </c>
      <c r="B1447" s="248" t="s">
        <v>393</v>
      </c>
      <c r="C1447" s="248" t="s">
        <v>329</v>
      </c>
      <c r="D1447" s="248" t="s">
        <v>337</v>
      </c>
      <c r="E1447" s="248" t="s">
        <v>342</v>
      </c>
      <c r="F1447" s="262"/>
      <c r="G1447" s="256"/>
      <c r="H1447" s="251"/>
      <c r="I1447" s="249">
        <v>64346</v>
      </c>
      <c r="J1447" s="253">
        <v>1</v>
      </c>
    </row>
    <row r="1448" spans="1:10" ht="14.5" x14ac:dyDescent="0.35">
      <c r="A1448" s="254"/>
      <c r="B1448" s="248" t="s">
        <v>393</v>
      </c>
      <c r="C1448" s="248" t="s">
        <v>329</v>
      </c>
      <c r="D1448" s="248" t="s">
        <v>339</v>
      </c>
      <c r="E1448" s="248" t="s">
        <v>342</v>
      </c>
      <c r="F1448" s="262"/>
      <c r="G1448" s="256"/>
      <c r="H1448" s="251"/>
      <c r="I1448" s="249">
        <v>64346</v>
      </c>
      <c r="J1448" s="253">
        <v>0</v>
      </c>
    </row>
    <row r="1449" spans="1:10" ht="14.5" x14ac:dyDescent="0.35">
      <c r="A1449" s="254"/>
      <c r="B1449" s="248"/>
      <c r="C1449" s="248"/>
      <c r="D1449" s="248"/>
      <c r="E1449" s="249"/>
      <c r="F1449" s="249"/>
      <c r="G1449" s="249"/>
      <c r="H1449" s="249"/>
      <c r="I1449" s="249"/>
      <c r="J1449" s="253"/>
    </row>
    <row r="1450" spans="1:10" ht="14.5" x14ac:dyDescent="0.35">
      <c r="A1450" s="261">
        <v>296</v>
      </c>
      <c r="B1450" s="248" t="s">
        <v>393</v>
      </c>
      <c r="C1450" s="248" t="s">
        <v>329</v>
      </c>
      <c r="D1450" s="248" t="s">
        <v>337</v>
      </c>
      <c r="E1450" s="248" t="s">
        <v>342</v>
      </c>
      <c r="F1450" s="262"/>
      <c r="G1450" s="256"/>
      <c r="H1450" s="251"/>
      <c r="I1450" s="249">
        <v>64829</v>
      </c>
      <c r="J1450" s="253">
        <v>1</v>
      </c>
    </row>
    <row r="1451" spans="1:10" ht="14.5" x14ac:dyDescent="0.35">
      <c r="A1451" s="254"/>
      <c r="B1451" s="248" t="s">
        <v>393</v>
      </c>
      <c r="C1451" s="248" t="s">
        <v>329</v>
      </c>
      <c r="D1451" s="248" t="s">
        <v>339</v>
      </c>
      <c r="E1451" s="248" t="s">
        <v>342</v>
      </c>
      <c r="F1451" s="262"/>
      <c r="G1451" s="256"/>
      <c r="H1451" s="251"/>
      <c r="I1451" s="249">
        <v>64829</v>
      </c>
      <c r="J1451" s="253">
        <v>0</v>
      </c>
    </row>
    <row r="1452" spans="1:10" ht="14.5" x14ac:dyDescent="0.35">
      <c r="A1452" s="254"/>
      <c r="B1452" s="248"/>
      <c r="C1452" s="248"/>
      <c r="D1452" s="248"/>
      <c r="E1452" s="249"/>
      <c r="F1452" s="249"/>
      <c r="G1452" s="249"/>
      <c r="H1452" s="249"/>
      <c r="I1452" s="249"/>
      <c r="J1452" s="253"/>
    </row>
    <row r="1453" spans="1:10" ht="14.5" x14ac:dyDescent="0.35">
      <c r="A1453" s="261">
        <v>297</v>
      </c>
      <c r="B1453" s="248" t="s">
        <v>393</v>
      </c>
      <c r="C1453" s="248" t="s">
        <v>329</v>
      </c>
      <c r="D1453" s="248" t="s">
        <v>337</v>
      </c>
      <c r="E1453" s="248" t="s">
        <v>342</v>
      </c>
      <c r="F1453" s="262"/>
      <c r="G1453" s="256"/>
      <c r="H1453" s="251"/>
      <c r="I1453" s="249">
        <v>65199</v>
      </c>
      <c r="J1453" s="253">
        <v>1</v>
      </c>
    </row>
    <row r="1454" spans="1:10" ht="14.5" x14ac:dyDescent="0.35">
      <c r="A1454" s="254"/>
      <c r="B1454" s="248" t="s">
        <v>393</v>
      </c>
      <c r="C1454" s="248" t="s">
        <v>329</v>
      </c>
      <c r="D1454" s="248" t="s">
        <v>339</v>
      </c>
      <c r="E1454" s="248" t="s">
        <v>342</v>
      </c>
      <c r="F1454" s="262"/>
      <c r="G1454" s="256"/>
      <c r="H1454" s="251"/>
      <c r="I1454" s="249">
        <v>65199</v>
      </c>
      <c r="J1454" s="253">
        <v>0</v>
      </c>
    </row>
    <row r="1455" spans="1:10" ht="14.5" x14ac:dyDescent="0.35">
      <c r="A1455" s="254"/>
      <c r="B1455" s="248"/>
      <c r="C1455" s="248"/>
      <c r="D1455" s="248"/>
      <c r="E1455" s="249"/>
      <c r="F1455" s="249"/>
      <c r="G1455" s="249"/>
      <c r="H1455" s="249"/>
      <c r="I1455" s="249"/>
      <c r="J1455" s="253"/>
    </row>
    <row r="1456" spans="1:10" ht="14.5" x14ac:dyDescent="0.35">
      <c r="A1456" s="261">
        <v>298</v>
      </c>
      <c r="B1456" s="248" t="s">
        <v>393</v>
      </c>
      <c r="C1456" s="248" t="s">
        <v>329</v>
      </c>
      <c r="D1456" s="248" t="s">
        <v>337</v>
      </c>
      <c r="E1456" s="248" t="s">
        <v>343</v>
      </c>
      <c r="F1456" s="262"/>
      <c r="G1456" s="256"/>
      <c r="H1456" s="251"/>
      <c r="I1456" s="249">
        <v>36207</v>
      </c>
      <c r="J1456" s="253">
        <v>2</v>
      </c>
    </row>
    <row r="1457" spans="1:10" ht="14.5" x14ac:dyDescent="0.35">
      <c r="A1457" s="254"/>
      <c r="B1457" s="248" t="s">
        <v>393</v>
      </c>
      <c r="C1457" s="248" t="s">
        <v>329</v>
      </c>
      <c r="D1457" s="248" t="s">
        <v>339</v>
      </c>
      <c r="E1457" s="248" t="s">
        <v>343</v>
      </c>
      <c r="F1457" s="262"/>
      <c r="G1457" s="256"/>
      <c r="H1457" s="251"/>
      <c r="I1457" s="249">
        <v>36207</v>
      </c>
      <c r="J1457" s="253">
        <v>0</v>
      </c>
    </row>
    <row r="1458" spans="1:10" ht="14.5" x14ac:dyDescent="0.35">
      <c r="A1458" s="254"/>
      <c r="B1458" s="248"/>
      <c r="C1458" s="248"/>
      <c r="D1458" s="248"/>
      <c r="E1458" s="249"/>
      <c r="F1458" s="249"/>
      <c r="G1458" s="249"/>
      <c r="H1458" s="249"/>
      <c r="I1458" s="249"/>
      <c r="J1458" s="253"/>
    </row>
    <row r="1459" spans="1:10" ht="14.5" x14ac:dyDescent="0.35">
      <c r="A1459" s="261">
        <v>299</v>
      </c>
      <c r="B1459" s="248" t="s">
        <v>393</v>
      </c>
      <c r="C1459" s="248" t="s">
        <v>329</v>
      </c>
      <c r="D1459" s="248" t="s">
        <v>337</v>
      </c>
      <c r="E1459" s="248" t="s">
        <v>343</v>
      </c>
      <c r="F1459" s="262"/>
      <c r="G1459" s="256"/>
      <c r="H1459" s="251"/>
      <c r="I1459" s="249" t="s">
        <v>178</v>
      </c>
      <c r="J1459" s="253">
        <v>2</v>
      </c>
    </row>
    <row r="1460" spans="1:10" ht="14.5" x14ac:dyDescent="0.35">
      <c r="A1460" s="254"/>
      <c r="B1460" s="248" t="s">
        <v>393</v>
      </c>
      <c r="C1460" s="248" t="s">
        <v>329</v>
      </c>
      <c r="D1460" s="248" t="s">
        <v>339</v>
      </c>
      <c r="E1460" s="248" t="s">
        <v>343</v>
      </c>
      <c r="F1460" s="262"/>
      <c r="G1460" s="256"/>
      <c r="H1460" s="251"/>
      <c r="I1460" s="249" t="s">
        <v>178</v>
      </c>
      <c r="J1460" s="253">
        <v>0</v>
      </c>
    </row>
    <row r="1461" spans="1:10" ht="14.5" x14ac:dyDescent="0.35">
      <c r="A1461" s="254"/>
      <c r="B1461" s="248"/>
      <c r="C1461" s="248"/>
      <c r="D1461" s="248"/>
      <c r="E1461" s="249"/>
      <c r="F1461" s="249"/>
      <c r="G1461" s="249"/>
      <c r="H1461" s="249"/>
      <c r="I1461" s="249"/>
      <c r="J1461" s="253"/>
    </row>
    <row r="1462" spans="1:10" ht="14.5" x14ac:dyDescent="0.35">
      <c r="A1462" s="261">
        <v>300</v>
      </c>
      <c r="B1462" s="248" t="s">
        <v>393</v>
      </c>
      <c r="C1462" s="248" t="s">
        <v>329</v>
      </c>
      <c r="D1462" s="248" t="s">
        <v>337</v>
      </c>
      <c r="E1462" s="248" t="s">
        <v>343</v>
      </c>
      <c r="F1462" s="262"/>
      <c r="G1462" s="256"/>
      <c r="H1462" s="251"/>
      <c r="I1462" s="249" t="s">
        <v>288</v>
      </c>
      <c r="J1462" s="253">
        <v>2</v>
      </c>
    </row>
    <row r="1463" spans="1:10" ht="14.5" x14ac:dyDescent="0.35">
      <c r="A1463" s="254"/>
      <c r="B1463" s="248" t="s">
        <v>393</v>
      </c>
      <c r="C1463" s="248" t="s">
        <v>329</v>
      </c>
      <c r="D1463" s="248" t="s">
        <v>339</v>
      </c>
      <c r="E1463" s="248" t="s">
        <v>343</v>
      </c>
      <c r="F1463" s="262"/>
      <c r="G1463" s="256"/>
      <c r="H1463" s="251"/>
      <c r="I1463" s="249" t="s">
        <v>288</v>
      </c>
      <c r="J1463" s="253">
        <v>0</v>
      </c>
    </row>
    <row r="1464" spans="1:10" ht="14.5" x14ac:dyDescent="0.35">
      <c r="A1464" s="254"/>
      <c r="B1464" s="248"/>
      <c r="C1464" s="248"/>
      <c r="D1464" s="248"/>
      <c r="E1464" s="249"/>
      <c r="F1464" s="249"/>
      <c r="G1464" s="249"/>
      <c r="H1464" s="249"/>
      <c r="I1464" s="249"/>
      <c r="J1464" s="253"/>
    </row>
    <row r="1465" spans="1:10" ht="14.5" x14ac:dyDescent="0.35">
      <c r="A1465" s="261">
        <v>301</v>
      </c>
      <c r="B1465" s="248" t="s">
        <v>393</v>
      </c>
      <c r="C1465" s="248" t="s">
        <v>329</v>
      </c>
      <c r="D1465" s="248" t="s">
        <v>337</v>
      </c>
      <c r="E1465" s="248" t="s">
        <v>343</v>
      </c>
      <c r="F1465" s="262"/>
      <c r="G1465" s="256"/>
      <c r="H1465" s="251"/>
      <c r="I1465" s="249" t="s">
        <v>107</v>
      </c>
      <c r="J1465" s="253">
        <v>0</v>
      </c>
    </row>
    <row r="1466" spans="1:10" ht="14.5" x14ac:dyDescent="0.35">
      <c r="A1466" s="254"/>
      <c r="B1466" s="248" t="s">
        <v>393</v>
      </c>
      <c r="C1466" s="248" t="s">
        <v>329</v>
      </c>
      <c r="D1466" s="248" t="s">
        <v>339</v>
      </c>
      <c r="E1466" s="248" t="s">
        <v>343</v>
      </c>
      <c r="F1466" s="262"/>
      <c r="G1466" s="256"/>
      <c r="H1466" s="251"/>
      <c r="I1466" s="249" t="s">
        <v>107</v>
      </c>
      <c r="J1466" s="253">
        <v>11</v>
      </c>
    </row>
    <row r="1467" spans="1:10" ht="14.5" x14ac:dyDescent="0.35">
      <c r="A1467" s="254"/>
      <c r="B1467" s="248"/>
      <c r="C1467" s="248"/>
      <c r="D1467" s="248"/>
      <c r="E1467" s="249"/>
      <c r="F1467" s="249"/>
      <c r="G1467" s="249"/>
      <c r="H1467" s="249"/>
      <c r="I1467" s="249"/>
      <c r="J1467" s="253"/>
    </row>
    <row r="1468" spans="1:10" ht="14.5" x14ac:dyDescent="0.35">
      <c r="A1468" s="261">
        <v>302</v>
      </c>
      <c r="B1468" s="248" t="s">
        <v>393</v>
      </c>
      <c r="C1468" s="248" t="s">
        <v>329</v>
      </c>
      <c r="D1468" s="248" t="s">
        <v>337</v>
      </c>
      <c r="E1468" s="248" t="s">
        <v>343</v>
      </c>
      <c r="F1468" s="262"/>
      <c r="G1468" s="256"/>
      <c r="H1468" s="251"/>
      <c r="I1468" s="249" t="s">
        <v>108</v>
      </c>
      <c r="J1468" s="253">
        <v>0</v>
      </c>
    </row>
    <row r="1469" spans="1:10" ht="14.5" x14ac:dyDescent="0.35">
      <c r="A1469" s="254"/>
      <c r="B1469" s="248" t="s">
        <v>393</v>
      </c>
      <c r="C1469" s="248" t="s">
        <v>329</v>
      </c>
      <c r="D1469" s="248" t="s">
        <v>339</v>
      </c>
      <c r="E1469" s="248" t="s">
        <v>343</v>
      </c>
      <c r="F1469" s="262"/>
      <c r="G1469" s="256"/>
      <c r="H1469" s="251"/>
      <c r="I1469" s="249" t="s">
        <v>108</v>
      </c>
      <c r="J1469" s="253">
        <v>0</v>
      </c>
    </row>
    <row r="1470" spans="1:10" ht="14.5" x14ac:dyDescent="0.35">
      <c r="A1470" s="254"/>
      <c r="B1470" s="248"/>
      <c r="C1470" s="248"/>
      <c r="D1470" s="248"/>
      <c r="E1470" s="249"/>
      <c r="F1470" s="249"/>
      <c r="G1470" s="249"/>
      <c r="H1470" s="249"/>
      <c r="I1470" s="249"/>
      <c r="J1470" s="253"/>
    </row>
    <row r="1471" spans="1:10" ht="14.5" x14ac:dyDescent="0.35">
      <c r="A1471" s="261">
        <v>303</v>
      </c>
      <c r="B1471" s="248" t="s">
        <v>393</v>
      </c>
      <c r="C1471" s="248" t="s">
        <v>329</v>
      </c>
      <c r="D1471" s="248" t="s">
        <v>337</v>
      </c>
      <c r="E1471" s="248" t="s">
        <v>343</v>
      </c>
      <c r="F1471" s="262"/>
      <c r="G1471" s="256"/>
      <c r="H1471" s="251"/>
      <c r="I1471" s="249" t="s">
        <v>109</v>
      </c>
      <c r="J1471" s="253">
        <v>0</v>
      </c>
    </row>
    <row r="1472" spans="1:10" ht="14.5" x14ac:dyDescent="0.35">
      <c r="A1472" s="254"/>
      <c r="B1472" s="248" t="s">
        <v>393</v>
      </c>
      <c r="C1472" s="248" t="s">
        <v>329</v>
      </c>
      <c r="D1472" s="248" t="s">
        <v>339</v>
      </c>
      <c r="E1472" s="248" t="s">
        <v>343</v>
      </c>
      <c r="F1472" s="262"/>
      <c r="G1472" s="256"/>
      <c r="H1472" s="251"/>
      <c r="I1472" s="249" t="s">
        <v>109</v>
      </c>
      <c r="J1472" s="253">
        <v>6</v>
      </c>
    </row>
    <row r="1473" spans="1:10" ht="14.5" x14ac:dyDescent="0.35">
      <c r="A1473" s="254"/>
      <c r="B1473" s="248"/>
      <c r="C1473" s="248"/>
      <c r="D1473" s="248"/>
      <c r="E1473" s="249"/>
      <c r="F1473" s="249"/>
      <c r="G1473" s="249"/>
      <c r="H1473" s="249"/>
      <c r="I1473" s="249"/>
      <c r="J1473" s="253"/>
    </row>
    <row r="1474" spans="1:10" ht="14.5" x14ac:dyDescent="0.35">
      <c r="A1474" s="261"/>
      <c r="B1474" s="248"/>
      <c r="C1474" s="248"/>
      <c r="D1474" s="248"/>
      <c r="E1474" s="248"/>
      <c r="F1474" s="262"/>
      <c r="G1474" s="256"/>
      <c r="H1474" s="251"/>
      <c r="I1474" s="249"/>
      <c r="J1474" s="253"/>
    </row>
    <row r="1475" spans="1:10" ht="14.5" x14ac:dyDescent="0.35">
      <c r="A1475" s="254"/>
      <c r="B1475" s="248"/>
      <c r="C1475" s="248"/>
      <c r="D1475" s="248"/>
      <c r="E1475" s="248"/>
      <c r="F1475" s="262"/>
      <c r="G1475" s="256"/>
      <c r="H1475" s="251"/>
      <c r="I1475" s="249"/>
      <c r="J1475" s="253"/>
    </row>
    <row r="1476" spans="1:10" ht="14.5" x14ac:dyDescent="0.35">
      <c r="A1476" s="254"/>
      <c r="B1476" s="248"/>
      <c r="C1476" s="248"/>
      <c r="D1476" s="248"/>
      <c r="E1476" s="249"/>
      <c r="F1476" s="249"/>
      <c r="G1476" s="249"/>
      <c r="H1476" s="249"/>
      <c r="I1476" s="249"/>
      <c r="J1476" s="253"/>
    </row>
    <row r="1477" spans="1:10" ht="14.5" x14ac:dyDescent="0.35">
      <c r="A1477" s="261"/>
      <c r="B1477" s="248"/>
      <c r="C1477" s="248"/>
      <c r="D1477" s="248"/>
      <c r="E1477" s="248"/>
      <c r="F1477" s="262"/>
      <c r="G1477" s="256"/>
      <c r="H1477" s="251"/>
      <c r="I1477" s="249"/>
      <c r="J1477" s="253"/>
    </row>
    <row r="1478" spans="1:10" ht="14.5" x14ac:dyDescent="0.35">
      <c r="A1478" s="254"/>
      <c r="B1478" s="248"/>
      <c r="C1478" s="248"/>
      <c r="D1478" s="248"/>
      <c r="E1478" s="248"/>
      <c r="F1478" s="262"/>
      <c r="G1478" s="256"/>
      <c r="H1478" s="251"/>
      <c r="I1478" s="249"/>
      <c r="J1478" s="253"/>
    </row>
    <row r="1479" spans="1:10" ht="14.5" x14ac:dyDescent="0.35">
      <c r="A1479" s="254"/>
      <c r="B1479" s="248"/>
      <c r="C1479" s="248"/>
      <c r="D1479" s="248"/>
      <c r="E1479" s="249"/>
      <c r="F1479" s="249"/>
      <c r="G1479" s="249"/>
      <c r="H1479" s="249"/>
      <c r="I1479" s="249"/>
      <c r="J1479" s="253"/>
    </row>
    <row r="1480" spans="1:10" ht="14.5" x14ac:dyDescent="0.35">
      <c r="A1480" s="261"/>
      <c r="B1480" s="248"/>
      <c r="C1480" s="248"/>
      <c r="D1480" s="248"/>
      <c r="E1480" s="248"/>
      <c r="F1480" s="262"/>
      <c r="G1480" s="256"/>
      <c r="H1480" s="251"/>
      <c r="I1480" s="249"/>
      <c r="J1480" s="253"/>
    </row>
    <row r="1481" spans="1:10" ht="14.5" x14ac:dyDescent="0.35">
      <c r="A1481" s="254"/>
      <c r="B1481" s="248"/>
      <c r="C1481" s="248"/>
      <c r="D1481" s="248"/>
      <c r="E1481" s="248"/>
      <c r="F1481" s="262"/>
      <c r="G1481" s="256"/>
      <c r="H1481" s="251"/>
      <c r="I1481" s="249"/>
      <c r="J1481" s="253"/>
    </row>
    <row r="1482" spans="1:10" ht="14.5" x14ac:dyDescent="0.35">
      <c r="A1482" s="254"/>
      <c r="B1482" s="248"/>
      <c r="C1482" s="248"/>
      <c r="D1482" s="248"/>
      <c r="E1482" s="249"/>
      <c r="F1482" s="249"/>
      <c r="G1482" s="249"/>
      <c r="H1482" s="249"/>
      <c r="I1482" s="249"/>
      <c r="J1482" s="253"/>
    </row>
    <row r="1483" spans="1:10" ht="14.5" x14ac:dyDescent="0.35">
      <c r="A1483" s="261"/>
      <c r="B1483" s="248"/>
      <c r="C1483" s="248"/>
      <c r="D1483" s="248"/>
      <c r="E1483" s="248"/>
      <c r="F1483" s="262"/>
      <c r="G1483" s="256"/>
      <c r="H1483" s="251"/>
      <c r="I1483" s="249"/>
      <c r="J1483" s="253"/>
    </row>
    <row r="1484" spans="1:10" ht="14.5" x14ac:dyDescent="0.35">
      <c r="A1484" s="254"/>
      <c r="B1484" s="248"/>
      <c r="C1484" s="248"/>
      <c r="D1484" s="248"/>
      <c r="E1484" s="248"/>
      <c r="F1484" s="262"/>
      <c r="G1484" s="256"/>
      <c r="H1484" s="251"/>
      <c r="I1484" s="249"/>
      <c r="J1484" s="253"/>
    </row>
    <row r="1485" spans="1:10" ht="14.5" x14ac:dyDescent="0.35">
      <c r="A1485" s="254"/>
      <c r="B1485" s="248"/>
      <c r="C1485" s="248"/>
      <c r="D1485" s="248"/>
      <c r="E1485" s="249"/>
      <c r="F1485" s="249"/>
      <c r="G1485" s="249"/>
      <c r="H1485" s="249"/>
      <c r="I1485" s="249"/>
      <c r="J1485" s="253"/>
    </row>
    <row r="1486" spans="1:10" ht="14.5" x14ac:dyDescent="0.35">
      <c r="A1486" s="254"/>
      <c r="B1486" s="248"/>
      <c r="C1486" s="248"/>
      <c r="D1486" s="248"/>
      <c r="E1486" s="249"/>
      <c r="F1486" s="249"/>
      <c r="G1486" s="249"/>
      <c r="H1486" s="249"/>
      <c r="I1486" s="249"/>
      <c r="J1486" s="253"/>
    </row>
    <row r="1487" spans="1:10" ht="14.5" x14ac:dyDescent="0.35">
      <c r="A1487" s="254"/>
      <c r="B1487" s="248"/>
      <c r="C1487" s="248"/>
      <c r="D1487" s="248"/>
      <c r="E1487" s="249"/>
      <c r="F1487" s="249"/>
      <c r="G1487" s="249"/>
      <c r="H1487" s="249"/>
      <c r="I1487" s="249"/>
      <c r="J1487" s="253"/>
    </row>
    <row r="1488" spans="1:10" ht="14.5" x14ac:dyDescent="0.35">
      <c r="A1488" s="254"/>
      <c r="B1488" s="248"/>
      <c r="C1488" s="248"/>
      <c r="D1488" s="248"/>
      <c r="E1488" s="249"/>
      <c r="F1488" s="249"/>
      <c r="G1488" s="249"/>
      <c r="H1488" s="249"/>
      <c r="I1488" s="249"/>
      <c r="J1488" s="253"/>
    </row>
    <row r="1489" spans="1:10" ht="14.5" x14ac:dyDescent="0.35">
      <c r="A1489" s="254"/>
      <c r="B1489" s="248"/>
      <c r="C1489" s="248"/>
      <c r="D1489" s="248"/>
      <c r="E1489" s="249"/>
      <c r="F1489" s="249"/>
      <c r="G1489" s="249"/>
      <c r="H1489" s="249"/>
      <c r="I1489" s="249"/>
      <c r="J1489" s="253"/>
    </row>
    <row r="1490" spans="1:10" ht="14.5" x14ac:dyDescent="0.35">
      <c r="A1490" s="254"/>
      <c r="B1490" s="248"/>
      <c r="C1490" s="248"/>
      <c r="D1490" s="248"/>
      <c r="E1490" s="249"/>
      <c r="F1490" s="249"/>
      <c r="G1490" s="249"/>
      <c r="H1490" s="249"/>
      <c r="I1490" s="249"/>
      <c r="J1490" s="253"/>
    </row>
    <row r="1491" spans="1:10" ht="14.5" x14ac:dyDescent="0.35">
      <c r="A1491" s="254"/>
      <c r="B1491" s="248"/>
      <c r="C1491" s="248"/>
      <c r="D1491" s="248"/>
      <c r="E1491" s="249"/>
      <c r="F1491" s="249"/>
      <c r="G1491" s="249"/>
      <c r="H1491" s="249"/>
      <c r="I1491" s="249"/>
      <c r="J1491" s="253"/>
    </row>
    <row r="1492" spans="1:10" ht="14.5" x14ac:dyDescent="0.35">
      <c r="A1492" s="254"/>
      <c r="B1492" s="248"/>
      <c r="C1492" s="248"/>
      <c r="D1492" s="248"/>
      <c r="E1492" s="249"/>
      <c r="F1492" s="249"/>
      <c r="G1492" s="249"/>
      <c r="H1492" s="249"/>
      <c r="I1492" s="249"/>
      <c r="J1492" s="253"/>
    </row>
    <row r="1493" spans="1:10" ht="14.5" x14ac:dyDescent="0.35">
      <c r="A1493" s="254"/>
      <c r="B1493" s="248"/>
      <c r="C1493" s="248"/>
      <c r="D1493" s="248"/>
      <c r="E1493" s="249"/>
      <c r="F1493" s="249"/>
      <c r="G1493" s="249"/>
      <c r="H1493" s="249"/>
      <c r="I1493" s="249"/>
      <c r="J1493" s="253"/>
    </row>
    <row r="1494" spans="1:10" ht="14.5" x14ac:dyDescent="0.35">
      <c r="A1494" s="254"/>
      <c r="B1494" s="248"/>
      <c r="C1494" s="248"/>
      <c r="D1494" s="248"/>
      <c r="E1494" s="249"/>
      <c r="F1494" s="249"/>
      <c r="G1494" s="249"/>
      <c r="H1494" s="249"/>
      <c r="I1494" s="249"/>
      <c r="J1494" s="253"/>
    </row>
    <row r="1495" spans="1:10" ht="14.5" x14ac:dyDescent="0.35">
      <c r="A1495" s="254"/>
      <c r="B1495" s="248"/>
      <c r="C1495" s="248"/>
      <c r="D1495" s="248"/>
      <c r="E1495" s="249"/>
      <c r="F1495" s="249"/>
      <c r="G1495" s="249"/>
      <c r="H1495" s="249"/>
      <c r="I1495" s="249"/>
      <c r="J1495" s="253"/>
    </row>
    <row r="1496" spans="1:10" ht="14.5" x14ac:dyDescent="0.35">
      <c r="A1496" s="254"/>
      <c r="B1496" s="248"/>
      <c r="C1496" s="248"/>
      <c r="D1496" s="248"/>
      <c r="E1496" s="249"/>
      <c r="F1496" s="249"/>
      <c r="G1496" s="249"/>
      <c r="H1496" s="249"/>
      <c r="I1496" s="249"/>
      <c r="J1496" s="253"/>
    </row>
    <row r="1497" spans="1:10" ht="14.5" x14ac:dyDescent="0.35">
      <c r="A1497" s="254"/>
      <c r="B1497" s="248"/>
      <c r="C1497" s="248"/>
      <c r="D1497" s="248"/>
      <c r="E1497" s="249"/>
      <c r="F1497" s="249"/>
      <c r="G1497" s="249"/>
      <c r="H1497" s="249"/>
      <c r="I1497" s="249"/>
      <c r="J1497" s="253"/>
    </row>
    <row r="1498" spans="1:10" ht="14.5" x14ac:dyDescent="0.35">
      <c r="A1498" s="254"/>
      <c r="B1498" s="248"/>
      <c r="C1498" s="248"/>
      <c r="D1498" s="248"/>
      <c r="E1498" s="249"/>
      <c r="F1498" s="249"/>
      <c r="G1498" s="249"/>
      <c r="H1498" s="249"/>
      <c r="I1498" s="249"/>
      <c r="J1498" s="253"/>
    </row>
    <row r="1499" spans="1:10" ht="14.5" x14ac:dyDescent="0.35">
      <c r="A1499" s="254"/>
      <c r="B1499" s="248"/>
      <c r="C1499" s="248"/>
      <c r="D1499" s="248"/>
      <c r="E1499" s="249"/>
      <c r="F1499" s="249"/>
      <c r="G1499" s="249"/>
      <c r="H1499" s="249"/>
      <c r="I1499" s="249"/>
      <c r="J1499" s="253"/>
    </row>
    <row r="1500" spans="1:10" ht="14.5" x14ac:dyDescent="0.35">
      <c r="A1500" s="254"/>
      <c r="B1500" s="248"/>
      <c r="C1500" s="248"/>
      <c r="D1500" s="248"/>
      <c r="E1500" s="249"/>
      <c r="F1500" s="249"/>
      <c r="G1500" s="249"/>
      <c r="H1500" s="249"/>
      <c r="I1500" s="249"/>
      <c r="J1500" s="253"/>
    </row>
    <row r="1501" spans="1:10" ht="14.5" x14ac:dyDescent="0.35">
      <c r="A1501" s="254"/>
      <c r="B1501" s="248"/>
      <c r="C1501" s="248"/>
      <c r="D1501" s="248"/>
      <c r="E1501" s="249"/>
      <c r="F1501" s="249"/>
      <c r="G1501" s="249"/>
      <c r="H1501" s="249"/>
      <c r="I1501" s="249"/>
      <c r="J1501" s="253"/>
    </row>
    <row r="1502" spans="1:10" ht="14.5" x14ac:dyDescent="0.35">
      <c r="A1502" s="254"/>
      <c r="B1502" s="248"/>
      <c r="C1502" s="248"/>
      <c r="D1502" s="248"/>
      <c r="E1502" s="249"/>
      <c r="F1502" s="249"/>
      <c r="G1502" s="249"/>
      <c r="H1502" s="249"/>
      <c r="I1502" s="249"/>
      <c r="J1502" s="253"/>
    </row>
    <row r="1503" spans="1:10" ht="14.5" x14ac:dyDescent="0.35">
      <c r="A1503" s="254"/>
      <c r="B1503" s="248"/>
      <c r="C1503" s="248"/>
      <c r="D1503" s="248"/>
      <c r="E1503" s="249"/>
      <c r="F1503" s="249"/>
      <c r="G1503" s="249"/>
      <c r="H1503" s="249"/>
      <c r="I1503" s="249"/>
      <c r="J1503" s="253"/>
    </row>
    <row r="1504" spans="1:10" ht="14.5" x14ac:dyDescent="0.35">
      <c r="A1504" s="254"/>
      <c r="B1504" s="248"/>
      <c r="C1504" s="248"/>
      <c r="D1504" s="248"/>
      <c r="E1504" s="249"/>
      <c r="F1504" s="249"/>
      <c r="G1504" s="249"/>
      <c r="H1504" s="249"/>
      <c r="I1504" s="249"/>
      <c r="J1504" s="253"/>
    </row>
    <row r="1505" spans="1:10" ht="14.5" x14ac:dyDescent="0.35">
      <c r="A1505" s="254"/>
      <c r="B1505" s="248"/>
      <c r="C1505" s="248"/>
      <c r="D1505" s="248"/>
      <c r="E1505" s="249"/>
      <c r="F1505" s="249"/>
      <c r="G1505" s="249"/>
      <c r="H1505" s="249"/>
      <c r="I1505" s="249"/>
      <c r="J1505" s="253"/>
    </row>
    <row r="1506" spans="1:10" ht="14.5" x14ac:dyDescent="0.35">
      <c r="A1506" s="254"/>
      <c r="B1506" s="248"/>
      <c r="C1506" s="248"/>
      <c r="D1506" s="248"/>
      <c r="E1506" s="249"/>
      <c r="F1506" s="249"/>
      <c r="G1506" s="249"/>
      <c r="H1506" s="249"/>
      <c r="I1506" s="249"/>
      <c r="J1506" s="253"/>
    </row>
    <row r="1507" spans="1:10" ht="14.5" x14ac:dyDescent="0.35">
      <c r="A1507" s="254"/>
      <c r="B1507" s="248"/>
      <c r="C1507" s="248"/>
      <c r="D1507" s="248"/>
      <c r="E1507" s="249"/>
      <c r="F1507" s="249"/>
      <c r="G1507" s="249"/>
      <c r="H1507" s="249"/>
      <c r="I1507" s="249"/>
      <c r="J1507" s="253"/>
    </row>
    <row r="1508" spans="1:10" ht="14.5" x14ac:dyDescent="0.35">
      <c r="A1508" s="254"/>
      <c r="B1508" s="248"/>
      <c r="C1508" s="248"/>
      <c r="D1508" s="248"/>
      <c r="E1508" s="249"/>
      <c r="F1508" s="249"/>
      <c r="G1508" s="249"/>
      <c r="H1508" s="249"/>
      <c r="I1508" s="249"/>
      <c r="J1508" s="253"/>
    </row>
    <row r="1509" spans="1:10" ht="14.5" x14ac:dyDescent="0.35">
      <c r="A1509" s="254"/>
      <c r="B1509" s="248"/>
      <c r="C1509" s="248"/>
      <c r="D1509" s="248"/>
      <c r="E1509" s="249"/>
      <c r="F1509" s="249"/>
      <c r="G1509" s="249"/>
      <c r="H1509" s="249"/>
      <c r="I1509" s="249"/>
      <c r="J1509" s="253"/>
    </row>
    <row r="1510" spans="1:10" ht="14.5" x14ac:dyDescent="0.35">
      <c r="A1510" s="254"/>
      <c r="B1510" s="248"/>
      <c r="C1510" s="248"/>
      <c r="D1510" s="248"/>
      <c r="E1510" s="249"/>
      <c r="F1510" s="249"/>
      <c r="G1510" s="249"/>
      <c r="H1510" s="249"/>
      <c r="I1510" s="249"/>
      <c r="J1510" s="253"/>
    </row>
    <row r="1511" spans="1:10" ht="14.5" x14ac:dyDescent="0.35">
      <c r="A1511" s="254"/>
      <c r="B1511" s="248"/>
      <c r="C1511" s="248"/>
      <c r="D1511" s="248"/>
      <c r="E1511" s="249"/>
      <c r="F1511" s="249"/>
      <c r="G1511" s="249"/>
      <c r="H1511" s="249"/>
      <c r="I1511" s="249"/>
      <c r="J1511" s="253"/>
    </row>
    <row r="1512" spans="1:10" ht="14.5" x14ac:dyDescent="0.35">
      <c r="A1512" s="254"/>
      <c r="B1512" s="248"/>
      <c r="C1512" s="248"/>
      <c r="D1512" s="248"/>
      <c r="E1512" s="249"/>
      <c r="F1512" s="249"/>
      <c r="G1512" s="249"/>
      <c r="H1512" s="249"/>
      <c r="I1512" s="249"/>
      <c r="J1512" s="253"/>
    </row>
    <row r="1513" spans="1:10" ht="14.5" x14ac:dyDescent="0.35">
      <c r="A1513" s="254"/>
      <c r="B1513" s="248"/>
      <c r="C1513" s="248"/>
      <c r="D1513" s="248"/>
      <c r="E1513" s="249"/>
      <c r="F1513" s="249"/>
      <c r="G1513" s="249"/>
      <c r="H1513" s="249"/>
      <c r="I1513" s="249"/>
      <c r="J1513" s="253"/>
    </row>
    <row r="1514" spans="1:10" ht="14.5" x14ac:dyDescent="0.35">
      <c r="A1514" s="254"/>
      <c r="B1514" s="248"/>
      <c r="C1514" s="248"/>
      <c r="D1514" s="248"/>
      <c r="E1514" s="249"/>
      <c r="F1514" s="249"/>
      <c r="G1514" s="249"/>
      <c r="H1514" s="249"/>
      <c r="I1514" s="249"/>
      <c r="J1514" s="253"/>
    </row>
    <row r="1515" spans="1:10" ht="14.5" x14ac:dyDescent="0.35">
      <c r="A1515" s="254"/>
      <c r="B1515" s="248"/>
      <c r="C1515" s="248"/>
      <c r="D1515" s="248"/>
      <c r="E1515" s="249"/>
      <c r="F1515" s="249"/>
      <c r="G1515" s="249"/>
      <c r="H1515" s="249"/>
      <c r="I1515" s="249"/>
      <c r="J1515" s="253"/>
    </row>
    <row r="1516" spans="1:10" ht="14.5" x14ac:dyDescent="0.35">
      <c r="A1516" s="254"/>
      <c r="B1516" s="248"/>
      <c r="C1516" s="248"/>
      <c r="D1516" s="248"/>
      <c r="E1516" s="249"/>
      <c r="F1516" s="249"/>
      <c r="G1516" s="249"/>
      <c r="H1516" s="249"/>
      <c r="I1516" s="249"/>
      <c r="J1516" s="253"/>
    </row>
    <row r="1517" spans="1:10" ht="14.5" x14ac:dyDescent="0.35">
      <c r="A1517" s="254"/>
      <c r="B1517" s="248"/>
      <c r="C1517" s="248"/>
      <c r="D1517" s="248"/>
      <c r="E1517" s="249"/>
      <c r="F1517" s="249"/>
      <c r="G1517" s="249"/>
      <c r="H1517" s="249"/>
      <c r="I1517" s="249"/>
      <c r="J1517" s="253"/>
    </row>
    <row r="1518" spans="1:10" ht="14.5" x14ac:dyDescent="0.35">
      <c r="A1518" s="254"/>
      <c r="B1518" s="248"/>
      <c r="C1518" s="248"/>
      <c r="D1518" s="248"/>
      <c r="E1518" s="249"/>
      <c r="F1518" s="249"/>
      <c r="G1518" s="249"/>
      <c r="H1518" s="249"/>
      <c r="I1518" s="249"/>
      <c r="J1518" s="253"/>
    </row>
    <row r="1519" spans="1:10" ht="14.5" x14ac:dyDescent="0.35">
      <c r="A1519" s="254"/>
      <c r="B1519" s="248"/>
      <c r="C1519" s="248"/>
      <c r="D1519" s="248"/>
      <c r="E1519" s="249"/>
      <c r="F1519" s="249"/>
      <c r="G1519" s="249"/>
      <c r="H1519" s="249"/>
      <c r="I1519" s="249"/>
      <c r="J1519" s="253"/>
    </row>
    <row r="1520" spans="1:10" ht="14.5" x14ac:dyDescent="0.35">
      <c r="A1520" s="254"/>
      <c r="B1520" s="248"/>
      <c r="C1520" s="248"/>
      <c r="D1520" s="248"/>
      <c r="E1520" s="249"/>
      <c r="F1520" s="249"/>
      <c r="G1520" s="249"/>
      <c r="H1520" s="249"/>
      <c r="I1520" s="249"/>
      <c r="J1520" s="253"/>
    </row>
    <row r="1521" spans="1:10" ht="14.5" x14ac:dyDescent="0.35">
      <c r="A1521" s="254"/>
      <c r="B1521" s="248"/>
      <c r="C1521" s="248"/>
      <c r="D1521" s="248"/>
      <c r="E1521" s="249"/>
      <c r="F1521" s="249"/>
      <c r="G1521" s="249"/>
      <c r="H1521" s="249"/>
      <c r="I1521" s="249"/>
      <c r="J1521" s="253"/>
    </row>
    <row r="1522" spans="1:10" ht="14.5" x14ac:dyDescent="0.35">
      <c r="A1522" s="254"/>
      <c r="B1522" s="248"/>
      <c r="C1522" s="248"/>
      <c r="D1522" s="248"/>
      <c r="E1522" s="249"/>
      <c r="F1522" s="249"/>
      <c r="G1522" s="249"/>
      <c r="H1522" s="249"/>
      <c r="I1522" s="249"/>
      <c r="J1522" s="253"/>
    </row>
    <row r="1523" spans="1:10" ht="14.5" x14ac:dyDescent="0.35">
      <c r="A1523" s="254"/>
      <c r="B1523" s="248"/>
      <c r="C1523" s="248"/>
      <c r="D1523" s="248"/>
      <c r="E1523" s="249"/>
      <c r="F1523" s="249"/>
      <c r="G1523" s="249"/>
      <c r="H1523" s="249"/>
      <c r="I1523" s="249"/>
      <c r="J1523" s="253"/>
    </row>
    <row r="1524" spans="1:10" ht="14.5" x14ac:dyDescent="0.35">
      <c r="A1524" s="254"/>
      <c r="B1524" s="248"/>
      <c r="C1524" s="248"/>
      <c r="D1524" s="248"/>
      <c r="E1524" s="249"/>
      <c r="F1524" s="249"/>
      <c r="G1524" s="249"/>
      <c r="H1524" s="249"/>
      <c r="I1524" s="249"/>
      <c r="J1524" s="253"/>
    </row>
    <row r="1525" spans="1:10" ht="14.5" x14ac:dyDescent="0.35">
      <c r="A1525" s="254"/>
      <c r="B1525" s="248"/>
      <c r="C1525" s="248"/>
      <c r="D1525" s="248"/>
      <c r="E1525" s="249"/>
      <c r="F1525" s="249"/>
      <c r="G1525" s="249"/>
      <c r="H1525" s="249"/>
      <c r="I1525" s="249"/>
      <c r="J1525" s="253"/>
    </row>
    <row r="1526" spans="1:10" ht="14.5" x14ac:dyDescent="0.35">
      <c r="A1526" s="254"/>
      <c r="B1526" s="248"/>
      <c r="C1526" s="248"/>
      <c r="D1526" s="248"/>
      <c r="E1526" s="249"/>
      <c r="F1526" s="249"/>
      <c r="G1526" s="249"/>
      <c r="H1526" s="249"/>
      <c r="I1526" s="249"/>
      <c r="J1526" s="253"/>
    </row>
    <row r="1527" spans="1:10" ht="14.5" x14ac:dyDescent="0.35">
      <c r="A1527" s="254"/>
      <c r="B1527" s="248"/>
      <c r="C1527" s="248"/>
      <c r="D1527" s="248"/>
      <c r="E1527" s="249"/>
      <c r="F1527" s="249"/>
      <c r="G1527" s="249"/>
      <c r="H1527" s="249"/>
      <c r="I1527" s="249"/>
      <c r="J1527" s="253"/>
    </row>
    <row r="1528" spans="1:10" ht="14.5" x14ac:dyDescent="0.35">
      <c r="A1528" s="254"/>
      <c r="B1528" s="248"/>
      <c r="C1528" s="248"/>
      <c r="D1528" s="248"/>
      <c r="E1528" s="249"/>
      <c r="F1528" s="249"/>
      <c r="G1528" s="249"/>
      <c r="H1528" s="249"/>
      <c r="I1528" s="249"/>
      <c r="J1528" s="253"/>
    </row>
    <row r="1529" spans="1:10" ht="14.5" x14ac:dyDescent="0.35">
      <c r="A1529" s="254"/>
      <c r="B1529" s="248"/>
      <c r="C1529" s="248"/>
      <c r="D1529" s="248"/>
      <c r="E1529" s="249"/>
      <c r="F1529" s="249"/>
      <c r="G1529" s="249"/>
      <c r="H1529" s="249"/>
      <c r="I1529" s="249"/>
      <c r="J1529" s="253"/>
    </row>
    <row r="1530" spans="1:10" ht="14.5" x14ac:dyDescent="0.35">
      <c r="A1530" s="254"/>
      <c r="B1530" s="248"/>
      <c r="C1530" s="248"/>
      <c r="D1530" s="248"/>
      <c r="E1530" s="249"/>
      <c r="F1530" s="249"/>
      <c r="G1530" s="249"/>
      <c r="H1530" s="249"/>
      <c r="I1530" s="249"/>
      <c r="J1530" s="253"/>
    </row>
    <row r="1531" spans="1:10" ht="14.5" x14ac:dyDescent="0.35">
      <c r="A1531" s="254"/>
      <c r="B1531" s="248"/>
      <c r="C1531" s="248"/>
      <c r="D1531" s="248"/>
      <c r="E1531" s="249"/>
      <c r="F1531" s="249"/>
      <c r="G1531" s="249"/>
      <c r="H1531" s="249"/>
      <c r="I1531" s="249"/>
      <c r="J1531" s="253"/>
    </row>
    <row r="1532" spans="1:10" ht="14.5" x14ac:dyDescent="0.35">
      <c r="A1532" s="254"/>
      <c r="B1532" s="248"/>
      <c r="C1532" s="248"/>
      <c r="D1532" s="248"/>
      <c r="E1532" s="249"/>
      <c r="F1532" s="249"/>
      <c r="G1532" s="249"/>
      <c r="H1532" s="249"/>
      <c r="I1532" s="249"/>
      <c r="J1532" s="253"/>
    </row>
    <row r="1533" spans="1:10" ht="14.5" x14ac:dyDescent="0.35">
      <c r="A1533" s="254"/>
      <c r="B1533" s="248"/>
      <c r="C1533" s="248"/>
      <c r="D1533" s="248"/>
      <c r="E1533" s="249"/>
      <c r="F1533" s="249"/>
      <c r="G1533" s="249"/>
      <c r="H1533" s="249"/>
      <c r="I1533" s="249"/>
      <c r="J1533" s="253"/>
    </row>
    <row r="1534" spans="1:10" ht="14.5" x14ac:dyDescent="0.35">
      <c r="A1534" s="254"/>
      <c r="B1534" s="248"/>
      <c r="C1534" s="248"/>
      <c r="D1534" s="248"/>
      <c r="E1534" s="249"/>
      <c r="F1534" s="249"/>
      <c r="G1534" s="249"/>
      <c r="H1534" s="249"/>
      <c r="I1534" s="249"/>
      <c r="J1534" s="253"/>
    </row>
    <row r="1535" spans="1:10" ht="14.5" x14ac:dyDescent="0.35">
      <c r="A1535" s="254"/>
      <c r="B1535" s="248"/>
      <c r="C1535" s="248"/>
      <c r="D1535" s="248"/>
      <c r="E1535" s="249"/>
      <c r="F1535" s="249"/>
      <c r="G1535" s="249"/>
      <c r="H1535" s="249"/>
      <c r="I1535" s="249"/>
      <c r="J1535" s="253"/>
    </row>
    <row r="1536" spans="1:10" ht="14.5" x14ac:dyDescent="0.35">
      <c r="A1536" s="254"/>
      <c r="B1536" s="248"/>
      <c r="C1536" s="248"/>
      <c r="D1536" s="248"/>
      <c r="E1536" s="249"/>
      <c r="F1536" s="249"/>
      <c r="G1536" s="249"/>
      <c r="H1536" s="249"/>
      <c r="I1536" s="249"/>
      <c r="J1536" s="253"/>
    </row>
    <row r="1537" spans="1:10" ht="14.5" x14ac:dyDescent="0.35">
      <c r="A1537" s="254"/>
      <c r="B1537" s="248"/>
      <c r="C1537" s="248"/>
      <c r="D1537" s="248"/>
      <c r="E1537" s="249"/>
      <c r="F1537" s="249"/>
      <c r="G1537" s="249"/>
      <c r="H1537" s="249"/>
      <c r="I1537" s="249"/>
      <c r="J1537" s="253"/>
    </row>
    <row r="1538" spans="1:10" ht="14.5" x14ac:dyDescent="0.35">
      <c r="A1538" s="254"/>
      <c r="B1538" s="248"/>
      <c r="C1538" s="248"/>
      <c r="D1538" s="248"/>
      <c r="E1538" s="249"/>
      <c r="F1538" s="249"/>
      <c r="G1538" s="249"/>
      <c r="H1538" s="249"/>
      <c r="I1538" s="249"/>
      <c r="J1538" s="253"/>
    </row>
    <row r="1539" spans="1:10" ht="14.5" x14ac:dyDescent="0.35">
      <c r="A1539" s="254"/>
      <c r="B1539" s="248"/>
      <c r="C1539" s="248"/>
      <c r="D1539" s="248"/>
      <c r="E1539" s="249"/>
      <c r="F1539" s="249"/>
      <c r="G1539" s="249"/>
      <c r="H1539" s="249"/>
      <c r="I1539" s="249"/>
      <c r="J1539" s="253"/>
    </row>
    <row r="1540" spans="1:10" ht="14.5" x14ac:dyDescent="0.35">
      <c r="A1540" s="254"/>
      <c r="B1540" s="248"/>
      <c r="C1540" s="248"/>
      <c r="D1540" s="248"/>
      <c r="E1540" s="249"/>
      <c r="F1540" s="249"/>
      <c r="G1540" s="249"/>
      <c r="H1540" s="249"/>
      <c r="I1540" s="249"/>
      <c r="J1540" s="253"/>
    </row>
    <row r="1541" spans="1:10" ht="14.5" x14ac:dyDescent="0.35">
      <c r="A1541" s="254"/>
      <c r="B1541" s="248"/>
      <c r="C1541" s="248"/>
      <c r="D1541" s="248"/>
      <c r="E1541" s="249"/>
      <c r="F1541" s="249"/>
      <c r="G1541" s="249"/>
      <c r="H1541" s="249"/>
      <c r="I1541" s="249"/>
      <c r="J1541" s="253"/>
    </row>
    <row r="1542" spans="1:10" ht="14.5" x14ac:dyDescent="0.35">
      <c r="A1542" s="254"/>
      <c r="B1542" s="248"/>
      <c r="C1542" s="248"/>
      <c r="D1542" s="248"/>
      <c r="E1542" s="249"/>
      <c r="F1542" s="249"/>
      <c r="G1542" s="249"/>
      <c r="H1542" s="249"/>
      <c r="I1542" s="249"/>
      <c r="J1542" s="253"/>
    </row>
    <row r="1543" spans="1:10" ht="14.5" x14ac:dyDescent="0.35">
      <c r="A1543" s="254"/>
      <c r="B1543" s="248"/>
      <c r="C1543" s="248"/>
      <c r="D1543" s="248"/>
      <c r="E1543" s="249"/>
      <c r="F1543" s="249"/>
      <c r="G1543" s="249"/>
      <c r="H1543" s="249"/>
      <c r="I1543" s="249"/>
      <c r="J1543" s="253"/>
    </row>
    <row r="1544" spans="1:10" ht="14.5" x14ac:dyDescent="0.35">
      <c r="A1544" s="254"/>
      <c r="B1544" s="248"/>
      <c r="C1544" s="248"/>
      <c r="D1544" s="248"/>
      <c r="E1544" s="249"/>
      <c r="F1544" s="249"/>
      <c r="G1544" s="249"/>
      <c r="H1544" s="249"/>
      <c r="I1544" s="249"/>
      <c r="J1544" s="253"/>
    </row>
    <row r="1545" spans="1:10" ht="14.5" x14ac:dyDescent="0.35">
      <c r="A1545" s="254"/>
      <c r="B1545" s="248"/>
      <c r="C1545" s="248"/>
      <c r="D1545" s="248"/>
      <c r="E1545" s="249"/>
      <c r="F1545" s="249"/>
      <c r="G1545" s="249"/>
      <c r="H1545" s="249"/>
      <c r="I1545" s="249"/>
      <c r="J1545" s="253"/>
    </row>
    <row r="1546" spans="1:10" ht="14.5" x14ac:dyDescent="0.35">
      <c r="A1546" s="254"/>
      <c r="B1546" s="248"/>
      <c r="C1546" s="248"/>
      <c r="D1546" s="248"/>
      <c r="E1546" s="249"/>
      <c r="F1546" s="249"/>
      <c r="G1546" s="249"/>
      <c r="H1546" s="249"/>
      <c r="I1546" s="249"/>
      <c r="J1546" s="253"/>
    </row>
    <row r="1547" spans="1:10" ht="14.5" x14ac:dyDescent="0.35">
      <c r="A1547" s="254"/>
      <c r="B1547" s="248"/>
      <c r="C1547" s="248"/>
      <c r="D1547" s="248"/>
      <c r="E1547" s="249"/>
      <c r="F1547" s="249"/>
      <c r="G1547" s="249"/>
      <c r="H1547" s="249"/>
      <c r="I1547" s="249"/>
      <c r="J1547" s="253"/>
    </row>
    <row r="1548" spans="1:10" ht="14.5" x14ac:dyDescent="0.35">
      <c r="A1548" s="254"/>
      <c r="B1548" s="248"/>
      <c r="C1548" s="248"/>
      <c r="D1548" s="248"/>
      <c r="E1548" s="249"/>
      <c r="F1548" s="249"/>
      <c r="G1548" s="249"/>
      <c r="H1548" s="249"/>
      <c r="I1548" s="249"/>
      <c r="J1548" s="253"/>
    </row>
    <row r="1549" spans="1:10" ht="14.5" x14ac:dyDescent="0.35">
      <c r="A1549" s="254"/>
      <c r="B1549" s="248"/>
      <c r="C1549" s="248"/>
      <c r="D1549" s="248"/>
      <c r="E1549" s="249"/>
      <c r="F1549" s="249"/>
      <c r="G1549" s="249"/>
      <c r="H1549" s="249"/>
      <c r="I1549" s="249"/>
      <c r="J1549" s="253"/>
    </row>
    <row r="1550" spans="1:10" ht="14.5" x14ac:dyDescent="0.35">
      <c r="A1550" s="254"/>
      <c r="B1550" s="248"/>
      <c r="C1550" s="248"/>
      <c r="D1550" s="248"/>
      <c r="E1550" s="249"/>
      <c r="F1550" s="249"/>
      <c r="G1550" s="249"/>
      <c r="H1550" s="249"/>
      <c r="I1550" s="249"/>
      <c r="J1550" s="253"/>
    </row>
    <row r="1551" spans="1:10" ht="14.5" x14ac:dyDescent="0.35">
      <c r="A1551" s="254"/>
      <c r="B1551" s="248"/>
      <c r="C1551" s="248"/>
      <c r="D1551" s="248"/>
      <c r="E1551" s="249"/>
      <c r="F1551" s="249"/>
      <c r="G1551" s="249"/>
      <c r="H1551" s="249"/>
      <c r="I1551" s="249"/>
      <c r="J1551" s="253"/>
    </row>
    <row r="1552" spans="1:10" ht="14.5" x14ac:dyDescent="0.35">
      <c r="A1552" s="254"/>
      <c r="B1552" s="248"/>
      <c r="C1552" s="248"/>
      <c r="D1552" s="248"/>
      <c r="E1552" s="249"/>
      <c r="F1552" s="249"/>
      <c r="G1552" s="249"/>
      <c r="H1552" s="249"/>
      <c r="I1552" s="249"/>
      <c r="J1552" s="253"/>
    </row>
    <row r="1553" spans="1:10" ht="14.5" x14ac:dyDescent="0.35">
      <c r="A1553" s="254"/>
      <c r="B1553" s="248"/>
      <c r="C1553" s="248"/>
      <c r="D1553" s="248"/>
      <c r="E1553" s="249"/>
      <c r="F1553" s="249"/>
      <c r="G1553" s="249"/>
      <c r="H1553" s="249"/>
      <c r="I1553" s="249"/>
      <c r="J1553" s="253"/>
    </row>
    <row r="1554" spans="1:10" ht="14.5" x14ac:dyDescent="0.35">
      <c r="A1554" s="254"/>
      <c r="B1554" s="248"/>
      <c r="C1554" s="248"/>
      <c r="D1554" s="248"/>
      <c r="E1554" s="249"/>
      <c r="F1554" s="249"/>
      <c r="G1554" s="249"/>
      <c r="H1554" s="249"/>
      <c r="I1554" s="249"/>
      <c r="J1554" s="253"/>
    </row>
    <row r="1555" spans="1:10" ht="14.5" x14ac:dyDescent="0.35">
      <c r="A1555" s="254"/>
      <c r="B1555" s="248"/>
      <c r="C1555" s="248"/>
      <c r="D1555" s="248"/>
      <c r="E1555" s="249"/>
      <c r="F1555" s="249"/>
      <c r="G1555" s="249"/>
      <c r="H1555" s="249"/>
      <c r="I1555" s="249"/>
      <c r="J1555" s="253"/>
    </row>
    <row r="1556" spans="1:10" ht="14.5" x14ac:dyDescent="0.35">
      <c r="A1556" s="254"/>
      <c r="B1556" s="248"/>
      <c r="C1556" s="248"/>
      <c r="D1556" s="248"/>
      <c r="E1556" s="249"/>
      <c r="F1556" s="249"/>
      <c r="G1556" s="249"/>
      <c r="H1556" s="249"/>
      <c r="I1556" s="249"/>
      <c r="J1556" s="253"/>
    </row>
    <row r="1557" spans="1:10" ht="14.5" x14ac:dyDescent="0.35">
      <c r="A1557" s="254"/>
      <c r="B1557" s="248"/>
      <c r="C1557" s="248"/>
      <c r="D1557" s="248"/>
      <c r="E1557" s="249"/>
      <c r="F1557" s="249"/>
      <c r="G1557" s="249"/>
      <c r="H1557" s="249"/>
      <c r="I1557" s="249"/>
      <c r="J1557" s="253"/>
    </row>
    <row r="1558" spans="1:10" ht="14.5" x14ac:dyDescent="0.35">
      <c r="A1558" s="254"/>
      <c r="B1558" s="248"/>
      <c r="C1558" s="248"/>
      <c r="D1558" s="248"/>
      <c r="E1558" s="249"/>
      <c r="F1558" s="249"/>
      <c r="G1558" s="249"/>
      <c r="H1558" s="249"/>
      <c r="I1558" s="249"/>
      <c r="J1558" s="253"/>
    </row>
    <row r="1559" spans="1:10" ht="14.5" x14ac:dyDescent="0.35">
      <c r="A1559" s="254"/>
      <c r="B1559" s="248"/>
      <c r="C1559" s="248"/>
      <c r="D1559" s="248"/>
      <c r="E1559" s="249"/>
      <c r="F1559" s="249"/>
      <c r="G1559" s="249"/>
      <c r="H1559" s="249"/>
      <c r="I1559" s="249"/>
      <c r="J1559" s="253"/>
    </row>
    <row r="1560" spans="1:10" ht="14.5" x14ac:dyDescent="0.35">
      <c r="A1560" s="254"/>
      <c r="B1560" s="248"/>
      <c r="C1560" s="248"/>
      <c r="D1560" s="248"/>
      <c r="E1560" s="249"/>
      <c r="F1560" s="249"/>
      <c r="G1560" s="249"/>
      <c r="H1560" s="249"/>
      <c r="I1560" s="249"/>
      <c r="J1560" s="253"/>
    </row>
    <row r="1561" spans="1:10" ht="14.5" x14ac:dyDescent="0.35">
      <c r="A1561" s="254"/>
      <c r="B1561" s="248"/>
      <c r="C1561" s="248"/>
      <c r="D1561" s="248"/>
      <c r="E1561" s="249"/>
      <c r="F1561" s="249"/>
      <c r="G1561" s="249"/>
      <c r="H1561" s="249"/>
      <c r="I1561" s="249"/>
      <c r="J1561" s="253"/>
    </row>
    <row r="1562" spans="1:10" ht="14.5" x14ac:dyDescent="0.35">
      <c r="A1562" s="254"/>
      <c r="B1562" s="248"/>
      <c r="C1562" s="248"/>
      <c r="D1562" s="248"/>
      <c r="E1562" s="249"/>
      <c r="F1562" s="249"/>
      <c r="G1562" s="249"/>
      <c r="H1562" s="249"/>
      <c r="I1562" s="249"/>
      <c r="J1562" s="253"/>
    </row>
    <row r="1563" spans="1:10" ht="14.5" x14ac:dyDescent="0.35">
      <c r="A1563" s="254"/>
      <c r="B1563" s="248"/>
      <c r="C1563" s="248"/>
      <c r="D1563" s="248"/>
      <c r="E1563" s="249"/>
      <c r="F1563" s="249"/>
      <c r="G1563" s="249"/>
      <c r="H1563" s="249"/>
      <c r="I1563" s="249"/>
      <c r="J1563" s="253"/>
    </row>
    <row r="1564" spans="1:10" ht="14.5" x14ac:dyDescent="0.35">
      <c r="A1564" s="254"/>
      <c r="B1564" s="248"/>
      <c r="C1564" s="248"/>
      <c r="D1564" s="248"/>
      <c r="E1564" s="249"/>
      <c r="F1564" s="249"/>
      <c r="G1564" s="249"/>
      <c r="H1564" s="249"/>
      <c r="I1564" s="249"/>
      <c r="J1564" s="253"/>
    </row>
    <row r="1565" spans="1:10" ht="14.5" x14ac:dyDescent="0.35">
      <c r="A1565" s="254"/>
      <c r="B1565" s="248"/>
      <c r="C1565" s="248"/>
      <c r="D1565" s="248"/>
      <c r="E1565" s="249"/>
      <c r="F1565" s="249"/>
      <c r="G1565" s="249"/>
      <c r="H1565" s="249"/>
      <c r="I1565" s="249"/>
      <c r="J1565" s="253"/>
    </row>
    <row r="1566" spans="1:10" ht="14.5" x14ac:dyDescent="0.35">
      <c r="A1566" s="254"/>
      <c r="B1566" s="248"/>
      <c r="C1566" s="248"/>
      <c r="D1566" s="248"/>
      <c r="E1566" s="249"/>
      <c r="F1566" s="249"/>
      <c r="G1566" s="249"/>
      <c r="H1566" s="249"/>
      <c r="I1566" s="249"/>
      <c r="J1566" s="253"/>
    </row>
    <row r="1567" spans="1:10" ht="14.5" x14ac:dyDescent="0.35">
      <c r="A1567" s="254"/>
      <c r="B1567" s="248"/>
      <c r="C1567" s="248"/>
      <c r="D1567" s="248"/>
      <c r="E1567" s="249"/>
      <c r="F1567" s="249"/>
      <c r="G1567" s="249"/>
      <c r="H1567" s="249"/>
      <c r="I1567" s="249"/>
      <c r="J1567" s="253"/>
    </row>
    <row r="1568" spans="1:10" ht="14.5" x14ac:dyDescent="0.35">
      <c r="A1568" s="254"/>
      <c r="B1568" s="248"/>
      <c r="C1568" s="248"/>
      <c r="D1568" s="248"/>
      <c r="E1568" s="249"/>
      <c r="F1568" s="249"/>
      <c r="G1568" s="249"/>
      <c r="H1568" s="249"/>
      <c r="I1568" s="249"/>
      <c r="J1568" s="253"/>
    </row>
    <row r="1569" spans="1:10" ht="14.5" x14ac:dyDescent="0.35">
      <c r="A1569" s="254"/>
      <c r="B1569" s="248"/>
      <c r="C1569" s="248"/>
      <c r="D1569" s="248"/>
      <c r="E1569" s="249"/>
      <c r="F1569" s="249"/>
      <c r="G1569" s="249"/>
      <c r="H1569" s="249"/>
      <c r="I1569" s="249"/>
      <c r="J1569" s="253"/>
    </row>
    <row r="1570" spans="1:10" ht="14.5" x14ac:dyDescent="0.35">
      <c r="A1570" s="254"/>
      <c r="B1570" s="248"/>
      <c r="C1570" s="248"/>
      <c r="D1570" s="248"/>
      <c r="E1570" s="249"/>
      <c r="F1570" s="249"/>
      <c r="G1570" s="249"/>
      <c r="H1570" s="249"/>
      <c r="I1570" s="249"/>
      <c r="J1570" s="253"/>
    </row>
    <row r="1571" spans="1:10" ht="14.5" x14ac:dyDescent="0.35">
      <c r="A1571" s="254"/>
      <c r="B1571" s="248"/>
      <c r="C1571" s="248"/>
      <c r="D1571" s="248"/>
      <c r="E1571" s="249"/>
      <c r="F1571" s="249"/>
      <c r="G1571" s="249"/>
      <c r="H1571" s="249"/>
      <c r="I1571" s="249"/>
      <c r="J1571" s="253"/>
    </row>
    <row r="1572" spans="1:10" ht="14.5" x14ac:dyDescent="0.35">
      <c r="A1572" s="254"/>
      <c r="B1572" s="248"/>
      <c r="C1572" s="248"/>
      <c r="D1572" s="248"/>
      <c r="E1572" s="249"/>
      <c r="F1572" s="249"/>
      <c r="G1572" s="249"/>
      <c r="H1572" s="249"/>
      <c r="I1572" s="249"/>
      <c r="J1572" s="253"/>
    </row>
    <row r="1573" spans="1:10" ht="14.5" x14ac:dyDescent="0.35">
      <c r="A1573" s="254"/>
      <c r="B1573" s="248"/>
      <c r="C1573" s="248"/>
      <c r="D1573" s="248"/>
      <c r="E1573" s="249"/>
      <c r="F1573" s="249"/>
      <c r="G1573" s="249"/>
      <c r="H1573" s="249"/>
      <c r="I1573" s="249"/>
      <c r="J1573" s="253"/>
    </row>
    <row r="1574" spans="1:10" ht="14.5" x14ac:dyDescent="0.35">
      <c r="A1574" s="254"/>
      <c r="B1574" s="248"/>
      <c r="C1574" s="248"/>
      <c r="D1574" s="248"/>
      <c r="E1574" s="249"/>
      <c r="F1574" s="249"/>
      <c r="G1574" s="249"/>
      <c r="H1574" s="249"/>
      <c r="I1574" s="249"/>
      <c r="J1574" s="253"/>
    </row>
    <row r="1575" spans="1:10" ht="14.5" x14ac:dyDescent="0.35">
      <c r="A1575" s="254"/>
      <c r="B1575" s="248"/>
      <c r="C1575" s="248"/>
      <c r="D1575" s="248"/>
      <c r="E1575" s="249"/>
      <c r="F1575" s="249"/>
      <c r="G1575" s="249"/>
      <c r="H1575" s="249"/>
      <c r="I1575" s="249"/>
      <c r="J1575" s="253"/>
    </row>
    <row r="1576" spans="1:10" ht="14.5" x14ac:dyDescent="0.35">
      <c r="A1576" s="254"/>
      <c r="B1576" s="248"/>
      <c r="C1576" s="248"/>
      <c r="D1576" s="248"/>
      <c r="E1576" s="249"/>
      <c r="F1576" s="249"/>
      <c r="G1576" s="249"/>
      <c r="H1576" s="249"/>
      <c r="I1576" s="249"/>
      <c r="J1576" s="253"/>
    </row>
    <row r="1577" spans="1:10" ht="14.5" x14ac:dyDescent="0.35">
      <c r="A1577" s="254"/>
      <c r="B1577" s="248"/>
      <c r="C1577" s="248"/>
      <c r="D1577" s="248"/>
      <c r="E1577" s="249"/>
      <c r="F1577" s="249"/>
      <c r="G1577" s="249"/>
      <c r="H1577" s="249"/>
      <c r="I1577" s="249"/>
      <c r="J1577" s="253"/>
    </row>
    <row r="1578" spans="1:10" ht="14.5" x14ac:dyDescent="0.35">
      <c r="A1578" s="254"/>
      <c r="B1578" s="248"/>
      <c r="C1578" s="248"/>
      <c r="D1578" s="248"/>
      <c r="E1578" s="249"/>
      <c r="F1578" s="249"/>
      <c r="G1578" s="249"/>
      <c r="H1578" s="249"/>
      <c r="I1578" s="249"/>
      <c r="J1578" s="253"/>
    </row>
    <row r="1579" spans="1:10" ht="14.5" x14ac:dyDescent="0.35">
      <c r="A1579" s="254"/>
      <c r="B1579" s="248"/>
      <c r="C1579" s="248"/>
      <c r="D1579" s="248"/>
      <c r="E1579" s="249"/>
      <c r="F1579" s="249"/>
      <c r="G1579" s="249"/>
      <c r="H1579" s="249"/>
      <c r="I1579" s="249"/>
      <c r="J1579" s="253"/>
    </row>
    <row r="1580" spans="1:10" ht="14.5" x14ac:dyDescent="0.35">
      <c r="A1580" s="254"/>
      <c r="B1580" s="248"/>
      <c r="C1580" s="248"/>
      <c r="D1580" s="248"/>
      <c r="E1580" s="249"/>
      <c r="F1580" s="249"/>
      <c r="G1580" s="249"/>
      <c r="H1580" s="249"/>
      <c r="I1580" s="249"/>
      <c r="J1580" s="253"/>
    </row>
    <row r="1581" spans="1:10" ht="14.5" x14ac:dyDescent="0.35">
      <c r="A1581" s="254"/>
      <c r="B1581" s="248"/>
      <c r="C1581" s="248"/>
      <c r="D1581" s="248"/>
      <c r="E1581" s="249"/>
      <c r="F1581" s="249"/>
      <c r="G1581" s="249"/>
      <c r="H1581" s="249"/>
      <c r="I1581" s="249"/>
      <c r="J1581" s="253"/>
    </row>
    <row r="1582" spans="1:10" ht="14.5" x14ac:dyDescent="0.35">
      <c r="A1582" s="254"/>
      <c r="B1582" s="248"/>
      <c r="C1582" s="248"/>
      <c r="D1582" s="248"/>
      <c r="E1582" s="249"/>
      <c r="F1582" s="249"/>
      <c r="G1582" s="249"/>
      <c r="H1582" s="249"/>
      <c r="I1582" s="249"/>
      <c r="J1582" s="253"/>
    </row>
    <row r="1583" spans="1:10" ht="14.5" x14ac:dyDescent="0.35">
      <c r="A1583" s="254"/>
      <c r="B1583" s="248"/>
      <c r="C1583" s="248"/>
      <c r="D1583" s="248"/>
      <c r="E1583" s="249"/>
      <c r="F1583" s="249"/>
      <c r="G1583" s="249"/>
      <c r="H1583" s="249"/>
      <c r="I1583" s="249"/>
      <c r="J1583" s="253"/>
    </row>
    <row r="1584" spans="1:10" ht="14.5" x14ac:dyDescent="0.35">
      <c r="A1584" s="254"/>
      <c r="B1584" s="248"/>
      <c r="C1584" s="248"/>
      <c r="D1584" s="248"/>
      <c r="E1584" s="249"/>
      <c r="F1584" s="249"/>
      <c r="G1584" s="249"/>
      <c r="H1584" s="249"/>
      <c r="I1584" s="249"/>
      <c r="J1584" s="253"/>
    </row>
    <row r="1585" spans="1:10" ht="14.5" x14ac:dyDescent="0.35">
      <c r="A1585" s="254"/>
      <c r="B1585" s="248"/>
      <c r="C1585" s="248"/>
      <c r="D1585" s="248"/>
      <c r="E1585" s="249"/>
      <c r="F1585" s="249"/>
      <c r="G1585" s="249"/>
      <c r="H1585" s="249"/>
      <c r="I1585" s="249"/>
      <c r="J1585" s="253"/>
    </row>
    <row r="1586" spans="1:10" ht="14.5" x14ac:dyDescent="0.35">
      <c r="A1586" s="254"/>
      <c r="B1586" s="248"/>
      <c r="C1586" s="248"/>
      <c r="D1586" s="248"/>
      <c r="E1586" s="249"/>
      <c r="F1586" s="249"/>
      <c r="G1586" s="249"/>
      <c r="H1586" s="249"/>
      <c r="I1586" s="249"/>
      <c r="J1586" s="253"/>
    </row>
    <row r="1587" spans="1:10" ht="14.5" x14ac:dyDescent="0.35">
      <c r="A1587" s="254"/>
      <c r="B1587" s="248"/>
      <c r="C1587" s="248"/>
      <c r="D1587" s="248"/>
      <c r="E1587" s="249"/>
      <c r="F1587" s="249"/>
      <c r="G1587" s="249"/>
      <c r="H1587" s="249"/>
      <c r="I1587" s="249"/>
      <c r="J1587" s="253"/>
    </row>
    <row r="1588" spans="1:10" ht="14.5" x14ac:dyDescent="0.35">
      <c r="A1588" s="254"/>
      <c r="B1588" s="248"/>
      <c r="C1588" s="248"/>
      <c r="D1588" s="248"/>
      <c r="E1588" s="249"/>
      <c r="F1588" s="249"/>
      <c r="G1588" s="249"/>
      <c r="H1588" s="249"/>
      <c r="I1588" s="249"/>
      <c r="J1588" s="253"/>
    </row>
    <row r="1589" spans="1:10" ht="14.5" x14ac:dyDescent="0.35">
      <c r="A1589" s="254"/>
      <c r="B1589" s="248"/>
      <c r="C1589" s="248"/>
      <c r="D1589" s="248"/>
      <c r="E1589" s="249"/>
      <c r="F1589" s="249"/>
      <c r="G1589" s="249"/>
      <c r="H1589" s="249"/>
      <c r="I1589" s="249"/>
      <c r="J1589" s="253"/>
    </row>
    <row r="1590" spans="1:10" ht="14.5" x14ac:dyDescent="0.35">
      <c r="A1590" s="254"/>
      <c r="B1590" s="248"/>
      <c r="C1590" s="248"/>
      <c r="D1590" s="248"/>
      <c r="E1590" s="249"/>
      <c r="F1590" s="249"/>
      <c r="G1590" s="249"/>
      <c r="H1590" s="249"/>
      <c r="I1590" s="249"/>
      <c r="J1590" s="253"/>
    </row>
    <row r="1591" spans="1:10" ht="14.5" x14ac:dyDescent="0.35">
      <c r="A1591" s="254"/>
      <c r="B1591" s="248"/>
      <c r="C1591" s="248"/>
      <c r="D1591" s="248"/>
      <c r="E1591" s="249"/>
      <c r="F1591" s="249"/>
      <c r="G1591" s="249"/>
      <c r="H1591" s="249"/>
      <c r="I1591" s="249"/>
      <c r="J1591" s="253"/>
    </row>
    <row r="1592" spans="1:10" ht="14.5" x14ac:dyDescent="0.35">
      <c r="A1592" s="254"/>
      <c r="B1592" s="248"/>
      <c r="C1592" s="248"/>
      <c r="D1592" s="248"/>
      <c r="E1592" s="249"/>
      <c r="F1592" s="249"/>
      <c r="G1592" s="249"/>
      <c r="H1592" s="249"/>
      <c r="I1592" s="249"/>
      <c r="J1592" s="253"/>
    </row>
    <row r="1593" spans="1:10" ht="14.5" x14ac:dyDescent="0.35">
      <c r="A1593" s="254"/>
      <c r="B1593" s="248"/>
      <c r="C1593" s="248"/>
      <c r="D1593" s="248"/>
      <c r="E1593" s="249"/>
      <c r="F1593" s="249"/>
      <c r="G1593" s="249"/>
      <c r="H1593" s="249"/>
      <c r="I1593" s="249"/>
      <c r="J1593" s="253"/>
    </row>
    <row r="1594" spans="1:10" ht="14.5" x14ac:dyDescent="0.35">
      <c r="A1594" s="254"/>
      <c r="B1594" s="248"/>
      <c r="C1594" s="248"/>
      <c r="D1594" s="248"/>
      <c r="E1594" s="249"/>
      <c r="F1594" s="249"/>
      <c r="G1594" s="249"/>
      <c r="H1594" s="249"/>
      <c r="I1594" s="249"/>
      <c r="J1594" s="253"/>
    </row>
    <row r="1595" spans="1:10" ht="14.5" x14ac:dyDescent="0.35">
      <c r="A1595" s="254"/>
      <c r="B1595" s="248"/>
      <c r="C1595" s="248"/>
      <c r="D1595" s="248"/>
      <c r="E1595" s="249"/>
      <c r="F1595" s="249"/>
      <c r="G1595" s="249"/>
      <c r="H1595" s="249"/>
      <c r="I1595" s="249"/>
      <c r="J1595" s="253"/>
    </row>
    <row r="1596" spans="1:10" ht="14.5" x14ac:dyDescent="0.35">
      <c r="A1596" s="254"/>
      <c r="B1596" s="248"/>
      <c r="C1596" s="248"/>
      <c r="D1596" s="248"/>
      <c r="E1596" s="249"/>
      <c r="F1596" s="249"/>
      <c r="G1596" s="249"/>
      <c r="H1596" s="249"/>
      <c r="I1596" s="249"/>
      <c r="J1596" s="253"/>
    </row>
    <row r="1597" spans="1:10" ht="14.5" x14ac:dyDescent="0.35">
      <c r="A1597" s="254"/>
      <c r="B1597" s="248"/>
      <c r="C1597" s="248"/>
      <c r="D1597" s="248"/>
      <c r="E1597" s="249"/>
      <c r="F1597" s="249"/>
      <c r="G1597" s="249"/>
      <c r="H1597" s="249"/>
      <c r="I1597" s="249"/>
      <c r="J1597" s="253"/>
    </row>
    <row r="1598" spans="1:10" ht="14.5" x14ac:dyDescent="0.35">
      <c r="A1598" s="254"/>
      <c r="B1598" s="248"/>
      <c r="C1598" s="248"/>
      <c r="D1598" s="248"/>
      <c r="E1598" s="249"/>
      <c r="F1598" s="249"/>
      <c r="G1598" s="249"/>
      <c r="H1598" s="249"/>
      <c r="I1598" s="249"/>
      <c r="J1598" s="253"/>
    </row>
    <row r="1599" spans="1:10" ht="14.5" x14ac:dyDescent="0.35">
      <c r="A1599" s="254"/>
      <c r="B1599" s="248"/>
      <c r="C1599" s="248"/>
      <c r="D1599" s="248"/>
      <c r="E1599" s="249"/>
      <c r="F1599" s="249"/>
      <c r="G1599" s="249"/>
      <c r="H1599" s="249"/>
      <c r="I1599" s="249"/>
      <c r="J1599" s="253"/>
    </row>
    <row r="1600" spans="1:10" ht="14.5" x14ac:dyDescent="0.35">
      <c r="A1600" s="254"/>
      <c r="B1600" s="248"/>
      <c r="C1600" s="248"/>
      <c r="D1600" s="248"/>
      <c r="E1600" s="249"/>
      <c r="F1600" s="249"/>
      <c r="G1600" s="249"/>
      <c r="H1600" s="249"/>
      <c r="I1600" s="249"/>
      <c r="J1600" s="253"/>
    </row>
    <row r="1601" spans="1:10" ht="14.5" x14ac:dyDescent="0.35">
      <c r="A1601" s="254"/>
      <c r="B1601" s="248"/>
      <c r="C1601" s="248"/>
      <c r="D1601" s="248"/>
      <c r="E1601" s="249"/>
      <c r="F1601" s="249"/>
      <c r="G1601" s="249"/>
      <c r="H1601" s="249"/>
      <c r="I1601" s="249"/>
      <c r="J1601" s="253"/>
    </row>
    <row r="1602" spans="1:10" ht="14.5" x14ac:dyDescent="0.35">
      <c r="A1602" s="254"/>
      <c r="B1602" s="248"/>
      <c r="C1602" s="248"/>
      <c r="D1602" s="248"/>
      <c r="E1602" s="249"/>
      <c r="F1602" s="249"/>
      <c r="G1602" s="249"/>
      <c r="H1602" s="249"/>
      <c r="I1602" s="249"/>
      <c r="J1602" s="253"/>
    </row>
    <row r="1603" spans="1:10" ht="14.5" x14ac:dyDescent="0.35">
      <c r="A1603" s="254"/>
      <c r="B1603" s="248"/>
      <c r="C1603" s="248"/>
      <c r="D1603" s="248"/>
      <c r="E1603" s="249"/>
      <c r="F1603" s="249"/>
      <c r="G1603" s="249"/>
      <c r="H1603" s="249"/>
      <c r="I1603" s="249"/>
      <c r="J1603" s="253"/>
    </row>
    <row r="1604" spans="1:10" ht="14.5" x14ac:dyDescent="0.35">
      <c r="A1604" s="254"/>
      <c r="B1604" s="248"/>
      <c r="C1604" s="248"/>
      <c r="D1604" s="248"/>
      <c r="E1604" s="249"/>
      <c r="F1604" s="249"/>
      <c r="G1604" s="249"/>
      <c r="H1604" s="249"/>
      <c r="I1604" s="249"/>
      <c r="J1604" s="253"/>
    </row>
    <row r="1605" spans="1:10" ht="14.5" x14ac:dyDescent="0.35">
      <c r="A1605" s="254"/>
      <c r="B1605" s="248"/>
      <c r="C1605" s="248"/>
      <c r="D1605" s="248"/>
      <c r="E1605" s="249"/>
      <c r="F1605" s="249"/>
      <c r="G1605" s="249"/>
      <c r="H1605" s="249"/>
      <c r="I1605" s="249"/>
      <c r="J1605" s="253"/>
    </row>
    <row r="1606" spans="1:10" ht="14.5" x14ac:dyDescent="0.35">
      <c r="A1606" s="254"/>
      <c r="B1606" s="248"/>
      <c r="C1606" s="248"/>
      <c r="D1606" s="248"/>
      <c r="E1606" s="249"/>
      <c r="F1606" s="249"/>
      <c r="G1606" s="249"/>
      <c r="H1606" s="249"/>
      <c r="I1606" s="249"/>
      <c r="J1606" s="253"/>
    </row>
    <row r="1607" spans="1:10" ht="14.5" x14ac:dyDescent="0.35">
      <c r="A1607" s="254"/>
      <c r="B1607" s="248"/>
      <c r="C1607" s="248"/>
      <c r="D1607" s="248"/>
      <c r="E1607" s="249"/>
      <c r="F1607" s="249"/>
      <c r="G1607" s="249"/>
      <c r="H1607" s="249"/>
      <c r="I1607" s="249"/>
      <c r="J1607" s="253"/>
    </row>
    <row r="1608" spans="1:10" ht="14.5" x14ac:dyDescent="0.35">
      <c r="A1608" s="254"/>
      <c r="B1608" s="248"/>
      <c r="C1608" s="248"/>
      <c r="D1608" s="248"/>
      <c r="E1608" s="249"/>
      <c r="F1608" s="249"/>
      <c r="G1608" s="249"/>
      <c r="H1608" s="249"/>
      <c r="I1608" s="249"/>
      <c r="J1608" s="253"/>
    </row>
    <row r="1609" spans="1:10" ht="14.5" x14ac:dyDescent="0.35">
      <c r="A1609" s="254"/>
      <c r="B1609" s="248"/>
      <c r="C1609" s="248"/>
      <c r="D1609" s="248"/>
      <c r="E1609" s="249"/>
      <c r="F1609" s="249"/>
      <c r="G1609" s="249"/>
      <c r="H1609" s="249"/>
      <c r="I1609" s="249"/>
      <c r="J1609" s="253"/>
    </row>
    <row r="1610" spans="1:10" ht="14.5" x14ac:dyDescent="0.35">
      <c r="A1610" s="254"/>
      <c r="B1610" s="248"/>
      <c r="C1610" s="248"/>
      <c r="D1610" s="248"/>
      <c r="E1610" s="249"/>
      <c r="F1610" s="249"/>
      <c r="G1610" s="249"/>
      <c r="H1610" s="249"/>
      <c r="I1610" s="249"/>
      <c r="J1610" s="253"/>
    </row>
    <row r="1611" spans="1:10" ht="14.5" x14ac:dyDescent="0.35">
      <c r="A1611" s="254"/>
      <c r="B1611" s="248"/>
      <c r="C1611" s="248"/>
      <c r="D1611" s="248"/>
      <c r="E1611" s="249"/>
      <c r="F1611" s="249"/>
      <c r="G1611" s="249"/>
      <c r="H1611" s="249"/>
      <c r="I1611" s="249"/>
      <c r="J1611" s="253"/>
    </row>
    <row r="1612" spans="1:10" ht="14.5" x14ac:dyDescent="0.35">
      <c r="A1612" s="254"/>
      <c r="B1612" s="248"/>
      <c r="C1612" s="248"/>
      <c r="D1612" s="248"/>
      <c r="E1612" s="249"/>
      <c r="F1612" s="249"/>
      <c r="G1612" s="249"/>
      <c r="H1612" s="249"/>
      <c r="I1612" s="249"/>
      <c r="J1612" s="253"/>
    </row>
    <row r="1613" spans="1:10" ht="14.5" x14ac:dyDescent="0.35">
      <c r="A1613" s="254"/>
      <c r="B1613" s="248"/>
      <c r="C1613" s="248"/>
      <c r="D1613" s="248"/>
      <c r="E1613" s="249"/>
      <c r="F1613" s="249"/>
      <c r="G1613" s="249"/>
      <c r="H1613" s="249"/>
      <c r="I1613" s="249"/>
      <c r="J1613" s="253"/>
    </row>
    <row r="1614" spans="1:10" ht="14.5" x14ac:dyDescent="0.35">
      <c r="A1614" s="254"/>
      <c r="B1614" s="248"/>
      <c r="C1614" s="248"/>
      <c r="D1614" s="248"/>
      <c r="E1614" s="249"/>
      <c r="F1614" s="249"/>
      <c r="G1614" s="249"/>
      <c r="H1614" s="249"/>
      <c r="I1614" s="249"/>
      <c r="J1614" s="253"/>
    </row>
    <row r="1615" spans="1:10" ht="14.5" x14ac:dyDescent="0.35">
      <c r="A1615" s="254"/>
      <c r="B1615" s="248"/>
      <c r="C1615" s="248"/>
      <c r="D1615" s="248"/>
      <c r="E1615" s="249"/>
      <c r="F1615" s="249"/>
      <c r="G1615" s="249"/>
      <c r="H1615" s="249"/>
      <c r="I1615" s="249"/>
      <c r="J1615" s="253"/>
    </row>
    <row r="1616" spans="1:10" ht="14.5" x14ac:dyDescent="0.35">
      <c r="A1616" s="254"/>
      <c r="B1616" s="248"/>
      <c r="C1616" s="248"/>
      <c r="D1616" s="248"/>
      <c r="E1616" s="249"/>
      <c r="F1616" s="249"/>
      <c r="G1616" s="249"/>
      <c r="H1616" s="249"/>
      <c r="I1616" s="249"/>
      <c r="J1616" s="253"/>
    </row>
    <row r="1617" spans="1:10" ht="14.5" x14ac:dyDescent="0.35">
      <c r="A1617" s="254"/>
      <c r="B1617" s="248"/>
      <c r="C1617" s="248"/>
      <c r="D1617" s="248"/>
      <c r="E1617" s="249"/>
      <c r="F1617" s="249"/>
      <c r="G1617" s="249"/>
      <c r="H1617" s="249"/>
      <c r="I1617" s="249"/>
      <c r="J1617" s="253"/>
    </row>
    <row r="1618" spans="1:10" ht="14.5" x14ac:dyDescent="0.35">
      <c r="A1618" s="254"/>
      <c r="B1618" s="248"/>
      <c r="C1618" s="248"/>
      <c r="D1618" s="248"/>
      <c r="E1618" s="249"/>
      <c r="F1618" s="249"/>
      <c r="G1618" s="249"/>
      <c r="H1618" s="249"/>
      <c r="I1618" s="249"/>
      <c r="J1618" s="253"/>
    </row>
    <row r="1619" spans="1:10" ht="14.5" x14ac:dyDescent="0.35">
      <c r="A1619" s="254"/>
      <c r="B1619" s="248"/>
      <c r="C1619" s="248"/>
      <c r="D1619" s="248"/>
      <c r="E1619" s="249"/>
      <c r="F1619" s="249"/>
      <c r="G1619" s="249"/>
      <c r="H1619" s="249"/>
      <c r="I1619" s="249"/>
      <c r="J1619" s="253"/>
    </row>
    <row r="1620" spans="1:10" ht="14.5" x14ac:dyDescent="0.35">
      <c r="A1620" s="254"/>
      <c r="B1620" s="248"/>
      <c r="C1620" s="248"/>
      <c r="D1620" s="248"/>
      <c r="E1620" s="249"/>
      <c r="F1620" s="249"/>
      <c r="G1620" s="249"/>
      <c r="H1620" s="249"/>
      <c r="I1620" s="249"/>
      <c r="J1620" s="253"/>
    </row>
    <row r="1621" spans="1:10" ht="14.5" x14ac:dyDescent="0.35">
      <c r="A1621" s="254"/>
      <c r="B1621" s="248"/>
      <c r="C1621" s="248"/>
      <c r="D1621" s="248"/>
      <c r="E1621" s="249"/>
      <c r="F1621" s="249"/>
      <c r="G1621" s="249"/>
      <c r="H1621" s="249"/>
      <c r="I1621" s="249"/>
      <c r="J1621" s="253"/>
    </row>
    <row r="1622" spans="1:10" ht="14.5" x14ac:dyDescent="0.35">
      <c r="A1622" s="254"/>
      <c r="B1622" s="248"/>
      <c r="C1622" s="248"/>
      <c r="D1622" s="248"/>
      <c r="E1622" s="249"/>
      <c r="F1622" s="249"/>
      <c r="G1622" s="249"/>
      <c r="H1622" s="249"/>
      <c r="I1622" s="249"/>
      <c r="J1622" s="253"/>
    </row>
    <row r="1623" spans="1:10" ht="14.5" x14ac:dyDescent="0.35">
      <c r="A1623" s="254"/>
      <c r="B1623" s="248"/>
      <c r="C1623" s="248"/>
      <c r="D1623" s="248"/>
      <c r="E1623" s="249"/>
      <c r="F1623" s="249"/>
      <c r="G1623" s="249"/>
      <c r="H1623" s="249"/>
      <c r="I1623" s="249"/>
      <c r="J1623" s="253"/>
    </row>
    <row r="1624" spans="1:10" ht="14.5" x14ac:dyDescent="0.35">
      <c r="A1624" s="254"/>
      <c r="B1624" s="248"/>
      <c r="C1624" s="248"/>
      <c r="D1624" s="248"/>
      <c r="E1624" s="249"/>
      <c r="F1624" s="249"/>
      <c r="G1624" s="249"/>
      <c r="H1624" s="249"/>
      <c r="I1624" s="249"/>
      <c r="J1624" s="253"/>
    </row>
    <row r="1625" spans="1:10" ht="14.5" x14ac:dyDescent="0.35">
      <c r="A1625" s="254"/>
      <c r="B1625" s="248"/>
      <c r="C1625" s="248"/>
      <c r="D1625" s="248"/>
      <c r="E1625" s="249"/>
      <c r="F1625" s="249"/>
      <c r="G1625" s="249"/>
      <c r="H1625" s="249"/>
      <c r="I1625" s="249"/>
      <c r="J1625" s="253"/>
    </row>
    <row r="1626" spans="1:10" ht="14.5" x14ac:dyDescent="0.35">
      <c r="A1626" s="254"/>
      <c r="B1626" s="248"/>
      <c r="C1626" s="248"/>
      <c r="D1626" s="248"/>
      <c r="E1626" s="249"/>
      <c r="F1626" s="249"/>
      <c r="G1626" s="249"/>
      <c r="H1626" s="249"/>
      <c r="I1626" s="249"/>
      <c r="J1626" s="253"/>
    </row>
    <row r="1627" spans="1:10" ht="14.5" x14ac:dyDescent="0.35">
      <c r="A1627" s="254"/>
      <c r="B1627" s="248"/>
      <c r="C1627" s="248"/>
      <c r="D1627" s="248"/>
      <c r="E1627" s="249"/>
      <c r="F1627" s="249"/>
      <c r="G1627" s="249"/>
      <c r="H1627" s="249"/>
      <c r="I1627" s="249"/>
      <c r="J1627" s="253"/>
    </row>
    <row r="1628" spans="1:10" ht="14.5" x14ac:dyDescent="0.35">
      <c r="A1628" s="254"/>
      <c r="B1628" s="248"/>
      <c r="C1628" s="248"/>
      <c r="D1628" s="248"/>
      <c r="E1628" s="249"/>
      <c r="F1628" s="249"/>
      <c r="G1628" s="249"/>
      <c r="H1628" s="249"/>
      <c r="I1628" s="249"/>
      <c r="J1628" s="253"/>
    </row>
    <row r="1629" spans="1:10" ht="14.5" x14ac:dyDescent="0.35">
      <c r="A1629" s="254"/>
      <c r="B1629" s="248"/>
      <c r="C1629" s="248"/>
      <c r="D1629" s="248"/>
      <c r="E1629" s="249"/>
      <c r="F1629" s="249"/>
      <c r="G1629" s="249"/>
      <c r="H1629" s="249"/>
      <c r="I1629" s="249"/>
      <c r="J1629" s="253"/>
    </row>
    <row r="1630" spans="1:10" ht="14.5" x14ac:dyDescent="0.35">
      <c r="A1630" s="254"/>
      <c r="B1630" s="248"/>
      <c r="C1630" s="248"/>
      <c r="D1630" s="248"/>
      <c r="E1630" s="249"/>
      <c r="F1630" s="249"/>
      <c r="G1630" s="249"/>
      <c r="H1630" s="249"/>
      <c r="I1630" s="249"/>
      <c r="J1630" s="253"/>
    </row>
    <row r="1631" spans="1:10" ht="14.5" x14ac:dyDescent="0.35">
      <c r="A1631" s="254"/>
      <c r="B1631" s="248"/>
      <c r="C1631" s="248"/>
      <c r="D1631" s="248"/>
      <c r="E1631" s="249"/>
      <c r="F1631" s="249"/>
      <c r="G1631" s="249"/>
      <c r="H1631" s="249"/>
      <c r="I1631" s="249"/>
      <c r="J1631" s="253"/>
    </row>
    <row r="1632" spans="1:10" ht="14.5" x14ac:dyDescent="0.35">
      <c r="A1632" s="254"/>
      <c r="B1632" s="248"/>
      <c r="C1632" s="248"/>
      <c r="D1632" s="248"/>
      <c r="E1632" s="249"/>
      <c r="F1632" s="249"/>
      <c r="G1632" s="249"/>
      <c r="H1632" s="249"/>
      <c r="I1632" s="249"/>
      <c r="J1632" s="253"/>
    </row>
    <row r="1633" spans="1:10" ht="14.5" x14ac:dyDescent="0.35">
      <c r="A1633" s="254"/>
      <c r="B1633" s="248"/>
      <c r="C1633" s="248"/>
      <c r="D1633" s="248"/>
      <c r="E1633" s="249"/>
      <c r="F1633" s="249"/>
      <c r="G1633" s="249"/>
      <c r="H1633" s="249"/>
      <c r="I1633" s="249"/>
      <c r="J1633" s="253"/>
    </row>
    <row r="1634" spans="1:10" ht="14.5" x14ac:dyDescent="0.35">
      <c r="A1634" s="254"/>
      <c r="B1634" s="248"/>
      <c r="C1634" s="248"/>
      <c r="D1634" s="248"/>
      <c r="E1634" s="249"/>
      <c r="F1634" s="249"/>
      <c r="G1634" s="249"/>
      <c r="H1634" s="249"/>
      <c r="I1634" s="249"/>
      <c r="J1634" s="253"/>
    </row>
    <row r="1635" spans="1:10" ht="14.5" x14ac:dyDescent="0.35">
      <c r="A1635" s="254"/>
      <c r="B1635" s="248"/>
      <c r="C1635" s="248"/>
      <c r="D1635" s="248"/>
      <c r="E1635" s="249"/>
      <c r="F1635" s="249"/>
      <c r="G1635" s="249"/>
      <c r="H1635" s="249"/>
      <c r="I1635" s="249"/>
      <c r="J1635" s="253"/>
    </row>
    <row r="1636" spans="1:10" ht="14.5" x14ac:dyDescent="0.35">
      <c r="A1636" s="254"/>
      <c r="B1636" s="248"/>
      <c r="C1636" s="248"/>
      <c r="D1636" s="248"/>
      <c r="E1636" s="249"/>
      <c r="F1636" s="249"/>
      <c r="G1636" s="249"/>
      <c r="H1636" s="249"/>
      <c r="I1636" s="249"/>
      <c r="J1636" s="253"/>
    </row>
    <row r="1637" spans="1:10" ht="14.5" x14ac:dyDescent="0.35">
      <c r="A1637" s="254"/>
      <c r="B1637" s="248"/>
      <c r="C1637" s="248"/>
      <c r="D1637" s="248"/>
      <c r="E1637" s="249"/>
      <c r="F1637" s="249"/>
      <c r="G1637" s="249"/>
      <c r="H1637" s="249"/>
      <c r="I1637" s="249"/>
      <c r="J1637" s="253"/>
    </row>
    <row r="1638" spans="1:10" ht="14.5" x14ac:dyDescent="0.35">
      <c r="A1638" s="254"/>
      <c r="B1638" s="248"/>
      <c r="C1638" s="248"/>
      <c r="D1638" s="248"/>
      <c r="E1638" s="249"/>
      <c r="F1638" s="249"/>
      <c r="G1638" s="249"/>
      <c r="H1638" s="249"/>
      <c r="I1638" s="249"/>
      <c r="J1638" s="253"/>
    </row>
    <row r="1639" spans="1:10" ht="14.5" x14ac:dyDescent="0.35">
      <c r="A1639" s="254"/>
      <c r="B1639" s="248"/>
      <c r="C1639" s="248"/>
      <c r="D1639" s="248"/>
      <c r="E1639" s="249"/>
      <c r="F1639" s="249"/>
      <c r="G1639" s="249"/>
      <c r="H1639" s="249"/>
      <c r="I1639" s="249"/>
      <c r="J1639" s="253"/>
    </row>
    <row r="1640" spans="1:10" ht="14.5" x14ac:dyDescent="0.35">
      <c r="A1640" s="254"/>
      <c r="B1640" s="248"/>
      <c r="C1640" s="248"/>
      <c r="D1640" s="248"/>
      <c r="E1640" s="249"/>
      <c r="F1640" s="249"/>
      <c r="G1640" s="249"/>
      <c r="H1640" s="249"/>
      <c r="I1640" s="249"/>
      <c r="J1640" s="253"/>
    </row>
    <row r="1641" spans="1:10" ht="14.5" x14ac:dyDescent="0.35">
      <c r="A1641" s="254"/>
      <c r="B1641" s="248"/>
      <c r="C1641" s="248"/>
      <c r="D1641" s="248"/>
      <c r="E1641" s="249"/>
      <c r="F1641" s="249"/>
      <c r="G1641" s="249"/>
      <c r="H1641" s="249"/>
      <c r="I1641" s="249"/>
      <c r="J1641" s="253"/>
    </row>
    <row r="1642" spans="1:10" ht="14.5" x14ac:dyDescent="0.35">
      <c r="A1642" s="254"/>
      <c r="B1642" s="248"/>
      <c r="C1642" s="248"/>
      <c r="D1642" s="248"/>
      <c r="E1642" s="249"/>
      <c r="F1642" s="249"/>
      <c r="G1642" s="249"/>
      <c r="H1642" s="249"/>
      <c r="I1642" s="249"/>
      <c r="J1642" s="253"/>
    </row>
    <row r="1643" spans="1:10" ht="14.5" x14ac:dyDescent="0.35">
      <c r="A1643" s="254"/>
      <c r="B1643" s="248"/>
      <c r="C1643" s="248"/>
      <c r="D1643" s="248"/>
      <c r="E1643" s="249"/>
      <c r="F1643" s="249"/>
      <c r="G1643" s="249"/>
      <c r="H1643" s="249"/>
      <c r="I1643" s="249"/>
      <c r="J1643" s="253"/>
    </row>
    <row r="1644" spans="1:10" ht="14.5" x14ac:dyDescent="0.35">
      <c r="A1644" s="254"/>
      <c r="B1644" s="248"/>
      <c r="C1644" s="248"/>
      <c r="D1644" s="248"/>
      <c r="E1644" s="249"/>
      <c r="F1644" s="249"/>
      <c r="G1644" s="249"/>
      <c r="H1644" s="249"/>
      <c r="I1644" s="249"/>
      <c r="J1644" s="253"/>
    </row>
    <row r="1645" spans="1:10" ht="14.5" x14ac:dyDescent="0.35">
      <c r="A1645" s="254"/>
      <c r="B1645" s="248"/>
      <c r="C1645" s="248"/>
      <c r="D1645" s="248"/>
      <c r="E1645" s="249"/>
      <c r="F1645" s="249"/>
      <c r="G1645" s="249"/>
      <c r="H1645" s="249"/>
      <c r="I1645" s="249"/>
      <c r="J1645" s="253"/>
    </row>
    <row r="1646" spans="1:10" ht="14.5" x14ac:dyDescent="0.35">
      <c r="A1646" s="254"/>
      <c r="B1646" s="248"/>
      <c r="C1646" s="248"/>
      <c r="D1646" s="248"/>
      <c r="E1646" s="249"/>
      <c r="F1646" s="249"/>
      <c r="G1646" s="249"/>
      <c r="H1646" s="249"/>
      <c r="I1646" s="249"/>
      <c r="J1646" s="253"/>
    </row>
    <row r="1647" spans="1:10" ht="14.5" x14ac:dyDescent="0.35">
      <c r="A1647" s="254"/>
      <c r="B1647" s="248"/>
      <c r="C1647" s="248"/>
      <c r="D1647" s="248"/>
      <c r="E1647" s="249"/>
      <c r="F1647" s="249"/>
      <c r="G1647" s="249"/>
      <c r="H1647" s="249"/>
      <c r="I1647" s="249"/>
      <c r="J1647" s="253"/>
    </row>
    <row r="1648" spans="1:10" ht="14.5" x14ac:dyDescent="0.35">
      <c r="A1648" s="254"/>
      <c r="B1648" s="248"/>
      <c r="C1648" s="248"/>
      <c r="D1648" s="248"/>
      <c r="E1648" s="249"/>
      <c r="F1648" s="249"/>
      <c r="G1648" s="249"/>
      <c r="H1648" s="249"/>
      <c r="I1648" s="249"/>
      <c r="J1648" s="253"/>
    </row>
    <row r="1649" spans="1:10" ht="14.5" x14ac:dyDescent="0.35">
      <c r="A1649" s="254"/>
      <c r="B1649" s="248"/>
      <c r="C1649" s="248"/>
      <c r="D1649" s="248"/>
      <c r="E1649" s="249"/>
      <c r="F1649" s="249"/>
      <c r="G1649" s="249"/>
      <c r="H1649" s="249"/>
      <c r="I1649" s="249"/>
      <c r="J1649" s="253"/>
    </row>
    <row r="1650" spans="1:10" ht="14.5" x14ac:dyDescent="0.35">
      <c r="A1650" s="254"/>
      <c r="B1650" s="248"/>
      <c r="C1650" s="248"/>
      <c r="D1650" s="248"/>
      <c r="E1650" s="249"/>
      <c r="F1650" s="249"/>
      <c r="G1650" s="249"/>
      <c r="H1650" s="249"/>
      <c r="I1650" s="249"/>
      <c r="J1650" s="253"/>
    </row>
    <row r="1651" spans="1:10" ht="14.5" x14ac:dyDescent="0.35">
      <c r="A1651" s="254"/>
      <c r="B1651" s="248"/>
      <c r="C1651" s="248"/>
      <c r="D1651" s="248"/>
      <c r="E1651" s="249"/>
      <c r="F1651" s="249"/>
      <c r="G1651" s="249"/>
      <c r="H1651" s="249"/>
      <c r="I1651" s="249"/>
      <c r="J1651" s="253"/>
    </row>
    <row r="1652" spans="1:10" ht="14.5" x14ac:dyDescent="0.35">
      <c r="A1652" s="254"/>
      <c r="B1652" s="248"/>
      <c r="C1652" s="248"/>
      <c r="D1652" s="248"/>
      <c r="E1652" s="249"/>
      <c r="F1652" s="249"/>
      <c r="G1652" s="249"/>
      <c r="H1652" s="249"/>
      <c r="I1652" s="249"/>
      <c r="J1652" s="253"/>
    </row>
    <row r="1653" spans="1:10" ht="14.5" x14ac:dyDescent="0.35">
      <c r="A1653" s="254"/>
      <c r="B1653" s="248"/>
      <c r="C1653" s="248"/>
      <c r="D1653" s="248"/>
      <c r="E1653" s="249"/>
      <c r="F1653" s="249"/>
      <c r="G1653" s="249"/>
      <c r="H1653" s="249"/>
      <c r="I1653" s="249"/>
      <c r="J1653" s="253"/>
    </row>
    <row r="1654" spans="1:10" ht="14.5" x14ac:dyDescent="0.35">
      <c r="A1654" s="254"/>
      <c r="B1654" s="248"/>
      <c r="C1654" s="248"/>
      <c r="D1654" s="248"/>
      <c r="E1654" s="249"/>
      <c r="F1654" s="249"/>
      <c r="G1654" s="249"/>
      <c r="H1654" s="249"/>
      <c r="I1654" s="249"/>
      <c r="J1654" s="253"/>
    </row>
    <row r="1655" spans="1:10" ht="14.5" x14ac:dyDescent="0.35">
      <c r="A1655" s="254"/>
      <c r="B1655" s="248"/>
      <c r="C1655" s="248"/>
      <c r="D1655" s="248"/>
      <c r="E1655" s="249"/>
      <c r="F1655" s="249"/>
      <c r="G1655" s="249"/>
      <c r="H1655" s="249"/>
      <c r="I1655" s="249"/>
      <c r="J1655" s="253"/>
    </row>
    <row r="1656" spans="1:10" ht="14.5" x14ac:dyDescent="0.35">
      <c r="A1656" s="254"/>
      <c r="B1656" s="248"/>
      <c r="C1656" s="248"/>
      <c r="D1656" s="248"/>
      <c r="E1656" s="249"/>
      <c r="F1656" s="249"/>
      <c r="G1656" s="249"/>
      <c r="H1656" s="249"/>
      <c r="I1656" s="249"/>
      <c r="J1656" s="253"/>
    </row>
    <row r="1657" spans="1:10" ht="14.5" x14ac:dyDescent="0.35">
      <c r="A1657" s="254"/>
      <c r="B1657" s="248"/>
      <c r="C1657" s="248"/>
      <c r="D1657" s="248"/>
      <c r="E1657" s="249"/>
      <c r="F1657" s="249"/>
      <c r="G1657" s="249"/>
      <c r="H1657" s="249"/>
      <c r="I1657" s="249"/>
      <c r="J1657" s="253"/>
    </row>
    <row r="1658" spans="1:10" ht="14.5" x14ac:dyDescent="0.35">
      <c r="A1658" s="254"/>
      <c r="B1658" s="248"/>
      <c r="C1658" s="248"/>
      <c r="D1658" s="248"/>
      <c r="E1658" s="249"/>
      <c r="F1658" s="249"/>
      <c r="G1658" s="249"/>
      <c r="H1658" s="249"/>
      <c r="I1658" s="249"/>
      <c r="J1658" s="253"/>
    </row>
    <row r="1659" spans="1:10" ht="14.5" x14ac:dyDescent="0.35">
      <c r="A1659" s="254"/>
      <c r="B1659" s="248"/>
      <c r="C1659" s="248"/>
      <c r="D1659" s="248"/>
      <c r="E1659" s="249"/>
      <c r="F1659" s="249"/>
      <c r="G1659" s="249"/>
      <c r="H1659" s="249"/>
      <c r="I1659" s="249"/>
      <c r="J1659" s="253"/>
    </row>
    <row r="1660" spans="1:10" ht="14.5" x14ac:dyDescent="0.35">
      <c r="A1660" s="254"/>
      <c r="B1660" s="248"/>
      <c r="C1660" s="248"/>
      <c r="D1660" s="248"/>
      <c r="E1660" s="249"/>
      <c r="F1660" s="249"/>
      <c r="G1660" s="249"/>
      <c r="H1660" s="249"/>
      <c r="I1660" s="249"/>
      <c r="J1660" s="253"/>
    </row>
    <row r="1661" spans="1:10" ht="14.5" x14ac:dyDescent="0.35">
      <c r="A1661" s="254"/>
      <c r="B1661" s="248"/>
      <c r="C1661" s="248"/>
      <c r="D1661" s="248"/>
      <c r="E1661" s="249"/>
      <c r="F1661" s="249"/>
      <c r="G1661" s="249"/>
      <c r="H1661" s="249"/>
      <c r="I1661" s="249"/>
      <c r="J1661" s="253"/>
    </row>
    <row r="1662" spans="1:10" ht="14.5" x14ac:dyDescent="0.35">
      <c r="A1662" s="254"/>
      <c r="B1662" s="248"/>
      <c r="C1662" s="248"/>
      <c r="D1662" s="248"/>
      <c r="E1662" s="249"/>
      <c r="F1662" s="249"/>
      <c r="G1662" s="249"/>
      <c r="H1662" s="249"/>
      <c r="I1662" s="249"/>
      <c r="J1662" s="253"/>
    </row>
    <row r="1663" spans="1:10" ht="14.5" x14ac:dyDescent="0.35">
      <c r="A1663" s="254"/>
      <c r="B1663" s="248"/>
      <c r="C1663" s="248"/>
      <c r="D1663" s="248"/>
      <c r="E1663" s="249"/>
      <c r="F1663" s="249"/>
      <c r="G1663" s="249"/>
      <c r="H1663" s="249"/>
      <c r="I1663" s="249"/>
      <c r="J1663" s="253"/>
    </row>
    <row r="1664" spans="1:10" ht="14.5" x14ac:dyDescent="0.35">
      <c r="A1664" s="254"/>
      <c r="B1664" s="248"/>
      <c r="C1664" s="248"/>
      <c r="D1664" s="248"/>
      <c r="E1664" s="249"/>
      <c r="F1664" s="249"/>
      <c r="G1664" s="249"/>
      <c r="H1664" s="249"/>
      <c r="I1664" s="249"/>
      <c r="J1664" s="253"/>
    </row>
    <row r="1665" spans="1:10" ht="14.5" x14ac:dyDescent="0.35">
      <c r="A1665" s="254"/>
      <c r="B1665" s="248"/>
      <c r="C1665" s="248"/>
      <c r="D1665" s="248"/>
      <c r="E1665" s="249"/>
      <c r="F1665" s="249"/>
      <c r="G1665" s="249"/>
      <c r="H1665" s="249"/>
      <c r="I1665" s="249"/>
      <c r="J1665" s="253"/>
    </row>
    <row r="1666" spans="1:10" ht="14.5" x14ac:dyDescent="0.35">
      <c r="A1666" s="254"/>
      <c r="B1666" s="248"/>
      <c r="C1666" s="248"/>
      <c r="D1666" s="248"/>
      <c r="E1666" s="249"/>
      <c r="F1666" s="249"/>
      <c r="G1666" s="249"/>
      <c r="H1666" s="249"/>
      <c r="I1666" s="249"/>
      <c r="J1666" s="253"/>
    </row>
    <row r="1667" spans="1:10" ht="14.5" x14ac:dyDescent="0.35">
      <c r="A1667" s="254"/>
      <c r="B1667" s="248"/>
      <c r="C1667" s="248"/>
      <c r="D1667" s="248"/>
      <c r="E1667" s="249"/>
      <c r="F1667" s="249"/>
      <c r="G1667" s="249"/>
      <c r="H1667" s="249"/>
      <c r="I1667" s="249"/>
      <c r="J1667" s="253"/>
    </row>
    <row r="1668" spans="1:10" ht="14.5" x14ac:dyDescent="0.35">
      <c r="A1668" s="254"/>
      <c r="B1668" s="248"/>
      <c r="C1668" s="248"/>
      <c r="D1668" s="248"/>
      <c r="E1668" s="249"/>
      <c r="F1668" s="249"/>
      <c r="G1668" s="249"/>
      <c r="H1668" s="249"/>
      <c r="I1668" s="249"/>
      <c r="J1668" s="253"/>
    </row>
    <row r="1669" spans="1:10" ht="14.5" x14ac:dyDescent="0.35">
      <c r="A1669" s="254"/>
      <c r="B1669" s="248"/>
      <c r="C1669" s="248"/>
      <c r="D1669" s="248"/>
      <c r="E1669" s="249"/>
      <c r="F1669" s="249"/>
      <c r="G1669" s="249"/>
      <c r="H1669" s="249"/>
      <c r="I1669" s="249"/>
      <c r="J1669" s="253"/>
    </row>
    <row r="1670" spans="1:10" ht="14.5" x14ac:dyDescent="0.35">
      <c r="A1670" s="254"/>
      <c r="B1670" s="248"/>
      <c r="C1670" s="248"/>
      <c r="D1670" s="248"/>
      <c r="E1670" s="249"/>
      <c r="F1670" s="249"/>
      <c r="G1670" s="249"/>
      <c r="H1670" s="249"/>
      <c r="I1670" s="249"/>
      <c r="J1670" s="253"/>
    </row>
    <row r="1671" spans="1:10" ht="14.5" x14ac:dyDescent="0.35">
      <c r="A1671" s="254"/>
      <c r="B1671" s="248"/>
      <c r="C1671" s="248"/>
      <c r="D1671" s="248"/>
      <c r="E1671" s="249"/>
      <c r="F1671" s="249"/>
      <c r="G1671" s="249"/>
      <c r="H1671" s="249"/>
      <c r="I1671" s="249"/>
      <c r="J1671" s="253"/>
    </row>
    <row r="1672" spans="1:10" ht="14.5" x14ac:dyDescent="0.35">
      <c r="A1672" s="254"/>
      <c r="B1672" s="248"/>
      <c r="C1672" s="248"/>
      <c r="D1672" s="248"/>
      <c r="E1672" s="249"/>
      <c r="F1672" s="249"/>
      <c r="G1672" s="249"/>
      <c r="H1672" s="249"/>
      <c r="I1672" s="249"/>
      <c r="J1672" s="253"/>
    </row>
    <row r="1673" spans="1:10" ht="14.5" x14ac:dyDescent="0.35">
      <c r="A1673" s="254"/>
      <c r="B1673" s="248"/>
      <c r="C1673" s="248"/>
      <c r="D1673" s="248"/>
      <c r="E1673" s="249"/>
      <c r="F1673" s="249"/>
      <c r="G1673" s="249"/>
      <c r="H1673" s="249"/>
      <c r="I1673" s="249"/>
      <c r="J1673" s="253"/>
    </row>
    <row r="1674" spans="1:10" ht="14.5" x14ac:dyDescent="0.35">
      <c r="A1674" s="254"/>
      <c r="B1674" s="248"/>
      <c r="C1674" s="248"/>
      <c r="D1674" s="248"/>
      <c r="E1674" s="249"/>
      <c r="F1674" s="249"/>
      <c r="G1674" s="249"/>
      <c r="H1674" s="249"/>
      <c r="I1674" s="249"/>
      <c r="J1674" s="253"/>
    </row>
    <row r="1675" spans="1:10" ht="14.5" x14ac:dyDescent="0.35">
      <c r="A1675" s="254"/>
      <c r="B1675" s="248"/>
      <c r="C1675" s="248"/>
      <c r="D1675" s="248"/>
      <c r="E1675" s="249"/>
      <c r="F1675" s="249"/>
      <c r="G1675" s="249"/>
      <c r="H1675" s="249"/>
      <c r="I1675" s="249"/>
      <c r="J1675" s="253"/>
    </row>
    <row r="1676" spans="1:10" ht="14.5" x14ac:dyDescent="0.35">
      <c r="A1676" s="254"/>
      <c r="B1676" s="248"/>
      <c r="C1676" s="248"/>
      <c r="D1676" s="248"/>
      <c r="E1676" s="249"/>
      <c r="F1676" s="249"/>
      <c r="G1676" s="249"/>
      <c r="H1676" s="249"/>
      <c r="I1676" s="249"/>
      <c r="J1676" s="253"/>
    </row>
    <row r="1677" spans="1:10" ht="14.5" x14ac:dyDescent="0.35">
      <c r="A1677" s="254"/>
      <c r="B1677" s="248"/>
      <c r="C1677" s="248"/>
      <c r="D1677" s="248"/>
      <c r="E1677" s="249"/>
      <c r="F1677" s="249"/>
      <c r="G1677" s="249"/>
      <c r="H1677" s="249"/>
      <c r="I1677" s="249"/>
      <c r="J1677" s="253"/>
    </row>
    <row r="1678" spans="1:10" ht="14.5" x14ac:dyDescent="0.35">
      <c r="A1678" s="254"/>
      <c r="B1678" s="248"/>
      <c r="C1678" s="248"/>
      <c r="D1678" s="248"/>
      <c r="E1678" s="249"/>
      <c r="F1678" s="249"/>
      <c r="G1678" s="249"/>
      <c r="H1678" s="249"/>
      <c r="I1678" s="249"/>
      <c r="J1678" s="253"/>
    </row>
    <row r="1679" spans="1:10" ht="14.5" x14ac:dyDescent="0.35">
      <c r="A1679" s="254"/>
      <c r="B1679" s="248"/>
      <c r="C1679" s="248"/>
      <c r="D1679" s="248"/>
      <c r="E1679" s="249"/>
      <c r="F1679" s="249"/>
      <c r="G1679" s="249"/>
      <c r="H1679" s="249"/>
      <c r="I1679" s="249"/>
      <c r="J1679" s="253"/>
    </row>
    <row r="1680" spans="1:10" ht="14.5" x14ac:dyDescent="0.35">
      <c r="A1680" s="254"/>
      <c r="B1680" s="248"/>
      <c r="C1680" s="248"/>
      <c r="D1680" s="248"/>
      <c r="E1680" s="249"/>
      <c r="F1680" s="249"/>
      <c r="G1680" s="249"/>
      <c r="H1680" s="249"/>
      <c r="I1680" s="249"/>
      <c r="J1680" s="253"/>
    </row>
    <row r="1681" spans="1:10" ht="14.5" x14ac:dyDescent="0.35">
      <c r="A1681" s="254"/>
      <c r="B1681" s="248"/>
      <c r="C1681" s="248"/>
      <c r="D1681" s="248"/>
      <c r="E1681" s="249"/>
      <c r="F1681" s="249"/>
      <c r="G1681" s="249"/>
      <c r="H1681" s="249"/>
      <c r="I1681" s="249"/>
      <c r="J1681" s="253"/>
    </row>
    <row r="1682" spans="1:10" ht="14.5" x14ac:dyDescent="0.35">
      <c r="A1682" s="254"/>
      <c r="B1682" s="248"/>
      <c r="C1682" s="248"/>
      <c r="D1682" s="248"/>
      <c r="E1682" s="249"/>
      <c r="F1682" s="249"/>
      <c r="G1682" s="249"/>
      <c r="H1682" s="249"/>
      <c r="I1682" s="249"/>
      <c r="J1682" s="253"/>
    </row>
    <row r="1683" spans="1:10" ht="14.5" x14ac:dyDescent="0.35">
      <c r="A1683" s="254"/>
      <c r="B1683" s="248"/>
      <c r="C1683" s="248"/>
      <c r="D1683" s="248"/>
      <c r="E1683" s="249"/>
      <c r="F1683" s="249"/>
      <c r="G1683" s="249"/>
      <c r="H1683" s="249"/>
      <c r="I1683" s="249"/>
      <c r="J1683" s="253"/>
    </row>
    <row r="1684" spans="1:10" ht="14.5" x14ac:dyDescent="0.35">
      <c r="A1684" s="254"/>
      <c r="B1684" s="248"/>
      <c r="C1684" s="248"/>
      <c r="D1684" s="248"/>
      <c r="E1684" s="249"/>
      <c r="F1684" s="249"/>
      <c r="G1684" s="249"/>
      <c r="H1684" s="249"/>
      <c r="I1684" s="249"/>
      <c r="J1684" s="253"/>
    </row>
    <row r="1685" spans="1:10" ht="14.5" x14ac:dyDescent="0.35">
      <c r="A1685" s="254"/>
      <c r="B1685" s="248"/>
      <c r="C1685" s="248"/>
      <c r="D1685" s="248"/>
      <c r="E1685" s="249"/>
      <c r="F1685" s="249"/>
      <c r="G1685" s="249"/>
      <c r="H1685" s="249"/>
      <c r="I1685" s="249"/>
      <c r="J1685" s="253"/>
    </row>
    <row r="1686" spans="1:10" ht="14.5" x14ac:dyDescent="0.35">
      <c r="A1686" s="254"/>
      <c r="B1686" s="248"/>
      <c r="C1686" s="248"/>
      <c r="D1686" s="248"/>
      <c r="E1686" s="249"/>
      <c r="F1686" s="249"/>
      <c r="G1686" s="249"/>
      <c r="H1686" s="249"/>
      <c r="I1686" s="249"/>
      <c r="J1686" s="253"/>
    </row>
    <row r="1687" spans="1:10" ht="14.5" x14ac:dyDescent="0.35">
      <c r="A1687" s="254"/>
      <c r="B1687" s="248"/>
      <c r="C1687" s="248"/>
      <c r="D1687" s="248"/>
      <c r="E1687" s="249"/>
      <c r="F1687" s="249"/>
      <c r="G1687" s="249"/>
      <c r="H1687" s="249"/>
      <c r="I1687" s="249"/>
      <c r="J1687" s="253"/>
    </row>
    <row r="1688" spans="1:10" ht="14.5" x14ac:dyDescent="0.35">
      <c r="A1688" s="254"/>
      <c r="B1688" s="248"/>
      <c r="C1688" s="248"/>
      <c r="D1688" s="248"/>
      <c r="E1688" s="249"/>
      <c r="F1688" s="249"/>
      <c r="G1688" s="249"/>
      <c r="H1688" s="249"/>
      <c r="I1688" s="249"/>
      <c r="J1688" s="253"/>
    </row>
    <row r="1689" spans="1:10" ht="14.5" x14ac:dyDescent="0.35">
      <c r="A1689" s="254"/>
      <c r="B1689" s="248"/>
      <c r="C1689" s="248"/>
      <c r="D1689" s="248"/>
      <c r="E1689" s="249"/>
      <c r="F1689" s="249"/>
      <c r="G1689" s="249"/>
      <c r="H1689" s="249"/>
      <c r="I1689" s="249"/>
      <c r="J1689" s="253"/>
    </row>
    <row r="1690" spans="1:10" ht="14.5" x14ac:dyDescent="0.35">
      <c r="A1690" s="254"/>
      <c r="B1690" s="248"/>
      <c r="C1690" s="248"/>
      <c r="D1690" s="248"/>
      <c r="E1690" s="249"/>
      <c r="F1690" s="249"/>
      <c r="G1690" s="249"/>
      <c r="H1690" s="249"/>
      <c r="I1690" s="249"/>
      <c r="J1690" s="253"/>
    </row>
    <row r="1691" spans="1:10" ht="14.5" x14ac:dyDescent="0.35">
      <c r="A1691" s="254"/>
      <c r="B1691" s="248"/>
      <c r="C1691" s="248"/>
      <c r="D1691" s="248"/>
      <c r="E1691" s="249"/>
      <c r="F1691" s="249"/>
      <c r="G1691" s="249"/>
      <c r="H1691" s="249"/>
      <c r="I1691" s="249"/>
      <c r="J1691" s="253"/>
    </row>
    <row r="1692" spans="1:10" ht="14.5" x14ac:dyDescent="0.35">
      <c r="A1692" s="254"/>
      <c r="B1692" s="248"/>
      <c r="C1692" s="248"/>
      <c r="D1692" s="248"/>
      <c r="E1692" s="249"/>
      <c r="F1692" s="249"/>
      <c r="G1692" s="249"/>
      <c r="H1692" s="249"/>
      <c r="I1692" s="249"/>
      <c r="J1692" s="253"/>
    </row>
    <row r="1693" spans="1:10" ht="14.5" x14ac:dyDescent="0.35">
      <c r="A1693" s="254"/>
      <c r="B1693" s="248"/>
      <c r="C1693" s="248"/>
      <c r="D1693" s="248"/>
      <c r="E1693" s="249"/>
      <c r="F1693" s="249"/>
      <c r="G1693" s="249"/>
      <c r="H1693" s="249"/>
      <c r="I1693" s="249"/>
      <c r="J1693" s="253"/>
    </row>
    <row r="1694" spans="1:10" ht="14.5" x14ac:dyDescent="0.35">
      <c r="A1694" s="254"/>
      <c r="B1694" s="248"/>
      <c r="C1694" s="248"/>
      <c r="D1694" s="248"/>
      <c r="E1694" s="249"/>
      <c r="F1694" s="249"/>
      <c r="G1694" s="249"/>
      <c r="H1694" s="249"/>
      <c r="I1694" s="249"/>
      <c r="J1694" s="253"/>
    </row>
    <row r="1695" spans="1:10" ht="14.5" x14ac:dyDescent="0.35">
      <c r="A1695" s="254"/>
      <c r="B1695" s="248"/>
      <c r="C1695" s="248"/>
      <c r="D1695" s="248"/>
      <c r="E1695" s="249"/>
      <c r="F1695" s="249"/>
      <c r="G1695" s="249"/>
      <c r="H1695" s="249"/>
      <c r="I1695" s="249"/>
      <c r="J1695" s="253"/>
    </row>
    <row r="1696" spans="1:10" ht="14.5" x14ac:dyDescent="0.35">
      <c r="A1696" s="254"/>
      <c r="B1696" s="248"/>
      <c r="C1696" s="248"/>
      <c r="D1696" s="248"/>
      <c r="E1696" s="249"/>
      <c r="F1696" s="249"/>
      <c r="G1696" s="249"/>
      <c r="H1696" s="249"/>
      <c r="I1696" s="249"/>
      <c r="J1696" s="253"/>
    </row>
    <row r="1697" spans="1:10" ht="14.5" x14ac:dyDescent="0.35">
      <c r="A1697" s="254"/>
      <c r="B1697" s="248"/>
      <c r="C1697" s="248"/>
      <c r="D1697" s="248"/>
      <c r="E1697" s="249"/>
      <c r="F1697" s="249"/>
      <c r="G1697" s="249"/>
      <c r="H1697" s="249"/>
      <c r="I1697" s="249"/>
      <c r="J1697" s="253"/>
    </row>
    <row r="1698" spans="1:10" ht="14.5" x14ac:dyDescent="0.35">
      <c r="A1698" s="254"/>
      <c r="B1698" s="248"/>
      <c r="C1698" s="248"/>
      <c r="D1698" s="248"/>
      <c r="E1698" s="249"/>
      <c r="F1698" s="249"/>
      <c r="G1698" s="249"/>
      <c r="H1698" s="249"/>
      <c r="I1698" s="249"/>
      <c r="J1698" s="253"/>
    </row>
    <row r="1699" spans="1:10" ht="14.5" x14ac:dyDescent="0.35">
      <c r="A1699" s="254"/>
      <c r="B1699" s="248"/>
      <c r="C1699" s="248"/>
      <c r="D1699" s="248"/>
      <c r="E1699" s="249"/>
      <c r="F1699" s="249"/>
      <c r="G1699" s="249"/>
      <c r="H1699" s="249"/>
      <c r="I1699" s="249"/>
      <c r="J1699" s="253"/>
    </row>
    <row r="1700" spans="1:10" ht="14.5" x14ac:dyDescent="0.35">
      <c r="A1700" s="254"/>
      <c r="B1700" s="248"/>
      <c r="C1700" s="248"/>
      <c r="D1700" s="248"/>
      <c r="E1700" s="249"/>
      <c r="F1700" s="249"/>
      <c r="G1700" s="249"/>
      <c r="H1700" s="249"/>
      <c r="I1700" s="249"/>
      <c r="J1700" s="253"/>
    </row>
    <row r="1701" spans="1:10" ht="14.5" x14ac:dyDescent="0.35">
      <c r="A1701" s="254"/>
      <c r="B1701" s="248"/>
      <c r="C1701" s="248"/>
      <c r="D1701" s="248"/>
      <c r="E1701" s="249"/>
      <c r="F1701" s="249"/>
      <c r="G1701" s="249"/>
      <c r="H1701" s="249"/>
      <c r="I1701" s="249"/>
      <c r="J1701" s="253"/>
    </row>
    <row r="1702" spans="1:10" ht="14.5" x14ac:dyDescent="0.35">
      <c r="A1702" s="254"/>
      <c r="B1702" s="248"/>
      <c r="C1702" s="248"/>
      <c r="D1702" s="248"/>
      <c r="E1702" s="249"/>
      <c r="F1702" s="249"/>
      <c r="G1702" s="249"/>
      <c r="H1702" s="249"/>
      <c r="I1702" s="249"/>
      <c r="J1702" s="253"/>
    </row>
    <row r="1703" spans="1:10" ht="14.5" x14ac:dyDescent="0.35">
      <c r="A1703" s="254"/>
      <c r="B1703" s="248"/>
      <c r="C1703" s="248"/>
      <c r="D1703" s="248"/>
      <c r="E1703" s="249"/>
      <c r="F1703" s="249"/>
      <c r="G1703" s="249"/>
      <c r="H1703" s="249"/>
      <c r="I1703" s="249"/>
      <c r="J1703" s="253"/>
    </row>
    <row r="1704" spans="1:10" ht="14.5" x14ac:dyDescent="0.35">
      <c r="A1704" s="254"/>
      <c r="B1704" s="248"/>
      <c r="C1704" s="248"/>
      <c r="D1704" s="248"/>
      <c r="E1704" s="249"/>
      <c r="F1704" s="249"/>
      <c r="G1704" s="249"/>
      <c r="H1704" s="249"/>
      <c r="I1704" s="249"/>
      <c r="J1704" s="253"/>
    </row>
    <row r="1705" spans="1:10" ht="14.5" x14ac:dyDescent="0.35">
      <c r="A1705" s="254"/>
      <c r="B1705" s="248"/>
      <c r="C1705" s="248"/>
      <c r="D1705" s="248"/>
      <c r="E1705" s="249"/>
      <c r="F1705" s="249"/>
      <c r="G1705" s="249"/>
      <c r="H1705" s="249"/>
      <c r="I1705" s="249"/>
      <c r="J1705" s="253"/>
    </row>
    <row r="1706" spans="1:10" ht="14.5" x14ac:dyDescent="0.35">
      <c r="A1706" s="254"/>
      <c r="B1706" s="248"/>
      <c r="C1706" s="248"/>
      <c r="D1706" s="248"/>
      <c r="E1706" s="249"/>
      <c r="F1706" s="249"/>
      <c r="G1706" s="249"/>
      <c r="H1706" s="249"/>
      <c r="I1706" s="249"/>
      <c r="J1706" s="253"/>
    </row>
    <row r="1707" spans="1:10" ht="14.5" x14ac:dyDescent="0.35">
      <c r="A1707" s="254"/>
      <c r="B1707" s="248"/>
      <c r="C1707" s="248"/>
      <c r="D1707" s="248"/>
      <c r="E1707" s="249"/>
      <c r="F1707" s="249"/>
      <c r="G1707" s="249"/>
      <c r="H1707" s="249"/>
      <c r="I1707" s="249"/>
      <c r="J1707" s="253"/>
    </row>
    <row r="1708" spans="1:10" ht="14.5" x14ac:dyDescent="0.35">
      <c r="A1708" s="254"/>
      <c r="B1708" s="248"/>
      <c r="C1708" s="248"/>
      <c r="D1708" s="248"/>
      <c r="E1708" s="249"/>
      <c r="F1708" s="249"/>
      <c r="G1708" s="249"/>
      <c r="H1708" s="249"/>
      <c r="I1708" s="249"/>
      <c r="J1708" s="253"/>
    </row>
    <row r="1709" spans="1:10" ht="14.5" x14ac:dyDescent="0.35">
      <c r="A1709" s="254"/>
      <c r="B1709" s="248"/>
      <c r="C1709" s="248"/>
      <c r="D1709" s="248"/>
      <c r="E1709" s="249"/>
      <c r="F1709" s="249"/>
      <c r="G1709" s="249"/>
      <c r="H1709" s="249"/>
      <c r="I1709" s="249"/>
      <c r="J1709" s="253"/>
    </row>
    <row r="1710" spans="1:10" ht="14.5" x14ac:dyDescent="0.35">
      <c r="A1710" s="254"/>
      <c r="B1710" s="248"/>
      <c r="C1710" s="248"/>
      <c r="D1710" s="248"/>
      <c r="E1710" s="249"/>
      <c r="F1710" s="249"/>
      <c r="G1710" s="249"/>
      <c r="H1710" s="249"/>
      <c r="I1710" s="249"/>
      <c r="J1710" s="253"/>
    </row>
    <row r="1711" spans="1:10" ht="14.5" x14ac:dyDescent="0.35">
      <c r="A1711" s="254"/>
      <c r="B1711" s="248"/>
      <c r="C1711" s="248"/>
      <c r="D1711" s="248"/>
      <c r="E1711" s="249"/>
      <c r="F1711" s="249"/>
      <c r="G1711" s="249"/>
      <c r="H1711" s="249"/>
      <c r="I1711" s="249"/>
      <c r="J1711" s="253"/>
    </row>
    <row r="1712" spans="1:10" ht="14.5" x14ac:dyDescent="0.35">
      <c r="A1712" s="254"/>
      <c r="B1712" s="248"/>
      <c r="C1712" s="248"/>
      <c r="D1712" s="248"/>
      <c r="E1712" s="249"/>
      <c r="F1712" s="249"/>
      <c r="G1712" s="249"/>
      <c r="H1712" s="249"/>
      <c r="I1712" s="249"/>
      <c r="J1712" s="253"/>
    </row>
    <row r="1713" spans="1:10" ht="14.5" x14ac:dyDescent="0.35">
      <c r="A1713" s="254"/>
      <c r="B1713" s="248"/>
      <c r="C1713" s="248"/>
      <c r="D1713" s="248"/>
      <c r="E1713" s="249"/>
      <c r="F1713" s="249"/>
      <c r="G1713" s="249"/>
      <c r="H1713" s="249"/>
      <c r="I1713" s="249"/>
      <c r="J1713" s="253"/>
    </row>
    <row r="1714" spans="1:10" ht="14.5" x14ac:dyDescent="0.35">
      <c r="A1714" s="254"/>
      <c r="B1714" s="248"/>
      <c r="C1714" s="248"/>
      <c r="D1714" s="248"/>
      <c r="E1714" s="249"/>
      <c r="F1714" s="249"/>
      <c r="G1714" s="249"/>
      <c r="H1714" s="249"/>
      <c r="I1714" s="249"/>
      <c r="J1714" s="253"/>
    </row>
    <row r="1715" spans="1:10" ht="14.5" x14ac:dyDescent="0.35">
      <c r="A1715" s="254"/>
      <c r="B1715" s="248"/>
      <c r="C1715" s="248"/>
      <c r="D1715" s="248"/>
      <c r="E1715" s="249"/>
      <c r="F1715" s="249"/>
      <c r="G1715" s="249"/>
      <c r="H1715" s="249"/>
      <c r="I1715" s="249"/>
      <c r="J1715" s="253"/>
    </row>
    <row r="1716" spans="1:10" ht="14.5" x14ac:dyDescent="0.35">
      <c r="A1716" s="254"/>
      <c r="B1716" s="248"/>
      <c r="C1716" s="248"/>
      <c r="D1716" s="248"/>
      <c r="E1716" s="249"/>
      <c r="F1716" s="249"/>
      <c r="G1716" s="249"/>
      <c r="H1716" s="249"/>
      <c r="I1716" s="249"/>
      <c r="J1716" s="253"/>
    </row>
    <row r="1717" spans="1:10" ht="14.5" x14ac:dyDescent="0.35">
      <c r="A1717" s="254"/>
      <c r="B1717" s="248"/>
      <c r="C1717" s="248"/>
      <c r="D1717" s="248"/>
      <c r="E1717" s="249"/>
      <c r="F1717" s="249"/>
      <c r="G1717" s="249"/>
      <c r="H1717" s="249"/>
      <c r="I1717" s="249"/>
      <c r="J1717" s="253"/>
    </row>
    <row r="1718" spans="1:10" ht="14.5" x14ac:dyDescent="0.35">
      <c r="A1718" s="254"/>
      <c r="B1718" s="248"/>
      <c r="C1718" s="248"/>
      <c r="D1718" s="248"/>
      <c r="E1718" s="249"/>
      <c r="F1718" s="249"/>
      <c r="G1718" s="249"/>
      <c r="H1718" s="249"/>
      <c r="I1718" s="249"/>
      <c r="J1718" s="253"/>
    </row>
    <row r="1719" spans="1:10" ht="14.5" x14ac:dyDescent="0.35">
      <c r="A1719" s="254"/>
      <c r="B1719" s="248"/>
      <c r="C1719" s="248"/>
      <c r="D1719" s="248"/>
      <c r="E1719" s="249"/>
      <c r="F1719" s="249"/>
      <c r="G1719" s="249"/>
      <c r="H1719" s="249"/>
      <c r="I1719" s="249"/>
      <c r="J1719" s="253"/>
    </row>
    <row r="1720" spans="1:10" ht="14.5" x14ac:dyDescent="0.35">
      <c r="A1720" s="254"/>
      <c r="B1720" s="248"/>
      <c r="C1720" s="248"/>
      <c r="D1720" s="248"/>
      <c r="E1720" s="249"/>
      <c r="F1720" s="249"/>
      <c r="G1720" s="249"/>
      <c r="H1720" s="249"/>
      <c r="I1720" s="249"/>
      <c r="J1720" s="253"/>
    </row>
    <row r="1721" spans="1:10" ht="14.5" x14ac:dyDescent="0.35">
      <c r="A1721" s="254"/>
      <c r="B1721" s="248"/>
      <c r="C1721" s="248"/>
      <c r="D1721" s="248"/>
      <c r="E1721" s="249"/>
      <c r="F1721" s="249"/>
      <c r="G1721" s="249"/>
      <c r="H1721" s="249"/>
      <c r="I1721" s="249"/>
      <c r="J1721" s="253"/>
    </row>
    <row r="1722" spans="1:10" ht="14.5" x14ac:dyDescent="0.35">
      <c r="A1722" s="254"/>
      <c r="B1722" s="248"/>
      <c r="C1722" s="248"/>
      <c r="D1722" s="248"/>
      <c r="E1722" s="249"/>
      <c r="F1722" s="249"/>
      <c r="G1722" s="249"/>
      <c r="H1722" s="249"/>
      <c r="I1722" s="249"/>
      <c r="J1722" s="253"/>
    </row>
    <row r="1723" spans="1:10" ht="14.5" x14ac:dyDescent="0.35">
      <c r="A1723" s="254"/>
      <c r="B1723" s="248"/>
      <c r="C1723" s="248"/>
      <c r="D1723" s="248"/>
      <c r="E1723" s="249"/>
      <c r="F1723" s="249"/>
      <c r="G1723" s="249"/>
      <c r="H1723" s="249"/>
      <c r="I1723" s="249"/>
      <c r="J1723" s="253"/>
    </row>
    <row r="1724" spans="1:10" ht="14.5" x14ac:dyDescent="0.35">
      <c r="A1724" s="254"/>
      <c r="B1724" s="248"/>
      <c r="C1724" s="248"/>
      <c r="D1724" s="248"/>
      <c r="E1724" s="249"/>
      <c r="F1724" s="249"/>
      <c r="G1724" s="249"/>
      <c r="H1724" s="249"/>
      <c r="I1724" s="249"/>
      <c r="J1724" s="253"/>
    </row>
    <row r="1725" spans="1:10" ht="14.5" x14ac:dyDescent="0.35">
      <c r="A1725" s="254"/>
      <c r="B1725" s="248"/>
      <c r="C1725" s="248"/>
      <c r="D1725" s="248"/>
      <c r="E1725" s="249"/>
      <c r="F1725" s="249"/>
      <c r="G1725" s="249"/>
      <c r="H1725" s="249"/>
      <c r="I1725" s="249"/>
      <c r="J1725" s="253"/>
    </row>
    <row r="1726" spans="1:10" ht="14.5" x14ac:dyDescent="0.35">
      <c r="A1726" s="254"/>
      <c r="B1726" s="248"/>
      <c r="C1726" s="248"/>
      <c r="D1726" s="248"/>
      <c r="E1726" s="249"/>
      <c r="F1726" s="249"/>
      <c r="G1726" s="249"/>
      <c r="H1726" s="249"/>
      <c r="I1726" s="249"/>
      <c r="J1726" s="253"/>
    </row>
    <row r="1727" spans="1:10" ht="14.5" x14ac:dyDescent="0.35">
      <c r="A1727" s="254"/>
      <c r="B1727" s="248"/>
      <c r="C1727" s="248"/>
      <c r="D1727" s="248"/>
      <c r="E1727" s="249"/>
      <c r="F1727" s="249"/>
      <c r="G1727" s="249"/>
      <c r="H1727" s="249"/>
      <c r="I1727" s="249"/>
      <c r="J1727" s="253"/>
    </row>
    <row r="1728" spans="1:10" ht="14.5" x14ac:dyDescent="0.35">
      <c r="A1728" s="254"/>
      <c r="B1728" s="248"/>
      <c r="C1728" s="248"/>
      <c r="D1728" s="248"/>
      <c r="E1728" s="249"/>
      <c r="F1728" s="249"/>
      <c r="G1728" s="249"/>
      <c r="H1728" s="249"/>
      <c r="I1728" s="249"/>
      <c r="J1728" s="253"/>
    </row>
    <row r="1729" spans="1:10" ht="14.5" x14ac:dyDescent="0.35">
      <c r="A1729" s="254"/>
      <c r="B1729" s="248"/>
      <c r="C1729" s="248"/>
      <c r="D1729" s="248"/>
      <c r="E1729" s="249"/>
      <c r="F1729" s="249"/>
      <c r="G1729" s="249"/>
      <c r="H1729" s="249"/>
      <c r="I1729" s="249"/>
      <c r="J1729" s="253"/>
    </row>
    <row r="1730" spans="1:10" ht="14.5" x14ac:dyDescent="0.35">
      <c r="A1730" s="254"/>
      <c r="B1730" s="248"/>
      <c r="C1730" s="248"/>
      <c r="D1730" s="248"/>
      <c r="E1730" s="249"/>
      <c r="F1730" s="249"/>
      <c r="G1730" s="249"/>
      <c r="H1730" s="249"/>
      <c r="I1730" s="249"/>
      <c r="J1730" s="253"/>
    </row>
    <row r="1731" spans="1:10" ht="14.5" x14ac:dyDescent="0.35">
      <c r="A1731" s="254"/>
      <c r="B1731" s="248"/>
      <c r="C1731" s="248"/>
      <c r="D1731" s="248"/>
      <c r="E1731" s="249"/>
      <c r="F1731" s="249"/>
      <c r="G1731" s="249"/>
      <c r="H1731" s="249"/>
      <c r="I1731" s="249"/>
      <c r="J1731" s="253"/>
    </row>
    <row r="1732" spans="1:10" ht="14.5" x14ac:dyDescent="0.35">
      <c r="A1732" s="254"/>
      <c r="B1732" s="248"/>
      <c r="C1732" s="248"/>
      <c r="D1732" s="248"/>
      <c r="E1732" s="249"/>
      <c r="F1732" s="249"/>
      <c r="G1732" s="249"/>
      <c r="H1732" s="249"/>
      <c r="I1732" s="249"/>
      <c r="J1732" s="253"/>
    </row>
    <row r="1733" spans="1:10" ht="14.5" x14ac:dyDescent="0.35">
      <c r="A1733" s="254"/>
      <c r="B1733" s="248"/>
      <c r="C1733" s="248"/>
      <c r="D1733" s="248"/>
      <c r="E1733" s="249"/>
      <c r="F1733" s="249"/>
      <c r="G1733" s="249"/>
      <c r="H1733" s="249"/>
      <c r="I1733" s="249"/>
      <c r="J1733" s="253"/>
    </row>
    <row r="1734" spans="1:10" ht="14.5" x14ac:dyDescent="0.35">
      <c r="A1734" s="254"/>
      <c r="B1734" s="248"/>
      <c r="C1734" s="248"/>
      <c r="D1734" s="248"/>
      <c r="E1734" s="249"/>
      <c r="F1734" s="249"/>
      <c r="G1734" s="249"/>
      <c r="H1734" s="249"/>
      <c r="I1734" s="249"/>
      <c r="J1734" s="253"/>
    </row>
    <row r="1735" spans="1:10" ht="14.5" x14ac:dyDescent="0.35">
      <c r="A1735" s="254"/>
      <c r="B1735" s="248"/>
      <c r="C1735" s="248"/>
      <c r="D1735" s="248"/>
      <c r="E1735" s="249"/>
      <c r="F1735" s="249"/>
      <c r="G1735" s="249"/>
      <c r="H1735" s="249"/>
      <c r="I1735" s="249"/>
      <c r="J1735" s="253"/>
    </row>
    <row r="1736" spans="1:10" ht="14.5" x14ac:dyDescent="0.35">
      <c r="A1736" s="254"/>
      <c r="B1736" s="248"/>
      <c r="C1736" s="248"/>
      <c r="D1736" s="248"/>
      <c r="E1736" s="249"/>
      <c r="F1736" s="249"/>
      <c r="G1736" s="249"/>
      <c r="H1736" s="249"/>
      <c r="I1736" s="249"/>
      <c r="J1736" s="253"/>
    </row>
    <row r="1737" spans="1:10" ht="14.5" x14ac:dyDescent="0.35">
      <c r="A1737" s="254"/>
      <c r="B1737" s="248"/>
      <c r="C1737" s="248"/>
      <c r="D1737" s="248"/>
      <c r="E1737" s="249"/>
      <c r="F1737" s="249"/>
      <c r="G1737" s="249"/>
      <c r="H1737" s="249"/>
      <c r="I1737" s="249"/>
      <c r="J1737" s="253"/>
    </row>
    <row r="1738" spans="1:10" ht="14.5" x14ac:dyDescent="0.35">
      <c r="A1738" s="254"/>
      <c r="B1738" s="248"/>
      <c r="C1738" s="248"/>
      <c r="D1738" s="248"/>
      <c r="E1738" s="249"/>
      <c r="F1738" s="249"/>
      <c r="G1738" s="249"/>
      <c r="H1738" s="249"/>
      <c r="I1738" s="249"/>
      <c r="J1738" s="253"/>
    </row>
    <row r="1739" spans="1:10" ht="14.5" x14ac:dyDescent="0.35">
      <c r="A1739" s="254"/>
      <c r="B1739" s="248"/>
      <c r="C1739" s="248"/>
      <c r="D1739" s="248"/>
      <c r="E1739" s="249"/>
      <c r="F1739" s="249"/>
      <c r="G1739" s="249"/>
      <c r="H1739" s="249"/>
      <c r="I1739" s="249"/>
      <c r="J1739" s="253"/>
    </row>
    <row r="1740" spans="1:10" ht="14.5" x14ac:dyDescent="0.35">
      <c r="A1740" s="254"/>
      <c r="B1740" s="248"/>
      <c r="C1740" s="248"/>
      <c r="D1740" s="248"/>
      <c r="E1740" s="249"/>
      <c r="F1740" s="249"/>
      <c r="G1740" s="249"/>
      <c r="H1740" s="249"/>
      <c r="I1740" s="249"/>
      <c r="J1740" s="253"/>
    </row>
    <row r="1741" spans="1:10" ht="14.5" x14ac:dyDescent="0.35">
      <c r="A1741" s="254"/>
      <c r="B1741" s="248"/>
      <c r="C1741" s="248"/>
      <c r="D1741" s="248"/>
      <c r="E1741" s="249"/>
      <c r="F1741" s="249"/>
      <c r="G1741" s="249"/>
      <c r="H1741" s="249"/>
      <c r="I1741" s="249"/>
      <c r="J1741" s="253"/>
    </row>
    <row r="1742" spans="1:10" ht="14.5" x14ac:dyDescent="0.35">
      <c r="A1742" s="254"/>
      <c r="B1742" s="248"/>
      <c r="C1742" s="248"/>
      <c r="D1742" s="248"/>
      <c r="E1742" s="249"/>
      <c r="F1742" s="249"/>
      <c r="G1742" s="249"/>
      <c r="H1742" s="249"/>
      <c r="I1742" s="249"/>
      <c r="J1742" s="253"/>
    </row>
    <row r="1743" spans="1:10" ht="14.5" x14ac:dyDescent="0.35">
      <c r="A1743" s="254"/>
      <c r="B1743" s="248"/>
      <c r="C1743" s="248"/>
      <c r="D1743" s="248"/>
      <c r="E1743" s="249"/>
      <c r="F1743" s="249"/>
      <c r="G1743" s="249"/>
      <c r="H1743" s="249"/>
      <c r="I1743" s="249"/>
      <c r="J1743" s="253"/>
    </row>
    <row r="1744" spans="1:10" ht="14.5" x14ac:dyDescent="0.35">
      <c r="A1744" s="254"/>
      <c r="B1744" s="248"/>
      <c r="C1744" s="248"/>
      <c r="D1744" s="248"/>
      <c r="E1744" s="249"/>
      <c r="F1744" s="249"/>
      <c r="G1744" s="249"/>
      <c r="H1744" s="249"/>
      <c r="I1744" s="249"/>
      <c r="J1744" s="253"/>
    </row>
    <row r="1745" spans="1:10" ht="14.5" x14ac:dyDescent="0.35">
      <c r="A1745" s="254"/>
      <c r="B1745" s="248"/>
      <c r="C1745" s="248"/>
      <c r="D1745" s="248"/>
      <c r="E1745" s="249"/>
      <c r="F1745" s="249"/>
      <c r="G1745" s="249"/>
      <c r="H1745" s="249"/>
      <c r="I1745" s="249"/>
      <c r="J1745" s="253"/>
    </row>
    <row r="1746" spans="1:10" ht="14.5" x14ac:dyDescent="0.35">
      <c r="A1746" s="254"/>
      <c r="B1746" s="248"/>
      <c r="C1746" s="248"/>
      <c r="D1746" s="248"/>
      <c r="E1746" s="249"/>
      <c r="F1746" s="249"/>
      <c r="G1746" s="249"/>
      <c r="H1746" s="249"/>
      <c r="I1746" s="249"/>
      <c r="J1746" s="253"/>
    </row>
    <row r="1747" spans="1:10" ht="14.5" x14ac:dyDescent="0.35">
      <c r="A1747" s="254"/>
      <c r="B1747" s="248"/>
      <c r="C1747" s="248"/>
      <c r="D1747" s="248"/>
      <c r="E1747" s="249"/>
      <c r="F1747" s="249"/>
      <c r="G1747" s="249"/>
      <c r="H1747" s="249"/>
      <c r="I1747" s="249"/>
      <c r="J1747" s="253"/>
    </row>
    <row r="1748" spans="1:10" ht="14.5" x14ac:dyDescent="0.35">
      <c r="A1748" s="254"/>
      <c r="B1748" s="248"/>
      <c r="C1748" s="248"/>
      <c r="D1748" s="248"/>
      <c r="E1748" s="249"/>
      <c r="F1748" s="249"/>
      <c r="G1748" s="249"/>
      <c r="H1748" s="249"/>
      <c r="I1748" s="249"/>
      <c r="J1748" s="253"/>
    </row>
    <row r="1749" spans="1:10" ht="14.5" x14ac:dyDescent="0.35">
      <c r="A1749" s="254"/>
      <c r="B1749" s="248"/>
      <c r="C1749" s="248"/>
      <c r="D1749" s="248"/>
      <c r="E1749" s="249"/>
      <c r="F1749" s="249"/>
      <c r="G1749" s="249"/>
      <c r="H1749" s="249"/>
      <c r="I1749" s="249"/>
      <c r="J1749" s="253"/>
    </row>
    <row r="1750" spans="1:10" ht="14.5" x14ac:dyDescent="0.35">
      <c r="A1750" s="254"/>
      <c r="B1750" s="248"/>
      <c r="C1750" s="248"/>
      <c r="D1750" s="248"/>
      <c r="E1750" s="249"/>
      <c r="F1750" s="249"/>
      <c r="G1750" s="249"/>
      <c r="H1750" s="249"/>
      <c r="I1750" s="249"/>
      <c r="J1750" s="253"/>
    </row>
    <row r="1751" spans="1:10" ht="14.5" x14ac:dyDescent="0.35">
      <c r="A1751" s="254"/>
      <c r="B1751" s="248"/>
      <c r="C1751" s="248"/>
      <c r="D1751" s="248"/>
      <c r="E1751" s="249"/>
      <c r="F1751" s="249"/>
      <c r="G1751" s="249"/>
      <c r="H1751" s="249"/>
      <c r="I1751" s="249"/>
      <c r="J1751" s="253"/>
    </row>
    <row r="1752" spans="1:10" ht="14.5" x14ac:dyDescent="0.35">
      <c r="A1752" s="254"/>
      <c r="B1752" s="248"/>
      <c r="C1752" s="248"/>
      <c r="D1752" s="248"/>
      <c r="E1752" s="249"/>
      <c r="F1752" s="249"/>
      <c r="G1752" s="249"/>
      <c r="H1752" s="249"/>
      <c r="I1752" s="249"/>
      <c r="J1752" s="253"/>
    </row>
    <row r="1753" spans="1:10" ht="14.5" x14ac:dyDescent="0.35">
      <c r="A1753" s="254"/>
      <c r="B1753" s="248"/>
      <c r="C1753" s="248"/>
      <c r="D1753" s="248"/>
      <c r="E1753" s="249"/>
      <c r="F1753" s="249"/>
      <c r="G1753" s="249"/>
      <c r="H1753" s="249"/>
      <c r="I1753" s="249"/>
      <c r="J1753" s="253"/>
    </row>
    <row r="1754" spans="1:10" ht="14.5" x14ac:dyDescent="0.35">
      <c r="A1754" s="254"/>
      <c r="B1754" s="248"/>
      <c r="C1754" s="248"/>
      <c r="D1754" s="248"/>
      <c r="E1754" s="249"/>
      <c r="F1754" s="249"/>
      <c r="G1754" s="249"/>
      <c r="H1754" s="249"/>
      <c r="I1754" s="249"/>
      <c r="J1754" s="253"/>
    </row>
    <row r="1755" spans="1:10" ht="14.5" x14ac:dyDescent="0.35">
      <c r="A1755" s="254"/>
      <c r="B1755" s="248"/>
      <c r="C1755" s="248"/>
      <c r="D1755" s="248"/>
      <c r="E1755" s="249"/>
      <c r="F1755" s="249"/>
      <c r="G1755" s="249"/>
      <c r="H1755" s="249"/>
      <c r="I1755" s="249"/>
      <c r="J1755" s="253"/>
    </row>
    <row r="1756" spans="1:10" ht="14.5" x14ac:dyDescent="0.35">
      <c r="A1756" s="254"/>
      <c r="B1756" s="248"/>
      <c r="C1756" s="248"/>
      <c r="D1756" s="248"/>
      <c r="E1756" s="249"/>
      <c r="F1756" s="249"/>
      <c r="G1756" s="249"/>
      <c r="H1756" s="249"/>
      <c r="I1756" s="249"/>
      <c r="J1756" s="253"/>
    </row>
    <row r="1757" spans="1:10" ht="14.5" x14ac:dyDescent="0.35">
      <c r="A1757" s="254"/>
      <c r="B1757" s="248"/>
      <c r="C1757" s="248"/>
      <c r="D1757" s="248"/>
      <c r="E1757" s="249"/>
      <c r="F1757" s="249"/>
      <c r="G1757" s="249"/>
      <c r="H1757" s="249"/>
      <c r="I1757" s="249"/>
      <c r="J1757" s="253"/>
    </row>
    <row r="1758" spans="1:10" ht="14.5" x14ac:dyDescent="0.35">
      <c r="A1758" s="254"/>
      <c r="B1758" s="248"/>
      <c r="C1758" s="248"/>
      <c r="D1758" s="248"/>
      <c r="E1758" s="249"/>
      <c r="F1758" s="249"/>
      <c r="G1758" s="249"/>
      <c r="H1758" s="249"/>
      <c r="I1758" s="249"/>
      <c r="J1758" s="253"/>
    </row>
    <row r="1759" spans="1:10" ht="14.5" x14ac:dyDescent="0.35">
      <c r="A1759" s="254"/>
      <c r="B1759" s="248"/>
      <c r="C1759" s="248"/>
      <c r="D1759" s="248"/>
      <c r="E1759" s="249"/>
      <c r="F1759" s="249"/>
      <c r="G1759" s="249"/>
      <c r="H1759" s="249"/>
      <c r="I1759" s="249"/>
      <c r="J1759" s="253"/>
    </row>
    <row r="1760" spans="1:10" ht="14.5" x14ac:dyDescent="0.35">
      <c r="A1760" s="254"/>
      <c r="B1760" s="248"/>
      <c r="C1760" s="248"/>
      <c r="D1760" s="248"/>
      <c r="E1760" s="249"/>
      <c r="F1760" s="249"/>
      <c r="G1760" s="249"/>
      <c r="H1760" s="249"/>
      <c r="I1760" s="249"/>
      <c r="J1760" s="253"/>
    </row>
    <row r="1761" spans="1:10" ht="14.5" x14ac:dyDescent="0.35">
      <c r="A1761" s="254"/>
      <c r="B1761" s="248"/>
      <c r="C1761" s="248"/>
      <c r="D1761" s="248"/>
      <c r="E1761" s="249"/>
      <c r="F1761" s="249"/>
      <c r="G1761" s="249"/>
      <c r="H1761" s="249"/>
      <c r="I1761" s="249"/>
      <c r="J1761" s="253"/>
    </row>
    <row r="1762" spans="1:10" ht="14.5" x14ac:dyDescent="0.35">
      <c r="A1762" s="254"/>
      <c r="B1762" s="248"/>
      <c r="C1762" s="248"/>
      <c r="D1762" s="248"/>
      <c r="E1762" s="249"/>
      <c r="F1762" s="249"/>
      <c r="G1762" s="249"/>
      <c r="H1762" s="249"/>
      <c r="I1762" s="249"/>
      <c r="J1762" s="253"/>
    </row>
    <row r="1763" spans="1:10" ht="14.5" x14ac:dyDescent="0.35">
      <c r="A1763" s="254"/>
      <c r="B1763" s="248"/>
      <c r="C1763" s="248"/>
      <c r="D1763" s="248"/>
      <c r="E1763" s="249"/>
      <c r="F1763" s="249"/>
      <c r="G1763" s="249"/>
      <c r="H1763" s="249"/>
      <c r="I1763" s="249"/>
      <c r="J1763" s="253"/>
    </row>
    <row r="1764" spans="1:10" ht="14.5" x14ac:dyDescent="0.35">
      <c r="A1764" s="254"/>
      <c r="B1764" s="248"/>
      <c r="C1764" s="248"/>
      <c r="D1764" s="248"/>
      <c r="E1764" s="249"/>
      <c r="F1764" s="249"/>
      <c r="G1764" s="249"/>
      <c r="H1764" s="249"/>
      <c r="I1764" s="249"/>
      <c r="J1764" s="253"/>
    </row>
    <row r="1765" spans="1:10" ht="14.5" x14ac:dyDescent="0.35">
      <c r="A1765" s="254"/>
      <c r="B1765" s="248"/>
      <c r="C1765" s="248"/>
      <c r="D1765" s="248"/>
      <c r="E1765" s="249"/>
      <c r="F1765" s="249"/>
      <c r="G1765" s="249"/>
      <c r="H1765" s="249"/>
      <c r="I1765" s="249"/>
      <c r="J1765" s="253"/>
    </row>
    <row r="1766" spans="1:10" ht="14.5" x14ac:dyDescent="0.35">
      <c r="A1766" s="254"/>
      <c r="B1766" s="248"/>
      <c r="C1766" s="248"/>
      <c r="D1766" s="248"/>
      <c r="E1766" s="249"/>
      <c r="F1766" s="249"/>
      <c r="G1766" s="249"/>
      <c r="H1766" s="249"/>
      <c r="I1766" s="249"/>
      <c r="J1766" s="253"/>
    </row>
    <row r="1767" spans="1:10" ht="14.5" x14ac:dyDescent="0.35">
      <c r="A1767" s="254"/>
      <c r="B1767" s="248"/>
      <c r="C1767" s="248"/>
      <c r="D1767" s="248"/>
      <c r="E1767" s="249"/>
      <c r="F1767" s="249"/>
      <c r="G1767" s="249"/>
      <c r="H1767" s="249"/>
      <c r="I1767" s="249"/>
      <c r="J1767" s="253"/>
    </row>
    <row r="1768" spans="1:10" ht="14.5" x14ac:dyDescent="0.35">
      <c r="A1768" s="254"/>
      <c r="B1768" s="248"/>
      <c r="C1768" s="248"/>
      <c r="D1768" s="248"/>
      <c r="E1768" s="249"/>
      <c r="F1768" s="249"/>
      <c r="G1768" s="249"/>
      <c r="H1768" s="249"/>
      <c r="I1768" s="249"/>
      <c r="J1768" s="253"/>
    </row>
    <row r="1769" spans="1:10" ht="14.5" x14ac:dyDescent="0.35">
      <c r="A1769" s="254"/>
      <c r="B1769" s="248"/>
      <c r="C1769" s="248"/>
      <c r="D1769" s="248"/>
      <c r="E1769" s="249"/>
      <c r="F1769" s="249"/>
      <c r="G1769" s="249"/>
      <c r="H1769" s="249"/>
      <c r="I1769" s="249"/>
      <c r="J1769" s="253"/>
    </row>
    <row r="1770" spans="1:10" ht="14.5" x14ac:dyDescent="0.35">
      <c r="A1770" s="254"/>
      <c r="B1770" s="248"/>
      <c r="C1770" s="248"/>
      <c r="D1770" s="248"/>
      <c r="E1770" s="249"/>
      <c r="F1770" s="249"/>
      <c r="G1770" s="249"/>
      <c r="H1770" s="249"/>
      <c r="I1770" s="249"/>
      <c r="J1770" s="253"/>
    </row>
    <row r="1771" spans="1:10" ht="14.5" x14ac:dyDescent="0.35">
      <c r="A1771" s="254"/>
      <c r="B1771" s="248"/>
      <c r="C1771" s="248"/>
      <c r="D1771" s="248"/>
      <c r="E1771" s="249"/>
      <c r="F1771" s="249"/>
      <c r="G1771" s="249"/>
      <c r="H1771" s="249"/>
      <c r="I1771" s="249"/>
      <c r="J1771" s="253"/>
    </row>
    <row r="1772" spans="1:10" ht="14.5" x14ac:dyDescent="0.35">
      <c r="A1772" s="254"/>
      <c r="B1772" s="248"/>
      <c r="C1772" s="248"/>
      <c r="D1772" s="248"/>
      <c r="E1772" s="249"/>
      <c r="F1772" s="249"/>
      <c r="G1772" s="249"/>
      <c r="H1772" s="249"/>
      <c r="I1772" s="249"/>
      <c r="J1772" s="253"/>
    </row>
    <row r="1773" spans="1:10" ht="14.5" x14ac:dyDescent="0.35">
      <c r="A1773" s="254"/>
      <c r="B1773" s="248"/>
      <c r="C1773" s="248"/>
      <c r="D1773" s="248"/>
      <c r="E1773" s="249"/>
      <c r="F1773" s="249"/>
      <c r="G1773" s="249"/>
      <c r="H1773" s="249"/>
      <c r="I1773" s="249"/>
      <c r="J1773" s="253"/>
    </row>
    <row r="1774" spans="1:10" ht="14.5" x14ac:dyDescent="0.35">
      <c r="A1774" s="254"/>
      <c r="B1774" s="248"/>
      <c r="C1774" s="248"/>
      <c r="D1774" s="248"/>
      <c r="E1774" s="249"/>
      <c r="F1774" s="249"/>
      <c r="G1774" s="249"/>
      <c r="H1774" s="249"/>
      <c r="I1774" s="249"/>
      <c r="J1774" s="253"/>
    </row>
    <row r="1775" spans="1:10" ht="14.5" x14ac:dyDescent="0.35">
      <c r="A1775" s="254"/>
      <c r="B1775" s="248"/>
      <c r="C1775" s="248"/>
      <c r="D1775" s="248"/>
      <c r="E1775" s="249"/>
      <c r="F1775" s="249"/>
      <c r="G1775" s="249"/>
      <c r="H1775" s="249"/>
      <c r="I1775" s="249"/>
      <c r="J1775" s="253"/>
    </row>
    <row r="1776" spans="1:10" ht="14.5" x14ac:dyDescent="0.35">
      <c r="A1776" s="254"/>
      <c r="B1776" s="248"/>
      <c r="C1776" s="248"/>
      <c r="D1776" s="248"/>
      <c r="E1776" s="249"/>
      <c r="F1776" s="249"/>
      <c r="G1776" s="249"/>
      <c r="H1776" s="249"/>
      <c r="I1776" s="249"/>
      <c r="J1776" s="253"/>
    </row>
    <row r="1777" spans="1:10" ht="14.5" x14ac:dyDescent="0.35">
      <c r="A1777" s="254"/>
      <c r="B1777" s="248"/>
      <c r="C1777" s="248"/>
      <c r="D1777" s="248"/>
      <c r="E1777" s="249"/>
      <c r="F1777" s="249"/>
      <c r="G1777" s="249"/>
      <c r="H1777" s="249"/>
      <c r="I1777" s="249"/>
      <c r="J1777" s="253"/>
    </row>
    <row r="1778" spans="1:10" ht="14.5" x14ac:dyDescent="0.35">
      <c r="A1778" s="254"/>
      <c r="B1778" s="248"/>
      <c r="C1778" s="248"/>
      <c r="D1778" s="248"/>
      <c r="E1778" s="249"/>
      <c r="F1778" s="249"/>
      <c r="G1778" s="249"/>
      <c r="H1778" s="249"/>
      <c r="I1778" s="249"/>
      <c r="J1778" s="253"/>
    </row>
    <row r="1779" spans="1:10" ht="14.5" x14ac:dyDescent="0.35">
      <c r="A1779" s="254"/>
      <c r="B1779" s="248"/>
      <c r="C1779" s="248"/>
      <c r="D1779" s="248"/>
      <c r="E1779" s="249"/>
      <c r="F1779" s="249"/>
      <c r="G1779" s="249"/>
      <c r="H1779" s="249"/>
      <c r="I1779" s="249"/>
      <c r="J1779" s="253"/>
    </row>
    <row r="1780" spans="1:10" ht="14.5" x14ac:dyDescent="0.35">
      <c r="A1780" s="254"/>
      <c r="B1780" s="248"/>
      <c r="C1780" s="248"/>
      <c r="D1780" s="248"/>
      <c r="E1780" s="249"/>
      <c r="F1780" s="249"/>
      <c r="G1780" s="249"/>
      <c r="H1780" s="249"/>
      <c r="I1780" s="249"/>
      <c r="J1780" s="253"/>
    </row>
    <row r="1781" spans="1:10" ht="14.5" x14ac:dyDescent="0.35">
      <c r="A1781" s="254"/>
      <c r="B1781" s="248"/>
      <c r="C1781" s="248"/>
      <c r="D1781" s="248"/>
      <c r="E1781" s="249"/>
      <c r="F1781" s="249"/>
      <c r="G1781" s="249"/>
      <c r="H1781" s="249"/>
      <c r="I1781" s="249"/>
      <c r="J1781" s="253"/>
    </row>
    <row r="1782" spans="1:10" ht="14.5" x14ac:dyDescent="0.35">
      <c r="A1782" s="254"/>
      <c r="B1782" s="248"/>
      <c r="C1782" s="248"/>
      <c r="D1782" s="248"/>
      <c r="E1782" s="249"/>
      <c r="F1782" s="249"/>
      <c r="G1782" s="249"/>
      <c r="H1782" s="249"/>
      <c r="I1782" s="249"/>
      <c r="J1782" s="253"/>
    </row>
    <row r="1783" spans="1:10" ht="14.5" x14ac:dyDescent="0.35">
      <c r="A1783" s="254"/>
      <c r="B1783" s="248"/>
      <c r="C1783" s="248"/>
      <c r="D1783" s="248"/>
      <c r="E1783" s="249"/>
      <c r="F1783" s="249"/>
      <c r="G1783" s="249"/>
      <c r="H1783" s="249"/>
      <c r="I1783" s="249"/>
      <c r="J1783" s="253"/>
    </row>
    <row r="1784" spans="1:10" ht="14.5" x14ac:dyDescent="0.35">
      <c r="A1784" s="254"/>
      <c r="B1784" s="248"/>
      <c r="C1784" s="248"/>
      <c r="D1784" s="248"/>
      <c r="E1784" s="249"/>
      <c r="F1784" s="249"/>
      <c r="G1784" s="249"/>
      <c r="H1784" s="249"/>
      <c r="I1784" s="249"/>
      <c r="J1784" s="253"/>
    </row>
    <row r="1785" spans="1:10" ht="14.5" x14ac:dyDescent="0.35">
      <c r="A1785" s="254"/>
      <c r="B1785" s="248"/>
      <c r="C1785" s="248"/>
      <c r="D1785" s="248"/>
      <c r="E1785" s="249"/>
      <c r="F1785" s="249"/>
      <c r="G1785" s="249"/>
      <c r="H1785" s="249"/>
      <c r="I1785" s="249"/>
      <c r="J1785" s="253"/>
    </row>
    <row r="1786" spans="1:10" ht="14.5" x14ac:dyDescent="0.35">
      <c r="A1786" s="254"/>
      <c r="B1786" s="248"/>
      <c r="C1786" s="248"/>
      <c r="D1786" s="248"/>
      <c r="E1786" s="249"/>
      <c r="F1786" s="249"/>
      <c r="G1786" s="249"/>
      <c r="H1786" s="249"/>
      <c r="I1786" s="249"/>
      <c r="J1786" s="253"/>
    </row>
    <row r="1787" spans="1:10" ht="14.5" x14ac:dyDescent="0.35">
      <c r="A1787" s="254"/>
      <c r="B1787" s="248"/>
      <c r="C1787" s="248"/>
      <c r="D1787" s="248"/>
      <c r="E1787" s="249"/>
      <c r="F1787" s="249"/>
      <c r="G1787" s="249"/>
      <c r="H1787" s="249"/>
      <c r="I1787" s="249"/>
      <c r="J1787" s="253"/>
    </row>
    <row r="1788" spans="1:10" ht="14.5" x14ac:dyDescent="0.35">
      <c r="A1788" s="254"/>
      <c r="B1788" s="248"/>
      <c r="C1788" s="248"/>
      <c r="D1788" s="248"/>
      <c r="E1788" s="249"/>
      <c r="F1788" s="249"/>
      <c r="G1788" s="249"/>
      <c r="H1788" s="249"/>
      <c r="I1788" s="249"/>
      <c r="J1788" s="253"/>
    </row>
    <row r="1789" spans="1:10" ht="14.5" x14ac:dyDescent="0.35">
      <c r="A1789" s="254"/>
      <c r="B1789" s="248"/>
      <c r="C1789" s="248"/>
      <c r="D1789" s="248"/>
      <c r="E1789" s="249"/>
      <c r="F1789" s="249"/>
      <c r="G1789" s="249"/>
      <c r="H1789" s="249"/>
      <c r="I1789" s="249"/>
      <c r="J1789" s="253"/>
    </row>
    <row r="1790" spans="1:10" ht="14.5" x14ac:dyDescent="0.35">
      <c r="A1790" s="254"/>
      <c r="B1790" s="248"/>
      <c r="C1790" s="248"/>
      <c r="D1790" s="248"/>
      <c r="E1790" s="249"/>
      <c r="F1790" s="249"/>
      <c r="G1790" s="249"/>
      <c r="H1790" s="249"/>
      <c r="I1790" s="249"/>
      <c r="J1790" s="253"/>
    </row>
    <row r="1791" spans="1:10" ht="14.5" x14ac:dyDescent="0.35">
      <c r="A1791" s="254"/>
      <c r="B1791" s="248"/>
      <c r="C1791" s="248"/>
      <c r="D1791" s="248"/>
      <c r="E1791" s="249"/>
      <c r="F1791" s="249"/>
      <c r="G1791" s="249"/>
      <c r="H1791" s="249"/>
      <c r="I1791" s="249"/>
      <c r="J1791" s="253"/>
    </row>
    <row r="1792" spans="1:10" ht="14.5" x14ac:dyDescent="0.35">
      <c r="A1792" s="254"/>
      <c r="B1792" s="248"/>
      <c r="C1792" s="248"/>
      <c r="D1792" s="248"/>
      <c r="E1792" s="249"/>
      <c r="F1792" s="249"/>
      <c r="G1792" s="249"/>
      <c r="H1792" s="249"/>
      <c r="I1792" s="249"/>
      <c r="J1792" s="253"/>
    </row>
    <row r="1793" spans="1:10" ht="14.5" x14ac:dyDescent="0.35">
      <c r="A1793" s="254"/>
      <c r="B1793" s="248"/>
      <c r="C1793" s="248"/>
      <c r="D1793" s="248"/>
      <c r="E1793" s="249"/>
      <c r="F1793" s="249"/>
      <c r="G1793" s="249"/>
      <c r="H1793" s="249"/>
      <c r="I1793" s="249"/>
      <c r="J1793" s="253"/>
    </row>
    <row r="1794" spans="1:10" ht="14.5" x14ac:dyDescent="0.35">
      <c r="A1794" s="254"/>
      <c r="B1794" s="248"/>
      <c r="C1794" s="248"/>
      <c r="D1794" s="248"/>
      <c r="E1794" s="249"/>
      <c r="F1794" s="249"/>
      <c r="G1794" s="249"/>
      <c r="H1794" s="249"/>
      <c r="I1794" s="249"/>
      <c r="J1794" s="253"/>
    </row>
    <row r="1795" spans="1:10" ht="14.5" x14ac:dyDescent="0.35">
      <c r="A1795" s="254"/>
      <c r="B1795" s="248"/>
      <c r="C1795" s="248"/>
      <c r="D1795" s="248"/>
      <c r="E1795" s="249"/>
      <c r="F1795" s="249"/>
      <c r="G1795" s="249"/>
      <c r="H1795" s="249"/>
      <c r="I1795" s="249"/>
      <c r="J1795" s="253"/>
    </row>
    <row r="1796" spans="1:10" ht="14.5" x14ac:dyDescent="0.35">
      <c r="A1796" s="254"/>
      <c r="B1796" s="248"/>
      <c r="C1796" s="248"/>
      <c r="D1796" s="248"/>
      <c r="E1796" s="249"/>
      <c r="F1796" s="249"/>
      <c r="G1796" s="249"/>
      <c r="H1796" s="249"/>
      <c r="I1796" s="249"/>
      <c r="J1796" s="253"/>
    </row>
    <row r="1797" spans="1:10" ht="14.5" x14ac:dyDescent="0.35">
      <c r="A1797" s="254"/>
      <c r="B1797" s="248"/>
      <c r="C1797" s="248"/>
      <c r="D1797" s="248"/>
      <c r="E1797" s="249"/>
      <c r="F1797" s="249"/>
      <c r="G1797" s="249"/>
      <c r="H1797" s="249"/>
      <c r="I1797" s="249"/>
      <c r="J1797" s="253"/>
    </row>
    <row r="1798" spans="1:10" ht="14.5" x14ac:dyDescent="0.35">
      <c r="A1798" s="254"/>
      <c r="B1798" s="248"/>
      <c r="C1798" s="248"/>
      <c r="D1798" s="248"/>
      <c r="E1798" s="249"/>
      <c r="F1798" s="249"/>
      <c r="G1798" s="249"/>
      <c r="H1798" s="249"/>
      <c r="I1798" s="249"/>
      <c r="J1798" s="253"/>
    </row>
    <row r="1799" spans="1:10" ht="14.5" x14ac:dyDescent="0.35">
      <c r="A1799" s="254"/>
      <c r="B1799" s="248"/>
      <c r="C1799" s="248"/>
      <c r="D1799" s="248"/>
      <c r="E1799" s="249"/>
      <c r="F1799" s="249"/>
      <c r="G1799" s="249"/>
      <c r="H1799" s="249"/>
      <c r="I1799" s="249"/>
      <c r="J1799" s="253"/>
    </row>
    <row r="1800" spans="1:10" ht="14.5" x14ac:dyDescent="0.35">
      <c r="A1800" s="254"/>
      <c r="B1800" s="248"/>
      <c r="C1800" s="248"/>
      <c r="D1800" s="248"/>
      <c r="E1800" s="249"/>
      <c r="F1800" s="249"/>
      <c r="G1800" s="249"/>
      <c r="H1800" s="249"/>
      <c r="I1800" s="249"/>
      <c r="J1800" s="253"/>
    </row>
    <row r="1801" spans="1:10" ht="14.5" x14ac:dyDescent="0.35">
      <c r="A1801" s="254"/>
      <c r="B1801" s="248"/>
      <c r="C1801" s="248"/>
      <c r="D1801" s="248"/>
      <c r="E1801" s="249"/>
      <c r="F1801" s="249"/>
      <c r="G1801" s="249"/>
      <c r="H1801" s="249"/>
      <c r="I1801" s="249"/>
      <c r="J1801" s="253"/>
    </row>
    <row r="1802" spans="1:10" ht="14.5" x14ac:dyDescent="0.35">
      <c r="A1802" s="254"/>
      <c r="B1802" s="248"/>
      <c r="C1802" s="248"/>
      <c r="D1802" s="248"/>
      <c r="E1802" s="249"/>
      <c r="F1802" s="249"/>
      <c r="G1802" s="249"/>
      <c r="H1802" s="249"/>
      <c r="I1802" s="249"/>
      <c r="J1802" s="253"/>
    </row>
    <row r="1803" spans="1:10" ht="14.5" x14ac:dyDescent="0.35">
      <c r="A1803" s="254"/>
      <c r="B1803" s="248"/>
      <c r="C1803" s="248"/>
      <c r="D1803" s="248"/>
      <c r="E1803" s="249"/>
      <c r="F1803" s="249"/>
      <c r="G1803" s="249"/>
      <c r="H1803" s="249"/>
      <c r="I1803" s="249"/>
      <c r="J1803" s="253"/>
    </row>
    <row r="1804" spans="1:10" ht="14.5" x14ac:dyDescent="0.35">
      <c r="A1804" s="254"/>
      <c r="B1804" s="248"/>
      <c r="C1804" s="248"/>
      <c r="D1804" s="248"/>
      <c r="E1804" s="249"/>
      <c r="F1804" s="249"/>
      <c r="G1804" s="249"/>
      <c r="H1804" s="249"/>
      <c r="I1804" s="249"/>
      <c r="J1804" s="253"/>
    </row>
    <row r="1805" spans="1:10" ht="14.5" x14ac:dyDescent="0.35">
      <c r="A1805" s="254"/>
      <c r="B1805" s="248"/>
      <c r="C1805" s="248"/>
      <c r="D1805" s="248"/>
      <c r="E1805" s="249"/>
      <c r="F1805" s="249"/>
      <c r="G1805" s="249"/>
      <c r="H1805" s="249"/>
      <c r="I1805" s="249"/>
      <c r="J1805" s="253"/>
    </row>
    <row r="1806" spans="1:10" ht="14.5" x14ac:dyDescent="0.35">
      <c r="A1806" s="254"/>
      <c r="B1806" s="248"/>
      <c r="C1806" s="248"/>
      <c r="D1806" s="248"/>
      <c r="E1806" s="249"/>
      <c r="F1806" s="249"/>
      <c r="G1806" s="249"/>
      <c r="H1806" s="249"/>
      <c r="I1806" s="249"/>
      <c r="J1806" s="253"/>
    </row>
    <row r="1807" spans="1:10" ht="14.5" x14ac:dyDescent="0.35">
      <c r="A1807" s="254"/>
      <c r="B1807" s="248"/>
      <c r="C1807" s="248"/>
      <c r="D1807" s="248"/>
      <c r="E1807" s="249"/>
      <c r="F1807" s="249"/>
      <c r="G1807" s="249"/>
      <c r="H1807" s="249"/>
      <c r="I1807" s="249"/>
      <c r="J1807" s="253"/>
    </row>
    <row r="1808" spans="1:10" ht="14.5" x14ac:dyDescent="0.35">
      <c r="A1808" s="254"/>
      <c r="B1808" s="248"/>
      <c r="C1808" s="248"/>
      <c r="D1808" s="248"/>
      <c r="E1808" s="249"/>
      <c r="F1808" s="249"/>
      <c r="G1808" s="249"/>
      <c r="H1808" s="249"/>
      <c r="I1808" s="249"/>
      <c r="J1808" s="253"/>
    </row>
    <row r="1809" spans="1:10" ht="14.5" x14ac:dyDescent="0.35">
      <c r="A1809" s="254"/>
      <c r="B1809" s="248"/>
      <c r="C1809" s="248"/>
      <c r="D1809" s="248"/>
      <c r="E1809" s="249"/>
      <c r="F1809" s="249"/>
      <c r="G1809" s="249"/>
      <c r="H1809" s="249"/>
      <c r="I1809" s="249"/>
      <c r="J1809" s="253"/>
    </row>
    <row r="1810" spans="1:10" ht="14.5" x14ac:dyDescent="0.35">
      <c r="A1810" s="254"/>
      <c r="B1810" s="248"/>
      <c r="C1810" s="248"/>
      <c r="D1810" s="248"/>
      <c r="E1810" s="249"/>
      <c r="F1810" s="249"/>
      <c r="G1810" s="249"/>
      <c r="H1810" s="249"/>
      <c r="I1810" s="249"/>
      <c r="J1810" s="253"/>
    </row>
    <row r="1811" spans="1:10" ht="14.5" x14ac:dyDescent="0.35">
      <c r="A1811" s="254"/>
      <c r="B1811" s="248"/>
      <c r="C1811" s="248"/>
      <c r="D1811" s="248"/>
      <c r="E1811" s="249"/>
      <c r="F1811" s="249"/>
      <c r="G1811" s="249"/>
      <c r="H1811" s="249"/>
      <c r="I1811" s="249"/>
      <c r="J1811" s="253"/>
    </row>
    <row r="1812" spans="1:10" ht="14.5" x14ac:dyDescent="0.35">
      <c r="A1812" s="254"/>
      <c r="B1812" s="248"/>
      <c r="C1812" s="248"/>
      <c r="D1812" s="248"/>
      <c r="E1812" s="249"/>
      <c r="F1812" s="249"/>
      <c r="G1812" s="249"/>
      <c r="H1812" s="249"/>
      <c r="I1812" s="249"/>
      <c r="J1812" s="253"/>
    </row>
    <row r="1813" spans="1:10" ht="14.5" x14ac:dyDescent="0.35">
      <c r="A1813" s="254"/>
      <c r="B1813" s="248"/>
      <c r="C1813" s="248"/>
      <c r="D1813" s="248"/>
      <c r="E1813" s="249"/>
      <c r="F1813" s="249"/>
      <c r="G1813" s="249"/>
      <c r="H1813" s="249"/>
      <c r="I1813" s="249"/>
      <c r="J1813" s="253"/>
    </row>
    <row r="1814" spans="1:10" ht="14.5" x14ac:dyDescent="0.35">
      <c r="A1814" s="254"/>
      <c r="B1814" s="248"/>
      <c r="C1814" s="248"/>
      <c r="D1814" s="248"/>
      <c r="E1814" s="249"/>
      <c r="F1814" s="249"/>
      <c r="G1814" s="249"/>
      <c r="H1814" s="249"/>
      <c r="I1814" s="249"/>
      <c r="J1814" s="253"/>
    </row>
    <row r="1815" spans="1:10" ht="14.5" x14ac:dyDescent="0.35">
      <c r="A1815" s="254"/>
      <c r="B1815" s="248"/>
      <c r="C1815" s="248"/>
      <c r="D1815" s="248"/>
      <c r="E1815" s="249"/>
      <c r="F1815" s="249"/>
      <c r="G1815" s="249"/>
      <c r="H1815" s="249"/>
      <c r="I1815" s="249"/>
      <c r="J1815" s="253"/>
    </row>
    <row r="1816" spans="1:10" ht="14.5" x14ac:dyDescent="0.35">
      <c r="A1816" s="254"/>
      <c r="B1816" s="248"/>
      <c r="C1816" s="248"/>
      <c r="D1816" s="248"/>
      <c r="E1816" s="249"/>
      <c r="F1816" s="249"/>
      <c r="G1816" s="249"/>
      <c r="H1816" s="249"/>
      <c r="I1816" s="249"/>
      <c r="J1816" s="253"/>
    </row>
    <row r="1817" spans="1:10" ht="14.5" x14ac:dyDescent="0.35">
      <c r="A1817" s="254"/>
      <c r="B1817" s="248"/>
      <c r="C1817" s="248"/>
      <c r="D1817" s="248"/>
      <c r="E1817" s="249"/>
      <c r="F1817" s="249"/>
      <c r="G1817" s="249"/>
      <c r="H1817" s="249"/>
      <c r="I1817" s="249"/>
      <c r="J1817" s="253"/>
    </row>
    <row r="1818" spans="1:10" ht="14.5" x14ac:dyDescent="0.35">
      <c r="A1818" s="254"/>
      <c r="B1818" s="248"/>
      <c r="C1818" s="248"/>
      <c r="D1818" s="248"/>
      <c r="E1818" s="249"/>
      <c r="F1818" s="249"/>
      <c r="G1818" s="249"/>
      <c r="H1818" s="249"/>
      <c r="I1818" s="249"/>
      <c r="J1818" s="253"/>
    </row>
    <row r="1819" spans="1:10" ht="14.5" x14ac:dyDescent="0.35">
      <c r="A1819" s="254"/>
      <c r="B1819" s="248"/>
      <c r="C1819" s="248"/>
      <c r="D1819" s="248"/>
      <c r="E1819" s="249"/>
      <c r="F1819" s="249"/>
      <c r="G1819" s="249"/>
      <c r="H1819" s="249"/>
      <c r="I1819" s="249"/>
      <c r="J1819" s="253"/>
    </row>
    <row r="1820" spans="1:10" ht="14.5" x14ac:dyDescent="0.35">
      <c r="A1820" s="254"/>
      <c r="B1820" s="248"/>
      <c r="C1820" s="248"/>
      <c r="D1820" s="248"/>
      <c r="E1820" s="249"/>
      <c r="F1820" s="249"/>
      <c r="G1820" s="249"/>
      <c r="H1820" s="249"/>
      <c r="I1820" s="249"/>
      <c r="J1820" s="253"/>
    </row>
    <row r="1821" spans="1:10" ht="14.5" x14ac:dyDescent="0.35">
      <c r="A1821" s="254"/>
      <c r="B1821" s="248"/>
      <c r="C1821" s="248"/>
      <c r="D1821" s="248"/>
      <c r="E1821" s="249"/>
      <c r="F1821" s="249"/>
      <c r="G1821" s="249"/>
      <c r="H1821" s="249"/>
      <c r="I1821" s="249"/>
      <c r="J1821" s="253"/>
    </row>
    <row r="1822" spans="1:10" ht="14.5" x14ac:dyDescent="0.35">
      <c r="A1822" s="254"/>
      <c r="B1822" s="248"/>
      <c r="C1822" s="248"/>
      <c r="D1822" s="248"/>
      <c r="E1822" s="249"/>
      <c r="F1822" s="249"/>
      <c r="G1822" s="249"/>
      <c r="H1822" s="249"/>
      <c r="I1822" s="249"/>
      <c r="J1822" s="253"/>
    </row>
    <row r="1823" spans="1:10" ht="14.5" x14ac:dyDescent="0.35">
      <c r="A1823" s="254"/>
      <c r="B1823" s="248"/>
      <c r="C1823" s="248"/>
      <c r="D1823" s="248"/>
      <c r="E1823" s="249"/>
      <c r="F1823" s="249"/>
      <c r="G1823" s="249"/>
      <c r="H1823" s="249"/>
      <c r="I1823" s="249"/>
      <c r="J1823" s="253"/>
    </row>
    <row r="1824" spans="1:10" ht="14.5" x14ac:dyDescent="0.35">
      <c r="A1824" s="254"/>
      <c r="B1824" s="248"/>
      <c r="C1824" s="248"/>
      <c r="D1824" s="248"/>
      <c r="E1824" s="249"/>
      <c r="F1824" s="249"/>
      <c r="G1824" s="249"/>
      <c r="H1824" s="249"/>
      <c r="I1824" s="249"/>
      <c r="J1824" s="253"/>
    </row>
    <row r="1825" spans="1:10" ht="14.5" x14ac:dyDescent="0.35">
      <c r="A1825" s="254"/>
      <c r="B1825" s="248"/>
      <c r="C1825" s="248"/>
      <c r="D1825" s="248"/>
      <c r="E1825" s="249"/>
      <c r="F1825" s="249"/>
      <c r="G1825" s="249"/>
      <c r="H1825" s="249"/>
      <c r="I1825" s="249"/>
      <c r="J1825" s="253"/>
    </row>
    <row r="1826" spans="1:10" ht="14.5" x14ac:dyDescent="0.35">
      <c r="A1826" s="254"/>
      <c r="B1826" s="248"/>
      <c r="C1826" s="248"/>
      <c r="D1826" s="248"/>
      <c r="E1826" s="249"/>
      <c r="F1826" s="249"/>
      <c r="G1826" s="249"/>
      <c r="H1826" s="249"/>
      <c r="I1826" s="249"/>
      <c r="J1826" s="253"/>
    </row>
    <row r="1827" spans="1:10" ht="14.5" x14ac:dyDescent="0.35">
      <c r="A1827" s="254"/>
      <c r="B1827" s="248"/>
      <c r="C1827" s="248"/>
      <c r="D1827" s="248"/>
      <c r="E1827" s="249"/>
      <c r="F1827" s="249"/>
      <c r="G1827" s="249"/>
      <c r="H1827" s="249"/>
      <c r="I1827" s="249"/>
      <c r="J1827" s="253"/>
    </row>
    <row r="1828" spans="1:10" ht="14.5" x14ac:dyDescent="0.35">
      <c r="A1828" s="254"/>
      <c r="B1828" s="248"/>
      <c r="C1828" s="248"/>
      <c r="D1828" s="248"/>
      <c r="E1828" s="249"/>
      <c r="F1828" s="249"/>
      <c r="G1828" s="249"/>
      <c r="H1828" s="249"/>
      <c r="I1828" s="249"/>
      <c r="J1828" s="253"/>
    </row>
    <row r="1829" spans="1:10" ht="14.5" x14ac:dyDescent="0.35">
      <c r="A1829" s="254"/>
      <c r="B1829" s="248"/>
      <c r="C1829" s="248"/>
      <c r="D1829" s="248"/>
      <c r="E1829" s="249"/>
      <c r="F1829" s="249"/>
      <c r="G1829" s="249"/>
      <c r="H1829" s="249"/>
      <c r="I1829" s="249"/>
      <c r="J1829" s="253"/>
    </row>
    <row r="1830" spans="1:10" ht="14.5" x14ac:dyDescent="0.35">
      <c r="A1830" s="254"/>
      <c r="B1830" s="248"/>
      <c r="C1830" s="248"/>
      <c r="D1830" s="248"/>
      <c r="E1830" s="249"/>
      <c r="F1830" s="249"/>
      <c r="G1830" s="249"/>
      <c r="H1830" s="249"/>
      <c r="I1830" s="249"/>
      <c r="J1830" s="253"/>
    </row>
    <row r="1831" spans="1:10" ht="14.5" x14ac:dyDescent="0.35">
      <c r="A1831" s="254"/>
      <c r="B1831" s="248"/>
      <c r="C1831" s="248"/>
      <c r="D1831" s="248"/>
      <c r="E1831" s="249"/>
      <c r="F1831" s="249"/>
      <c r="G1831" s="249"/>
      <c r="H1831" s="249"/>
      <c r="I1831" s="249"/>
      <c r="J1831" s="253"/>
    </row>
    <row r="1832" spans="1:10" ht="14.5" x14ac:dyDescent="0.35">
      <c r="A1832" s="254"/>
      <c r="B1832" s="248"/>
      <c r="C1832" s="248"/>
      <c r="D1832" s="248"/>
      <c r="E1832" s="249"/>
      <c r="F1832" s="249"/>
      <c r="G1832" s="249"/>
      <c r="H1832" s="249"/>
      <c r="I1832" s="249"/>
      <c r="J1832" s="253"/>
    </row>
    <row r="1833" spans="1:10" ht="14.5" x14ac:dyDescent="0.35">
      <c r="A1833" s="254"/>
      <c r="B1833" s="248"/>
      <c r="C1833" s="248"/>
      <c r="D1833" s="248"/>
      <c r="E1833" s="249"/>
      <c r="F1833" s="249"/>
      <c r="G1833" s="249"/>
      <c r="H1833" s="249"/>
      <c r="I1833" s="249"/>
      <c r="J1833" s="253"/>
    </row>
    <row r="1834" spans="1:10" ht="14.5" x14ac:dyDescent="0.35">
      <c r="A1834" s="254"/>
      <c r="B1834" s="248"/>
      <c r="C1834" s="248"/>
      <c r="D1834" s="248"/>
      <c r="E1834" s="249"/>
      <c r="F1834" s="249"/>
      <c r="G1834" s="249"/>
      <c r="H1834" s="249"/>
      <c r="I1834" s="249"/>
      <c r="J1834" s="253"/>
    </row>
    <row r="1835" spans="1:10" ht="14.5" x14ac:dyDescent="0.35">
      <c r="A1835" s="254"/>
      <c r="B1835" s="248"/>
      <c r="C1835" s="248"/>
      <c r="D1835" s="248"/>
      <c r="E1835" s="249"/>
      <c r="F1835" s="249"/>
      <c r="G1835" s="249"/>
      <c r="H1835" s="249"/>
      <c r="I1835" s="249"/>
      <c r="J1835" s="253"/>
    </row>
    <row r="1836" spans="1:10" ht="14.5" x14ac:dyDescent="0.35">
      <c r="A1836" s="254"/>
      <c r="B1836" s="248"/>
      <c r="C1836" s="248"/>
      <c r="D1836" s="248"/>
      <c r="E1836" s="249"/>
      <c r="F1836" s="249"/>
      <c r="G1836" s="249"/>
      <c r="H1836" s="249"/>
      <c r="I1836" s="249"/>
      <c r="J1836" s="253"/>
    </row>
    <row r="1837" spans="1:10" ht="14.5" x14ac:dyDescent="0.35">
      <c r="A1837" s="254"/>
      <c r="B1837" s="248"/>
      <c r="C1837" s="248"/>
      <c r="D1837" s="248"/>
      <c r="E1837" s="249"/>
      <c r="F1837" s="249"/>
      <c r="G1837" s="249"/>
      <c r="H1837" s="249"/>
      <c r="I1837" s="249"/>
      <c r="J1837" s="253"/>
    </row>
    <row r="1838" spans="1:10" ht="14.5" x14ac:dyDescent="0.35">
      <c r="A1838" s="254"/>
      <c r="B1838" s="248"/>
      <c r="C1838" s="248"/>
      <c r="D1838" s="248"/>
      <c r="E1838" s="249"/>
      <c r="F1838" s="249"/>
      <c r="G1838" s="249"/>
      <c r="H1838" s="249"/>
      <c r="I1838" s="249"/>
      <c r="J1838" s="253"/>
    </row>
    <row r="1839" spans="1:10" ht="14.5" x14ac:dyDescent="0.35">
      <c r="A1839" s="254"/>
      <c r="B1839" s="248"/>
      <c r="C1839" s="248"/>
      <c r="D1839" s="248"/>
      <c r="E1839" s="249"/>
      <c r="F1839" s="249"/>
      <c r="G1839" s="249"/>
      <c r="H1839" s="249"/>
      <c r="I1839" s="249"/>
      <c r="J1839" s="253"/>
    </row>
    <row r="1840" spans="1:10" ht="14.5" x14ac:dyDescent="0.35">
      <c r="A1840" s="254"/>
      <c r="B1840" s="248"/>
      <c r="C1840" s="248"/>
      <c r="D1840" s="248"/>
      <c r="E1840" s="249"/>
      <c r="F1840" s="249"/>
      <c r="G1840" s="249"/>
      <c r="H1840" s="249"/>
      <c r="I1840" s="249"/>
      <c r="J1840" s="253"/>
    </row>
    <row r="1841" spans="1:10" ht="14.5" x14ac:dyDescent="0.35">
      <c r="A1841" s="254"/>
      <c r="B1841" s="248"/>
      <c r="C1841" s="248"/>
      <c r="D1841" s="248"/>
      <c r="E1841" s="249"/>
      <c r="F1841" s="249"/>
      <c r="G1841" s="249"/>
      <c r="H1841" s="249"/>
      <c r="I1841" s="249"/>
      <c r="J1841" s="253"/>
    </row>
    <row r="1842" spans="1:10" ht="14.5" x14ac:dyDescent="0.35">
      <c r="A1842" s="254"/>
      <c r="B1842" s="248"/>
      <c r="C1842" s="248"/>
      <c r="D1842" s="248"/>
      <c r="E1842" s="249"/>
      <c r="F1842" s="249"/>
      <c r="G1842" s="249"/>
      <c r="H1842" s="249"/>
      <c r="I1842" s="249"/>
      <c r="J1842" s="253"/>
    </row>
    <row r="1843" spans="1:10" ht="14.5" x14ac:dyDescent="0.35">
      <c r="A1843" s="254"/>
      <c r="B1843" s="248"/>
      <c r="C1843" s="248"/>
      <c r="D1843" s="248"/>
      <c r="E1843" s="249"/>
      <c r="F1843" s="249"/>
      <c r="G1843" s="249"/>
      <c r="H1843" s="249"/>
      <c r="I1843" s="249"/>
      <c r="J1843" s="253"/>
    </row>
    <row r="1844" spans="1:10" ht="14.5" x14ac:dyDescent="0.35">
      <c r="A1844" s="254"/>
      <c r="B1844" s="248"/>
      <c r="C1844" s="248"/>
      <c r="D1844" s="248"/>
      <c r="E1844" s="249"/>
      <c r="F1844" s="249"/>
      <c r="G1844" s="249"/>
      <c r="H1844" s="249"/>
      <c r="I1844" s="249"/>
      <c r="J1844" s="253"/>
    </row>
    <row r="1845" spans="1:10" ht="14.5" x14ac:dyDescent="0.35">
      <c r="A1845" s="254"/>
      <c r="B1845" s="248"/>
      <c r="C1845" s="248"/>
      <c r="D1845" s="248"/>
      <c r="E1845" s="249"/>
      <c r="F1845" s="249"/>
      <c r="G1845" s="249"/>
      <c r="H1845" s="249"/>
      <c r="I1845" s="249"/>
      <c r="J1845" s="253"/>
    </row>
    <row r="1846" spans="1:10" ht="14.5" x14ac:dyDescent="0.35">
      <c r="A1846" s="254"/>
      <c r="B1846" s="248"/>
      <c r="C1846" s="248"/>
      <c r="D1846" s="248"/>
      <c r="E1846" s="249"/>
      <c r="F1846" s="249"/>
      <c r="G1846" s="249"/>
      <c r="H1846" s="249"/>
      <c r="I1846" s="249"/>
      <c r="J1846" s="253"/>
    </row>
    <row r="1847" spans="1:10" ht="14.5" x14ac:dyDescent="0.35">
      <c r="A1847" s="254"/>
      <c r="B1847" s="248"/>
      <c r="C1847" s="248"/>
      <c r="D1847" s="248"/>
      <c r="E1847" s="249"/>
      <c r="F1847" s="249"/>
      <c r="G1847" s="249"/>
      <c r="H1847" s="249"/>
      <c r="I1847" s="249"/>
      <c r="J1847" s="253"/>
    </row>
    <row r="1848" spans="1:10" ht="14.5" x14ac:dyDescent="0.35">
      <c r="A1848" s="254"/>
      <c r="B1848" s="248"/>
      <c r="C1848" s="248"/>
      <c r="D1848" s="248"/>
      <c r="E1848" s="249"/>
      <c r="F1848" s="249"/>
      <c r="G1848" s="249"/>
      <c r="H1848" s="249"/>
      <c r="I1848" s="249"/>
      <c r="J1848" s="253"/>
    </row>
    <row r="1849" spans="1:10" ht="14.5" x14ac:dyDescent="0.35">
      <c r="A1849" s="254"/>
      <c r="B1849" s="248"/>
      <c r="C1849" s="248"/>
      <c r="D1849" s="248"/>
      <c r="E1849" s="249"/>
      <c r="F1849" s="249"/>
      <c r="G1849" s="249"/>
      <c r="H1849" s="249"/>
      <c r="I1849" s="249"/>
      <c r="J1849" s="253"/>
    </row>
    <row r="1850" spans="1:10" ht="14.5" x14ac:dyDescent="0.35">
      <c r="A1850" s="254"/>
      <c r="B1850" s="248"/>
      <c r="C1850" s="248"/>
      <c r="D1850" s="248"/>
      <c r="E1850" s="249"/>
      <c r="F1850" s="249"/>
      <c r="G1850" s="249"/>
      <c r="H1850" s="249"/>
      <c r="I1850" s="249"/>
      <c r="J1850" s="253"/>
    </row>
    <row r="1851" spans="1:10" ht="14.5" x14ac:dyDescent="0.35">
      <c r="A1851" s="254"/>
      <c r="B1851" s="248"/>
      <c r="C1851" s="248"/>
      <c r="D1851" s="248"/>
      <c r="E1851" s="249"/>
      <c r="F1851" s="249"/>
      <c r="G1851" s="249"/>
      <c r="H1851" s="249"/>
      <c r="I1851" s="249"/>
      <c r="J1851" s="253"/>
    </row>
    <row r="1852" spans="1:10" ht="14.5" x14ac:dyDescent="0.35">
      <c r="A1852" s="254"/>
      <c r="B1852" s="248"/>
      <c r="C1852" s="248"/>
      <c r="D1852" s="248"/>
      <c r="E1852" s="249"/>
      <c r="F1852" s="249"/>
      <c r="G1852" s="249"/>
      <c r="H1852" s="249"/>
      <c r="I1852" s="249"/>
      <c r="J1852" s="253"/>
    </row>
    <row r="1853" spans="1:10" ht="14.5" x14ac:dyDescent="0.35">
      <c r="A1853" s="254"/>
      <c r="B1853" s="248"/>
      <c r="C1853" s="248"/>
      <c r="D1853" s="248"/>
      <c r="E1853" s="249"/>
      <c r="F1853" s="249"/>
      <c r="G1853" s="249"/>
      <c r="H1853" s="249"/>
      <c r="I1853" s="249"/>
      <c r="J1853" s="253"/>
    </row>
    <row r="1854" spans="1:10" ht="14.5" x14ac:dyDescent="0.35">
      <c r="A1854" s="254"/>
      <c r="B1854" s="248"/>
      <c r="C1854" s="248"/>
      <c r="D1854" s="248"/>
      <c r="E1854" s="249"/>
      <c r="F1854" s="249"/>
      <c r="G1854" s="249"/>
      <c r="H1854" s="249"/>
      <c r="I1854" s="249"/>
      <c r="J1854" s="253"/>
    </row>
    <row r="1855" spans="1:10" ht="14.5" x14ac:dyDescent="0.35">
      <c r="A1855" s="254"/>
      <c r="B1855" s="248"/>
      <c r="C1855" s="248"/>
      <c r="D1855" s="248"/>
      <c r="E1855" s="249"/>
      <c r="F1855" s="249"/>
      <c r="G1855" s="249"/>
      <c r="H1855" s="249"/>
      <c r="I1855" s="249"/>
      <c r="J1855" s="253"/>
    </row>
    <row r="1856" spans="1:10" ht="14.5" x14ac:dyDescent="0.35">
      <c r="A1856" s="254"/>
      <c r="B1856" s="248"/>
      <c r="C1856" s="248"/>
      <c r="D1856" s="248"/>
      <c r="E1856" s="249"/>
      <c r="F1856" s="249"/>
      <c r="G1856" s="249"/>
      <c r="H1856" s="249"/>
      <c r="I1856" s="249"/>
      <c r="J1856" s="253"/>
    </row>
    <row r="1857" spans="1:10" ht="14.5" x14ac:dyDescent="0.35">
      <c r="A1857" s="254"/>
      <c r="B1857" s="248"/>
      <c r="C1857" s="248"/>
      <c r="D1857" s="248"/>
      <c r="E1857" s="249"/>
      <c r="F1857" s="249"/>
      <c r="G1857" s="249"/>
      <c r="H1857" s="249"/>
      <c r="I1857" s="249"/>
      <c r="J1857" s="253"/>
    </row>
    <row r="1858" spans="1:10" ht="14.5" x14ac:dyDescent="0.35">
      <c r="A1858" s="254"/>
      <c r="B1858" s="248"/>
      <c r="C1858" s="248"/>
      <c r="D1858" s="248"/>
      <c r="E1858" s="249"/>
      <c r="F1858" s="249"/>
      <c r="G1858" s="249"/>
      <c r="H1858" s="249"/>
      <c r="I1858" s="249"/>
      <c r="J1858" s="253"/>
    </row>
    <row r="1859" spans="1:10" ht="14.5" x14ac:dyDescent="0.35">
      <c r="A1859" s="254"/>
      <c r="B1859" s="248"/>
      <c r="C1859" s="248"/>
      <c r="D1859" s="248"/>
      <c r="E1859" s="249"/>
      <c r="F1859" s="249"/>
      <c r="G1859" s="249"/>
      <c r="H1859" s="249"/>
      <c r="I1859" s="249"/>
      <c r="J1859" s="253"/>
    </row>
    <row r="1860" spans="1:10" ht="14.5" x14ac:dyDescent="0.35">
      <c r="A1860" s="254"/>
      <c r="B1860" s="248"/>
      <c r="C1860" s="248"/>
      <c r="D1860" s="248"/>
      <c r="E1860" s="249"/>
      <c r="F1860" s="249"/>
      <c r="G1860" s="249"/>
      <c r="H1860" s="249"/>
      <c r="I1860" s="249"/>
      <c r="J1860" s="253"/>
    </row>
    <row r="1861" spans="1:10" ht="14.5" x14ac:dyDescent="0.35">
      <c r="A1861" s="254"/>
      <c r="B1861" s="248"/>
      <c r="C1861" s="248"/>
      <c r="D1861" s="248"/>
      <c r="E1861" s="249"/>
      <c r="F1861" s="249"/>
      <c r="G1861" s="249"/>
      <c r="H1861" s="249"/>
      <c r="I1861" s="249"/>
      <c r="J1861" s="253"/>
    </row>
    <row r="1862" spans="1:10" ht="14.5" x14ac:dyDescent="0.35">
      <c r="A1862" s="254"/>
      <c r="B1862" s="248"/>
      <c r="C1862" s="248"/>
      <c r="D1862" s="248"/>
      <c r="E1862" s="249"/>
      <c r="F1862" s="249"/>
      <c r="G1862" s="249"/>
      <c r="H1862" s="249"/>
      <c r="I1862" s="249"/>
      <c r="J1862" s="253"/>
    </row>
    <row r="1863" spans="1:10" ht="14.5" x14ac:dyDescent="0.35">
      <c r="A1863" s="254"/>
      <c r="B1863" s="248"/>
      <c r="C1863" s="248"/>
      <c r="D1863" s="248"/>
      <c r="E1863" s="249"/>
      <c r="F1863" s="249"/>
      <c r="G1863" s="249"/>
      <c r="H1863" s="249"/>
      <c r="I1863" s="249"/>
      <c r="J1863" s="253"/>
    </row>
    <row r="1864" spans="1:10" ht="14.5" x14ac:dyDescent="0.35">
      <c r="A1864" s="254"/>
      <c r="B1864" s="248"/>
      <c r="C1864" s="248"/>
      <c r="D1864" s="248"/>
      <c r="E1864" s="249"/>
      <c r="F1864" s="249"/>
      <c r="G1864" s="249"/>
      <c r="H1864" s="249"/>
      <c r="I1864" s="249"/>
      <c r="J1864" s="253"/>
    </row>
    <row r="1865" spans="1:10" ht="14.5" x14ac:dyDescent="0.35">
      <c r="A1865" s="254"/>
      <c r="B1865" s="248"/>
      <c r="C1865" s="248"/>
      <c r="D1865" s="248"/>
      <c r="E1865" s="249"/>
      <c r="F1865" s="249"/>
      <c r="G1865" s="249"/>
      <c r="H1865" s="249"/>
      <c r="I1865" s="249"/>
      <c r="J1865" s="253"/>
    </row>
    <row r="1866" spans="1:10" ht="14.5" x14ac:dyDescent="0.35">
      <c r="A1866" s="254"/>
      <c r="B1866" s="248"/>
      <c r="C1866" s="248"/>
      <c r="D1866" s="248"/>
      <c r="E1866" s="249"/>
      <c r="F1866" s="249"/>
      <c r="G1866" s="249"/>
      <c r="H1866" s="249"/>
      <c r="I1866" s="249"/>
      <c r="J1866" s="253"/>
    </row>
    <row r="1867" spans="1:10" ht="14.5" x14ac:dyDescent="0.35">
      <c r="A1867" s="254"/>
      <c r="B1867" s="248"/>
      <c r="C1867" s="248"/>
      <c r="D1867" s="248"/>
      <c r="E1867" s="249"/>
      <c r="F1867" s="249"/>
      <c r="G1867" s="249"/>
      <c r="H1867" s="249"/>
      <c r="I1867" s="249"/>
      <c r="J1867" s="253"/>
    </row>
    <row r="1868" spans="1:10" ht="14.5" x14ac:dyDescent="0.35">
      <c r="A1868" s="254"/>
      <c r="B1868" s="248"/>
      <c r="C1868" s="248"/>
      <c r="D1868" s="248"/>
      <c r="E1868" s="249"/>
      <c r="F1868" s="249"/>
      <c r="G1868" s="249"/>
      <c r="H1868" s="249"/>
      <c r="I1868" s="249"/>
      <c r="J1868" s="253"/>
    </row>
    <row r="1869" spans="1:10" ht="14.5" x14ac:dyDescent="0.35">
      <c r="A1869" s="254"/>
      <c r="B1869" s="248"/>
      <c r="C1869" s="248"/>
      <c r="D1869" s="248"/>
      <c r="E1869" s="249"/>
      <c r="F1869" s="249"/>
      <c r="G1869" s="249"/>
      <c r="H1869" s="249"/>
      <c r="I1869" s="249"/>
      <c r="J1869" s="253"/>
    </row>
    <row r="1870" spans="1:10" ht="14.5" x14ac:dyDescent="0.35">
      <c r="A1870" s="254"/>
      <c r="B1870" s="248"/>
      <c r="C1870" s="248"/>
      <c r="D1870" s="248"/>
      <c r="E1870" s="249"/>
      <c r="F1870" s="249"/>
      <c r="G1870" s="249"/>
      <c r="H1870" s="249"/>
      <c r="I1870" s="249"/>
      <c r="J1870" s="253"/>
    </row>
    <row r="1871" spans="1:10" ht="14.5" x14ac:dyDescent="0.35">
      <c r="A1871" s="254"/>
      <c r="B1871" s="248"/>
      <c r="C1871" s="248"/>
      <c r="D1871" s="248"/>
      <c r="E1871" s="249"/>
      <c r="F1871" s="249"/>
      <c r="G1871" s="249"/>
      <c r="H1871" s="249"/>
      <c r="I1871" s="249"/>
      <c r="J1871" s="253"/>
    </row>
    <row r="1872" spans="1:10" ht="14.5" x14ac:dyDescent="0.35">
      <c r="A1872" s="254"/>
      <c r="B1872" s="248"/>
      <c r="C1872" s="248"/>
      <c r="D1872" s="248"/>
      <c r="E1872" s="249"/>
      <c r="F1872" s="249"/>
      <c r="G1872" s="249"/>
      <c r="H1872" s="249"/>
      <c r="I1872" s="249"/>
      <c r="J1872" s="253"/>
    </row>
    <row r="1873" spans="1:10" ht="14.5" x14ac:dyDescent="0.35">
      <c r="A1873" s="254"/>
      <c r="B1873" s="248"/>
      <c r="C1873" s="248"/>
      <c r="D1873" s="248"/>
      <c r="E1873" s="249"/>
      <c r="F1873" s="249"/>
      <c r="G1873" s="249"/>
      <c r="H1873" s="249"/>
      <c r="I1873" s="249"/>
      <c r="J1873" s="253"/>
    </row>
    <row r="1874" spans="1:10" ht="14.5" x14ac:dyDescent="0.35">
      <c r="A1874" s="254"/>
      <c r="B1874" s="248"/>
      <c r="C1874" s="248"/>
      <c r="D1874" s="248"/>
      <c r="E1874" s="249"/>
      <c r="F1874" s="249"/>
      <c r="G1874" s="249"/>
      <c r="H1874" s="249"/>
      <c r="I1874" s="249"/>
      <c r="J1874" s="253"/>
    </row>
    <row r="1875" spans="1:10" ht="14.5" x14ac:dyDescent="0.35">
      <c r="A1875" s="254"/>
      <c r="B1875" s="248"/>
      <c r="C1875" s="248"/>
      <c r="D1875" s="248"/>
      <c r="E1875" s="249"/>
      <c r="F1875" s="249"/>
      <c r="G1875" s="249"/>
      <c r="H1875" s="249"/>
      <c r="I1875" s="249"/>
      <c r="J1875" s="253"/>
    </row>
    <row r="1876" spans="1:10" ht="14.5" x14ac:dyDescent="0.35">
      <c r="A1876" s="254"/>
      <c r="B1876" s="248"/>
      <c r="C1876" s="248"/>
      <c r="D1876" s="248"/>
      <c r="E1876" s="249"/>
      <c r="F1876" s="249"/>
      <c r="G1876" s="249"/>
      <c r="H1876" s="249"/>
      <c r="I1876" s="249"/>
      <c r="J1876" s="253"/>
    </row>
    <row r="1877" spans="1:10" ht="14.5" x14ac:dyDescent="0.35">
      <c r="A1877" s="254"/>
      <c r="B1877" s="248"/>
      <c r="C1877" s="248"/>
      <c r="D1877" s="248"/>
      <c r="E1877" s="249"/>
      <c r="F1877" s="249"/>
      <c r="G1877" s="249"/>
      <c r="H1877" s="249"/>
      <c r="I1877" s="249"/>
      <c r="J1877" s="253"/>
    </row>
    <row r="1878" spans="1:10" ht="14.5" x14ac:dyDescent="0.35">
      <c r="A1878" s="254"/>
      <c r="B1878" s="248"/>
      <c r="C1878" s="248"/>
      <c r="D1878" s="248"/>
      <c r="E1878" s="249"/>
      <c r="F1878" s="249"/>
      <c r="G1878" s="249"/>
      <c r="H1878" s="249"/>
      <c r="I1878" s="249"/>
      <c r="J1878" s="253"/>
    </row>
    <row r="1879" spans="1:10" ht="14.5" x14ac:dyDescent="0.35">
      <c r="A1879" s="254"/>
      <c r="B1879" s="248"/>
      <c r="C1879" s="248"/>
      <c r="D1879" s="248"/>
      <c r="E1879" s="249"/>
      <c r="F1879" s="249"/>
      <c r="G1879" s="249"/>
      <c r="H1879" s="249"/>
      <c r="I1879" s="249"/>
      <c r="J1879" s="253"/>
    </row>
    <row r="1880" spans="1:10" ht="14.5" x14ac:dyDescent="0.35">
      <c r="A1880" s="254"/>
      <c r="B1880" s="248"/>
      <c r="C1880" s="248"/>
      <c r="D1880" s="248"/>
      <c r="E1880" s="249"/>
      <c r="F1880" s="249"/>
      <c r="G1880" s="249"/>
      <c r="H1880" s="249"/>
      <c r="I1880" s="249"/>
      <c r="J1880" s="253"/>
    </row>
    <row r="1881" spans="1:10" ht="14.5" x14ac:dyDescent="0.35">
      <c r="A1881" s="254"/>
      <c r="B1881" s="248"/>
      <c r="C1881" s="248"/>
      <c r="D1881" s="248"/>
      <c r="E1881" s="249"/>
      <c r="F1881" s="249"/>
      <c r="G1881" s="249"/>
      <c r="H1881" s="249"/>
      <c r="I1881" s="249"/>
      <c r="J1881" s="253"/>
    </row>
    <row r="1882" spans="1:10" ht="14.5" x14ac:dyDescent="0.35">
      <c r="A1882" s="254"/>
      <c r="B1882" s="248"/>
      <c r="C1882" s="248"/>
      <c r="D1882" s="248"/>
      <c r="E1882" s="249"/>
      <c r="F1882" s="249"/>
      <c r="G1882" s="249"/>
      <c r="H1882" s="249"/>
      <c r="I1882" s="249"/>
      <c r="J1882" s="253"/>
    </row>
    <row r="1883" spans="1:10" ht="14.5" x14ac:dyDescent="0.35">
      <c r="A1883" s="254"/>
      <c r="B1883" s="248"/>
      <c r="C1883" s="248"/>
      <c r="D1883" s="248"/>
      <c r="E1883" s="249"/>
      <c r="F1883" s="249"/>
      <c r="G1883" s="249"/>
      <c r="H1883" s="249"/>
      <c r="I1883" s="249"/>
      <c r="J1883" s="253"/>
    </row>
    <row r="1884" spans="1:10" ht="14.5" x14ac:dyDescent="0.35">
      <c r="A1884" s="254"/>
      <c r="B1884" s="248"/>
      <c r="C1884" s="248"/>
      <c r="D1884" s="248"/>
      <c r="E1884" s="249"/>
      <c r="F1884" s="249"/>
      <c r="G1884" s="249"/>
      <c r="H1884" s="249"/>
      <c r="I1884" s="249"/>
      <c r="J1884" s="253"/>
    </row>
    <row r="1885" spans="1:10" ht="14.5" x14ac:dyDescent="0.35">
      <c r="A1885" s="254"/>
      <c r="B1885" s="248"/>
      <c r="C1885" s="248"/>
      <c r="D1885" s="248"/>
      <c r="E1885" s="249"/>
      <c r="F1885" s="249"/>
      <c r="G1885" s="249"/>
      <c r="H1885" s="249"/>
      <c r="I1885" s="249"/>
      <c r="J1885" s="253"/>
    </row>
    <row r="1886" spans="1:10" ht="14.5" x14ac:dyDescent="0.35">
      <c r="A1886" s="254"/>
      <c r="B1886" s="248"/>
      <c r="C1886" s="248"/>
      <c r="D1886" s="248"/>
      <c r="E1886" s="249"/>
      <c r="F1886" s="249"/>
      <c r="G1886" s="249"/>
      <c r="H1886" s="249"/>
      <c r="I1886" s="249"/>
      <c r="J1886" s="253"/>
    </row>
    <row r="1887" spans="1:10" ht="14.5" x14ac:dyDescent="0.35">
      <c r="A1887" s="254"/>
      <c r="B1887" s="248"/>
      <c r="C1887" s="248"/>
      <c r="D1887" s="248"/>
      <c r="E1887" s="249"/>
      <c r="F1887" s="249"/>
      <c r="G1887" s="249"/>
      <c r="H1887" s="249"/>
      <c r="I1887" s="249"/>
      <c r="J1887" s="253"/>
    </row>
    <row r="1888" spans="1:10" ht="14.5" x14ac:dyDescent="0.35">
      <c r="A1888" s="254"/>
      <c r="B1888" s="248"/>
      <c r="C1888" s="248"/>
      <c r="D1888" s="248"/>
      <c r="E1888" s="249"/>
      <c r="F1888" s="249"/>
      <c r="G1888" s="249"/>
      <c r="H1888" s="249"/>
      <c r="I1888" s="249"/>
      <c r="J1888" s="253"/>
    </row>
    <row r="1889" spans="1:10" ht="14.5" x14ac:dyDescent="0.35">
      <c r="A1889" s="254"/>
      <c r="B1889" s="248"/>
      <c r="C1889" s="248"/>
      <c r="D1889" s="248"/>
      <c r="E1889" s="249"/>
      <c r="F1889" s="249"/>
      <c r="G1889" s="249"/>
      <c r="H1889" s="249"/>
      <c r="I1889" s="249"/>
      <c r="J1889" s="253"/>
    </row>
    <row r="1890" spans="1:10" ht="14.5" x14ac:dyDescent="0.35">
      <c r="A1890" s="254"/>
      <c r="B1890" s="248"/>
      <c r="C1890" s="248"/>
      <c r="D1890" s="248"/>
      <c r="E1890" s="249"/>
      <c r="F1890" s="249"/>
      <c r="G1890" s="249"/>
      <c r="H1890" s="249"/>
      <c r="I1890" s="249"/>
      <c r="J1890" s="253"/>
    </row>
    <row r="1891" spans="1:10" ht="14.5" x14ac:dyDescent="0.35">
      <c r="A1891" s="254"/>
      <c r="B1891" s="248"/>
      <c r="C1891" s="248"/>
      <c r="D1891" s="248"/>
      <c r="E1891" s="249"/>
      <c r="F1891" s="249"/>
      <c r="G1891" s="249"/>
      <c r="H1891" s="249"/>
      <c r="I1891" s="249"/>
      <c r="J1891" s="253"/>
    </row>
    <row r="1892" spans="1:10" ht="14.5" x14ac:dyDescent="0.35">
      <c r="A1892" s="254"/>
      <c r="B1892" s="248"/>
      <c r="C1892" s="248"/>
      <c r="D1892" s="248"/>
      <c r="E1892" s="249"/>
      <c r="F1892" s="249"/>
      <c r="G1892" s="249"/>
      <c r="H1892" s="249"/>
      <c r="I1892" s="249"/>
      <c r="J1892" s="253"/>
    </row>
    <row r="1893" spans="1:10" ht="14.5" x14ac:dyDescent="0.35">
      <c r="A1893" s="254"/>
      <c r="B1893" s="248"/>
      <c r="C1893" s="248"/>
      <c r="D1893" s="248"/>
      <c r="E1893" s="249"/>
      <c r="F1893" s="249"/>
      <c r="G1893" s="249"/>
      <c r="H1893" s="249"/>
      <c r="I1893" s="249"/>
      <c r="J1893" s="253"/>
    </row>
    <row r="1894" spans="1:10" ht="14.5" x14ac:dyDescent="0.35">
      <c r="A1894" s="254"/>
      <c r="B1894" s="248"/>
      <c r="C1894" s="248"/>
      <c r="D1894" s="248"/>
      <c r="E1894" s="249"/>
      <c r="F1894" s="249"/>
      <c r="G1894" s="249"/>
      <c r="H1894" s="249"/>
      <c r="I1894" s="249"/>
      <c r="J1894" s="253"/>
    </row>
    <row r="1895" spans="1:10" ht="14.5" x14ac:dyDescent="0.35">
      <c r="A1895" s="254"/>
      <c r="B1895" s="248"/>
      <c r="C1895" s="248"/>
      <c r="D1895" s="248"/>
      <c r="E1895" s="249"/>
      <c r="F1895" s="249"/>
      <c r="G1895" s="249"/>
      <c r="H1895" s="249"/>
      <c r="I1895" s="249"/>
      <c r="J1895" s="253"/>
    </row>
    <row r="1896" spans="1:10" ht="14.5" x14ac:dyDescent="0.35">
      <c r="A1896" s="254"/>
      <c r="B1896" s="248"/>
      <c r="C1896" s="248"/>
      <c r="D1896" s="248"/>
      <c r="E1896" s="249"/>
      <c r="F1896" s="249"/>
      <c r="G1896" s="249"/>
      <c r="H1896" s="249"/>
      <c r="I1896" s="249"/>
      <c r="J1896" s="253"/>
    </row>
    <row r="1897" spans="1:10" ht="14.5" x14ac:dyDescent="0.35">
      <c r="A1897" s="254"/>
      <c r="B1897" s="248"/>
      <c r="C1897" s="248"/>
      <c r="D1897" s="248"/>
      <c r="E1897" s="249"/>
      <c r="F1897" s="249"/>
      <c r="G1897" s="249"/>
      <c r="H1897" s="249"/>
      <c r="I1897" s="249"/>
      <c r="J1897" s="253"/>
    </row>
    <row r="1898" spans="1:10" ht="14.5" x14ac:dyDescent="0.35">
      <c r="A1898" s="254"/>
      <c r="B1898" s="248"/>
      <c r="C1898" s="248"/>
      <c r="D1898" s="248"/>
      <c r="E1898" s="249"/>
      <c r="F1898" s="249"/>
      <c r="G1898" s="249"/>
      <c r="H1898" s="249"/>
      <c r="I1898" s="249"/>
      <c r="J1898" s="253"/>
    </row>
    <row r="1899" spans="1:10" ht="14.5" x14ac:dyDescent="0.35">
      <c r="A1899" s="254"/>
      <c r="B1899" s="248"/>
      <c r="C1899" s="248"/>
      <c r="D1899" s="248"/>
      <c r="E1899" s="249"/>
      <c r="F1899" s="249"/>
      <c r="G1899" s="249"/>
      <c r="H1899" s="249"/>
      <c r="I1899" s="249"/>
      <c r="J1899" s="253"/>
    </row>
    <row r="1900" spans="1:10" ht="14.5" x14ac:dyDescent="0.35">
      <c r="A1900" s="254"/>
      <c r="B1900" s="248"/>
      <c r="C1900" s="248"/>
      <c r="D1900" s="248"/>
      <c r="E1900" s="249"/>
      <c r="F1900" s="249"/>
      <c r="G1900" s="249"/>
      <c r="H1900" s="249"/>
      <c r="I1900" s="249"/>
      <c r="J1900" s="253"/>
    </row>
    <row r="1901" spans="1:10" ht="14.5" x14ac:dyDescent="0.35">
      <c r="A1901" s="254"/>
      <c r="B1901" s="248"/>
      <c r="C1901" s="248"/>
      <c r="D1901" s="248"/>
      <c r="E1901" s="249"/>
      <c r="F1901" s="249"/>
      <c r="G1901" s="249"/>
      <c r="H1901" s="249"/>
      <c r="I1901" s="249"/>
      <c r="J1901" s="253"/>
    </row>
    <row r="1902" spans="1:10" ht="14.5" x14ac:dyDescent="0.35">
      <c r="A1902" s="254"/>
      <c r="B1902" s="248"/>
      <c r="C1902" s="248"/>
      <c r="D1902" s="248"/>
      <c r="E1902" s="249"/>
      <c r="F1902" s="249"/>
      <c r="G1902" s="249"/>
      <c r="H1902" s="249"/>
      <c r="I1902" s="249"/>
      <c r="J1902" s="253"/>
    </row>
    <row r="1903" spans="1:10" ht="14.5" x14ac:dyDescent="0.35">
      <c r="A1903" s="254"/>
      <c r="B1903" s="248"/>
      <c r="C1903" s="248"/>
      <c r="D1903" s="248"/>
      <c r="E1903" s="249"/>
      <c r="F1903" s="249"/>
      <c r="G1903" s="249"/>
      <c r="H1903" s="249"/>
      <c r="I1903" s="249"/>
      <c r="J1903" s="253"/>
    </row>
    <row r="1904" spans="1:10" ht="14.5" x14ac:dyDescent="0.35">
      <c r="A1904" s="254"/>
      <c r="B1904" s="248"/>
      <c r="C1904" s="248"/>
      <c r="D1904" s="248"/>
      <c r="E1904" s="249"/>
      <c r="F1904" s="249"/>
      <c r="G1904" s="249"/>
      <c r="H1904" s="249"/>
      <c r="I1904" s="249"/>
      <c r="J1904" s="253"/>
    </row>
    <row r="1905" spans="1:10" ht="14.5" x14ac:dyDescent="0.35">
      <c r="A1905" s="254"/>
      <c r="B1905" s="248"/>
      <c r="C1905" s="248"/>
      <c r="D1905" s="248"/>
      <c r="E1905" s="249"/>
      <c r="F1905" s="249"/>
      <c r="G1905" s="249"/>
      <c r="H1905" s="249"/>
      <c r="I1905" s="249"/>
      <c r="J1905" s="253"/>
    </row>
    <row r="1906" spans="1:10" ht="14.5" x14ac:dyDescent="0.35">
      <c r="A1906" s="254"/>
      <c r="B1906" s="248"/>
      <c r="C1906" s="248"/>
      <c r="D1906" s="248"/>
      <c r="E1906" s="249"/>
      <c r="F1906" s="249"/>
      <c r="G1906" s="249"/>
      <c r="H1906" s="249"/>
      <c r="I1906" s="249"/>
      <c r="J1906" s="253"/>
    </row>
    <row r="1907" spans="1:10" ht="14.5" x14ac:dyDescent="0.35">
      <c r="A1907" s="254"/>
      <c r="B1907" s="248"/>
      <c r="C1907" s="248"/>
      <c r="D1907" s="248"/>
      <c r="E1907" s="249"/>
      <c r="F1907" s="249"/>
      <c r="G1907" s="249"/>
      <c r="H1907" s="249"/>
      <c r="I1907" s="249"/>
      <c r="J1907" s="253"/>
    </row>
    <row r="1908" spans="1:10" ht="14.5" x14ac:dyDescent="0.35">
      <c r="A1908" s="254"/>
      <c r="B1908" s="248"/>
      <c r="C1908" s="248"/>
      <c r="D1908" s="248"/>
      <c r="E1908" s="249"/>
      <c r="F1908" s="249"/>
      <c r="G1908" s="249"/>
      <c r="H1908" s="249"/>
      <c r="I1908" s="249"/>
      <c r="J1908" s="253"/>
    </row>
    <row r="1909" spans="1:10" ht="14.5" x14ac:dyDescent="0.35">
      <c r="A1909" s="254"/>
      <c r="B1909" s="248"/>
      <c r="C1909" s="248"/>
      <c r="D1909" s="248"/>
      <c r="E1909" s="249"/>
      <c r="F1909" s="249"/>
      <c r="G1909" s="249"/>
      <c r="H1909" s="249"/>
      <c r="I1909" s="249"/>
      <c r="J1909" s="253"/>
    </row>
    <row r="1910" spans="1:10" ht="14.5" x14ac:dyDescent="0.35">
      <c r="A1910" s="254"/>
      <c r="B1910" s="248"/>
      <c r="C1910" s="248"/>
      <c r="D1910" s="248"/>
      <c r="E1910" s="249"/>
      <c r="F1910" s="249"/>
      <c r="G1910" s="249"/>
      <c r="H1910" s="249"/>
      <c r="I1910" s="249"/>
      <c r="J1910" s="253"/>
    </row>
    <row r="1911" spans="1:10" ht="14.5" x14ac:dyDescent="0.35">
      <c r="A1911" s="254"/>
      <c r="B1911" s="248"/>
      <c r="C1911" s="248"/>
      <c r="D1911" s="248"/>
      <c r="E1911" s="249"/>
      <c r="F1911" s="249"/>
      <c r="G1911" s="249"/>
      <c r="H1911" s="249"/>
      <c r="I1911" s="249"/>
      <c r="J1911" s="253"/>
    </row>
    <row r="1912" spans="1:10" ht="14.5" x14ac:dyDescent="0.35">
      <c r="A1912" s="254"/>
      <c r="B1912" s="248"/>
      <c r="C1912" s="248"/>
      <c r="D1912" s="248"/>
      <c r="E1912" s="249"/>
      <c r="F1912" s="249"/>
      <c r="G1912" s="249"/>
      <c r="H1912" s="249"/>
      <c r="I1912" s="249"/>
      <c r="J1912" s="253"/>
    </row>
    <row r="1913" spans="1:10" ht="14.5" x14ac:dyDescent="0.35">
      <c r="A1913" s="254"/>
      <c r="B1913" s="248"/>
      <c r="C1913" s="248"/>
      <c r="D1913" s="248"/>
      <c r="E1913" s="249"/>
      <c r="F1913" s="249"/>
      <c r="G1913" s="249"/>
      <c r="H1913" s="249"/>
      <c r="I1913" s="249"/>
      <c r="J1913" s="253"/>
    </row>
    <row r="1914" spans="1:10" ht="14.5" x14ac:dyDescent="0.35">
      <c r="A1914" s="254"/>
      <c r="B1914" s="248"/>
      <c r="C1914" s="248"/>
      <c r="D1914" s="248"/>
      <c r="E1914" s="249"/>
      <c r="F1914" s="249"/>
      <c r="G1914" s="249"/>
      <c r="H1914" s="249"/>
      <c r="I1914" s="249"/>
      <c r="J1914" s="253"/>
    </row>
    <row r="1915" spans="1:10" ht="14.5" x14ac:dyDescent="0.35">
      <c r="A1915" s="254"/>
      <c r="B1915" s="248"/>
      <c r="C1915" s="248"/>
      <c r="D1915" s="248"/>
      <c r="E1915" s="249"/>
      <c r="F1915" s="249"/>
      <c r="G1915" s="249"/>
      <c r="H1915" s="249"/>
      <c r="I1915" s="249"/>
      <c r="J1915" s="253"/>
    </row>
    <row r="1916" spans="1:10" ht="14.5" x14ac:dyDescent="0.35">
      <c r="A1916" s="254"/>
      <c r="B1916" s="248"/>
      <c r="C1916" s="248"/>
      <c r="D1916" s="248"/>
      <c r="E1916" s="249"/>
      <c r="F1916" s="249"/>
      <c r="G1916" s="249"/>
      <c r="H1916" s="249"/>
      <c r="I1916" s="249"/>
      <c r="J1916" s="253"/>
    </row>
    <row r="1917" spans="1:10" ht="14.5" x14ac:dyDescent="0.35">
      <c r="A1917" s="254"/>
      <c r="B1917" s="248"/>
      <c r="C1917" s="248"/>
      <c r="D1917" s="248"/>
      <c r="E1917" s="249"/>
      <c r="F1917" s="249"/>
      <c r="G1917" s="249"/>
      <c r="H1917" s="249"/>
      <c r="I1917" s="249"/>
      <c r="J1917" s="253"/>
    </row>
    <row r="1918" spans="1:10" ht="14.5" x14ac:dyDescent="0.35">
      <c r="A1918" s="254"/>
      <c r="B1918" s="248"/>
      <c r="C1918" s="248"/>
      <c r="D1918" s="248"/>
      <c r="E1918" s="249"/>
      <c r="F1918" s="249"/>
      <c r="G1918" s="249"/>
      <c r="H1918" s="249"/>
      <c r="I1918" s="249"/>
      <c r="J1918" s="253"/>
    </row>
    <row r="1919" spans="1:10" ht="14.5" x14ac:dyDescent="0.35">
      <c r="A1919" s="254"/>
      <c r="B1919" s="248"/>
      <c r="C1919" s="248"/>
      <c r="D1919" s="248"/>
      <c r="E1919" s="249"/>
      <c r="F1919" s="249"/>
      <c r="G1919" s="249"/>
      <c r="H1919" s="249"/>
      <c r="I1919" s="249"/>
      <c r="J1919" s="253"/>
    </row>
    <row r="1920" spans="1:10" ht="14.5" x14ac:dyDescent="0.35">
      <c r="A1920" s="254"/>
      <c r="B1920" s="248"/>
      <c r="C1920" s="248"/>
      <c r="D1920" s="248"/>
      <c r="E1920" s="249"/>
      <c r="F1920" s="249"/>
      <c r="G1920" s="249"/>
      <c r="H1920" s="249"/>
      <c r="I1920" s="249"/>
      <c r="J1920" s="253"/>
    </row>
    <row r="1921" spans="1:10" ht="14.5" x14ac:dyDescent="0.35">
      <c r="A1921" s="254"/>
      <c r="B1921" s="248"/>
      <c r="C1921" s="248"/>
      <c r="D1921" s="248"/>
      <c r="E1921" s="249"/>
      <c r="F1921" s="249"/>
      <c r="G1921" s="249"/>
      <c r="H1921" s="249"/>
      <c r="I1921" s="249"/>
      <c r="J1921" s="253"/>
    </row>
    <row r="1922" spans="1:10" ht="14.5" x14ac:dyDescent="0.35">
      <c r="A1922" s="254"/>
      <c r="B1922" s="248"/>
      <c r="C1922" s="248"/>
      <c r="D1922" s="248"/>
      <c r="E1922" s="249"/>
      <c r="F1922" s="249"/>
      <c r="G1922" s="249"/>
      <c r="H1922" s="249"/>
      <c r="I1922" s="249"/>
      <c r="J1922" s="253"/>
    </row>
    <row r="1923" spans="1:10" ht="14.5" x14ac:dyDescent="0.35">
      <c r="A1923" s="254"/>
      <c r="B1923" s="248"/>
      <c r="C1923" s="248"/>
      <c r="D1923" s="248"/>
      <c r="E1923" s="249"/>
      <c r="F1923" s="249"/>
      <c r="G1923" s="249"/>
      <c r="H1923" s="249"/>
      <c r="I1923" s="249"/>
      <c r="J1923" s="253"/>
    </row>
    <row r="1924" spans="1:10" ht="14.5" x14ac:dyDescent="0.35">
      <c r="A1924" s="254"/>
      <c r="B1924" s="248"/>
      <c r="C1924" s="248"/>
      <c r="D1924" s="248"/>
      <c r="E1924" s="249"/>
      <c r="F1924" s="249"/>
      <c r="G1924" s="249"/>
      <c r="H1924" s="249"/>
      <c r="I1924" s="249"/>
      <c r="J1924" s="253"/>
    </row>
    <row r="1925" spans="1:10" ht="14.5" x14ac:dyDescent="0.35">
      <c r="A1925" s="254"/>
      <c r="B1925" s="248"/>
      <c r="C1925" s="248"/>
      <c r="D1925" s="248"/>
      <c r="E1925" s="249"/>
      <c r="F1925" s="249"/>
      <c r="G1925" s="249"/>
      <c r="H1925" s="249"/>
      <c r="I1925" s="249"/>
      <c r="J1925" s="253"/>
    </row>
    <row r="1926" spans="1:10" ht="14.5" x14ac:dyDescent="0.35">
      <c r="A1926" s="254"/>
      <c r="B1926" s="248"/>
      <c r="C1926" s="248"/>
      <c r="D1926" s="248"/>
      <c r="E1926" s="249"/>
      <c r="F1926" s="249"/>
      <c r="G1926" s="249"/>
      <c r="H1926" s="249"/>
      <c r="I1926" s="249"/>
      <c r="J1926" s="253"/>
    </row>
    <row r="1927" spans="1:10" ht="14.5" x14ac:dyDescent="0.35">
      <c r="A1927" s="254"/>
      <c r="B1927" s="248"/>
      <c r="C1927" s="248"/>
      <c r="D1927" s="248"/>
      <c r="E1927" s="249"/>
      <c r="F1927" s="249"/>
      <c r="G1927" s="249"/>
      <c r="H1927" s="249"/>
      <c r="I1927" s="249"/>
      <c r="J1927" s="253"/>
    </row>
    <row r="1928" spans="1:10" ht="14.5" x14ac:dyDescent="0.35">
      <c r="A1928" s="254"/>
      <c r="B1928" s="248"/>
      <c r="C1928" s="248"/>
      <c r="D1928" s="248"/>
      <c r="E1928" s="249"/>
      <c r="F1928" s="249"/>
      <c r="G1928" s="249"/>
      <c r="H1928" s="249"/>
      <c r="I1928" s="249"/>
      <c r="J1928" s="253"/>
    </row>
    <row r="1929" spans="1:10" ht="14.5" x14ac:dyDescent="0.35">
      <c r="A1929" s="254"/>
      <c r="B1929" s="248"/>
      <c r="C1929" s="248"/>
      <c r="D1929" s="248"/>
      <c r="E1929" s="249"/>
      <c r="F1929" s="249"/>
      <c r="G1929" s="249"/>
      <c r="H1929" s="249"/>
      <c r="I1929" s="249"/>
      <c r="J1929" s="253"/>
    </row>
    <row r="1930" spans="1:10" ht="14.5" x14ac:dyDescent="0.35">
      <c r="A1930" s="254"/>
      <c r="B1930" s="248"/>
      <c r="C1930" s="248"/>
      <c r="D1930" s="248"/>
      <c r="E1930" s="249"/>
      <c r="F1930" s="249"/>
      <c r="G1930" s="249"/>
      <c r="H1930" s="249"/>
      <c r="I1930" s="249"/>
      <c r="J1930" s="253"/>
    </row>
    <row r="1931" spans="1:10" ht="14.5" x14ac:dyDescent="0.35">
      <c r="A1931" s="254"/>
      <c r="B1931" s="248"/>
      <c r="C1931" s="248"/>
      <c r="D1931" s="248"/>
      <c r="E1931" s="249"/>
      <c r="F1931" s="249"/>
      <c r="G1931" s="249"/>
      <c r="H1931" s="249"/>
      <c r="I1931" s="249"/>
      <c r="J1931" s="253"/>
    </row>
    <row r="1932" spans="1:10" ht="14.5" x14ac:dyDescent="0.35">
      <c r="A1932" s="254"/>
      <c r="B1932" s="248"/>
      <c r="C1932" s="248"/>
      <c r="D1932" s="248"/>
      <c r="E1932" s="249"/>
      <c r="F1932" s="249"/>
      <c r="G1932" s="249"/>
      <c r="H1932" s="249"/>
      <c r="I1932" s="249"/>
      <c r="J1932" s="253"/>
    </row>
    <row r="1933" spans="1:10" ht="14.5" x14ac:dyDescent="0.35">
      <c r="A1933" s="254"/>
      <c r="B1933" s="248"/>
      <c r="C1933" s="248"/>
      <c r="D1933" s="248"/>
      <c r="E1933" s="249"/>
      <c r="F1933" s="249"/>
      <c r="G1933" s="249"/>
      <c r="H1933" s="249"/>
      <c r="I1933" s="249"/>
      <c r="J1933" s="253"/>
    </row>
    <row r="1934" spans="1:10" ht="14.5" x14ac:dyDescent="0.35">
      <c r="A1934" s="254"/>
      <c r="B1934" s="248"/>
      <c r="C1934" s="248"/>
      <c r="D1934" s="248"/>
      <c r="E1934" s="249"/>
      <c r="F1934" s="249"/>
      <c r="G1934" s="249"/>
      <c r="H1934" s="249"/>
      <c r="I1934" s="249"/>
      <c r="J1934" s="253"/>
    </row>
    <row r="1935" spans="1:10" ht="14.5" x14ac:dyDescent="0.35">
      <c r="A1935" s="254"/>
      <c r="B1935" s="248"/>
      <c r="C1935" s="248"/>
      <c r="D1935" s="248"/>
      <c r="E1935" s="249"/>
      <c r="F1935" s="249"/>
      <c r="G1935" s="249"/>
      <c r="H1935" s="249"/>
      <c r="I1935" s="249"/>
      <c r="J1935" s="253"/>
    </row>
    <row r="1936" spans="1:10" ht="14.5" x14ac:dyDescent="0.35">
      <c r="A1936" s="254"/>
      <c r="B1936" s="248"/>
      <c r="C1936" s="248"/>
      <c r="D1936" s="248"/>
      <c r="E1936" s="249"/>
      <c r="F1936" s="249"/>
      <c r="G1936" s="249"/>
      <c r="H1936" s="249"/>
      <c r="I1936" s="249"/>
      <c r="J1936" s="253"/>
    </row>
    <row r="1937" spans="1:10" ht="14.5" x14ac:dyDescent="0.35">
      <c r="A1937" s="254"/>
      <c r="B1937" s="248"/>
      <c r="C1937" s="248"/>
      <c r="D1937" s="248"/>
      <c r="E1937" s="249"/>
      <c r="F1937" s="249"/>
      <c r="G1937" s="249"/>
      <c r="H1937" s="249"/>
      <c r="I1937" s="249"/>
      <c r="J1937" s="253"/>
    </row>
    <row r="1938" spans="1:10" ht="14.5" x14ac:dyDescent="0.35">
      <c r="A1938" s="254"/>
      <c r="B1938" s="248"/>
      <c r="C1938" s="248"/>
      <c r="D1938" s="248"/>
      <c r="E1938" s="249"/>
      <c r="F1938" s="249"/>
      <c r="G1938" s="249"/>
      <c r="H1938" s="249"/>
      <c r="I1938" s="249"/>
      <c r="J1938" s="253"/>
    </row>
    <row r="1939" spans="1:10" ht="14.5" x14ac:dyDescent="0.35">
      <c r="A1939" s="254"/>
      <c r="B1939" s="248"/>
      <c r="C1939" s="248"/>
      <c r="D1939" s="248"/>
      <c r="E1939" s="249"/>
      <c r="F1939" s="249"/>
      <c r="G1939" s="249"/>
      <c r="H1939" s="249"/>
      <c r="I1939" s="249"/>
      <c r="J1939" s="253"/>
    </row>
    <row r="1940" spans="1:10" ht="14.5" x14ac:dyDescent="0.35">
      <c r="A1940" s="254"/>
      <c r="B1940" s="248"/>
      <c r="C1940" s="248"/>
      <c r="D1940" s="248"/>
      <c r="E1940" s="249"/>
      <c r="F1940" s="249"/>
      <c r="G1940" s="249"/>
      <c r="H1940" s="249"/>
      <c r="I1940" s="249"/>
      <c r="J1940" s="253"/>
    </row>
    <row r="1941" spans="1:10" ht="14.5" x14ac:dyDescent="0.35">
      <c r="A1941" s="254"/>
      <c r="B1941" s="248"/>
      <c r="C1941" s="248"/>
      <c r="D1941" s="248"/>
      <c r="E1941" s="249"/>
      <c r="F1941" s="249"/>
      <c r="G1941" s="249"/>
      <c r="H1941" s="249"/>
      <c r="I1941" s="249"/>
      <c r="J1941" s="253"/>
    </row>
    <row r="1942" spans="1:10" ht="14.5" x14ac:dyDescent="0.35">
      <c r="A1942" s="254"/>
      <c r="B1942" s="248"/>
      <c r="C1942" s="248"/>
      <c r="D1942" s="248"/>
      <c r="E1942" s="249"/>
      <c r="F1942" s="249"/>
      <c r="G1942" s="249"/>
      <c r="H1942" s="249"/>
      <c r="I1942" s="249"/>
      <c r="J1942" s="253"/>
    </row>
    <row r="1943" spans="1:10" ht="14.5" x14ac:dyDescent="0.35">
      <c r="A1943" s="254"/>
      <c r="B1943" s="248"/>
      <c r="C1943" s="248"/>
      <c r="D1943" s="248"/>
      <c r="E1943" s="249"/>
      <c r="F1943" s="249"/>
      <c r="G1943" s="249"/>
      <c r="H1943" s="249"/>
      <c r="I1943" s="249"/>
      <c r="J1943" s="253"/>
    </row>
    <row r="1944" spans="1:10" ht="14.5" x14ac:dyDescent="0.35">
      <c r="A1944" s="254"/>
      <c r="B1944" s="248"/>
      <c r="C1944" s="248"/>
      <c r="D1944" s="248"/>
      <c r="E1944" s="249"/>
      <c r="F1944" s="249"/>
      <c r="G1944" s="249"/>
      <c r="H1944" s="249"/>
      <c r="I1944" s="249"/>
      <c r="J1944" s="253"/>
    </row>
    <row r="1945" spans="1:10" ht="14.5" x14ac:dyDescent="0.35">
      <c r="A1945" s="254"/>
      <c r="B1945" s="248"/>
      <c r="C1945" s="248"/>
      <c r="D1945" s="248"/>
      <c r="E1945" s="249"/>
      <c r="F1945" s="249"/>
      <c r="G1945" s="249"/>
      <c r="H1945" s="249"/>
      <c r="I1945" s="249"/>
      <c r="J1945" s="253"/>
    </row>
    <row r="1946" spans="1:10" ht="14.5" x14ac:dyDescent="0.35">
      <c r="A1946" s="254"/>
      <c r="B1946" s="248"/>
      <c r="C1946" s="248"/>
      <c r="D1946" s="248"/>
      <c r="E1946" s="249"/>
      <c r="F1946" s="249"/>
      <c r="G1946" s="249"/>
      <c r="H1946" s="249"/>
      <c r="I1946" s="249"/>
      <c r="J1946" s="253"/>
    </row>
    <row r="1947" spans="1:10" ht="14.5" x14ac:dyDescent="0.35">
      <c r="A1947" s="254"/>
      <c r="B1947" s="248"/>
      <c r="C1947" s="248"/>
      <c r="D1947" s="248"/>
      <c r="E1947" s="249"/>
      <c r="F1947" s="249"/>
      <c r="G1947" s="249"/>
      <c r="H1947" s="249"/>
      <c r="I1947" s="249"/>
      <c r="J1947" s="253"/>
    </row>
    <row r="1948" spans="1:10" ht="14.5" x14ac:dyDescent="0.35">
      <c r="A1948" s="254"/>
      <c r="B1948" s="248"/>
      <c r="C1948" s="248"/>
      <c r="D1948" s="248"/>
      <c r="E1948" s="249"/>
      <c r="F1948" s="249"/>
      <c r="G1948" s="249"/>
      <c r="H1948" s="249"/>
      <c r="I1948" s="249"/>
      <c r="J1948" s="253"/>
    </row>
    <row r="1949" spans="1:10" ht="14.5" x14ac:dyDescent="0.35">
      <c r="A1949" s="254"/>
      <c r="B1949" s="248"/>
      <c r="C1949" s="248"/>
      <c r="D1949" s="248"/>
      <c r="E1949" s="249"/>
      <c r="F1949" s="249"/>
      <c r="G1949" s="249"/>
      <c r="H1949" s="249"/>
      <c r="I1949" s="249"/>
      <c r="J1949" s="253"/>
    </row>
    <row r="1950" spans="1:10" ht="14.5" x14ac:dyDescent="0.35">
      <c r="A1950" s="254"/>
      <c r="B1950" s="248"/>
      <c r="C1950" s="248"/>
      <c r="D1950" s="248"/>
      <c r="E1950" s="249"/>
      <c r="F1950" s="249"/>
      <c r="G1950" s="249"/>
      <c r="H1950" s="249"/>
      <c r="I1950" s="249"/>
      <c r="J1950" s="253"/>
    </row>
    <row r="1951" spans="1:10" ht="14.5" x14ac:dyDescent="0.35">
      <c r="A1951" s="254"/>
      <c r="B1951" s="248"/>
      <c r="C1951" s="248"/>
      <c r="D1951" s="248"/>
      <c r="E1951" s="249"/>
      <c r="F1951" s="249"/>
      <c r="G1951" s="249"/>
      <c r="H1951" s="249"/>
      <c r="I1951" s="249"/>
      <c r="J1951" s="253"/>
    </row>
    <row r="1952" spans="1:10" ht="14.5" x14ac:dyDescent="0.35">
      <c r="A1952" s="254"/>
      <c r="B1952" s="248"/>
      <c r="C1952" s="248"/>
      <c r="D1952" s="248"/>
      <c r="E1952" s="249"/>
      <c r="F1952" s="249"/>
      <c r="G1952" s="249"/>
      <c r="H1952" s="249"/>
      <c r="I1952" s="249"/>
      <c r="J1952" s="253"/>
    </row>
    <row r="1953" spans="1:10" ht="14.5" x14ac:dyDescent="0.35">
      <c r="A1953" s="254"/>
      <c r="B1953" s="248"/>
      <c r="C1953" s="248"/>
      <c r="D1953" s="248"/>
      <c r="E1953" s="249"/>
      <c r="F1953" s="249"/>
      <c r="G1953" s="249"/>
      <c r="H1953" s="249"/>
      <c r="I1953" s="249"/>
      <c r="J1953" s="253"/>
    </row>
    <row r="1954" spans="1:10" ht="14.5" x14ac:dyDescent="0.35">
      <c r="A1954" s="254"/>
      <c r="B1954" s="248"/>
      <c r="C1954" s="248"/>
      <c r="D1954" s="248"/>
      <c r="E1954" s="249"/>
      <c r="F1954" s="249"/>
      <c r="G1954" s="249"/>
      <c r="H1954" s="249"/>
      <c r="I1954" s="249"/>
      <c r="J1954" s="253"/>
    </row>
    <row r="1955" spans="1:10" ht="14.5" x14ac:dyDescent="0.35">
      <c r="A1955" s="254"/>
      <c r="B1955" s="248"/>
      <c r="C1955" s="248"/>
      <c r="D1955" s="248"/>
      <c r="E1955" s="249"/>
      <c r="F1955" s="249"/>
      <c r="G1955" s="249"/>
      <c r="H1955" s="249"/>
      <c r="I1955" s="249"/>
      <c r="J1955" s="253"/>
    </row>
    <row r="1956" spans="1:10" ht="14.5" x14ac:dyDescent="0.35">
      <c r="A1956" s="254"/>
      <c r="B1956" s="248"/>
      <c r="C1956" s="248"/>
      <c r="D1956" s="248"/>
      <c r="E1956" s="249"/>
      <c r="F1956" s="249"/>
      <c r="G1956" s="249"/>
      <c r="H1956" s="249"/>
      <c r="I1956" s="249"/>
      <c r="J1956" s="253"/>
    </row>
    <row r="1957" spans="1:10" ht="14.5" x14ac:dyDescent="0.35">
      <c r="A1957" s="254"/>
      <c r="B1957" s="248"/>
      <c r="C1957" s="248"/>
      <c r="D1957" s="248"/>
      <c r="E1957" s="249"/>
      <c r="F1957" s="249"/>
      <c r="G1957" s="249"/>
      <c r="H1957" s="249"/>
      <c r="I1957" s="249"/>
      <c r="J1957" s="253"/>
    </row>
    <row r="1958" spans="1:10" ht="14.5" x14ac:dyDescent="0.35">
      <c r="A1958" s="254"/>
      <c r="B1958" s="248"/>
      <c r="C1958" s="248"/>
      <c r="D1958" s="248"/>
      <c r="E1958" s="249"/>
      <c r="F1958" s="249"/>
      <c r="G1958" s="249"/>
      <c r="H1958" s="249"/>
      <c r="I1958" s="249"/>
      <c r="J1958" s="253"/>
    </row>
    <row r="1959" spans="1:10" ht="14.5" x14ac:dyDescent="0.35">
      <c r="A1959" s="254"/>
      <c r="B1959" s="248"/>
      <c r="C1959" s="248"/>
      <c r="D1959" s="248"/>
      <c r="E1959" s="249"/>
      <c r="F1959" s="249"/>
      <c r="G1959" s="249"/>
      <c r="H1959" s="249"/>
      <c r="I1959" s="249"/>
      <c r="J1959" s="253"/>
    </row>
    <row r="1960" spans="1:10" ht="14.5" x14ac:dyDescent="0.35">
      <c r="A1960" s="254"/>
      <c r="B1960" s="248"/>
      <c r="C1960" s="248"/>
      <c r="D1960" s="248"/>
      <c r="E1960" s="249"/>
      <c r="F1960" s="249"/>
      <c r="G1960" s="249"/>
      <c r="H1960" s="249"/>
      <c r="I1960" s="249"/>
      <c r="J1960" s="253"/>
    </row>
    <row r="1961" spans="1:10" ht="14.5" x14ac:dyDescent="0.35">
      <c r="A1961" s="254"/>
      <c r="B1961" s="248"/>
      <c r="C1961" s="248"/>
      <c r="D1961" s="248"/>
      <c r="E1961" s="249"/>
      <c r="F1961" s="249"/>
      <c r="G1961" s="249"/>
      <c r="H1961" s="249"/>
      <c r="I1961" s="249"/>
      <c r="J1961" s="253"/>
    </row>
    <row r="1962" spans="1:10" ht="14.5" x14ac:dyDescent="0.35">
      <c r="A1962" s="254"/>
      <c r="B1962" s="248"/>
      <c r="C1962" s="248"/>
      <c r="D1962" s="248"/>
      <c r="E1962" s="249"/>
      <c r="F1962" s="249"/>
      <c r="G1962" s="249"/>
      <c r="H1962" s="249"/>
      <c r="I1962" s="249"/>
      <c r="J1962" s="253"/>
    </row>
    <row r="1963" spans="1:10" ht="14.5" x14ac:dyDescent="0.35">
      <c r="A1963" s="254"/>
      <c r="B1963" s="248"/>
      <c r="C1963" s="248"/>
      <c r="D1963" s="248"/>
      <c r="E1963" s="249"/>
      <c r="F1963" s="249"/>
      <c r="G1963" s="249"/>
      <c r="H1963" s="249"/>
      <c r="I1963" s="249"/>
      <c r="J1963" s="253"/>
    </row>
    <row r="1964" spans="1:10" ht="14.5" x14ac:dyDescent="0.35">
      <c r="A1964" s="254"/>
      <c r="B1964" s="248"/>
      <c r="C1964" s="248"/>
      <c r="D1964" s="248"/>
      <c r="E1964" s="249"/>
      <c r="F1964" s="249"/>
      <c r="G1964" s="249"/>
      <c r="H1964" s="249"/>
      <c r="I1964" s="249"/>
      <c r="J1964" s="253"/>
    </row>
    <row r="1965" spans="1:10" ht="14.5" x14ac:dyDescent="0.35">
      <c r="A1965" s="254"/>
      <c r="B1965" s="248"/>
      <c r="C1965" s="248"/>
      <c r="D1965" s="248"/>
      <c r="E1965" s="249"/>
      <c r="F1965" s="249"/>
      <c r="G1965" s="249"/>
      <c r="H1965" s="249"/>
      <c r="I1965" s="249"/>
      <c r="J1965" s="253"/>
    </row>
    <row r="1966" spans="1:10" ht="14.5" x14ac:dyDescent="0.35">
      <c r="A1966" s="254"/>
      <c r="B1966" s="248"/>
      <c r="C1966" s="248"/>
      <c r="D1966" s="248"/>
      <c r="E1966" s="249"/>
      <c r="F1966" s="249"/>
      <c r="G1966" s="249"/>
      <c r="H1966" s="249"/>
      <c r="I1966" s="249"/>
      <c r="J1966" s="253"/>
    </row>
    <row r="1967" spans="1:10" ht="14.5" x14ac:dyDescent="0.35">
      <c r="A1967" s="254"/>
      <c r="B1967" s="248"/>
      <c r="C1967" s="248"/>
      <c r="D1967" s="248"/>
      <c r="E1967" s="249"/>
      <c r="F1967" s="249"/>
      <c r="G1967" s="249"/>
      <c r="H1967" s="249"/>
      <c r="I1967" s="249"/>
      <c r="J1967" s="253"/>
    </row>
    <row r="1968" spans="1:10" ht="14.5" x14ac:dyDescent="0.35">
      <c r="A1968" s="254"/>
      <c r="B1968" s="248"/>
      <c r="C1968" s="248"/>
      <c r="D1968" s="248"/>
      <c r="E1968" s="249"/>
      <c r="F1968" s="249"/>
      <c r="G1968" s="249"/>
      <c r="H1968" s="249"/>
      <c r="I1968" s="249"/>
      <c r="J1968" s="253"/>
    </row>
    <row r="1969" spans="1:10" ht="14.5" x14ac:dyDescent="0.35">
      <c r="A1969" s="254"/>
      <c r="B1969" s="248"/>
      <c r="C1969" s="248"/>
      <c r="D1969" s="248"/>
      <c r="E1969" s="249"/>
      <c r="F1969" s="249"/>
      <c r="G1969" s="249"/>
      <c r="H1969" s="249"/>
      <c r="I1969" s="249"/>
      <c r="J1969" s="253"/>
    </row>
    <row r="1970" spans="1:10" ht="14.5" x14ac:dyDescent="0.35">
      <c r="A1970" s="254"/>
      <c r="B1970" s="248"/>
      <c r="C1970" s="248"/>
      <c r="D1970" s="248"/>
      <c r="E1970" s="249"/>
      <c r="F1970" s="249"/>
      <c r="G1970" s="249"/>
      <c r="H1970" s="249"/>
      <c r="I1970" s="249"/>
      <c r="J1970" s="253"/>
    </row>
    <row r="1971" spans="1:10" ht="14.5" x14ac:dyDescent="0.35">
      <c r="A1971" s="254"/>
      <c r="B1971" s="248"/>
      <c r="C1971" s="248"/>
      <c r="D1971" s="248"/>
      <c r="E1971" s="249"/>
      <c r="F1971" s="249"/>
      <c r="G1971" s="249"/>
      <c r="H1971" s="249"/>
      <c r="I1971" s="249"/>
      <c r="J1971" s="253"/>
    </row>
    <row r="1972" spans="1:10" ht="14.5" x14ac:dyDescent="0.35">
      <c r="A1972" s="254"/>
      <c r="B1972" s="248"/>
      <c r="C1972" s="248"/>
      <c r="D1972" s="248"/>
      <c r="E1972" s="249"/>
      <c r="F1972" s="249"/>
      <c r="G1972" s="249"/>
      <c r="H1972" s="249"/>
      <c r="I1972" s="249"/>
      <c r="J1972" s="253"/>
    </row>
    <row r="1973" spans="1:10" ht="14.5" x14ac:dyDescent="0.35">
      <c r="A1973" s="254"/>
      <c r="B1973" s="248"/>
      <c r="C1973" s="248"/>
      <c r="D1973" s="248"/>
      <c r="E1973" s="249"/>
      <c r="F1973" s="249"/>
      <c r="G1973" s="249"/>
      <c r="H1973" s="249"/>
      <c r="I1973" s="249"/>
      <c r="J1973" s="253"/>
    </row>
    <row r="1974" spans="1:10" ht="14.5" x14ac:dyDescent="0.35">
      <c r="A1974" s="254"/>
      <c r="B1974" s="248"/>
      <c r="C1974" s="248"/>
      <c r="D1974" s="248"/>
      <c r="E1974" s="249"/>
      <c r="F1974" s="249"/>
      <c r="G1974" s="249"/>
      <c r="H1974" s="249"/>
      <c r="I1974" s="249"/>
      <c r="J1974" s="253"/>
    </row>
    <row r="1975" spans="1:10" ht="14.5" x14ac:dyDescent="0.35">
      <c r="A1975" s="254"/>
      <c r="B1975" s="248"/>
      <c r="C1975" s="248"/>
      <c r="D1975" s="248"/>
      <c r="E1975" s="249"/>
      <c r="F1975" s="249"/>
      <c r="G1975" s="249"/>
      <c r="H1975" s="249"/>
      <c r="I1975" s="249"/>
      <c r="J1975" s="253"/>
    </row>
    <row r="1976" spans="1:10" ht="14.5" x14ac:dyDescent="0.35">
      <c r="A1976" s="254"/>
      <c r="B1976" s="248"/>
      <c r="C1976" s="248"/>
      <c r="D1976" s="248"/>
      <c r="E1976" s="249"/>
      <c r="F1976" s="249"/>
      <c r="G1976" s="249"/>
      <c r="H1976" s="249"/>
      <c r="I1976" s="249"/>
      <c r="J1976" s="253"/>
    </row>
    <row r="1977" spans="1:10" ht="14.5" x14ac:dyDescent="0.35">
      <c r="A1977" s="254"/>
      <c r="B1977" s="248"/>
      <c r="C1977" s="248"/>
      <c r="D1977" s="248"/>
      <c r="E1977" s="249"/>
      <c r="F1977" s="249"/>
      <c r="G1977" s="249"/>
      <c r="H1977" s="249"/>
      <c r="I1977" s="249"/>
      <c r="J1977" s="253"/>
    </row>
    <row r="1978" spans="1:10" ht="14.5" x14ac:dyDescent="0.35">
      <c r="A1978" s="254"/>
      <c r="B1978" s="248"/>
      <c r="C1978" s="248"/>
      <c r="D1978" s="248"/>
      <c r="E1978" s="249"/>
      <c r="F1978" s="249"/>
      <c r="G1978" s="249"/>
      <c r="H1978" s="249"/>
      <c r="I1978" s="249"/>
      <c r="J1978" s="253"/>
    </row>
    <row r="1979" spans="1:10" ht="14.5" x14ac:dyDescent="0.35">
      <c r="A1979" s="254"/>
      <c r="B1979" s="248"/>
      <c r="C1979" s="248"/>
      <c r="D1979" s="248"/>
      <c r="E1979" s="249"/>
      <c r="F1979" s="249"/>
      <c r="G1979" s="249"/>
      <c r="H1979" s="249"/>
      <c r="I1979" s="249"/>
      <c r="J1979" s="253"/>
    </row>
    <row r="1980" spans="1:10" ht="14.5" x14ac:dyDescent="0.35">
      <c r="A1980" s="254"/>
      <c r="B1980" s="248"/>
      <c r="C1980" s="248"/>
      <c r="D1980" s="248"/>
      <c r="E1980" s="249"/>
      <c r="F1980" s="249"/>
      <c r="G1980" s="249"/>
      <c r="H1980" s="249"/>
      <c r="I1980" s="249"/>
      <c r="J1980" s="253"/>
    </row>
    <row r="1981" spans="1:10" ht="14.5" x14ac:dyDescent="0.35">
      <c r="A1981" s="254"/>
      <c r="B1981" s="248"/>
      <c r="C1981" s="248"/>
      <c r="D1981" s="248"/>
      <c r="E1981" s="249"/>
      <c r="F1981" s="249"/>
      <c r="G1981" s="249"/>
      <c r="H1981" s="249"/>
      <c r="I1981" s="249"/>
      <c r="J1981" s="253"/>
    </row>
    <row r="1982" spans="1:10" ht="14.5" x14ac:dyDescent="0.35">
      <c r="A1982" s="254"/>
      <c r="B1982" s="248"/>
      <c r="C1982" s="248"/>
      <c r="D1982" s="248"/>
      <c r="E1982" s="249"/>
      <c r="F1982" s="249"/>
      <c r="G1982" s="249"/>
      <c r="H1982" s="249"/>
      <c r="I1982" s="249"/>
      <c r="J1982" s="253"/>
    </row>
    <row r="1983" spans="1:10" ht="14.5" x14ac:dyDescent="0.35">
      <c r="A1983" s="254"/>
      <c r="B1983" s="248"/>
      <c r="C1983" s="248"/>
      <c r="D1983" s="248"/>
      <c r="E1983" s="249"/>
      <c r="F1983" s="249"/>
      <c r="G1983" s="249"/>
      <c r="H1983" s="249"/>
      <c r="I1983" s="249"/>
      <c r="J1983" s="253"/>
    </row>
    <row r="1984" spans="1:10" ht="14.5" x14ac:dyDescent="0.35">
      <c r="A1984" s="254"/>
      <c r="B1984" s="248"/>
      <c r="C1984" s="248"/>
      <c r="D1984" s="248"/>
      <c r="E1984" s="249"/>
      <c r="F1984" s="249"/>
      <c r="G1984" s="249"/>
      <c r="H1984" s="249"/>
      <c r="I1984" s="249"/>
      <c r="J1984" s="253"/>
    </row>
    <row r="1985" spans="1:10" ht="14.5" x14ac:dyDescent="0.35">
      <c r="A1985" s="254"/>
      <c r="B1985" s="248"/>
      <c r="C1985" s="248"/>
      <c r="D1985" s="248"/>
      <c r="E1985" s="249"/>
      <c r="F1985" s="249"/>
      <c r="G1985" s="249"/>
      <c r="H1985" s="249"/>
      <c r="I1985" s="249"/>
      <c r="J1985" s="253"/>
    </row>
    <row r="1986" spans="1:10" ht="14.5" x14ac:dyDescent="0.35">
      <c r="A1986" s="254"/>
      <c r="B1986" s="248"/>
      <c r="C1986" s="248"/>
      <c r="D1986" s="248"/>
      <c r="E1986" s="249"/>
      <c r="F1986" s="249"/>
      <c r="G1986" s="249"/>
      <c r="H1986" s="249"/>
      <c r="I1986" s="249"/>
      <c r="J1986" s="253"/>
    </row>
    <row r="1987" spans="1:10" ht="14.5" x14ac:dyDescent="0.35">
      <c r="A1987" s="254"/>
      <c r="B1987" s="248"/>
      <c r="C1987" s="248"/>
      <c r="D1987" s="248"/>
      <c r="E1987" s="249"/>
      <c r="F1987" s="249"/>
      <c r="G1987" s="249"/>
      <c r="H1987" s="249"/>
      <c r="I1987" s="249"/>
      <c r="J1987" s="253"/>
    </row>
    <row r="1988" spans="1:10" ht="14.5" x14ac:dyDescent="0.35">
      <c r="A1988" s="254"/>
      <c r="B1988" s="248"/>
      <c r="C1988" s="248"/>
      <c r="D1988" s="248"/>
      <c r="E1988" s="249"/>
      <c r="F1988" s="249"/>
      <c r="G1988" s="249"/>
      <c r="H1988" s="249"/>
      <c r="I1988" s="249"/>
      <c r="J1988" s="253"/>
    </row>
    <row r="1989" spans="1:10" ht="14.5" x14ac:dyDescent="0.35">
      <c r="A1989" s="254"/>
      <c r="B1989" s="248"/>
      <c r="C1989" s="248"/>
      <c r="D1989" s="248"/>
      <c r="E1989" s="249"/>
      <c r="F1989" s="249"/>
      <c r="G1989" s="249"/>
      <c r="H1989" s="249"/>
      <c r="I1989" s="249"/>
      <c r="J1989" s="253"/>
    </row>
    <row r="1990" spans="1:10" ht="14.5" x14ac:dyDescent="0.35">
      <c r="A1990" s="254"/>
      <c r="B1990" s="248"/>
      <c r="C1990" s="248"/>
      <c r="D1990" s="248"/>
      <c r="E1990" s="249"/>
      <c r="F1990" s="249"/>
      <c r="G1990" s="249"/>
      <c r="H1990" s="249"/>
      <c r="I1990" s="249"/>
      <c r="J1990" s="253"/>
    </row>
    <row r="1991" spans="1:10" ht="14.5" x14ac:dyDescent="0.35">
      <c r="A1991" s="254"/>
      <c r="B1991" s="248"/>
      <c r="C1991" s="248"/>
      <c r="D1991" s="248"/>
      <c r="E1991" s="249"/>
      <c r="F1991" s="249"/>
      <c r="G1991" s="249"/>
      <c r="H1991" s="249"/>
      <c r="I1991" s="249"/>
      <c r="J1991" s="253"/>
    </row>
    <row r="1992" spans="1:10" ht="14.5" x14ac:dyDescent="0.35">
      <c r="A1992" s="254"/>
      <c r="B1992" s="248"/>
      <c r="C1992" s="248"/>
      <c r="D1992" s="248"/>
      <c r="E1992" s="249"/>
      <c r="F1992" s="249"/>
      <c r="G1992" s="249"/>
      <c r="H1992" s="249"/>
      <c r="I1992" s="249"/>
      <c r="J1992" s="253"/>
    </row>
    <row r="1993" spans="1:10" ht="14.5" x14ac:dyDescent="0.35">
      <c r="A1993" s="254"/>
      <c r="B1993" s="248"/>
      <c r="C1993" s="248"/>
      <c r="D1993" s="248"/>
      <c r="E1993" s="249"/>
      <c r="F1993" s="249"/>
      <c r="G1993" s="249"/>
      <c r="H1993" s="249"/>
      <c r="I1993" s="249"/>
      <c r="J1993" s="253"/>
    </row>
    <row r="1994" spans="1:10" ht="14.5" x14ac:dyDescent="0.35">
      <c r="A1994" s="254"/>
      <c r="B1994" s="248"/>
      <c r="C1994" s="248"/>
      <c r="D1994" s="248"/>
      <c r="E1994" s="249"/>
      <c r="F1994" s="249"/>
      <c r="G1994" s="249"/>
      <c r="H1994" s="249"/>
      <c r="I1994" s="249"/>
      <c r="J1994" s="253"/>
    </row>
    <row r="1995" spans="1:10" ht="14.5" x14ac:dyDescent="0.35">
      <c r="A1995" s="254"/>
      <c r="B1995" s="248"/>
      <c r="C1995" s="248"/>
      <c r="D1995" s="248"/>
      <c r="E1995" s="249"/>
      <c r="F1995" s="249"/>
      <c r="G1995" s="249"/>
      <c r="H1995" s="249"/>
      <c r="I1995" s="249"/>
      <c r="J1995" s="253"/>
    </row>
    <row r="1996" spans="1:10" ht="14.5" x14ac:dyDescent="0.35">
      <c r="A1996" s="254"/>
      <c r="B1996" s="248"/>
      <c r="C1996" s="248"/>
      <c r="D1996" s="248"/>
      <c r="E1996" s="249"/>
      <c r="F1996" s="249"/>
      <c r="G1996" s="249"/>
      <c r="H1996" s="249"/>
      <c r="I1996" s="249"/>
      <c r="J1996" s="253"/>
    </row>
    <row r="1997" spans="1:10" ht="14.5" x14ac:dyDescent="0.35">
      <c r="A1997" s="254"/>
      <c r="B1997" s="248"/>
      <c r="C1997" s="248"/>
      <c r="D1997" s="248"/>
      <c r="E1997" s="249"/>
      <c r="F1997" s="249"/>
      <c r="G1997" s="249"/>
      <c r="H1997" s="249"/>
      <c r="I1997" s="249"/>
      <c r="J1997" s="253"/>
    </row>
    <row r="1998" spans="1:10" ht="14.5" x14ac:dyDescent="0.35">
      <c r="A1998" s="254"/>
      <c r="B1998" s="248"/>
      <c r="C1998" s="248"/>
      <c r="D1998" s="248"/>
      <c r="E1998" s="249"/>
      <c r="F1998" s="249"/>
      <c r="G1998" s="249"/>
      <c r="H1998" s="249"/>
      <c r="I1998" s="249"/>
      <c r="J1998" s="253"/>
    </row>
    <row r="1999" spans="1:10" ht="14.5" x14ac:dyDescent="0.35">
      <c r="A1999" s="254"/>
      <c r="B1999" s="248"/>
      <c r="C1999" s="248"/>
      <c r="D1999" s="248"/>
      <c r="E1999" s="249"/>
      <c r="F1999" s="249"/>
      <c r="G1999" s="249"/>
      <c r="H1999" s="249"/>
      <c r="I1999" s="249"/>
      <c r="J1999" s="253"/>
    </row>
    <row r="2000" spans="1:10" ht="14.5" x14ac:dyDescent="0.35">
      <c r="A2000" s="254"/>
      <c r="B2000" s="248"/>
      <c r="C2000" s="248"/>
      <c r="D2000" s="248"/>
      <c r="E2000" s="249"/>
      <c r="F2000" s="249"/>
      <c r="G2000" s="249"/>
      <c r="H2000" s="249"/>
      <c r="I2000" s="249"/>
      <c r="J2000" s="253"/>
    </row>
    <row r="2001" spans="1:10" ht="14.5" x14ac:dyDescent="0.35">
      <c r="A2001" s="254"/>
      <c r="B2001" s="248"/>
      <c r="C2001" s="248"/>
      <c r="D2001" s="248"/>
      <c r="E2001" s="249"/>
      <c r="F2001" s="249"/>
      <c r="G2001" s="249"/>
      <c r="H2001" s="249"/>
      <c r="I2001" s="249"/>
      <c r="J2001" s="253"/>
    </row>
    <row r="2002" spans="1:10" ht="14.5" x14ac:dyDescent="0.35">
      <c r="A2002" s="254"/>
      <c r="B2002" s="248"/>
      <c r="C2002" s="248"/>
      <c r="D2002" s="248"/>
      <c r="E2002" s="249"/>
      <c r="F2002" s="249"/>
      <c r="G2002" s="249"/>
      <c r="H2002" s="249"/>
      <c r="I2002" s="249"/>
      <c r="J2002" s="253"/>
    </row>
    <row r="2003" spans="1:10" ht="14.5" x14ac:dyDescent="0.35">
      <c r="A2003" s="254"/>
      <c r="B2003" s="248"/>
      <c r="C2003" s="248"/>
      <c r="D2003" s="248"/>
      <c r="E2003" s="249"/>
      <c r="F2003" s="249"/>
      <c r="G2003" s="249"/>
      <c r="H2003" s="249"/>
      <c r="I2003" s="249"/>
      <c r="J2003" s="253"/>
    </row>
  </sheetData>
  <conditionalFormatting sqref="A2:A2003">
    <cfRule type="expression" dxfId="3" priority="1">
      <formula>COUNTIF(A2:A2003,A2)&gt;1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ErrorMessage="1" xr:uid="{00000000-0002-0000-1400-000000000000}">
          <x14:formula1>
            <xm:f>nombres!$Q$4:$Q2003</xm:f>
          </x14:formula1>
          <xm:sqref>F2:F589 F594 F599 F604 F609 F614:F870 F875:F1257 F1260 F1263 F1266 F1269 F1272 F1275 F1278 F1281 F1284 F1287 F1290 F1293 F1296 F1299 F1302 F1305 F1308 F1311 F1314 F1317 F1320 F1323 F1326 F1329 F1332 F1335 F1338 F1341 F1344 F1347 F1350 F1353 F1356 F1359 F1362 F1365 F1368 F1371 F1374 F1377 F1380 F1383 F1386 F1389 F1392 F1395 F1398 F1401 F1404 F1407 F1410 F1413 F1416 F1419 F1422 F1425 F1428 F1431 F1434 F1437 F1440 F1443 F1446 F1449 F1452 F1455 F1458 F1461 F1464 F1467 F1470 F1473 F1476 F1479 F1482 F1485:F2003</xm:sqref>
        </x14:dataValidation>
        <x14:dataValidation type="list" allowBlank="1" showErrorMessage="1" xr:uid="{00000000-0002-0000-1400-000001000000}">
          <x14:formula1>
            <xm:f>nombres!$B$4:$B$6</xm:f>
          </x14:formula1>
          <xm:sqref>B2:B2003</xm:sqref>
        </x14:dataValidation>
        <x14:dataValidation type="list" allowBlank="1" showErrorMessage="1" xr:uid="{00000000-0002-0000-1400-000002000000}">
          <x14:formula1>
            <xm:f>nombres!$D$4:$D2003</xm:f>
          </x14:formula1>
          <xm:sqref>D2:D2003</xm:sqref>
        </x14:dataValidation>
        <x14:dataValidation type="list" allowBlank="1" xr:uid="{00000000-0002-0000-1400-000003000000}">
          <x14:formula1>
            <xm:f>nombres!$Q$4:$Q$22</xm:f>
          </x14:formula1>
          <xm:sqref>F1258:F1259 F1261:F1262 F1264:F1265 F1267:F1268 F1270:F1271 F1273:F1274 F1276:F1277 F1279:F1280 F1282:F1283 F1285:F1286 F1288:F1289 F1291:F1292 F1294:F1295 F1297:F1298 F1300:F1301 F1303:F1304 F1306:F1307 F1309:F1310 F1312:F1313 F1315:F1316 F1318:F1319 F1321:F1322 F1324:F1325 F1327:F1328 F1330:F1331 F1333:F1334 F1336:F1337 F1339:F1340 F1342:F1343 F1345:F1346 F1348:F1349 F1351:F1352 F1354:F1355 F1357:F1358 F1360:F1361 F1363:F1364 F1366:F1367 F1369:F1370 F1372:F1373 F1375:F1376 F1378:F1379 F1381:F1382 F1384:F1385 F1387:F1388 F1390:F1391 F1393:F1394 F1396:F1397 F1399:F1400 F1402:F1403 F1405:F1406 F1408:F1409 F1411:F1412 F1414:F1415 F1417:F1418 F1420:F1421 F1423:F1424 F1426:F1427 F1429:F1430 F1432:F1433 F1435:F1436 F1438:F1439 F1441:F1442 F1444:F1445 F1447:F1448 F1450:F1451 F1453:F1454 F1456:F1457 F1459:F1460 F1462:F1463 F1465:F1466 F1468:F1469 F1471:F1472 F1474:F1475 F1477:F1478 F1480:F1481 F1483:F1484</xm:sqref>
        </x14:dataValidation>
        <x14:dataValidation type="list" allowBlank="1" showErrorMessage="1" xr:uid="{00000000-0002-0000-1400-000004000000}">
          <x14:formula1>
            <xm:f>nombres!$F$4:$F$22</xm:f>
          </x14:formula1>
          <xm:sqref>C2:C2003</xm:sqref>
        </x14:dataValidation>
        <x14:dataValidation type="list" allowBlank="1" xr:uid="{00000000-0002-0000-1400-000005000000}">
          <x14:formula1>
            <xm:f>nombres!$H$4:$H$21</xm:f>
          </x14:formula1>
          <xm:sqref>E2:E2003</xm:sqref>
        </x14:dataValidation>
        <x14:dataValidation type="list" allowBlank="1" xr:uid="{00000000-0002-0000-1400-000006000000}">
          <x14:formula1>
            <xm:f>nombres!$S$5:$S2003</xm:f>
          </x14:formula1>
          <xm:sqref>G2:G2003</xm:sqref>
        </x14:dataValidation>
        <x14:dataValidation type="list" allowBlank="1" xr:uid="{00000000-0002-0000-1400-000007000000}">
          <x14:formula1>
            <xm:f>nombres!$U$4:$U2003</xm:f>
          </x14:formula1>
          <xm:sqref>H2:H2003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B45"/>
  <sheetViews>
    <sheetView workbookViewId="0"/>
  </sheetViews>
  <sheetFormatPr baseColWidth="10" defaultColWidth="12.6328125" defaultRowHeight="15.75" customHeight="1" x14ac:dyDescent="0.25"/>
  <cols>
    <col min="2" max="2" width="22.36328125" customWidth="1"/>
  </cols>
  <sheetData>
    <row r="1" spans="1:2" ht="15.75" customHeight="1" x14ac:dyDescent="0.25">
      <c r="A1" s="24" t="s">
        <v>1493</v>
      </c>
      <c r="B1" s="24" t="s">
        <v>1494</v>
      </c>
    </row>
    <row r="2" spans="1:2" ht="15.75" customHeight="1" x14ac:dyDescent="0.25">
      <c r="A2" s="24" t="s">
        <v>1495</v>
      </c>
      <c r="B2" s="24" t="s">
        <v>1496</v>
      </c>
    </row>
    <row r="3" spans="1:2" ht="15.75" customHeight="1" x14ac:dyDescent="0.25">
      <c r="A3" s="24" t="s">
        <v>1497</v>
      </c>
      <c r="B3" s="24" t="s">
        <v>424</v>
      </c>
    </row>
    <row r="4" spans="1:2" ht="15.75" customHeight="1" x14ac:dyDescent="0.25">
      <c r="A4" s="24" t="s">
        <v>1498</v>
      </c>
      <c r="B4" s="70">
        <v>15</v>
      </c>
    </row>
    <row r="5" spans="1:2" ht="15.75" customHeight="1" x14ac:dyDescent="0.25">
      <c r="A5" s="24" t="s">
        <v>469</v>
      </c>
      <c r="B5" s="24" t="s">
        <v>518</v>
      </c>
    </row>
    <row r="6" spans="1:2" ht="15.75" customHeight="1" x14ac:dyDescent="0.25">
      <c r="A6" s="24" t="s">
        <v>1499</v>
      </c>
      <c r="B6" s="24" t="s">
        <v>1500</v>
      </c>
    </row>
    <row r="7" spans="1:2" ht="15.75" customHeight="1" x14ac:dyDescent="0.25">
      <c r="A7" s="24" t="s">
        <v>1501</v>
      </c>
      <c r="B7" s="24" t="s">
        <v>518</v>
      </c>
    </row>
    <row r="8" spans="1:2" ht="15.75" customHeight="1" x14ac:dyDescent="0.25">
      <c r="A8" s="24" t="s">
        <v>472</v>
      </c>
      <c r="B8" s="24" t="s">
        <v>412</v>
      </c>
    </row>
    <row r="9" spans="1:2" ht="15.75" customHeight="1" x14ac:dyDescent="0.25">
      <c r="A9" s="24" t="s">
        <v>474</v>
      </c>
      <c r="B9" s="24" t="s">
        <v>518</v>
      </c>
    </row>
    <row r="10" spans="1:2" ht="15.75" customHeight="1" x14ac:dyDescent="0.25">
      <c r="A10" s="24" t="s">
        <v>1502</v>
      </c>
      <c r="B10" s="24" t="s">
        <v>424</v>
      </c>
    </row>
    <row r="11" spans="1:2" ht="15.75" customHeight="1" x14ac:dyDescent="0.25">
      <c r="A11" s="24" t="s">
        <v>474</v>
      </c>
      <c r="B11" s="24" t="s">
        <v>518</v>
      </c>
    </row>
    <row r="12" spans="1:2" ht="15.75" customHeight="1" x14ac:dyDescent="0.25">
      <c r="A12" s="24" t="s">
        <v>1502</v>
      </c>
      <c r="B12" s="24" t="s">
        <v>424</v>
      </c>
    </row>
    <row r="13" spans="1:2" ht="15.75" customHeight="1" x14ac:dyDescent="0.25">
      <c r="A13" s="24" t="s">
        <v>1503</v>
      </c>
      <c r="B13" s="24" t="s">
        <v>518</v>
      </c>
    </row>
    <row r="14" spans="1:2" ht="15.75" customHeight="1" x14ac:dyDescent="0.25">
      <c r="A14" s="24" t="s">
        <v>1504</v>
      </c>
      <c r="B14" s="24" t="s">
        <v>1505</v>
      </c>
    </row>
    <row r="15" spans="1:2" ht="15.75" customHeight="1" x14ac:dyDescent="0.25">
      <c r="A15" s="24" t="s">
        <v>1506</v>
      </c>
      <c r="B15" s="24" t="s">
        <v>1507</v>
      </c>
    </row>
    <row r="16" spans="1:2" ht="15.75" customHeight="1" x14ac:dyDescent="0.25">
      <c r="A16" s="24" t="s">
        <v>1508</v>
      </c>
      <c r="B16" s="24" t="s">
        <v>1507</v>
      </c>
    </row>
    <row r="17" spans="1:2" ht="15.75" customHeight="1" x14ac:dyDescent="0.25">
      <c r="A17" s="24" t="s">
        <v>1509</v>
      </c>
      <c r="B17" s="24" t="s">
        <v>1510</v>
      </c>
    </row>
    <row r="18" spans="1:2" ht="15.75" customHeight="1" x14ac:dyDescent="0.25">
      <c r="A18" s="24" t="s">
        <v>1511</v>
      </c>
      <c r="B18" s="24" t="s">
        <v>1507</v>
      </c>
    </row>
    <row r="19" spans="1:2" ht="15.75" customHeight="1" x14ac:dyDescent="0.25">
      <c r="A19" s="24" t="s">
        <v>1512</v>
      </c>
      <c r="B19" s="24" t="s">
        <v>1507</v>
      </c>
    </row>
    <row r="20" spans="1:2" ht="15.75" customHeight="1" x14ac:dyDescent="0.25">
      <c r="A20" s="24" t="s">
        <v>1513</v>
      </c>
      <c r="B20" s="24" t="s">
        <v>518</v>
      </c>
    </row>
    <row r="21" spans="1:2" ht="15.75" customHeight="1" x14ac:dyDescent="0.25">
      <c r="A21" s="24" t="s">
        <v>1514</v>
      </c>
      <c r="B21" s="24" t="s">
        <v>1505</v>
      </c>
    </row>
    <row r="22" spans="1:2" ht="15.75" customHeight="1" x14ac:dyDescent="0.25">
      <c r="A22" s="24" t="s">
        <v>1515</v>
      </c>
      <c r="B22" s="24" t="s">
        <v>518</v>
      </c>
    </row>
    <row r="23" spans="1:2" ht="15.75" customHeight="1" x14ac:dyDescent="0.25">
      <c r="A23" s="24" t="s">
        <v>1516</v>
      </c>
      <c r="B23" s="24" t="s">
        <v>1505</v>
      </c>
    </row>
    <row r="24" spans="1:2" ht="12.5" x14ac:dyDescent="0.25">
      <c r="A24" s="24" t="s">
        <v>1517</v>
      </c>
      <c r="B24" s="24" t="s">
        <v>518</v>
      </c>
    </row>
    <row r="25" spans="1:2" ht="12.5" x14ac:dyDescent="0.25">
      <c r="A25" s="24" t="s">
        <v>1518</v>
      </c>
      <c r="B25" s="24" t="s">
        <v>1505</v>
      </c>
    </row>
    <row r="26" spans="1:2" ht="12.5" x14ac:dyDescent="0.25">
      <c r="A26" s="24" t="s">
        <v>1519</v>
      </c>
      <c r="B26" s="24" t="s">
        <v>1507</v>
      </c>
    </row>
    <row r="27" spans="1:2" ht="12.5" x14ac:dyDescent="0.25">
      <c r="A27" s="24" t="s">
        <v>1520</v>
      </c>
      <c r="B27" s="24" t="s">
        <v>1507</v>
      </c>
    </row>
    <row r="28" spans="1:2" ht="12.5" x14ac:dyDescent="0.25">
      <c r="A28" s="24" t="s">
        <v>1521</v>
      </c>
      <c r="B28" s="24" t="s">
        <v>1507</v>
      </c>
    </row>
    <row r="29" spans="1:2" ht="12.5" x14ac:dyDescent="0.25">
      <c r="A29" s="24" t="s">
        <v>1522</v>
      </c>
      <c r="B29" s="24" t="s">
        <v>1507</v>
      </c>
    </row>
    <row r="30" spans="1:2" ht="12.5" x14ac:dyDescent="0.25">
      <c r="A30" s="24" t="s">
        <v>1523</v>
      </c>
      <c r="B30" s="24" t="s">
        <v>1507</v>
      </c>
    </row>
    <row r="31" spans="1:2" ht="12.5" x14ac:dyDescent="0.25">
      <c r="A31" s="24" t="s">
        <v>1524</v>
      </c>
      <c r="B31" s="24" t="s">
        <v>1507</v>
      </c>
    </row>
    <row r="32" spans="1:2" ht="12.5" x14ac:dyDescent="0.25">
      <c r="A32" s="24" t="s">
        <v>1525</v>
      </c>
      <c r="B32" s="24" t="s">
        <v>1510</v>
      </c>
    </row>
    <row r="33" spans="1:2" ht="12.5" x14ac:dyDescent="0.25">
      <c r="A33" s="24" t="s">
        <v>1526</v>
      </c>
      <c r="B33" s="24" t="s">
        <v>518</v>
      </c>
    </row>
    <row r="34" spans="1:2" ht="12.5" x14ac:dyDescent="0.25">
      <c r="A34" s="24" t="s">
        <v>1527</v>
      </c>
      <c r="B34" s="24" t="s">
        <v>1505</v>
      </c>
    </row>
    <row r="35" spans="1:2" ht="12.5" x14ac:dyDescent="0.25">
      <c r="A35" s="24" t="s">
        <v>1528</v>
      </c>
      <c r="B35" s="24" t="s">
        <v>518</v>
      </c>
    </row>
    <row r="36" spans="1:2" ht="12.5" x14ac:dyDescent="0.25">
      <c r="A36" s="24" t="s">
        <v>1529</v>
      </c>
      <c r="B36" s="24" t="s">
        <v>1505</v>
      </c>
    </row>
    <row r="37" spans="1:2" ht="12.5" x14ac:dyDescent="0.25">
      <c r="A37" s="24" t="s">
        <v>1530</v>
      </c>
      <c r="B37" s="24" t="s">
        <v>518</v>
      </c>
    </row>
    <row r="38" spans="1:2" ht="12.5" x14ac:dyDescent="0.25">
      <c r="A38" s="24"/>
      <c r="B38" s="24" t="s">
        <v>1505</v>
      </c>
    </row>
    <row r="39" spans="1:2" ht="12.5" x14ac:dyDescent="0.25">
      <c r="A39" s="24"/>
      <c r="B39" s="24" t="s">
        <v>1507</v>
      </c>
    </row>
    <row r="40" spans="1:2" ht="12.5" x14ac:dyDescent="0.25">
      <c r="A40" s="24"/>
      <c r="B40" s="24" t="s">
        <v>1507</v>
      </c>
    </row>
    <row r="41" spans="1:2" ht="12.5" x14ac:dyDescent="0.25">
      <c r="A41" s="24"/>
      <c r="B41" s="24" t="s">
        <v>518</v>
      </c>
    </row>
    <row r="42" spans="1:2" ht="12.5" x14ac:dyDescent="0.25">
      <c r="A42" s="24"/>
      <c r="B42" s="24" t="s">
        <v>1505</v>
      </c>
    </row>
    <row r="43" spans="1:2" ht="12.5" x14ac:dyDescent="0.25">
      <c r="A43" s="24"/>
      <c r="B43" s="24" t="s">
        <v>518</v>
      </c>
    </row>
    <row r="44" spans="1:2" ht="12.5" x14ac:dyDescent="0.25">
      <c r="A44" s="24"/>
      <c r="B44" s="24" t="s">
        <v>1505</v>
      </c>
    </row>
    <row r="45" spans="1:2" ht="12.5" x14ac:dyDescent="0.25">
      <c r="A45" s="24"/>
      <c r="B45" s="24" t="s">
        <v>424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BW102"/>
  <sheetViews>
    <sheetView workbookViewId="0"/>
  </sheetViews>
  <sheetFormatPr baseColWidth="10" defaultColWidth="12.6328125" defaultRowHeight="15.75" customHeight="1" x14ac:dyDescent="0.25"/>
  <cols>
    <col min="1" max="1" width="20.7265625" customWidth="1"/>
    <col min="2" max="5" width="10.7265625" customWidth="1"/>
    <col min="6" max="8" width="11.08984375" customWidth="1"/>
    <col min="9" max="9" width="8.36328125" customWidth="1"/>
    <col min="10" max="11" width="6.08984375" customWidth="1"/>
    <col min="12" max="12" width="7.26953125" customWidth="1"/>
    <col min="13" max="13" width="12" customWidth="1"/>
    <col min="14" max="15" width="6.08984375" customWidth="1"/>
    <col min="16" max="16" width="9.36328125" customWidth="1"/>
    <col min="17" max="17" width="12" customWidth="1"/>
    <col min="18" max="18" width="11.453125" customWidth="1"/>
    <col min="19" max="25" width="6.08984375" customWidth="1"/>
    <col min="26" max="50" width="4.08984375" customWidth="1"/>
    <col min="51" max="75" width="3.36328125" customWidth="1"/>
  </cols>
  <sheetData>
    <row r="1" spans="1:75" ht="21" customHeight="1" x14ac:dyDescent="0.25">
      <c r="A1" s="263"/>
      <c r="B1" s="263"/>
      <c r="C1" s="263"/>
      <c r="D1" s="264"/>
      <c r="E1" s="264"/>
      <c r="F1" s="264"/>
      <c r="G1" s="264"/>
      <c r="H1" s="264"/>
      <c r="I1" s="264"/>
      <c r="J1" s="264"/>
      <c r="K1" s="264"/>
      <c r="L1" s="264" t="s">
        <v>15</v>
      </c>
      <c r="M1" s="264"/>
      <c r="N1" s="264"/>
      <c r="O1" s="264"/>
      <c r="P1" s="264" t="s">
        <v>1531</v>
      </c>
      <c r="Q1" s="264"/>
      <c r="R1" s="264"/>
      <c r="S1" s="264"/>
      <c r="T1" s="264"/>
      <c r="U1" s="264"/>
      <c r="V1" s="264"/>
      <c r="W1" s="264"/>
      <c r="X1" s="264"/>
      <c r="Y1" s="264"/>
      <c r="Z1" s="346"/>
      <c r="AA1" s="296"/>
      <c r="AB1" s="296"/>
      <c r="AC1" s="296"/>
      <c r="AD1" s="296"/>
      <c r="AE1" s="296"/>
      <c r="AF1" s="296"/>
      <c r="AG1" s="296"/>
      <c r="AH1" s="296"/>
      <c r="AI1" s="296"/>
      <c r="AJ1" s="296"/>
      <c r="AK1" s="296"/>
      <c r="AL1" s="296"/>
      <c r="AM1" s="296"/>
      <c r="AN1" s="296"/>
      <c r="AO1" s="296"/>
      <c r="AP1" s="296"/>
      <c r="AQ1" s="296"/>
      <c r="AR1" s="296"/>
      <c r="AS1" s="296"/>
      <c r="AT1" s="296"/>
      <c r="AU1" s="296"/>
      <c r="AV1" s="296"/>
      <c r="AW1" s="296"/>
      <c r="AX1" s="296"/>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row>
    <row r="2" spans="1:75" ht="21" customHeight="1" x14ac:dyDescent="0.3">
      <c r="A2" s="266" t="s">
        <v>1532</v>
      </c>
      <c r="B2" s="266" t="s">
        <v>3</v>
      </c>
      <c r="C2" s="266" t="s">
        <v>1533</v>
      </c>
      <c r="D2" s="267" t="s">
        <v>1534</v>
      </c>
      <c r="E2" s="267" t="s">
        <v>1535</v>
      </c>
      <c r="F2" s="268" t="s">
        <v>19</v>
      </c>
      <c r="G2" s="268" t="s">
        <v>23</v>
      </c>
      <c r="H2" s="268" t="s">
        <v>25</v>
      </c>
      <c r="I2" s="268" t="s">
        <v>1536</v>
      </c>
      <c r="J2" s="268"/>
      <c r="K2" s="268"/>
      <c r="L2" s="268" t="s">
        <v>13</v>
      </c>
      <c r="M2" s="268" t="s">
        <v>300</v>
      </c>
      <c r="N2" s="268"/>
      <c r="O2" s="268"/>
      <c r="P2" s="268" t="s">
        <v>13</v>
      </c>
      <c r="Q2" s="268" t="s">
        <v>300</v>
      </c>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68"/>
      <c r="AZ2" s="68"/>
      <c r="BA2" s="68"/>
      <c r="BB2" s="68"/>
      <c r="BC2" s="68"/>
      <c r="BD2" s="68"/>
      <c r="BE2" s="68"/>
      <c r="BF2" s="68"/>
      <c r="BG2" s="68"/>
      <c r="BH2" s="68"/>
      <c r="BI2" s="68"/>
      <c r="BJ2" s="68"/>
      <c r="BK2" s="68"/>
      <c r="BL2" s="68"/>
      <c r="BM2" s="68"/>
      <c r="BN2" s="68"/>
      <c r="BO2" s="68"/>
      <c r="BP2" s="68"/>
      <c r="BQ2" s="68"/>
      <c r="BR2" s="68"/>
      <c r="BS2" s="68"/>
      <c r="BT2" s="68"/>
      <c r="BU2" s="68"/>
      <c r="BV2" s="68"/>
      <c r="BW2" s="68"/>
    </row>
    <row r="3" spans="1:75" ht="12.5" x14ac:dyDescent="0.25">
      <c r="A3" s="269" t="s">
        <v>1537</v>
      </c>
      <c r="B3" s="269" t="s">
        <v>141</v>
      </c>
      <c r="C3" s="269" t="s">
        <v>1538</v>
      </c>
      <c r="D3" s="265">
        <v>1</v>
      </c>
      <c r="E3" s="265">
        <v>11</v>
      </c>
      <c r="F3" s="68">
        <v>0</v>
      </c>
      <c r="G3" s="68">
        <v>1</v>
      </c>
      <c r="H3" s="68">
        <v>2</v>
      </c>
      <c r="I3" s="68">
        <v>22</v>
      </c>
      <c r="J3" s="68"/>
      <c r="K3" s="68"/>
      <c r="L3" s="68">
        <v>0</v>
      </c>
      <c r="M3" s="68" t="s">
        <v>19</v>
      </c>
      <c r="N3" s="68"/>
      <c r="O3" s="68"/>
      <c r="P3" s="68">
        <v>0</v>
      </c>
      <c r="Q3" s="68" t="s">
        <v>19</v>
      </c>
      <c r="R3" s="68"/>
      <c r="S3" s="68" t="s">
        <v>19</v>
      </c>
      <c r="T3" s="68" t="s">
        <v>1539</v>
      </c>
      <c r="U3" s="68">
        <v>21</v>
      </c>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68"/>
      <c r="BK3" s="68"/>
      <c r="BL3" s="68"/>
      <c r="BM3" s="68"/>
      <c r="BN3" s="68"/>
      <c r="BO3" s="68"/>
      <c r="BP3" s="68"/>
      <c r="BQ3" s="68"/>
      <c r="BR3" s="68"/>
      <c r="BS3" s="68"/>
      <c r="BT3" s="68"/>
      <c r="BU3" s="68"/>
      <c r="BV3" s="68"/>
      <c r="BW3" s="68"/>
    </row>
    <row r="4" spans="1:75" ht="12.5" x14ac:dyDescent="0.25">
      <c r="A4" s="269" t="s">
        <v>1540</v>
      </c>
      <c r="B4" s="269" t="s">
        <v>45</v>
      </c>
      <c r="C4" s="269" t="s">
        <v>1541</v>
      </c>
      <c r="D4" s="265">
        <v>1</v>
      </c>
      <c r="E4" s="265">
        <v>10</v>
      </c>
      <c r="F4" s="68">
        <v>0</v>
      </c>
      <c r="G4" s="68">
        <v>1</v>
      </c>
      <c r="H4" s="68">
        <v>2</v>
      </c>
      <c r="I4" s="68">
        <v>20</v>
      </c>
      <c r="J4" s="68"/>
      <c r="K4" s="68"/>
      <c r="L4" s="68">
        <v>1</v>
      </c>
      <c r="M4" s="68" t="s">
        <v>23</v>
      </c>
      <c r="N4" s="68"/>
      <c r="O4" s="68"/>
      <c r="P4" s="68">
        <v>1</v>
      </c>
      <c r="Q4" s="68" t="s">
        <v>19</v>
      </c>
      <c r="R4" s="68"/>
      <c r="S4" s="68" t="s">
        <v>23</v>
      </c>
      <c r="T4" s="68" t="s">
        <v>1542</v>
      </c>
      <c r="U4" s="68">
        <v>43</v>
      </c>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68"/>
      <c r="BK4" s="68"/>
      <c r="BL4" s="68"/>
      <c r="BM4" s="68"/>
      <c r="BN4" s="68"/>
      <c r="BO4" s="68"/>
      <c r="BP4" s="68"/>
      <c r="BQ4" s="68"/>
      <c r="BR4" s="68"/>
      <c r="BS4" s="68"/>
      <c r="BT4" s="68"/>
      <c r="BU4" s="68"/>
      <c r="BV4" s="68"/>
      <c r="BW4" s="68"/>
    </row>
    <row r="5" spans="1:75" ht="12.5" x14ac:dyDescent="0.25">
      <c r="A5" s="269" t="s">
        <v>1543</v>
      </c>
      <c r="B5" s="269" t="s">
        <v>16</v>
      </c>
      <c r="C5" s="269" t="s">
        <v>1541</v>
      </c>
      <c r="D5" s="265">
        <v>1</v>
      </c>
      <c r="E5" s="265">
        <v>10</v>
      </c>
      <c r="F5" s="68">
        <v>0</v>
      </c>
      <c r="G5" s="68">
        <v>1</v>
      </c>
      <c r="H5" s="68">
        <v>2</v>
      </c>
      <c r="I5" s="68">
        <v>20</v>
      </c>
      <c r="J5" s="68"/>
      <c r="K5" s="68"/>
      <c r="L5" s="68">
        <v>2</v>
      </c>
      <c r="M5" s="68" t="s">
        <v>25</v>
      </c>
      <c r="N5" s="68"/>
      <c r="O5" s="68"/>
      <c r="P5" s="68">
        <v>2</v>
      </c>
      <c r="Q5" s="68" t="s">
        <v>23</v>
      </c>
      <c r="R5" s="68"/>
      <c r="S5" s="68" t="s">
        <v>1544</v>
      </c>
      <c r="T5" s="68" t="s">
        <v>1545</v>
      </c>
      <c r="U5" s="68">
        <v>43</v>
      </c>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68"/>
      <c r="BK5" s="68"/>
      <c r="BL5" s="68"/>
      <c r="BM5" s="68"/>
      <c r="BN5" s="68"/>
      <c r="BO5" s="68"/>
      <c r="BP5" s="68"/>
      <c r="BQ5" s="68"/>
      <c r="BR5" s="68"/>
      <c r="BS5" s="68"/>
      <c r="BT5" s="68"/>
      <c r="BU5" s="68"/>
      <c r="BV5" s="68"/>
      <c r="BW5" s="68"/>
    </row>
    <row r="6" spans="1:75" ht="12.5" x14ac:dyDescent="0.25">
      <c r="A6" s="269" t="s">
        <v>1546</v>
      </c>
      <c r="B6" s="269" t="s">
        <v>37</v>
      </c>
      <c r="C6" s="269" t="s">
        <v>1541</v>
      </c>
      <c r="D6" s="265">
        <v>1</v>
      </c>
      <c r="E6" s="265">
        <v>11</v>
      </c>
      <c r="F6" s="68">
        <v>0</v>
      </c>
      <c r="G6" s="68">
        <v>1</v>
      </c>
      <c r="H6" s="68">
        <v>2</v>
      </c>
      <c r="I6" s="68">
        <v>22</v>
      </c>
      <c r="J6" s="68"/>
      <c r="K6" s="68"/>
      <c r="L6" s="68"/>
      <c r="M6" s="68"/>
      <c r="N6" s="68"/>
      <c r="O6" s="68"/>
      <c r="P6" s="68">
        <v>3</v>
      </c>
      <c r="Q6" s="68" t="s">
        <v>25</v>
      </c>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row>
    <row r="7" spans="1:75" ht="12.5" x14ac:dyDescent="0.25">
      <c r="A7" s="269" t="s">
        <v>1547</v>
      </c>
      <c r="B7" s="269" t="s">
        <v>42</v>
      </c>
      <c r="C7" s="269" t="s">
        <v>1541</v>
      </c>
      <c r="D7" s="265">
        <v>1</v>
      </c>
      <c r="E7" s="265">
        <v>8</v>
      </c>
      <c r="F7" s="68">
        <v>1</v>
      </c>
      <c r="G7" s="68">
        <v>2</v>
      </c>
      <c r="H7" s="68">
        <v>3</v>
      </c>
      <c r="I7" s="68">
        <v>24</v>
      </c>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68"/>
      <c r="BK7" s="68"/>
      <c r="BL7" s="68"/>
      <c r="BM7" s="68"/>
      <c r="BN7" s="68"/>
      <c r="BO7" s="68"/>
      <c r="BP7" s="68"/>
      <c r="BQ7" s="68"/>
      <c r="BR7" s="68"/>
      <c r="BS7" s="68"/>
      <c r="BT7" s="68"/>
      <c r="BU7" s="68"/>
      <c r="BV7" s="68"/>
      <c r="BW7" s="68"/>
    </row>
    <row r="8" spans="1:75" ht="12.5" x14ac:dyDescent="0.25">
      <c r="A8" s="269" t="s">
        <v>1548</v>
      </c>
      <c r="B8" s="269" t="s">
        <v>43</v>
      </c>
      <c r="C8" s="269" t="s">
        <v>1541</v>
      </c>
      <c r="D8" s="265">
        <v>1</v>
      </c>
      <c r="E8" s="265">
        <v>8</v>
      </c>
      <c r="F8" s="68">
        <v>1</v>
      </c>
      <c r="G8" s="68">
        <v>2</v>
      </c>
      <c r="H8" s="68">
        <v>3</v>
      </c>
      <c r="I8" s="68">
        <v>24</v>
      </c>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68"/>
      <c r="BK8" s="68"/>
      <c r="BL8" s="68"/>
      <c r="BM8" s="68"/>
      <c r="BN8" s="68"/>
      <c r="BO8" s="68"/>
      <c r="BP8" s="68"/>
      <c r="BQ8" s="68"/>
      <c r="BR8" s="68"/>
      <c r="BS8" s="68"/>
      <c r="BT8" s="68"/>
      <c r="BU8" s="68"/>
      <c r="BV8" s="68"/>
      <c r="BW8" s="68"/>
    </row>
    <row r="9" spans="1:75" ht="12.5" x14ac:dyDescent="0.25">
      <c r="A9" s="70"/>
      <c r="B9" s="70" t="s">
        <v>297</v>
      </c>
      <c r="C9" s="70"/>
      <c r="D9" s="68"/>
      <c r="E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row>
    <row r="10" spans="1:75" ht="12.5" x14ac:dyDescent="0.25">
      <c r="A10" s="269"/>
      <c r="B10" s="269"/>
      <c r="C10" s="269"/>
      <c r="D10" s="265"/>
      <c r="E10" s="265"/>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68"/>
      <c r="BK10" s="68"/>
      <c r="BL10" s="68"/>
      <c r="BM10" s="68"/>
      <c r="BN10" s="68"/>
      <c r="BO10" s="68"/>
      <c r="BP10" s="68"/>
      <c r="BQ10" s="68"/>
      <c r="BR10" s="68"/>
      <c r="BS10" s="68"/>
      <c r="BT10" s="68"/>
      <c r="BU10" s="68"/>
      <c r="BV10" s="68"/>
      <c r="BW10" s="68"/>
    </row>
    <row r="11" spans="1:75" ht="12.5" x14ac:dyDescent="0.25">
      <c r="A11" s="269"/>
      <c r="B11" s="269"/>
      <c r="C11" s="269"/>
      <c r="D11" s="265"/>
      <c r="E11" s="265"/>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row>
    <row r="12" spans="1:75" ht="12.5" x14ac:dyDescent="0.25">
      <c r="A12" s="269"/>
      <c r="B12" s="269"/>
      <c r="C12" s="269"/>
      <c r="D12" s="265"/>
      <c r="E12" s="265"/>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row>
    <row r="13" spans="1:75" ht="12.5" x14ac:dyDescent="0.25">
      <c r="A13" s="269"/>
      <c r="B13" s="269"/>
      <c r="C13" s="269"/>
      <c r="D13" s="265"/>
      <c r="E13" s="265"/>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row>
    <row r="14" spans="1:75" ht="12.5" x14ac:dyDescent="0.25">
      <c r="A14" s="269"/>
      <c r="B14" s="269"/>
      <c r="C14" s="269"/>
      <c r="D14" s="265"/>
      <c r="E14" s="265"/>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row>
    <row r="15" spans="1:75" ht="12.5" x14ac:dyDescent="0.25">
      <c r="A15" s="269"/>
      <c r="B15" s="269"/>
      <c r="C15" s="269"/>
      <c r="D15" s="265"/>
      <c r="E15" s="265"/>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row>
    <row r="16" spans="1:75" ht="12.5" x14ac:dyDescent="0.25">
      <c r="A16" s="70"/>
      <c r="B16" s="70"/>
      <c r="C16" s="70"/>
      <c r="D16" s="68"/>
      <c r="E16" s="68"/>
    </row>
    <row r="17" spans="1:50" ht="12.5" x14ac:dyDescent="0.25">
      <c r="A17" s="269"/>
      <c r="B17" s="269"/>
      <c r="C17" s="70"/>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row>
    <row r="18" spans="1:50" ht="12.5" x14ac:dyDescent="0.25">
      <c r="A18" s="269"/>
      <c r="B18" s="269"/>
      <c r="C18" s="70"/>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row>
    <row r="19" spans="1:50" ht="12.5" x14ac:dyDescent="0.25">
      <c r="A19" s="269"/>
      <c r="B19" s="269"/>
      <c r="C19" s="70"/>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row>
    <row r="20" spans="1:50" ht="12.5" x14ac:dyDescent="0.25">
      <c r="A20" s="269"/>
      <c r="B20" s="269"/>
      <c r="C20" s="70"/>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row>
    <row r="21" spans="1:50" ht="12.5" x14ac:dyDescent="0.25">
      <c r="A21" s="269"/>
      <c r="B21" s="269"/>
      <c r="C21" s="70"/>
      <c r="D21" s="68"/>
      <c r="E21" s="68"/>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row>
    <row r="22" spans="1:50" ht="12.5" x14ac:dyDescent="0.25">
      <c r="A22" s="269"/>
      <c r="B22" s="269"/>
      <c r="C22" s="70"/>
      <c r="D22" s="68"/>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row>
    <row r="23" spans="1:50" ht="12.5" x14ac:dyDescent="0.25">
      <c r="A23" s="269"/>
      <c r="B23" s="269"/>
      <c r="C23" s="70"/>
      <c r="D23" s="68"/>
      <c r="E23" s="68"/>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row>
    <row r="24" spans="1:50" ht="12.5" x14ac:dyDescent="0.25">
      <c r="A24" s="269"/>
      <c r="B24" s="269"/>
      <c r="C24" s="70"/>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row>
    <row r="25" spans="1:50" ht="12.5" x14ac:dyDescent="0.25">
      <c r="A25" s="269"/>
      <c r="B25" s="269"/>
      <c r="C25" s="70"/>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row>
    <row r="26" spans="1:50" ht="12.5" x14ac:dyDescent="0.25">
      <c r="A26" s="269"/>
      <c r="B26" s="269"/>
      <c r="C26" s="70"/>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row>
    <row r="27" spans="1:50" ht="12.5" x14ac:dyDescent="0.25">
      <c r="A27" s="269"/>
      <c r="B27" s="269"/>
      <c r="C27" s="70"/>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row>
    <row r="28" spans="1:50" ht="12.5" x14ac:dyDescent="0.25">
      <c r="A28" s="269"/>
      <c r="B28" s="269"/>
      <c r="C28" s="70"/>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row>
    <row r="29" spans="1:50" ht="12.5" x14ac:dyDescent="0.25">
      <c r="A29" s="269"/>
      <c r="B29" s="269"/>
      <c r="C29" s="70"/>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row>
    <row r="30" spans="1:50" ht="12.5" x14ac:dyDescent="0.25">
      <c r="A30" s="269"/>
      <c r="B30" s="70"/>
      <c r="C30" s="70"/>
      <c r="D30" s="68"/>
      <c r="E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row>
    <row r="31" spans="1:50" ht="12.5" x14ac:dyDescent="0.25">
      <c r="A31" s="70"/>
      <c r="B31" s="70"/>
      <c r="C31" s="70"/>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row>
    <row r="35" spans="1:45" ht="12.5" x14ac:dyDescent="0.25">
      <c r="A35" s="269"/>
      <c r="B35" s="70"/>
      <c r="D35" s="68"/>
      <c r="E35" s="68"/>
    </row>
    <row r="36" spans="1:45" ht="12.5" x14ac:dyDescent="0.25">
      <c r="A36" s="269"/>
      <c r="B36" s="70"/>
      <c r="D36" s="68"/>
      <c r="E36" s="68"/>
    </row>
    <row r="37" spans="1:45" ht="14" x14ac:dyDescent="0.3">
      <c r="A37" s="269"/>
      <c r="B37" s="70"/>
      <c r="D37" s="68"/>
      <c r="E37" s="68"/>
      <c r="F37" s="248"/>
      <c r="G37" s="248"/>
      <c r="H37" s="248"/>
      <c r="I37" s="248"/>
      <c r="J37" s="248"/>
      <c r="K37" s="248"/>
      <c r="L37" s="248"/>
      <c r="M37" s="248"/>
      <c r="N37" s="248"/>
      <c r="O37" s="248"/>
      <c r="P37" s="248"/>
      <c r="Q37" s="248"/>
      <c r="R37" s="248"/>
      <c r="S37" s="248"/>
      <c r="T37" s="248"/>
      <c r="U37" s="248"/>
      <c r="V37" s="248"/>
      <c r="W37" s="248"/>
      <c r="X37" s="248"/>
      <c r="Y37" s="248"/>
      <c r="Z37" s="248"/>
      <c r="AA37" s="270"/>
      <c r="AB37" s="270"/>
      <c r="AC37" s="270"/>
      <c r="AD37" s="270"/>
      <c r="AE37" s="270"/>
      <c r="AF37" s="270"/>
      <c r="AG37" s="270"/>
      <c r="AH37" s="270"/>
      <c r="AI37" s="270"/>
      <c r="AJ37" s="270"/>
      <c r="AK37" s="270"/>
      <c r="AL37" s="270"/>
      <c r="AM37" s="270"/>
      <c r="AN37" s="270"/>
      <c r="AO37" s="270"/>
      <c r="AP37" s="270"/>
      <c r="AQ37" s="270"/>
      <c r="AR37" s="270"/>
      <c r="AS37" s="270"/>
    </row>
    <row r="38" spans="1:45" ht="12.5" x14ac:dyDescent="0.25">
      <c r="A38" s="269"/>
      <c r="B38" s="70"/>
      <c r="C38" s="70"/>
      <c r="D38" s="68"/>
      <c r="E38" s="68"/>
    </row>
    <row r="39" spans="1:45" ht="12.5" x14ac:dyDescent="0.25">
      <c r="A39" s="70"/>
      <c r="B39" s="70"/>
      <c r="C39" s="70"/>
      <c r="D39" s="68"/>
      <c r="E39" s="68"/>
    </row>
    <row r="40" spans="1:45" ht="12.5" x14ac:dyDescent="0.25">
      <c r="A40" s="70"/>
      <c r="B40" s="70"/>
      <c r="C40" s="70"/>
      <c r="D40" s="68"/>
      <c r="E40" s="68"/>
    </row>
    <row r="41" spans="1:45" ht="12.5" x14ac:dyDescent="0.25">
      <c r="A41" s="70"/>
      <c r="B41" s="70"/>
      <c r="C41" s="70"/>
      <c r="D41" s="68"/>
      <c r="E41" s="68"/>
    </row>
    <row r="42" spans="1:45" ht="12.5" x14ac:dyDescent="0.25">
      <c r="A42" s="269"/>
      <c r="B42" s="70"/>
      <c r="D42" s="68"/>
      <c r="E42" s="68"/>
    </row>
    <row r="43" spans="1:45" ht="12.5" x14ac:dyDescent="0.25">
      <c r="A43" s="269"/>
      <c r="B43" s="70"/>
      <c r="D43" s="68"/>
      <c r="E43" s="68"/>
    </row>
    <row r="44" spans="1:45" ht="12.5" x14ac:dyDescent="0.25">
      <c r="A44" s="269"/>
      <c r="B44" s="70"/>
      <c r="D44" s="68"/>
      <c r="E44" s="68"/>
    </row>
    <row r="45" spans="1:45" ht="12.5" x14ac:dyDescent="0.25">
      <c r="A45" s="269"/>
      <c r="B45" s="70"/>
      <c r="D45" s="68"/>
      <c r="E45" s="68"/>
    </row>
    <row r="46" spans="1:45" ht="12.5" x14ac:dyDescent="0.25">
      <c r="A46" s="70"/>
      <c r="B46" s="70"/>
    </row>
    <row r="47" spans="1:45" ht="12.5" x14ac:dyDescent="0.25">
      <c r="A47" s="70"/>
      <c r="B47" s="70"/>
    </row>
    <row r="48" spans="1:45" ht="12.5" x14ac:dyDescent="0.25">
      <c r="A48" s="70"/>
      <c r="B48" s="70"/>
    </row>
    <row r="49" spans="1:5" ht="12.5" x14ac:dyDescent="0.25">
      <c r="A49" s="269"/>
      <c r="B49" s="269"/>
    </row>
    <row r="50" spans="1:5" ht="12.5" x14ac:dyDescent="0.25">
      <c r="A50" s="269"/>
      <c r="B50" s="269"/>
      <c r="D50" s="68"/>
      <c r="E50" s="68"/>
    </row>
    <row r="51" spans="1:5" ht="12.5" x14ac:dyDescent="0.25">
      <c r="A51" s="269"/>
      <c r="B51" s="269"/>
      <c r="D51" s="68"/>
      <c r="E51" s="68"/>
    </row>
    <row r="52" spans="1:5" ht="12.5" x14ac:dyDescent="0.25">
      <c r="A52" s="269"/>
      <c r="B52" s="269"/>
      <c r="D52" s="68"/>
      <c r="E52" s="68"/>
    </row>
    <row r="53" spans="1:5" ht="12.5" x14ac:dyDescent="0.25">
      <c r="A53" s="70"/>
      <c r="B53" s="70"/>
    </row>
    <row r="54" spans="1:5" ht="12.5" x14ac:dyDescent="0.25">
      <c r="A54" s="70"/>
      <c r="B54" s="70"/>
    </row>
    <row r="55" spans="1:5" ht="12.5" x14ac:dyDescent="0.25">
      <c r="A55" s="70"/>
      <c r="B55" s="70"/>
    </row>
    <row r="56" spans="1:5" ht="12.5" x14ac:dyDescent="0.25">
      <c r="A56" s="70"/>
      <c r="B56" s="70"/>
    </row>
    <row r="57" spans="1:5" ht="12.5" x14ac:dyDescent="0.25">
      <c r="A57" s="70"/>
      <c r="B57" s="70"/>
      <c r="C57" s="70"/>
      <c r="D57" s="68"/>
      <c r="E57" s="68"/>
    </row>
    <row r="58" spans="1:5" ht="12.5" x14ac:dyDescent="0.25">
      <c r="A58" s="70"/>
      <c r="B58" s="70"/>
    </row>
    <row r="59" spans="1:5" ht="12.5" x14ac:dyDescent="0.25">
      <c r="A59" s="70"/>
      <c r="B59" s="70"/>
      <c r="C59" s="70"/>
      <c r="D59" s="68"/>
      <c r="E59" s="68"/>
    </row>
    <row r="60" spans="1:5" ht="12.5" x14ac:dyDescent="0.25">
      <c r="A60" s="70"/>
      <c r="B60" s="70"/>
      <c r="C60" s="70"/>
      <c r="D60" s="68"/>
      <c r="E60" s="68"/>
    </row>
    <row r="61" spans="1:5" ht="12.5" x14ac:dyDescent="0.25">
      <c r="A61" s="70"/>
      <c r="B61" s="70"/>
      <c r="C61" s="70"/>
      <c r="D61" s="68"/>
      <c r="E61" s="68"/>
    </row>
    <row r="62" spans="1:5" ht="12.5" x14ac:dyDescent="0.25">
      <c r="A62" s="70"/>
      <c r="B62" s="70"/>
      <c r="C62" s="70"/>
      <c r="D62" s="68"/>
      <c r="E62" s="68"/>
    </row>
    <row r="63" spans="1:5" ht="12.5" x14ac:dyDescent="0.25">
      <c r="A63" s="70"/>
      <c r="B63" s="70"/>
      <c r="C63" s="70"/>
      <c r="D63" s="68"/>
      <c r="E63" s="68"/>
    </row>
    <row r="64" spans="1:5" ht="12.5" x14ac:dyDescent="0.25">
      <c r="A64" s="70"/>
      <c r="B64" s="70"/>
      <c r="C64" s="70"/>
      <c r="D64" s="68"/>
      <c r="E64" s="68"/>
    </row>
    <row r="65" spans="1:5" ht="12.5" x14ac:dyDescent="0.25">
      <c r="A65" s="70"/>
      <c r="B65" s="70"/>
      <c r="C65" s="70"/>
      <c r="D65" s="68"/>
      <c r="E65" s="68"/>
    </row>
    <row r="66" spans="1:5" ht="12.5" x14ac:dyDescent="0.25">
      <c r="A66" s="70"/>
      <c r="B66" s="70"/>
      <c r="C66" s="70"/>
      <c r="D66" s="68"/>
      <c r="E66" s="68"/>
    </row>
    <row r="67" spans="1:5" ht="12.5" x14ac:dyDescent="0.25">
      <c r="A67" s="70"/>
      <c r="B67" s="70"/>
      <c r="C67" s="70"/>
      <c r="D67" s="68"/>
      <c r="E67" s="68"/>
    </row>
    <row r="68" spans="1:5" ht="12.5" x14ac:dyDescent="0.25">
      <c r="A68" s="70"/>
      <c r="B68" s="70"/>
      <c r="C68" s="70"/>
      <c r="D68" s="68"/>
      <c r="E68" s="68"/>
    </row>
    <row r="69" spans="1:5" ht="12.5" x14ac:dyDescent="0.25">
      <c r="A69" s="70"/>
      <c r="B69" s="70"/>
      <c r="C69" s="70"/>
      <c r="D69" s="68"/>
      <c r="E69" s="68"/>
    </row>
    <row r="70" spans="1:5" ht="12.5" x14ac:dyDescent="0.25">
      <c r="A70" s="70"/>
      <c r="B70" s="70"/>
      <c r="C70" s="70"/>
      <c r="D70" s="68"/>
      <c r="E70" s="68"/>
    </row>
    <row r="71" spans="1:5" ht="12.5" x14ac:dyDescent="0.25">
      <c r="A71" s="70"/>
      <c r="B71" s="70"/>
      <c r="C71" s="70"/>
      <c r="D71" s="68"/>
      <c r="E71" s="68"/>
    </row>
    <row r="72" spans="1:5" ht="12.5" x14ac:dyDescent="0.25">
      <c r="A72" s="70"/>
      <c r="B72" s="70"/>
      <c r="C72" s="70"/>
      <c r="D72" s="68"/>
      <c r="E72" s="68"/>
    </row>
    <row r="73" spans="1:5" ht="12.5" x14ac:dyDescent="0.25">
      <c r="A73" s="70"/>
      <c r="B73" s="70"/>
      <c r="C73" s="70"/>
      <c r="D73" s="68"/>
      <c r="E73" s="68"/>
    </row>
    <row r="74" spans="1:5" ht="12.5" x14ac:dyDescent="0.25">
      <c r="A74" s="70"/>
      <c r="B74" s="70"/>
      <c r="C74" s="70"/>
      <c r="D74" s="68"/>
      <c r="E74" s="68"/>
    </row>
    <row r="75" spans="1:5" ht="12.5" x14ac:dyDescent="0.25">
      <c r="A75" s="70"/>
      <c r="B75" s="70"/>
      <c r="C75" s="70"/>
      <c r="D75" s="68"/>
      <c r="E75" s="68"/>
    </row>
    <row r="76" spans="1:5" ht="12.5" x14ac:dyDescent="0.25">
      <c r="A76" s="70"/>
      <c r="B76" s="70"/>
      <c r="C76" s="70"/>
      <c r="D76" s="68"/>
      <c r="E76" s="68"/>
    </row>
    <row r="77" spans="1:5" ht="12.5" x14ac:dyDescent="0.25">
      <c r="A77" s="70"/>
      <c r="B77" s="70"/>
      <c r="C77" s="70"/>
      <c r="D77" s="68"/>
      <c r="E77" s="68"/>
    </row>
    <row r="78" spans="1:5" ht="12.5" x14ac:dyDescent="0.25">
      <c r="A78" s="70"/>
      <c r="B78" s="70"/>
      <c r="C78" s="70"/>
      <c r="D78" s="68"/>
      <c r="E78" s="68"/>
    </row>
    <row r="79" spans="1:5" ht="12.5" x14ac:dyDescent="0.25">
      <c r="A79" s="70"/>
      <c r="B79" s="70"/>
      <c r="C79" s="70"/>
      <c r="D79" s="68"/>
      <c r="E79" s="68"/>
    </row>
    <row r="80" spans="1:5" ht="12.5" x14ac:dyDescent="0.25">
      <c r="A80" s="70"/>
      <c r="B80" s="70"/>
      <c r="C80" s="70"/>
      <c r="D80" s="68"/>
      <c r="E80" s="68"/>
    </row>
    <row r="81" spans="1:5" ht="12.5" x14ac:dyDescent="0.25">
      <c r="A81" s="70"/>
      <c r="B81" s="70"/>
      <c r="C81" s="70"/>
      <c r="D81" s="68"/>
      <c r="E81" s="68"/>
    </row>
    <row r="82" spans="1:5" ht="12.5" x14ac:dyDescent="0.25">
      <c r="A82" s="70"/>
      <c r="B82" s="70"/>
      <c r="C82" s="70"/>
      <c r="D82" s="68"/>
      <c r="E82" s="68"/>
    </row>
    <row r="83" spans="1:5" ht="12.5" x14ac:dyDescent="0.25">
      <c r="A83" s="70"/>
      <c r="B83" s="70"/>
      <c r="C83" s="70"/>
      <c r="D83" s="68"/>
      <c r="E83" s="68"/>
    </row>
    <row r="84" spans="1:5" ht="12.5" x14ac:dyDescent="0.25">
      <c r="A84" s="70"/>
      <c r="B84" s="70"/>
      <c r="C84" s="70"/>
      <c r="D84" s="68"/>
      <c r="E84" s="68"/>
    </row>
    <row r="85" spans="1:5" ht="12.5" x14ac:dyDescent="0.25">
      <c r="A85" s="70"/>
      <c r="B85" s="70"/>
      <c r="C85" s="70"/>
      <c r="D85" s="68"/>
      <c r="E85" s="68"/>
    </row>
    <row r="86" spans="1:5" ht="12.5" x14ac:dyDescent="0.25">
      <c r="A86" s="70"/>
      <c r="B86" s="70"/>
      <c r="C86" s="70"/>
      <c r="D86" s="68"/>
      <c r="E86" s="68"/>
    </row>
    <row r="87" spans="1:5" ht="12.5" x14ac:dyDescent="0.25">
      <c r="A87" s="70"/>
      <c r="B87" s="70"/>
      <c r="C87" s="70"/>
      <c r="D87" s="68"/>
      <c r="E87" s="68"/>
    </row>
    <row r="88" spans="1:5" ht="12.5" x14ac:dyDescent="0.25">
      <c r="A88" s="70"/>
      <c r="B88" s="70"/>
      <c r="C88" s="70"/>
      <c r="D88" s="68"/>
      <c r="E88" s="68"/>
    </row>
    <row r="89" spans="1:5" ht="12.5" x14ac:dyDescent="0.25">
      <c r="A89" s="70"/>
      <c r="B89" s="70"/>
      <c r="C89" s="70"/>
      <c r="D89" s="68"/>
      <c r="E89" s="68"/>
    </row>
    <row r="90" spans="1:5" ht="12.5" x14ac:dyDescent="0.25">
      <c r="A90" s="70"/>
      <c r="B90" s="70"/>
      <c r="C90" s="70"/>
      <c r="D90" s="68"/>
      <c r="E90" s="68"/>
    </row>
    <row r="91" spans="1:5" ht="12.5" x14ac:dyDescent="0.25">
      <c r="A91" s="70"/>
      <c r="B91" s="70"/>
      <c r="C91" s="70"/>
      <c r="D91" s="68"/>
      <c r="E91" s="68"/>
    </row>
    <row r="92" spans="1:5" ht="12.5" x14ac:dyDescent="0.25">
      <c r="A92" s="70"/>
      <c r="B92" s="70"/>
      <c r="C92" s="70"/>
      <c r="D92" s="68"/>
      <c r="E92" s="68"/>
    </row>
    <row r="93" spans="1:5" ht="12.5" x14ac:dyDescent="0.25">
      <c r="A93" s="70"/>
      <c r="B93" s="70"/>
      <c r="C93" s="70"/>
      <c r="D93" s="68"/>
      <c r="E93" s="68"/>
    </row>
    <row r="94" spans="1:5" ht="12.5" x14ac:dyDescent="0.25">
      <c r="A94" s="70"/>
      <c r="B94" s="70"/>
      <c r="C94" s="70"/>
      <c r="D94" s="68"/>
      <c r="E94" s="68"/>
    </row>
    <row r="95" spans="1:5" ht="12.5" x14ac:dyDescent="0.25">
      <c r="A95" s="70"/>
      <c r="B95" s="70"/>
      <c r="C95" s="70"/>
      <c r="D95" s="68"/>
      <c r="E95" s="68"/>
    </row>
    <row r="96" spans="1:5" ht="12.5" x14ac:dyDescent="0.25">
      <c r="A96" s="70"/>
      <c r="B96" s="70"/>
      <c r="C96" s="70"/>
      <c r="D96" s="68"/>
      <c r="E96" s="68"/>
    </row>
    <row r="97" spans="1:5" ht="12.5" x14ac:dyDescent="0.25">
      <c r="A97" s="70"/>
      <c r="B97" s="70"/>
      <c r="C97" s="70"/>
      <c r="D97" s="68"/>
      <c r="E97" s="68"/>
    </row>
    <row r="98" spans="1:5" ht="12.5" x14ac:dyDescent="0.25">
      <c r="A98" s="70"/>
      <c r="B98" s="70"/>
      <c r="C98" s="70"/>
      <c r="D98" s="68"/>
      <c r="E98" s="68"/>
    </row>
    <row r="99" spans="1:5" ht="12.5" x14ac:dyDescent="0.25">
      <c r="A99" s="70"/>
      <c r="B99" s="70"/>
      <c r="C99" s="70"/>
      <c r="D99" s="68"/>
      <c r="E99" s="68"/>
    </row>
    <row r="100" spans="1:5" ht="12.5" x14ac:dyDescent="0.25">
      <c r="A100" s="70"/>
      <c r="B100" s="70"/>
      <c r="C100" s="70"/>
      <c r="D100" s="68"/>
      <c r="E100" s="68"/>
    </row>
    <row r="101" spans="1:5" ht="12.5" x14ac:dyDescent="0.25">
      <c r="A101" s="70"/>
      <c r="B101" s="70"/>
      <c r="C101" s="70"/>
      <c r="D101" s="68"/>
      <c r="E101" s="68"/>
    </row>
    <row r="102" spans="1:5" ht="12.5" x14ac:dyDescent="0.25">
      <c r="A102" s="70"/>
      <c r="B102" s="70"/>
      <c r="C102" s="70"/>
      <c r="D102" s="68"/>
      <c r="E102" s="68"/>
    </row>
  </sheetData>
  <mergeCells count="1">
    <mergeCell ref="Z1:AX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48135"/>
  </sheetPr>
  <dimension ref="A1:BF423"/>
  <sheetViews>
    <sheetView showGridLines="0" workbookViewId="0">
      <pane ySplit="2" topLeftCell="A3" activePane="bottomLeft" state="frozen"/>
      <selection pane="bottomLeft" activeCell="B4" sqref="B4"/>
    </sheetView>
  </sheetViews>
  <sheetFormatPr baseColWidth="10" defaultColWidth="12.6328125" defaultRowHeight="15.75" customHeight="1" x14ac:dyDescent="0.25"/>
  <cols>
    <col min="1" max="2" width="10.6328125" customWidth="1"/>
    <col min="3" max="3" width="5.08984375" customWidth="1"/>
    <col min="4" max="4" width="13.26953125" customWidth="1"/>
    <col min="5" max="5" width="10.90625" customWidth="1"/>
    <col min="6" max="6" width="12.36328125" customWidth="1"/>
    <col min="7" max="7" width="10.08984375" customWidth="1"/>
    <col min="8" max="8" width="19.7265625" customWidth="1"/>
    <col min="9" max="9" width="20.08984375" customWidth="1"/>
    <col min="10" max="10" width="19.6328125" customWidth="1"/>
    <col min="11" max="11" width="14.36328125" customWidth="1"/>
    <col min="12" max="12" width="2.7265625" customWidth="1"/>
    <col min="13" max="33" width="3" customWidth="1"/>
    <col min="34" max="34" width="7" customWidth="1"/>
    <col min="35" max="35" width="3.7265625" customWidth="1"/>
    <col min="36" max="56" width="3" customWidth="1"/>
    <col min="57" max="57" width="7" customWidth="1"/>
    <col min="58" max="58" width="3.7265625" customWidth="1"/>
  </cols>
  <sheetData>
    <row r="1" spans="1:58" ht="15.5" x14ac:dyDescent="0.35">
      <c r="A1" s="271" t="s">
        <v>1549</v>
      </c>
      <c r="B1" s="271"/>
      <c r="C1" s="271"/>
      <c r="D1" s="271"/>
      <c r="E1" s="271"/>
      <c r="F1" s="271"/>
      <c r="G1" s="271"/>
      <c r="H1" s="271"/>
      <c r="I1" s="271"/>
      <c r="J1" s="271"/>
      <c r="K1" s="271"/>
      <c r="L1" s="272"/>
      <c r="M1" s="273" t="s">
        <v>1550</v>
      </c>
      <c r="N1" s="274"/>
      <c r="O1" s="274"/>
      <c r="P1" s="274"/>
      <c r="Q1" s="274"/>
      <c r="R1" s="274"/>
      <c r="S1" s="274"/>
      <c r="T1" s="274"/>
      <c r="U1" s="274"/>
      <c r="V1" s="274"/>
      <c r="W1" s="274"/>
      <c r="X1" s="274"/>
      <c r="Y1" s="274"/>
      <c r="Z1" s="274"/>
      <c r="AA1" s="274"/>
      <c r="AB1" s="274"/>
      <c r="AC1" s="274"/>
      <c r="AD1" s="274"/>
      <c r="AE1" s="274"/>
      <c r="AF1" s="274"/>
      <c r="AG1" s="275">
        <f>COUNTIF(AG3:AG152,"&lt;&gt;"&amp;0)</f>
        <v>143</v>
      </c>
      <c r="AH1" s="276" t="s">
        <v>1551</v>
      </c>
      <c r="AI1" s="277"/>
      <c r="AJ1" s="278" t="s">
        <v>1552</v>
      </c>
      <c r="AK1" s="279"/>
      <c r="AL1" s="279"/>
      <c r="AM1" s="279"/>
      <c r="AN1" s="279"/>
      <c r="AO1" s="279"/>
      <c r="AP1" s="279"/>
      <c r="AQ1" s="279"/>
      <c r="AR1" s="279"/>
      <c r="AS1" s="279"/>
      <c r="AT1" s="279"/>
      <c r="AU1" s="279"/>
      <c r="AV1" s="279"/>
      <c r="AW1" s="279"/>
      <c r="AX1" s="279"/>
      <c r="AY1" s="279"/>
      <c r="AZ1" s="279"/>
      <c r="BA1" s="279"/>
      <c r="BB1" s="279"/>
      <c r="BC1" s="279"/>
      <c r="BD1" s="280">
        <f>COUNTIF(BD3:BD152,"&lt;&gt;"&amp;0)</f>
        <v>0</v>
      </c>
      <c r="BE1" s="276" t="s">
        <v>1551</v>
      </c>
      <c r="BF1" s="277"/>
    </row>
    <row r="2" spans="1:58" ht="14.25" customHeight="1" x14ac:dyDescent="0.35">
      <c r="A2" s="68" t="s">
        <v>1553</v>
      </c>
      <c r="B2" s="24" t="s">
        <v>292</v>
      </c>
      <c r="C2" s="24" t="s">
        <v>8</v>
      </c>
      <c r="D2" s="24" t="s">
        <v>1554</v>
      </c>
      <c r="E2" s="24" t="s">
        <v>1555</v>
      </c>
      <c r="F2" s="24" t="s">
        <v>1556</v>
      </c>
      <c r="G2" s="281" t="s">
        <v>293</v>
      </c>
      <c r="H2" s="281" t="s">
        <v>1557</v>
      </c>
      <c r="I2" s="281" t="s">
        <v>1558</v>
      </c>
      <c r="J2" s="281" t="s">
        <v>1559</v>
      </c>
      <c r="K2" s="281"/>
      <c r="M2" s="282" t="s">
        <v>1560</v>
      </c>
      <c r="N2" s="282" t="s">
        <v>1561</v>
      </c>
      <c r="O2" s="282" t="s">
        <v>1562</v>
      </c>
      <c r="P2" s="282" t="s">
        <v>1563</v>
      </c>
      <c r="Q2" s="282" t="s">
        <v>1564</v>
      </c>
      <c r="R2" s="282" t="s">
        <v>1565</v>
      </c>
      <c r="S2" s="282" t="s">
        <v>1566</v>
      </c>
      <c r="T2" s="282" t="s">
        <v>1567</v>
      </c>
      <c r="U2" s="282" t="s">
        <v>1568</v>
      </c>
      <c r="V2" s="282" t="s">
        <v>1569</v>
      </c>
      <c r="W2" s="282" t="s">
        <v>1570</v>
      </c>
      <c r="X2" s="282" t="s">
        <v>1571</v>
      </c>
      <c r="Y2" s="282" t="s">
        <v>1572</v>
      </c>
      <c r="Z2" s="282" t="s">
        <v>1573</v>
      </c>
      <c r="AA2" s="282" t="s">
        <v>1574</v>
      </c>
      <c r="AB2" s="282" t="s">
        <v>1575</v>
      </c>
      <c r="AC2" s="282" t="s">
        <v>1576</v>
      </c>
      <c r="AD2" s="282" t="s">
        <v>1577</v>
      </c>
      <c r="AE2" s="282" t="s">
        <v>1578</v>
      </c>
      <c r="AF2" s="282" t="s">
        <v>1579</v>
      </c>
      <c r="AG2" s="283" t="s">
        <v>1580</v>
      </c>
      <c r="AH2" s="284"/>
      <c r="AI2" s="285"/>
      <c r="AJ2" s="280" t="s">
        <v>1560</v>
      </c>
      <c r="AK2" s="280" t="s">
        <v>1561</v>
      </c>
      <c r="AL2" s="280" t="s">
        <v>1562</v>
      </c>
      <c r="AM2" s="280" t="s">
        <v>1563</v>
      </c>
      <c r="AN2" s="280" t="s">
        <v>1564</v>
      </c>
      <c r="AO2" s="280" t="s">
        <v>1565</v>
      </c>
      <c r="AP2" s="280" t="s">
        <v>1566</v>
      </c>
      <c r="AQ2" s="280" t="s">
        <v>1567</v>
      </c>
      <c r="AR2" s="280" t="s">
        <v>1568</v>
      </c>
      <c r="AS2" s="280" t="s">
        <v>1569</v>
      </c>
      <c r="AT2" s="280" t="s">
        <v>1570</v>
      </c>
      <c r="AU2" s="280" t="s">
        <v>1571</v>
      </c>
      <c r="AV2" s="280" t="s">
        <v>1572</v>
      </c>
      <c r="AW2" s="280" t="s">
        <v>1573</v>
      </c>
      <c r="AX2" s="280" t="s">
        <v>1574</v>
      </c>
      <c r="AY2" s="280" t="s">
        <v>1575</v>
      </c>
      <c r="AZ2" s="280" t="s">
        <v>1576</v>
      </c>
      <c r="BA2" s="280" t="s">
        <v>1577</v>
      </c>
      <c r="BB2" s="280" t="s">
        <v>1578</v>
      </c>
      <c r="BC2" s="280" t="s">
        <v>1579</v>
      </c>
      <c r="BD2" s="280" t="s">
        <v>1580</v>
      </c>
      <c r="BE2" s="284"/>
      <c r="BF2" s="285"/>
    </row>
    <row r="3" spans="1:58" ht="14.25" customHeight="1" x14ac:dyDescent="0.35">
      <c r="A3" s="68">
        <v>1</v>
      </c>
      <c r="B3" s="24" t="s">
        <v>1581</v>
      </c>
      <c r="C3" s="24">
        <v>2024</v>
      </c>
      <c r="D3" s="24" t="s">
        <v>1541</v>
      </c>
      <c r="E3" s="269" t="str">
        <f ca="1">IFERROR(__xludf.DUMMYFUNCTION("ARRAYFORMULA(JOIN("""", ARRAYFORMULA(MID(SPLIT(F3, "" ""), 1, 1))))
&amp;""/""&amp;G3"),"MC/2 Primaria")</f>
        <v>MC/2 Primaria</v>
      </c>
      <c r="F3" s="24" t="s">
        <v>1582</v>
      </c>
      <c r="G3" s="248" t="s">
        <v>45</v>
      </c>
      <c r="H3" s="248" t="s">
        <v>1583</v>
      </c>
      <c r="I3" s="248" t="s">
        <v>1584</v>
      </c>
      <c r="J3" s="248" t="s">
        <v>1585</v>
      </c>
      <c r="K3" s="248" t="s">
        <v>1586</v>
      </c>
      <c r="L3" s="272"/>
      <c r="M3" s="286" t="s">
        <v>1587</v>
      </c>
      <c r="N3" s="286" t="s">
        <v>1588</v>
      </c>
      <c r="O3" s="286" t="s">
        <v>1589</v>
      </c>
      <c r="P3" s="286" t="s">
        <v>1588</v>
      </c>
      <c r="Q3" s="286" t="s">
        <v>1588</v>
      </c>
      <c r="R3" s="286" t="s">
        <v>1588</v>
      </c>
      <c r="S3" s="286" t="s">
        <v>1587</v>
      </c>
      <c r="T3" s="286" t="s">
        <v>1589</v>
      </c>
      <c r="U3" s="286" t="s">
        <v>1587</v>
      </c>
      <c r="V3" s="286" t="s">
        <v>1588</v>
      </c>
      <c r="W3" s="286" t="s">
        <v>1587</v>
      </c>
      <c r="X3" s="286" t="s">
        <v>1588</v>
      </c>
      <c r="Y3" s="286" t="s">
        <v>1589</v>
      </c>
      <c r="Z3" s="286" t="s">
        <v>1589</v>
      </c>
      <c r="AA3" s="286" t="s">
        <v>1589</v>
      </c>
      <c r="AB3" s="286" t="s">
        <v>1589</v>
      </c>
      <c r="AC3" s="286" t="s">
        <v>1587</v>
      </c>
      <c r="AD3" s="286" t="s">
        <v>1588</v>
      </c>
      <c r="AE3" s="286" t="s">
        <v>1589</v>
      </c>
      <c r="AF3" s="286" t="s">
        <v>1589</v>
      </c>
      <c r="AG3" s="283">
        <v>14</v>
      </c>
      <c r="AH3" s="287" t="s">
        <v>23</v>
      </c>
      <c r="AI3" s="272"/>
      <c r="AJ3" s="288" t="s">
        <v>2032</v>
      </c>
      <c r="AK3" s="288" t="s">
        <v>2032</v>
      </c>
      <c r="AL3" s="288" t="s">
        <v>2032</v>
      </c>
      <c r="AM3" s="288" t="s">
        <v>2032</v>
      </c>
      <c r="AN3" s="288" t="s">
        <v>2032</v>
      </c>
      <c r="AO3" s="288" t="s">
        <v>2032</v>
      </c>
      <c r="AP3" s="288" t="s">
        <v>2032</v>
      </c>
      <c r="AQ3" s="288" t="s">
        <v>2032</v>
      </c>
      <c r="AR3" s="288" t="s">
        <v>2032</v>
      </c>
      <c r="AS3" s="288" t="s">
        <v>2032</v>
      </c>
      <c r="AT3" s="288" t="s">
        <v>2032</v>
      </c>
      <c r="AU3" s="288" t="s">
        <v>2032</v>
      </c>
      <c r="AV3" s="288" t="s">
        <v>2032</v>
      </c>
      <c r="AW3" s="288" t="s">
        <v>2032</v>
      </c>
      <c r="AX3" s="288" t="s">
        <v>2032</v>
      </c>
      <c r="AY3" s="288" t="s">
        <v>2032</v>
      </c>
      <c r="AZ3" s="288" t="s">
        <v>2032</v>
      </c>
      <c r="BA3" s="288" t="s">
        <v>2032</v>
      </c>
      <c r="BB3" s="288" t="s">
        <v>2032</v>
      </c>
      <c r="BC3" s="288" t="s">
        <v>2032</v>
      </c>
      <c r="BD3" s="289">
        <f t="shared" ref="BD3:BD257" si="0">SUM(AJ3:BC3)</f>
        <v>0</v>
      </c>
      <c r="BE3" s="287" t="s">
        <v>1489</v>
      </c>
      <c r="BF3" s="272"/>
    </row>
    <row r="4" spans="1:58" ht="14.25" customHeight="1" x14ac:dyDescent="0.35">
      <c r="A4" s="68">
        <v>2</v>
      </c>
      <c r="B4" s="24" t="s">
        <v>1581</v>
      </c>
      <c r="C4" s="24">
        <v>2024</v>
      </c>
      <c r="D4" s="24" t="s">
        <v>1541</v>
      </c>
      <c r="E4" s="269" t="str">
        <f ca="1">IFERROR(__xludf.DUMMYFUNCTION("ARRAYFORMULA(JOIN("""", ARRAYFORMULA(MID(SPLIT(F4, "" ""), 1, 1))))
&amp;""/""&amp;G4"),"MC/2 Primaria")</f>
        <v>MC/2 Primaria</v>
      </c>
      <c r="F4" s="24" t="s">
        <v>1582</v>
      </c>
      <c r="G4" s="248" t="s">
        <v>45</v>
      </c>
      <c r="H4" s="248" t="s">
        <v>1590</v>
      </c>
      <c r="I4" s="248" t="s">
        <v>1591</v>
      </c>
      <c r="J4" s="248" t="s">
        <v>1592</v>
      </c>
      <c r="K4" s="248" t="s">
        <v>1593</v>
      </c>
      <c r="L4" s="272"/>
      <c r="M4" s="286" t="s">
        <v>1587</v>
      </c>
      <c r="N4" s="286"/>
      <c r="O4" s="286" t="s">
        <v>1588</v>
      </c>
      <c r="P4" s="286" t="s">
        <v>1587</v>
      </c>
      <c r="Q4" s="286" t="s">
        <v>1587</v>
      </c>
      <c r="R4" s="286" t="s">
        <v>1588</v>
      </c>
      <c r="S4" s="286" t="s">
        <v>1588</v>
      </c>
      <c r="T4" s="286" t="s">
        <v>1589</v>
      </c>
      <c r="U4" s="286" t="s">
        <v>1589</v>
      </c>
      <c r="V4" s="286" t="s">
        <v>1588</v>
      </c>
      <c r="W4" s="286" t="s">
        <v>1587</v>
      </c>
      <c r="X4" s="286" t="s">
        <v>1588</v>
      </c>
      <c r="Y4" s="286" t="s">
        <v>1589</v>
      </c>
      <c r="Z4" s="286" t="s">
        <v>1589</v>
      </c>
      <c r="AA4" s="286" t="s">
        <v>1587</v>
      </c>
      <c r="AB4" s="286" t="s">
        <v>1589</v>
      </c>
      <c r="AC4" s="286" t="s">
        <v>1587</v>
      </c>
      <c r="AD4" s="286" t="s">
        <v>1588</v>
      </c>
      <c r="AE4" s="286" t="s">
        <v>1587</v>
      </c>
      <c r="AF4" s="286" t="s">
        <v>1588</v>
      </c>
      <c r="AG4" s="283">
        <v>12</v>
      </c>
      <c r="AH4" s="287" t="s">
        <v>23</v>
      </c>
      <c r="AI4" s="272"/>
      <c r="AJ4" s="288" t="s">
        <v>2032</v>
      </c>
      <c r="AK4" s="288" t="s">
        <v>2032</v>
      </c>
      <c r="AL4" s="288" t="s">
        <v>2032</v>
      </c>
      <c r="AM4" s="288" t="s">
        <v>2032</v>
      </c>
      <c r="AN4" s="288" t="s">
        <v>2032</v>
      </c>
      <c r="AO4" s="288" t="s">
        <v>2032</v>
      </c>
      <c r="AP4" s="288" t="s">
        <v>2032</v>
      </c>
      <c r="AQ4" s="288" t="s">
        <v>2032</v>
      </c>
      <c r="AR4" s="288" t="s">
        <v>2032</v>
      </c>
      <c r="AS4" s="288" t="s">
        <v>2032</v>
      </c>
      <c r="AT4" s="288" t="s">
        <v>2032</v>
      </c>
      <c r="AU4" s="288" t="s">
        <v>2032</v>
      </c>
      <c r="AV4" s="288" t="s">
        <v>2032</v>
      </c>
      <c r="AW4" s="288" t="s">
        <v>2032</v>
      </c>
      <c r="AX4" s="288" t="s">
        <v>2032</v>
      </c>
      <c r="AY4" s="288" t="s">
        <v>2032</v>
      </c>
      <c r="AZ4" s="288" t="s">
        <v>2032</v>
      </c>
      <c r="BA4" s="288" t="s">
        <v>2032</v>
      </c>
      <c r="BB4" s="288" t="s">
        <v>2032</v>
      </c>
      <c r="BC4" s="288" t="s">
        <v>2032</v>
      </c>
      <c r="BD4" s="289">
        <f t="shared" si="0"/>
        <v>0</v>
      </c>
      <c r="BE4" s="287" t="s">
        <v>1489</v>
      </c>
      <c r="BF4" s="272"/>
    </row>
    <row r="5" spans="1:58" ht="14.25" customHeight="1" x14ac:dyDescent="0.35">
      <c r="A5" s="68">
        <v>3</v>
      </c>
      <c r="B5" s="24" t="s">
        <v>1581</v>
      </c>
      <c r="C5" s="24">
        <v>2024</v>
      </c>
      <c r="D5" s="24" t="s">
        <v>1541</v>
      </c>
      <c r="E5" s="269" t="str">
        <f ca="1">IFERROR(__xludf.DUMMYFUNCTION("ARRAYFORMULA(JOIN("""", ARRAYFORMULA(MID(SPLIT(F5, "" ""), 1, 1))))
&amp;""/""&amp;G5"),"MC/2 Primaria")</f>
        <v>MC/2 Primaria</v>
      </c>
      <c r="F5" s="24" t="s">
        <v>1582</v>
      </c>
      <c r="G5" s="248" t="s">
        <v>45</v>
      </c>
      <c r="H5" s="248" t="s">
        <v>1594</v>
      </c>
      <c r="I5" s="248" t="s">
        <v>1595</v>
      </c>
      <c r="J5" s="248" t="s">
        <v>1596</v>
      </c>
      <c r="K5" s="248" t="s">
        <v>1593</v>
      </c>
      <c r="L5" s="272"/>
      <c r="M5" s="286" t="s">
        <v>1587</v>
      </c>
      <c r="N5" s="286" t="s">
        <v>1589</v>
      </c>
      <c r="O5" s="286" t="s">
        <v>1587</v>
      </c>
      <c r="P5" s="286" t="s">
        <v>1589</v>
      </c>
      <c r="Q5" s="286" t="s">
        <v>1587</v>
      </c>
      <c r="R5" s="286" t="s">
        <v>1588</v>
      </c>
      <c r="S5" s="286" t="s">
        <v>1587</v>
      </c>
      <c r="T5" s="286" t="s">
        <v>1589</v>
      </c>
      <c r="U5" s="286" t="s">
        <v>1587</v>
      </c>
      <c r="V5" s="286" t="s">
        <v>1588</v>
      </c>
      <c r="W5" s="286" t="s">
        <v>1589</v>
      </c>
      <c r="X5" s="286" t="s">
        <v>1587</v>
      </c>
      <c r="Y5" s="286" t="s">
        <v>1589</v>
      </c>
      <c r="Z5" s="286" t="s">
        <v>1589</v>
      </c>
      <c r="AA5" s="286" t="s">
        <v>1589</v>
      </c>
      <c r="AB5" s="286" t="s">
        <v>1589</v>
      </c>
      <c r="AC5" s="286" t="s">
        <v>1589</v>
      </c>
      <c r="AD5" s="286" t="s">
        <v>1588</v>
      </c>
      <c r="AE5" s="286" t="s">
        <v>1589</v>
      </c>
      <c r="AF5" s="286" t="s">
        <v>1587</v>
      </c>
      <c r="AG5" s="283">
        <v>17</v>
      </c>
      <c r="AH5" s="287" t="s">
        <v>25</v>
      </c>
      <c r="AI5" s="272"/>
      <c r="AJ5" s="288" t="s">
        <v>2032</v>
      </c>
      <c r="AK5" s="288" t="s">
        <v>2032</v>
      </c>
      <c r="AL5" s="288" t="s">
        <v>2032</v>
      </c>
      <c r="AM5" s="288" t="s">
        <v>2032</v>
      </c>
      <c r="AN5" s="288" t="s">
        <v>2032</v>
      </c>
      <c r="AO5" s="288" t="s">
        <v>2032</v>
      </c>
      <c r="AP5" s="288" t="s">
        <v>2032</v>
      </c>
      <c r="AQ5" s="288" t="s">
        <v>2032</v>
      </c>
      <c r="AR5" s="288" t="s">
        <v>2032</v>
      </c>
      <c r="AS5" s="288" t="s">
        <v>2032</v>
      </c>
      <c r="AT5" s="288" t="s">
        <v>2032</v>
      </c>
      <c r="AU5" s="288" t="s">
        <v>2032</v>
      </c>
      <c r="AV5" s="288" t="s">
        <v>2032</v>
      </c>
      <c r="AW5" s="288" t="s">
        <v>2032</v>
      </c>
      <c r="AX5" s="288" t="s">
        <v>2032</v>
      </c>
      <c r="AY5" s="288" t="s">
        <v>2032</v>
      </c>
      <c r="AZ5" s="288" t="s">
        <v>2032</v>
      </c>
      <c r="BA5" s="288" t="s">
        <v>2032</v>
      </c>
      <c r="BB5" s="288" t="s">
        <v>2032</v>
      </c>
      <c r="BC5" s="288" t="s">
        <v>2032</v>
      </c>
      <c r="BD5" s="289">
        <f t="shared" si="0"/>
        <v>0</v>
      </c>
      <c r="BE5" s="287" t="s">
        <v>1489</v>
      </c>
      <c r="BF5" s="272"/>
    </row>
    <row r="6" spans="1:58" ht="14.25" customHeight="1" x14ac:dyDescent="0.35">
      <c r="A6" s="68">
        <v>4</v>
      </c>
      <c r="B6" s="24" t="s">
        <v>1581</v>
      </c>
      <c r="C6" s="24">
        <v>2024</v>
      </c>
      <c r="D6" s="24" t="s">
        <v>1541</v>
      </c>
      <c r="E6" s="269" t="str">
        <f ca="1">IFERROR(__xludf.DUMMYFUNCTION("ARRAYFORMULA(JOIN("""", ARRAYFORMULA(MID(SPLIT(F6, "" ""), 1, 1))))
&amp;""/""&amp;G6"),"MC/2 Primaria")</f>
        <v>MC/2 Primaria</v>
      </c>
      <c r="F6" s="24" t="s">
        <v>1582</v>
      </c>
      <c r="G6" s="248" t="s">
        <v>45</v>
      </c>
      <c r="H6" s="248" t="s">
        <v>1597</v>
      </c>
      <c r="I6" s="248" t="s">
        <v>1598</v>
      </c>
      <c r="J6" s="248" t="s">
        <v>1599</v>
      </c>
      <c r="K6" s="248" t="s">
        <v>1586</v>
      </c>
      <c r="L6" s="272"/>
      <c r="M6" s="286" t="s">
        <v>1587</v>
      </c>
      <c r="N6" s="286" t="s">
        <v>1589</v>
      </c>
      <c r="O6" s="286" t="s">
        <v>1587</v>
      </c>
      <c r="P6" s="286" t="s">
        <v>1589</v>
      </c>
      <c r="Q6" s="286" t="s">
        <v>1587</v>
      </c>
      <c r="R6" s="286" t="s">
        <v>1588</v>
      </c>
      <c r="S6" s="286" t="s">
        <v>1588</v>
      </c>
      <c r="T6" s="286" t="s">
        <v>1589</v>
      </c>
      <c r="U6" s="286" t="s">
        <v>1589</v>
      </c>
      <c r="V6" s="286" t="s">
        <v>1588</v>
      </c>
      <c r="W6" s="286" t="s">
        <v>1589</v>
      </c>
      <c r="X6" s="286"/>
      <c r="Y6" s="286" t="s">
        <v>1589</v>
      </c>
      <c r="Z6" s="286" t="s">
        <v>1589</v>
      </c>
      <c r="AA6" s="286" t="s">
        <v>1589</v>
      </c>
      <c r="AB6" s="286"/>
      <c r="AC6" s="286" t="s">
        <v>1589</v>
      </c>
      <c r="AD6" s="286" t="s">
        <v>1588</v>
      </c>
      <c r="AE6" s="286" t="s">
        <v>1589</v>
      </c>
      <c r="AF6" s="286" t="s">
        <v>1587</v>
      </c>
      <c r="AG6" s="283">
        <v>14</v>
      </c>
      <c r="AH6" s="287" t="s">
        <v>23</v>
      </c>
      <c r="AI6" s="272"/>
      <c r="AJ6" s="288" t="s">
        <v>2032</v>
      </c>
      <c r="AK6" s="288" t="s">
        <v>2032</v>
      </c>
      <c r="AL6" s="288" t="s">
        <v>2032</v>
      </c>
      <c r="AM6" s="288" t="s">
        <v>2032</v>
      </c>
      <c r="AN6" s="288" t="s">
        <v>2032</v>
      </c>
      <c r="AO6" s="288" t="s">
        <v>2032</v>
      </c>
      <c r="AP6" s="288" t="s">
        <v>2032</v>
      </c>
      <c r="AQ6" s="288" t="s">
        <v>2032</v>
      </c>
      <c r="AR6" s="288" t="s">
        <v>2032</v>
      </c>
      <c r="AS6" s="288" t="s">
        <v>2032</v>
      </c>
      <c r="AT6" s="288" t="s">
        <v>2032</v>
      </c>
      <c r="AU6" s="288" t="s">
        <v>2032</v>
      </c>
      <c r="AV6" s="288" t="s">
        <v>2032</v>
      </c>
      <c r="AW6" s="288" t="s">
        <v>2032</v>
      </c>
      <c r="AX6" s="288" t="s">
        <v>2032</v>
      </c>
      <c r="AY6" s="288" t="s">
        <v>2032</v>
      </c>
      <c r="AZ6" s="288" t="s">
        <v>2032</v>
      </c>
      <c r="BA6" s="288" t="s">
        <v>2032</v>
      </c>
      <c r="BB6" s="288" t="s">
        <v>2032</v>
      </c>
      <c r="BC6" s="288" t="s">
        <v>2032</v>
      </c>
      <c r="BD6" s="289">
        <f t="shared" si="0"/>
        <v>0</v>
      </c>
      <c r="BE6" s="287" t="s">
        <v>1489</v>
      </c>
      <c r="BF6" s="272"/>
    </row>
    <row r="7" spans="1:58" ht="14.25" customHeight="1" x14ac:dyDescent="0.35">
      <c r="A7" s="68">
        <v>5</v>
      </c>
      <c r="B7" s="24" t="s">
        <v>1581</v>
      </c>
      <c r="C7" s="24">
        <v>2024</v>
      </c>
      <c r="D7" s="24" t="s">
        <v>1541</v>
      </c>
      <c r="E7" s="269" t="str">
        <f ca="1">IFERROR(__xludf.DUMMYFUNCTION("ARRAYFORMULA(JOIN("""", ARRAYFORMULA(MID(SPLIT(F7, "" ""), 1, 1))))
&amp;""/""&amp;G7"),"MC/2 Primaria")</f>
        <v>MC/2 Primaria</v>
      </c>
      <c r="F7" s="24" t="s">
        <v>1582</v>
      </c>
      <c r="G7" s="248" t="s">
        <v>45</v>
      </c>
      <c r="H7" s="248" t="s">
        <v>1600</v>
      </c>
      <c r="I7" s="248" t="s">
        <v>1601</v>
      </c>
      <c r="J7" s="248" t="s">
        <v>1602</v>
      </c>
      <c r="K7" s="248" t="s">
        <v>1593</v>
      </c>
      <c r="L7" s="272"/>
      <c r="M7" s="286" t="s">
        <v>1587</v>
      </c>
      <c r="N7" s="286" t="s">
        <v>1589</v>
      </c>
      <c r="O7" s="286" t="s">
        <v>1587</v>
      </c>
      <c r="P7" s="286" t="s">
        <v>1587</v>
      </c>
      <c r="Q7" s="286" t="s">
        <v>1587</v>
      </c>
      <c r="R7" s="286" t="s">
        <v>1588</v>
      </c>
      <c r="S7" s="286"/>
      <c r="T7" s="286" t="s">
        <v>1587</v>
      </c>
      <c r="U7" s="286" t="s">
        <v>1587</v>
      </c>
      <c r="V7" s="286" t="s">
        <v>1588</v>
      </c>
      <c r="W7" s="286" t="s">
        <v>1589</v>
      </c>
      <c r="X7" s="286" t="s">
        <v>1587</v>
      </c>
      <c r="Y7" s="286" t="s">
        <v>1587</v>
      </c>
      <c r="Z7" s="286" t="s">
        <v>1589</v>
      </c>
      <c r="AA7" s="286" t="s">
        <v>1587</v>
      </c>
      <c r="AB7" s="286" t="s">
        <v>1588</v>
      </c>
      <c r="AC7" s="286" t="s">
        <v>1587</v>
      </c>
      <c r="AD7" s="286" t="s">
        <v>1589</v>
      </c>
      <c r="AE7" s="286" t="s">
        <v>1587</v>
      </c>
      <c r="AF7" s="286" t="s">
        <v>1587</v>
      </c>
      <c r="AG7" s="283">
        <v>12</v>
      </c>
      <c r="AH7" s="287" t="s">
        <v>23</v>
      </c>
      <c r="AI7" s="272"/>
      <c r="AJ7" s="288" t="s">
        <v>2032</v>
      </c>
      <c r="AK7" s="288" t="s">
        <v>2032</v>
      </c>
      <c r="AL7" s="288" t="s">
        <v>2032</v>
      </c>
      <c r="AM7" s="288" t="s">
        <v>2032</v>
      </c>
      <c r="AN7" s="288" t="s">
        <v>2032</v>
      </c>
      <c r="AO7" s="288" t="s">
        <v>2032</v>
      </c>
      <c r="AP7" s="288" t="s">
        <v>2032</v>
      </c>
      <c r="AQ7" s="288" t="s">
        <v>2032</v>
      </c>
      <c r="AR7" s="288" t="s">
        <v>2032</v>
      </c>
      <c r="AS7" s="288" t="s">
        <v>2032</v>
      </c>
      <c r="AT7" s="288" t="s">
        <v>2032</v>
      </c>
      <c r="AU7" s="288" t="s">
        <v>2032</v>
      </c>
      <c r="AV7" s="288" t="s">
        <v>2032</v>
      </c>
      <c r="AW7" s="288" t="s">
        <v>2032</v>
      </c>
      <c r="AX7" s="288" t="s">
        <v>2032</v>
      </c>
      <c r="AY7" s="288" t="s">
        <v>2032</v>
      </c>
      <c r="AZ7" s="288" t="s">
        <v>2032</v>
      </c>
      <c r="BA7" s="288" t="s">
        <v>2032</v>
      </c>
      <c r="BB7" s="288" t="s">
        <v>2032</v>
      </c>
      <c r="BC7" s="288" t="s">
        <v>2032</v>
      </c>
      <c r="BD7" s="289">
        <f t="shared" si="0"/>
        <v>0</v>
      </c>
      <c r="BE7" s="287" t="s">
        <v>1489</v>
      </c>
      <c r="BF7" s="272"/>
    </row>
    <row r="8" spans="1:58" ht="14.25" customHeight="1" x14ac:dyDescent="0.35">
      <c r="A8" s="68">
        <v>6</v>
      </c>
      <c r="B8" s="24" t="s">
        <v>1581</v>
      </c>
      <c r="C8" s="24">
        <v>2024</v>
      </c>
      <c r="D8" s="24" t="s">
        <v>1541</v>
      </c>
      <c r="E8" s="269" t="str">
        <f ca="1">IFERROR(__xludf.DUMMYFUNCTION("ARRAYFORMULA(JOIN("""", ARRAYFORMULA(MID(SPLIT(F8, "" ""), 1, 1))))
&amp;""/""&amp;G8"),"MC/2 Primaria")</f>
        <v>MC/2 Primaria</v>
      </c>
      <c r="F8" s="24" t="s">
        <v>1582</v>
      </c>
      <c r="G8" s="248" t="s">
        <v>45</v>
      </c>
      <c r="H8" s="248" t="s">
        <v>1603</v>
      </c>
      <c r="I8" s="248" t="s">
        <v>1604</v>
      </c>
      <c r="J8" s="248" t="s">
        <v>1605</v>
      </c>
      <c r="K8" s="248" t="s">
        <v>1586</v>
      </c>
      <c r="L8" s="272"/>
      <c r="M8" s="286" t="s">
        <v>1587</v>
      </c>
      <c r="N8" s="286" t="s">
        <v>1589</v>
      </c>
      <c r="O8" s="286" t="s">
        <v>1587</v>
      </c>
      <c r="P8" s="286" t="s">
        <v>1587</v>
      </c>
      <c r="Q8" s="286" t="s">
        <v>1587</v>
      </c>
      <c r="R8" s="286" t="s">
        <v>1588</v>
      </c>
      <c r="S8" s="286" t="s">
        <v>1589</v>
      </c>
      <c r="T8" s="286" t="s">
        <v>1589</v>
      </c>
      <c r="U8" s="286" t="s">
        <v>1589</v>
      </c>
      <c r="V8" s="286" t="s">
        <v>1588</v>
      </c>
      <c r="W8" s="286" t="s">
        <v>1589</v>
      </c>
      <c r="X8" s="286" t="s">
        <v>1588</v>
      </c>
      <c r="Y8" s="286" t="s">
        <v>1589</v>
      </c>
      <c r="Z8" s="286" t="s">
        <v>1589</v>
      </c>
      <c r="AA8" s="286" t="s">
        <v>1589</v>
      </c>
      <c r="AB8" s="286" t="s">
        <v>1589</v>
      </c>
      <c r="AC8" s="286" t="s">
        <v>1587</v>
      </c>
      <c r="AD8" s="286" t="s">
        <v>1588</v>
      </c>
      <c r="AE8" s="286" t="s">
        <v>1589</v>
      </c>
      <c r="AF8" s="286" t="s">
        <v>1587</v>
      </c>
      <c r="AG8" s="283">
        <v>18</v>
      </c>
      <c r="AH8" s="287" t="s">
        <v>25</v>
      </c>
      <c r="AI8" s="272"/>
      <c r="AJ8" s="288" t="s">
        <v>2032</v>
      </c>
      <c r="AK8" s="288" t="s">
        <v>2032</v>
      </c>
      <c r="AL8" s="288" t="s">
        <v>2032</v>
      </c>
      <c r="AM8" s="288" t="s">
        <v>2032</v>
      </c>
      <c r="AN8" s="288" t="s">
        <v>2032</v>
      </c>
      <c r="AO8" s="288" t="s">
        <v>2032</v>
      </c>
      <c r="AP8" s="288" t="s">
        <v>2032</v>
      </c>
      <c r="AQ8" s="288" t="s">
        <v>2032</v>
      </c>
      <c r="AR8" s="288" t="s">
        <v>2032</v>
      </c>
      <c r="AS8" s="288" t="s">
        <v>2032</v>
      </c>
      <c r="AT8" s="288" t="s">
        <v>2032</v>
      </c>
      <c r="AU8" s="288" t="s">
        <v>2032</v>
      </c>
      <c r="AV8" s="288" t="s">
        <v>2032</v>
      </c>
      <c r="AW8" s="288" t="s">
        <v>2032</v>
      </c>
      <c r="AX8" s="288" t="s">
        <v>2032</v>
      </c>
      <c r="AY8" s="288" t="s">
        <v>2032</v>
      </c>
      <c r="AZ8" s="288" t="s">
        <v>2032</v>
      </c>
      <c r="BA8" s="288" t="s">
        <v>2032</v>
      </c>
      <c r="BB8" s="288" t="s">
        <v>2032</v>
      </c>
      <c r="BC8" s="288" t="s">
        <v>2032</v>
      </c>
      <c r="BD8" s="289">
        <f t="shared" si="0"/>
        <v>0</v>
      </c>
      <c r="BE8" s="287" t="s">
        <v>1489</v>
      </c>
      <c r="BF8" s="272"/>
    </row>
    <row r="9" spans="1:58" ht="14.25" customHeight="1" x14ac:dyDescent="0.35">
      <c r="A9" s="68">
        <v>7</v>
      </c>
      <c r="B9" s="24" t="s">
        <v>1581</v>
      </c>
      <c r="C9" s="24">
        <v>2024</v>
      </c>
      <c r="D9" s="24" t="s">
        <v>1541</v>
      </c>
      <c r="E9" s="269" t="str">
        <f ca="1">IFERROR(__xludf.DUMMYFUNCTION("ARRAYFORMULA(JOIN("""", ARRAYFORMULA(MID(SPLIT(F9, "" ""), 1, 1))))
&amp;""/""&amp;G9"),"MC/2 Primaria")</f>
        <v>MC/2 Primaria</v>
      </c>
      <c r="F9" s="24" t="s">
        <v>1582</v>
      </c>
      <c r="G9" s="248" t="s">
        <v>45</v>
      </c>
      <c r="H9" s="248" t="s">
        <v>1598</v>
      </c>
      <c r="I9" s="248" t="s">
        <v>1606</v>
      </c>
      <c r="J9" s="248" t="s">
        <v>1607</v>
      </c>
      <c r="K9" s="248" t="s">
        <v>1593</v>
      </c>
      <c r="L9" s="272"/>
      <c r="M9" s="286" t="s">
        <v>1587</v>
      </c>
      <c r="N9" s="286" t="s">
        <v>1588</v>
      </c>
      <c r="O9" s="286" t="s">
        <v>1588</v>
      </c>
      <c r="P9" s="286" t="s">
        <v>1589</v>
      </c>
      <c r="Q9" s="286" t="s">
        <v>1588</v>
      </c>
      <c r="R9" s="286" t="s">
        <v>1588</v>
      </c>
      <c r="S9" s="286" t="s">
        <v>1589</v>
      </c>
      <c r="T9" s="286" t="s">
        <v>1589</v>
      </c>
      <c r="U9" s="286" t="s">
        <v>1588</v>
      </c>
      <c r="V9" s="286" t="s">
        <v>1589</v>
      </c>
      <c r="W9" s="286" t="s">
        <v>1588</v>
      </c>
      <c r="X9" s="286" t="s">
        <v>1588</v>
      </c>
      <c r="Y9" s="286" t="s">
        <v>1589</v>
      </c>
      <c r="Z9" s="286" t="s">
        <v>1589</v>
      </c>
      <c r="AA9" s="286" t="s">
        <v>1589</v>
      </c>
      <c r="AB9" s="286" t="s">
        <v>1589</v>
      </c>
      <c r="AC9" s="286" t="s">
        <v>1587</v>
      </c>
      <c r="AD9" s="286" t="s">
        <v>1588</v>
      </c>
      <c r="AE9" s="286" t="s">
        <v>1588</v>
      </c>
      <c r="AF9" s="286" t="s">
        <v>1588</v>
      </c>
      <c r="AG9" s="283">
        <v>10</v>
      </c>
      <c r="AH9" s="287" t="s">
        <v>19</v>
      </c>
      <c r="AI9" s="272"/>
      <c r="AJ9" s="288" t="s">
        <v>2032</v>
      </c>
      <c r="AK9" s="288" t="s">
        <v>2032</v>
      </c>
      <c r="AL9" s="288" t="s">
        <v>2032</v>
      </c>
      <c r="AM9" s="288" t="s">
        <v>2032</v>
      </c>
      <c r="AN9" s="288" t="s">
        <v>2032</v>
      </c>
      <c r="AO9" s="288" t="s">
        <v>2032</v>
      </c>
      <c r="AP9" s="288" t="s">
        <v>2032</v>
      </c>
      <c r="AQ9" s="288" t="s">
        <v>2032</v>
      </c>
      <c r="AR9" s="288" t="s">
        <v>2032</v>
      </c>
      <c r="AS9" s="288" t="s">
        <v>2032</v>
      </c>
      <c r="AT9" s="288" t="s">
        <v>2032</v>
      </c>
      <c r="AU9" s="288" t="s">
        <v>2032</v>
      </c>
      <c r="AV9" s="288" t="s">
        <v>2032</v>
      </c>
      <c r="AW9" s="288" t="s">
        <v>2032</v>
      </c>
      <c r="AX9" s="288" t="s">
        <v>2032</v>
      </c>
      <c r="AY9" s="288" t="s">
        <v>2032</v>
      </c>
      <c r="AZ9" s="288" t="s">
        <v>2032</v>
      </c>
      <c r="BA9" s="288" t="s">
        <v>2032</v>
      </c>
      <c r="BB9" s="288" t="s">
        <v>2032</v>
      </c>
      <c r="BC9" s="288" t="s">
        <v>2032</v>
      </c>
      <c r="BD9" s="289">
        <f t="shared" si="0"/>
        <v>0</v>
      </c>
      <c r="BE9" s="287" t="s">
        <v>1489</v>
      </c>
      <c r="BF9" s="272"/>
    </row>
    <row r="10" spans="1:58" ht="14.25" customHeight="1" x14ac:dyDescent="0.35">
      <c r="A10" s="68">
        <v>8</v>
      </c>
      <c r="B10" s="24" t="s">
        <v>1581</v>
      </c>
      <c r="C10" s="24">
        <v>2024</v>
      </c>
      <c r="D10" s="24" t="s">
        <v>1541</v>
      </c>
      <c r="E10" s="269" t="str">
        <f ca="1">IFERROR(__xludf.DUMMYFUNCTION("ARRAYFORMULA(JOIN("""", ARRAYFORMULA(MID(SPLIT(F10, "" ""), 1, 1))))
&amp;""/""&amp;G10"),"MC/2 Primaria")</f>
        <v>MC/2 Primaria</v>
      </c>
      <c r="F10" s="24" t="s">
        <v>1582</v>
      </c>
      <c r="G10" s="248" t="s">
        <v>45</v>
      </c>
      <c r="H10" s="248" t="s">
        <v>1608</v>
      </c>
      <c r="I10" s="248" t="s">
        <v>1609</v>
      </c>
      <c r="J10" s="248" t="s">
        <v>1610</v>
      </c>
      <c r="K10" s="248" t="s">
        <v>1586</v>
      </c>
      <c r="L10" s="272"/>
      <c r="M10" s="286" t="s">
        <v>1587</v>
      </c>
      <c r="N10" s="286" t="s">
        <v>1589</v>
      </c>
      <c r="O10" s="286" t="s">
        <v>1587</v>
      </c>
      <c r="P10" s="286" t="s">
        <v>1587</v>
      </c>
      <c r="Q10" s="286" t="s">
        <v>1587</v>
      </c>
      <c r="R10" s="286" t="s">
        <v>1588</v>
      </c>
      <c r="S10" s="286" t="s">
        <v>1587</v>
      </c>
      <c r="T10" s="286" t="s">
        <v>1589</v>
      </c>
      <c r="U10" s="286" t="s">
        <v>1589</v>
      </c>
      <c r="V10" s="286" t="s">
        <v>1589</v>
      </c>
      <c r="W10" s="286"/>
      <c r="X10" s="286" t="s">
        <v>1588</v>
      </c>
      <c r="Y10" s="286" t="s">
        <v>1589</v>
      </c>
      <c r="Z10" s="286" t="s">
        <v>1589</v>
      </c>
      <c r="AA10" s="286" t="s">
        <v>1589</v>
      </c>
      <c r="AB10" s="286" t="s">
        <v>1589</v>
      </c>
      <c r="AC10" s="286" t="s">
        <v>1589</v>
      </c>
      <c r="AD10" s="286" t="s">
        <v>1588</v>
      </c>
      <c r="AE10" s="286" t="s">
        <v>1589</v>
      </c>
      <c r="AF10" s="286" t="s">
        <v>1587</v>
      </c>
      <c r="AG10" s="283">
        <v>16</v>
      </c>
      <c r="AH10" s="287" t="s">
        <v>23</v>
      </c>
      <c r="AI10" s="272"/>
      <c r="AJ10" s="288" t="s">
        <v>2032</v>
      </c>
      <c r="AK10" s="288" t="s">
        <v>2032</v>
      </c>
      <c r="AL10" s="288" t="s">
        <v>2032</v>
      </c>
      <c r="AM10" s="288" t="s">
        <v>2032</v>
      </c>
      <c r="AN10" s="288" t="s">
        <v>2032</v>
      </c>
      <c r="AO10" s="288" t="s">
        <v>2032</v>
      </c>
      <c r="AP10" s="288" t="s">
        <v>2032</v>
      </c>
      <c r="AQ10" s="288" t="s">
        <v>2032</v>
      </c>
      <c r="AR10" s="288" t="s">
        <v>2032</v>
      </c>
      <c r="AS10" s="288" t="s">
        <v>2032</v>
      </c>
      <c r="AT10" s="288" t="s">
        <v>2032</v>
      </c>
      <c r="AU10" s="288" t="s">
        <v>2032</v>
      </c>
      <c r="AV10" s="288" t="s">
        <v>2032</v>
      </c>
      <c r="AW10" s="288" t="s">
        <v>2032</v>
      </c>
      <c r="AX10" s="288" t="s">
        <v>2032</v>
      </c>
      <c r="AY10" s="288" t="s">
        <v>2032</v>
      </c>
      <c r="AZ10" s="288" t="s">
        <v>2032</v>
      </c>
      <c r="BA10" s="288" t="s">
        <v>2032</v>
      </c>
      <c r="BB10" s="288" t="s">
        <v>2032</v>
      </c>
      <c r="BC10" s="288" t="s">
        <v>2032</v>
      </c>
      <c r="BD10" s="289">
        <f t="shared" si="0"/>
        <v>0</v>
      </c>
      <c r="BE10" s="287" t="s">
        <v>1489</v>
      </c>
      <c r="BF10" s="272"/>
    </row>
    <row r="11" spans="1:58" ht="14.25" customHeight="1" x14ac:dyDescent="0.35">
      <c r="A11" s="68">
        <v>9</v>
      </c>
      <c r="B11" s="24" t="s">
        <v>1581</v>
      </c>
      <c r="C11" s="24">
        <v>2024</v>
      </c>
      <c r="D11" s="24" t="s">
        <v>1541</v>
      </c>
      <c r="E11" s="269" t="str">
        <f ca="1">IFERROR(__xludf.DUMMYFUNCTION("ARRAYFORMULA(JOIN("""", ARRAYFORMULA(MID(SPLIT(F11, "" ""), 1, 1))))
&amp;""/""&amp;G11"),"MC/2 Primaria")</f>
        <v>MC/2 Primaria</v>
      </c>
      <c r="F11" s="24" t="s">
        <v>1582</v>
      </c>
      <c r="G11" s="248" t="s">
        <v>45</v>
      </c>
      <c r="H11" s="248" t="s">
        <v>1611</v>
      </c>
      <c r="I11" s="248" t="s">
        <v>1612</v>
      </c>
      <c r="J11" s="248" t="s">
        <v>1613</v>
      </c>
      <c r="K11" s="248" t="s">
        <v>1593</v>
      </c>
      <c r="L11" s="272"/>
      <c r="M11" s="286" t="s">
        <v>1587</v>
      </c>
      <c r="N11" s="286" t="s">
        <v>1589</v>
      </c>
      <c r="O11" s="286" t="s">
        <v>1587</v>
      </c>
      <c r="P11" s="286" t="s">
        <v>1587</v>
      </c>
      <c r="Q11" s="286" t="s">
        <v>1587</v>
      </c>
      <c r="R11" s="286" t="s">
        <v>1588</v>
      </c>
      <c r="S11" s="286" t="s">
        <v>1587</v>
      </c>
      <c r="T11" s="286" t="s">
        <v>1589</v>
      </c>
      <c r="U11" s="286" t="s">
        <v>1587</v>
      </c>
      <c r="V11" s="286" t="s">
        <v>1589</v>
      </c>
      <c r="W11" s="286" t="s">
        <v>1588</v>
      </c>
      <c r="X11" s="286" t="s">
        <v>1587</v>
      </c>
      <c r="Y11" s="286" t="s">
        <v>1589</v>
      </c>
      <c r="Z11" s="286" t="s">
        <v>1589</v>
      </c>
      <c r="AA11" s="286" t="s">
        <v>1588</v>
      </c>
      <c r="AB11" s="286" t="s">
        <v>1587</v>
      </c>
      <c r="AC11" s="286" t="s">
        <v>1589</v>
      </c>
      <c r="AD11" s="286" t="s">
        <v>1588</v>
      </c>
      <c r="AE11" s="286" t="s">
        <v>1587</v>
      </c>
      <c r="AF11" s="286" t="s">
        <v>1587</v>
      </c>
      <c r="AG11" s="283">
        <v>13</v>
      </c>
      <c r="AH11" s="287" t="s">
        <v>23</v>
      </c>
      <c r="AI11" s="272"/>
      <c r="AJ11" s="288" t="s">
        <v>2032</v>
      </c>
      <c r="AK11" s="288" t="s">
        <v>2032</v>
      </c>
      <c r="AL11" s="288" t="s">
        <v>2032</v>
      </c>
      <c r="AM11" s="288" t="s">
        <v>2032</v>
      </c>
      <c r="AN11" s="288" t="s">
        <v>2032</v>
      </c>
      <c r="AO11" s="288" t="s">
        <v>2032</v>
      </c>
      <c r="AP11" s="288" t="s">
        <v>2032</v>
      </c>
      <c r="AQ11" s="288" t="s">
        <v>2032</v>
      </c>
      <c r="AR11" s="288" t="s">
        <v>2032</v>
      </c>
      <c r="AS11" s="288" t="s">
        <v>2032</v>
      </c>
      <c r="AT11" s="288" t="s">
        <v>2032</v>
      </c>
      <c r="AU11" s="288" t="s">
        <v>2032</v>
      </c>
      <c r="AV11" s="288" t="s">
        <v>2032</v>
      </c>
      <c r="AW11" s="288" t="s">
        <v>2032</v>
      </c>
      <c r="AX11" s="288" t="s">
        <v>2032</v>
      </c>
      <c r="AY11" s="288" t="s">
        <v>2032</v>
      </c>
      <c r="AZ11" s="288" t="s">
        <v>2032</v>
      </c>
      <c r="BA11" s="288" t="s">
        <v>2032</v>
      </c>
      <c r="BB11" s="288" t="s">
        <v>2032</v>
      </c>
      <c r="BC11" s="288" t="s">
        <v>2032</v>
      </c>
      <c r="BD11" s="289">
        <f t="shared" si="0"/>
        <v>0</v>
      </c>
      <c r="BE11" s="287" t="s">
        <v>1489</v>
      </c>
      <c r="BF11" s="272"/>
    </row>
    <row r="12" spans="1:58" ht="14.25" customHeight="1" x14ac:dyDescent="0.35">
      <c r="A12" s="68">
        <v>10</v>
      </c>
      <c r="B12" s="24" t="s">
        <v>1581</v>
      </c>
      <c r="C12" s="24">
        <v>2024</v>
      </c>
      <c r="D12" s="24" t="s">
        <v>1541</v>
      </c>
      <c r="E12" s="269" t="str">
        <f ca="1">IFERROR(__xludf.DUMMYFUNCTION("ARRAYFORMULA(JOIN("""", ARRAYFORMULA(MID(SPLIT(F12, "" ""), 1, 1))))
&amp;""/""&amp;G12"),"MC/2 Primaria")</f>
        <v>MC/2 Primaria</v>
      </c>
      <c r="F12" s="24" t="s">
        <v>1582</v>
      </c>
      <c r="G12" s="248" t="s">
        <v>45</v>
      </c>
      <c r="H12" s="248" t="s">
        <v>1614</v>
      </c>
      <c r="I12" s="248" t="s">
        <v>1615</v>
      </c>
      <c r="J12" s="248" t="s">
        <v>1616</v>
      </c>
      <c r="K12" s="248" t="s">
        <v>1586</v>
      </c>
      <c r="L12" s="272"/>
      <c r="M12" s="286" t="s">
        <v>1587</v>
      </c>
      <c r="N12" s="286" t="s">
        <v>1589</v>
      </c>
      <c r="O12" s="286" t="s">
        <v>1617</v>
      </c>
      <c r="P12" s="286" t="s">
        <v>1587</v>
      </c>
      <c r="Q12" s="286" t="s">
        <v>1587</v>
      </c>
      <c r="R12" s="286" t="s">
        <v>1588</v>
      </c>
      <c r="S12" s="286" t="s">
        <v>1587</v>
      </c>
      <c r="T12" s="286" t="s">
        <v>1589</v>
      </c>
      <c r="U12" s="286" t="s">
        <v>1587</v>
      </c>
      <c r="V12" s="286" t="s">
        <v>1589</v>
      </c>
      <c r="W12" s="286" t="s">
        <v>1589</v>
      </c>
      <c r="X12" s="286" t="s">
        <v>1588</v>
      </c>
      <c r="Y12" s="286" t="s">
        <v>1589</v>
      </c>
      <c r="Z12" s="286" t="s">
        <v>1589</v>
      </c>
      <c r="AA12" s="286" t="s">
        <v>1589</v>
      </c>
      <c r="AB12" s="286" t="s">
        <v>1589</v>
      </c>
      <c r="AC12" s="286" t="s">
        <v>1587</v>
      </c>
      <c r="AD12" s="286" t="s">
        <v>1588</v>
      </c>
      <c r="AE12" s="286" t="s">
        <v>1589</v>
      </c>
      <c r="AF12" s="286" t="s">
        <v>1587</v>
      </c>
      <c r="AG12" s="283">
        <v>18</v>
      </c>
      <c r="AH12" s="287" t="s">
        <v>25</v>
      </c>
      <c r="AI12" s="272"/>
      <c r="AJ12" s="288" t="s">
        <v>2032</v>
      </c>
      <c r="AK12" s="288" t="s">
        <v>2032</v>
      </c>
      <c r="AL12" s="288" t="s">
        <v>2032</v>
      </c>
      <c r="AM12" s="288" t="s">
        <v>2032</v>
      </c>
      <c r="AN12" s="288" t="s">
        <v>2032</v>
      </c>
      <c r="AO12" s="288" t="s">
        <v>2032</v>
      </c>
      <c r="AP12" s="288" t="s">
        <v>2032</v>
      </c>
      <c r="AQ12" s="288" t="s">
        <v>2032</v>
      </c>
      <c r="AR12" s="288" t="s">
        <v>2032</v>
      </c>
      <c r="AS12" s="288" t="s">
        <v>2032</v>
      </c>
      <c r="AT12" s="288" t="s">
        <v>2032</v>
      </c>
      <c r="AU12" s="288" t="s">
        <v>2032</v>
      </c>
      <c r="AV12" s="288" t="s">
        <v>2032</v>
      </c>
      <c r="AW12" s="288" t="s">
        <v>2032</v>
      </c>
      <c r="AX12" s="288" t="s">
        <v>2032</v>
      </c>
      <c r="AY12" s="288" t="s">
        <v>2032</v>
      </c>
      <c r="AZ12" s="288" t="s">
        <v>2032</v>
      </c>
      <c r="BA12" s="288" t="s">
        <v>2032</v>
      </c>
      <c r="BB12" s="288" t="s">
        <v>2032</v>
      </c>
      <c r="BC12" s="288" t="s">
        <v>2032</v>
      </c>
      <c r="BD12" s="289">
        <f t="shared" si="0"/>
        <v>0</v>
      </c>
      <c r="BE12" s="287" t="s">
        <v>1489</v>
      </c>
      <c r="BF12" s="272"/>
    </row>
    <row r="13" spans="1:58" ht="14.25" customHeight="1" x14ac:dyDescent="0.35">
      <c r="A13" s="68">
        <v>11</v>
      </c>
      <c r="B13" s="24" t="s">
        <v>1581</v>
      </c>
      <c r="C13" s="24">
        <v>2024</v>
      </c>
      <c r="D13" s="24" t="s">
        <v>1541</v>
      </c>
      <c r="E13" s="269" t="str">
        <f ca="1">IFERROR(__xludf.DUMMYFUNCTION("ARRAYFORMULA(JOIN("""", ARRAYFORMULA(MID(SPLIT(F13, "" ""), 1, 1))))
&amp;""/""&amp;G13"),"MC/2 Primaria")</f>
        <v>MC/2 Primaria</v>
      </c>
      <c r="F13" s="24" t="s">
        <v>1582</v>
      </c>
      <c r="G13" s="248" t="s">
        <v>45</v>
      </c>
      <c r="H13" s="248" t="s">
        <v>1618</v>
      </c>
      <c r="I13" s="248" t="s">
        <v>1619</v>
      </c>
      <c r="J13" s="248" t="s">
        <v>1620</v>
      </c>
      <c r="K13" s="248" t="s">
        <v>1593</v>
      </c>
      <c r="L13" s="272"/>
      <c r="M13" s="286"/>
      <c r="N13" s="286" t="s">
        <v>1589</v>
      </c>
      <c r="O13" s="286" t="s">
        <v>1587</v>
      </c>
      <c r="P13" s="286" t="s">
        <v>1587</v>
      </c>
      <c r="Q13" s="286" t="s">
        <v>1587</v>
      </c>
      <c r="R13" s="286" t="s">
        <v>1588</v>
      </c>
      <c r="S13" s="286" t="s">
        <v>1587</v>
      </c>
      <c r="T13" s="286" t="s">
        <v>1589</v>
      </c>
      <c r="U13" s="286" t="s">
        <v>1589</v>
      </c>
      <c r="V13" s="286" t="s">
        <v>1588</v>
      </c>
      <c r="W13" s="286" t="s">
        <v>1589</v>
      </c>
      <c r="X13" s="286" t="s">
        <v>1589</v>
      </c>
      <c r="Y13" s="286" t="s">
        <v>1589</v>
      </c>
      <c r="Z13" s="286" t="s">
        <v>1589</v>
      </c>
      <c r="AA13" s="286" t="s">
        <v>1589</v>
      </c>
      <c r="AB13" s="286" t="s">
        <v>1589</v>
      </c>
      <c r="AC13" s="286" t="s">
        <v>1587</v>
      </c>
      <c r="AD13" s="286" t="s">
        <v>1588</v>
      </c>
      <c r="AE13" s="286" t="s">
        <v>1589</v>
      </c>
      <c r="AF13" s="286" t="s">
        <v>1588</v>
      </c>
      <c r="AG13" s="283">
        <v>16</v>
      </c>
      <c r="AH13" s="287" t="s">
        <v>23</v>
      </c>
      <c r="AI13" s="272"/>
      <c r="AJ13" s="288" t="s">
        <v>2032</v>
      </c>
      <c r="AK13" s="288" t="s">
        <v>2032</v>
      </c>
      <c r="AL13" s="288" t="s">
        <v>2032</v>
      </c>
      <c r="AM13" s="288" t="s">
        <v>2032</v>
      </c>
      <c r="AN13" s="288" t="s">
        <v>2032</v>
      </c>
      <c r="AO13" s="288" t="s">
        <v>2032</v>
      </c>
      <c r="AP13" s="288" t="s">
        <v>2032</v>
      </c>
      <c r="AQ13" s="288" t="s">
        <v>2032</v>
      </c>
      <c r="AR13" s="288" t="s">
        <v>2032</v>
      </c>
      <c r="AS13" s="288" t="s">
        <v>2032</v>
      </c>
      <c r="AT13" s="288" t="s">
        <v>2032</v>
      </c>
      <c r="AU13" s="288" t="s">
        <v>2032</v>
      </c>
      <c r="AV13" s="288" t="s">
        <v>2032</v>
      </c>
      <c r="AW13" s="288" t="s">
        <v>2032</v>
      </c>
      <c r="AX13" s="288" t="s">
        <v>2032</v>
      </c>
      <c r="AY13" s="288" t="s">
        <v>2032</v>
      </c>
      <c r="AZ13" s="288" t="s">
        <v>2032</v>
      </c>
      <c r="BA13" s="288" t="s">
        <v>2032</v>
      </c>
      <c r="BB13" s="288" t="s">
        <v>2032</v>
      </c>
      <c r="BC13" s="288" t="s">
        <v>2032</v>
      </c>
      <c r="BD13" s="289">
        <f t="shared" si="0"/>
        <v>0</v>
      </c>
      <c r="BE13" s="287" t="s">
        <v>1489</v>
      </c>
      <c r="BF13" s="272"/>
    </row>
    <row r="14" spans="1:58" ht="14.25" customHeight="1" x14ac:dyDescent="0.35">
      <c r="A14" s="68">
        <v>12</v>
      </c>
      <c r="B14" s="24" t="s">
        <v>1581</v>
      </c>
      <c r="C14" s="24">
        <v>2024</v>
      </c>
      <c r="D14" s="24" t="s">
        <v>1541</v>
      </c>
      <c r="E14" s="269" t="str">
        <f ca="1">IFERROR(__xludf.DUMMYFUNCTION("ARRAYFORMULA(JOIN("""", ARRAYFORMULA(MID(SPLIT(F14, "" ""), 1, 1))))
&amp;""/""&amp;G14"),"MC/2 Primaria")</f>
        <v>MC/2 Primaria</v>
      </c>
      <c r="F14" s="24" t="s">
        <v>1582</v>
      </c>
      <c r="G14" s="248" t="s">
        <v>45</v>
      </c>
      <c r="H14" s="248" t="s">
        <v>1621</v>
      </c>
      <c r="I14" s="248" t="s">
        <v>1622</v>
      </c>
      <c r="J14" s="248" t="s">
        <v>1623</v>
      </c>
      <c r="K14" s="248" t="s">
        <v>1586</v>
      </c>
      <c r="L14" s="272"/>
      <c r="M14" s="286"/>
      <c r="N14" s="286"/>
      <c r="O14" s="286"/>
      <c r="P14" s="286"/>
      <c r="Q14" s="286"/>
      <c r="R14" s="286"/>
      <c r="S14" s="286"/>
      <c r="T14" s="286"/>
      <c r="U14" s="286"/>
      <c r="V14" s="286"/>
      <c r="W14" s="286"/>
      <c r="X14" s="286"/>
      <c r="Y14" s="286"/>
      <c r="Z14" s="286"/>
      <c r="AA14" s="286"/>
      <c r="AB14" s="286"/>
      <c r="AC14" s="286"/>
      <c r="AD14" s="286"/>
      <c r="AE14" s="286"/>
      <c r="AF14" s="286"/>
      <c r="AG14" s="283">
        <v>0</v>
      </c>
      <c r="AH14" s="287" t="s">
        <v>1489</v>
      </c>
      <c r="AI14" s="272"/>
      <c r="AJ14" s="288" t="s">
        <v>2032</v>
      </c>
      <c r="AK14" s="288" t="s">
        <v>2032</v>
      </c>
      <c r="AL14" s="288" t="s">
        <v>2032</v>
      </c>
      <c r="AM14" s="288" t="s">
        <v>2032</v>
      </c>
      <c r="AN14" s="288" t="s">
        <v>2032</v>
      </c>
      <c r="AO14" s="288" t="s">
        <v>2032</v>
      </c>
      <c r="AP14" s="288" t="s">
        <v>2032</v>
      </c>
      <c r="AQ14" s="288" t="s">
        <v>2032</v>
      </c>
      <c r="AR14" s="288" t="s">
        <v>2032</v>
      </c>
      <c r="AS14" s="288" t="s">
        <v>2032</v>
      </c>
      <c r="AT14" s="288" t="s">
        <v>2032</v>
      </c>
      <c r="AU14" s="288" t="s">
        <v>2032</v>
      </c>
      <c r="AV14" s="288" t="s">
        <v>2032</v>
      </c>
      <c r="AW14" s="288" t="s">
        <v>2032</v>
      </c>
      <c r="AX14" s="288" t="s">
        <v>2032</v>
      </c>
      <c r="AY14" s="288" t="s">
        <v>2032</v>
      </c>
      <c r="AZ14" s="288" t="s">
        <v>2032</v>
      </c>
      <c r="BA14" s="288" t="s">
        <v>2032</v>
      </c>
      <c r="BB14" s="288" t="s">
        <v>2032</v>
      </c>
      <c r="BC14" s="288" t="s">
        <v>2032</v>
      </c>
      <c r="BD14" s="289">
        <f t="shared" si="0"/>
        <v>0</v>
      </c>
      <c r="BE14" s="287" t="s">
        <v>1489</v>
      </c>
      <c r="BF14" s="272"/>
    </row>
    <row r="15" spans="1:58" ht="14.25" customHeight="1" x14ac:dyDescent="0.35">
      <c r="A15" s="68">
        <v>13</v>
      </c>
      <c r="B15" s="24" t="s">
        <v>1581</v>
      </c>
      <c r="C15" s="24">
        <v>2024</v>
      </c>
      <c r="D15" s="24" t="s">
        <v>1541</v>
      </c>
      <c r="E15" s="269" t="str">
        <f ca="1">IFERROR(__xludf.DUMMYFUNCTION("ARRAYFORMULA(JOIN("""", ARRAYFORMULA(MID(SPLIT(F15, "" ""), 1, 1))))
&amp;""/""&amp;G15"),"MC/2 Primaria")</f>
        <v>MC/2 Primaria</v>
      </c>
      <c r="F15" s="24" t="s">
        <v>1582</v>
      </c>
      <c r="G15" s="248" t="s">
        <v>45</v>
      </c>
      <c r="H15" s="248" t="s">
        <v>1624</v>
      </c>
      <c r="I15" s="248" t="s">
        <v>1625</v>
      </c>
      <c r="J15" s="248" t="s">
        <v>1626</v>
      </c>
      <c r="K15" s="248" t="s">
        <v>1593</v>
      </c>
      <c r="L15" s="272"/>
      <c r="M15" s="286" t="s">
        <v>1587</v>
      </c>
      <c r="N15" s="286" t="s">
        <v>1589</v>
      </c>
      <c r="O15" s="286" t="s">
        <v>1587</v>
      </c>
      <c r="P15" s="286" t="s">
        <v>1587</v>
      </c>
      <c r="Q15" s="286" t="s">
        <v>1587</v>
      </c>
      <c r="R15" s="286" t="s">
        <v>1588</v>
      </c>
      <c r="S15" s="286" t="s">
        <v>1587</v>
      </c>
      <c r="T15" s="286" t="s">
        <v>1589</v>
      </c>
      <c r="U15" s="286" t="s">
        <v>1587</v>
      </c>
      <c r="V15" s="286" t="s">
        <v>1588</v>
      </c>
      <c r="W15" s="286" t="s">
        <v>1589</v>
      </c>
      <c r="X15" s="286" t="s">
        <v>1588</v>
      </c>
      <c r="Y15" s="286" t="s">
        <v>1589</v>
      </c>
      <c r="Z15" s="286" t="s">
        <v>1589</v>
      </c>
      <c r="AA15" s="286" t="s">
        <v>1589</v>
      </c>
      <c r="AB15" s="286" t="s">
        <v>1589</v>
      </c>
      <c r="AC15" s="286" t="s">
        <v>1587</v>
      </c>
      <c r="AD15" s="286" t="s">
        <v>1588</v>
      </c>
      <c r="AE15" s="286" t="s">
        <v>1588</v>
      </c>
      <c r="AF15" s="286" t="s">
        <v>1587</v>
      </c>
      <c r="AG15" s="283">
        <v>19</v>
      </c>
      <c r="AH15" s="287" t="s">
        <v>25</v>
      </c>
      <c r="AI15" s="272"/>
      <c r="AJ15" s="288" t="s">
        <v>2032</v>
      </c>
      <c r="AK15" s="288" t="s">
        <v>2032</v>
      </c>
      <c r="AL15" s="288" t="s">
        <v>2032</v>
      </c>
      <c r="AM15" s="288" t="s">
        <v>2032</v>
      </c>
      <c r="AN15" s="288" t="s">
        <v>2032</v>
      </c>
      <c r="AO15" s="288" t="s">
        <v>2032</v>
      </c>
      <c r="AP15" s="288" t="s">
        <v>2032</v>
      </c>
      <c r="AQ15" s="288" t="s">
        <v>2032</v>
      </c>
      <c r="AR15" s="288" t="s">
        <v>2032</v>
      </c>
      <c r="AS15" s="288" t="s">
        <v>2032</v>
      </c>
      <c r="AT15" s="288" t="s">
        <v>2032</v>
      </c>
      <c r="AU15" s="288" t="s">
        <v>2032</v>
      </c>
      <c r="AV15" s="288" t="s">
        <v>2032</v>
      </c>
      <c r="AW15" s="288" t="s">
        <v>2032</v>
      </c>
      <c r="AX15" s="288" t="s">
        <v>2032</v>
      </c>
      <c r="AY15" s="288" t="s">
        <v>2032</v>
      </c>
      <c r="AZ15" s="288" t="s">
        <v>2032</v>
      </c>
      <c r="BA15" s="288" t="s">
        <v>2032</v>
      </c>
      <c r="BB15" s="288" t="s">
        <v>2032</v>
      </c>
      <c r="BC15" s="288" t="s">
        <v>2032</v>
      </c>
      <c r="BD15" s="289">
        <f t="shared" si="0"/>
        <v>0</v>
      </c>
      <c r="BE15" s="287" t="s">
        <v>1489</v>
      </c>
      <c r="BF15" s="272"/>
    </row>
    <row r="16" spans="1:58" ht="14.25" customHeight="1" x14ac:dyDescent="0.35">
      <c r="A16" s="68">
        <v>14</v>
      </c>
      <c r="B16" s="24" t="s">
        <v>1581</v>
      </c>
      <c r="C16" s="24">
        <v>2024</v>
      </c>
      <c r="D16" s="24" t="s">
        <v>1541</v>
      </c>
      <c r="E16" s="269" t="str">
        <f ca="1">IFERROR(__xludf.DUMMYFUNCTION("ARRAYFORMULA(JOIN("""", ARRAYFORMULA(MID(SPLIT(F16, "" ""), 1, 1))))
&amp;""/""&amp;G16"),"MC/2 Primaria")</f>
        <v>MC/2 Primaria</v>
      </c>
      <c r="F16" s="24" t="s">
        <v>1582</v>
      </c>
      <c r="G16" s="248" t="s">
        <v>45</v>
      </c>
      <c r="H16" s="248" t="s">
        <v>1627</v>
      </c>
      <c r="I16" s="248" t="s">
        <v>1612</v>
      </c>
      <c r="J16" s="248" t="s">
        <v>1628</v>
      </c>
      <c r="K16" s="248" t="s">
        <v>1586</v>
      </c>
      <c r="L16" s="272"/>
      <c r="M16" s="286" t="s">
        <v>1587</v>
      </c>
      <c r="N16" s="286" t="s">
        <v>1587</v>
      </c>
      <c r="O16" s="286" t="s">
        <v>1588</v>
      </c>
      <c r="P16" s="286" t="s">
        <v>1587</v>
      </c>
      <c r="Q16" s="286" t="s">
        <v>1587</v>
      </c>
      <c r="R16" s="286" t="s">
        <v>1588</v>
      </c>
      <c r="S16" s="286" t="s">
        <v>1589</v>
      </c>
      <c r="T16" s="286" t="s">
        <v>1589</v>
      </c>
      <c r="U16" s="286" t="s">
        <v>1589</v>
      </c>
      <c r="V16" s="286" t="s">
        <v>1589</v>
      </c>
      <c r="W16" s="286" t="s">
        <v>1587</v>
      </c>
      <c r="X16" s="286" t="s">
        <v>1588</v>
      </c>
      <c r="Y16" s="286"/>
      <c r="Z16" s="286" t="s">
        <v>1588</v>
      </c>
      <c r="AA16" s="286" t="s">
        <v>1587</v>
      </c>
      <c r="AB16" s="286"/>
      <c r="AC16" s="286"/>
      <c r="AD16" s="286" t="s">
        <v>1588</v>
      </c>
      <c r="AE16" s="286" t="s">
        <v>1587</v>
      </c>
      <c r="AF16" s="286"/>
      <c r="AG16" s="283">
        <v>7</v>
      </c>
      <c r="AH16" s="287" t="s">
        <v>19</v>
      </c>
      <c r="AI16" s="272"/>
      <c r="AJ16" s="288" t="s">
        <v>2032</v>
      </c>
      <c r="AK16" s="288" t="s">
        <v>2032</v>
      </c>
      <c r="AL16" s="288" t="s">
        <v>2032</v>
      </c>
      <c r="AM16" s="288" t="s">
        <v>2032</v>
      </c>
      <c r="AN16" s="288" t="s">
        <v>2032</v>
      </c>
      <c r="AO16" s="288" t="s">
        <v>2032</v>
      </c>
      <c r="AP16" s="288" t="s">
        <v>2032</v>
      </c>
      <c r="AQ16" s="288" t="s">
        <v>2032</v>
      </c>
      <c r="AR16" s="288" t="s">
        <v>2032</v>
      </c>
      <c r="AS16" s="288" t="s">
        <v>2032</v>
      </c>
      <c r="AT16" s="288" t="s">
        <v>2032</v>
      </c>
      <c r="AU16" s="288" t="s">
        <v>2032</v>
      </c>
      <c r="AV16" s="288" t="s">
        <v>2032</v>
      </c>
      <c r="AW16" s="288" t="s">
        <v>2032</v>
      </c>
      <c r="AX16" s="288" t="s">
        <v>2032</v>
      </c>
      <c r="AY16" s="288" t="s">
        <v>2032</v>
      </c>
      <c r="AZ16" s="288" t="s">
        <v>2032</v>
      </c>
      <c r="BA16" s="288" t="s">
        <v>2032</v>
      </c>
      <c r="BB16" s="288" t="s">
        <v>2032</v>
      </c>
      <c r="BC16" s="288" t="s">
        <v>2032</v>
      </c>
      <c r="BD16" s="289">
        <f t="shared" si="0"/>
        <v>0</v>
      </c>
      <c r="BE16" s="287" t="s">
        <v>1489</v>
      </c>
      <c r="BF16" s="272"/>
    </row>
    <row r="17" spans="1:58" ht="14.25" customHeight="1" x14ac:dyDescent="0.35">
      <c r="A17" s="68">
        <v>15</v>
      </c>
      <c r="B17" s="24" t="s">
        <v>1581</v>
      </c>
      <c r="C17" s="24">
        <v>2024</v>
      </c>
      <c r="D17" s="24" t="s">
        <v>1541</v>
      </c>
      <c r="E17" s="269" t="str">
        <f ca="1">IFERROR(__xludf.DUMMYFUNCTION("ARRAYFORMULA(JOIN("""", ARRAYFORMULA(MID(SPLIT(F17, "" ""), 1, 1))))
&amp;""/""&amp;G17"),"MC/2 Primaria")</f>
        <v>MC/2 Primaria</v>
      </c>
      <c r="F17" s="24" t="s">
        <v>1582</v>
      </c>
      <c r="G17" s="248" t="s">
        <v>45</v>
      </c>
      <c r="H17" s="248" t="s">
        <v>1629</v>
      </c>
      <c r="I17" s="248" t="s">
        <v>1612</v>
      </c>
      <c r="J17" s="248" t="s">
        <v>1630</v>
      </c>
      <c r="K17" s="248" t="s">
        <v>1593</v>
      </c>
      <c r="L17" s="272"/>
      <c r="M17" s="286" t="s">
        <v>1589</v>
      </c>
      <c r="N17" s="286" t="s">
        <v>1589</v>
      </c>
      <c r="O17" s="286" t="s">
        <v>1587</v>
      </c>
      <c r="P17" s="286" t="s">
        <v>1588</v>
      </c>
      <c r="Q17" s="286" t="s">
        <v>1587</v>
      </c>
      <c r="R17" s="286"/>
      <c r="S17" s="286" t="s">
        <v>1587</v>
      </c>
      <c r="T17" s="286" t="s">
        <v>1589</v>
      </c>
      <c r="U17" s="286" t="s">
        <v>1587</v>
      </c>
      <c r="V17" s="286" t="s">
        <v>1588</v>
      </c>
      <c r="W17" s="286" t="s">
        <v>1589</v>
      </c>
      <c r="X17" s="286" t="s">
        <v>1588</v>
      </c>
      <c r="Y17" s="286" t="s">
        <v>1589</v>
      </c>
      <c r="Z17" s="286" t="s">
        <v>1589</v>
      </c>
      <c r="AA17" s="286" t="s">
        <v>1588</v>
      </c>
      <c r="AB17" s="286" t="s">
        <v>1589</v>
      </c>
      <c r="AC17" s="286" t="s">
        <v>1587</v>
      </c>
      <c r="AD17" s="286" t="s">
        <v>1588</v>
      </c>
      <c r="AE17" s="286" t="s">
        <v>1587</v>
      </c>
      <c r="AF17" s="286" t="s">
        <v>1587</v>
      </c>
      <c r="AG17" s="283">
        <v>15</v>
      </c>
      <c r="AH17" s="287" t="s">
        <v>23</v>
      </c>
      <c r="AI17" s="272"/>
      <c r="AJ17" s="288" t="s">
        <v>2032</v>
      </c>
      <c r="AK17" s="288" t="s">
        <v>2032</v>
      </c>
      <c r="AL17" s="288" t="s">
        <v>2032</v>
      </c>
      <c r="AM17" s="288" t="s">
        <v>2032</v>
      </c>
      <c r="AN17" s="288" t="s">
        <v>2032</v>
      </c>
      <c r="AO17" s="288" t="s">
        <v>2032</v>
      </c>
      <c r="AP17" s="288" t="s">
        <v>2032</v>
      </c>
      <c r="AQ17" s="288" t="s">
        <v>2032</v>
      </c>
      <c r="AR17" s="288" t="s">
        <v>2032</v>
      </c>
      <c r="AS17" s="288" t="s">
        <v>2032</v>
      </c>
      <c r="AT17" s="288" t="s">
        <v>2032</v>
      </c>
      <c r="AU17" s="288" t="s">
        <v>2032</v>
      </c>
      <c r="AV17" s="288" t="s">
        <v>2032</v>
      </c>
      <c r="AW17" s="288" t="s">
        <v>2032</v>
      </c>
      <c r="AX17" s="288" t="s">
        <v>2032</v>
      </c>
      <c r="AY17" s="288" t="s">
        <v>2032</v>
      </c>
      <c r="AZ17" s="288" t="s">
        <v>2032</v>
      </c>
      <c r="BA17" s="288" t="s">
        <v>2032</v>
      </c>
      <c r="BB17" s="288" t="s">
        <v>2032</v>
      </c>
      <c r="BC17" s="288" t="s">
        <v>2032</v>
      </c>
      <c r="BD17" s="289">
        <f t="shared" si="0"/>
        <v>0</v>
      </c>
      <c r="BE17" s="287" t="s">
        <v>1489</v>
      </c>
      <c r="BF17" s="272"/>
    </row>
    <row r="18" spans="1:58" ht="14.25" customHeight="1" x14ac:dyDescent="0.35">
      <c r="A18" s="68">
        <v>16</v>
      </c>
      <c r="B18" s="24" t="s">
        <v>1581</v>
      </c>
      <c r="C18" s="24">
        <v>2024</v>
      </c>
      <c r="D18" s="24" t="s">
        <v>1541</v>
      </c>
      <c r="E18" s="269" t="str">
        <f ca="1">IFERROR(__xludf.DUMMYFUNCTION("ARRAYFORMULA(JOIN("""", ARRAYFORMULA(MID(SPLIT(F18, "" ""), 1, 1))))
&amp;""/""&amp;G18"),"MC/2 Primaria")</f>
        <v>MC/2 Primaria</v>
      </c>
      <c r="F18" s="24" t="s">
        <v>1582</v>
      </c>
      <c r="G18" s="248" t="s">
        <v>45</v>
      </c>
      <c r="H18" s="248" t="s">
        <v>1631</v>
      </c>
      <c r="I18" s="248" t="s">
        <v>1604</v>
      </c>
      <c r="J18" s="248" t="s">
        <v>1632</v>
      </c>
      <c r="K18" s="248" t="s">
        <v>1593</v>
      </c>
      <c r="L18" s="272"/>
      <c r="M18" s="286" t="s">
        <v>1587</v>
      </c>
      <c r="N18" s="286" t="s">
        <v>1587</v>
      </c>
      <c r="O18" s="286" t="s">
        <v>1588</v>
      </c>
      <c r="P18" s="286" t="s">
        <v>1589</v>
      </c>
      <c r="Q18" s="286" t="s">
        <v>1588</v>
      </c>
      <c r="R18" s="286" t="s">
        <v>1588</v>
      </c>
      <c r="S18" s="286" t="s">
        <v>1588</v>
      </c>
      <c r="T18" s="286" t="s">
        <v>1589</v>
      </c>
      <c r="U18" s="286" t="s">
        <v>1587</v>
      </c>
      <c r="V18" s="286" t="s">
        <v>1588</v>
      </c>
      <c r="W18" s="286" t="s">
        <v>1587</v>
      </c>
      <c r="X18" s="286" t="s">
        <v>1588</v>
      </c>
      <c r="Y18" s="286" t="s">
        <v>1589</v>
      </c>
      <c r="Z18" s="286" t="s">
        <v>1587</v>
      </c>
      <c r="AA18" s="286" t="s">
        <v>1588</v>
      </c>
      <c r="AB18" s="286" t="s">
        <v>1589</v>
      </c>
      <c r="AC18" s="286" t="s">
        <v>1588</v>
      </c>
      <c r="AD18" s="286" t="s">
        <v>1589</v>
      </c>
      <c r="AE18" s="286" t="s">
        <v>1589</v>
      </c>
      <c r="AF18" s="286" t="s">
        <v>1588</v>
      </c>
      <c r="AG18" s="283">
        <v>9</v>
      </c>
      <c r="AH18" s="287" t="s">
        <v>19</v>
      </c>
      <c r="AI18" s="272"/>
      <c r="AJ18" s="288" t="s">
        <v>2032</v>
      </c>
      <c r="AK18" s="288" t="s">
        <v>2032</v>
      </c>
      <c r="AL18" s="288" t="s">
        <v>2032</v>
      </c>
      <c r="AM18" s="288" t="s">
        <v>2032</v>
      </c>
      <c r="AN18" s="288" t="s">
        <v>2032</v>
      </c>
      <c r="AO18" s="288" t="s">
        <v>2032</v>
      </c>
      <c r="AP18" s="288" t="s">
        <v>2032</v>
      </c>
      <c r="AQ18" s="288" t="s">
        <v>2032</v>
      </c>
      <c r="AR18" s="288" t="s">
        <v>2032</v>
      </c>
      <c r="AS18" s="288" t="s">
        <v>2032</v>
      </c>
      <c r="AT18" s="288" t="s">
        <v>2032</v>
      </c>
      <c r="AU18" s="288" t="s">
        <v>2032</v>
      </c>
      <c r="AV18" s="288" t="s">
        <v>2032</v>
      </c>
      <c r="AW18" s="288" t="s">
        <v>2032</v>
      </c>
      <c r="AX18" s="288" t="s">
        <v>2032</v>
      </c>
      <c r="AY18" s="288" t="s">
        <v>2032</v>
      </c>
      <c r="AZ18" s="288" t="s">
        <v>2032</v>
      </c>
      <c r="BA18" s="288" t="s">
        <v>2032</v>
      </c>
      <c r="BB18" s="288" t="s">
        <v>2032</v>
      </c>
      <c r="BC18" s="288" t="s">
        <v>2032</v>
      </c>
      <c r="BD18" s="289">
        <f t="shared" si="0"/>
        <v>0</v>
      </c>
      <c r="BE18" s="287" t="s">
        <v>1489</v>
      </c>
      <c r="BF18" s="272"/>
    </row>
    <row r="19" spans="1:58" ht="14.25" customHeight="1" x14ac:dyDescent="0.35">
      <c r="A19" s="68">
        <v>17</v>
      </c>
      <c r="B19" s="24" t="s">
        <v>1581</v>
      </c>
      <c r="C19" s="24">
        <v>2024</v>
      </c>
      <c r="D19" s="24" t="s">
        <v>1541</v>
      </c>
      <c r="E19" s="269" t="str">
        <f ca="1">IFERROR(__xludf.DUMMYFUNCTION("ARRAYFORMULA(JOIN("""", ARRAYFORMULA(MID(SPLIT(F19, "" ""), 1, 1))))
&amp;""/""&amp;G19"),"MC/2 Primaria")</f>
        <v>MC/2 Primaria</v>
      </c>
      <c r="F19" s="24" t="s">
        <v>1582</v>
      </c>
      <c r="G19" s="248" t="s">
        <v>45</v>
      </c>
      <c r="H19" s="248" t="s">
        <v>1633</v>
      </c>
      <c r="I19" s="248" t="s">
        <v>1634</v>
      </c>
      <c r="J19" s="248" t="s">
        <v>1635</v>
      </c>
      <c r="K19" s="248" t="s">
        <v>1586</v>
      </c>
      <c r="L19" s="272"/>
      <c r="M19" s="286" t="s">
        <v>1588</v>
      </c>
      <c r="N19" s="286" t="s">
        <v>1587</v>
      </c>
      <c r="O19" s="286" t="s">
        <v>1589</v>
      </c>
      <c r="P19" s="286" t="s">
        <v>1588</v>
      </c>
      <c r="Q19" s="286" t="s">
        <v>1587</v>
      </c>
      <c r="R19" s="286" t="s">
        <v>1588</v>
      </c>
      <c r="S19" s="286" t="s">
        <v>1587</v>
      </c>
      <c r="T19" s="286" t="s">
        <v>1588</v>
      </c>
      <c r="U19" s="286" t="s">
        <v>1587</v>
      </c>
      <c r="V19" s="286" t="s">
        <v>1588</v>
      </c>
      <c r="W19" s="286" t="s">
        <v>1587</v>
      </c>
      <c r="X19" s="286" t="s">
        <v>1588</v>
      </c>
      <c r="Y19" s="286" t="s">
        <v>1587</v>
      </c>
      <c r="Z19" s="286" t="s">
        <v>1588</v>
      </c>
      <c r="AA19" s="286" t="s">
        <v>1587</v>
      </c>
      <c r="AB19" s="286" t="s">
        <v>1588</v>
      </c>
      <c r="AC19" s="286" t="s">
        <v>1587</v>
      </c>
      <c r="AD19" s="286" t="s">
        <v>1588</v>
      </c>
      <c r="AE19" s="286" t="s">
        <v>1587</v>
      </c>
      <c r="AF19" s="286" t="s">
        <v>1588</v>
      </c>
      <c r="AG19" s="283">
        <v>8</v>
      </c>
      <c r="AH19" s="287" t="s">
        <v>19</v>
      </c>
      <c r="AI19" s="272"/>
      <c r="AJ19" s="288" t="s">
        <v>2032</v>
      </c>
      <c r="AK19" s="288" t="s">
        <v>2032</v>
      </c>
      <c r="AL19" s="288" t="s">
        <v>2032</v>
      </c>
      <c r="AM19" s="288" t="s">
        <v>2032</v>
      </c>
      <c r="AN19" s="288" t="s">
        <v>2032</v>
      </c>
      <c r="AO19" s="288" t="s">
        <v>2032</v>
      </c>
      <c r="AP19" s="288" t="s">
        <v>2032</v>
      </c>
      <c r="AQ19" s="288" t="s">
        <v>2032</v>
      </c>
      <c r="AR19" s="288" t="s">
        <v>2032</v>
      </c>
      <c r="AS19" s="288" t="s">
        <v>2032</v>
      </c>
      <c r="AT19" s="288" t="s">
        <v>2032</v>
      </c>
      <c r="AU19" s="288" t="s">
        <v>2032</v>
      </c>
      <c r="AV19" s="288" t="s">
        <v>2032</v>
      </c>
      <c r="AW19" s="288" t="s">
        <v>2032</v>
      </c>
      <c r="AX19" s="288" t="s">
        <v>2032</v>
      </c>
      <c r="AY19" s="288" t="s">
        <v>2032</v>
      </c>
      <c r="AZ19" s="288" t="s">
        <v>2032</v>
      </c>
      <c r="BA19" s="288" t="s">
        <v>2032</v>
      </c>
      <c r="BB19" s="288" t="s">
        <v>2032</v>
      </c>
      <c r="BC19" s="288" t="s">
        <v>2032</v>
      </c>
      <c r="BD19" s="289">
        <f t="shared" si="0"/>
        <v>0</v>
      </c>
      <c r="BE19" s="287" t="s">
        <v>1489</v>
      </c>
      <c r="BF19" s="272"/>
    </row>
    <row r="20" spans="1:58" ht="14.25" customHeight="1" x14ac:dyDescent="0.35">
      <c r="A20" s="68">
        <v>18</v>
      </c>
      <c r="B20" s="24" t="s">
        <v>1581</v>
      </c>
      <c r="C20" s="24">
        <v>2024</v>
      </c>
      <c r="D20" s="24" t="s">
        <v>1541</v>
      </c>
      <c r="E20" s="269" t="str">
        <f ca="1">IFERROR(__xludf.DUMMYFUNCTION("ARRAYFORMULA(JOIN("""", ARRAYFORMULA(MID(SPLIT(F20, "" ""), 1, 1))))
&amp;""/""&amp;G20"),"MC/2 Primaria")</f>
        <v>MC/2 Primaria</v>
      </c>
      <c r="F20" s="24" t="s">
        <v>1582</v>
      </c>
      <c r="G20" s="248" t="s">
        <v>45</v>
      </c>
      <c r="H20" s="248" t="s">
        <v>1636</v>
      </c>
      <c r="I20" s="248" t="s">
        <v>1637</v>
      </c>
      <c r="J20" s="248" t="s">
        <v>1638</v>
      </c>
      <c r="K20" s="248" t="s">
        <v>1593</v>
      </c>
      <c r="L20" s="272"/>
      <c r="M20" s="286" t="s">
        <v>1587</v>
      </c>
      <c r="N20" s="286" t="s">
        <v>1589</v>
      </c>
      <c r="O20" s="286" t="s">
        <v>1587</v>
      </c>
      <c r="P20" s="286" t="s">
        <v>1587</v>
      </c>
      <c r="Q20" s="286" t="s">
        <v>1587</v>
      </c>
      <c r="R20" s="286" t="s">
        <v>1588</v>
      </c>
      <c r="S20" s="286" t="s">
        <v>1587</v>
      </c>
      <c r="T20" s="286" t="s">
        <v>1589</v>
      </c>
      <c r="U20" s="286" t="s">
        <v>1587</v>
      </c>
      <c r="V20" s="286" t="s">
        <v>1588</v>
      </c>
      <c r="W20" s="286" t="s">
        <v>1589</v>
      </c>
      <c r="X20" s="286" t="s">
        <v>1588</v>
      </c>
      <c r="Y20" s="286" t="s">
        <v>1589</v>
      </c>
      <c r="Z20" s="286" t="s">
        <v>1589</v>
      </c>
      <c r="AA20" s="286" t="s">
        <v>1589</v>
      </c>
      <c r="AB20" s="286" t="s">
        <v>1589</v>
      </c>
      <c r="AC20" s="286" t="s">
        <v>1587</v>
      </c>
      <c r="AD20" s="286" t="s">
        <v>1588</v>
      </c>
      <c r="AE20" s="286" t="s">
        <v>1589</v>
      </c>
      <c r="AF20" s="286" t="s">
        <v>1589</v>
      </c>
      <c r="AG20" s="283">
        <v>19</v>
      </c>
      <c r="AH20" s="287" t="s">
        <v>25</v>
      </c>
      <c r="AI20" s="272"/>
      <c r="AJ20" s="288" t="s">
        <v>2032</v>
      </c>
      <c r="AK20" s="288" t="s">
        <v>2032</v>
      </c>
      <c r="AL20" s="288" t="s">
        <v>2032</v>
      </c>
      <c r="AM20" s="288" t="s">
        <v>2032</v>
      </c>
      <c r="AN20" s="288" t="s">
        <v>2032</v>
      </c>
      <c r="AO20" s="288" t="s">
        <v>2032</v>
      </c>
      <c r="AP20" s="288" t="s">
        <v>2032</v>
      </c>
      <c r="AQ20" s="288" t="s">
        <v>2032</v>
      </c>
      <c r="AR20" s="288" t="s">
        <v>2032</v>
      </c>
      <c r="AS20" s="288" t="s">
        <v>2032</v>
      </c>
      <c r="AT20" s="288" t="s">
        <v>2032</v>
      </c>
      <c r="AU20" s="288" t="s">
        <v>2032</v>
      </c>
      <c r="AV20" s="288" t="s">
        <v>2032</v>
      </c>
      <c r="AW20" s="288" t="s">
        <v>2032</v>
      </c>
      <c r="AX20" s="288" t="s">
        <v>2032</v>
      </c>
      <c r="AY20" s="288" t="s">
        <v>2032</v>
      </c>
      <c r="AZ20" s="288" t="s">
        <v>2032</v>
      </c>
      <c r="BA20" s="288" t="s">
        <v>2032</v>
      </c>
      <c r="BB20" s="288" t="s">
        <v>2032</v>
      </c>
      <c r="BC20" s="288" t="s">
        <v>2032</v>
      </c>
      <c r="BD20" s="289">
        <f t="shared" si="0"/>
        <v>0</v>
      </c>
      <c r="BE20" s="287" t="s">
        <v>1489</v>
      </c>
      <c r="BF20" s="272"/>
    </row>
    <row r="21" spans="1:58" ht="14.25" customHeight="1" x14ac:dyDescent="0.35">
      <c r="A21" s="68">
        <v>19</v>
      </c>
      <c r="B21" s="24" t="s">
        <v>1581</v>
      </c>
      <c r="C21" s="24">
        <v>2024</v>
      </c>
      <c r="D21" s="24" t="s">
        <v>1541</v>
      </c>
      <c r="E21" s="269" t="str">
        <f ca="1">IFERROR(__xludf.DUMMYFUNCTION("ARRAYFORMULA(JOIN("""", ARRAYFORMULA(MID(SPLIT(F21, "" ""), 1, 1))))
&amp;""/""&amp;G21"),"MC/2 Primaria")</f>
        <v>MC/2 Primaria</v>
      </c>
      <c r="F21" s="24" t="s">
        <v>1582</v>
      </c>
      <c r="G21" s="248" t="s">
        <v>45</v>
      </c>
      <c r="H21" s="248" t="s">
        <v>1639</v>
      </c>
      <c r="I21" s="248" t="s">
        <v>1640</v>
      </c>
      <c r="J21" s="248" t="s">
        <v>1641</v>
      </c>
      <c r="K21" s="248" t="s">
        <v>1586</v>
      </c>
      <c r="L21" s="272"/>
      <c r="M21" s="286" t="s">
        <v>1587</v>
      </c>
      <c r="N21" s="286" t="s">
        <v>1589</v>
      </c>
      <c r="O21" s="286" t="s">
        <v>1589</v>
      </c>
      <c r="P21" s="286" t="s">
        <v>1587</v>
      </c>
      <c r="Q21" s="286" t="s">
        <v>1587</v>
      </c>
      <c r="R21" s="286" t="s">
        <v>1588</v>
      </c>
      <c r="S21" s="286" t="s">
        <v>1587</v>
      </c>
      <c r="T21" s="286" t="s">
        <v>1589</v>
      </c>
      <c r="U21" s="286" t="s">
        <v>1587</v>
      </c>
      <c r="V21" s="286" t="s">
        <v>1588</v>
      </c>
      <c r="W21" s="286" t="s">
        <v>1589</v>
      </c>
      <c r="X21" s="286" t="s">
        <v>1588</v>
      </c>
      <c r="Y21" s="286" t="s">
        <v>1589</v>
      </c>
      <c r="Z21" s="286" t="s">
        <v>1589</v>
      </c>
      <c r="AA21" s="286" t="s">
        <v>1589</v>
      </c>
      <c r="AB21" s="286" t="s">
        <v>1589</v>
      </c>
      <c r="AC21" s="286" t="s">
        <v>1587</v>
      </c>
      <c r="AD21" s="286" t="s">
        <v>1588</v>
      </c>
      <c r="AE21" s="286" t="s">
        <v>1587</v>
      </c>
      <c r="AF21" s="286" t="s">
        <v>1587</v>
      </c>
      <c r="AG21" s="283">
        <v>18</v>
      </c>
      <c r="AH21" s="287" t="s">
        <v>25</v>
      </c>
      <c r="AI21" s="272"/>
      <c r="AJ21" s="288" t="s">
        <v>2032</v>
      </c>
      <c r="AK21" s="288" t="s">
        <v>2032</v>
      </c>
      <c r="AL21" s="288" t="s">
        <v>2032</v>
      </c>
      <c r="AM21" s="288" t="s">
        <v>2032</v>
      </c>
      <c r="AN21" s="288" t="s">
        <v>2032</v>
      </c>
      <c r="AO21" s="288" t="s">
        <v>2032</v>
      </c>
      <c r="AP21" s="288" t="s">
        <v>2032</v>
      </c>
      <c r="AQ21" s="288" t="s">
        <v>2032</v>
      </c>
      <c r="AR21" s="288" t="s">
        <v>2032</v>
      </c>
      <c r="AS21" s="288" t="s">
        <v>2032</v>
      </c>
      <c r="AT21" s="288" t="s">
        <v>2032</v>
      </c>
      <c r="AU21" s="288" t="s">
        <v>2032</v>
      </c>
      <c r="AV21" s="288" t="s">
        <v>2032</v>
      </c>
      <c r="AW21" s="288" t="s">
        <v>2032</v>
      </c>
      <c r="AX21" s="288" t="s">
        <v>2032</v>
      </c>
      <c r="AY21" s="288" t="s">
        <v>2032</v>
      </c>
      <c r="AZ21" s="288" t="s">
        <v>2032</v>
      </c>
      <c r="BA21" s="288" t="s">
        <v>2032</v>
      </c>
      <c r="BB21" s="288" t="s">
        <v>2032</v>
      </c>
      <c r="BC21" s="288" t="s">
        <v>2032</v>
      </c>
      <c r="BD21" s="289">
        <f t="shared" si="0"/>
        <v>0</v>
      </c>
      <c r="BE21" s="287" t="s">
        <v>1489</v>
      </c>
      <c r="BF21" s="272"/>
    </row>
    <row r="22" spans="1:58" ht="14.25" customHeight="1" x14ac:dyDescent="0.35">
      <c r="A22" s="68">
        <v>20</v>
      </c>
      <c r="B22" s="24" t="s">
        <v>1581</v>
      </c>
      <c r="C22" s="24">
        <v>2024</v>
      </c>
      <c r="D22" s="24" t="s">
        <v>1541</v>
      </c>
      <c r="E22" s="269" t="str">
        <f ca="1">IFERROR(__xludf.DUMMYFUNCTION("ARRAYFORMULA(JOIN("""", ARRAYFORMULA(MID(SPLIT(F22, "" ""), 1, 1))))
&amp;""/""&amp;G22"),"MC/2 Primaria")</f>
        <v>MC/2 Primaria</v>
      </c>
      <c r="F22" s="24" t="s">
        <v>1582</v>
      </c>
      <c r="G22" s="248" t="s">
        <v>45</v>
      </c>
      <c r="H22" s="248" t="s">
        <v>1642</v>
      </c>
      <c r="I22" s="248" t="s">
        <v>1590</v>
      </c>
      <c r="J22" s="248" t="s">
        <v>1643</v>
      </c>
      <c r="K22" s="248" t="s">
        <v>1593</v>
      </c>
      <c r="L22" s="272"/>
      <c r="M22" s="286" t="s">
        <v>1587</v>
      </c>
      <c r="N22" s="286" t="s">
        <v>1589</v>
      </c>
      <c r="O22" s="286" t="s">
        <v>1587</v>
      </c>
      <c r="P22" s="286" t="s">
        <v>1587</v>
      </c>
      <c r="Q22" s="286" t="s">
        <v>1587</v>
      </c>
      <c r="R22" s="286" t="s">
        <v>1588</v>
      </c>
      <c r="S22" s="286" t="s">
        <v>1587</v>
      </c>
      <c r="T22" s="286" t="s">
        <v>1589</v>
      </c>
      <c r="U22" s="286" t="s">
        <v>1587</v>
      </c>
      <c r="V22" s="286" t="s">
        <v>1588</v>
      </c>
      <c r="W22" s="286" t="s">
        <v>1589</v>
      </c>
      <c r="X22" s="286" t="s">
        <v>1588</v>
      </c>
      <c r="Y22" s="286" t="s">
        <v>1589</v>
      </c>
      <c r="Z22" s="286" t="s">
        <v>1589</v>
      </c>
      <c r="AA22" s="286" t="s">
        <v>1589</v>
      </c>
      <c r="AB22" s="286"/>
      <c r="AC22" s="286"/>
      <c r="AD22" s="286"/>
      <c r="AE22" s="286"/>
      <c r="AF22" s="286" t="s">
        <v>1587</v>
      </c>
      <c r="AG22" s="283">
        <v>16</v>
      </c>
      <c r="AH22" s="287" t="s">
        <v>23</v>
      </c>
      <c r="AI22" s="272"/>
      <c r="AJ22" s="288" t="s">
        <v>2032</v>
      </c>
      <c r="AK22" s="288" t="s">
        <v>2032</v>
      </c>
      <c r="AL22" s="288" t="s">
        <v>2032</v>
      </c>
      <c r="AM22" s="288" t="s">
        <v>2032</v>
      </c>
      <c r="AN22" s="288" t="s">
        <v>2032</v>
      </c>
      <c r="AO22" s="288" t="s">
        <v>2032</v>
      </c>
      <c r="AP22" s="288" t="s">
        <v>2032</v>
      </c>
      <c r="AQ22" s="288" t="s">
        <v>2032</v>
      </c>
      <c r="AR22" s="288" t="s">
        <v>2032</v>
      </c>
      <c r="AS22" s="288" t="s">
        <v>2032</v>
      </c>
      <c r="AT22" s="288" t="s">
        <v>2032</v>
      </c>
      <c r="AU22" s="288" t="s">
        <v>2032</v>
      </c>
      <c r="AV22" s="288" t="s">
        <v>2032</v>
      </c>
      <c r="AW22" s="288" t="s">
        <v>2032</v>
      </c>
      <c r="AX22" s="288" t="s">
        <v>2032</v>
      </c>
      <c r="AY22" s="288" t="s">
        <v>2032</v>
      </c>
      <c r="AZ22" s="288" t="s">
        <v>2032</v>
      </c>
      <c r="BA22" s="288" t="s">
        <v>2032</v>
      </c>
      <c r="BB22" s="288" t="s">
        <v>2032</v>
      </c>
      <c r="BC22" s="288" t="s">
        <v>2032</v>
      </c>
      <c r="BD22" s="289">
        <f t="shared" si="0"/>
        <v>0</v>
      </c>
      <c r="BE22" s="287" t="s">
        <v>1489</v>
      </c>
      <c r="BF22" s="272"/>
    </row>
    <row r="23" spans="1:58" ht="14.25" customHeight="1" x14ac:dyDescent="0.35">
      <c r="A23" s="68">
        <v>21</v>
      </c>
      <c r="B23" s="24" t="s">
        <v>1581</v>
      </c>
      <c r="C23" s="24">
        <v>2024</v>
      </c>
      <c r="D23" s="24" t="s">
        <v>1541</v>
      </c>
      <c r="E23" s="269" t="str">
        <f ca="1">IFERROR(__xludf.DUMMYFUNCTION("ARRAYFORMULA(JOIN("""", ARRAYFORMULA(MID(SPLIT(F23, "" ""), 1, 1))))
&amp;""/""&amp;G23"),"MC/2 Primaria")</f>
        <v>MC/2 Primaria</v>
      </c>
      <c r="F23" s="24" t="s">
        <v>1582</v>
      </c>
      <c r="G23" s="248" t="s">
        <v>45</v>
      </c>
      <c r="H23" s="248" t="s">
        <v>1644</v>
      </c>
      <c r="I23" s="248" t="s">
        <v>1645</v>
      </c>
      <c r="J23" s="248" t="s">
        <v>1646</v>
      </c>
      <c r="K23" s="248" t="s">
        <v>1586</v>
      </c>
      <c r="L23" s="272"/>
      <c r="M23" s="286" t="s">
        <v>1587</v>
      </c>
      <c r="N23" s="286" t="s">
        <v>1589</v>
      </c>
      <c r="O23" s="286" t="s">
        <v>1588</v>
      </c>
      <c r="P23" s="286" t="s">
        <v>1589</v>
      </c>
      <c r="Q23" s="286" t="s">
        <v>1587</v>
      </c>
      <c r="R23" s="286" t="s">
        <v>1588</v>
      </c>
      <c r="S23" s="286" t="s">
        <v>1589</v>
      </c>
      <c r="T23" s="286" t="s">
        <v>1589</v>
      </c>
      <c r="U23" s="286" t="s">
        <v>1589</v>
      </c>
      <c r="V23" s="286" t="s">
        <v>1587</v>
      </c>
      <c r="W23" s="286" t="s">
        <v>1587</v>
      </c>
      <c r="X23" s="286" t="s">
        <v>1588</v>
      </c>
      <c r="Y23" s="286" t="s">
        <v>1589</v>
      </c>
      <c r="Z23" s="286" t="s">
        <v>1588</v>
      </c>
      <c r="AA23" s="286" t="s">
        <v>1587</v>
      </c>
      <c r="AB23" s="286"/>
      <c r="AC23" s="286"/>
      <c r="AD23" s="286"/>
      <c r="AE23" s="286"/>
      <c r="AF23" s="286"/>
      <c r="AG23" s="283">
        <v>7</v>
      </c>
      <c r="AH23" s="287" t="s">
        <v>19</v>
      </c>
      <c r="AI23" s="272"/>
      <c r="AJ23" s="288" t="s">
        <v>2032</v>
      </c>
      <c r="AK23" s="288" t="s">
        <v>2032</v>
      </c>
      <c r="AL23" s="288" t="s">
        <v>2032</v>
      </c>
      <c r="AM23" s="288" t="s">
        <v>2032</v>
      </c>
      <c r="AN23" s="288" t="s">
        <v>2032</v>
      </c>
      <c r="AO23" s="288" t="s">
        <v>2032</v>
      </c>
      <c r="AP23" s="288" t="s">
        <v>2032</v>
      </c>
      <c r="AQ23" s="288" t="s">
        <v>2032</v>
      </c>
      <c r="AR23" s="288" t="s">
        <v>2032</v>
      </c>
      <c r="AS23" s="288" t="s">
        <v>2032</v>
      </c>
      <c r="AT23" s="288" t="s">
        <v>2032</v>
      </c>
      <c r="AU23" s="288" t="s">
        <v>2032</v>
      </c>
      <c r="AV23" s="288" t="s">
        <v>2032</v>
      </c>
      <c r="AW23" s="288" t="s">
        <v>2032</v>
      </c>
      <c r="AX23" s="288" t="s">
        <v>2032</v>
      </c>
      <c r="AY23" s="288" t="s">
        <v>2032</v>
      </c>
      <c r="AZ23" s="288" t="s">
        <v>2032</v>
      </c>
      <c r="BA23" s="288" t="s">
        <v>2032</v>
      </c>
      <c r="BB23" s="288" t="s">
        <v>2032</v>
      </c>
      <c r="BC23" s="288" t="s">
        <v>2032</v>
      </c>
      <c r="BD23" s="289">
        <f t="shared" si="0"/>
        <v>0</v>
      </c>
      <c r="BE23" s="287" t="s">
        <v>1489</v>
      </c>
      <c r="BF23" s="272"/>
    </row>
    <row r="24" spans="1:58" ht="14.25" customHeight="1" x14ac:dyDescent="0.35">
      <c r="A24" s="68">
        <v>22</v>
      </c>
      <c r="B24" s="24" t="s">
        <v>1581</v>
      </c>
      <c r="C24" s="24">
        <v>2024</v>
      </c>
      <c r="D24" s="24" t="s">
        <v>1541</v>
      </c>
      <c r="E24" s="269" t="str">
        <f ca="1">IFERROR(__xludf.DUMMYFUNCTION("ARRAYFORMULA(JOIN("""", ARRAYFORMULA(MID(SPLIT(F24, "" ""), 1, 1))))
&amp;""/""&amp;G24"),"MC/2 Primaria")</f>
        <v>MC/2 Primaria</v>
      </c>
      <c r="F24" s="24" t="s">
        <v>1582</v>
      </c>
      <c r="G24" s="248" t="s">
        <v>45</v>
      </c>
      <c r="H24" s="248" t="s">
        <v>1647</v>
      </c>
      <c r="I24" s="248" t="s">
        <v>1648</v>
      </c>
      <c r="J24" s="248" t="s">
        <v>1649</v>
      </c>
      <c r="K24" s="248" t="s">
        <v>1593</v>
      </c>
      <c r="L24" s="272"/>
      <c r="M24" s="286"/>
      <c r="N24" s="286"/>
      <c r="O24" s="286"/>
      <c r="P24" s="286"/>
      <c r="Q24" s="286"/>
      <c r="R24" s="286"/>
      <c r="S24" s="286"/>
      <c r="T24" s="286"/>
      <c r="U24" s="286"/>
      <c r="V24" s="286"/>
      <c r="W24" s="286"/>
      <c r="X24" s="286"/>
      <c r="Y24" s="286"/>
      <c r="Z24" s="286"/>
      <c r="AA24" s="286"/>
      <c r="AB24" s="286"/>
      <c r="AC24" s="286"/>
      <c r="AD24" s="286"/>
      <c r="AE24" s="286"/>
      <c r="AF24" s="286"/>
      <c r="AG24" s="283">
        <v>0</v>
      </c>
      <c r="AH24" s="287" t="s">
        <v>1489</v>
      </c>
      <c r="AI24" s="272"/>
      <c r="AJ24" s="288" t="s">
        <v>2032</v>
      </c>
      <c r="AK24" s="288" t="s">
        <v>2032</v>
      </c>
      <c r="AL24" s="288" t="s">
        <v>2032</v>
      </c>
      <c r="AM24" s="288" t="s">
        <v>2032</v>
      </c>
      <c r="AN24" s="288" t="s">
        <v>2032</v>
      </c>
      <c r="AO24" s="288" t="s">
        <v>2032</v>
      </c>
      <c r="AP24" s="288" t="s">
        <v>2032</v>
      </c>
      <c r="AQ24" s="288" t="s">
        <v>2032</v>
      </c>
      <c r="AR24" s="288" t="s">
        <v>2032</v>
      </c>
      <c r="AS24" s="288" t="s">
        <v>2032</v>
      </c>
      <c r="AT24" s="288" t="s">
        <v>2032</v>
      </c>
      <c r="AU24" s="288" t="s">
        <v>2032</v>
      </c>
      <c r="AV24" s="288" t="s">
        <v>2032</v>
      </c>
      <c r="AW24" s="288" t="s">
        <v>2032</v>
      </c>
      <c r="AX24" s="288" t="s">
        <v>2032</v>
      </c>
      <c r="AY24" s="288" t="s">
        <v>2032</v>
      </c>
      <c r="AZ24" s="288" t="s">
        <v>2032</v>
      </c>
      <c r="BA24" s="288" t="s">
        <v>2032</v>
      </c>
      <c r="BB24" s="288" t="s">
        <v>2032</v>
      </c>
      <c r="BC24" s="288" t="s">
        <v>2032</v>
      </c>
      <c r="BD24" s="289">
        <f t="shared" si="0"/>
        <v>0</v>
      </c>
      <c r="BE24" s="287" t="s">
        <v>1489</v>
      </c>
      <c r="BF24" s="272"/>
    </row>
    <row r="25" spans="1:58" ht="14.25" customHeight="1" x14ac:dyDescent="0.35">
      <c r="A25" s="68">
        <v>23</v>
      </c>
      <c r="B25" s="24" t="s">
        <v>1581</v>
      </c>
      <c r="C25" s="24">
        <v>2024</v>
      </c>
      <c r="D25" s="24" t="s">
        <v>1541</v>
      </c>
      <c r="E25" s="269" t="str">
        <f ca="1">IFERROR(__xludf.DUMMYFUNCTION("ARRAYFORMULA(JOIN("""", ARRAYFORMULA(MID(SPLIT(F25, "" ""), 1, 1))))
&amp;""/""&amp;G25"),"MC/4 Primaria")</f>
        <v>MC/4 Primaria</v>
      </c>
      <c r="F25" s="24" t="s">
        <v>1582</v>
      </c>
      <c r="G25" s="248" t="s">
        <v>16</v>
      </c>
      <c r="H25" s="248" t="s">
        <v>1650</v>
      </c>
      <c r="I25" s="248" t="s">
        <v>1651</v>
      </c>
      <c r="J25" s="248" t="s">
        <v>1652</v>
      </c>
      <c r="K25" s="248" t="s">
        <v>1586</v>
      </c>
      <c r="L25" s="272"/>
      <c r="M25" s="286" t="s">
        <v>1617</v>
      </c>
      <c r="N25" s="286" t="s">
        <v>1589</v>
      </c>
      <c r="O25" s="286" t="s">
        <v>1617</v>
      </c>
      <c r="P25" s="286" t="s">
        <v>1617</v>
      </c>
      <c r="Q25" s="286" t="s">
        <v>1589</v>
      </c>
      <c r="R25" s="286" t="s">
        <v>1588</v>
      </c>
      <c r="S25" s="286" t="s">
        <v>1587</v>
      </c>
      <c r="T25" s="286" t="s">
        <v>1617</v>
      </c>
      <c r="U25" s="286" t="s">
        <v>1588</v>
      </c>
      <c r="V25" s="286" t="s">
        <v>1588</v>
      </c>
      <c r="W25" s="286" t="s">
        <v>1588</v>
      </c>
      <c r="X25" s="286" t="s">
        <v>1589</v>
      </c>
      <c r="Y25" s="286" t="s">
        <v>1588</v>
      </c>
      <c r="Z25" s="286" t="s">
        <v>1617</v>
      </c>
      <c r="AA25" s="286" t="s">
        <v>1588</v>
      </c>
      <c r="AB25" s="286" t="s">
        <v>1587</v>
      </c>
      <c r="AC25" s="286" t="s">
        <v>1589</v>
      </c>
      <c r="AD25" s="286" t="s">
        <v>1589</v>
      </c>
      <c r="AE25" s="286" t="s">
        <v>1587</v>
      </c>
      <c r="AF25" s="286" t="s">
        <v>1588</v>
      </c>
      <c r="AG25" s="283">
        <v>18</v>
      </c>
      <c r="AH25" s="287" t="s">
        <v>25</v>
      </c>
      <c r="AI25" s="272"/>
      <c r="AJ25" s="288" t="s">
        <v>2032</v>
      </c>
      <c r="AK25" s="288" t="s">
        <v>2032</v>
      </c>
      <c r="AL25" s="288" t="s">
        <v>2032</v>
      </c>
      <c r="AM25" s="288" t="s">
        <v>2032</v>
      </c>
      <c r="AN25" s="288" t="s">
        <v>2032</v>
      </c>
      <c r="AO25" s="288" t="s">
        <v>2032</v>
      </c>
      <c r="AP25" s="288" t="s">
        <v>2032</v>
      </c>
      <c r="AQ25" s="288" t="s">
        <v>2032</v>
      </c>
      <c r="AR25" s="288" t="s">
        <v>2032</v>
      </c>
      <c r="AS25" s="288" t="s">
        <v>2032</v>
      </c>
      <c r="AT25" s="288" t="s">
        <v>2032</v>
      </c>
      <c r="AU25" s="288" t="s">
        <v>2032</v>
      </c>
      <c r="AV25" s="288" t="s">
        <v>2032</v>
      </c>
      <c r="AW25" s="288" t="s">
        <v>2032</v>
      </c>
      <c r="AX25" s="288" t="s">
        <v>2032</v>
      </c>
      <c r="AY25" s="288" t="s">
        <v>2032</v>
      </c>
      <c r="AZ25" s="288" t="s">
        <v>2032</v>
      </c>
      <c r="BA25" s="288" t="s">
        <v>2032</v>
      </c>
      <c r="BB25" s="288" t="s">
        <v>2032</v>
      </c>
      <c r="BC25" s="288" t="s">
        <v>2032</v>
      </c>
      <c r="BD25" s="289">
        <f t="shared" si="0"/>
        <v>0</v>
      </c>
      <c r="BE25" s="287" t="s">
        <v>1489</v>
      </c>
      <c r="BF25" s="272"/>
    </row>
    <row r="26" spans="1:58" ht="14.25" customHeight="1" x14ac:dyDescent="0.35">
      <c r="A26" s="68">
        <v>24</v>
      </c>
      <c r="B26" s="24" t="s">
        <v>1581</v>
      </c>
      <c r="C26" s="24">
        <v>2024</v>
      </c>
      <c r="D26" s="24" t="s">
        <v>1541</v>
      </c>
      <c r="E26" s="269" t="str">
        <f ca="1">IFERROR(__xludf.DUMMYFUNCTION("ARRAYFORMULA(JOIN("""", ARRAYFORMULA(MID(SPLIT(F26, "" ""), 1, 1))))
&amp;""/""&amp;G26"),"MC/4 Primaria")</f>
        <v>MC/4 Primaria</v>
      </c>
      <c r="F26" s="24" t="s">
        <v>1582</v>
      </c>
      <c r="G26" s="248" t="s">
        <v>16</v>
      </c>
      <c r="H26" s="248" t="s">
        <v>1653</v>
      </c>
      <c r="I26" s="248" t="s">
        <v>1654</v>
      </c>
      <c r="J26" s="248" t="s">
        <v>1655</v>
      </c>
      <c r="K26" s="248" t="s">
        <v>1593</v>
      </c>
      <c r="L26" s="272"/>
      <c r="M26" s="286" t="s">
        <v>1617</v>
      </c>
      <c r="N26" s="286" t="s">
        <v>1589</v>
      </c>
      <c r="O26" s="286" t="s">
        <v>1617</v>
      </c>
      <c r="P26" s="286" t="s">
        <v>1617</v>
      </c>
      <c r="Q26" s="286" t="s">
        <v>1589</v>
      </c>
      <c r="R26" s="286" t="s">
        <v>1588</v>
      </c>
      <c r="S26" s="286" t="s">
        <v>1588</v>
      </c>
      <c r="T26" s="286" t="s">
        <v>1589</v>
      </c>
      <c r="U26" s="286" t="s">
        <v>1588</v>
      </c>
      <c r="V26" s="286" t="s">
        <v>1588</v>
      </c>
      <c r="W26" s="286" t="s">
        <v>1588</v>
      </c>
      <c r="X26" s="286" t="s">
        <v>1589</v>
      </c>
      <c r="Y26" s="286" t="s">
        <v>1588</v>
      </c>
      <c r="Z26" s="286" t="s">
        <v>1617</v>
      </c>
      <c r="AA26" s="286" t="s">
        <v>1588</v>
      </c>
      <c r="AB26" s="286" t="s">
        <v>1587</v>
      </c>
      <c r="AC26" s="286" t="s">
        <v>1617</v>
      </c>
      <c r="AD26" s="286" t="s">
        <v>1589</v>
      </c>
      <c r="AE26" s="286" t="s">
        <v>1587</v>
      </c>
      <c r="AF26" s="286" t="s">
        <v>1588</v>
      </c>
      <c r="AG26" s="283">
        <v>17</v>
      </c>
      <c r="AH26" s="287" t="s">
        <v>25</v>
      </c>
      <c r="AI26" s="272"/>
      <c r="AJ26" s="288" t="s">
        <v>2032</v>
      </c>
      <c r="AK26" s="288" t="s">
        <v>2032</v>
      </c>
      <c r="AL26" s="288" t="s">
        <v>2032</v>
      </c>
      <c r="AM26" s="288" t="s">
        <v>2032</v>
      </c>
      <c r="AN26" s="288" t="s">
        <v>2032</v>
      </c>
      <c r="AO26" s="288" t="s">
        <v>2032</v>
      </c>
      <c r="AP26" s="288" t="s">
        <v>2032</v>
      </c>
      <c r="AQ26" s="288" t="s">
        <v>2032</v>
      </c>
      <c r="AR26" s="288" t="s">
        <v>2032</v>
      </c>
      <c r="AS26" s="288" t="s">
        <v>2032</v>
      </c>
      <c r="AT26" s="288" t="s">
        <v>2032</v>
      </c>
      <c r="AU26" s="288" t="s">
        <v>2032</v>
      </c>
      <c r="AV26" s="288" t="s">
        <v>2032</v>
      </c>
      <c r="AW26" s="288" t="s">
        <v>2032</v>
      </c>
      <c r="AX26" s="288" t="s">
        <v>2032</v>
      </c>
      <c r="AY26" s="288" t="s">
        <v>2032</v>
      </c>
      <c r="AZ26" s="288" t="s">
        <v>2032</v>
      </c>
      <c r="BA26" s="288" t="s">
        <v>2032</v>
      </c>
      <c r="BB26" s="288" t="s">
        <v>2032</v>
      </c>
      <c r="BC26" s="288" t="s">
        <v>2032</v>
      </c>
      <c r="BD26" s="289">
        <f t="shared" si="0"/>
        <v>0</v>
      </c>
      <c r="BE26" s="287" t="s">
        <v>1489</v>
      </c>
      <c r="BF26" s="272"/>
    </row>
    <row r="27" spans="1:58" ht="14.25" customHeight="1" x14ac:dyDescent="0.35">
      <c r="A27" s="68">
        <v>25</v>
      </c>
      <c r="B27" s="24" t="s">
        <v>1581</v>
      </c>
      <c r="C27" s="24">
        <v>2024</v>
      </c>
      <c r="D27" s="24" t="s">
        <v>1541</v>
      </c>
      <c r="E27" s="269" t="str">
        <f ca="1">IFERROR(__xludf.DUMMYFUNCTION("ARRAYFORMULA(JOIN("""", ARRAYFORMULA(MID(SPLIT(F27, "" ""), 1, 1))))
&amp;""/""&amp;G27"),"MC/4 Primaria")</f>
        <v>MC/4 Primaria</v>
      </c>
      <c r="F27" s="24" t="s">
        <v>1582</v>
      </c>
      <c r="G27" s="248" t="s">
        <v>16</v>
      </c>
      <c r="H27" s="248" t="s">
        <v>1656</v>
      </c>
      <c r="I27" s="248" t="s">
        <v>1657</v>
      </c>
      <c r="J27" s="248" t="s">
        <v>1658</v>
      </c>
      <c r="K27" s="248" t="s">
        <v>1593</v>
      </c>
      <c r="L27" s="272"/>
      <c r="M27" s="286" t="s">
        <v>1588</v>
      </c>
      <c r="N27" s="286" t="s">
        <v>1587</v>
      </c>
      <c r="O27" s="286" t="s">
        <v>1617</v>
      </c>
      <c r="P27" s="286" t="s">
        <v>1617</v>
      </c>
      <c r="Q27" s="286" t="s">
        <v>1617</v>
      </c>
      <c r="R27" s="286" t="s">
        <v>1588</v>
      </c>
      <c r="S27" s="286" t="s">
        <v>1589</v>
      </c>
      <c r="T27" s="286" t="s">
        <v>1589</v>
      </c>
      <c r="U27" s="286" t="s">
        <v>1587</v>
      </c>
      <c r="V27" s="286" t="s">
        <v>1587</v>
      </c>
      <c r="W27" s="286" t="s">
        <v>1587</v>
      </c>
      <c r="X27" s="286" t="s">
        <v>1589</v>
      </c>
      <c r="Y27" s="286" t="s">
        <v>1589</v>
      </c>
      <c r="Z27" s="286" t="s">
        <v>1589</v>
      </c>
      <c r="AA27" s="286" t="s">
        <v>1587</v>
      </c>
      <c r="AB27" s="286"/>
      <c r="AC27" s="286"/>
      <c r="AD27" s="286" t="s">
        <v>1587</v>
      </c>
      <c r="AE27" s="286" t="s">
        <v>1587</v>
      </c>
      <c r="AF27" s="286" t="s">
        <v>1589</v>
      </c>
      <c r="AG27" s="283">
        <v>6</v>
      </c>
      <c r="AH27" s="287" t="s">
        <v>19</v>
      </c>
      <c r="AI27" s="272"/>
      <c r="AJ27" s="288" t="s">
        <v>2032</v>
      </c>
      <c r="AK27" s="288" t="s">
        <v>2032</v>
      </c>
      <c r="AL27" s="288" t="s">
        <v>2032</v>
      </c>
      <c r="AM27" s="288" t="s">
        <v>2032</v>
      </c>
      <c r="AN27" s="288" t="s">
        <v>2032</v>
      </c>
      <c r="AO27" s="288" t="s">
        <v>2032</v>
      </c>
      <c r="AP27" s="288" t="s">
        <v>2032</v>
      </c>
      <c r="AQ27" s="288" t="s">
        <v>2032</v>
      </c>
      <c r="AR27" s="288" t="s">
        <v>2032</v>
      </c>
      <c r="AS27" s="288" t="s">
        <v>2032</v>
      </c>
      <c r="AT27" s="288" t="s">
        <v>2032</v>
      </c>
      <c r="AU27" s="288" t="s">
        <v>2032</v>
      </c>
      <c r="AV27" s="288" t="s">
        <v>2032</v>
      </c>
      <c r="AW27" s="288" t="s">
        <v>2032</v>
      </c>
      <c r="AX27" s="288" t="s">
        <v>2032</v>
      </c>
      <c r="AY27" s="288" t="s">
        <v>2032</v>
      </c>
      <c r="AZ27" s="288" t="s">
        <v>2032</v>
      </c>
      <c r="BA27" s="288" t="s">
        <v>2032</v>
      </c>
      <c r="BB27" s="288" t="s">
        <v>2032</v>
      </c>
      <c r="BC27" s="288" t="s">
        <v>2032</v>
      </c>
      <c r="BD27" s="289">
        <f t="shared" si="0"/>
        <v>0</v>
      </c>
      <c r="BE27" s="287" t="s">
        <v>1489</v>
      </c>
      <c r="BF27" s="272"/>
    </row>
    <row r="28" spans="1:58" ht="14.25" customHeight="1" x14ac:dyDescent="0.35">
      <c r="A28" s="68">
        <v>26</v>
      </c>
      <c r="B28" s="24" t="s">
        <v>1581</v>
      </c>
      <c r="C28" s="24">
        <v>2024</v>
      </c>
      <c r="D28" s="24" t="s">
        <v>1541</v>
      </c>
      <c r="E28" s="269" t="str">
        <f ca="1">IFERROR(__xludf.DUMMYFUNCTION("ARRAYFORMULA(JOIN("""", ARRAYFORMULA(MID(SPLIT(F28, "" ""), 1, 1))))
&amp;""/""&amp;G28"),"MC/4 Primaria")</f>
        <v>MC/4 Primaria</v>
      </c>
      <c r="F28" s="24" t="s">
        <v>1582</v>
      </c>
      <c r="G28" s="248" t="s">
        <v>16</v>
      </c>
      <c r="H28" s="248" t="s">
        <v>1595</v>
      </c>
      <c r="I28" s="248" t="s">
        <v>1659</v>
      </c>
      <c r="J28" s="248" t="s">
        <v>1660</v>
      </c>
      <c r="K28" s="248" t="s">
        <v>1586</v>
      </c>
      <c r="L28" s="272"/>
      <c r="M28" s="286" t="s">
        <v>1617</v>
      </c>
      <c r="N28" s="286" t="s">
        <v>1587</v>
      </c>
      <c r="O28" s="286" t="s">
        <v>1617</v>
      </c>
      <c r="P28" s="286" t="s">
        <v>1617</v>
      </c>
      <c r="Q28" s="286" t="s">
        <v>1589</v>
      </c>
      <c r="R28" s="286" t="s">
        <v>1589</v>
      </c>
      <c r="S28" s="286" t="s">
        <v>1587</v>
      </c>
      <c r="T28" s="286" t="s">
        <v>1589</v>
      </c>
      <c r="U28" s="286" t="s">
        <v>1588</v>
      </c>
      <c r="V28" s="286" t="s">
        <v>1587</v>
      </c>
      <c r="W28" s="286" t="s">
        <v>1589</v>
      </c>
      <c r="X28" s="286" t="s">
        <v>1588</v>
      </c>
      <c r="Y28" s="286" t="s">
        <v>1589</v>
      </c>
      <c r="Z28" s="286" t="s">
        <v>1589</v>
      </c>
      <c r="AA28" s="286" t="s">
        <v>1588</v>
      </c>
      <c r="AB28" s="286" t="s">
        <v>1587</v>
      </c>
      <c r="AC28" s="286" t="s">
        <v>1589</v>
      </c>
      <c r="AD28" s="286" t="s">
        <v>1589</v>
      </c>
      <c r="AE28" s="286" t="s">
        <v>1587</v>
      </c>
      <c r="AF28" s="286" t="s">
        <v>1588</v>
      </c>
      <c r="AG28" s="283">
        <v>13</v>
      </c>
      <c r="AH28" s="287" t="s">
        <v>23</v>
      </c>
      <c r="AI28" s="272"/>
      <c r="AJ28" s="288" t="s">
        <v>2032</v>
      </c>
      <c r="AK28" s="288" t="s">
        <v>2032</v>
      </c>
      <c r="AL28" s="288" t="s">
        <v>2032</v>
      </c>
      <c r="AM28" s="288" t="s">
        <v>2032</v>
      </c>
      <c r="AN28" s="288" t="s">
        <v>2032</v>
      </c>
      <c r="AO28" s="288" t="s">
        <v>2032</v>
      </c>
      <c r="AP28" s="288" t="s">
        <v>2032</v>
      </c>
      <c r="AQ28" s="288" t="s">
        <v>2032</v>
      </c>
      <c r="AR28" s="288" t="s">
        <v>2032</v>
      </c>
      <c r="AS28" s="288" t="s">
        <v>2032</v>
      </c>
      <c r="AT28" s="288" t="s">
        <v>2032</v>
      </c>
      <c r="AU28" s="288" t="s">
        <v>2032</v>
      </c>
      <c r="AV28" s="288" t="s">
        <v>2032</v>
      </c>
      <c r="AW28" s="288" t="s">
        <v>2032</v>
      </c>
      <c r="AX28" s="288" t="s">
        <v>2032</v>
      </c>
      <c r="AY28" s="288" t="s">
        <v>2032</v>
      </c>
      <c r="AZ28" s="288" t="s">
        <v>2032</v>
      </c>
      <c r="BA28" s="288" t="s">
        <v>2032</v>
      </c>
      <c r="BB28" s="288" t="s">
        <v>2032</v>
      </c>
      <c r="BC28" s="288" t="s">
        <v>2032</v>
      </c>
      <c r="BD28" s="289">
        <f t="shared" si="0"/>
        <v>0</v>
      </c>
      <c r="BE28" s="287" t="s">
        <v>1489</v>
      </c>
      <c r="BF28" s="272"/>
    </row>
    <row r="29" spans="1:58" ht="14.25" customHeight="1" x14ac:dyDescent="0.35">
      <c r="A29" s="68">
        <v>27</v>
      </c>
      <c r="B29" s="24" t="s">
        <v>1581</v>
      </c>
      <c r="C29" s="24">
        <v>2024</v>
      </c>
      <c r="D29" s="24" t="s">
        <v>1541</v>
      </c>
      <c r="E29" s="269" t="str">
        <f ca="1">IFERROR(__xludf.DUMMYFUNCTION("ARRAYFORMULA(JOIN("""", ARRAYFORMULA(MID(SPLIT(F29, "" ""), 1, 1))))
&amp;""/""&amp;G29"),"MC/4 Primaria")</f>
        <v>MC/4 Primaria</v>
      </c>
      <c r="F29" s="24" t="s">
        <v>1582</v>
      </c>
      <c r="G29" s="248" t="s">
        <v>16</v>
      </c>
      <c r="H29" s="248" t="s">
        <v>1661</v>
      </c>
      <c r="I29" s="248" t="s">
        <v>1662</v>
      </c>
      <c r="J29" s="248" t="s">
        <v>1663</v>
      </c>
      <c r="K29" s="248" t="s">
        <v>1593</v>
      </c>
      <c r="L29" s="272"/>
      <c r="M29" s="286" t="s">
        <v>1617</v>
      </c>
      <c r="N29" s="286" t="s">
        <v>1589</v>
      </c>
      <c r="O29" s="286" t="s">
        <v>1589</v>
      </c>
      <c r="P29" s="286" t="s">
        <v>1617</v>
      </c>
      <c r="Q29" s="286" t="s">
        <v>1589</v>
      </c>
      <c r="R29" s="286" t="s">
        <v>1588</v>
      </c>
      <c r="S29" s="286" t="s">
        <v>1587</v>
      </c>
      <c r="T29" s="286" t="s">
        <v>1589</v>
      </c>
      <c r="U29" s="286" t="s">
        <v>1588</v>
      </c>
      <c r="V29" s="286" t="s">
        <v>1587</v>
      </c>
      <c r="W29" s="286" t="s">
        <v>1589</v>
      </c>
      <c r="X29" s="286" t="s">
        <v>1589</v>
      </c>
      <c r="Y29" s="286" t="s">
        <v>1617</v>
      </c>
      <c r="Z29" s="286" t="s">
        <v>1617</v>
      </c>
      <c r="AA29" s="286" t="s">
        <v>1588</v>
      </c>
      <c r="AB29" s="286" t="s">
        <v>1588</v>
      </c>
      <c r="AC29" s="286" t="s">
        <v>1589</v>
      </c>
      <c r="AD29" s="286" t="s">
        <v>1589</v>
      </c>
      <c r="AE29" s="286" t="s">
        <v>1587</v>
      </c>
      <c r="AF29" s="286" t="s">
        <v>1588</v>
      </c>
      <c r="AG29" s="283">
        <v>15</v>
      </c>
      <c r="AH29" s="287" t="s">
        <v>23</v>
      </c>
      <c r="AI29" s="272"/>
      <c r="AJ29" s="288" t="s">
        <v>2032</v>
      </c>
      <c r="AK29" s="288" t="s">
        <v>2032</v>
      </c>
      <c r="AL29" s="288" t="s">
        <v>2032</v>
      </c>
      <c r="AM29" s="288" t="s">
        <v>2032</v>
      </c>
      <c r="AN29" s="288" t="s">
        <v>2032</v>
      </c>
      <c r="AO29" s="288" t="s">
        <v>2032</v>
      </c>
      <c r="AP29" s="288" t="s">
        <v>2032</v>
      </c>
      <c r="AQ29" s="288" t="s">
        <v>2032</v>
      </c>
      <c r="AR29" s="288" t="s">
        <v>2032</v>
      </c>
      <c r="AS29" s="288" t="s">
        <v>2032</v>
      </c>
      <c r="AT29" s="288" t="s">
        <v>2032</v>
      </c>
      <c r="AU29" s="288" t="s">
        <v>2032</v>
      </c>
      <c r="AV29" s="288" t="s">
        <v>2032</v>
      </c>
      <c r="AW29" s="288" t="s">
        <v>2032</v>
      </c>
      <c r="AX29" s="288" t="s">
        <v>2032</v>
      </c>
      <c r="AY29" s="288" t="s">
        <v>2032</v>
      </c>
      <c r="AZ29" s="288" t="s">
        <v>2032</v>
      </c>
      <c r="BA29" s="288" t="s">
        <v>2032</v>
      </c>
      <c r="BB29" s="288" t="s">
        <v>2032</v>
      </c>
      <c r="BC29" s="288" t="s">
        <v>2032</v>
      </c>
      <c r="BD29" s="289">
        <f t="shared" si="0"/>
        <v>0</v>
      </c>
      <c r="BE29" s="287" t="s">
        <v>1489</v>
      </c>
      <c r="BF29" s="272"/>
    </row>
    <row r="30" spans="1:58" ht="14.25" customHeight="1" x14ac:dyDescent="0.35">
      <c r="A30" s="68">
        <v>28</v>
      </c>
      <c r="B30" s="24" t="s">
        <v>1581</v>
      </c>
      <c r="C30" s="24">
        <v>2024</v>
      </c>
      <c r="D30" s="24" t="s">
        <v>1541</v>
      </c>
      <c r="E30" s="269" t="str">
        <f ca="1">IFERROR(__xludf.DUMMYFUNCTION("ARRAYFORMULA(JOIN("""", ARRAYFORMULA(MID(SPLIT(F30, "" ""), 1, 1))))
&amp;""/""&amp;G30"),"MC/4 Primaria")</f>
        <v>MC/4 Primaria</v>
      </c>
      <c r="F30" s="24" t="s">
        <v>1582</v>
      </c>
      <c r="G30" s="248" t="s">
        <v>16</v>
      </c>
      <c r="H30" s="248" t="s">
        <v>1644</v>
      </c>
      <c r="I30" s="248" t="s">
        <v>1647</v>
      </c>
      <c r="J30" s="248" t="s">
        <v>1664</v>
      </c>
      <c r="K30" s="248" t="s">
        <v>1586</v>
      </c>
      <c r="L30" s="272"/>
      <c r="M30" s="286" t="s">
        <v>1617</v>
      </c>
      <c r="N30" s="286" t="s">
        <v>1589</v>
      </c>
      <c r="O30" s="286" t="s">
        <v>1617</v>
      </c>
      <c r="P30" s="286" t="s">
        <v>1617</v>
      </c>
      <c r="Q30" s="286" t="s">
        <v>1589</v>
      </c>
      <c r="R30" s="286" t="s">
        <v>1588</v>
      </c>
      <c r="S30" s="286" t="s">
        <v>1589</v>
      </c>
      <c r="T30" s="286" t="s">
        <v>1589</v>
      </c>
      <c r="U30" s="286" t="s">
        <v>1588</v>
      </c>
      <c r="V30" s="286" t="s">
        <v>1589</v>
      </c>
      <c r="W30" s="286" t="s">
        <v>1587</v>
      </c>
      <c r="X30" s="286" t="s">
        <v>1588</v>
      </c>
      <c r="Y30" s="286" t="s">
        <v>1617</v>
      </c>
      <c r="Z30" s="286" t="s">
        <v>1617</v>
      </c>
      <c r="AA30" s="286" t="s">
        <v>1588</v>
      </c>
      <c r="AB30" s="286" t="s">
        <v>1587</v>
      </c>
      <c r="AC30" s="286" t="s">
        <v>1617</v>
      </c>
      <c r="AD30" s="286" t="s">
        <v>1589</v>
      </c>
      <c r="AE30" s="286" t="s">
        <v>1587</v>
      </c>
      <c r="AF30" s="286" t="s">
        <v>1588</v>
      </c>
      <c r="AG30" s="283">
        <v>14</v>
      </c>
      <c r="AH30" s="287" t="s">
        <v>23</v>
      </c>
      <c r="AI30" s="272"/>
      <c r="AJ30" s="288" t="s">
        <v>2032</v>
      </c>
      <c r="AK30" s="288" t="s">
        <v>2032</v>
      </c>
      <c r="AL30" s="288" t="s">
        <v>2032</v>
      </c>
      <c r="AM30" s="288" t="s">
        <v>2032</v>
      </c>
      <c r="AN30" s="288" t="s">
        <v>2032</v>
      </c>
      <c r="AO30" s="288" t="s">
        <v>2032</v>
      </c>
      <c r="AP30" s="288" t="s">
        <v>2032</v>
      </c>
      <c r="AQ30" s="288" t="s">
        <v>2032</v>
      </c>
      <c r="AR30" s="288" t="s">
        <v>2032</v>
      </c>
      <c r="AS30" s="288" t="s">
        <v>2032</v>
      </c>
      <c r="AT30" s="288" t="s">
        <v>2032</v>
      </c>
      <c r="AU30" s="288" t="s">
        <v>2032</v>
      </c>
      <c r="AV30" s="288" t="s">
        <v>2032</v>
      </c>
      <c r="AW30" s="288" t="s">
        <v>2032</v>
      </c>
      <c r="AX30" s="288" t="s">
        <v>2032</v>
      </c>
      <c r="AY30" s="288" t="s">
        <v>2032</v>
      </c>
      <c r="AZ30" s="288" t="s">
        <v>2032</v>
      </c>
      <c r="BA30" s="288" t="s">
        <v>2032</v>
      </c>
      <c r="BB30" s="288" t="s">
        <v>2032</v>
      </c>
      <c r="BC30" s="288" t="s">
        <v>2032</v>
      </c>
      <c r="BD30" s="289">
        <f t="shared" si="0"/>
        <v>0</v>
      </c>
      <c r="BE30" s="287" t="s">
        <v>1489</v>
      </c>
      <c r="BF30" s="272"/>
    </row>
    <row r="31" spans="1:58" ht="14.25" customHeight="1" x14ac:dyDescent="0.35">
      <c r="A31" s="68">
        <v>29</v>
      </c>
      <c r="B31" s="24" t="s">
        <v>1581</v>
      </c>
      <c r="C31" s="24">
        <v>2024</v>
      </c>
      <c r="D31" s="24" t="s">
        <v>1541</v>
      </c>
      <c r="E31" s="269" t="str">
        <f ca="1">IFERROR(__xludf.DUMMYFUNCTION("ARRAYFORMULA(JOIN("""", ARRAYFORMULA(MID(SPLIT(F31, "" ""), 1, 1))))
&amp;""/""&amp;G31"),"MC/4 Primaria")</f>
        <v>MC/4 Primaria</v>
      </c>
      <c r="F31" s="24" t="s">
        <v>1582</v>
      </c>
      <c r="G31" s="248" t="s">
        <v>16</v>
      </c>
      <c r="H31" s="248" t="s">
        <v>1604</v>
      </c>
      <c r="I31" s="248" t="s">
        <v>1665</v>
      </c>
      <c r="J31" s="248" t="s">
        <v>1666</v>
      </c>
      <c r="K31" s="248" t="s">
        <v>1593</v>
      </c>
      <c r="L31" s="272"/>
      <c r="M31" s="286" t="s">
        <v>1617</v>
      </c>
      <c r="N31" s="286" t="s">
        <v>1589</v>
      </c>
      <c r="O31" s="286" t="s">
        <v>1617</v>
      </c>
      <c r="P31" s="286" t="s">
        <v>1617</v>
      </c>
      <c r="Q31" s="286" t="s">
        <v>1589</v>
      </c>
      <c r="R31" s="286" t="s">
        <v>1588</v>
      </c>
      <c r="S31" s="286" t="s">
        <v>1587</v>
      </c>
      <c r="T31" s="286" t="s">
        <v>1589</v>
      </c>
      <c r="U31" s="286" t="s">
        <v>1587</v>
      </c>
      <c r="V31" s="286" t="s">
        <v>1588</v>
      </c>
      <c r="W31" s="286" t="s">
        <v>1589</v>
      </c>
      <c r="X31" s="286" t="s">
        <v>1588</v>
      </c>
      <c r="Y31" s="286" t="s">
        <v>1588</v>
      </c>
      <c r="Z31" s="286" t="s">
        <v>1617</v>
      </c>
      <c r="AA31" s="286" t="s">
        <v>1617</v>
      </c>
      <c r="AB31" s="286" t="s">
        <v>1587</v>
      </c>
      <c r="AC31" s="286" t="s">
        <v>1589</v>
      </c>
      <c r="AD31" s="286" t="s">
        <v>1589</v>
      </c>
      <c r="AE31" s="286" t="s">
        <v>1587</v>
      </c>
      <c r="AF31" s="286" t="s">
        <v>1588</v>
      </c>
      <c r="AG31" s="283">
        <v>16</v>
      </c>
      <c r="AH31" s="287" t="s">
        <v>23</v>
      </c>
      <c r="AI31" s="272"/>
      <c r="AJ31" s="288" t="s">
        <v>2032</v>
      </c>
      <c r="AK31" s="288" t="s">
        <v>2032</v>
      </c>
      <c r="AL31" s="288" t="s">
        <v>2032</v>
      </c>
      <c r="AM31" s="288" t="s">
        <v>2032</v>
      </c>
      <c r="AN31" s="288" t="s">
        <v>2032</v>
      </c>
      <c r="AO31" s="288" t="s">
        <v>2032</v>
      </c>
      <c r="AP31" s="288" t="s">
        <v>2032</v>
      </c>
      <c r="AQ31" s="288" t="s">
        <v>2032</v>
      </c>
      <c r="AR31" s="288" t="s">
        <v>2032</v>
      </c>
      <c r="AS31" s="288" t="s">
        <v>2032</v>
      </c>
      <c r="AT31" s="288" t="s">
        <v>2032</v>
      </c>
      <c r="AU31" s="288" t="s">
        <v>2032</v>
      </c>
      <c r="AV31" s="288" t="s">
        <v>2032</v>
      </c>
      <c r="AW31" s="288" t="s">
        <v>2032</v>
      </c>
      <c r="AX31" s="288" t="s">
        <v>2032</v>
      </c>
      <c r="AY31" s="288" t="s">
        <v>2032</v>
      </c>
      <c r="AZ31" s="288" t="s">
        <v>2032</v>
      </c>
      <c r="BA31" s="288" t="s">
        <v>2032</v>
      </c>
      <c r="BB31" s="288" t="s">
        <v>2032</v>
      </c>
      <c r="BC31" s="288" t="s">
        <v>2032</v>
      </c>
      <c r="BD31" s="289">
        <f t="shared" si="0"/>
        <v>0</v>
      </c>
      <c r="BE31" s="287" t="s">
        <v>1489</v>
      </c>
      <c r="BF31" s="272"/>
    </row>
    <row r="32" spans="1:58" ht="14.25" customHeight="1" x14ac:dyDescent="0.35">
      <c r="A32" s="68">
        <v>30</v>
      </c>
      <c r="B32" s="24" t="s">
        <v>1581</v>
      </c>
      <c r="C32" s="24">
        <v>2024</v>
      </c>
      <c r="D32" s="24" t="s">
        <v>1541</v>
      </c>
      <c r="E32" s="269" t="str">
        <f ca="1">IFERROR(__xludf.DUMMYFUNCTION("ARRAYFORMULA(JOIN("""", ARRAYFORMULA(MID(SPLIT(F32, "" ""), 1, 1))))
&amp;""/""&amp;G32"),"MC/4 Primaria")</f>
        <v>MC/4 Primaria</v>
      </c>
      <c r="F32" s="24" t="s">
        <v>1582</v>
      </c>
      <c r="G32" s="248" t="s">
        <v>16</v>
      </c>
      <c r="H32" s="248" t="s">
        <v>1631</v>
      </c>
      <c r="I32" s="248" t="s">
        <v>1667</v>
      </c>
      <c r="J32" s="248" t="s">
        <v>1668</v>
      </c>
      <c r="K32" s="248" t="s">
        <v>1593</v>
      </c>
      <c r="L32" s="272"/>
      <c r="M32" s="286" t="s">
        <v>1587</v>
      </c>
      <c r="N32" s="286" t="s">
        <v>1588</v>
      </c>
      <c r="O32" s="286" t="s">
        <v>1589</v>
      </c>
      <c r="P32" s="286" t="s">
        <v>1617</v>
      </c>
      <c r="Q32" s="286" t="s">
        <v>1588</v>
      </c>
      <c r="R32" s="286" t="s">
        <v>1587</v>
      </c>
      <c r="S32" s="286" t="s">
        <v>1588</v>
      </c>
      <c r="T32" s="286" t="s">
        <v>1587</v>
      </c>
      <c r="U32" s="286" t="s">
        <v>1587</v>
      </c>
      <c r="V32" s="286" t="s">
        <v>1587</v>
      </c>
      <c r="W32" s="286" t="s">
        <v>1589</v>
      </c>
      <c r="X32" s="286" t="s">
        <v>1617</v>
      </c>
      <c r="Y32" s="286" t="s">
        <v>1589</v>
      </c>
      <c r="Z32" s="286" t="s">
        <v>1589</v>
      </c>
      <c r="AA32" s="286" t="s">
        <v>1617</v>
      </c>
      <c r="AB32" s="286" t="s">
        <v>1587</v>
      </c>
      <c r="AC32" s="286" t="s">
        <v>1589</v>
      </c>
      <c r="AD32" s="286" t="s">
        <v>1589</v>
      </c>
      <c r="AE32" s="286" t="s">
        <v>1587</v>
      </c>
      <c r="AF32" s="286"/>
      <c r="AG32" s="283">
        <v>5</v>
      </c>
      <c r="AH32" s="287" t="s">
        <v>19</v>
      </c>
      <c r="AI32" s="272"/>
      <c r="AJ32" s="288" t="s">
        <v>2032</v>
      </c>
      <c r="AK32" s="288" t="s">
        <v>2032</v>
      </c>
      <c r="AL32" s="288" t="s">
        <v>2032</v>
      </c>
      <c r="AM32" s="288" t="s">
        <v>2032</v>
      </c>
      <c r="AN32" s="288" t="s">
        <v>2032</v>
      </c>
      <c r="AO32" s="288" t="s">
        <v>2032</v>
      </c>
      <c r="AP32" s="288" t="s">
        <v>2032</v>
      </c>
      <c r="AQ32" s="288" t="s">
        <v>2032</v>
      </c>
      <c r="AR32" s="288" t="s">
        <v>2032</v>
      </c>
      <c r="AS32" s="288" t="s">
        <v>2032</v>
      </c>
      <c r="AT32" s="288" t="s">
        <v>2032</v>
      </c>
      <c r="AU32" s="288" t="s">
        <v>2032</v>
      </c>
      <c r="AV32" s="288" t="s">
        <v>2032</v>
      </c>
      <c r="AW32" s="288" t="s">
        <v>2032</v>
      </c>
      <c r="AX32" s="288" t="s">
        <v>2032</v>
      </c>
      <c r="AY32" s="288" t="s">
        <v>2032</v>
      </c>
      <c r="AZ32" s="288" t="s">
        <v>2032</v>
      </c>
      <c r="BA32" s="288" t="s">
        <v>2032</v>
      </c>
      <c r="BB32" s="288" t="s">
        <v>2032</v>
      </c>
      <c r="BC32" s="288" t="s">
        <v>2032</v>
      </c>
      <c r="BD32" s="289">
        <f t="shared" si="0"/>
        <v>0</v>
      </c>
      <c r="BE32" s="287" t="s">
        <v>1489</v>
      </c>
      <c r="BF32" s="272"/>
    </row>
    <row r="33" spans="1:58" ht="14.25" customHeight="1" x14ac:dyDescent="0.35">
      <c r="A33" s="68">
        <v>31</v>
      </c>
      <c r="B33" s="24" t="s">
        <v>1581</v>
      </c>
      <c r="C33" s="24">
        <v>2024</v>
      </c>
      <c r="D33" s="24" t="s">
        <v>1541</v>
      </c>
      <c r="E33" s="269" t="str">
        <f ca="1">IFERROR(__xludf.DUMMYFUNCTION("ARRAYFORMULA(JOIN("""", ARRAYFORMULA(MID(SPLIT(F33, "" ""), 1, 1))))
&amp;""/""&amp;G33"),"MC/4 Primaria")</f>
        <v>MC/4 Primaria</v>
      </c>
      <c r="F33" s="24" t="s">
        <v>1582</v>
      </c>
      <c r="G33" s="248" t="s">
        <v>16</v>
      </c>
      <c r="H33" s="248" t="s">
        <v>1669</v>
      </c>
      <c r="I33" s="248" t="s">
        <v>1670</v>
      </c>
      <c r="J33" s="248" t="s">
        <v>1671</v>
      </c>
      <c r="K33" s="248" t="s">
        <v>1586</v>
      </c>
      <c r="L33" s="272"/>
      <c r="M33" s="286" t="s">
        <v>1587</v>
      </c>
      <c r="N33" s="286" t="s">
        <v>1589</v>
      </c>
      <c r="O33" s="286" t="s">
        <v>1588</v>
      </c>
      <c r="P33" s="286" t="s">
        <v>1587</v>
      </c>
      <c r="Q33" s="286" t="s">
        <v>1617</v>
      </c>
      <c r="R33" s="286" t="s">
        <v>1588</v>
      </c>
      <c r="S33" s="286" t="s">
        <v>1587</v>
      </c>
      <c r="T33" s="286" t="s">
        <v>1589</v>
      </c>
      <c r="U33" s="286" t="s">
        <v>1589</v>
      </c>
      <c r="V33" s="286" t="s">
        <v>1587</v>
      </c>
      <c r="W33" s="286" t="s">
        <v>1617</v>
      </c>
      <c r="X33" s="286" t="s">
        <v>1617</v>
      </c>
      <c r="Y33" s="286" t="s">
        <v>1617</v>
      </c>
      <c r="Z33" s="286" t="s">
        <v>1587</v>
      </c>
      <c r="AA33" s="286" t="s">
        <v>1588</v>
      </c>
      <c r="AB33" s="286" t="s">
        <v>1587</v>
      </c>
      <c r="AC33" s="286"/>
      <c r="AD33" s="286" t="s">
        <v>1587</v>
      </c>
      <c r="AE33" s="286" t="s">
        <v>1587</v>
      </c>
      <c r="AF33" s="286"/>
      <c r="AG33" s="283">
        <v>8</v>
      </c>
      <c r="AH33" s="287" t="s">
        <v>19</v>
      </c>
      <c r="AI33" s="272"/>
      <c r="AJ33" s="288" t="s">
        <v>2032</v>
      </c>
      <c r="AK33" s="288" t="s">
        <v>2032</v>
      </c>
      <c r="AL33" s="288" t="s">
        <v>2032</v>
      </c>
      <c r="AM33" s="288" t="s">
        <v>2032</v>
      </c>
      <c r="AN33" s="288" t="s">
        <v>2032</v>
      </c>
      <c r="AO33" s="288" t="s">
        <v>2032</v>
      </c>
      <c r="AP33" s="288" t="s">
        <v>2032</v>
      </c>
      <c r="AQ33" s="288" t="s">
        <v>2032</v>
      </c>
      <c r="AR33" s="288" t="s">
        <v>2032</v>
      </c>
      <c r="AS33" s="288" t="s">
        <v>2032</v>
      </c>
      <c r="AT33" s="288" t="s">
        <v>2032</v>
      </c>
      <c r="AU33" s="288" t="s">
        <v>2032</v>
      </c>
      <c r="AV33" s="288" t="s">
        <v>2032</v>
      </c>
      <c r="AW33" s="288" t="s">
        <v>2032</v>
      </c>
      <c r="AX33" s="288" t="s">
        <v>2032</v>
      </c>
      <c r="AY33" s="288" t="s">
        <v>2032</v>
      </c>
      <c r="AZ33" s="288" t="s">
        <v>2032</v>
      </c>
      <c r="BA33" s="288" t="s">
        <v>2032</v>
      </c>
      <c r="BB33" s="288" t="s">
        <v>2032</v>
      </c>
      <c r="BC33" s="288" t="s">
        <v>2032</v>
      </c>
      <c r="BD33" s="289">
        <f t="shared" si="0"/>
        <v>0</v>
      </c>
      <c r="BE33" s="287" t="s">
        <v>1489</v>
      </c>
      <c r="BF33" s="272"/>
    </row>
    <row r="34" spans="1:58" ht="14.25" customHeight="1" x14ac:dyDescent="0.35">
      <c r="A34" s="68">
        <v>32</v>
      </c>
      <c r="B34" s="24" t="s">
        <v>1581</v>
      </c>
      <c r="C34" s="24">
        <v>2024</v>
      </c>
      <c r="D34" s="24" t="s">
        <v>1541</v>
      </c>
      <c r="E34" s="269" t="str">
        <f ca="1">IFERROR(__xludf.DUMMYFUNCTION("ARRAYFORMULA(JOIN("""", ARRAYFORMULA(MID(SPLIT(F34, "" ""), 1, 1))))
&amp;""/""&amp;G34"),"MC/4 Primaria")</f>
        <v>MC/4 Primaria</v>
      </c>
      <c r="F34" s="24" t="s">
        <v>1582</v>
      </c>
      <c r="G34" s="248" t="s">
        <v>16</v>
      </c>
      <c r="H34" s="248" t="s">
        <v>1672</v>
      </c>
      <c r="I34" s="248" t="s">
        <v>1656</v>
      </c>
      <c r="J34" s="248" t="s">
        <v>1673</v>
      </c>
      <c r="K34" s="248" t="s">
        <v>1586</v>
      </c>
      <c r="L34" s="272"/>
      <c r="M34" s="286" t="s">
        <v>1617</v>
      </c>
      <c r="N34" s="286" t="s">
        <v>1589</v>
      </c>
      <c r="O34" s="286" t="s">
        <v>1588</v>
      </c>
      <c r="P34" s="286" t="s">
        <v>1588</v>
      </c>
      <c r="Q34" s="286" t="s">
        <v>1588</v>
      </c>
      <c r="R34" s="286" t="s">
        <v>1588</v>
      </c>
      <c r="S34" s="286" t="s">
        <v>1588</v>
      </c>
      <c r="T34" s="286" t="s">
        <v>1588</v>
      </c>
      <c r="U34" s="286" t="s">
        <v>1588</v>
      </c>
      <c r="V34" s="286" t="s">
        <v>1588</v>
      </c>
      <c r="W34" s="286" t="s">
        <v>1617</v>
      </c>
      <c r="X34" s="286" t="s">
        <v>1587</v>
      </c>
      <c r="Y34" s="286" t="s">
        <v>1587</v>
      </c>
      <c r="Z34" s="286" t="s">
        <v>1589</v>
      </c>
      <c r="AA34" s="286" t="s">
        <v>1617</v>
      </c>
      <c r="AB34" s="286" t="s">
        <v>1587</v>
      </c>
      <c r="AC34" s="286" t="s">
        <v>1587</v>
      </c>
      <c r="AD34" s="286" t="s">
        <v>1587</v>
      </c>
      <c r="AE34" s="286" t="s">
        <v>1587</v>
      </c>
      <c r="AF34" s="286" t="s">
        <v>1588</v>
      </c>
      <c r="AG34" s="283">
        <v>9</v>
      </c>
      <c r="AH34" s="287" t="s">
        <v>19</v>
      </c>
      <c r="AI34" s="272"/>
      <c r="AJ34" s="288" t="s">
        <v>2032</v>
      </c>
      <c r="AK34" s="288" t="s">
        <v>2032</v>
      </c>
      <c r="AL34" s="288" t="s">
        <v>2032</v>
      </c>
      <c r="AM34" s="288" t="s">
        <v>2032</v>
      </c>
      <c r="AN34" s="288" t="s">
        <v>2032</v>
      </c>
      <c r="AO34" s="288" t="s">
        <v>2032</v>
      </c>
      <c r="AP34" s="288" t="s">
        <v>2032</v>
      </c>
      <c r="AQ34" s="288" t="s">
        <v>2032</v>
      </c>
      <c r="AR34" s="288" t="s">
        <v>2032</v>
      </c>
      <c r="AS34" s="288" t="s">
        <v>2032</v>
      </c>
      <c r="AT34" s="288" t="s">
        <v>2032</v>
      </c>
      <c r="AU34" s="288" t="s">
        <v>2032</v>
      </c>
      <c r="AV34" s="288" t="s">
        <v>2032</v>
      </c>
      <c r="AW34" s="288" t="s">
        <v>2032</v>
      </c>
      <c r="AX34" s="288" t="s">
        <v>2032</v>
      </c>
      <c r="AY34" s="288" t="s">
        <v>2032</v>
      </c>
      <c r="AZ34" s="288" t="s">
        <v>2032</v>
      </c>
      <c r="BA34" s="288" t="s">
        <v>2032</v>
      </c>
      <c r="BB34" s="288" t="s">
        <v>2032</v>
      </c>
      <c r="BC34" s="288" t="s">
        <v>2032</v>
      </c>
      <c r="BD34" s="289">
        <f t="shared" si="0"/>
        <v>0</v>
      </c>
      <c r="BE34" s="287" t="s">
        <v>1489</v>
      </c>
      <c r="BF34" s="272"/>
    </row>
    <row r="35" spans="1:58" ht="14.25" customHeight="1" x14ac:dyDescent="0.35">
      <c r="A35" s="68">
        <v>33</v>
      </c>
      <c r="B35" s="24" t="s">
        <v>1581</v>
      </c>
      <c r="C35" s="24">
        <v>2024</v>
      </c>
      <c r="D35" s="24" t="s">
        <v>1541</v>
      </c>
      <c r="E35" s="269" t="str">
        <f ca="1">IFERROR(__xludf.DUMMYFUNCTION("ARRAYFORMULA(JOIN("""", ARRAYFORMULA(MID(SPLIT(F35, "" ""), 1, 1))))
&amp;""/""&amp;G35"),"MC/4 Primaria")</f>
        <v>MC/4 Primaria</v>
      </c>
      <c r="F35" s="24" t="s">
        <v>1582</v>
      </c>
      <c r="G35" s="248" t="s">
        <v>16</v>
      </c>
      <c r="H35" s="248" t="s">
        <v>1674</v>
      </c>
      <c r="I35" s="248" t="s">
        <v>1656</v>
      </c>
      <c r="J35" s="248" t="s">
        <v>1675</v>
      </c>
      <c r="K35" s="248" t="s">
        <v>1593</v>
      </c>
      <c r="L35" s="272"/>
      <c r="M35" s="286" t="s">
        <v>1617</v>
      </c>
      <c r="N35" s="286" t="s">
        <v>1589</v>
      </c>
      <c r="O35" s="286" t="s">
        <v>1617</v>
      </c>
      <c r="P35" s="286" t="s">
        <v>1587</v>
      </c>
      <c r="Q35" s="286" t="s">
        <v>1589</v>
      </c>
      <c r="R35" s="286" t="s">
        <v>1589</v>
      </c>
      <c r="S35" s="286" t="s">
        <v>1589</v>
      </c>
      <c r="T35" s="286" t="s">
        <v>1589</v>
      </c>
      <c r="U35" s="286" t="s">
        <v>1617</v>
      </c>
      <c r="V35" s="286" t="s">
        <v>1587</v>
      </c>
      <c r="W35" s="286" t="s">
        <v>1617</v>
      </c>
      <c r="X35" s="286" t="s">
        <v>1617</v>
      </c>
      <c r="Y35" s="286" t="s">
        <v>1588</v>
      </c>
      <c r="Z35" s="286" t="s">
        <v>1617</v>
      </c>
      <c r="AA35" s="286" t="s">
        <v>1587</v>
      </c>
      <c r="AB35" s="286" t="s">
        <v>1587</v>
      </c>
      <c r="AC35" s="286" t="s">
        <v>1589</v>
      </c>
      <c r="AD35" s="286" t="s">
        <v>1589</v>
      </c>
      <c r="AE35" s="286" t="s">
        <v>1587</v>
      </c>
      <c r="AF35" s="286" t="s">
        <v>1588</v>
      </c>
      <c r="AG35" s="283">
        <v>13</v>
      </c>
      <c r="AH35" s="287" t="s">
        <v>23</v>
      </c>
      <c r="AI35" s="272"/>
      <c r="AJ35" s="288" t="s">
        <v>2032</v>
      </c>
      <c r="AK35" s="288" t="s">
        <v>2032</v>
      </c>
      <c r="AL35" s="288" t="s">
        <v>2032</v>
      </c>
      <c r="AM35" s="288" t="s">
        <v>2032</v>
      </c>
      <c r="AN35" s="288" t="s">
        <v>2032</v>
      </c>
      <c r="AO35" s="288" t="s">
        <v>2032</v>
      </c>
      <c r="AP35" s="288" t="s">
        <v>2032</v>
      </c>
      <c r="AQ35" s="288" t="s">
        <v>2032</v>
      </c>
      <c r="AR35" s="288" t="s">
        <v>2032</v>
      </c>
      <c r="AS35" s="288" t="s">
        <v>2032</v>
      </c>
      <c r="AT35" s="288" t="s">
        <v>2032</v>
      </c>
      <c r="AU35" s="288" t="s">
        <v>2032</v>
      </c>
      <c r="AV35" s="288" t="s">
        <v>2032</v>
      </c>
      <c r="AW35" s="288" t="s">
        <v>2032</v>
      </c>
      <c r="AX35" s="288" t="s">
        <v>2032</v>
      </c>
      <c r="AY35" s="288" t="s">
        <v>2032</v>
      </c>
      <c r="AZ35" s="288" t="s">
        <v>2032</v>
      </c>
      <c r="BA35" s="288" t="s">
        <v>2032</v>
      </c>
      <c r="BB35" s="288" t="s">
        <v>2032</v>
      </c>
      <c r="BC35" s="288" t="s">
        <v>2032</v>
      </c>
      <c r="BD35" s="289">
        <f t="shared" si="0"/>
        <v>0</v>
      </c>
      <c r="BE35" s="287" t="s">
        <v>1489</v>
      </c>
      <c r="BF35" s="272"/>
    </row>
    <row r="36" spans="1:58" ht="14.25" customHeight="1" x14ac:dyDescent="0.35">
      <c r="A36" s="68">
        <v>34</v>
      </c>
      <c r="B36" s="24" t="s">
        <v>1581</v>
      </c>
      <c r="C36" s="24">
        <v>2024</v>
      </c>
      <c r="D36" s="24" t="s">
        <v>1541</v>
      </c>
      <c r="E36" s="269" t="str">
        <f ca="1">IFERROR(__xludf.DUMMYFUNCTION("ARRAYFORMULA(JOIN("""", ARRAYFORMULA(MID(SPLIT(F36, "" ""), 1, 1))))
&amp;""/""&amp;G36"),"MC/4 Primaria")</f>
        <v>MC/4 Primaria</v>
      </c>
      <c r="F36" s="24" t="s">
        <v>1582</v>
      </c>
      <c r="G36" s="248" t="s">
        <v>16</v>
      </c>
      <c r="H36" s="248" t="s">
        <v>1676</v>
      </c>
      <c r="I36" s="248" t="s">
        <v>1677</v>
      </c>
      <c r="J36" s="248" t="s">
        <v>1678</v>
      </c>
      <c r="K36" s="248" t="s">
        <v>1593</v>
      </c>
      <c r="L36" s="272"/>
      <c r="M36" s="286"/>
      <c r="N36" s="286"/>
      <c r="O36" s="286"/>
      <c r="P36" s="286"/>
      <c r="Q36" s="286"/>
      <c r="R36" s="286"/>
      <c r="S36" s="286"/>
      <c r="T36" s="286"/>
      <c r="U36" s="286"/>
      <c r="V36" s="286"/>
      <c r="W36" s="286"/>
      <c r="X36" s="286"/>
      <c r="Y36" s="286"/>
      <c r="Z36" s="286"/>
      <c r="AA36" s="286"/>
      <c r="AB36" s="286"/>
      <c r="AC36" s="286"/>
      <c r="AD36" s="286"/>
      <c r="AE36" s="286" t="s">
        <v>1587</v>
      </c>
      <c r="AF36" s="286"/>
      <c r="AG36" s="283">
        <v>1</v>
      </c>
      <c r="AH36" s="287" t="s">
        <v>19</v>
      </c>
      <c r="AI36" s="272"/>
      <c r="AJ36" s="288" t="s">
        <v>2032</v>
      </c>
      <c r="AK36" s="288" t="s">
        <v>2032</v>
      </c>
      <c r="AL36" s="288" t="s">
        <v>2032</v>
      </c>
      <c r="AM36" s="288" t="s">
        <v>2032</v>
      </c>
      <c r="AN36" s="288" t="s">
        <v>2032</v>
      </c>
      <c r="AO36" s="288" t="s">
        <v>2032</v>
      </c>
      <c r="AP36" s="288" t="s">
        <v>2032</v>
      </c>
      <c r="AQ36" s="288" t="s">
        <v>2032</v>
      </c>
      <c r="AR36" s="288" t="s">
        <v>2032</v>
      </c>
      <c r="AS36" s="288" t="s">
        <v>2032</v>
      </c>
      <c r="AT36" s="288" t="s">
        <v>2032</v>
      </c>
      <c r="AU36" s="288" t="s">
        <v>2032</v>
      </c>
      <c r="AV36" s="288" t="s">
        <v>2032</v>
      </c>
      <c r="AW36" s="288" t="s">
        <v>2032</v>
      </c>
      <c r="AX36" s="288" t="s">
        <v>2032</v>
      </c>
      <c r="AY36" s="288" t="s">
        <v>2032</v>
      </c>
      <c r="AZ36" s="288" t="s">
        <v>2032</v>
      </c>
      <c r="BA36" s="288" t="s">
        <v>2032</v>
      </c>
      <c r="BB36" s="288" t="s">
        <v>2032</v>
      </c>
      <c r="BC36" s="288" t="s">
        <v>2032</v>
      </c>
      <c r="BD36" s="289">
        <f t="shared" si="0"/>
        <v>0</v>
      </c>
      <c r="BE36" s="287" t="s">
        <v>1489</v>
      </c>
      <c r="BF36" s="272"/>
    </row>
    <row r="37" spans="1:58" ht="14.25" customHeight="1" x14ac:dyDescent="0.35">
      <c r="A37" s="68">
        <v>35</v>
      </c>
      <c r="B37" s="24" t="s">
        <v>1581</v>
      </c>
      <c r="C37" s="24">
        <v>2024</v>
      </c>
      <c r="D37" s="24" t="s">
        <v>1541</v>
      </c>
      <c r="E37" s="269" t="str">
        <f ca="1">IFERROR(__xludf.DUMMYFUNCTION("ARRAYFORMULA(JOIN("""", ARRAYFORMULA(MID(SPLIT(F37, "" ""), 1, 1))))
&amp;""/""&amp;G37"),"MC/4 Primaria")</f>
        <v>MC/4 Primaria</v>
      </c>
      <c r="F37" s="24" t="s">
        <v>1582</v>
      </c>
      <c r="G37" s="248" t="s">
        <v>16</v>
      </c>
      <c r="H37" s="248" t="s">
        <v>1679</v>
      </c>
      <c r="I37" s="248" t="s">
        <v>1680</v>
      </c>
      <c r="J37" s="248" t="s">
        <v>1681</v>
      </c>
      <c r="K37" s="248" t="s">
        <v>1586</v>
      </c>
      <c r="L37" s="272"/>
      <c r="M37" s="286"/>
      <c r="N37" s="286"/>
      <c r="O37" s="286"/>
      <c r="P37" s="286"/>
      <c r="Q37" s="286"/>
      <c r="R37" s="286"/>
      <c r="S37" s="286"/>
      <c r="T37" s="286"/>
      <c r="U37" s="286"/>
      <c r="V37" s="286"/>
      <c r="W37" s="286"/>
      <c r="X37" s="286"/>
      <c r="Y37" s="286"/>
      <c r="Z37" s="286"/>
      <c r="AA37" s="286"/>
      <c r="AB37" s="286"/>
      <c r="AC37" s="286"/>
      <c r="AD37" s="286"/>
      <c r="AE37" s="286"/>
      <c r="AF37" s="286"/>
      <c r="AG37" s="283">
        <v>0</v>
      </c>
      <c r="AH37" s="287" t="s">
        <v>1489</v>
      </c>
      <c r="AI37" s="272"/>
      <c r="AJ37" s="288" t="s">
        <v>2032</v>
      </c>
      <c r="AK37" s="288" t="s">
        <v>2032</v>
      </c>
      <c r="AL37" s="288" t="s">
        <v>2032</v>
      </c>
      <c r="AM37" s="288" t="s">
        <v>2032</v>
      </c>
      <c r="AN37" s="288" t="s">
        <v>2032</v>
      </c>
      <c r="AO37" s="288" t="s">
        <v>2032</v>
      </c>
      <c r="AP37" s="288" t="s">
        <v>2032</v>
      </c>
      <c r="AQ37" s="288" t="s">
        <v>2032</v>
      </c>
      <c r="AR37" s="288" t="s">
        <v>2032</v>
      </c>
      <c r="AS37" s="288" t="s">
        <v>2032</v>
      </c>
      <c r="AT37" s="288" t="s">
        <v>2032</v>
      </c>
      <c r="AU37" s="288" t="s">
        <v>2032</v>
      </c>
      <c r="AV37" s="288" t="s">
        <v>2032</v>
      </c>
      <c r="AW37" s="288" t="s">
        <v>2032</v>
      </c>
      <c r="AX37" s="288" t="s">
        <v>2032</v>
      </c>
      <c r="AY37" s="288" t="s">
        <v>2032</v>
      </c>
      <c r="AZ37" s="288" t="s">
        <v>2032</v>
      </c>
      <c r="BA37" s="288" t="s">
        <v>2032</v>
      </c>
      <c r="BB37" s="288" t="s">
        <v>2032</v>
      </c>
      <c r="BC37" s="288" t="s">
        <v>2032</v>
      </c>
      <c r="BD37" s="289">
        <f t="shared" si="0"/>
        <v>0</v>
      </c>
      <c r="BE37" s="287" t="s">
        <v>1489</v>
      </c>
      <c r="BF37" s="272"/>
    </row>
    <row r="38" spans="1:58" ht="14.25" customHeight="1" x14ac:dyDescent="0.35">
      <c r="A38" s="68">
        <v>36</v>
      </c>
      <c r="B38" s="24" t="s">
        <v>1581</v>
      </c>
      <c r="C38" s="24">
        <v>2024</v>
      </c>
      <c r="D38" s="24" t="s">
        <v>1541</v>
      </c>
      <c r="E38" s="269" t="str">
        <f ca="1">IFERROR(__xludf.DUMMYFUNCTION("ARRAYFORMULA(JOIN("""", ARRAYFORMULA(MID(SPLIT(F38, "" ""), 1, 1))))
&amp;""/""&amp;G38"),"MC/4 Primaria")</f>
        <v>MC/4 Primaria</v>
      </c>
      <c r="F38" s="24" t="s">
        <v>1582</v>
      </c>
      <c r="G38" s="248" t="s">
        <v>16</v>
      </c>
      <c r="H38" s="248" t="s">
        <v>1682</v>
      </c>
      <c r="I38" s="248" t="s">
        <v>1683</v>
      </c>
      <c r="J38" s="248" t="s">
        <v>1684</v>
      </c>
      <c r="K38" s="248" t="s">
        <v>1593</v>
      </c>
      <c r="L38" s="272"/>
      <c r="M38" s="286" t="s">
        <v>1587</v>
      </c>
      <c r="N38" s="286" t="s">
        <v>1589</v>
      </c>
      <c r="O38" s="286" t="s">
        <v>1589</v>
      </c>
      <c r="P38" s="286" t="s">
        <v>1587</v>
      </c>
      <c r="Q38" s="286" t="s">
        <v>1587</v>
      </c>
      <c r="R38" s="286" t="s">
        <v>1587</v>
      </c>
      <c r="S38" s="286" t="s">
        <v>1588</v>
      </c>
      <c r="T38" s="286" t="s">
        <v>1617</v>
      </c>
      <c r="U38" s="286" t="s">
        <v>1617</v>
      </c>
      <c r="V38" s="286" t="s">
        <v>1587</v>
      </c>
      <c r="W38" s="286" t="s">
        <v>1617</v>
      </c>
      <c r="X38" s="286" t="s">
        <v>1617</v>
      </c>
      <c r="Y38" s="286" t="s">
        <v>1589</v>
      </c>
      <c r="Z38" s="286" t="s">
        <v>1617</v>
      </c>
      <c r="AA38" s="286" t="s">
        <v>1589</v>
      </c>
      <c r="AB38" s="286" t="s">
        <v>1588</v>
      </c>
      <c r="AC38" s="286" t="s">
        <v>1617</v>
      </c>
      <c r="AD38" s="286" t="s">
        <v>1589</v>
      </c>
      <c r="AE38" s="286" t="s">
        <v>1587</v>
      </c>
      <c r="AF38" s="286" t="s">
        <v>1587</v>
      </c>
      <c r="AG38" s="283">
        <v>5</v>
      </c>
      <c r="AH38" s="287" t="s">
        <v>19</v>
      </c>
      <c r="AI38" s="272"/>
      <c r="AJ38" s="288" t="s">
        <v>2032</v>
      </c>
      <c r="AK38" s="288" t="s">
        <v>2032</v>
      </c>
      <c r="AL38" s="288" t="s">
        <v>2032</v>
      </c>
      <c r="AM38" s="288" t="s">
        <v>2032</v>
      </c>
      <c r="AN38" s="288" t="s">
        <v>2032</v>
      </c>
      <c r="AO38" s="288" t="s">
        <v>2032</v>
      </c>
      <c r="AP38" s="288" t="s">
        <v>2032</v>
      </c>
      <c r="AQ38" s="288" t="s">
        <v>2032</v>
      </c>
      <c r="AR38" s="288" t="s">
        <v>2032</v>
      </c>
      <c r="AS38" s="288" t="s">
        <v>2032</v>
      </c>
      <c r="AT38" s="288" t="s">
        <v>2032</v>
      </c>
      <c r="AU38" s="288" t="s">
        <v>2032</v>
      </c>
      <c r="AV38" s="288" t="s">
        <v>2032</v>
      </c>
      <c r="AW38" s="288" t="s">
        <v>2032</v>
      </c>
      <c r="AX38" s="288" t="s">
        <v>2032</v>
      </c>
      <c r="AY38" s="288" t="s">
        <v>2032</v>
      </c>
      <c r="AZ38" s="288" t="s">
        <v>2032</v>
      </c>
      <c r="BA38" s="288" t="s">
        <v>2032</v>
      </c>
      <c r="BB38" s="288" t="s">
        <v>2032</v>
      </c>
      <c r="BC38" s="288" t="s">
        <v>2032</v>
      </c>
      <c r="BD38" s="289">
        <f t="shared" si="0"/>
        <v>0</v>
      </c>
      <c r="BE38" s="287" t="s">
        <v>1489</v>
      </c>
      <c r="BF38" s="272"/>
    </row>
    <row r="39" spans="1:58" ht="14.25" customHeight="1" x14ac:dyDescent="0.35">
      <c r="A39" s="68">
        <v>37</v>
      </c>
      <c r="B39" s="24" t="s">
        <v>1581</v>
      </c>
      <c r="C39" s="24">
        <v>2024</v>
      </c>
      <c r="D39" s="24" t="s">
        <v>1541</v>
      </c>
      <c r="E39" s="269" t="str">
        <f ca="1">IFERROR(__xludf.DUMMYFUNCTION("ARRAYFORMULA(JOIN("""", ARRAYFORMULA(MID(SPLIT(F39, "" ""), 1, 1))))
&amp;""/""&amp;G39"),"MC/4 Primaria")</f>
        <v>MC/4 Primaria</v>
      </c>
      <c r="F39" s="24" t="s">
        <v>1582</v>
      </c>
      <c r="G39" s="248" t="s">
        <v>16</v>
      </c>
      <c r="H39" s="248" t="s">
        <v>1665</v>
      </c>
      <c r="I39" s="248" t="s">
        <v>1612</v>
      </c>
      <c r="J39" s="248" t="s">
        <v>1685</v>
      </c>
      <c r="K39" s="248" t="s">
        <v>1586</v>
      </c>
      <c r="L39" s="272"/>
      <c r="M39" s="286" t="s">
        <v>1617</v>
      </c>
      <c r="N39" s="286" t="s">
        <v>1589</v>
      </c>
      <c r="O39" s="286" t="s">
        <v>1617</v>
      </c>
      <c r="P39" s="286" t="s">
        <v>1617</v>
      </c>
      <c r="Q39" s="286" t="s">
        <v>1589</v>
      </c>
      <c r="R39" s="286" t="s">
        <v>1588</v>
      </c>
      <c r="S39" s="286" t="s">
        <v>1587</v>
      </c>
      <c r="T39" s="286" t="s">
        <v>1589</v>
      </c>
      <c r="U39" s="286" t="s">
        <v>1588</v>
      </c>
      <c r="V39" s="286" t="s">
        <v>1588</v>
      </c>
      <c r="W39" s="286" t="s">
        <v>1617</v>
      </c>
      <c r="X39" s="286" t="s">
        <v>1588</v>
      </c>
      <c r="Y39" s="286" t="s">
        <v>1588</v>
      </c>
      <c r="Z39" s="286" t="s">
        <v>1589</v>
      </c>
      <c r="AA39" s="286" t="s">
        <v>1588</v>
      </c>
      <c r="AB39" s="286" t="s">
        <v>1587</v>
      </c>
      <c r="AC39" s="286" t="s">
        <v>1589</v>
      </c>
      <c r="AD39" s="286" t="s">
        <v>1589</v>
      </c>
      <c r="AE39" s="286" t="s">
        <v>1587</v>
      </c>
      <c r="AF39" s="286" t="s">
        <v>1588</v>
      </c>
      <c r="AG39" s="283">
        <v>18</v>
      </c>
      <c r="AH39" s="287" t="s">
        <v>25</v>
      </c>
      <c r="AI39" s="272"/>
      <c r="AJ39" s="288" t="s">
        <v>2032</v>
      </c>
      <c r="AK39" s="288" t="s">
        <v>2032</v>
      </c>
      <c r="AL39" s="288" t="s">
        <v>2032</v>
      </c>
      <c r="AM39" s="288" t="s">
        <v>2032</v>
      </c>
      <c r="AN39" s="288" t="s">
        <v>2032</v>
      </c>
      <c r="AO39" s="288" t="s">
        <v>2032</v>
      </c>
      <c r="AP39" s="288" t="s">
        <v>2032</v>
      </c>
      <c r="AQ39" s="288" t="s">
        <v>2032</v>
      </c>
      <c r="AR39" s="288" t="s">
        <v>2032</v>
      </c>
      <c r="AS39" s="288" t="s">
        <v>2032</v>
      </c>
      <c r="AT39" s="288" t="s">
        <v>2032</v>
      </c>
      <c r="AU39" s="288" t="s">
        <v>2032</v>
      </c>
      <c r="AV39" s="288" t="s">
        <v>2032</v>
      </c>
      <c r="AW39" s="288" t="s">
        <v>2032</v>
      </c>
      <c r="AX39" s="288" t="s">
        <v>2032</v>
      </c>
      <c r="AY39" s="288" t="s">
        <v>2032</v>
      </c>
      <c r="AZ39" s="288" t="s">
        <v>2032</v>
      </c>
      <c r="BA39" s="288" t="s">
        <v>2032</v>
      </c>
      <c r="BB39" s="288" t="s">
        <v>2032</v>
      </c>
      <c r="BC39" s="288" t="s">
        <v>2032</v>
      </c>
      <c r="BD39" s="289">
        <f t="shared" si="0"/>
        <v>0</v>
      </c>
      <c r="BE39" s="287" t="s">
        <v>1489</v>
      </c>
      <c r="BF39" s="272"/>
    </row>
    <row r="40" spans="1:58" ht="14.25" customHeight="1" x14ac:dyDescent="0.35">
      <c r="A40" s="68">
        <v>38</v>
      </c>
      <c r="B40" s="24" t="s">
        <v>1581</v>
      </c>
      <c r="C40" s="24">
        <v>2024</v>
      </c>
      <c r="D40" s="24" t="s">
        <v>1541</v>
      </c>
      <c r="E40" s="269" t="str">
        <f ca="1">IFERROR(__xludf.DUMMYFUNCTION("ARRAYFORMULA(JOIN("""", ARRAYFORMULA(MID(SPLIT(F40, "" ""), 1, 1))))
&amp;""/""&amp;G40"),"MC/4 Primaria")</f>
        <v>MC/4 Primaria</v>
      </c>
      <c r="F40" s="24" t="s">
        <v>1582</v>
      </c>
      <c r="G40" s="248" t="s">
        <v>16</v>
      </c>
      <c r="H40" s="248" t="s">
        <v>1686</v>
      </c>
      <c r="I40" s="248" t="s">
        <v>1687</v>
      </c>
      <c r="J40" s="248" t="s">
        <v>1688</v>
      </c>
      <c r="K40" s="248" t="s">
        <v>1593</v>
      </c>
      <c r="L40" s="272"/>
      <c r="M40" s="286" t="s">
        <v>1617</v>
      </c>
      <c r="N40" s="286" t="s">
        <v>1589</v>
      </c>
      <c r="O40" s="286" t="s">
        <v>1617</v>
      </c>
      <c r="P40" s="286" t="s">
        <v>1588</v>
      </c>
      <c r="Q40" s="286" t="s">
        <v>1589</v>
      </c>
      <c r="R40" s="286" t="s">
        <v>1589</v>
      </c>
      <c r="S40" s="286" t="s">
        <v>1589</v>
      </c>
      <c r="T40" s="286" t="s">
        <v>1589</v>
      </c>
      <c r="U40" s="286" t="s">
        <v>1617</v>
      </c>
      <c r="V40" s="286" t="s">
        <v>1587</v>
      </c>
      <c r="W40" s="286" t="s">
        <v>1587</v>
      </c>
      <c r="X40" s="286" t="s">
        <v>1589</v>
      </c>
      <c r="Y40" s="286" t="s">
        <v>1588</v>
      </c>
      <c r="Z40" s="286" t="s">
        <v>1617</v>
      </c>
      <c r="AA40" s="286" t="s">
        <v>1587</v>
      </c>
      <c r="AB40" s="286" t="s">
        <v>1587</v>
      </c>
      <c r="AC40" s="286" t="s">
        <v>1617</v>
      </c>
      <c r="AD40" s="286" t="s">
        <v>1617</v>
      </c>
      <c r="AE40" s="286" t="s">
        <v>1587</v>
      </c>
      <c r="AF40" s="286" t="s">
        <v>1589</v>
      </c>
      <c r="AG40" s="283">
        <v>10</v>
      </c>
      <c r="AH40" s="287" t="s">
        <v>19</v>
      </c>
      <c r="AI40" s="272"/>
      <c r="AJ40" s="288" t="s">
        <v>2032</v>
      </c>
      <c r="AK40" s="288" t="s">
        <v>2032</v>
      </c>
      <c r="AL40" s="288" t="s">
        <v>2032</v>
      </c>
      <c r="AM40" s="288" t="s">
        <v>2032</v>
      </c>
      <c r="AN40" s="288" t="s">
        <v>2032</v>
      </c>
      <c r="AO40" s="288" t="s">
        <v>2032</v>
      </c>
      <c r="AP40" s="288" t="s">
        <v>2032</v>
      </c>
      <c r="AQ40" s="288" t="s">
        <v>2032</v>
      </c>
      <c r="AR40" s="288" t="s">
        <v>2032</v>
      </c>
      <c r="AS40" s="288" t="s">
        <v>2032</v>
      </c>
      <c r="AT40" s="288" t="s">
        <v>2032</v>
      </c>
      <c r="AU40" s="288" t="s">
        <v>2032</v>
      </c>
      <c r="AV40" s="288" t="s">
        <v>2032</v>
      </c>
      <c r="AW40" s="288" t="s">
        <v>2032</v>
      </c>
      <c r="AX40" s="288" t="s">
        <v>2032</v>
      </c>
      <c r="AY40" s="288" t="s">
        <v>2032</v>
      </c>
      <c r="AZ40" s="288" t="s">
        <v>2032</v>
      </c>
      <c r="BA40" s="288" t="s">
        <v>2032</v>
      </c>
      <c r="BB40" s="288" t="s">
        <v>2032</v>
      </c>
      <c r="BC40" s="288" t="s">
        <v>2032</v>
      </c>
      <c r="BD40" s="289">
        <f t="shared" si="0"/>
        <v>0</v>
      </c>
      <c r="BE40" s="287" t="s">
        <v>1489</v>
      </c>
      <c r="BF40" s="272"/>
    </row>
    <row r="41" spans="1:58" ht="14.25" customHeight="1" x14ac:dyDescent="0.35">
      <c r="A41" s="68">
        <v>39</v>
      </c>
      <c r="B41" s="24" t="s">
        <v>1581</v>
      </c>
      <c r="C41" s="24">
        <v>2024</v>
      </c>
      <c r="D41" s="24" t="s">
        <v>1541</v>
      </c>
      <c r="E41" s="269" t="str">
        <f ca="1">IFERROR(__xludf.DUMMYFUNCTION("ARRAYFORMULA(JOIN("""", ARRAYFORMULA(MID(SPLIT(F41, "" ""), 1, 1))))
&amp;""/""&amp;G41"),"MC/4 Primaria")</f>
        <v>MC/4 Primaria</v>
      </c>
      <c r="F41" s="24" t="s">
        <v>1582</v>
      </c>
      <c r="G41" s="248" t="s">
        <v>16</v>
      </c>
      <c r="H41" s="248" t="s">
        <v>1689</v>
      </c>
      <c r="I41" s="248" t="s">
        <v>1690</v>
      </c>
      <c r="J41" s="248" t="s">
        <v>1691</v>
      </c>
      <c r="K41" s="248" t="s">
        <v>1586</v>
      </c>
      <c r="L41" s="272"/>
      <c r="M41" s="286" t="s">
        <v>1617</v>
      </c>
      <c r="N41" s="286" t="s">
        <v>1589</v>
      </c>
      <c r="O41" s="286" t="s">
        <v>1617</v>
      </c>
      <c r="P41" s="286" t="s">
        <v>1617</v>
      </c>
      <c r="Q41" s="286" t="s">
        <v>1589</v>
      </c>
      <c r="R41" s="286" t="s">
        <v>1588</v>
      </c>
      <c r="S41" s="286" t="s">
        <v>1589</v>
      </c>
      <c r="T41" s="286" t="s">
        <v>1589</v>
      </c>
      <c r="U41" s="286" t="s">
        <v>1587</v>
      </c>
      <c r="V41" s="286" t="s">
        <v>1588</v>
      </c>
      <c r="W41" s="286" t="s">
        <v>1617</v>
      </c>
      <c r="X41" s="286" t="s">
        <v>1587</v>
      </c>
      <c r="Y41" s="286" t="s">
        <v>1588</v>
      </c>
      <c r="Z41" s="286" t="s">
        <v>1587</v>
      </c>
      <c r="AA41" s="286" t="s">
        <v>1588</v>
      </c>
      <c r="AB41" s="286" t="s">
        <v>1587</v>
      </c>
      <c r="AC41" s="286" t="s">
        <v>1617</v>
      </c>
      <c r="AD41" s="286" t="s">
        <v>1589</v>
      </c>
      <c r="AE41" s="286" t="s">
        <v>1587</v>
      </c>
      <c r="AF41" s="286" t="s">
        <v>1588</v>
      </c>
      <c r="AG41" s="283">
        <v>15</v>
      </c>
      <c r="AH41" s="287" t="s">
        <v>23</v>
      </c>
      <c r="AI41" s="272"/>
      <c r="AJ41" s="288" t="s">
        <v>2032</v>
      </c>
      <c r="AK41" s="288" t="s">
        <v>2032</v>
      </c>
      <c r="AL41" s="288" t="s">
        <v>2032</v>
      </c>
      <c r="AM41" s="288" t="s">
        <v>2032</v>
      </c>
      <c r="AN41" s="288" t="s">
        <v>2032</v>
      </c>
      <c r="AO41" s="288" t="s">
        <v>2032</v>
      </c>
      <c r="AP41" s="288" t="s">
        <v>2032</v>
      </c>
      <c r="AQ41" s="288" t="s">
        <v>2032</v>
      </c>
      <c r="AR41" s="288" t="s">
        <v>2032</v>
      </c>
      <c r="AS41" s="288" t="s">
        <v>2032</v>
      </c>
      <c r="AT41" s="288" t="s">
        <v>2032</v>
      </c>
      <c r="AU41" s="288" t="s">
        <v>2032</v>
      </c>
      <c r="AV41" s="288" t="s">
        <v>2032</v>
      </c>
      <c r="AW41" s="288" t="s">
        <v>2032</v>
      </c>
      <c r="AX41" s="288" t="s">
        <v>2032</v>
      </c>
      <c r="AY41" s="288" t="s">
        <v>2032</v>
      </c>
      <c r="AZ41" s="288" t="s">
        <v>2032</v>
      </c>
      <c r="BA41" s="288" t="s">
        <v>2032</v>
      </c>
      <c r="BB41" s="288" t="s">
        <v>2032</v>
      </c>
      <c r="BC41" s="288" t="s">
        <v>2032</v>
      </c>
      <c r="BD41" s="289">
        <f t="shared" si="0"/>
        <v>0</v>
      </c>
      <c r="BE41" s="287" t="s">
        <v>1489</v>
      </c>
      <c r="BF41" s="272"/>
    </row>
    <row r="42" spans="1:58" ht="14.25" customHeight="1" x14ac:dyDescent="0.35">
      <c r="A42" s="68">
        <v>40</v>
      </c>
      <c r="B42" s="24" t="s">
        <v>1581</v>
      </c>
      <c r="C42" s="24">
        <v>2024</v>
      </c>
      <c r="D42" s="24" t="s">
        <v>1541</v>
      </c>
      <c r="E42" s="269" t="str">
        <f ca="1">IFERROR(__xludf.DUMMYFUNCTION("ARRAYFORMULA(JOIN("""", ARRAYFORMULA(MID(SPLIT(F42, "" ""), 1, 1))))
&amp;""/""&amp;G42"),"MC/4 Primaria")</f>
        <v>MC/4 Primaria</v>
      </c>
      <c r="F42" s="24" t="s">
        <v>1582</v>
      </c>
      <c r="G42" s="248" t="s">
        <v>16</v>
      </c>
      <c r="H42" s="248" t="s">
        <v>1595</v>
      </c>
      <c r="I42" s="248" t="s">
        <v>1672</v>
      </c>
      <c r="J42" s="248" t="s">
        <v>1692</v>
      </c>
      <c r="K42" s="248" t="s">
        <v>1586</v>
      </c>
      <c r="L42" s="272"/>
      <c r="M42" s="286" t="s">
        <v>1617</v>
      </c>
      <c r="N42" s="286" t="s">
        <v>1589</v>
      </c>
      <c r="O42" s="286" t="s">
        <v>1617</v>
      </c>
      <c r="P42" s="286" t="s">
        <v>1617</v>
      </c>
      <c r="Q42" s="286" t="s">
        <v>1589</v>
      </c>
      <c r="R42" s="286" t="s">
        <v>1588</v>
      </c>
      <c r="S42" s="286" t="s">
        <v>1587</v>
      </c>
      <c r="T42" s="286" t="s">
        <v>1589</v>
      </c>
      <c r="U42" s="286" t="s">
        <v>1588</v>
      </c>
      <c r="V42" s="286" t="s">
        <v>1588</v>
      </c>
      <c r="W42" s="286" t="s">
        <v>1588</v>
      </c>
      <c r="X42" s="286" t="s">
        <v>1589</v>
      </c>
      <c r="Y42" s="286" t="s">
        <v>1588</v>
      </c>
      <c r="Z42" s="286" t="s">
        <v>1617</v>
      </c>
      <c r="AA42" s="286" t="s">
        <v>1588</v>
      </c>
      <c r="AB42" s="286" t="s">
        <v>1587</v>
      </c>
      <c r="AC42" s="286" t="s">
        <v>1589</v>
      </c>
      <c r="AD42" s="286" t="s">
        <v>1589</v>
      </c>
      <c r="AE42" s="286" t="s">
        <v>1587</v>
      </c>
      <c r="AF42" s="286" t="s">
        <v>1588</v>
      </c>
      <c r="AG42" s="283">
        <v>19</v>
      </c>
      <c r="AH42" s="287" t="s">
        <v>25</v>
      </c>
      <c r="AI42" s="272"/>
      <c r="AJ42" s="288" t="s">
        <v>2032</v>
      </c>
      <c r="AK42" s="288" t="s">
        <v>2032</v>
      </c>
      <c r="AL42" s="288" t="s">
        <v>2032</v>
      </c>
      <c r="AM42" s="288" t="s">
        <v>2032</v>
      </c>
      <c r="AN42" s="288" t="s">
        <v>2032</v>
      </c>
      <c r="AO42" s="288" t="s">
        <v>2032</v>
      </c>
      <c r="AP42" s="288" t="s">
        <v>2032</v>
      </c>
      <c r="AQ42" s="288" t="s">
        <v>2032</v>
      </c>
      <c r="AR42" s="288" t="s">
        <v>2032</v>
      </c>
      <c r="AS42" s="288" t="s">
        <v>2032</v>
      </c>
      <c r="AT42" s="288" t="s">
        <v>2032</v>
      </c>
      <c r="AU42" s="288" t="s">
        <v>2032</v>
      </c>
      <c r="AV42" s="288" t="s">
        <v>2032</v>
      </c>
      <c r="AW42" s="288" t="s">
        <v>2032</v>
      </c>
      <c r="AX42" s="288" t="s">
        <v>2032</v>
      </c>
      <c r="AY42" s="288" t="s">
        <v>2032</v>
      </c>
      <c r="AZ42" s="288" t="s">
        <v>2032</v>
      </c>
      <c r="BA42" s="288" t="s">
        <v>2032</v>
      </c>
      <c r="BB42" s="288" t="s">
        <v>2032</v>
      </c>
      <c r="BC42" s="288" t="s">
        <v>2032</v>
      </c>
      <c r="BD42" s="289">
        <f t="shared" si="0"/>
        <v>0</v>
      </c>
      <c r="BE42" s="287" t="s">
        <v>1489</v>
      </c>
      <c r="BF42" s="272"/>
    </row>
    <row r="43" spans="1:58" ht="14.25" customHeight="1" x14ac:dyDescent="0.35">
      <c r="A43" s="68">
        <v>41</v>
      </c>
      <c r="B43" s="24" t="s">
        <v>1581</v>
      </c>
      <c r="C43" s="24">
        <v>2024</v>
      </c>
      <c r="D43" s="24" t="s">
        <v>1541</v>
      </c>
      <c r="E43" s="269" t="str">
        <f ca="1">IFERROR(__xludf.DUMMYFUNCTION("ARRAYFORMULA(JOIN("""", ARRAYFORMULA(MID(SPLIT(F43, "" ""), 1, 1))))
&amp;""/""&amp;G43"),"MC/4 Primaria")</f>
        <v>MC/4 Primaria</v>
      </c>
      <c r="F43" s="24" t="s">
        <v>1582</v>
      </c>
      <c r="G43" s="248" t="s">
        <v>16</v>
      </c>
      <c r="H43" s="248" t="s">
        <v>1612</v>
      </c>
      <c r="I43" s="248" t="s">
        <v>1612</v>
      </c>
      <c r="J43" s="248" t="s">
        <v>1693</v>
      </c>
      <c r="K43" s="248" t="s">
        <v>1586</v>
      </c>
      <c r="L43" s="272"/>
      <c r="M43" s="286" t="s">
        <v>1617</v>
      </c>
      <c r="N43" s="286" t="s">
        <v>1589</v>
      </c>
      <c r="O43" s="286" t="s">
        <v>1617</v>
      </c>
      <c r="P43" s="286" t="s">
        <v>1617</v>
      </c>
      <c r="Q43" s="286" t="s">
        <v>1589</v>
      </c>
      <c r="R43" s="286" t="s">
        <v>1588</v>
      </c>
      <c r="S43" s="286" t="s">
        <v>1588</v>
      </c>
      <c r="T43" s="286" t="s">
        <v>1589</v>
      </c>
      <c r="U43" s="286" t="s">
        <v>1587</v>
      </c>
      <c r="V43" s="286" t="s">
        <v>1589</v>
      </c>
      <c r="W43" s="286" t="s">
        <v>1617</v>
      </c>
      <c r="X43" s="286" t="s">
        <v>1588</v>
      </c>
      <c r="Y43" s="286" t="s">
        <v>1617</v>
      </c>
      <c r="Z43" s="286" t="s">
        <v>1589</v>
      </c>
      <c r="AA43" s="286" t="s">
        <v>1587</v>
      </c>
      <c r="AB43" s="286" t="s">
        <v>1587</v>
      </c>
      <c r="AC43" s="286" t="s">
        <v>1617</v>
      </c>
      <c r="AD43" s="286" t="s">
        <v>1617</v>
      </c>
      <c r="AE43" s="286" t="s">
        <v>1587</v>
      </c>
      <c r="AF43" s="286" t="s">
        <v>1588</v>
      </c>
      <c r="AG43" s="283">
        <v>11</v>
      </c>
      <c r="AH43" s="287" t="s">
        <v>23</v>
      </c>
      <c r="AI43" s="272"/>
      <c r="AJ43" s="288" t="s">
        <v>2032</v>
      </c>
      <c r="AK43" s="288" t="s">
        <v>2032</v>
      </c>
      <c r="AL43" s="288" t="s">
        <v>2032</v>
      </c>
      <c r="AM43" s="288" t="s">
        <v>2032</v>
      </c>
      <c r="AN43" s="288" t="s">
        <v>2032</v>
      </c>
      <c r="AO43" s="288" t="s">
        <v>2032</v>
      </c>
      <c r="AP43" s="288" t="s">
        <v>2032</v>
      </c>
      <c r="AQ43" s="288" t="s">
        <v>2032</v>
      </c>
      <c r="AR43" s="288" t="s">
        <v>2032</v>
      </c>
      <c r="AS43" s="288" t="s">
        <v>2032</v>
      </c>
      <c r="AT43" s="288" t="s">
        <v>2032</v>
      </c>
      <c r="AU43" s="288" t="s">
        <v>2032</v>
      </c>
      <c r="AV43" s="288" t="s">
        <v>2032</v>
      </c>
      <c r="AW43" s="288" t="s">
        <v>2032</v>
      </c>
      <c r="AX43" s="288" t="s">
        <v>2032</v>
      </c>
      <c r="AY43" s="288" t="s">
        <v>2032</v>
      </c>
      <c r="AZ43" s="288" t="s">
        <v>2032</v>
      </c>
      <c r="BA43" s="288" t="s">
        <v>2032</v>
      </c>
      <c r="BB43" s="288" t="s">
        <v>2032</v>
      </c>
      <c r="BC43" s="288" t="s">
        <v>2032</v>
      </c>
      <c r="BD43" s="289">
        <f t="shared" si="0"/>
        <v>0</v>
      </c>
      <c r="BE43" s="287" t="s">
        <v>1489</v>
      </c>
      <c r="BF43" s="272"/>
    </row>
    <row r="44" spans="1:58" ht="14.25" customHeight="1" x14ac:dyDescent="0.35">
      <c r="A44" s="68">
        <v>42</v>
      </c>
      <c r="B44" s="24" t="s">
        <v>1581</v>
      </c>
      <c r="C44" s="24">
        <v>2024</v>
      </c>
      <c r="D44" s="24" t="s">
        <v>1541</v>
      </c>
      <c r="E44" s="269" t="str">
        <f ca="1">IFERROR(__xludf.DUMMYFUNCTION("ARRAYFORMULA(JOIN("""", ARRAYFORMULA(MID(SPLIT(F44, "" ""), 1, 1))))
&amp;""/""&amp;G44"),"MC/4 Primaria")</f>
        <v>MC/4 Primaria</v>
      </c>
      <c r="F44" s="24" t="s">
        <v>1582</v>
      </c>
      <c r="G44" s="248" t="s">
        <v>16</v>
      </c>
      <c r="H44" s="248" t="s">
        <v>1694</v>
      </c>
      <c r="I44" s="248" t="s">
        <v>1695</v>
      </c>
      <c r="J44" s="248" t="s">
        <v>1696</v>
      </c>
      <c r="K44" s="248" t="s">
        <v>1593</v>
      </c>
      <c r="L44" s="272"/>
      <c r="M44" s="286" t="s">
        <v>1617</v>
      </c>
      <c r="N44" s="286" t="s">
        <v>1589</v>
      </c>
      <c r="O44" s="286" t="s">
        <v>1588</v>
      </c>
      <c r="P44" s="286" t="s">
        <v>1617</v>
      </c>
      <c r="Q44" s="286" t="s">
        <v>1589</v>
      </c>
      <c r="R44" s="286" t="s">
        <v>1588</v>
      </c>
      <c r="S44" s="286" t="s">
        <v>1589</v>
      </c>
      <c r="T44" s="286" t="s">
        <v>1589</v>
      </c>
      <c r="U44" s="286" t="s">
        <v>1587</v>
      </c>
      <c r="V44" s="286" t="s">
        <v>1587</v>
      </c>
      <c r="W44" s="286" t="s">
        <v>1587</v>
      </c>
      <c r="X44" s="286" t="s">
        <v>1588</v>
      </c>
      <c r="Y44" s="286" t="s">
        <v>1588</v>
      </c>
      <c r="Z44" s="286" t="s">
        <v>1589</v>
      </c>
      <c r="AA44" s="286" t="s">
        <v>1587</v>
      </c>
      <c r="AB44" s="286" t="s">
        <v>1587</v>
      </c>
      <c r="AC44" s="286" t="s">
        <v>1589</v>
      </c>
      <c r="AD44" s="286" t="s">
        <v>1589</v>
      </c>
      <c r="AE44" s="286" t="s">
        <v>1587</v>
      </c>
      <c r="AF44" s="286" t="s">
        <v>1588</v>
      </c>
      <c r="AG44" s="283">
        <v>12</v>
      </c>
      <c r="AH44" s="287" t="s">
        <v>23</v>
      </c>
      <c r="AI44" s="272"/>
      <c r="AJ44" s="288" t="s">
        <v>2032</v>
      </c>
      <c r="AK44" s="288" t="s">
        <v>2032</v>
      </c>
      <c r="AL44" s="288" t="s">
        <v>2032</v>
      </c>
      <c r="AM44" s="288" t="s">
        <v>2032</v>
      </c>
      <c r="AN44" s="288" t="s">
        <v>2032</v>
      </c>
      <c r="AO44" s="288" t="s">
        <v>2032</v>
      </c>
      <c r="AP44" s="288" t="s">
        <v>2032</v>
      </c>
      <c r="AQ44" s="288" t="s">
        <v>2032</v>
      </c>
      <c r="AR44" s="288" t="s">
        <v>2032</v>
      </c>
      <c r="AS44" s="288" t="s">
        <v>2032</v>
      </c>
      <c r="AT44" s="288" t="s">
        <v>2032</v>
      </c>
      <c r="AU44" s="288" t="s">
        <v>2032</v>
      </c>
      <c r="AV44" s="288" t="s">
        <v>2032</v>
      </c>
      <c r="AW44" s="288" t="s">
        <v>2032</v>
      </c>
      <c r="AX44" s="288" t="s">
        <v>2032</v>
      </c>
      <c r="AY44" s="288" t="s">
        <v>2032</v>
      </c>
      <c r="AZ44" s="288" t="s">
        <v>2032</v>
      </c>
      <c r="BA44" s="288" t="s">
        <v>2032</v>
      </c>
      <c r="BB44" s="288" t="s">
        <v>2032</v>
      </c>
      <c r="BC44" s="288" t="s">
        <v>2032</v>
      </c>
      <c r="BD44" s="289">
        <f t="shared" si="0"/>
        <v>0</v>
      </c>
      <c r="BE44" s="287" t="s">
        <v>1489</v>
      </c>
      <c r="BF44" s="272"/>
    </row>
    <row r="45" spans="1:58" ht="14.25" customHeight="1" x14ac:dyDescent="0.35">
      <c r="A45" s="68">
        <v>43</v>
      </c>
      <c r="B45" s="24" t="s">
        <v>1581</v>
      </c>
      <c r="C45" s="24">
        <v>2024</v>
      </c>
      <c r="D45" s="24" t="s">
        <v>1541</v>
      </c>
      <c r="E45" s="269" t="str">
        <f ca="1">IFERROR(__xludf.DUMMYFUNCTION("ARRAYFORMULA(JOIN("""", ARRAYFORMULA(MID(SPLIT(F45, "" ""), 1, 1))))
&amp;""/""&amp;G45"),"MC/4 Primaria")</f>
        <v>MC/4 Primaria</v>
      </c>
      <c r="F45" s="24" t="s">
        <v>1582</v>
      </c>
      <c r="G45" s="248" t="s">
        <v>16</v>
      </c>
      <c r="H45" s="248" t="s">
        <v>1697</v>
      </c>
      <c r="I45" s="248" t="s">
        <v>1612</v>
      </c>
      <c r="J45" s="248" t="s">
        <v>1698</v>
      </c>
      <c r="K45" s="248" t="s">
        <v>1593</v>
      </c>
      <c r="L45" s="272"/>
      <c r="M45" s="286" t="s">
        <v>1617</v>
      </c>
      <c r="N45" s="286" t="s">
        <v>1587</v>
      </c>
      <c r="O45" s="286" t="s">
        <v>1587</v>
      </c>
      <c r="P45" s="286" t="s">
        <v>1589</v>
      </c>
      <c r="Q45" s="286" t="s">
        <v>1588</v>
      </c>
      <c r="R45" s="286" t="s">
        <v>1589</v>
      </c>
      <c r="S45" s="286" t="s">
        <v>1617</v>
      </c>
      <c r="T45" s="286" t="s">
        <v>1589</v>
      </c>
      <c r="U45" s="286" t="s">
        <v>1587</v>
      </c>
      <c r="V45" s="286" t="s">
        <v>1617</v>
      </c>
      <c r="W45" s="286" t="s">
        <v>1617</v>
      </c>
      <c r="X45" s="286" t="s">
        <v>1589</v>
      </c>
      <c r="Y45" s="286" t="s">
        <v>1589</v>
      </c>
      <c r="Z45" s="286" t="s">
        <v>1589</v>
      </c>
      <c r="AA45" s="286" t="s">
        <v>1588</v>
      </c>
      <c r="AB45" s="286" t="s">
        <v>1587</v>
      </c>
      <c r="AC45" s="286" t="s">
        <v>1589</v>
      </c>
      <c r="AD45" s="286" t="s">
        <v>1617</v>
      </c>
      <c r="AE45" s="286" t="s">
        <v>1587</v>
      </c>
      <c r="AF45" s="286" t="s">
        <v>1588</v>
      </c>
      <c r="AG45" s="283">
        <v>9</v>
      </c>
      <c r="AH45" s="287" t="s">
        <v>19</v>
      </c>
      <c r="AI45" s="272"/>
      <c r="AJ45" s="288" t="s">
        <v>2032</v>
      </c>
      <c r="AK45" s="288" t="s">
        <v>2032</v>
      </c>
      <c r="AL45" s="288" t="s">
        <v>2032</v>
      </c>
      <c r="AM45" s="288" t="s">
        <v>2032</v>
      </c>
      <c r="AN45" s="288" t="s">
        <v>2032</v>
      </c>
      <c r="AO45" s="288" t="s">
        <v>2032</v>
      </c>
      <c r="AP45" s="288" t="s">
        <v>2032</v>
      </c>
      <c r="AQ45" s="288" t="s">
        <v>2032</v>
      </c>
      <c r="AR45" s="288" t="s">
        <v>2032</v>
      </c>
      <c r="AS45" s="288" t="s">
        <v>2032</v>
      </c>
      <c r="AT45" s="288" t="s">
        <v>2032</v>
      </c>
      <c r="AU45" s="288" t="s">
        <v>2032</v>
      </c>
      <c r="AV45" s="288" t="s">
        <v>2032</v>
      </c>
      <c r="AW45" s="288" t="s">
        <v>2032</v>
      </c>
      <c r="AX45" s="288" t="s">
        <v>2032</v>
      </c>
      <c r="AY45" s="288" t="s">
        <v>2032</v>
      </c>
      <c r="AZ45" s="288" t="s">
        <v>2032</v>
      </c>
      <c r="BA45" s="288" t="s">
        <v>2032</v>
      </c>
      <c r="BB45" s="288" t="s">
        <v>2032</v>
      </c>
      <c r="BC45" s="288" t="s">
        <v>2032</v>
      </c>
      <c r="BD45" s="289">
        <f t="shared" si="0"/>
        <v>0</v>
      </c>
      <c r="BE45" s="287" t="s">
        <v>1489</v>
      </c>
      <c r="BF45" s="272"/>
    </row>
    <row r="46" spans="1:58" ht="14.25" customHeight="1" x14ac:dyDescent="0.35">
      <c r="A46" s="68">
        <v>44</v>
      </c>
      <c r="B46" s="24" t="s">
        <v>1581</v>
      </c>
      <c r="C46" s="24">
        <v>2024</v>
      </c>
      <c r="D46" s="24" t="s">
        <v>1541</v>
      </c>
      <c r="E46" s="269" t="str">
        <f ca="1">IFERROR(__xludf.DUMMYFUNCTION("ARRAYFORMULA(JOIN("""", ARRAYFORMULA(MID(SPLIT(F46, "" ""), 1, 1))))
&amp;""/""&amp;G46"),"MC/6 Primaria")</f>
        <v>MC/6 Primaria</v>
      </c>
      <c r="F46" s="24" t="s">
        <v>1582</v>
      </c>
      <c r="G46" s="248" t="s">
        <v>37</v>
      </c>
      <c r="H46" s="248" t="s">
        <v>1699</v>
      </c>
      <c r="I46" s="248" t="s">
        <v>1700</v>
      </c>
      <c r="J46" s="248" t="s">
        <v>1701</v>
      </c>
      <c r="K46" s="248" t="s">
        <v>1593</v>
      </c>
      <c r="L46" s="272"/>
      <c r="M46" s="286" t="s">
        <v>1588</v>
      </c>
      <c r="N46" s="286" t="s">
        <v>1617</v>
      </c>
      <c r="O46" s="286" t="s">
        <v>1587</v>
      </c>
      <c r="P46" s="286" t="s">
        <v>1617</v>
      </c>
      <c r="Q46" s="286" t="s">
        <v>1587</v>
      </c>
      <c r="R46" s="286" t="s">
        <v>1587</v>
      </c>
      <c r="S46" s="286" t="s">
        <v>1587</v>
      </c>
      <c r="T46" s="286" t="s">
        <v>1587</v>
      </c>
      <c r="U46" s="286" t="s">
        <v>1587</v>
      </c>
      <c r="V46" s="286" t="s">
        <v>1589</v>
      </c>
      <c r="W46" s="286" t="s">
        <v>1589</v>
      </c>
      <c r="X46" s="286" t="s">
        <v>1617</v>
      </c>
      <c r="Y46" s="286" t="s">
        <v>1588</v>
      </c>
      <c r="Z46" s="286" t="s">
        <v>1589</v>
      </c>
      <c r="AA46" s="286" t="s">
        <v>1617</v>
      </c>
      <c r="AB46" s="286" t="s">
        <v>1617</v>
      </c>
      <c r="AC46" s="286" t="s">
        <v>1588</v>
      </c>
      <c r="AD46" s="286" t="s">
        <v>1587</v>
      </c>
      <c r="AE46" s="286" t="s">
        <v>1617</v>
      </c>
      <c r="AF46" s="286" t="s">
        <v>1589</v>
      </c>
      <c r="AG46" s="283">
        <v>17</v>
      </c>
      <c r="AH46" s="287" t="s">
        <v>25</v>
      </c>
      <c r="AI46" s="272"/>
      <c r="AJ46" s="288" t="s">
        <v>2032</v>
      </c>
      <c r="AK46" s="288" t="s">
        <v>2032</v>
      </c>
      <c r="AL46" s="288" t="s">
        <v>2032</v>
      </c>
      <c r="AM46" s="288" t="s">
        <v>2032</v>
      </c>
      <c r="AN46" s="288" t="s">
        <v>2032</v>
      </c>
      <c r="AO46" s="288" t="s">
        <v>2032</v>
      </c>
      <c r="AP46" s="288" t="s">
        <v>2032</v>
      </c>
      <c r="AQ46" s="288" t="s">
        <v>2032</v>
      </c>
      <c r="AR46" s="288" t="s">
        <v>2032</v>
      </c>
      <c r="AS46" s="288" t="s">
        <v>2032</v>
      </c>
      <c r="AT46" s="288" t="s">
        <v>2032</v>
      </c>
      <c r="AU46" s="288" t="s">
        <v>2032</v>
      </c>
      <c r="AV46" s="288" t="s">
        <v>2032</v>
      </c>
      <c r="AW46" s="288" t="s">
        <v>2032</v>
      </c>
      <c r="AX46" s="288" t="s">
        <v>2032</v>
      </c>
      <c r="AY46" s="288" t="s">
        <v>2032</v>
      </c>
      <c r="AZ46" s="288" t="s">
        <v>2032</v>
      </c>
      <c r="BA46" s="288" t="s">
        <v>2032</v>
      </c>
      <c r="BB46" s="288" t="s">
        <v>2032</v>
      </c>
      <c r="BC46" s="288" t="s">
        <v>2032</v>
      </c>
      <c r="BD46" s="289">
        <f t="shared" si="0"/>
        <v>0</v>
      </c>
      <c r="BE46" s="287" t="s">
        <v>1489</v>
      </c>
      <c r="BF46" s="272"/>
    </row>
    <row r="47" spans="1:58" ht="14.25" customHeight="1" x14ac:dyDescent="0.35">
      <c r="A47" s="68">
        <v>45</v>
      </c>
      <c r="B47" s="24" t="s">
        <v>1581</v>
      </c>
      <c r="C47" s="24">
        <v>2024</v>
      </c>
      <c r="D47" s="24" t="s">
        <v>1541</v>
      </c>
      <c r="E47" s="269" t="str">
        <f ca="1">IFERROR(__xludf.DUMMYFUNCTION("ARRAYFORMULA(JOIN("""", ARRAYFORMULA(MID(SPLIT(F47, "" ""), 1, 1))))
&amp;""/""&amp;G47"),"MC/6 Primaria")</f>
        <v>MC/6 Primaria</v>
      </c>
      <c r="F47" s="24" t="s">
        <v>1582</v>
      </c>
      <c r="G47" s="248" t="s">
        <v>37</v>
      </c>
      <c r="H47" s="248" t="s">
        <v>1702</v>
      </c>
      <c r="I47" s="248" t="s">
        <v>1612</v>
      </c>
      <c r="J47" s="248" t="s">
        <v>1703</v>
      </c>
      <c r="K47" s="248" t="s">
        <v>1593</v>
      </c>
      <c r="L47" s="272"/>
      <c r="M47" s="286" t="s">
        <v>1588</v>
      </c>
      <c r="N47" s="286" t="s">
        <v>1617</v>
      </c>
      <c r="O47" s="286" t="s">
        <v>1588</v>
      </c>
      <c r="P47" s="286" t="s">
        <v>1587</v>
      </c>
      <c r="Q47" s="286" t="s">
        <v>1587</v>
      </c>
      <c r="R47" s="286" t="s">
        <v>1587</v>
      </c>
      <c r="S47" s="286" t="s">
        <v>1588</v>
      </c>
      <c r="T47" s="286" t="s">
        <v>1589</v>
      </c>
      <c r="U47" s="286" t="s">
        <v>1587</v>
      </c>
      <c r="V47" s="286" t="s">
        <v>1589</v>
      </c>
      <c r="W47" s="286" t="s">
        <v>1589</v>
      </c>
      <c r="X47" s="286" t="s">
        <v>1617</v>
      </c>
      <c r="Y47" s="286" t="s">
        <v>1589</v>
      </c>
      <c r="Z47" s="286" t="s">
        <v>1589</v>
      </c>
      <c r="AA47" s="286" t="s">
        <v>1617</v>
      </c>
      <c r="AB47" s="286" t="s">
        <v>1617</v>
      </c>
      <c r="AC47" s="286" t="s">
        <v>1588</v>
      </c>
      <c r="AD47" s="286" t="s">
        <v>1587</v>
      </c>
      <c r="AE47" s="286" t="s">
        <v>1617</v>
      </c>
      <c r="AF47" s="286" t="s">
        <v>1589</v>
      </c>
      <c r="AG47" s="283">
        <v>13</v>
      </c>
      <c r="AH47" s="287" t="s">
        <v>23</v>
      </c>
      <c r="AI47" s="272"/>
      <c r="AJ47" s="288" t="s">
        <v>2032</v>
      </c>
      <c r="AK47" s="288" t="s">
        <v>2032</v>
      </c>
      <c r="AL47" s="288" t="s">
        <v>2032</v>
      </c>
      <c r="AM47" s="288" t="s">
        <v>2032</v>
      </c>
      <c r="AN47" s="288" t="s">
        <v>2032</v>
      </c>
      <c r="AO47" s="288" t="s">
        <v>2032</v>
      </c>
      <c r="AP47" s="288" t="s">
        <v>2032</v>
      </c>
      <c r="AQ47" s="288" t="s">
        <v>2032</v>
      </c>
      <c r="AR47" s="288" t="s">
        <v>2032</v>
      </c>
      <c r="AS47" s="288" t="s">
        <v>2032</v>
      </c>
      <c r="AT47" s="288" t="s">
        <v>2032</v>
      </c>
      <c r="AU47" s="288" t="s">
        <v>2032</v>
      </c>
      <c r="AV47" s="288" t="s">
        <v>2032</v>
      </c>
      <c r="AW47" s="288" t="s">
        <v>2032</v>
      </c>
      <c r="AX47" s="288" t="s">
        <v>2032</v>
      </c>
      <c r="AY47" s="288" t="s">
        <v>2032</v>
      </c>
      <c r="AZ47" s="288" t="s">
        <v>2032</v>
      </c>
      <c r="BA47" s="288" t="s">
        <v>2032</v>
      </c>
      <c r="BB47" s="288" t="s">
        <v>2032</v>
      </c>
      <c r="BC47" s="288" t="s">
        <v>2032</v>
      </c>
      <c r="BD47" s="289">
        <f t="shared" si="0"/>
        <v>0</v>
      </c>
      <c r="BE47" s="287" t="s">
        <v>1489</v>
      </c>
      <c r="BF47" s="272"/>
    </row>
    <row r="48" spans="1:58" ht="14.25" customHeight="1" x14ac:dyDescent="0.35">
      <c r="A48" s="68">
        <v>46</v>
      </c>
      <c r="B48" s="24" t="s">
        <v>1581</v>
      </c>
      <c r="C48" s="24">
        <v>2024</v>
      </c>
      <c r="D48" s="24" t="s">
        <v>1541</v>
      </c>
      <c r="E48" s="269" t="str">
        <f ca="1">IFERROR(__xludf.DUMMYFUNCTION("ARRAYFORMULA(JOIN("""", ARRAYFORMULA(MID(SPLIT(F48, "" ""), 1, 1))))
&amp;""/""&amp;G48"),"MC/6 Primaria")</f>
        <v>MC/6 Primaria</v>
      </c>
      <c r="F48" s="24" t="s">
        <v>1582</v>
      </c>
      <c r="G48" s="248" t="s">
        <v>37</v>
      </c>
      <c r="H48" s="248" t="s">
        <v>1640</v>
      </c>
      <c r="I48" s="248" t="s">
        <v>1704</v>
      </c>
      <c r="J48" s="248" t="s">
        <v>1705</v>
      </c>
      <c r="K48" s="248" t="s">
        <v>1586</v>
      </c>
      <c r="L48" s="272"/>
      <c r="M48" s="286" t="s">
        <v>1588</v>
      </c>
      <c r="N48" s="286" t="s">
        <v>1617</v>
      </c>
      <c r="O48" s="286" t="s">
        <v>1589</v>
      </c>
      <c r="P48" s="286" t="s">
        <v>1589</v>
      </c>
      <c r="Q48" s="286" t="s">
        <v>1587</v>
      </c>
      <c r="R48" s="286" t="s">
        <v>1587</v>
      </c>
      <c r="S48" s="286" t="s">
        <v>1588</v>
      </c>
      <c r="T48" s="286" t="s">
        <v>1588</v>
      </c>
      <c r="U48" s="286" t="s">
        <v>1617</v>
      </c>
      <c r="V48" s="286"/>
      <c r="W48" s="286" t="s">
        <v>1587</v>
      </c>
      <c r="X48" s="286" t="s">
        <v>1589</v>
      </c>
      <c r="Y48" s="286" t="s">
        <v>1588</v>
      </c>
      <c r="Z48" s="286" t="s">
        <v>1589</v>
      </c>
      <c r="AA48" s="286" t="s">
        <v>1587</v>
      </c>
      <c r="AB48" s="286" t="s">
        <v>1617</v>
      </c>
      <c r="AC48" s="286" t="s">
        <v>1588</v>
      </c>
      <c r="AD48" s="286" t="s">
        <v>1587</v>
      </c>
      <c r="AE48" s="286" t="s">
        <v>1617</v>
      </c>
      <c r="AF48" s="286" t="s">
        <v>1589</v>
      </c>
      <c r="AG48" s="283">
        <v>13</v>
      </c>
      <c r="AH48" s="287" t="s">
        <v>23</v>
      </c>
      <c r="AI48" s="272"/>
      <c r="AJ48" s="288" t="s">
        <v>2032</v>
      </c>
      <c r="AK48" s="288" t="s">
        <v>2032</v>
      </c>
      <c r="AL48" s="288" t="s">
        <v>2032</v>
      </c>
      <c r="AM48" s="288" t="s">
        <v>2032</v>
      </c>
      <c r="AN48" s="288" t="s">
        <v>2032</v>
      </c>
      <c r="AO48" s="288" t="s">
        <v>2032</v>
      </c>
      <c r="AP48" s="288" t="s">
        <v>2032</v>
      </c>
      <c r="AQ48" s="288" t="s">
        <v>2032</v>
      </c>
      <c r="AR48" s="288" t="s">
        <v>2032</v>
      </c>
      <c r="AS48" s="288" t="s">
        <v>2032</v>
      </c>
      <c r="AT48" s="288" t="s">
        <v>2032</v>
      </c>
      <c r="AU48" s="288" t="s">
        <v>2032</v>
      </c>
      <c r="AV48" s="288" t="s">
        <v>2032</v>
      </c>
      <c r="AW48" s="288" t="s">
        <v>2032</v>
      </c>
      <c r="AX48" s="288" t="s">
        <v>2032</v>
      </c>
      <c r="AY48" s="288" t="s">
        <v>2032</v>
      </c>
      <c r="AZ48" s="288" t="s">
        <v>2032</v>
      </c>
      <c r="BA48" s="288" t="s">
        <v>2032</v>
      </c>
      <c r="BB48" s="288" t="s">
        <v>2032</v>
      </c>
      <c r="BC48" s="288" t="s">
        <v>2032</v>
      </c>
      <c r="BD48" s="289">
        <f t="shared" si="0"/>
        <v>0</v>
      </c>
      <c r="BE48" s="287" t="s">
        <v>1489</v>
      </c>
      <c r="BF48" s="272"/>
    </row>
    <row r="49" spans="1:58" ht="14.25" customHeight="1" x14ac:dyDescent="0.35">
      <c r="A49" s="68">
        <v>47</v>
      </c>
      <c r="B49" s="24" t="s">
        <v>1581</v>
      </c>
      <c r="C49" s="24">
        <v>2024</v>
      </c>
      <c r="D49" s="24" t="s">
        <v>1541</v>
      </c>
      <c r="E49" s="269" t="str">
        <f ca="1">IFERROR(__xludf.DUMMYFUNCTION("ARRAYFORMULA(JOIN("""", ARRAYFORMULA(MID(SPLIT(F49, "" ""), 1, 1))))
&amp;""/""&amp;G49"),"MC/6 Primaria")</f>
        <v>MC/6 Primaria</v>
      </c>
      <c r="F49" s="24" t="s">
        <v>1582</v>
      </c>
      <c r="G49" s="248" t="s">
        <v>37</v>
      </c>
      <c r="H49" s="248" t="s">
        <v>1595</v>
      </c>
      <c r="I49" s="248" t="s">
        <v>1706</v>
      </c>
      <c r="J49" s="248" t="s">
        <v>1707</v>
      </c>
      <c r="K49" s="248" t="s">
        <v>1593</v>
      </c>
      <c r="L49" s="272"/>
      <c r="M49" s="286" t="s">
        <v>1588</v>
      </c>
      <c r="N49" s="286" t="s">
        <v>1617</v>
      </c>
      <c r="O49" s="286" t="s">
        <v>1587</v>
      </c>
      <c r="P49" s="286" t="s">
        <v>1587</v>
      </c>
      <c r="Q49" s="286" t="s">
        <v>1587</v>
      </c>
      <c r="R49" s="286" t="s">
        <v>1617</v>
      </c>
      <c r="S49" s="286" t="s">
        <v>1587</v>
      </c>
      <c r="T49" s="286" t="s">
        <v>1587</v>
      </c>
      <c r="U49" s="286" t="s">
        <v>1587</v>
      </c>
      <c r="V49" s="286" t="s">
        <v>1589</v>
      </c>
      <c r="W49" s="286" t="s">
        <v>1587</v>
      </c>
      <c r="X49" s="286" t="s">
        <v>1617</v>
      </c>
      <c r="Y49" s="286" t="s">
        <v>1588</v>
      </c>
      <c r="Z49" s="286" t="s">
        <v>1589</v>
      </c>
      <c r="AA49" s="286" t="s">
        <v>1589</v>
      </c>
      <c r="AB49" s="286" t="s">
        <v>1617</v>
      </c>
      <c r="AC49" s="286" t="s">
        <v>1588</v>
      </c>
      <c r="AD49" s="286" t="s">
        <v>1587</v>
      </c>
      <c r="AE49" s="286" t="s">
        <v>1617</v>
      </c>
      <c r="AF49" s="286" t="s">
        <v>1589</v>
      </c>
      <c r="AG49" s="283">
        <v>14</v>
      </c>
      <c r="AH49" s="287" t="s">
        <v>23</v>
      </c>
      <c r="AI49" s="272"/>
      <c r="AJ49" s="288" t="s">
        <v>2032</v>
      </c>
      <c r="AK49" s="288" t="s">
        <v>2032</v>
      </c>
      <c r="AL49" s="288" t="s">
        <v>2032</v>
      </c>
      <c r="AM49" s="288" t="s">
        <v>2032</v>
      </c>
      <c r="AN49" s="288" t="s">
        <v>2032</v>
      </c>
      <c r="AO49" s="288" t="s">
        <v>2032</v>
      </c>
      <c r="AP49" s="288" t="s">
        <v>2032</v>
      </c>
      <c r="AQ49" s="288" t="s">
        <v>2032</v>
      </c>
      <c r="AR49" s="288" t="s">
        <v>2032</v>
      </c>
      <c r="AS49" s="288" t="s">
        <v>2032</v>
      </c>
      <c r="AT49" s="288" t="s">
        <v>2032</v>
      </c>
      <c r="AU49" s="288" t="s">
        <v>2032</v>
      </c>
      <c r="AV49" s="288" t="s">
        <v>2032</v>
      </c>
      <c r="AW49" s="288" t="s">
        <v>2032</v>
      </c>
      <c r="AX49" s="288" t="s">
        <v>2032</v>
      </c>
      <c r="AY49" s="288" t="s">
        <v>2032</v>
      </c>
      <c r="AZ49" s="288" t="s">
        <v>2032</v>
      </c>
      <c r="BA49" s="288" t="s">
        <v>2032</v>
      </c>
      <c r="BB49" s="288" t="s">
        <v>2032</v>
      </c>
      <c r="BC49" s="288" t="s">
        <v>2032</v>
      </c>
      <c r="BD49" s="289">
        <f t="shared" si="0"/>
        <v>0</v>
      </c>
      <c r="BE49" s="287" t="s">
        <v>1489</v>
      </c>
      <c r="BF49" s="272"/>
    </row>
    <row r="50" spans="1:58" ht="14.25" customHeight="1" x14ac:dyDescent="0.35">
      <c r="A50" s="68">
        <v>48</v>
      </c>
      <c r="B50" s="24" t="s">
        <v>1581</v>
      </c>
      <c r="C50" s="24">
        <v>2024</v>
      </c>
      <c r="D50" s="24" t="s">
        <v>1541</v>
      </c>
      <c r="E50" s="269" t="str">
        <f ca="1">IFERROR(__xludf.DUMMYFUNCTION("ARRAYFORMULA(JOIN("""", ARRAYFORMULA(MID(SPLIT(F50, "" ""), 1, 1))))
&amp;""/""&amp;G50"),"MC/6 Primaria")</f>
        <v>MC/6 Primaria</v>
      </c>
      <c r="F50" s="24" t="s">
        <v>1582</v>
      </c>
      <c r="G50" s="248" t="s">
        <v>37</v>
      </c>
      <c r="H50" s="248" t="s">
        <v>1604</v>
      </c>
      <c r="I50" s="248" t="s">
        <v>1708</v>
      </c>
      <c r="J50" s="248" t="s">
        <v>1709</v>
      </c>
      <c r="K50" s="248" t="s">
        <v>1586</v>
      </c>
      <c r="L50" s="272"/>
      <c r="M50" s="286" t="s">
        <v>1589</v>
      </c>
      <c r="N50" s="286" t="s">
        <v>1587</v>
      </c>
      <c r="O50" s="286" t="s">
        <v>1589</v>
      </c>
      <c r="P50" s="286" t="s">
        <v>1617</v>
      </c>
      <c r="Q50" s="286" t="s">
        <v>1589</v>
      </c>
      <c r="R50" s="286" t="s">
        <v>1588</v>
      </c>
      <c r="S50" s="286" t="s">
        <v>1588</v>
      </c>
      <c r="T50" s="286" t="s">
        <v>1587</v>
      </c>
      <c r="U50" s="286" t="s">
        <v>1587</v>
      </c>
      <c r="V50" s="286" t="s">
        <v>1589</v>
      </c>
      <c r="W50" s="286" t="s">
        <v>1589</v>
      </c>
      <c r="X50" s="286" t="s">
        <v>1589</v>
      </c>
      <c r="Y50" s="286" t="s">
        <v>1587</v>
      </c>
      <c r="Z50" s="286" t="s">
        <v>1589</v>
      </c>
      <c r="AA50" s="286" t="s">
        <v>1588</v>
      </c>
      <c r="AB50" s="286" t="s">
        <v>1617</v>
      </c>
      <c r="AC50" s="286" t="s">
        <v>1588</v>
      </c>
      <c r="AD50" s="286" t="s">
        <v>1587</v>
      </c>
      <c r="AE50" s="286" t="s">
        <v>1617</v>
      </c>
      <c r="AF50" s="286" t="s">
        <v>1589</v>
      </c>
      <c r="AG50" s="283">
        <v>11</v>
      </c>
      <c r="AH50" s="287" t="s">
        <v>23</v>
      </c>
      <c r="AI50" s="272"/>
      <c r="AJ50" s="288" t="s">
        <v>2032</v>
      </c>
      <c r="AK50" s="288" t="s">
        <v>2032</v>
      </c>
      <c r="AL50" s="288" t="s">
        <v>2032</v>
      </c>
      <c r="AM50" s="288" t="s">
        <v>2032</v>
      </c>
      <c r="AN50" s="288" t="s">
        <v>2032</v>
      </c>
      <c r="AO50" s="288" t="s">
        <v>2032</v>
      </c>
      <c r="AP50" s="288" t="s">
        <v>2032</v>
      </c>
      <c r="AQ50" s="288" t="s">
        <v>2032</v>
      </c>
      <c r="AR50" s="288" t="s">
        <v>2032</v>
      </c>
      <c r="AS50" s="288" t="s">
        <v>2032</v>
      </c>
      <c r="AT50" s="288" t="s">
        <v>2032</v>
      </c>
      <c r="AU50" s="288" t="s">
        <v>2032</v>
      </c>
      <c r="AV50" s="288" t="s">
        <v>2032</v>
      </c>
      <c r="AW50" s="288" t="s">
        <v>2032</v>
      </c>
      <c r="AX50" s="288" t="s">
        <v>2032</v>
      </c>
      <c r="AY50" s="288" t="s">
        <v>2032</v>
      </c>
      <c r="AZ50" s="288" t="s">
        <v>2032</v>
      </c>
      <c r="BA50" s="288" t="s">
        <v>2032</v>
      </c>
      <c r="BB50" s="288" t="s">
        <v>2032</v>
      </c>
      <c r="BC50" s="288" t="s">
        <v>2032</v>
      </c>
      <c r="BD50" s="289">
        <f t="shared" si="0"/>
        <v>0</v>
      </c>
      <c r="BE50" s="287" t="s">
        <v>1489</v>
      </c>
      <c r="BF50" s="272"/>
    </row>
    <row r="51" spans="1:58" ht="14.25" customHeight="1" x14ac:dyDescent="0.35">
      <c r="A51" s="68">
        <v>49</v>
      </c>
      <c r="B51" s="24" t="s">
        <v>1581</v>
      </c>
      <c r="C51" s="24">
        <v>2024</v>
      </c>
      <c r="D51" s="24" t="s">
        <v>1541</v>
      </c>
      <c r="E51" s="269" t="str">
        <f ca="1">IFERROR(__xludf.DUMMYFUNCTION("ARRAYFORMULA(JOIN("""", ARRAYFORMULA(MID(SPLIT(F51, "" ""), 1, 1))))
&amp;""/""&amp;G51"),"MC/6 Primaria")</f>
        <v>MC/6 Primaria</v>
      </c>
      <c r="F51" s="24" t="s">
        <v>1582</v>
      </c>
      <c r="G51" s="248" t="s">
        <v>37</v>
      </c>
      <c r="H51" s="248" t="s">
        <v>1710</v>
      </c>
      <c r="I51" s="248" t="s">
        <v>1711</v>
      </c>
      <c r="J51" s="248" t="s">
        <v>1712</v>
      </c>
      <c r="K51" s="248" t="s">
        <v>1593</v>
      </c>
      <c r="L51" s="272"/>
      <c r="M51" s="286" t="s">
        <v>1588</v>
      </c>
      <c r="N51" s="286" t="s">
        <v>1617</v>
      </c>
      <c r="O51" s="286" t="s">
        <v>1589</v>
      </c>
      <c r="P51" s="286" t="s">
        <v>1589</v>
      </c>
      <c r="Q51" s="286" t="s">
        <v>1617</v>
      </c>
      <c r="R51" s="286" t="s">
        <v>1588</v>
      </c>
      <c r="S51" s="286" t="s">
        <v>1587</v>
      </c>
      <c r="T51" s="286" t="s">
        <v>1587</v>
      </c>
      <c r="U51" s="286" t="s">
        <v>1587</v>
      </c>
      <c r="V51" s="286" t="s">
        <v>1587</v>
      </c>
      <c r="W51" s="286" t="s">
        <v>1589</v>
      </c>
      <c r="X51" s="286" t="s">
        <v>1617</v>
      </c>
      <c r="Y51" s="286" t="s">
        <v>1588</v>
      </c>
      <c r="Z51" s="286" t="s">
        <v>1588</v>
      </c>
      <c r="AA51" s="286" t="s">
        <v>1589</v>
      </c>
      <c r="AB51" s="286" t="s">
        <v>1589</v>
      </c>
      <c r="AC51" s="286" t="s">
        <v>1588</v>
      </c>
      <c r="AD51" s="286" t="s">
        <v>1589</v>
      </c>
      <c r="AE51" s="286" t="s">
        <v>1588</v>
      </c>
      <c r="AF51" s="286" t="s">
        <v>1588</v>
      </c>
      <c r="AG51" s="283">
        <v>10</v>
      </c>
      <c r="AH51" s="287" t="s">
        <v>19</v>
      </c>
      <c r="AI51" s="272"/>
      <c r="AJ51" s="288" t="s">
        <v>2032</v>
      </c>
      <c r="AK51" s="288" t="s">
        <v>2032</v>
      </c>
      <c r="AL51" s="288" t="s">
        <v>2032</v>
      </c>
      <c r="AM51" s="288" t="s">
        <v>2032</v>
      </c>
      <c r="AN51" s="288" t="s">
        <v>2032</v>
      </c>
      <c r="AO51" s="288" t="s">
        <v>2032</v>
      </c>
      <c r="AP51" s="288" t="s">
        <v>2032</v>
      </c>
      <c r="AQ51" s="288" t="s">
        <v>2032</v>
      </c>
      <c r="AR51" s="288" t="s">
        <v>2032</v>
      </c>
      <c r="AS51" s="288" t="s">
        <v>2032</v>
      </c>
      <c r="AT51" s="288" t="s">
        <v>2032</v>
      </c>
      <c r="AU51" s="288" t="s">
        <v>2032</v>
      </c>
      <c r="AV51" s="288" t="s">
        <v>2032</v>
      </c>
      <c r="AW51" s="288" t="s">
        <v>2032</v>
      </c>
      <c r="AX51" s="288" t="s">
        <v>2032</v>
      </c>
      <c r="AY51" s="288" t="s">
        <v>2032</v>
      </c>
      <c r="AZ51" s="288" t="s">
        <v>2032</v>
      </c>
      <c r="BA51" s="288" t="s">
        <v>2032</v>
      </c>
      <c r="BB51" s="288" t="s">
        <v>2032</v>
      </c>
      <c r="BC51" s="288" t="s">
        <v>2032</v>
      </c>
      <c r="BD51" s="289">
        <f t="shared" si="0"/>
        <v>0</v>
      </c>
      <c r="BE51" s="287" t="s">
        <v>1489</v>
      </c>
      <c r="BF51" s="272"/>
    </row>
    <row r="52" spans="1:58" ht="14.25" customHeight="1" x14ac:dyDescent="0.35">
      <c r="A52" s="68">
        <v>50</v>
      </c>
      <c r="B52" s="24" t="s">
        <v>1581</v>
      </c>
      <c r="C52" s="24">
        <v>2024</v>
      </c>
      <c r="D52" s="24" t="s">
        <v>1541</v>
      </c>
      <c r="E52" s="269" t="str">
        <f ca="1">IFERROR(__xludf.DUMMYFUNCTION("ARRAYFORMULA(JOIN("""", ARRAYFORMULA(MID(SPLIT(F52, "" ""), 1, 1))))
&amp;""/""&amp;G52"),"MC/6 Primaria")</f>
        <v>MC/6 Primaria</v>
      </c>
      <c r="F52" s="24" t="s">
        <v>1582</v>
      </c>
      <c r="G52" s="248" t="s">
        <v>37</v>
      </c>
      <c r="H52" s="248" t="s">
        <v>1651</v>
      </c>
      <c r="I52" s="248" t="s">
        <v>1700</v>
      </c>
      <c r="J52" s="248" t="s">
        <v>1713</v>
      </c>
      <c r="K52" s="248" t="s">
        <v>1586</v>
      </c>
      <c r="L52" s="272"/>
      <c r="M52" s="286" t="s">
        <v>1588</v>
      </c>
      <c r="N52" s="286" t="s">
        <v>1617</v>
      </c>
      <c r="O52" s="286" t="s">
        <v>1589</v>
      </c>
      <c r="P52" s="286" t="s">
        <v>1617</v>
      </c>
      <c r="Q52" s="286" t="s">
        <v>1587</v>
      </c>
      <c r="R52" s="286" t="s">
        <v>1587</v>
      </c>
      <c r="S52" s="286" t="s">
        <v>1587</v>
      </c>
      <c r="T52" s="286" t="s">
        <v>1587</v>
      </c>
      <c r="U52" s="286" t="s">
        <v>1587</v>
      </c>
      <c r="V52" s="286" t="s">
        <v>1589</v>
      </c>
      <c r="W52" s="286" t="s">
        <v>1589</v>
      </c>
      <c r="X52" s="286" t="s">
        <v>1617</v>
      </c>
      <c r="Y52" s="286" t="s">
        <v>1588</v>
      </c>
      <c r="Z52" s="286" t="s">
        <v>1589</v>
      </c>
      <c r="AA52" s="286" t="s">
        <v>1587</v>
      </c>
      <c r="AB52" s="286" t="s">
        <v>1617</v>
      </c>
      <c r="AC52" s="286" t="s">
        <v>1588</v>
      </c>
      <c r="AD52" s="286" t="s">
        <v>1587</v>
      </c>
      <c r="AE52" s="286" t="s">
        <v>1617</v>
      </c>
      <c r="AF52" s="286" t="s">
        <v>1589</v>
      </c>
      <c r="AG52" s="283">
        <v>19</v>
      </c>
      <c r="AH52" s="287" t="s">
        <v>25</v>
      </c>
      <c r="AI52" s="272"/>
      <c r="AJ52" s="288" t="s">
        <v>2032</v>
      </c>
      <c r="AK52" s="288" t="s">
        <v>2032</v>
      </c>
      <c r="AL52" s="288" t="s">
        <v>2032</v>
      </c>
      <c r="AM52" s="288" t="s">
        <v>2032</v>
      </c>
      <c r="AN52" s="288" t="s">
        <v>2032</v>
      </c>
      <c r="AO52" s="288" t="s">
        <v>2032</v>
      </c>
      <c r="AP52" s="288" t="s">
        <v>2032</v>
      </c>
      <c r="AQ52" s="288" t="s">
        <v>2032</v>
      </c>
      <c r="AR52" s="288" t="s">
        <v>2032</v>
      </c>
      <c r="AS52" s="288" t="s">
        <v>2032</v>
      </c>
      <c r="AT52" s="288" t="s">
        <v>2032</v>
      </c>
      <c r="AU52" s="288" t="s">
        <v>2032</v>
      </c>
      <c r="AV52" s="288" t="s">
        <v>2032</v>
      </c>
      <c r="AW52" s="288" t="s">
        <v>2032</v>
      </c>
      <c r="AX52" s="288" t="s">
        <v>2032</v>
      </c>
      <c r="AY52" s="288" t="s">
        <v>2032</v>
      </c>
      <c r="AZ52" s="288" t="s">
        <v>2032</v>
      </c>
      <c r="BA52" s="288" t="s">
        <v>2032</v>
      </c>
      <c r="BB52" s="288" t="s">
        <v>2032</v>
      </c>
      <c r="BC52" s="288" t="s">
        <v>2032</v>
      </c>
      <c r="BD52" s="289">
        <f t="shared" si="0"/>
        <v>0</v>
      </c>
      <c r="BE52" s="287" t="s">
        <v>1489</v>
      </c>
      <c r="BF52" s="272"/>
    </row>
    <row r="53" spans="1:58" ht="14.25" customHeight="1" x14ac:dyDescent="0.35">
      <c r="A53" s="68">
        <v>51</v>
      </c>
      <c r="B53" s="24" t="s">
        <v>1581</v>
      </c>
      <c r="C53" s="24">
        <v>2024</v>
      </c>
      <c r="D53" s="24" t="s">
        <v>1541</v>
      </c>
      <c r="E53" s="269" t="str">
        <f ca="1">IFERROR(__xludf.DUMMYFUNCTION("ARRAYFORMULA(JOIN("""", ARRAYFORMULA(MID(SPLIT(F53, "" ""), 1, 1))))
&amp;""/""&amp;G53"),"MC/6 Primaria")</f>
        <v>MC/6 Primaria</v>
      </c>
      <c r="F53" s="24" t="s">
        <v>1582</v>
      </c>
      <c r="G53" s="248" t="s">
        <v>37</v>
      </c>
      <c r="H53" s="248" t="s">
        <v>1714</v>
      </c>
      <c r="I53" s="248" t="s">
        <v>1715</v>
      </c>
      <c r="J53" s="248" t="s">
        <v>1716</v>
      </c>
      <c r="K53" s="248" t="s">
        <v>1586</v>
      </c>
      <c r="L53" s="272"/>
      <c r="M53" s="286" t="s">
        <v>1588</v>
      </c>
      <c r="N53" s="286" t="s">
        <v>1617</v>
      </c>
      <c r="O53" s="286" t="s">
        <v>1589</v>
      </c>
      <c r="P53" s="286" t="s">
        <v>1617</v>
      </c>
      <c r="Q53" s="286" t="s">
        <v>1587</v>
      </c>
      <c r="R53" s="286" t="s">
        <v>1587</v>
      </c>
      <c r="S53" s="286" t="s">
        <v>1587</v>
      </c>
      <c r="T53" s="286" t="s">
        <v>1587</v>
      </c>
      <c r="U53" s="286" t="s">
        <v>1587</v>
      </c>
      <c r="V53" s="286" t="s">
        <v>1589</v>
      </c>
      <c r="W53" s="286" t="s">
        <v>1589</v>
      </c>
      <c r="X53" s="286" t="s">
        <v>1617</v>
      </c>
      <c r="Y53" s="286" t="s">
        <v>1588</v>
      </c>
      <c r="Z53" s="286" t="s">
        <v>1589</v>
      </c>
      <c r="AA53" s="286" t="s">
        <v>1617</v>
      </c>
      <c r="AB53" s="286" t="s">
        <v>1617</v>
      </c>
      <c r="AC53" s="286" t="s">
        <v>1588</v>
      </c>
      <c r="AD53" s="286" t="s">
        <v>1587</v>
      </c>
      <c r="AE53" s="286" t="s">
        <v>1617</v>
      </c>
      <c r="AF53" s="286" t="s">
        <v>1589</v>
      </c>
      <c r="AG53" s="283">
        <v>18</v>
      </c>
      <c r="AH53" s="287" t="s">
        <v>25</v>
      </c>
      <c r="AI53" s="272"/>
      <c r="AJ53" s="288" t="s">
        <v>2032</v>
      </c>
      <c r="AK53" s="288" t="s">
        <v>2032</v>
      </c>
      <c r="AL53" s="288" t="s">
        <v>2032</v>
      </c>
      <c r="AM53" s="288" t="s">
        <v>2032</v>
      </c>
      <c r="AN53" s="288" t="s">
        <v>2032</v>
      </c>
      <c r="AO53" s="288" t="s">
        <v>2032</v>
      </c>
      <c r="AP53" s="288" t="s">
        <v>2032</v>
      </c>
      <c r="AQ53" s="288" t="s">
        <v>2032</v>
      </c>
      <c r="AR53" s="288" t="s">
        <v>2032</v>
      </c>
      <c r="AS53" s="288" t="s">
        <v>2032</v>
      </c>
      <c r="AT53" s="288" t="s">
        <v>2032</v>
      </c>
      <c r="AU53" s="288" t="s">
        <v>2032</v>
      </c>
      <c r="AV53" s="288" t="s">
        <v>2032</v>
      </c>
      <c r="AW53" s="288" t="s">
        <v>2032</v>
      </c>
      <c r="AX53" s="288" t="s">
        <v>2032</v>
      </c>
      <c r="AY53" s="288" t="s">
        <v>2032</v>
      </c>
      <c r="AZ53" s="288" t="s">
        <v>2032</v>
      </c>
      <c r="BA53" s="288" t="s">
        <v>2032</v>
      </c>
      <c r="BB53" s="288" t="s">
        <v>2032</v>
      </c>
      <c r="BC53" s="288" t="s">
        <v>2032</v>
      </c>
      <c r="BD53" s="289">
        <f t="shared" si="0"/>
        <v>0</v>
      </c>
      <c r="BE53" s="287" t="s">
        <v>1489</v>
      </c>
      <c r="BF53" s="272"/>
    </row>
    <row r="54" spans="1:58" ht="14.25" customHeight="1" x14ac:dyDescent="0.35">
      <c r="A54" s="68">
        <v>52</v>
      </c>
      <c r="B54" s="24" t="s">
        <v>1581</v>
      </c>
      <c r="C54" s="24">
        <v>2024</v>
      </c>
      <c r="D54" s="24" t="s">
        <v>1541</v>
      </c>
      <c r="E54" s="269" t="str">
        <f ca="1">IFERROR(__xludf.DUMMYFUNCTION("ARRAYFORMULA(JOIN("""", ARRAYFORMULA(MID(SPLIT(F54, "" ""), 1, 1))))
&amp;""/""&amp;G54"),"MC/6 Primaria")</f>
        <v>MC/6 Primaria</v>
      </c>
      <c r="F54" s="24" t="s">
        <v>1582</v>
      </c>
      <c r="G54" s="248" t="s">
        <v>37</v>
      </c>
      <c r="H54" s="248" t="s">
        <v>1717</v>
      </c>
      <c r="I54" s="248" t="s">
        <v>1718</v>
      </c>
      <c r="J54" s="248" t="s">
        <v>1719</v>
      </c>
      <c r="K54" s="248" t="s">
        <v>1593</v>
      </c>
      <c r="L54" s="272"/>
      <c r="M54" s="286" t="s">
        <v>1589</v>
      </c>
      <c r="N54" s="286" t="s">
        <v>1617</v>
      </c>
      <c r="O54" s="286" t="s">
        <v>1587</v>
      </c>
      <c r="P54" s="286" t="s">
        <v>1587</v>
      </c>
      <c r="Q54" s="286" t="s">
        <v>1588</v>
      </c>
      <c r="R54" s="286" t="s">
        <v>1587</v>
      </c>
      <c r="S54" s="286" t="s">
        <v>1587</v>
      </c>
      <c r="T54" s="286" t="s">
        <v>1587</v>
      </c>
      <c r="U54" s="286" t="s">
        <v>1617</v>
      </c>
      <c r="V54" s="286" t="s">
        <v>1589</v>
      </c>
      <c r="W54" s="286" t="s">
        <v>1589</v>
      </c>
      <c r="X54" s="286" t="s">
        <v>1589</v>
      </c>
      <c r="Y54" s="286" t="s">
        <v>1588</v>
      </c>
      <c r="Z54" s="286" t="s">
        <v>1587</v>
      </c>
      <c r="AA54" s="286" t="s">
        <v>1589</v>
      </c>
      <c r="AB54" s="286" t="s">
        <v>1617</v>
      </c>
      <c r="AC54" s="286" t="s">
        <v>1589</v>
      </c>
      <c r="AD54" s="286" t="s">
        <v>1587</v>
      </c>
      <c r="AE54" s="286" t="s">
        <v>1588</v>
      </c>
      <c r="AF54" s="286" t="s">
        <v>1588</v>
      </c>
      <c r="AG54" s="283">
        <v>8</v>
      </c>
      <c r="AH54" s="287" t="s">
        <v>19</v>
      </c>
      <c r="AI54" s="272"/>
      <c r="AJ54" s="288" t="s">
        <v>2032</v>
      </c>
      <c r="AK54" s="288" t="s">
        <v>2032</v>
      </c>
      <c r="AL54" s="288" t="s">
        <v>2032</v>
      </c>
      <c r="AM54" s="288" t="s">
        <v>2032</v>
      </c>
      <c r="AN54" s="288" t="s">
        <v>2032</v>
      </c>
      <c r="AO54" s="288" t="s">
        <v>2032</v>
      </c>
      <c r="AP54" s="288" t="s">
        <v>2032</v>
      </c>
      <c r="AQ54" s="288" t="s">
        <v>2032</v>
      </c>
      <c r="AR54" s="288" t="s">
        <v>2032</v>
      </c>
      <c r="AS54" s="288" t="s">
        <v>2032</v>
      </c>
      <c r="AT54" s="288" t="s">
        <v>2032</v>
      </c>
      <c r="AU54" s="288" t="s">
        <v>2032</v>
      </c>
      <c r="AV54" s="288" t="s">
        <v>2032</v>
      </c>
      <c r="AW54" s="288" t="s">
        <v>2032</v>
      </c>
      <c r="AX54" s="288" t="s">
        <v>2032</v>
      </c>
      <c r="AY54" s="288" t="s">
        <v>2032</v>
      </c>
      <c r="AZ54" s="288" t="s">
        <v>2032</v>
      </c>
      <c r="BA54" s="288" t="s">
        <v>2032</v>
      </c>
      <c r="BB54" s="288" t="s">
        <v>2032</v>
      </c>
      <c r="BC54" s="288" t="s">
        <v>2032</v>
      </c>
      <c r="BD54" s="289">
        <f t="shared" si="0"/>
        <v>0</v>
      </c>
      <c r="BE54" s="287" t="s">
        <v>1489</v>
      </c>
      <c r="BF54" s="272"/>
    </row>
    <row r="55" spans="1:58" ht="14.25" customHeight="1" x14ac:dyDescent="0.35">
      <c r="A55" s="68">
        <v>53</v>
      </c>
      <c r="B55" s="24" t="s">
        <v>1581</v>
      </c>
      <c r="C55" s="24">
        <v>2024</v>
      </c>
      <c r="D55" s="24" t="s">
        <v>1541</v>
      </c>
      <c r="E55" s="269" t="str">
        <f ca="1">IFERROR(__xludf.DUMMYFUNCTION("ARRAYFORMULA(JOIN("""", ARRAYFORMULA(MID(SPLIT(F55, "" ""), 1, 1))))
&amp;""/""&amp;G55"),"MC/6 Primaria")</f>
        <v>MC/6 Primaria</v>
      </c>
      <c r="F55" s="24" t="s">
        <v>1582</v>
      </c>
      <c r="G55" s="248" t="s">
        <v>37</v>
      </c>
      <c r="H55" s="248" t="s">
        <v>1720</v>
      </c>
      <c r="I55" s="248" t="s">
        <v>1612</v>
      </c>
      <c r="J55" s="248" t="s">
        <v>1721</v>
      </c>
      <c r="K55" s="248" t="s">
        <v>1586</v>
      </c>
      <c r="L55" s="272"/>
      <c r="M55" s="286" t="s">
        <v>1589</v>
      </c>
      <c r="N55" s="286" t="s">
        <v>1587</v>
      </c>
      <c r="O55" s="286" t="s">
        <v>1589</v>
      </c>
      <c r="P55" s="286" t="s">
        <v>1587</v>
      </c>
      <c r="Q55" s="286" t="s">
        <v>1589</v>
      </c>
      <c r="R55" s="286" t="s">
        <v>1588</v>
      </c>
      <c r="S55" s="286" t="s">
        <v>1587</v>
      </c>
      <c r="T55" s="286" t="s">
        <v>1617</v>
      </c>
      <c r="U55" s="286" t="s">
        <v>1587</v>
      </c>
      <c r="V55" s="286" t="s">
        <v>1588</v>
      </c>
      <c r="W55" s="286" t="s">
        <v>1587</v>
      </c>
      <c r="X55" s="286" t="s">
        <v>1589</v>
      </c>
      <c r="Y55" s="286" t="s">
        <v>1588</v>
      </c>
      <c r="Z55" s="286" t="s">
        <v>1617</v>
      </c>
      <c r="AA55" s="286" t="s">
        <v>1587</v>
      </c>
      <c r="AB55" s="286" t="s">
        <v>1588</v>
      </c>
      <c r="AC55" s="286" t="s">
        <v>1587</v>
      </c>
      <c r="AD55" s="286" t="s">
        <v>1587</v>
      </c>
      <c r="AE55" s="286" t="s">
        <v>1588</v>
      </c>
      <c r="AF55" s="286" t="s">
        <v>1588</v>
      </c>
      <c r="AG55" s="283">
        <v>6</v>
      </c>
      <c r="AH55" s="287" t="s">
        <v>19</v>
      </c>
      <c r="AI55" s="272"/>
      <c r="AJ55" s="288" t="s">
        <v>2032</v>
      </c>
      <c r="AK55" s="288" t="s">
        <v>2032</v>
      </c>
      <c r="AL55" s="288" t="s">
        <v>2032</v>
      </c>
      <c r="AM55" s="288" t="s">
        <v>2032</v>
      </c>
      <c r="AN55" s="288" t="s">
        <v>2032</v>
      </c>
      <c r="AO55" s="288" t="s">
        <v>2032</v>
      </c>
      <c r="AP55" s="288" t="s">
        <v>2032</v>
      </c>
      <c r="AQ55" s="288" t="s">
        <v>2032</v>
      </c>
      <c r="AR55" s="288" t="s">
        <v>2032</v>
      </c>
      <c r="AS55" s="288" t="s">
        <v>2032</v>
      </c>
      <c r="AT55" s="288" t="s">
        <v>2032</v>
      </c>
      <c r="AU55" s="288" t="s">
        <v>2032</v>
      </c>
      <c r="AV55" s="288" t="s">
        <v>2032</v>
      </c>
      <c r="AW55" s="288" t="s">
        <v>2032</v>
      </c>
      <c r="AX55" s="288" t="s">
        <v>2032</v>
      </c>
      <c r="AY55" s="288" t="s">
        <v>2032</v>
      </c>
      <c r="AZ55" s="288" t="s">
        <v>2032</v>
      </c>
      <c r="BA55" s="288" t="s">
        <v>2032</v>
      </c>
      <c r="BB55" s="288" t="s">
        <v>2032</v>
      </c>
      <c r="BC55" s="288" t="s">
        <v>2032</v>
      </c>
      <c r="BD55" s="289">
        <f t="shared" si="0"/>
        <v>0</v>
      </c>
      <c r="BE55" s="287" t="s">
        <v>1489</v>
      </c>
      <c r="BF55" s="272"/>
    </row>
    <row r="56" spans="1:58" ht="14.25" customHeight="1" x14ac:dyDescent="0.35">
      <c r="A56" s="68">
        <v>54</v>
      </c>
      <c r="B56" s="24" t="s">
        <v>1581</v>
      </c>
      <c r="C56" s="24">
        <v>2024</v>
      </c>
      <c r="D56" s="24" t="s">
        <v>1541</v>
      </c>
      <c r="E56" s="269" t="str">
        <f ca="1">IFERROR(__xludf.DUMMYFUNCTION("ARRAYFORMULA(JOIN("""", ARRAYFORMULA(MID(SPLIT(F56, "" ""), 1, 1))))
&amp;""/""&amp;G56"),"MC/6 Primaria")</f>
        <v>MC/6 Primaria</v>
      </c>
      <c r="F56" s="24" t="s">
        <v>1582</v>
      </c>
      <c r="G56" s="248" t="s">
        <v>37</v>
      </c>
      <c r="H56" s="248" t="s">
        <v>1722</v>
      </c>
      <c r="I56" s="248" t="s">
        <v>1665</v>
      </c>
      <c r="J56" s="248" t="s">
        <v>1723</v>
      </c>
      <c r="K56" s="248" t="s">
        <v>1593</v>
      </c>
      <c r="L56" s="272"/>
      <c r="M56" s="286" t="s">
        <v>1617</v>
      </c>
      <c r="N56" s="286" t="s">
        <v>1617</v>
      </c>
      <c r="O56" s="286" t="s">
        <v>1589</v>
      </c>
      <c r="P56" s="286" t="s">
        <v>1587</v>
      </c>
      <c r="Q56" s="286" t="s">
        <v>1588</v>
      </c>
      <c r="R56" s="286" t="s">
        <v>1617</v>
      </c>
      <c r="S56" s="286" t="s">
        <v>1588</v>
      </c>
      <c r="T56" s="286" t="s">
        <v>1617</v>
      </c>
      <c r="U56" s="286" t="s">
        <v>1588</v>
      </c>
      <c r="V56" s="286" t="s">
        <v>1589</v>
      </c>
      <c r="W56" s="286" t="s">
        <v>1589</v>
      </c>
      <c r="X56" s="286" t="s">
        <v>1617</v>
      </c>
      <c r="Y56" s="286" t="s">
        <v>1617</v>
      </c>
      <c r="Z56" s="286" t="s">
        <v>1589</v>
      </c>
      <c r="AA56" s="286" t="s">
        <v>1589</v>
      </c>
      <c r="AB56" s="286" t="s">
        <v>1617</v>
      </c>
      <c r="AC56" s="286" t="s">
        <v>1617</v>
      </c>
      <c r="AD56" s="286" t="s">
        <v>1587</v>
      </c>
      <c r="AE56" s="286" t="s">
        <v>1588</v>
      </c>
      <c r="AF56" s="286" t="s">
        <v>1588</v>
      </c>
      <c r="AG56" s="283">
        <v>7</v>
      </c>
      <c r="AH56" s="287" t="s">
        <v>19</v>
      </c>
      <c r="AI56" s="272"/>
      <c r="AJ56" s="288" t="s">
        <v>2032</v>
      </c>
      <c r="AK56" s="288" t="s">
        <v>2032</v>
      </c>
      <c r="AL56" s="288" t="s">
        <v>2032</v>
      </c>
      <c r="AM56" s="288" t="s">
        <v>2032</v>
      </c>
      <c r="AN56" s="288" t="s">
        <v>2032</v>
      </c>
      <c r="AO56" s="288" t="s">
        <v>2032</v>
      </c>
      <c r="AP56" s="288" t="s">
        <v>2032</v>
      </c>
      <c r="AQ56" s="288" t="s">
        <v>2032</v>
      </c>
      <c r="AR56" s="288" t="s">
        <v>2032</v>
      </c>
      <c r="AS56" s="288" t="s">
        <v>2032</v>
      </c>
      <c r="AT56" s="288" t="s">
        <v>2032</v>
      </c>
      <c r="AU56" s="288" t="s">
        <v>2032</v>
      </c>
      <c r="AV56" s="288" t="s">
        <v>2032</v>
      </c>
      <c r="AW56" s="288" t="s">
        <v>2032</v>
      </c>
      <c r="AX56" s="288" t="s">
        <v>2032</v>
      </c>
      <c r="AY56" s="288" t="s">
        <v>2032</v>
      </c>
      <c r="AZ56" s="288" t="s">
        <v>2032</v>
      </c>
      <c r="BA56" s="288" t="s">
        <v>2032</v>
      </c>
      <c r="BB56" s="288" t="s">
        <v>2032</v>
      </c>
      <c r="BC56" s="288" t="s">
        <v>2032</v>
      </c>
      <c r="BD56" s="289">
        <f t="shared" si="0"/>
        <v>0</v>
      </c>
      <c r="BE56" s="287" t="s">
        <v>1489</v>
      </c>
      <c r="BF56" s="272"/>
    </row>
    <row r="57" spans="1:58" ht="14.25" customHeight="1" x14ac:dyDescent="0.35">
      <c r="A57" s="68">
        <v>55</v>
      </c>
      <c r="B57" s="24" t="s">
        <v>1581</v>
      </c>
      <c r="C57" s="24">
        <v>2024</v>
      </c>
      <c r="D57" s="24" t="s">
        <v>1541</v>
      </c>
      <c r="E57" s="269" t="str">
        <f ca="1">IFERROR(__xludf.DUMMYFUNCTION("ARRAYFORMULA(JOIN("""", ARRAYFORMULA(MID(SPLIT(F57, "" ""), 1, 1))))
&amp;""/""&amp;G57"),"MC/6 Primaria")</f>
        <v>MC/6 Primaria</v>
      </c>
      <c r="F57" s="24" t="s">
        <v>1582</v>
      </c>
      <c r="G57" s="248" t="s">
        <v>37</v>
      </c>
      <c r="H57" s="248" t="s">
        <v>1724</v>
      </c>
      <c r="I57" s="248" t="s">
        <v>1595</v>
      </c>
      <c r="J57" s="248" t="s">
        <v>1725</v>
      </c>
      <c r="K57" s="248" t="s">
        <v>1586</v>
      </c>
      <c r="L57" s="272"/>
      <c r="M57" s="286" t="s">
        <v>1589</v>
      </c>
      <c r="N57" s="286" t="s">
        <v>1617</v>
      </c>
      <c r="O57" s="286" t="s">
        <v>1587</v>
      </c>
      <c r="P57" s="286" t="s">
        <v>1589</v>
      </c>
      <c r="Q57" s="286" t="s">
        <v>1587</v>
      </c>
      <c r="R57" s="286" t="s">
        <v>1617</v>
      </c>
      <c r="S57" s="286" t="s">
        <v>1587</v>
      </c>
      <c r="T57" s="286" t="s">
        <v>1589</v>
      </c>
      <c r="U57" s="286" t="s">
        <v>1587</v>
      </c>
      <c r="V57" s="286" t="s">
        <v>1589</v>
      </c>
      <c r="W57" s="286" t="s">
        <v>1587</v>
      </c>
      <c r="X57" s="286" t="s">
        <v>1617</v>
      </c>
      <c r="Y57" s="286" t="s">
        <v>1588</v>
      </c>
      <c r="Z57" s="286" t="s">
        <v>1589</v>
      </c>
      <c r="AA57" s="286" t="s">
        <v>1589</v>
      </c>
      <c r="AB57" s="286" t="s">
        <v>1617</v>
      </c>
      <c r="AC57" s="286" t="s">
        <v>1588</v>
      </c>
      <c r="AD57" s="286" t="s">
        <v>1589</v>
      </c>
      <c r="AE57" s="286" t="s">
        <v>1617</v>
      </c>
      <c r="AF57" s="286" t="s">
        <v>1589</v>
      </c>
      <c r="AG57" s="283">
        <v>11</v>
      </c>
      <c r="AH57" s="287" t="s">
        <v>23</v>
      </c>
      <c r="AI57" s="272"/>
      <c r="AJ57" s="288" t="s">
        <v>2032</v>
      </c>
      <c r="AK57" s="288" t="s">
        <v>2032</v>
      </c>
      <c r="AL57" s="288" t="s">
        <v>2032</v>
      </c>
      <c r="AM57" s="288" t="s">
        <v>2032</v>
      </c>
      <c r="AN57" s="288" t="s">
        <v>2032</v>
      </c>
      <c r="AO57" s="288" t="s">
        <v>2032</v>
      </c>
      <c r="AP57" s="288" t="s">
        <v>2032</v>
      </c>
      <c r="AQ57" s="288" t="s">
        <v>2032</v>
      </c>
      <c r="AR57" s="288" t="s">
        <v>2032</v>
      </c>
      <c r="AS57" s="288" t="s">
        <v>2032</v>
      </c>
      <c r="AT57" s="288" t="s">
        <v>2032</v>
      </c>
      <c r="AU57" s="288" t="s">
        <v>2032</v>
      </c>
      <c r="AV57" s="288" t="s">
        <v>2032</v>
      </c>
      <c r="AW57" s="288" t="s">
        <v>2032</v>
      </c>
      <c r="AX57" s="288" t="s">
        <v>2032</v>
      </c>
      <c r="AY57" s="288" t="s">
        <v>2032</v>
      </c>
      <c r="AZ57" s="288" t="s">
        <v>2032</v>
      </c>
      <c r="BA57" s="288" t="s">
        <v>2032</v>
      </c>
      <c r="BB57" s="288" t="s">
        <v>2032</v>
      </c>
      <c r="BC57" s="288" t="s">
        <v>2032</v>
      </c>
      <c r="BD57" s="289">
        <f t="shared" si="0"/>
        <v>0</v>
      </c>
      <c r="BE57" s="287" t="s">
        <v>1489</v>
      </c>
      <c r="BF57" s="272"/>
    </row>
    <row r="58" spans="1:58" ht="14.25" customHeight="1" x14ac:dyDescent="0.35">
      <c r="A58" s="68">
        <v>56</v>
      </c>
      <c r="B58" s="24" t="s">
        <v>1581</v>
      </c>
      <c r="C58" s="24">
        <v>2024</v>
      </c>
      <c r="D58" s="24" t="s">
        <v>1541</v>
      </c>
      <c r="E58" s="269" t="str">
        <f ca="1">IFERROR(__xludf.DUMMYFUNCTION("ARRAYFORMULA(JOIN("""", ARRAYFORMULA(MID(SPLIT(F58, "" ""), 1, 1))))
&amp;""/""&amp;G58"),"MC/6 Primaria")</f>
        <v>MC/6 Primaria</v>
      </c>
      <c r="F58" s="24" t="s">
        <v>1582</v>
      </c>
      <c r="G58" s="248" t="s">
        <v>37</v>
      </c>
      <c r="H58" s="248" t="s">
        <v>1726</v>
      </c>
      <c r="I58" s="248" t="s">
        <v>1672</v>
      </c>
      <c r="J58" s="248" t="s">
        <v>1727</v>
      </c>
      <c r="K58" s="248" t="s">
        <v>1593</v>
      </c>
      <c r="L58" s="272"/>
      <c r="M58" s="286" t="s">
        <v>1617</v>
      </c>
      <c r="N58" s="286" t="s">
        <v>1617</v>
      </c>
      <c r="O58" s="286" t="s">
        <v>1587</v>
      </c>
      <c r="P58" s="286" t="s">
        <v>1617</v>
      </c>
      <c r="Q58" s="286" t="s">
        <v>1587</v>
      </c>
      <c r="R58" s="286" t="s">
        <v>1587</v>
      </c>
      <c r="S58" s="286" t="s">
        <v>1587</v>
      </c>
      <c r="T58" s="286" t="s">
        <v>1588</v>
      </c>
      <c r="U58" s="286" t="s">
        <v>1588</v>
      </c>
      <c r="V58" s="286" t="s">
        <v>1587</v>
      </c>
      <c r="W58" s="286" t="s">
        <v>1588</v>
      </c>
      <c r="X58" s="286" t="s">
        <v>1617</v>
      </c>
      <c r="Y58" s="286" t="s">
        <v>1587</v>
      </c>
      <c r="Z58" s="286" t="s">
        <v>1587</v>
      </c>
      <c r="AA58" s="286" t="s">
        <v>1589</v>
      </c>
      <c r="AB58" s="286" t="s">
        <v>1589</v>
      </c>
      <c r="AC58" s="286" t="s">
        <v>1617</v>
      </c>
      <c r="AD58" s="286" t="s">
        <v>1588</v>
      </c>
      <c r="AE58" s="286" t="s">
        <v>1617</v>
      </c>
      <c r="AF58" s="286" t="s">
        <v>1588</v>
      </c>
      <c r="AG58" s="283">
        <v>7</v>
      </c>
      <c r="AH58" s="287" t="s">
        <v>19</v>
      </c>
      <c r="AI58" s="272"/>
      <c r="AJ58" s="288" t="s">
        <v>2032</v>
      </c>
      <c r="AK58" s="288" t="s">
        <v>2032</v>
      </c>
      <c r="AL58" s="288" t="s">
        <v>2032</v>
      </c>
      <c r="AM58" s="288" t="s">
        <v>2032</v>
      </c>
      <c r="AN58" s="288" t="s">
        <v>2032</v>
      </c>
      <c r="AO58" s="288" t="s">
        <v>2032</v>
      </c>
      <c r="AP58" s="288" t="s">
        <v>2032</v>
      </c>
      <c r="AQ58" s="288" t="s">
        <v>2032</v>
      </c>
      <c r="AR58" s="288" t="s">
        <v>2032</v>
      </c>
      <c r="AS58" s="288" t="s">
        <v>2032</v>
      </c>
      <c r="AT58" s="288" t="s">
        <v>2032</v>
      </c>
      <c r="AU58" s="288" t="s">
        <v>2032</v>
      </c>
      <c r="AV58" s="288" t="s">
        <v>2032</v>
      </c>
      <c r="AW58" s="288" t="s">
        <v>2032</v>
      </c>
      <c r="AX58" s="288" t="s">
        <v>2032</v>
      </c>
      <c r="AY58" s="288" t="s">
        <v>2032</v>
      </c>
      <c r="AZ58" s="288" t="s">
        <v>2032</v>
      </c>
      <c r="BA58" s="288" t="s">
        <v>2032</v>
      </c>
      <c r="BB58" s="288" t="s">
        <v>2032</v>
      </c>
      <c r="BC58" s="288" t="s">
        <v>2032</v>
      </c>
      <c r="BD58" s="289">
        <f t="shared" si="0"/>
        <v>0</v>
      </c>
      <c r="BE58" s="287" t="s">
        <v>1489</v>
      </c>
      <c r="BF58" s="272"/>
    </row>
    <row r="59" spans="1:58" ht="14.25" customHeight="1" x14ac:dyDescent="0.35">
      <c r="A59" s="68">
        <v>57</v>
      </c>
      <c r="B59" s="24" t="s">
        <v>1581</v>
      </c>
      <c r="C59" s="24">
        <v>2024</v>
      </c>
      <c r="D59" s="24" t="s">
        <v>1541</v>
      </c>
      <c r="E59" s="269" t="str">
        <f ca="1">IFERROR(__xludf.DUMMYFUNCTION("ARRAYFORMULA(JOIN("""", ARRAYFORMULA(MID(SPLIT(F59, "" ""), 1, 1))))
&amp;""/""&amp;G59"),"MC/6 Primaria")</f>
        <v>MC/6 Primaria</v>
      </c>
      <c r="F59" s="24" t="s">
        <v>1582</v>
      </c>
      <c r="G59" s="248" t="s">
        <v>37</v>
      </c>
      <c r="H59" s="248" t="s">
        <v>1612</v>
      </c>
      <c r="I59" s="248" t="s">
        <v>1728</v>
      </c>
      <c r="J59" s="248" t="s">
        <v>1729</v>
      </c>
      <c r="K59" s="248" t="s">
        <v>1593</v>
      </c>
      <c r="L59" s="272"/>
      <c r="M59" s="286" t="s">
        <v>1589</v>
      </c>
      <c r="N59" s="286" t="s">
        <v>1617</v>
      </c>
      <c r="O59" s="286" t="s">
        <v>1589</v>
      </c>
      <c r="P59" s="286" t="s">
        <v>1587</v>
      </c>
      <c r="Q59" s="286" t="s">
        <v>1587</v>
      </c>
      <c r="R59" s="286" t="s">
        <v>1587</v>
      </c>
      <c r="S59" s="286" t="s">
        <v>1588</v>
      </c>
      <c r="T59" s="286" t="s">
        <v>1589</v>
      </c>
      <c r="U59" s="286" t="s">
        <v>1587</v>
      </c>
      <c r="V59" s="286" t="s">
        <v>1587</v>
      </c>
      <c r="W59" s="286" t="s">
        <v>1589</v>
      </c>
      <c r="X59" s="286" t="s">
        <v>1617</v>
      </c>
      <c r="Y59" s="286" t="s">
        <v>1588</v>
      </c>
      <c r="Z59" s="286" t="s">
        <v>1617</v>
      </c>
      <c r="AA59" s="286" t="s">
        <v>1617</v>
      </c>
      <c r="AB59" s="286" t="s">
        <v>1617</v>
      </c>
      <c r="AC59" s="286" t="s">
        <v>1588</v>
      </c>
      <c r="AD59" s="286" t="s">
        <v>1587</v>
      </c>
      <c r="AE59" s="286" t="s">
        <v>1617</v>
      </c>
      <c r="AF59" s="286" t="s">
        <v>1588</v>
      </c>
      <c r="AG59" s="283">
        <v>12</v>
      </c>
      <c r="AH59" s="287" t="s">
        <v>23</v>
      </c>
      <c r="AI59" s="272"/>
      <c r="AJ59" s="288" t="s">
        <v>2032</v>
      </c>
      <c r="AK59" s="288" t="s">
        <v>2032</v>
      </c>
      <c r="AL59" s="288" t="s">
        <v>2032</v>
      </c>
      <c r="AM59" s="288" t="s">
        <v>2032</v>
      </c>
      <c r="AN59" s="288" t="s">
        <v>2032</v>
      </c>
      <c r="AO59" s="288" t="s">
        <v>2032</v>
      </c>
      <c r="AP59" s="288" t="s">
        <v>2032</v>
      </c>
      <c r="AQ59" s="288" t="s">
        <v>2032</v>
      </c>
      <c r="AR59" s="288" t="s">
        <v>2032</v>
      </c>
      <c r="AS59" s="288" t="s">
        <v>2032</v>
      </c>
      <c r="AT59" s="288" t="s">
        <v>2032</v>
      </c>
      <c r="AU59" s="288" t="s">
        <v>2032</v>
      </c>
      <c r="AV59" s="288" t="s">
        <v>2032</v>
      </c>
      <c r="AW59" s="288" t="s">
        <v>2032</v>
      </c>
      <c r="AX59" s="288" t="s">
        <v>2032</v>
      </c>
      <c r="AY59" s="288" t="s">
        <v>2032</v>
      </c>
      <c r="AZ59" s="288" t="s">
        <v>2032</v>
      </c>
      <c r="BA59" s="288" t="s">
        <v>2032</v>
      </c>
      <c r="BB59" s="288" t="s">
        <v>2032</v>
      </c>
      <c r="BC59" s="288" t="s">
        <v>2032</v>
      </c>
      <c r="BD59" s="289">
        <f t="shared" si="0"/>
        <v>0</v>
      </c>
      <c r="BE59" s="287" t="s">
        <v>1489</v>
      </c>
      <c r="BF59" s="272"/>
    </row>
    <row r="60" spans="1:58" ht="14.25" customHeight="1" x14ac:dyDescent="0.35">
      <c r="A60" s="68">
        <v>58</v>
      </c>
      <c r="B60" s="24" t="s">
        <v>1581</v>
      </c>
      <c r="C60" s="24">
        <v>2024</v>
      </c>
      <c r="D60" s="24" t="s">
        <v>1541</v>
      </c>
      <c r="E60" s="269" t="str">
        <f ca="1">IFERROR(__xludf.DUMMYFUNCTION("ARRAYFORMULA(JOIN("""", ARRAYFORMULA(MID(SPLIT(F60, "" ""), 1, 1))))
&amp;""/""&amp;G60"),"MC/6 Primaria")</f>
        <v>MC/6 Primaria</v>
      </c>
      <c r="F60" s="24" t="s">
        <v>1582</v>
      </c>
      <c r="G60" s="248" t="s">
        <v>37</v>
      </c>
      <c r="H60" s="248" t="s">
        <v>1647</v>
      </c>
      <c r="I60" s="248" t="s">
        <v>1612</v>
      </c>
      <c r="J60" s="248" t="s">
        <v>1730</v>
      </c>
      <c r="K60" s="248" t="s">
        <v>1586</v>
      </c>
      <c r="L60" s="272"/>
      <c r="M60" s="286" t="s">
        <v>1588</v>
      </c>
      <c r="N60" s="286" t="s">
        <v>1617</v>
      </c>
      <c r="O60" s="286" t="s">
        <v>1589</v>
      </c>
      <c r="P60" s="286" t="s">
        <v>1617</v>
      </c>
      <c r="Q60" s="286" t="s">
        <v>1587</v>
      </c>
      <c r="R60" s="286" t="s">
        <v>1617</v>
      </c>
      <c r="S60" s="286" t="s">
        <v>1587</v>
      </c>
      <c r="T60" s="286" t="s">
        <v>1587</v>
      </c>
      <c r="U60" s="286" t="s">
        <v>1587</v>
      </c>
      <c r="V60" s="286" t="s">
        <v>1617</v>
      </c>
      <c r="W60" s="286" t="s">
        <v>1589</v>
      </c>
      <c r="X60" s="286" t="s">
        <v>1617</v>
      </c>
      <c r="Y60" s="286" t="s">
        <v>1588</v>
      </c>
      <c r="Z60" s="286" t="s">
        <v>1589</v>
      </c>
      <c r="AA60" s="286" t="s">
        <v>1617</v>
      </c>
      <c r="AB60" s="286" t="s">
        <v>1617</v>
      </c>
      <c r="AC60" s="286" t="s">
        <v>1617</v>
      </c>
      <c r="AD60" s="286" t="s">
        <v>1587</v>
      </c>
      <c r="AE60" s="286" t="s">
        <v>1617</v>
      </c>
      <c r="AF60" s="286" t="s">
        <v>1588</v>
      </c>
      <c r="AG60" s="283">
        <v>16</v>
      </c>
      <c r="AH60" s="287" t="s">
        <v>23</v>
      </c>
      <c r="AI60" s="272"/>
      <c r="AJ60" s="288" t="s">
        <v>2032</v>
      </c>
      <c r="AK60" s="288" t="s">
        <v>2032</v>
      </c>
      <c r="AL60" s="288" t="s">
        <v>2032</v>
      </c>
      <c r="AM60" s="288" t="s">
        <v>2032</v>
      </c>
      <c r="AN60" s="288" t="s">
        <v>2032</v>
      </c>
      <c r="AO60" s="288" t="s">
        <v>2032</v>
      </c>
      <c r="AP60" s="288" t="s">
        <v>2032</v>
      </c>
      <c r="AQ60" s="288" t="s">
        <v>2032</v>
      </c>
      <c r="AR60" s="288" t="s">
        <v>2032</v>
      </c>
      <c r="AS60" s="288" t="s">
        <v>2032</v>
      </c>
      <c r="AT60" s="288" t="s">
        <v>2032</v>
      </c>
      <c r="AU60" s="288" t="s">
        <v>2032</v>
      </c>
      <c r="AV60" s="288" t="s">
        <v>2032</v>
      </c>
      <c r="AW60" s="288" t="s">
        <v>2032</v>
      </c>
      <c r="AX60" s="288" t="s">
        <v>2032</v>
      </c>
      <c r="AY60" s="288" t="s">
        <v>2032</v>
      </c>
      <c r="AZ60" s="288" t="s">
        <v>2032</v>
      </c>
      <c r="BA60" s="288" t="s">
        <v>2032</v>
      </c>
      <c r="BB60" s="288" t="s">
        <v>2032</v>
      </c>
      <c r="BC60" s="288" t="s">
        <v>2032</v>
      </c>
      <c r="BD60" s="289">
        <f t="shared" si="0"/>
        <v>0</v>
      </c>
      <c r="BE60" s="287" t="s">
        <v>1489</v>
      </c>
      <c r="BF60" s="272"/>
    </row>
    <row r="61" spans="1:58" ht="14.25" customHeight="1" x14ac:dyDescent="0.35">
      <c r="A61" s="68">
        <v>59</v>
      </c>
      <c r="B61" s="24" t="s">
        <v>1581</v>
      </c>
      <c r="C61" s="24">
        <v>2024</v>
      </c>
      <c r="D61" s="24" t="s">
        <v>1541</v>
      </c>
      <c r="E61" s="269" t="str">
        <f ca="1">IFERROR(__xludf.DUMMYFUNCTION("ARRAYFORMULA(JOIN("""", ARRAYFORMULA(MID(SPLIT(F61, "" ""), 1, 1))))
&amp;""/""&amp;G61"),"MC/6 Primaria")</f>
        <v>MC/6 Primaria</v>
      </c>
      <c r="F61" s="24" t="s">
        <v>1582</v>
      </c>
      <c r="G61" s="248" t="s">
        <v>37</v>
      </c>
      <c r="H61" s="248" t="s">
        <v>1731</v>
      </c>
      <c r="I61" s="248" t="s">
        <v>1732</v>
      </c>
      <c r="J61" s="248" t="s">
        <v>1733</v>
      </c>
      <c r="K61" s="248" t="s">
        <v>1593</v>
      </c>
      <c r="L61" s="272"/>
      <c r="M61" s="286" t="s">
        <v>1588</v>
      </c>
      <c r="N61" s="286" t="s">
        <v>1617</v>
      </c>
      <c r="O61" s="286" t="s">
        <v>1589</v>
      </c>
      <c r="P61" s="286" t="s">
        <v>1617</v>
      </c>
      <c r="Q61" s="286" t="s">
        <v>1587</v>
      </c>
      <c r="R61" s="286" t="s">
        <v>1587</v>
      </c>
      <c r="S61" s="286" t="s">
        <v>1587</v>
      </c>
      <c r="T61" s="286" t="s">
        <v>1587</v>
      </c>
      <c r="U61" s="286" t="s">
        <v>1589</v>
      </c>
      <c r="V61" s="286" t="s">
        <v>1589</v>
      </c>
      <c r="W61" s="286" t="s">
        <v>1589</v>
      </c>
      <c r="X61" s="286" t="s">
        <v>1617</v>
      </c>
      <c r="Y61" s="286" t="s">
        <v>1588</v>
      </c>
      <c r="Z61" s="286" t="s">
        <v>1589</v>
      </c>
      <c r="AA61" s="286" t="s">
        <v>1589</v>
      </c>
      <c r="AB61" s="286" t="s">
        <v>1617</v>
      </c>
      <c r="AC61" s="286" t="s">
        <v>1589</v>
      </c>
      <c r="AD61" s="286" t="s">
        <v>1587</v>
      </c>
      <c r="AE61" s="286" t="s">
        <v>1617</v>
      </c>
      <c r="AF61" s="286" t="s">
        <v>1589</v>
      </c>
      <c r="AG61" s="283">
        <v>16</v>
      </c>
      <c r="AH61" s="287" t="s">
        <v>23</v>
      </c>
      <c r="AI61" s="272"/>
      <c r="AJ61" s="288" t="s">
        <v>2032</v>
      </c>
      <c r="AK61" s="288" t="s">
        <v>2032</v>
      </c>
      <c r="AL61" s="288" t="s">
        <v>2032</v>
      </c>
      <c r="AM61" s="288" t="s">
        <v>2032</v>
      </c>
      <c r="AN61" s="288" t="s">
        <v>2032</v>
      </c>
      <c r="AO61" s="288" t="s">
        <v>2032</v>
      </c>
      <c r="AP61" s="288" t="s">
        <v>2032</v>
      </c>
      <c r="AQ61" s="288" t="s">
        <v>2032</v>
      </c>
      <c r="AR61" s="288" t="s">
        <v>2032</v>
      </c>
      <c r="AS61" s="288" t="s">
        <v>2032</v>
      </c>
      <c r="AT61" s="288" t="s">
        <v>2032</v>
      </c>
      <c r="AU61" s="288" t="s">
        <v>2032</v>
      </c>
      <c r="AV61" s="288" t="s">
        <v>2032</v>
      </c>
      <c r="AW61" s="288" t="s">
        <v>2032</v>
      </c>
      <c r="AX61" s="288" t="s">
        <v>2032</v>
      </c>
      <c r="AY61" s="288" t="s">
        <v>2032</v>
      </c>
      <c r="AZ61" s="288" t="s">
        <v>2032</v>
      </c>
      <c r="BA61" s="288" t="s">
        <v>2032</v>
      </c>
      <c r="BB61" s="288" t="s">
        <v>2032</v>
      </c>
      <c r="BC61" s="288" t="s">
        <v>2032</v>
      </c>
      <c r="BD61" s="289">
        <f t="shared" si="0"/>
        <v>0</v>
      </c>
      <c r="BE61" s="287" t="s">
        <v>1489</v>
      </c>
      <c r="BF61" s="272"/>
    </row>
    <row r="62" spans="1:58" ht="14.25" customHeight="1" x14ac:dyDescent="0.35">
      <c r="A62" s="68">
        <v>60</v>
      </c>
      <c r="B62" s="24" t="s">
        <v>1581</v>
      </c>
      <c r="C62" s="24">
        <v>2024</v>
      </c>
      <c r="D62" s="24" t="s">
        <v>1541</v>
      </c>
      <c r="E62" s="269" t="str">
        <f ca="1">IFERROR(__xludf.DUMMYFUNCTION("ARRAYFORMULA(JOIN("""", ARRAYFORMULA(MID(SPLIT(F62, "" ""), 1, 1))))
&amp;""/""&amp;G62"),"MC/6 Primaria")</f>
        <v>MC/6 Primaria</v>
      </c>
      <c r="F62" s="24" t="s">
        <v>1582</v>
      </c>
      <c r="G62" s="248" t="s">
        <v>37</v>
      </c>
      <c r="H62" s="248" t="s">
        <v>1734</v>
      </c>
      <c r="I62" s="248" t="s">
        <v>1612</v>
      </c>
      <c r="J62" s="248" t="s">
        <v>1735</v>
      </c>
      <c r="K62" s="248" t="s">
        <v>1593</v>
      </c>
      <c r="L62" s="272"/>
      <c r="M62" s="286" t="s">
        <v>1588</v>
      </c>
      <c r="N62" s="286" t="s">
        <v>1617</v>
      </c>
      <c r="O62" s="286" t="s">
        <v>1589</v>
      </c>
      <c r="P62" s="286" t="s">
        <v>1617</v>
      </c>
      <c r="Q62" s="286" t="s">
        <v>1587</v>
      </c>
      <c r="R62" s="286" t="s">
        <v>1587</v>
      </c>
      <c r="S62" s="286" t="s">
        <v>1587</v>
      </c>
      <c r="T62" s="286" t="s">
        <v>1587</v>
      </c>
      <c r="U62" s="286" t="s">
        <v>1587</v>
      </c>
      <c r="V62" s="286" t="s">
        <v>1617</v>
      </c>
      <c r="W62" s="286" t="s">
        <v>1589</v>
      </c>
      <c r="X62" s="286" t="s">
        <v>1617</v>
      </c>
      <c r="Y62" s="286" t="s">
        <v>1589</v>
      </c>
      <c r="Z62" s="286" t="s">
        <v>1589</v>
      </c>
      <c r="AA62" s="286" t="s">
        <v>1587</v>
      </c>
      <c r="AB62" s="286" t="s">
        <v>1617</v>
      </c>
      <c r="AC62" s="286" t="s">
        <v>1589</v>
      </c>
      <c r="AD62" s="286" t="s">
        <v>1589</v>
      </c>
      <c r="AE62" s="286" t="s">
        <v>1617</v>
      </c>
      <c r="AF62" s="286" t="s">
        <v>1588</v>
      </c>
      <c r="AG62" s="283">
        <v>16</v>
      </c>
      <c r="AH62" s="287" t="s">
        <v>23</v>
      </c>
      <c r="AI62" s="272"/>
      <c r="AJ62" s="288" t="s">
        <v>2032</v>
      </c>
      <c r="AK62" s="288" t="s">
        <v>2032</v>
      </c>
      <c r="AL62" s="288" t="s">
        <v>2032</v>
      </c>
      <c r="AM62" s="288" t="s">
        <v>2032</v>
      </c>
      <c r="AN62" s="288" t="s">
        <v>2032</v>
      </c>
      <c r="AO62" s="288" t="s">
        <v>2032</v>
      </c>
      <c r="AP62" s="288" t="s">
        <v>2032</v>
      </c>
      <c r="AQ62" s="288" t="s">
        <v>2032</v>
      </c>
      <c r="AR62" s="288" t="s">
        <v>2032</v>
      </c>
      <c r="AS62" s="288" t="s">
        <v>2032</v>
      </c>
      <c r="AT62" s="288" t="s">
        <v>2032</v>
      </c>
      <c r="AU62" s="288" t="s">
        <v>2032</v>
      </c>
      <c r="AV62" s="288" t="s">
        <v>2032</v>
      </c>
      <c r="AW62" s="288" t="s">
        <v>2032</v>
      </c>
      <c r="AX62" s="288" t="s">
        <v>2032</v>
      </c>
      <c r="AY62" s="288" t="s">
        <v>2032</v>
      </c>
      <c r="AZ62" s="288" t="s">
        <v>2032</v>
      </c>
      <c r="BA62" s="288" t="s">
        <v>2032</v>
      </c>
      <c r="BB62" s="288" t="s">
        <v>2032</v>
      </c>
      <c r="BC62" s="288" t="s">
        <v>2032</v>
      </c>
      <c r="BD62" s="289">
        <f t="shared" si="0"/>
        <v>0</v>
      </c>
      <c r="BE62" s="287" t="s">
        <v>1489</v>
      </c>
      <c r="BF62" s="272"/>
    </row>
    <row r="63" spans="1:58" ht="14.25" customHeight="1" x14ac:dyDescent="0.35">
      <c r="A63" s="68">
        <v>61</v>
      </c>
      <c r="B63" s="24" t="s">
        <v>1581</v>
      </c>
      <c r="C63" s="24">
        <v>2024</v>
      </c>
      <c r="D63" s="24" t="s">
        <v>1541</v>
      </c>
      <c r="E63" s="269" t="str">
        <f ca="1">IFERROR(__xludf.DUMMYFUNCTION("ARRAYFORMULA(JOIN("""", ARRAYFORMULA(MID(SPLIT(F63, "" ""), 1, 1))))
&amp;""/""&amp;G63"),"MC/6 Primaria")</f>
        <v>MC/6 Primaria</v>
      </c>
      <c r="F63" s="24" t="s">
        <v>1582</v>
      </c>
      <c r="G63" s="248" t="s">
        <v>37</v>
      </c>
      <c r="H63" s="248" t="s">
        <v>1736</v>
      </c>
      <c r="I63" s="248" t="s">
        <v>1694</v>
      </c>
      <c r="J63" s="248" t="s">
        <v>1737</v>
      </c>
      <c r="K63" s="248" t="s">
        <v>1586</v>
      </c>
      <c r="L63" s="272"/>
      <c r="M63" s="286" t="s">
        <v>1588</v>
      </c>
      <c r="N63" s="286" t="s">
        <v>1617</v>
      </c>
      <c r="O63" s="286" t="s">
        <v>1589</v>
      </c>
      <c r="P63" s="286" t="s">
        <v>1617</v>
      </c>
      <c r="Q63" s="286" t="s">
        <v>1587</v>
      </c>
      <c r="R63" s="286" t="s">
        <v>1587</v>
      </c>
      <c r="S63" s="286" t="s">
        <v>1587</v>
      </c>
      <c r="T63" s="286" t="s">
        <v>1587</v>
      </c>
      <c r="U63" s="286" t="s">
        <v>1587</v>
      </c>
      <c r="V63" s="286" t="s">
        <v>1617</v>
      </c>
      <c r="W63" s="286" t="s">
        <v>1589</v>
      </c>
      <c r="X63" s="286" t="s">
        <v>1617</v>
      </c>
      <c r="Y63" s="286" t="s">
        <v>1588</v>
      </c>
      <c r="Z63" s="286" t="s">
        <v>1589</v>
      </c>
      <c r="AA63" s="286" t="s">
        <v>1587</v>
      </c>
      <c r="AB63" s="286" t="s">
        <v>1617</v>
      </c>
      <c r="AC63" s="286" t="s">
        <v>1589</v>
      </c>
      <c r="AD63" s="286" t="s">
        <v>1589</v>
      </c>
      <c r="AE63" s="286" t="s">
        <v>1617</v>
      </c>
      <c r="AF63" s="286" t="s">
        <v>1589</v>
      </c>
      <c r="AG63" s="283">
        <v>18</v>
      </c>
      <c r="AH63" s="287" t="s">
        <v>25</v>
      </c>
      <c r="AI63" s="272"/>
      <c r="AJ63" s="288" t="s">
        <v>2032</v>
      </c>
      <c r="AK63" s="288" t="s">
        <v>2032</v>
      </c>
      <c r="AL63" s="288" t="s">
        <v>2032</v>
      </c>
      <c r="AM63" s="288" t="s">
        <v>2032</v>
      </c>
      <c r="AN63" s="288" t="s">
        <v>2032</v>
      </c>
      <c r="AO63" s="288" t="s">
        <v>2032</v>
      </c>
      <c r="AP63" s="288" t="s">
        <v>2032</v>
      </c>
      <c r="AQ63" s="288" t="s">
        <v>2032</v>
      </c>
      <c r="AR63" s="288" t="s">
        <v>2032</v>
      </c>
      <c r="AS63" s="288" t="s">
        <v>2032</v>
      </c>
      <c r="AT63" s="288" t="s">
        <v>2032</v>
      </c>
      <c r="AU63" s="288" t="s">
        <v>2032</v>
      </c>
      <c r="AV63" s="288" t="s">
        <v>2032</v>
      </c>
      <c r="AW63" s="288" t="s">
        <v>2032</v>
      </c>
      <c r="AX63" s="288" t="s">
        <v>2032</v>
      </c>
      <c r="AY63" s="288" t="s">
        <v>2032</v>
      </c>
      <c r="AZ63" s="288" t="s">
        <v>2032</v>
      </c>
      <c r="BA63" s="288" t="s">
        <v>2032</v>
      </c>
      <c r="BB63" s="288" t="s">
        <v>2032</v>
      </c>
      <c r="BC63" s="288" t="s">
        <v>2032</v>
      </c>
      <c r="BD63" s="289">
        <f t="shared" si="0"/>
        <v>0</v>
      </c>
      <c r="BE63" s="287" t="s">
        <v>1489</v>
      </c>
      <c r="BF63" s="272"/>
    </row>
    <row r="64" spans="1:58" ht="14.25" customHeight="1" x14ac:dyDescent="0.35">
      <c r="A64" s="68">
        <v>62</v>
      </c>
      <c r="B64" s="24" t="s">
        <v>1581</v>
      </c>
      <c r="C64" s="24">
        <v>2024</v>
      </c>
      <c r="D64" s="24" t="s">
        <v>1541</v>
      </c>
      <c r="E64" s="269" t="str">
        <f ca="1">IFERROR(__xludf.DUMMYFUNCTION("ARRAYFORMULA(JOIN("""", ARRAYFORMULA(MID(SPLIT(F64, "" ""), 1, 1))))
&amp;""/""&amp;G64"),"MC/6 Primaria")</f>
        <v>MC/6 Primaria</v>
      </c>
      <c r="F64" s="24" t="s">
        <v>1582</v>
      </c>
      <c r="G64" s="248" t="s">
        <v>37</v>
      </c>
      <c r="H64" s="248" t="s">
        <v>1738</v>
      </c>
      <c r="I64" s="248" t="s">
        <v>1739</v>
      </c>
      <c r="J64" s="248" t="s">
        <v>1740</v>
      </c>
      <c r="K64" s="248" t="s">
        <v>1593</v>
      </c>
      <c r="L64" s="272"/>
      <c r="M64" s="286" t="s">
        <v>1588</v>
      </c>
      <c r="N64" s="286" t="s">
        <v>1617</v>
      </c>
      <c r="O64" s="286" t="s">
        <v>1589</v>
      </c>
      <c r="P64" s="286" t="s">
        <v>1617</v>
      </c>
      <c r="Q64" s="286" t="s">
        <v>1587</v>
      </c>
      <c r="R64" s="286" t="s">
        <v>1587</v>
      </c>
      <c r="S64" s="286" t="s">
        <v>1587</v>
      </c>
      <c r="T64" s="286" t="s">
        <v>1587</v>
      </c>
      <c r="U64" s="286" t="s">
        <v>1587</v>
      </c>
      <c r="V64" s="286" t="s">
        <v>1617</v>
      </c>
      <c r="W64" s="286" t="s">
        <v>1589</v>
      </c>
      <c r="X64" s="286" t="s">
        <v>1617</v>
      </c>
      <c r="Y64" s="286" t="s">
        <v>1588</v>
      </c>
      <c r="Z64" s="286" t="s">
        <v>1589</v>
      </c>
      <c r="AA64" s="286" t="s">
        <v>1587</v>
      </c>
      <c r="AB64" s="286" t="s">
        <v>1617</v>
      </c>
      <c r="AC64" s="286" t="s">
        <v>1588</v>
      </c>
      <c r="AD64" s="286" t="s">
        <v>1587</v>
      </c>
      <c r="AE64" s="286" t="s">
        <v>1617</v>
      </c>
      <c r="AF64" s="286" t="s">
        <v>1588</v>
      </c>
      <c r="AG64" s="283">
        <v>19</v>
      </c>
      <c r="AH64" s="287" t="s">
        <v>25</v>
      </c>
      <c r="AI64" s="272"/>
      <c r="AJ64" s="288" t="s">
        <v>2032</v>
      </c>
      <c r="AK64" s="288" t="s">
        <v>2032</v>
      </c>
      <c r="AL64" s="288" t="s">
        <v>2032</v>
      </c>
      <c r="AM64" s="288" t="s">
        <v>2032</v>
      </c>
      <c r="AN64" s="288" t="s">
        <v>2032</v>
      </c>
      <c r="AO64" s="288" t="s">
        <v>2032</v>
      </c>
      <c r="AP64" s="288" t="s">
        <v>2032</v>
      </c>
      <c r="AQ64" s="288" t="s">
        <v>2032</v>
      </c>
      <c r="AR64" s="288" t="s">
        <v>2032</v>
      </c>
      <c r="AS64" s="288" t="s">
        <v>2032</v>
      </c>
      <c r="AT64" s="288" t="s">
        <v>2032</v>
      </c>
      <c r="AU64" s="288" t="s">
        <v>2032</v>
      </c>
      <c r="AV64" s="288" t="s">
        <v>2032</v>
      </c>
      <c r="AW64" s="288" t="s">
        <v>2032</v>
      </c>
      <c r="AX64" s="288" t="s">
        <v>2032</v>
      </c>
      <c r="AY64" s="288" t="s">
        <v>2032</v>
      </c>
      <c r="AZ64" s="288" t="s">
        <v>2032</v>
      </c>
      <c r="BA64" s="288" t="s">
        <v>2032</v>
      </c>
      <c r="BB64" s="288" t="s">
        <v>2032</v>
      </c>
      <c r="BC64" s="288" t="s">
        <v>2032</v>
      </c>
      <c r="BD64" s="289">
        <f t="shared" si="0"/>
        <v>0</v>
      </c>
      <c r="BE64" s="287" t="s">
        <v>1489</v>
      </c>
      <c r="BF64" s="272"/>
    </row>
    <row r="65" spans="1:58" ht="14.25" customHeight="1" x14ac:dyDescent="0.35">
      <c r="A65" s="68">
        <v>63</v>
      </c>
      <c r="B65" s="24" t="s">
        <v>1581</v>
      </c>
      <c r="C65" s="24">
        <v>2024</v>
      </c>
      <c r="D65" s="24" t="s">
        <v>1541</v>
      </c>
      <c r="E65" s="269" t="str">
        <f ca="1">IFERROR(__xludf.DUMMYFUNCTION("ARRAYFORMULA(JOIN("""", ARRAYFORMULA(MID(SPLIT(F65, "" ""), 1, 1))))
&amp;""/""&amp;G65"),"MC/6 Primaria")</f>
        <v>MC/6 Primaria</v>
      </c>
      <c r="F65" s="24" t="s">
        <v>1582</v>
      </c>
      <c r="G65" s="248" t="s">
        <v>37</v>
      </c>
      <c r="H65" s="248" t="s">
        <v>1612</v>
      </c>
      <c r="I65" s="248" t="s">
        <v>1672</v>
      </c>
      <c r="J65" s="248" t="s">
        <v>1741</v>
      </c>
      <c r="K65" s="248" t="s">
        <v>1593</v>
      </c>
      <c r="L65" s="272"/>
      <c r="M65" s="286" t="s">
        <v>1588</v>
      </c>
      <c r="N65" s="286" t="s">
        <v>1617</v>
      </c>
      <c r="O65" s="286" t="s">
        <v>1589</v>
      </c>
      <c r="P65" s="286" t="s">
        <v>1617</v>
      </c>
      <c r="Q65" s="286" t="s">
        <v>1587</v>
      </c>
      <c r="R65" s="286" t="s">
        <v>1587</v>
      </c>
      <c r="S65" s="286" t="s">
        <v>1587</v>
      </c>
      <c r="T65" s="286" t="s">
        <v>1587</v>
      </c>
      <c r="U65" s="286" t="s">
        <v>1587</v>
      </c>
      <c r="V65" s="286" t="s">
        <v>1617</v>
      </c>
      <c r="W65" s="286" t="s">
        <v>1589</v>
      </c>
      <c r="X65" s="286" t="s">
        <v>1617</v>
      </c>
      <c r="Y65" s="286" t="s">
        <v>1588</v>
      </c>
      <c r="Z65" s="286" t="s">
        <v>1589</v>
      </c>
      <c r="AA65" s="286" t="s">
        <v>1587</v>
      </c>
      <c r="AB65" s="286" t="s">
        <v>1617</v>
      </c>
      <c r="AC65" s="286" t="s">
        <v>1589</v>
      </c>
      <c r="AD65" s="286" t="s">
        <v>1587</v>
      </c>
      <c r="AE65" s="286" t="s">
        <v>1587</v>
      </c>
      <c r="AF65" s="286" t="s">
        <v>1589</v>
      </c>
      <c r="AG65" s="283">
        <v>18</v>
      </c>
      <c r="AH65" s="287" t="s">
        <v>25</v>
      </c>
      <c r="AI65" s="272"/>
      <c r="AJ65" s="288" t="s">
        <v>2032</v>
      </c>
      <c r="AK65" s="288" t="s">
        <v>2032</v>
      </c>
      <c r="AL65" s="288" t="s">
        <v>2032</v>
      </c>
      <c r="AM65" s="288" t="s">
        <v>2032</v>
      </c>
      <c r="AN65" s="288" t="s">
        <v>2032</v>
      </c>
      <c r="AO65" s="288" t="s">
        <v>2032</v>
      </c>
      <c r="AP65" s="288" t="s">
        <v>2032</v>
      </c>
      <c r="AQ65" s="288" t="s">
        <v>2032</v>
      </c>
      <c r="AR65" s="288" t="s">
        <v>2032</v>
      </c>
      <c r="AS65" s="288" t="s">
        <v>2032</v>
      </c>
      <c r="AT65" s="288" t="s">
        <v>2032</v>
      </c>
      <c r="AU65" s="288" t="s">
        <v>2032</v>
      </c>
      <c r="AV65" s="288" t="s">
        <v>2032</v>
      </c>
      <c r="AW65" s="288" t="s">
        <v>2032</v>
      </c>
      <c r="AX65" s="288" t="s">
        <v>2032</v>
      </c>
      <c r="AY65" s="288" t="s">
        <v>2032</v>
      </c>
      <c r="AZ65" s="288" t="s">
        <v>2032</v>
      </c>
      <c r="BA65" s="288" t="s">
        <v>2032</v>
      </c>
      <c r="BB65" s="288" t="s">
        <v>2032</v>
      </c>
      <c r="BC65" s="288" t="s">
        <v>2032</v>
      </c>
      <c r="BD65" s="289">
        <f t="shared" si="0"/>
        <v>0</v>
      </c>
      <c r="BE65" s="287" t="s">
        <v>1489</v>
      </c>
      <c r="BF65" s="272"/>
    </row>
    <row r="66" spans="1:58" ht="14.25" customHeight="1" x14ac:dyDescent="0.35">
      <c r="A66" s="68">
        <v>64</v>
      </c>
      <c r="B66" s="24" t="s">
        <v>1581</v>
      </c>
      <c r="C66" s="24">
        <v>2024</v>
      </c>
      <c r="D66" s="24" t="s">
        <v>1541</v>
      </c>
      <c r="E66" s="269" t="str">
        <f ca="1">IFERROR(__xludf.DUMMYFUNCTION("ARRAYFORMULA(JOIN("""", ARRAYFORMULA(MID(SPLIT(F66, "" ""), 1, 1))))
&amp;""/""&amp;G66"),"MC/6 Primaria")</f>
        <v>MC/6 Primaria</v>
      </c>
      <c r="F66" s="24" t="s">
        <v>1582</v>
      </c>
      <c r="G66" s="248" t="s">
        <v>37</v>
      </c>
      <c r="H66" s="248" t="s">
        <v>1612</v>
      </c>
      <c r="I66" s="248" t="s">
        <v>1697</v>
      </c>
      <c r="J66" s="248" t="s">
        <v>1742</v>
      </c>
      <c r="K66" s="248" t="s">
        <v>1586</v>
      </c>
      <c r="L66" s="272"/>
      <c r="M66" s="286" t="s">
        <v>1588</v>
      </c>
      <c r="N66" s="286" t="s">
        <v>1617</v>
      </c>
      <c r="O66" s="286" t="s">
        <v>1589</v>
      </c>
      <c r="P66" s="286" t="s">
        <v>1589</v>
      </c>
      <c r="Q66" s="286" t="s">
        <v>1587</v>
      </c>
      <c r="R66" s="286" t="s">
        <v>1617</v>
      </c>
      <c r="S66" s="286" t="s">
        <v>1617</v>
      </c>
      <c r="T66" s="286" t="s">
        <v>1587</v>
      </c>
      <c r="U66" s="286" t="s">
        <v>1587</v>
      </c>
      <c r="V66" s="286" t="s">
        <v>1617</v>
      </c>
      <c r="W66" s="286" t="s">
        <v>1589</v>
      </c>
      <c r="X66" s="286" t="s">
        <v>1617</v>
      </c>
      <c r="Y66" s="286" t="s">
        <v>1589</v>
      </c>
      <c r="Z66" s="286" t="s">
        <v>1617</v>
      </c>
      <c r="AA66" s="286" t="s">
        <v>1587</v>
      </c>
      <c r="AB66" s="286" t="s">
        <v>1617</v>
      </c>
      <c r="AC66" s="286" t="s">
        <v>1589</v>
      </c>
      <c r="AD66" s="286" t="s">
        <v>1589</v>
      </c>
      <c r="AE66" s="286" t="s">
        <v>1617</v>
      </c>
      <c r="AF66" s="286" t="s">
        <v>1588</v>
      </c>
      <c r="AG66" s="283">
        <v>12</v>
      </c>
      <c r="AH66" s="287" t="s">
        <v>23</v>
      </c>
      <c r="AI66" s="272"/>
      <c r="AJ66" s="288" t="s">
        <v>2032</v>
      </c>
      <c r="AK66" s="288" t="s">
        <v>2032</v>
      </c>
      <c r="AL66" s="288" t="s">
        <v>2032</v>
      </c>
      <c r="AM66" s="288" t="s">
        <v>2032</v>
      </c>
      <c r="AN66" s="288" t="s">
        <v>2032</v>
      </c>
      <c r="AO66" s="288" t="s">
        <v>2032</v>
      </c>
      <c r="AP66" s="288" t="s">
        <v>2032</v>
      </c>
      <c r="AQ66" s="288" t="s">
        <v>2032</v>
      </c>
      <c r="AR66" s="288" t="s">
        <v>2032</v>
      </c>
      <c r="AS66" s="288" t="s">
        <v>2032</v>
      </c>
      <c r="AT66" s="288" t="s">
        <v>2032</v>
      </c>
      <c r="AU66" s="288" t="s">
        <v>2032</v>
      </c>
      <c r="AV66" s="288" t="s">
        <v>2032</v>
      </c>
      <c r="AW66" s="288" t="s">
        <v>2032</v>
      </c>
      <c r="AX66" s="288" t="s">
        <v>2032</v>
      </c>
      <c r="AY66" s="288" t="s">
        <v>2032</v>
      </c>
      <c r="AZ66" s="288" t="s">
        <v>2032</v>
      </c>
      <c r="BA66" s="288" t="s">
        <v>2032</v>
      </c>
      <c r="BB66" s="288" t="s">
        <v>2032</v>
      </c>
      <c r="BC66" s="288" t="s">
        <v>2032</v>
      </c>
      <c r="BD66" s="289">
        <f t="shared" si="0"/>
        <v>0</v>
      </c>
      <c r="BE66" s="287" t="s">
        <v>1489</v>
      </c>
      <c r="BF66" s="272"/>
    </row>
    <row r="67" spans="1:58" ht="14.25" customHeight="1" x14ac:dyDescent="0.35">
      <c r="A67" s="68">
        <v>65</v>
      </c>
      <c r="B67" s="24" t="s">
        <v>1581</v>
      </c>
      <c r="C67" s="24">
        <v>2024</v>
      </c>
      <c r="D67" s="24" t="s">
        <v>1541</v>
      </c>
      <c r="E67" s="269" t="str">
        <f ca="1">IFERROR(__xludf.DUMMYFUNCTION("ARRAYFORMULA(JOIN("""", ARRAYFORMULA(MID(SPLIT(F67, "" ""), 1, 1))))
&amp;""/""&amp;G67"),"MC/6 Primaria")</f>
        <v>MC/6 Primaria</v>
      </c>
      <c r="F67" s="24" t="s">
        <v>1582</v>
      </c>
      <c r="G67" s="248" t="s">
        <v>37</v>
      </c>
      <c r="H67" s="248" t="s">
        <v>1743</v>
      </c>
      <c r="I67" s="248" t="s">
        <v>1612</v>
      </c>
      <c r="J67" s="248" t="s">
        <v>1744</v>
      </c>
      <c r="K67" s="248" t="s">
        <v>1593</v>
      </c>
      <c r="L67" s="272"/>
      <c r="M67" s="286" t="s">
        <v>1588</v>
      </c>
      <c r="N67" s="286" t="s">
        <v>1617</v>
      </c>
      <c r="O67" s="286" t="s">
        <v>1589</v>
      </c>
      <c r="P67" s="286" t="s">
        <v>1617</v>
      </c>
      <c r="Q67" s="286" t="s">
        <v>1587</v>
      </c>
      <c r="R67" s="286" t="s">
        <v>1587</v>
      </c>
      <c r="S67" s="286" t="s">
        <v>1587</v>
      </c>
      <c r="T67" s="286" t="s">
        <v>1587</v>
      </c>
      <c r="U67" s="286" t="s">
        <v>1587</v>
      </c>
      <c r="V67" s="286" t="s">
        <v>1617</v>
      </c>
      <c r="W67" s="286" t="s">
        <v>1589</v>
      </c>
      <c r="X67" s="286" t="s">
        <v>1617</v>
      </c>
      <c r="Y67" s="286" t="s">
        <v>1588</v>
      </c>
      <c r="Z67" s="286" t="s">
        <v>1589</v>
      </c>
      <c r="AA67" s="286" t="s">
        <v>1587</v>
      </c>
      <c r="AB67" s="286" t="s">
        <v>1617</v>
      </c>
      <c r="AC67" s="286" t="s">
        <v>1588</v>
      </c>
      <c r="AD67" s="286" t="s">
        <v>1587</v>
      </c>
      <c r="AE67" s="286" t="s">
        <v>1617</v>
      </c>
      <c r="AF67" s="286" t="s">
        <v>1588</v>
      </c>
      <c r="AG67" s="283">
        <v>19</v>
      </c>
      <c r="AH67" s="287" t="s">
        <v>25</v>
      </c>
      <c r="AI67" s="272"/>
      <c r="AJ67" s="288" t="s">
        <v>2032</v>
      </c>
      <c r="AK67" s="288" t="s">
        <v>2032</v>
      </c>
      <c r="AL67" s="288" t="s">
        <v>2032</v>
      </c>
      <c r="AM67" s="288" t="s">
        <v>2032</v>
      </c>
      <c r="AN67" s="288" t="s">
        <v>2032</v>
      </c>
      <c r="AO67" s="288" t="s">
        <v>2032</v>
      </c>
      <c r="AP67" s="288" t="s">
        <v>2032</v>
      </c>
      <c r="AQ67" s="288" t="s">
        <v>2032</v>
      </c>
      <c r="AR67" s="288" t="s">
        <v>2032</v>
      </c>
      <c r="AS67" s="288" t="s">
        <v>2032</v>
      </c>
      <c r="AT67" s="288" t="s">
        <v>2032</v>
      </c>
      <c r="AU67" s="288" t="s">
        <v>2032</v>
      </c>
      <c r="AV67" s="288" t="s">
        <v>2032</v>
      </c>
      <c r="AW67" s="288" t="s">
        <v>2032</v>
      </c>
      <c r="AX67" s="288" t="s">
        <v>2032</v>
      </c>
      <c r="AY67" s="288" t="s">
        <v>2032</v>
      </c>
      <c r="AZ67" s="288" t="s">
        <v>2032</v>
      </c>
      <c r="BA67" s="288" t="s">
        <v>2032</v>
      </c>
      <c r="BB67" s="288" t="s">
        <v>2032</v>
      </c>
      <c r="BC67" s="288" t="s">
        <v>2032</v>
      </c>
      <c r="BD67" s="289">
        <f t="shared" si="0"/>
        <v>0</v>
      </c>
      <c r="BE67" s="287" t="s">
        <v>1489</v>
      </c>
      <c r="BF67" s="272"/>
    </row>
    <row r="68" spans="1:58" ht="14.25" customHeight="1" x14ac:dyDescent="0.35">
      <c r="A68" s="68">
        <v>66</v>
      </c>
      <c r="B68" s="24" t="s">
        <v>1581</v>
      </c>
      <c r="C68" s="24">
        <v>2024</v>
      </c>
      <c r="D68" s="24" t="s">
        <v>1745</v>
      </c>
      <c r="E68" s="269" t="s">
        <v>1746</v>
      </c>
      <c r="F68" s="24" t="s">
        <v>1747</v>
      </c>
      <c r="G68" s="248" t="s">
        <v>45</v>
      </c>
      <c r="H68" s="248" t="s">
        <v>1583</v>
      </c>
      <c r="I68" s="248" t="s">
        <v>1584</v>
      </c>
      <c r="J68" s="248" t="s">
        <v>1585</v>
      </c>
      <c r="K68" s="248" t="s">
        <v>1586</v>
      </c>
      <c r="L68" s="272"/>
      <c r="M68" s="286" t="s">
        <v>1589</v>
      </c>
      <c r="N68" s="286" t="s">
        <v>1587</v>
      </c>
      <c r="O68" s="286" t="s">
        <v>1587</v>
      </c>
      <c r="P68" s="286" t="s">
        <v>1589</v>
      </c>
      <c r="Q68" s="286" t="s">
        <v>1587</v>
      </c>
      <c r="R68" s="286" t="s">
        <v>1589</v>
      </c>
      <c r="S68" s="286" t="s">
        <v>1587</v>
      </c>
      <c r="T68" s="286" t="s">
        <v>1589</v>
      </c>
      <c r="U68" s="286" t="s">
        <v>1588</v>
      </c>
      <c r="V68" s="286" t="s">
        <v>1588</v>
      </c>
      <c r="W68" s="286" t="s">
        <v>1587</v>
      </c>
      <c r="X68" s="286" t="s">
        <v>1587</v>
      </c>
      <c r="Y68" s="286" t="s">
        <v>1587</v>
      </c>
      <c r="Z68" s="286" t="s">
        <v>1587</v>
      </c>
      <c r="AA68" s="286" t="s">
        <v>1588</v>
      </c>
      <c r="AB68" s="286" t="s">
        <v>1587</v>
      </c>
      <c r="AC68" s="286" t="s">
        <v>1589</v>
      </c>
      <c r="AD68" s="286" t="s">
        <v>1588</v>
      </c>
      <c r="AE68" s="286" t="s">
        <v>1587</v>
      </c>
      <c r="AF68" s="286" t="s">
        <v>1589</v>
      </c>
      <c r="AG68" s="283">
        <v>15</v>
      </c>
      <c r="AH68" s="287" t="s">
        <v>23</v>
      </c>
      <c r="AI68" s="272"/>
      <c r="AJ68" s="288" t="s">
        <v>2032</v>
      </c>
      <c r="AK68" s="288" t="s">
        <v>2032</v>
      </c>
      <c r="AL68" s="288" t="s">
        <v>2032</v>
      </c>
      <c r="AM68" s="288" t="s">
        <v>2032</v>
      </c>
      <c r="AN68" s="288" t="s">
        <v>2032</v>
      </c>
      <c r="AO68" s="288" t="s">
        <v>2032</v>
      </c>
      <c r="AP68" s="288" t="s">
        <v>2032</v>
      </c>
      <c r="AQ68" s="288" t="s">
        <v>2032</v>
      </c>
      <c r="AR68" s="288" t="s">
        <v>2032</v>
      </c>
      <c r="AS68" s="288" t="s">
        <v>2032</v>
      </c>
      <c r="AT68" s="288" t="s">
        <v>2032</v>
      </c>
      <c r="AU68" s="288" t="s">
        <v>2032</v>
      </c>
      <c r="AV68" s="288" t="s">
        <v>2032</v>
      </c>
      <c r="AW68" s="288" t="s">
        <v>2032</v>
      </c>
      <c r="AX68" s="288" t="s">
        <v>2032</v>
      </c>
      <c r="AY68" s="288" t="s">
        <v>2032</v>
      </c>
      <c r="AZ68" s="288" t="s">
        <v>2032</v>
      </c>
      <c r="BA68" s="288" t="s">
        <v>2032</v>
      </c>
      <c r="BB68" s="288" t="s">
        <v>2032</v>
      </c>
      <c r="BC68" s="288" t="s">
        <v>2032</v>
      </c>
      <c r="BD68" s="289">
        <f t="shared" si="0"/>
        <v>0</v>
      </c>
      <c r="BE68" s="287"/>
      <c r="BF68" s="272"/>
    </row>
    <row r="69" spans="1:58" ht="14.25" customHeight="1" x14ac:dyDescent="0.35">
      <c r="A69" s="68">
        <v>67</v>
      </c>
      <c r="B69" s="24" t="s">
        <v>1581</v>
      </c>
      <c r="C69" s="24">
        <v>2024</v>
      </c>
      <c r="D69" s="24" t="s">
        <v>1745</v>
      </c>
      <c r="E69" s="269" t="s">
        <v>1746</v>
      </c>
      <c r="F69" s="24" t="s">
        <v>1747</v>
      </c>
      <c r="G69" s="248" t="s">
        <v>45</v>
      </c>
      <c r="H69" s="248" t="s">
        <v>1590</v>
      </c>
      <c r="I69" s="248" t="s">
        <v>1591</v>
      </c>
      <c r="J69" s="248" t="s">
        <v>1592</v>
      </c>
      <c r="K69" s="248" t="s">
        <v>1593</v>
      </c>
      <c r="L69" s="272"/>
      <c r="M69" s="286" t="s">
        <v>1589</v>
      </c>
      <c r="N69" s="286" t="s">
        <v>1588</v>
      </c>
      <c r="O69" s="286" t="s">
        <v>1587</v>
      </c>
      <c r="P69" s="286" t="s">
        <v>1589</v>
      </c>
      <c r="Q69" s="286" t="s">
        <v>1587</v>
      </c>
      <c r="R69" s="286" t="s">
        <v>1589</v>
      </c>
      <c r="S69" s="286" t="s">
        <v>1587</v>
      </c>
      <c r="T69" s="286" t="s">
        <v>1589</v>
      </c>
      <c r="U69" s="286" t="s">
        <v>1589</v>
      </c>
      <c r="V69" s="286" t="s">
        <v>1587</v>
      </c>
      <c r="W69" s="286" t="s">
        <v>1589</v>
      </c>
      <c r="X69" s="286" t="s">
        <v>1587</v>
      </c>
      <c r="Y69" s="286" t="s">
        <v>1587</v>
      </c>
      <c r="Z69" s="286" t="s">
        <v>1588</v>
      </c>
      <c r="AA69" s="286" t="s">
        <v>1588</v>
      </c>
      <c r="AB69" s="286" t="s">
        <v>1587</v>
      </c>
      <c r="AC69" s="286" t="s">
        <v>1589</v>
      </c>
      <c r="AD69" s="286" t="s">
        <v>1588</v>
      </c>
      <c r="AE69" s="286" t="s">
        <v>1587</v>
      </c>
      <c r="AF69" s="286" t="s">
        <v>1589</v>
      </c>
      <c r="AG69" s="283">
        <v>16</v>
      </c>
      <c r="AH69" s="287" t="s">
        <v>23</v>
      </c>
      <c r="AI69" s="272"/>
      <c r="AJ69" s="288" t="s">
        <v>2032</v>
      </c>
      <c r="AK69" s="288" t="s">
        <v>2032</v>
      </c>
      <c r="AL69" s="288" t="s">
        <v>2032</v>
      </c>
      <c r="AM69" s="288" t="s">
        <v>2032</v>
      </c>
      <c r="AN69" s="288" t="s">
        <v>2032</v>
      </c>
      <c r="AO69" s="288" t="s">
        <v>2032</v>
      </c>
      <c r="AP69" s="288" t="s">
        <v>2032</v>
      </c>
      <c r="AQ69" s="288" t="s">
        <v>2032</v>
      </c>
      <c r="AR69" s="288" t="s">
        <v>2032</v>
      </c>
      <c r="AS69" s="288" t="s">
        <v>2032</v>
      </c>
      <c r="AT69" s="288" t="s">
        <v>2032</v>
      </c>
      <c r="AU69" s="288" t="s">
        <v>2032</v>
      </c>
      <c r="AV69" s="288" t="s">
        <v>2032</v>
      </c>
      <c r="AW69" s="288" t="s">
        <v>2032</v>
      </c>
      <c r="AX69" s="288" t="s">
        <v>2032</v>
      </c>
      <c r="AY69" s="288" t="s">
        <v>2032</v>
      </c>
      <c r="AZ69" s="288" t="s">
        <v>2032</v>
      </c>
      <c r="BA69" s="288" t="s">
        <v>2032</v>
      </c>
      <c r="BB69" s="288" t="s">
        <v>2032</v>
      </c>
      <c r="BC69" s="288" t="s">
        <v>2032</v>
      </c>
      <c r="BD69" s="289">
        <f t="shared" si="0"/>
        <v>0</v>
      </c>
      <c r="BE69" s="287"/>
      <c r="BF69" s="272"/>
    </row>
    <row r="70" spans="1:58" ht="14.25" customHeight="1" x14ac:dyDescent="0.35">
      <c r="A70" s="68">
        <v>68</v>
      </c>
      <c r="B70" s="24" t="s">
        <v>1581</v>
      </c>
      <c r="C70" s="24">
        <v>2024</v>
      </c>
      <c r="D70" s="24" t="s">
        <v>1745</v>
      </c>
      <c r="E70" s="269" t="s">
        <v>1746</v>
      </c>
      <c r="F70" s="24" t="s">
        <v>1747</v>
      </c>
      <c r="G70" s="248" t="s">
        <v>45</v>
      </c>
      <c r="H70" s="248" t="s">
        <v>1594</v>
      </c>
      <c r="I70" s="248" t="s">
        <v>1595</v>
      </c>
      <c r="J70" s="248" t="s">
        <v>1596</v>
      </c>
      <c r="K70" s="248" t="s">
        <v>1593</v>
      </c>
      <c r="L70" s="272"/>
      <c r="M70" s="286" t="s">
        <v>1589</v>
      </c>
      <c r="N70" s="286" t="s">
        <v>1587</v>
      </c>
      <c r="O70" s="286" t="s">
        <v>1587</v>
      </c>
      <c r="P70" s="286" t="s">
        <v>1589</v>
      </c>
      <c r="Q70" s="286" t="s">
        <v>1588</v>
      </c>
      <c r="R70" s="286" t="s">
        <v>1589</v>
      </c>
      <c r="S70" s="286" t="s">
        <v>1587</v>
      </c>
      <c r="T70" s="286" t="s">
        <v>1589</v>
      </c>
      <c r="U70" s="286" t="s">
        <v>1588</v>
      </c>
      <c r="V70" s="286" t="s">
        <v>1588</v>
      </c>
      <c r="W70" s="286" t="s">
        <v>1589</v>
      </c>
      <c r="X70" s="286" t="s">
        <v>1587</v>
      </c>
      <c r="Y70" s="286" t="s">
        <v>1589</v>
      </c>
      <c r="Z70" s="286" t="s">
        <v>1587</v>
      </c>
      <c r="AA70" s="286" t="s">
        <v>1588</v>
      </c>
      <c r="AB70" s="286" t="s">
        <v>1587</v>
      </c>
      <c r="AC70" s="286" t="s">
        <v>1589</v>
      </c>
      <c r="AD70" s="286" t="s">
        <v>1588</v>
      </c>
      <c r="AE70" s="286" t="s">
        <v>1587</v>
      </c>
      <c r="AF70" s="286" t="s">
        <v>1587</v>
      </c>
      <c r="AG70" s="283">
        <v>16</v>
      </c>
      <c r="AH70" s="287" t="s">
        <v>23</v>
      </c>
      <c r="AI70" s="272"/>
      <c r="AJ70" s="288" t="s">
        <v>2032</v>
      </c>
      <c r="AK70" s="288" t="s">
        <v>2032</v>
      </c>
      <c r="AL70" s="288" t="s">
        <v>2032</v>
      </c>
      <c r="AM70" s="288" t="s">
        <v>2032</v>
      </c>
      <c r="AN70" s="288" t="s">
        <v>2032</v>
      </c>
      <c r="AO70" s="288" t="s">
        <v>2032</v>
      </c>
      <c r="AP70" s="288" t="s">
        <v>2032</v>
      </c>
      <c r="AQ70" s="288" t="s">
        <v>2032</v>
      </c>
      <c r="AR70" s="288" t="s">
        <v>2032</v>
      </c>
      <c r="AS70" s="288" t="s">
        <v>2032</v>
      </c>
      <c r="AT70" s="288" t="s">
        <v>2032</v>
      </c>
      <c r="AU70" s="288" t="s">
        <v>2032</v>
      </c>
      <c r="AV70" s="288" t="s">
        <v>2032</v>
      </c>
      <c r="AW70" s="288" t="s">
        <v>2032</v>
      </c>
      <c r="AX70" s="288" t="s">
        <v>2032</v>
      </c>
      <c r="AY70" s="288" t="s">
        <v>2032</v>
      </c>
      <c r="AZ70" s="288" t="s">
        <v>2032</v>
      </c>
      <c r="BA70" s="288" t="s">
        <v>2032</v>
      </c>
      <c r="BB70" s="288" t="s">
        <v>2032</v>
      </c>
      <c r="BC70" s="288" t="s">
        <v>2032</v>
      </c>
      <c r="BD70" s="289">
        <f t="shared" si="0"/>
        <v>0</v>
      </c>
      <c r="BE70" s="287"/>
      <c r="BF70" s="272"/>
    </row>
    <row r="71" spans="1:58" ht="14.25" customHeight="1" x14ac:dyDescent="0.35">
      <c r="A71" s="68">
        <v>69</v>
      </c>
      <c r="B71" s="24" t="s">
        <v>1581</v>
      </c>
      <c r="C71" s="24">
        <v>2024</v>
      </c>
      <c r="D71" s="24" t="s">
        <v>1745</v>
      </c>
      <c r="E71" s="269" t="s">
        <v>1746</v>
      </c>
      <c r="F71" s="24" t="s">
        <v>1747</v>
      </c>
      <c r="G71" s="248" t="s">
        <v>45</v>
      </c>
      <c r="H71" s="248" t="s">
        <v>1597</v>
      </c>
      <c r="I71" s="248" t="s">
        <v>1598</v>
      </c>
      <c r="J71" s="248" t="s">
        <v>1599</v>
      </c>
      <c r="K71" s="248" t="s">
        <v>1586</v>
      </c>
      <c r="L71" s="272"/>
      <c r="M71" s="286" t="s">
        <v>1589</v>
      </c>
      <c r="N71" s="286" t="s">
        <v>1588</v>
      </c>
      <c r="O71" s="286" t="s">
        <v>1587</v>
      </c>
      <c r="P71" s="286" t="s">
        <v>1589</v>
      </c>
      <c r="Q71" s="286" t="s">
        <v>1589</v>
      </c>
      <c r="R71" s="286" t="s">
        <v>1587</v>
      </c>
      <c r="S71" s="286" t="s">
        <v>1587</v>
      </c>
      <c r="T71" s="286" t="s">
        <v>1589</v>
      </c>
      <c r="U71" s="286" t="s">
        <v>1588</v>
      </c>
      <c r="V71" s="286" t="s">
        <v>1587</v>
      </c>
      <c r="W71" s="286" t="s">
        <v>1589</v>
      </c>
      <c r="X71" s="286" t="s">
        <v>1587</v>
      </c>
      <c r="Y71" s="286" t="s">
        <v>1588</v>
      </c>
      <c r="Z71" s="286" t="s">
        <v>1587</v>
      </c>
      <c r="AA71" s="286" t="s">
        <v>1588</v>
      </c>
      <c r="AB71" s="286" t="s">
        <v>1587</v>
      </c>
      <c r="AC71" s="286" t="s">
        <v>1589</v>
      </c>
      <c r="AD71" s="286" t="s">
        <v>1588</v>
      </c>
      <c r="AE71" s="286" t="s">
        <v>1587</v>
      </c>
      <c r="AF71" s="286" t="s">
        <v>1587</v>
      </c>
      <c r="AG71" s="283">
        <v>18</v>
      </c>
      <c r="AH71" s="287" t="s">
        <v>25</v>
      </c>
      <c r="AI71" s="272"/>
      <c r="AJ71" s="288" t="s">
        <v>2032</v>
      </c>
      <c r="AK71" s="288" t="s">
        <v>2032</v>
      </c>
      <c r="AL71" s="288" t="s">
        <v>2032</v>
      </c>
      <c r="AM71" s="288" t="s">
        <v>2032</v>
      </c>
      <c r="AN71" s="288" t="s">
        <v>2032</v>
      </c>
      <c r="AO71" s="288" t="s">
        <v>2032</v>
      </c>
      <c r="AP71" s="288" t="s">
        <v>2032</v>
      </c>
      <c r="AQ71" s="288" t="s">
        <v>2032</v>
      </c>
      <c r="AR71" s="288" t="s">
        <v>2032</v>
      </c>
      <c r="AS71" s="288" t="s">
        <v>2032</v>
      </c>
      <c r="AT71" s="288" t="s">
        <v>2032</v>
      </c>
      <c r="AU71" s="288" t="s">
        <v>2032</v>
      </c>
      <c r="AV71" s="288" t="s">
        <v>2032</v>
      </c>
      <c r="AW71" s="288" t="s">
        <v>2032</v>
      </c>
      <c r="AX71" s="288" t="s">
        <v>2032</v>
      </c>
      <c r="AY71" s="288" t="s">
        <v>2032</v>
      </c>
      <c r="AZ71" s="288" t="s">
        <v>2032</v>
      </c>
      <c r="BA71" s="288" t="s">
        <v>2032</v>
      </c>
      <c r="BB71" s="288" t="s">
        <v>2032</v>
      </c>
      <c r="BC71" s="288" t="s">
        <v>2032</v>
      </c>
      <c r="BD71" s="289">
        <f t="shared" si="0"/>
        <v>0</v>
      </c>
      <c r="BE71" s="287"/>
      <c r="BF71" s="272"/>
    </row>
    <row r="72" spans="1:58" ht="14.25" customHeight="1" x14ac:dyDescent="0.35">
      <c r="A72" s="68">
        <v>70</v>
      </c>
      <c r="B72" s="24" t="s">
        <v>1581</v>
      </c>
      <c r="C72" s="24">
        <v>2024</v>
      </c>
      <c r="D72" s="24" t="s">
        <v>1745</v>
      </c>
      <c r="E72" s="269" t="s">
        <v>1746</v>
      </c>
      <c r="F72" s="24" t="s">
        <v>1747</v>
      </c>
      <c r="G72" s="248" t="s">
        <v>45</v>
      </c>
      <c r="H72" s="248" t="s">
        <v>1600</v>
      </c>
      <c r="I72" s="248" t="s">
        <v>1601</v>
      </c>
      <c r="J72" s="248" t="s">
        <v>1602</v>
      </c>
      <c r="K72" s="248" t="s">
        <v>1593</v>
      </c>
      <c r="L72" s="272"/>
      <c r="M72" s="286" t="s">
        <v>1589</v>
      </c>
      <c r="N72" s="286" t="s">
        <v>1587</v>
      </c>
      <c r="O72" s="286" t="s">
        <v>1589</v>
      </c>
      <c r="P72" s="286" t="s">
        <v>1589</v>
      </c>
      <c r="Q72" s="286" t="s">
        <v>1587</v>
      </c>
      <c r="R72" s="286" t="s">
        <v>1589</v>
      </c>
      <c r="S72" s="286" t="s">
        <v>1587</v>
      </c>
      <c r="T72" s="286" t="s">
        <v>1589</v>
      </c>
      <c r="U72" s="286" t="s">
        <v>1588</v>
      </c>
      <c r="V72" s="286" t="s">
        <v>1589</v>
      </c>
      <c r="W72" s="286" t="s">
        <v>1589</v>
      </c>
      <c r="X72" s="286" t="s">
        <v>1588</v>
      </c>
      <c r="Y72" s="286" t="s">
        <v>1589</v>
      </c>
      <c r="Z72" s="286" t="s">
        <v>1587</v>
      </c>
      <c r="AA72" s="286" t="s">
        <v>1588</v>
      </c>
      <c r="AB72" s="286" t="s">
        <v>1587</v>
      </c>
      <c r="AC72" s="286" t="s">
        <v>1589</v>
      </c>
      <c r="AD72" s="286" t="s">
        <v>1588</v>
      </c>
      <c r="AE72" s="286" t="s">
        <v>1588</v>
      </c>
      <c r="AF72" s="286" t="s">
        <v>1587</v>
      </c>
      <c r="AG72" s="283">
        <v>14</v>
      </c>
      <c r="AH72" s="287" t="s">
        <v>23</v>
      </c>
      <c r="AI72" s="272"/>
      <c r="AJ72" s="288" t="s">
        <v>2032</v>
      </c>
      <c r="AK72" s="288" t="s">
        <v>2032</v>
      </c>
      <c r="AL72" s="288" t="s">
        <v>2032</v>
      </c>
      <c r="AM72" s="288" t="s">
        <v>2032</v>
      </c>
      <c r="AN72" s="288" t="s">
        <v>2032</v>
      </c>
      <c r="AO72" s="288" t="s">
        <v>2032</v>
      </c>
      <c r="AP72" s="288" t="s">
        <v>2032</v>
      </c>
      <c r="AQ72" s="288" t="s">
        <v>2032</v>
      </c>
      <c r="AR72" s="288" t="s">
        <v>2032</v>
      </c>
      <c r="AS72" s="288" t="s">
        <v>2032</v>
      </c>
      <c r="AT72" s="288" t="s">
        <v>2032</v>
      </c>
      <c r="AU72" s="288" t="s">
        <v>2032</v>
      </c>
      <c r="AV72" s="288" t="s">
        <v>2032</v>
      </c>
      <c r="AW72" s="288" t="s">
        <v>2032</v>
      </c>
      <c r="AX72" s="288" t="s">
        <v>2032</v>
      </c>
      <c r="AY72" s="288" t="s">
        <v>2032</v>
      </c>
      <c r="AZ72" s="288" t="s">
        <v>2032</v>
      </c>
      <c r="BA72" s="288" t="s">
        <v>2032</v>
      </c>
      <c r="BB72" s="288" t="s">
        <v>2032</v>
      </c>
      <c r="BC72" s="288" t="s">
        <v>2032</v>
      </c>
      <c r="BD72" s="289">
        <f t="shared" si="0"/>
        <v>0</v>
      </c>
      <c r="BE72" s="287"/>
      <c r="BF72" s="272"/>
    </row>
    <row r="73" spans="1:58" ht="14.25" customHeight="1" x14ac:dyDescent="0.35">
      <c r="A73" s="68">
        <v>71</v>
      </c>
      <c r="B73" s="24" t="s">
        <v>1581</v>
      </c>
      <c r="C73" s="24">
        <v>2024</v>
      </c>
      <c r="D73" s="24" t="s">
        <v>1745</v>
      </c>
      <c r="E73" s="269" t="s">
        <v>1746</v>
      </c>
      <c r="F73" s="24" t="s">
        <v>1747</v>
      </c>
      <c r="G73" s="248" t="s">
        <v>45</v>
      </c>
      <c r="H73" s="248" t="s">
        <v>1603</v>
      </c>
      <c r="I73" s="248" t="s">
        <v>1604</v>
      </c>
      <c r="J73" s="248" t="s">
        <v>1605</v>
      </c>
      <c r="K73" s="248" t="s">
        <v>1586</v>
      </c>
      <c r="L73" s="272"/>
      <c r="M73" s="286" t="s">
        <v>1589</v>
      </c>
      <c r="N73" s="286" t="s">
        <v>1587</v>
      </c>
      <c r="O73" s="286" t="s">
        <v>1587</v>
      </c>
      <c r="P73" s="286" t="s">
        <v>1589</v>
      </c>
      <c r="Q73" s="286" t="s">
        <v>1587</v>
      </c>
      <c r="R73" s="286" t="s">
        <v>1589</v>
      </c>
      <c r="S73" s="286" t="s">
        <v>1587</v>
      </c>
      <c r="T73" s="286" t="s">
        <v>1587</v>
      </c>
      <c r="U73" s="286" t="s">
        <v>1588</v>
      </c>
      <c r="V73" s="286" t="s">
        <v>1587</v>
      </c>
      <c r="W73" s="286" t="s">
        <v>1589</v>
      </c>
      <c r="X73" s="286" t="s">
        <v>1587</v>
      </c>
      <c r="Y73" s="286" t="s">
        <v>1589</v>
      </c>
      <c r="Z73" s="286" t="s">
        <v>1587</v>
      </c>
      <c r="AA73" s="286" t="s">
        <v>1589</v>
      </c>
      <c r="AB73" s="286" t="s">
        <v>1587</v>
      </c>
      <c r="AC73" s="286" t="s">
        <v>1589</v>
      </c>
      <c r="AD73" s="286" t="s">
        <v>1588</v>
      </c>
      <c r="AE73" s="286" t="s">
        <v>1589</v>
      </c>
      <c r="AF73" s="286" t="s">
        <v>1587</v>
      </c>
      <c r="AG73" s="283">
        <v>15</v>
      </c>
      <c r="AH73" s="287" t="s">
        <v>23</v>
      </c>
      <c r="AI73" s="272"/>
      <c r="AJ73" s="288" t="s">
        <v>2032</v>
      </c>
      <c r="AK73" s="288" t="s">
        <v>2032</v>
      </c>
      <c r="AL73" s="288" t="s">
        <v>2032</v>
      </c>
      <c r="AM73" s="288" t="s">
        <v>2032</v>
      </c>
      <c r="AN73" s="288" t="s">
        <v>2032</v>
      </c>
      <c r="AO73" s="288" t="s">
        <v>2032</v>
      </c>
      <c r="AP73" s="288" t="s">
        <v>2032</v>
      </c>
      <c r="AQ73" s="288" t="s">
        <v>2032</v>
      </c>
      <c r="AR73" s="288" t="s">
        <v>2032</v>
      </c>
      <c r="AS73" s="288" t="s">
        <v>2032</v>
      </c>
      <c r="AT73" s="288" t="s">
        <v>2032</v>
      </c>
      <c r="AU73" s="288" t="s">
        <v>2032</v>
      </c>
      <c r="AV73" s="288" t="s">
        <v>2032</v>
      </c>
      <c r="AW73" s="288" t="s">
        <v>2032</v>
      </c>
      <c r="AX73" s="288" t="s">
        <v>2032</v>
      </c>
      <c r="AY73" s="288" t="s">
        <v>2032</v>
      </c>
      <c r="AZ73" s="288" t="s">
        <v>2032</v>
      </c>
      <c r="BA73" s="288" t="s">
        <v>2032</v>
      </c>
      <c r="BB73" s="288" t="s">
        <v>2032</v>
      </c>
      <c r="BC73" s="288" t="s">
        <v>2032</v>
      </c>
      <c r="BD73" s="289">
        <f t="shared" si="0"/>
        <v>0</v>
      </c>
      <c r="BE73" s="287"/>
      <c r="BF73" s="272"/>
    </row>
    <row r="74" spans="1:58" ht="14.25" customHeight="1" x14ac:dyDescent="0.35">
      <c r="A74" s="68">
        <v>72</v>
      </c>
      <c r="B74" s="24" t="s">
        <v>1581</v>
      </c>
      <c r="C74" s="24">
        <v>2024</v>
      </c>
      <c r="D74" s="24" t="s">
        <v>1745</v>
      </c>
      <c r="E74" s="269" t="s">
        <v>1746</v>
      </c>
      <c r="F74" s="24" t="s">
        <v>1747</v>
      </c>
      <c r="G74" s="248" t="s">
        <v>45</v>
      </c>
      <c r="H74" s="248" t="s">
        <v>1598</v>
      </c>
      <c r="I74" s="248" t="s">
        <v>1606</v>
      </c>
      <c r="J74" s="248" t="s">
        <v>1607</v>
      </c>
      <c r="K74" s="248" t="s">
        <v>1593</v>
      </c>
      <c r="L74" s="272"/>
      <c r="M74" s="286" t="s">
        <v>1589</v>
      </c>
      <c r="N74" s="286" t="s">
        <v>1587</v>
      </c>
      <c r="O74" s="286" t="s">
        <v>1587</v>
      </c>
      <c r="P74" s="286" t="s">
        <v>1589</v>
      </c>
      <c r="Q74" s="286" t="s">
        <v>1588</v>
      </c>
      <c r="R74" s="286" t="s">
        <v>1589</v>
      </c>
      <c r="S74" s="286" t="s">
        <v>1587</v>
      </c>
      <c r="T74" s="286" t="s">
        <v>1589</v>
      </c>
      <c r="U74" s="286" t="s">
        <v>1588</v>
      </c>
      <c r="V74" s="286" t="s">
        <v>1587</v>
      </c>
      <c r="W74" s="286" t="s">
        <v>1589</v>
      </c>
      <c r="X74" s="286" t="s">
        <v>1587</v>
      </c>
      <c r="Y74" s="286" t="s">
        <v>1588</v>
      </c>
      <c r="Z74" s="286" t="s">
        <v>1587</v>
      </c>
      <c r="AA74" s="286" t="s">
        <v>1588</v>
      </c>
      <c r="AB74" s="286" t="s">
        <v>1587</v>
      </c>
      <c r="AC74" s="286" t="s">
        <v>1589</v>
      </c>
      <c r="AD74" s="286" t="s">
        <v>1588</v>
      </c>
      <c r="AE74" s="286" t="s">
        <v>1589</v>
      </c>
      <c r="AF74" s="286" t="s">
        <v>1587</v>
      </c>
      <c r="AG74" s="283">
        <v>17</v>
      </c>
      <c r="AH74" s="287" t="s">
        <v>25</v>
      </c>
      <c r="AI74" s="272"/>
      <c r="AJ74" s="288" t="s">
        <v>2032</v>
      </c>
      <c r="AK74" s="288" t="s">
        <v>2032</v>
      </c>
      <c r="AL74" s="288" t="s">
        <v>2032</v>
      </c>
      <c r="AM74" s="288" t="s">
        <v>2032</v>
      </c>
      <c r="AN74" s="288" t="s">
        <v>2032</v>
      </c>
      <c r="AO74" s="288" t="s">
        <v>2032</v>
      </c>
      <c r="AP74" s="288" t="s">
        <v>2032</v>
      </c>
      <c r="AQ74" s="288" t="s">
        <v>2032</v>
      </c>
      <c r="AR74" s="288" t="s">
        <v>2032</v>
      </c>
      <c r="AS74" s="288" t="s">
        <v>2032</v>
      </c>
      <c r="AT74" s="288" t="s">
        <v>2032</v>
      </c>
      <c r="AU74" s="288" t="s">
        <v>2032</v>
      </c>
      <c r="AV74" s="288" t="s">
        <v>2032</v>
      </c>
      <c r="AW74" s="288" t="s">
        <v>2032</v>
      </c>
      <c r="AX74" s="288" t="s">
        <v>2032</v>
      </c>
      <c r="AY74" s="288" t="s">
        <v>2032</v>
      </c>
      <c r="AZ74" s="288" t="s">
        <v>2032</v>
      </c>
      <c r="BA74" s="288" t="s">
        <v>2032</v>
      </c>
      <c r="BB74" s="288" t="s">
        <v>2032</v>
      </c>
      <c r="BC74" s="288" t="s">
        <v>2032</v>
      </c>
      <c r="BD74" s="289">
        <f t="shared" si="0"/>
        <v>0</v>
      </c>
      <c r="BE74" s="287"/>
      <c r="BF74" s="272"/>
    </row>
    <row r="75" spans="1:58" ht="14.25" customHeight="1" x14ac:dyDescent="0.35">
      <c r="A75" s="68">
        <v>73</v>
      </c>
      <c r="B75" s="24" t="s">
        <v>1581</v>
      </c>
      <c r="C75" s="24">
        <v>2024</v>
      </c>
      <c r="D75" s="24" t="s">
        <v>1745</v>
      </c>
      <c r="E75" s="269" t="s">
        <v>1746</v>
      </c>
      <c r="F75" s="24" t="s">
        <v>1747</v>
      </c>
      <c r="G75" s="248" t="s">
        <v>45</v>
      </c>
      <c r="H75" s="248" t="s">
        <v>1608</v>
      </c>
      <c r="I75" s="248" t="s">
        <v>1609</v>
      </c>
      <c r="J75" s="248" t="s">
        <v>1610</v>
      </c>
      <c r="K75" s="248" t="s">
        <v>1586</v>
      </c>
      <c r="L75" s="272"/>
      <c r="M75" s="286" t="s">
        <v>1588</v>
      </c>
      <c r="N75" s="286" t="s">
        <v>1588</v>
      </c>
      <c r="O75" s="286" t="s">
        <v>1587</v>
      </c>
      <c r="P75" s="286" t="s">
        <v>1589</v>
      </c>
      <c r="Q75" s="286" t="s">
        <v>1587</v>
      </c>
      <c r="R75" s="286" t="s">
        <v>1589</v>
      </c>
      <c r="S75" s="286" t="s">
        <v>1587</v>
      </c>
      <c r="T75" s="286" t="s">
        <v>1589</v>
      </c>
      <c r="U75" s="286" t="s">
        <v>1588</v>
      </c>
      <c r="V75" s="286" t="s">
        <v>1587</v>
      </c>
      <c r="W75" s="286" t="s">
        <v>1589</v>
      </c>
      <c r="X75" s="286" t="s">
        <v>1587</v>
      </c>
      <c r="Y75" s="286" t="s">
        <v>1589</v>
      </c>
      <c r="Z75" s="286" t="s">
        <v>1589</v>
      </c>
      <c r="AA75" s="286" t="s">
        <v>1588</v>
      </c>
      <c r="AB75" s="286" t="s">
        <v>1587</v>
      </c>
      <c r="AC75" s="286" t="s">
        <v>1589</v>
      </c>
      <c r="AD75" s="286" t="s">
        <v>1588</v>
      </c>
      <c r="AE75" s="286" t="s">
        <v>1589</v>
      </c>
      <c r="AF75" s="286" t="s">
        <v>1587</v>
      </c>
      <c r="AG75" s="283">
        <v>16</v>
      </c>
      <c r="AH75" s="287" t="s">
        <v>23</v>
      </c>
      <c r="AI75" s="272"/>
      <c r="AJ75" s="288" t="s">
        <v>2032</v>
      </c>
      <c r="AK75" s="288" t="s">
        <v>2032</v>
      </c>
      <c r="AL75" s="288" t="s">
        <v>2032</v>
      </c>
      <c r="AM75" s="288" t="s">
        <v>2032</v>
      </c>
      <c r="AN75" s="288" t="s">
        <v>2032</v>
      </c>
      <c r="AO75" s="288" t="s">
        <v>2032</v>
      </c>
      <c r="AP75" s="288" t="s">
        <v>2032</v>
      </c>
      <c r="AQ75" s="288" t="s">
        <v>2032</v>
      </c>
      <c r="AR75" s="288" t="s">
        <v>2032</v>
      </c>
      <c r="AS75" s="288" t="s">
        <v>2032</v>
      </c>
      <c r="AT75" s="288" t="s">
        <v>2032</v>
      </c>
      <c r="AU75" s="288" t="s">
        <v>2032</v>
      </c>
      <c r="AV75" s="288" t="s">
        <v>2032</v>
      </c>
      <c r="AW75" s="288" t="s">
        <v>2032</v>
      </c>
      <c r="AX75" s="288" t="s">
        <v>2032</v>
      </c>
      <c r="AY75" s="288" t="s">
        <v>2032</v>
      </c>
      <c r="AZ75" s="288" t="s">
        <v>2032</v>
      </c>
      <c r="BA75" s="288" t="s">
        <v>2032</v>
      </c>
      <c r="BB75" s="288" t="s">
        <v>2032</v>
      </c>
      <c r="BC75" s="288" t="s">
        <v>2032</v>
      </c>
      <c r="BD75" s="289">
        <f t="shared" si="0"/>
        <v>0</v>
      </c>
      <c r="BE75" s="287"/>
      <c r="BF75" s="272"/>
    </row>
    <row r="76" spans="1:58" ht="14.25" customHeight="1" x14ac:dyDescent="0.35">
      <c r="A76" s="68">
        <v>74</v>
      </c>
      <c r="B76" s="24" t="s">
        <v>1581</v>
      </c>
      <c r="C76" s="24">
        <v>2024</v>
      </c>
      <c r="D76" s="24" t="s">
        <v>1745</v>
      </c>
      <c r="E76" s="269" t="s">
        <v>1746</v>
      </c>
      <c r="F76" s="24" t="s">
        <v>1747</v>
      </c>
      <c r="G76" s="248" t="s">
        <v>45</v>
      </c>
      <c r="H76" s="248" t="s">
        <v>1611</v>
      </c>
      <c r="I76" s="248" t="s">
        <v>1612</v>
      </c>
      <c r="J76" s="248" t="s">
        <v>1613</v>
      </c>
      <c r="K76" s="248" t="s">
        <v>1593</v>
      </c>
      <c r="L76" s="272"/>
      <c r="M76" s="286" t="s">
        <v>1589</v>
      </c>
      <c r="N76" s="286" t="s">
        <v>1588</v>
      </c>
      <c r="O76" s="286" t="s">
        <v>1587</v>
      </c>
      <c r="P76" s="286" t="s">
        <v>1589</v>
      </c>
      <c r="Q76" s="286" t="s">
        <v>1587</v>
      </c>
      <c r="R76" s="286" t="s">
        <v>1589</v>
      </c>
      <c r="S76" s="286" t="s">
        <v>1587</v>
      </c>
      <c r="T76" s="286" t="s">
        <v>1589</v>
      </c>
      <c r="U76" s="286" t="s">
        <v>1588</v>
      </c>
      <c r="V76" s="286" t="s">
        <v>1587</v>
      </c>
      <c r="W76" s="286" t="s">
        <v>1587</v>
      </c>
      <c r="X76" s="286" t="s">
        <v>1588</v>
      </c>
      <c r="Y76" s="286" t="s">
        <v>1587</v>
      </c>
      <c r="Z76" s="286" t="s">
        <v>1589</v>
      </c>
      <c r="AA76" s="286" t="s">
        <v>1589</v>
      </c>
      <c r="AB76" s="286" t="s">
        <v>1589</v>
      </c>
      <c r="AC76" s="286" t="s">
        <v>1587</v>
      </c>
      <c r="AD76" s="286" t="s">
        <v>1588</v>
      </c>
      <c r="AE76" s="286" t="s">
        <v>1587</v>
      </c>
      <c r="AF76" s="286" t="s">
        <v>1588</v>
      </c>
      <c r="AG76" s="283">
        <v>12</v>
      </c>
      <c r="AH76" s="287" t="s">
        <v>23</v>
      </c>
      <c r="AI76" s="272"/>
      <c r="AJ76" s="288" t="s">
        <v>2032</v>
      </c>
      <c r="AK76" s="288" t="s">
        <v>2032</v>
      </c>
      <c r="AL76" s="288" t="s">
        <v>2032</v>
      </c>
      <c r="AM76" s="288" t="s">
        <v>2032</v>
      </c>
      <c r="AN76" s="288" t="s">
        <v>2032</v>
      </c>
      <c r="AO76" s="288" t="s">
        <v>2032</v>
      </c>
      <c r="AP76" s="288" t="s">
        <v>2032</v>
      </c>
      <c r="AQ76" s="288" t="s">
        <v>2032</v>
      </c>
      <c r="AR76" s="288" t="s">
        <v>2032</v>
      </c>
      <c r="AS76" s="288" t="s">
        <v>2032</v>
      </c>
      <c r="AT76" s="288" t="s">
        <v>2032</v>
      </c>
      <c r="AU76" s="288" t="s">
        <v>2032</v>
      </c>
      <c r="AV76" s="288" t="s">
        <v>2032</v>
      </c>
      <c r="AW76" s="288" t="s">
        <v>2032</v>
      </c>
      <c r="AX76" s="288" t="s">
        <v>2032</v>
      </c>
      <c r="AY76" s="288" t="s">
        <v>2032</v>
      </c>
      <c r="AZ76" s="288" t="s">
        <v>2032</v>
      </c>
      <c r="BA76" s="288" t="s">
        <v>2032</v>
      </c>
      <c r="BB76" s="288" t="s">
        <v>2032</v>
      </c>
      <c r="BC76" s="288" t="s">
        <v>2032</v>
      </c>
      <c r="BD76" s="289">
        <f t="shared" si="0"/>
        <v>0</v>
      </c>
      <c r="BE76" s="287"/>
      <c r="BF76" s="272"/>
    </row>
    <row r="77" spans="1:58" ht="14.25" customHeight="1" x14ac:dyDescent="0.35">
      <c r="A77" s="68">
        <v>75</v>
      </c>
      <c r="B77" s="24" t="s">
        <v>1581</v>
      </c>
      <c r="C77" s="24">
        <v>2024</v>
      </c>
      <c r="D77" s="24" t="s">
        <v>1745</v>
      </c>
      <c r="E77" s="269" t="s">
        <v>1746</v>
      </c>
      <c r="F77" s="24" t="s">
        <v>1747</v>
      </c>
      <c r="G77" s="248" t="s">
        <v>45</v>
      </c>
      <c r="H77" s="248" t="s">
        <v>1614</v>
      </c>
      <c r="I77" s="248" t="s">
        <v>1615</v>
      </c>
      <c r="J77" s="248" t="s">
        <v>1616</v>
      </c>
      <c r="K77" s="248" t="s">
        <v>1586</v>
      </c>
      <c r="L77" s="272"/>
      <c r="M77" s="286" t="s">
        <v>1589</v>
      </c>
      <c r="N77" s="286" t="s">
        <v>1588</v>
      </c>
      <c r="O77" s="286" t="s">
        <v>1587</v>
      </c>
      <c r="P77" s="286" t="s">
        <v>1589</v>
      </c>
      <c r="Q77" s="286" t="s">
        <v>1587</v>
      </c>
      <c r="R77" s="286" t="s">
        <v>1589</v>
      </c>
      <c r="S77" s="286" t="s">
        <v>1587</v>
      </c>
      <c r="T77" s="286" t="s">
        <v>1589</v>
      </c>
      <c r="U77" s="286" t="s">
        <v>1588</v>
      </c>
      <c r="V77" s="286" t="s">
        <v>1587</v>
      </c>
      <c r="W77" s="286" t="s">
        <v>1589</v>
      </c>
      <c r="X77" s="286" t="s">
        <v>1587</v>
      </c>
      <c r="Y77" s="286" t="s">
        <v>1588</v>
      </c>
      <c r="Z77" s="286" t="s">
        <v>1587</v>
      </c>
      <c r="AA77" s="286" t="s">
        <v>1587</v>
      </c>
      <c r="AB77" s="286" t="s">
        <v>1587</v>
      </c>
      <c r="AC77" s="286" t="s">
        <v>1589</v>
      </c>
      <c r="AD77" s="286" t="s">
        <v>1588</v>
      </c>
      <c r="AE77" s="286" t="s">
        <v>1588</v>
      </c>
      <c r="AF77" s="286" t="s">
        <v>1587</v>
      </c>
      <c r="AG77" s="283">
        <v>18</v>
      </c>
      <c r="AH77" s="287" t="s">
        <v>25</v>
      </c>
      <c r="AI77" s="272"/>
      <c r="AJ77" s="288" t="s">
        <v>2032</v>
      </c>
      <c r="AK77" s="288" t="s">
        <v>2032</v>
      </c>
      <c r="AL77" s="288" t="s">
        <v>2032</v>
      </c>
      <c r="AM77" s="288" t="s">
        <v>2032</v>
      </c>
      <c r="AN77" s="288" t="s">
        <v>2032</v>
      </c>
      <c r="AO77" s="288" t="s">
        <v>2032</v>
      </c>
      <c r="AP77" s="288" t="s">
        <v>2032</v>
      </c>
      <c r="AQ77" s="288" t="s">
        <v>2032</v>
      </c>
      <c r="AR77" s="288" t="s">
        <v>2032</v>
      </c>
      <c r="AS77" s="288" t="s">
        <v>2032</v>
      </c>
      <c r="AT77" s="288" t="s">
        <v>2032</v>
      </c>
      <c r="AU77" s="288" t="s">
        <v>2032</v>
      </c>
      <c r="AV77" s="288" t="s">
        <v>2032</v>
      </c>
      <c r="AW77" s="288" t="s">
        <v>2032</v>
      </c>
      <c r="AX77" s="288" t="s">
        <v>2032</v>
      </c>
      <c r="AY77" s="288" t="s">
        <v>2032</v>
      </c>
      <c r="AZ77" s="288" t="s">
        <v>2032</v>
      </c>
      <c r="BA77" s="288" t="s">
        <v>2032</v>
      </c>
      <c r="BB77" s="288" t="s">
        <v>2032</v>
      </c>
      <c r="BC77" s="288" t="s">
        <v>2032</v>
      </c>
      <c r="BD77" s="289">
        <f t="shared" si="0"/>
        <v>0</v>
      </c>
      <c r="BE77" s="287"/>
      <c r="BF77" s="272"/>
    </row>
    <row r="78" spans="1:58" ht="14.25" customHeight="1" x14ac:dyDescent="0.35">
      <c r="A78" s="68">
        <v>76</v>
      </c>
      <c r="B78" s="24" t="s">
        <v>1581</v>
      </c>
      <c r="C78" s="24">
        <v>2024</v>
      </c>
      <c r="D78" s="24" t="s">
        <v>1745</v>
      </c>
      <c r="E78" s="269" t="s">
        <v>1746</v>
      </c>
      <c r="F78" s="24" t="s">
        <v>1747</v>
      </c>
      <c r="G78" s="248" t="s">
        <v>45</v>
      </c>
      <c r="H78" s="248" t="s">
        <v>1618</v>
      </c>
      <c r="I78" s="248" t="s">
        <v>1619</v>
      </c>
      <c r="J78" s="248" t="s">
        <v>1620</v>
      </c>
      <c r="K78" s="248" t="s">
        <v>1593</v>
      </c>
      <c r="L78" s="272"/>
      <c r="M78" s="286" t="s">
        <v>1589</v>
      </c>
      <c r="N78" s="286" t="s">
        <v>1589</v>
      </c>
      <c r="O78" s="286" t="s">
        <v>1587</v>
      </c>
      <c r="P78" s="286" t="s">
        <v>1589</v>
      </c>
      <c r="Q78" s="286" t="s">
        <v>1587</v>
      </c>
      <c r="R78" s="286" t="s">
        <v>1589</v>
      </c>
      <c r="S78" s="286" t="s">
        <v>1587</v>
      </c>
      <c r="T78" s="286" t="s">
        <v>1589</v>
      </c>
      <c r="U78" s="286" t="s">
        <v>1588</v>
      </c>
      <c r="V78" s="286" t="s">
        <v>1588</v>
      </c>
      <c r="W78" s="286" t="s">
        <v>1587</v>
      </c>
      <c r="X78" s="286" t="s">
        <v>1589</v>
      </c>
      <c r="Y78" s="286"/>
      <c r="Z78" s="286" t="s">
        <v>1587</v>
      </c>
      <c r="AA78" s="286" t="s">
        <v>1588</v>
      </c>
      <c r="AB78" s="286" t="s">
        <v>1587</v>
      </c>
      <c r="AC78" s="286" t="s">
        <v>1589</v>
      </c>
      <c r="AD78" s="286" t="s">
        <v>1588</v>
      </c>
      <c r="AE78" s="286" t="s">
        <v>1588</v>
      </c>
      <c r="AF78" s="286" t="s">
        <v>1587</v>
      </c>
      <c r="AG78" s="283">
        <v>14</v>
      </c>
      <c r="AH78" s="287" t="s">
        <v>23</v>
      </c>
      <c r="AI78" s="272"/>
      <c r="AJ78" s="288" t="s">
        <v>2032</v>
      </c>
      <c r="AK78" s="288" t="s">
        <v>2032</v>
      </c>
      <c r="AL78" s="288" t="s">
        <v>2032</v>
      </c>
      <c r="AM78" s="288" t="s">
        <v>2032</v>
      </c>
      <c r="AN78" s="288" t="s">
        <v>2032</v>
      </c>
      <c r="AO78" s="288" t="s">
        <v>2032</v>
      </c>
      <c r="AP78" s="288" t="s">
        <v>2032</v>
      </c>
      <c r="AQ78" s="288" t="s">
        <v>2032</v>
      </c>
      <c r="AR78" s="288" t="s">
        <v>2032</v>
      </c>
      <c r="AS78" s="288" t="s">
        <v>2032</v>
      </c>
      <c r="AT78" s="288" t="s">
        <v>2032</v>
      </c>
      <c r="AU78" s="288" t="s">
        <v>2032</v>
      </c>
      <c r="AV78" s="288" t="s">
        <v>2032</v>
      </c>
      <c r="AW78" s="288" t="s">
        <v>2032</v>
      </c>
      <c r="AX78" s="288" t="s">
        <v>2032</v>
      </c>
      <c r="AY78" s="288" t="s">
        <v>2032</v>
      </c>
      <c r="AZ78" s="288" t="s">
        <v>2032</v>
      </c>
      <c r="BA78" s="288" t="s">
        <v>2032</v>
      </c>
      <c r="BB78" s="288" t="s">
        <v>2032</v>
      </c>
      <c r="BC78" s="288" t="s">
        <v>2032</v>
      </c>
      <c r="BD78" s="289">
        <f t="shared" si="0"/>
        <v>0</v>
      </c>
      <c r="BE78" s="287"/>
      <c r="BF78" s="272"/>
    </row>
    <row r="79" spans="1:58" ht="14.25" customHeight="1" x14ac:dyDescent="0.35">
      <c r="A79" s="68">
        <v>77</v>
      </c>
      <c r="B79" s="24" t="s">
        <v>1581</v>
      </c>
      <c r="C79" s="24">
        <v>2024</v>
      </c>
      <c r="D79" s="24" t="s">
        <v>1745</v>
      </c>
      <c r="E79" s="269" t="s">
        <v>1746</v>
      </c>
      <c r="F79" s="24" t="s">
        <v>1747</v>
      </c>
      <c r="G79" s="248" t="s">
        <v>45</v>
      </c>
      <c r="H79" s="248" t="s">
        <v>1621</v>
      </c>
      <c r="I79" s="248" t="s">
        <v>1622</v>
      </c>
      <c r="J79" s="248" t="s">
        <v>1623</v>
      </c>
      <c r="K79" s="248" t="s">
        <v>1586</v>
      </c>
      <c r="L79" s="272"/>
      <c r="M79" s="286"/>
      <c r="N79" s="286"/>
      <c r="O79" s="286"/>
      <c r="P79" s="286"/>
      <c r="Q79" s="286"/>
      <c r="R79" s="286"/>
      <c r="S79" s="286"/>
      <c r="T79" s="286"/>
      <c r="U79" s="286"/>
      <c r="V79" s="286"/>
      <c r="W79" s="286"/>
      <c r="X79" s="286"/>
      <c r="Y79" s="286"/>
      <c r="Z79" s="286"/>
      <c r="AA79" s="286"/>
      <c r="AB79" s="286"/>
      <c r="AC79" s="286"/>
      <c r="AD79" s="286"/>
      <c r="AE79" s="286"/>
      <c r="AF79" s="286"/>
      <c r="AG79" s="283">
        <v>0</v>
      </c>
      <c r="AH79" s="287" t="s">
        <v>1489</v>
      </c>
      <c r="AI79" s="272"/>
      <c r="AJ79" s="288" t="s">
        <v>2032</v>
      </c>
      <c r="AK79" s="288" t="s">
        <v>2032</v>
      </c>
      <c r="AL79" s="288" t="s">
        <v>2032</v>
      </c>
      <c r="AM79" s="288" t="s">
        <v>2032</v>
      </c>
      <c r="AN79" s="288" t="s">
        <v>2032</v>
      </c>
      <c r="AO79" s="288" t="s">
        <v>2032</v>
      </c>
      <c r="AP79" s="288" t="s">
        <v>2032</v>
      </c>
      <c r="AQ79" s="288" t="s">
        <v>2032</v>
      </c>
      <c r="AR79" s="288" t="s">
        <v>2032</v>
      </c>
      <c r="AS79" s="288" t="s">
        <v>2032</v>
      </c>
      <c r="AT79" s="288" t="s">
        <v>2032</v>
      </c>
      <c r="AU79" s="288" t="s">
        <v>2032</v>
      </c>
      <c r="AV79" s="288" t="s">
        <v>2032</v>
      </c>
      <c r="AW79" s="288" t="s">
        <v>2032</v>
      </c>
      <c r="AX79" s="288" t="s">
        <v>2032</v>
      </c>
      <c r="AY79" s="288" t="s">
        <v>2032</v>
      </c>
      <c r="AZ79" s="288" t="s">
        <v>2032</v>
      </c>
      <c r="BA79" s="288" t="s">
        <v>2032</v>
      </c>
      <c r="BB79" s="288" t="s">
        <v>2032</v>
      </c>
      <c r="BC79" s="288" t="s">
        <v>2032</v>
      </c>
      <c r="BD79" s="289">
        <f t="shared" si="0"/>
        <v>0</v>
      </c>
      <c r="BE79" s="287"/>
      <c r="BF79" s="272"/>
    </row>
    <row r="80" spans="1:58" ht="14.25" customHeight="1" x14ac:dyDescent="0.35">
      <c r="A80" s="68">
        <v>78</v>
      </c>
      <c r="B80" s="24" t="s">
        <v>1581</v>
      </c>
      <c r="C80" s="24">
        <v>2024</v>
      </c>
      <c r="D80" s="24" t="s">
        <v>1745</v>
      </c>
      <c r="E80" s="269" t="s">
        <v>1746</v>
      </c>
      <c r="F80" s="24" t="s">
        <v>1747</v>
      </c>
      <c r="G80" s="248" t="s">
        <v>45</v>
      </c>
      <c r="H80" s="248" t="s">
        <v>1624</v>
      </c>
      <c r="I80" s="248" t="s">
        <v>1625</v>
      </c>
      <c r="J80" s="248" t="s">
        <v>1626</v>
      </c>
      <c r="K80" s="248" t="s">
        <v>1593</v>
      </c>
      <c r="L80" s="272"/>
      <c r="M80" s="286" t="s">
        <v>1589</v>
      </c>
      <c r="N80" s="286" t="s">
        <v>1588</v>
      </c>
      <c r="O80" s="286" t="s">
        <v>1587</v>
      </c>
      <c r="P80" s="286" t="s">
        <v>1589</v>
      </c>
      <c r="Q80" s="286" t="s">
        <v>1587</v>
      </c>
      <c r="R80" s="286" t="s">
        <v>1589</v>
      </c>
      <c r="S80" s="286" t="s">
        <v>1587</v>
      </c>
      <c r="T80" s="286" t="s">
        <v>1589</v>
      </c>
      <c r="U80" s="286" t="s">
        <v>1588</v>
      </c>
      <c r="V80" s="286" t="s">
        <v>1588</v>
      </c>
      <c r="W80" s="286" t="s">
        <v>1589</v>
      </c>
      <c r="X80" s="286" t="s">
        <v>1587</v>
      </c>
      <c r="Y80" s="286" t="s">
        <v>1588</v>
      </c>
      <c r="Z80" s="286" t="s">
        <v>1587</v>
      </c>
      <c r="AA80" s="286" t="s">
        <v>1587</v>
      </c>
      <c r="AB80" s="286" t="s">
        <v>1589</v>
      </c>
      <c r="AC80" s="286" t="s">
        <v>1588</v>
      </c>
      <c r="AD80" s="286" t="s">
        <v>1589</v>
      </c>
      <c r="AE80" s="286" t="s">
        <v>1589</v>
      </c>
      <c r="AF80" s="286" t="s">
        <v>1587</v>
      </c>
      <c r="AG80" s="283">
        <v>14</v>
      </c>
      <c r="AH80" s="287" t="s">
        <v>23</v>
      </c>
      <c r="AI80" s="272"/>
      <c r="AJ80" s="288" t="s">
        <v>2032</v>
      </c>
      <c r="AK80" s="288" t="s">
        <v>2032</v>
      </c>
      <c r="AL80" s="288" t="s">
        <v>2032</v>
      </c>
      <c r="AM80" s="288" t="s">
        <v>2032</v>
      </c>
      <c r="AN80" s="288" t="s">
        <v>2032</v>
      </c>
      <c r="AO80" s="288" t="s">
        <v>2032</v>
      </c>
      <c r="AP80" s="288" t="s">
        <v>2032</v>
      </c>
      <c r="AQ80" s="288" t="s">
        <v>2032</v>
      </c>
      <c r="AR80" s="288" t="s">
        <v>2032</v>
      </c>
      <c r="AS80" s="288" t="s">
        <v>2032</v>
      </c>
      <c r="AT80" s="288" t="s">
        <v>2032</v>
      </c>
      <c r="AU80" s="288" t="s">
        <v>2032</v>
      </c>
      <c r="AV80" s="288" t="s">
        <v>2032</v>
      </c>
      <c r="AW80" s="288" t="s">
        <v>2032</v>
      </c>
      <c r="AX80" s="288" t="s">
        <v>2032</v>
      </c>
      <c r="AY80" s="288" t="s">
        <v>2032</v>
      </c>
      <c r="AZ80" s="288" t="s">
        <v>2032</v>
      </c>
      <c r="BA80" s="288" t="s">
        <v>2032</v>
      </c>
      <c r="BB80" s="288" t="s">
        <v>2032</v>
      </c>
      <c r="BC80" s="288" t="s">
        <v>2032</v>
      </c>
      <c r="BD80" s="289">
        <f t="shared" si="0"/>
        <v>0</v>
      </c>
      <c r="BE80" s="287"/>
      <c r="BF80" s="272"/>
    </row>
    <row r="81" spans="1:58" ht="14.25" customHeight="1" x14ac:dyDescent="0.35">
      <c r="A81" s="68">
        <v>79</v>
      </c>
      <c r="B81" s="24" t="s">
        <v>1581</v>
      </c>
      <c r="C81" s="24">
        <v>2024</v>
      </c>
      <c r="D81" s="24" t="s">
        <v>1745</v>
      </c>
      <c r="E81" s="269" t="s">
        <v>1746</v>
      </c>
      <c r="F81" s="24" t="s">
        <v>1747</v>
      </c>
      <c r="G81" s="248" t="s">
        <v>45</v>
      </c>
      <c r="H81" s="248" t="s">
        <v>1627</v>
      </c>
      <c r="I81" s="248" t="s">
        <v>1612</v>
      </c>
      <c r="J81" s="248" t="s">
        <v>1628</v>
      </c>
      <c r="K81" s="248" t="s">
        <v>1586</v>
      </c>
      <c r="L81" s="272"/>
      <c r="M81" s="286" t="s">
        <v>1588</v>
      </c>
      <c r="N81" s="286" t="s">
        <v>1587</v>
      </c>
      <c r="O81" s="286" t="s">
        <v>1587</v>
      </c>
      <c r="P81" s="286" t="s">
        <v>1588</v>
      </c>
      <c r="Q81" s="286" t="s">
        <v>1587</v>
      </c>
      <c r="R81" s="286" t="s">
        <v>1587</v>
      </c>
      <c r="S81" s="286" t="s">
        <v>1588</v>
      </c>
      <c r="T81" s="286" t="s">
        <v>1587</v>
      </c>
      <c r="U81" s="286" t="s">
        <v>1587</v>
      </c>
      <c r="V81" s="286" t="s">
        <v>1587</v>
      </c>
      <c r="W81" s="286" t="s">
        <v>1589</v>
      </c>
      <c r="X81" s="286" t="s">
        <v>1589</v>
      </c>
      <c r="Y81" s="286" t="s">
        <v>1589</v>
      </c>
      <c r="Z81" s="286" t="s">
        <v>1587</v>
      </c>
      <c r="AA81" s="286" t="s">
        <v>1588</v>
      </c>
      <c r="AB81" s="286" t="s">
        <v>1587</v>
      </c>
      <c r="AC81" s="286" t="s">
        <v>1587</v>
      </c>
      <c r="AD81" s="286" t="s">
        <v>1589</v>
      </c>
      <c r="AE81" s="286" t="s">
        <v>1587</v>
      </c>
      <c r="AF81" s="286" t="s">
        <v>1587</v>
      </c>
      <c r="AG81" s="283">
        <v>9</v>
      </c>
      <c r="AH81" s="287" t="s">
        <v>19</v>
      </c>
      <c r="AI81" s="272"/>
      <c r="AJ81" s="288" t="s">
        <v>2032</v>
      </c>
      <c r="AK81" s="288" t="s">
        <v>2032</v>
      </c>
      <c r="AL81" s="288" t="s">
        <v>2032</v>
      </c>
      <c r="AM81" s="288" t="s">
        <v>2032</v>
      </c>
      <c r="AN81" s="288" t="s">
        <v>2032</v>
      </c>
      <c r="AO81" s="288" t="s">
        <v>2032</v>
      </c>
      <c r="AP81" s="288" t="s">
        <v>2032</v>
      </c>
      <c r="AQ81" s="288" t="s">
        <v>2032</v>
      </c>
      <c r="AR81" s="288" t="s">
        <v>2032</v>
      </c>
      <c r="AS81" s="288" t="s">
        <v>2032</v>
      </c>
      <c r="AT81" s="288" t="s">
        <v>2032</v>
      </c>
      <c r="AU81" s="288" t="s">
        <v>2032</v>
      </c>
      <c r="AV81" s="288" t="s">
        <v>2032</v>
      </c>
      <c r="AW81" s="288" t="s">
        <v>2032</v>
      </c>
      <c r="AX81" s="288" t="s">
        <v>2032</v>
      </c>
      <c r="AY81" s="288" t="s">
        <v>2032</v>
      </c>
      <c r="AZ81" s="288" t="s">
        <v>2032</v>
      </c>
      <c r="BA81" s="288" t="s">
        <v>2032</v>
      </c>
      <c r="BB81" s="288" t="s">
        <v>2032</v>
      </c>
      <c r="BC81" s="288" t="s">
        <v>2032</v>
      </c>
      <c r="BD81" s="289">
        <f t="shared" si="0"/>
        <v>0</v>
      </c>
      <c r="BE81" s="287"/>
      <c r="BF81" s="272"/>
    </row>
    <row r="82" spans="1:58" ht="14.25" customHeight="1" x14ac:dyDescent="0.35">
      <c r="A82" s="68">
        <v>80</v>
      </c>
      <c r="B82" s="24" t="s">
        <v>1581</v>
      </c>
      <c r="C82" s="24">
        <v>2024</v>
      </c>
      <c r="D82" s="24" t="s">
        <v>1745</v>
      </c>
      <c r="E82" s="269" t="s">
        <v>1746</v>
      </c>
      <c r="F82" s="24" t="s">
        <v>1747</v>
      </c>
      <c r="G82" s="248" t="s">
        <v>45</v>
      </c>
      <c r="H82" s="248" t="s">
        <v>1629</v>
      </c>
      <c r="I82" s="248" t="s">
        <v>1612</v>
      </c>
      <c r="J82" s="248" t="s">
        <v>1630</v>
      </c>
      <c r="K82" s="248" t="s">
        <v>1593</v>
      </c>
      <c r="L82" s="272"/>
      <c r="M82" s="286" t="s">
        <v>1589</v>
      </c>
      <c r="N82" s="286" t="s">
        <v>1588</v>
      </c>
      <c r="O82" s="286" t="s">
        <v>1587</v>
      </c>
      <c r="P82" s="286" t="s">
        <v>1589</v>
      </c>
      <c r="Q82" s="286" t="s">
        <v>1587</v>
      </c>
      <c r="R82" s="286" t="s">
        <v>1589</v>
      </c>
      <c r="S82" s="286" t="s">
        <v>1587</v>
      </c>
      <c r="T82" s="286" t="s">
        <v>1587</v>
      </c>
      <c r="U82" s="286" t="s">
        <v>1588</v>
      </c>
      <c r="V82" s="286" t="s">
        <v>1587</v>
      </c>
      <c r="W82" s="286" t="s">
        <v>1588</v>
      </c>
      <c r="X82" s="286" t="s">
        <v>1587</v>
      </c>
      <c r="Y82" s="286" t="s">
        <v>1587</v>
      </c>
      <c r="Z82" s="286" t="s">
        <v>1587</v>
      </c>
      <c r="AA82" s="286" t="s">
        <v>1589</v>
      </c>
      <c r="AB82" s="286" t="s">
        <v>1587</v>
      </c>
      <c r="AC82" s="286" t="s">
        <v>1589</v>
      </c>
      <c r="AD82" s="286" t="s">
        <v>1587</v>
      </c>
      <c r="AE82" s="286" t="s">
        <v>1587</v>
      </c>
      <c r="AF82" s="286" t="s">
        <v>1587</v>
      </c>
      <c r="AG82" s="283">
        <v>15</v>
      </c>
      <c r="AH82" s="287" t="s">
        <v>23</v>
      </c>
      <c r="AI82" s="272"/>
      <c r="AJ82" s="288" t="s">
        <v>2032</v>
      </c>
      <c r="AK82" s="288" t="s">
        <v>2032</v>
      </c>
      <c r="AL82" s="288" t="s">
        <v>2032</v>
      </c>
      <c r="AM82" s="288" t="s">
        <v>2032</v>
      </c>
      <c r="AN82" s="288" t="s">
        <v>2032</v>
      </c>
      <c r="AO82" s="288" t="s">
        <v>2032</v>
      </c>
      <c r="AP82" s="288" t="s">
        <v>2032</v>
      </c>
      <c r="AQ82" s="288" t="s">
        <v>2032</v>
      </c>
      <c r="AR82" s="288" t="s">
        <v>2032</v>
      </c>
      <c r="AS82" s="288" t="s">
        <v>2032</v>
      </c>
      <c r="AT82" s="288" t="s">
        <v>2032</v>
      </c>
      <c r="AU82" s="288" t="s">
        <v>2032</v>
      </c>
      <c r="AV82" s="288" t="s">
        <v>2032</v>
      </c>
      <c r="AW82" s="288" t="s">
        <v>2032</v>
      </c>
      <c r="AX82" s="288" t="s">
        <v>2032</v>
      </c>
      <c r="AY82" s="288" t="s">
        <v>2032</v>
      </c>
      <c r="AZ82" s="288" t="s">
        <v>2032</v>
      </c>
      <c r="BA82" s="288" t="s">
        <v>2032</v>
      </c>
      <c r="BB82" s="288" t="s">
        <v>2032</v>
      </c>
      <c r="BC82" s="288" t="s">
        <v>2032</v>
      </c>
      <c r="BD82" s="289">
        <f t="shared" si="0"/>
        <v>0</v>
      </c>
      <c r="BE82" s="287"/>
      <c r="BF82" s="272"/>
    </row>
    <row r="83" spans="1:58" ht="14.25" customHeight="1" x14ac:dyDescent="0.35">
      <c r="A83" s="68">
        <v>81</v>
      </c>
      <c r="B83" s="24" t="s">
        <v>1581</v>
      </c>
      <c r="C83" s="24">
        <v>2024</v>
      </c>
      <c r="D83" s="24" t="s">
        <v>1745</v>
      </c>
      <c r="E83" s="269" t="s">
        <v>1746</v>
      </c>
      <c r="F83" s="24" t="s">
        <v>1747</v>
      </c>
      <c r="G83" s="248" t="s">
        <v>45</v>
      </c>
      <c r="H83" s="248" t="s">
        <v>1631</v>
      </c>
      <c r="I83" s="248" t="s">
        <v>1604</v>
      </c>
      <c r="J83" s="248" t="s">
        <v>1632</v>
      </c>
      <c r="K83" s="248" t="s">
        <v>1593</v>
      </c>
      <c r="L83" s="272"/>
      <c r="M83" s="286" t="s">
        <v>1589</v>
      </c>
      <c r="N83" s="286" t="s">
        <v>1589</v>
      </c>
      <c r="O83" s="286" t="s">
        <v>1587</v>
      </c>
      <c r="P83" s="286" t="s">
        <v>1589</v>
      </c>
      <c r="Q83" s="286" t="s">
        <v>1587</v>
      </c>
      <c r="R83" s="286" t="s">
        <v>1587</v>
      </c>
      <c r="S83" s="286" t="s">
        <v>1587</v>
      </c>
      <c r="T83" s="286" t="s">
        <v>1589</v>
      </c>
      <c r="U83" s="286" t="s">
        <v>1587</v>
      </c>
      <c r="V83" s="286" t="s">
        <v>1587</v>
      </c>
      <c r="W83" s="286" t="s">
        <v>1589</v>
      </c>
      <c r="X83" s="286" t="s">
        <v>1588</v>
      </c>
      <c r="Y83" s="286" t="s">
        <v>1589</v>
      </c>
      <c r="Z83" s="286" t="s">
        <v>1587</v>
      </c>
      <c r="AA83" s="286" t="s">
        <v>1588</v>
      </c>
      <c r="AB83" s="286" t="s">
        <v>1587</v>
      </c>
      <c r="AC83" s="286" t="s">
        <v>1589</v>
      </c>
      <c r="AD83" s="286" t="s">
        <v>1588</v>
      </c>
      <c r="AE83" s="286" t="s">
        <v>1587</v>
      </c>
      <c r="AF83" s="286" t="s">
        <v>1587</v>
      </c>
      <c r="AG83" s="283">
        <v>15</v>
      </c>
      <c r="AH83" s="287" t="s">
        <v>23</v>
      </c>
      <c r="AI83" s="272"/>
      <c r="AJ83" s="288" t="s">
        <v>2032</v>
      </c>
      <c r="AK83" s="288" t="s">
        <v>2032</v>
      </c>
      <c r="AL83" s="288" t="s">
        <v>2032</v>
      </c>
      <c r="AM83" s="288" t="s">
        <v>2032</v>
      </c>
      <c r="AN83" s="288" t="s">
        <v>2032</v>
      </c>
      <c r="AO83" s="288" t="s">
        <v>2032</v>
      </c>
      <c r="AP83" s="288" t="s">
        <v>2032</v>
      </c>
      <c r="AQ83" s="288" t="s">
        <v>2032</v>
      </c>
      <c r="AR83" s="288" t="s">
        <v>2032</v>
      </c>
      <c r="AS83" s="288" t="s">
        <v>2032</v>
      </c>
      <c r="AT83" s="288" t="s">
        <v>2032</v>
      </c>
      <c r="AU83" s="288" t="s">
        <v>2032</v>
      </c>
      <c r="AV83" s="288" t="s">
        <v>2032</v>
      </c>
      <c r="AW83" s="288" t="s">
        <v>2032</v>
      </c>
      <c r="AX83" s="288" t="s">
        <v>2032</v>
      </c>
      <c r="AY83" s="288" t="s">
        <v>2032</v>
      </c>
      <c r="AZ83" s="288" t="s">
        <v>2032</v>
      </c>
      <c r="BA83" s="288" t="s">
        <v>2032</v>
      </c>
      <c r="BB83" s="288" t="s">
        <v>2032</v>
      </c>
      <c r="BC83" s="288" t="s">
        <v>2032</v>
      </c>
      <c r="BD83" s="289">
        <f t="shared" si="0"/>
        <v>0</v>
      </c>
      <c r="BE83" s="287"/>
      <c r="BF83" s="272"/>
    </row>
    <row r="84" spans="1:58" ht="14.25" customHeight="1" x14ac:dyDescent="0.35">
      <c r="A84" s="68">
        <v>82</v>
      </c>
      <c r="B84" s="24" t="s">
        <v>1581</v>
      </c>
      <c r="C84" s="24">
        <v>2024</v>
      </c>
      <c r="D84" s="24" t="s">
        <v>1745</v>
      </c>
      <c r="E84" s="269" t="s">
        <v>1746</v>
      </c>
      <c r="F84" s="24" t="s">
        <v>1747</v>
      </c>
      <c r="G84" s="248" t="s">
        <v>45</v>
      </c>
      <c r="H84" s="248" t="s">
        <v>1633</v>
      </c>
      <c r="I84" s="248" t="s">
        <v>1634</v>
      </c>
      <c r="J84" s="248" t="s">
        <v>1635</v>
      </c>
      <c r="K84" s="248" t="s">
        <v>1586</v>
      </c>
      <c r="L84" s="272"/>
      <c r="M84" s="286" t="s">
        <v>1587</v>
      </c>
      <c r="N84" s="286" t="s">
        <v>1588</v>
      </c>
      <c r="O84" s="286" t="s">
        <v>1589</v>
      </c>
      <c r="P84" s="286" t="s">
        <v>1588</v>
      </c>
      <c r="Q84" s="286" t="s">
        <v>1588</v>
      </c>
      <c r="R84" s="286"/>
      <c r="S84" s="286" t="s">
        <v>1588</v>
      </c>
      <c r="T84" s="286" t="s">
        <v>1587</v>
      </c>
      <c r="U84" s="286" t="s">
        <v>1589</v>
      </c>
      <c r="V84" s="286" t="s">
        <v>1588</v>
      </c>
      <c r="W84" s="286" t="s">
        <v>1587</v>
      </c>
      <c r="X84" s="286" t="s">
        <v>1589</v>
      </c>
      <c r="Y84" s="286" t="s">
        <v>1588</v>
      </c>
      <c r="Z84" s="286" t="s">
        <v>1587</v>
      </c>
      <c r="AA84" s="286" t="s">
        <v>1588</v>
      </c>
      <c r="AB84" s="286" t="s">
        <v>1587</v>
      </c>
      <c r="AC84" s="286" t="s">
        <v>1588</v>
      </c>
      <c r="AD84" s="286" t="s">
        <v>1587</v>
      </c>
      <c r="AE84" s="286" t="s">
        <v>1588</v>
      </c>
      <c r="AF84" s="286" t="s">
        <v>1587</v>
      </c>
      <c r="AG84" s="283">
        <v>6</v>
      </c>
      <c r="AH84" s="287" t="s">
        <v>19</v>
      </c>
      <c r="AI84" s="272"/>
      <c r="AJ84" s="288" t="s">
        <v>2032</v>
      </c>
      <c r="AK84" s="288" t="s">
        <v>2032</v>
      </c>
      <c r="AL84" s="288" t="s">
        <v>2032</v>
      </c>
      <c r="AM84" s="288" t="s">
        <v>2032</v>
      </c>
      <c r="AN84" s="288" t="s">
        <v>2032</v>
      </c>
      <c r="AO84" s="288" t="s">
        <v>2032</v>
      </c>
      <c r="AP84" s="288" t="s">
        <v>2032</v>
      </c>
      <c r="AQ84" s="288" t="s">
        <v>2032</v>
      </c>
      <c r="AR84" s="288" t="s">
        <v>2032</v>
      </c>
      <c r="AS84" s="288" t="s">
        <v>2032</v>
      </c>
      <c r="AT84" s="288" t="s">
        <v>2032</v>
      </c>
      <c r="AU84" s="288" t="s">
        <v>2032</v>
      </c>
      <c r="AV84" s="288" t="s">
        <v>2032</v>
      </c>
      <c r="AW84" s="288" t="s">
        <v>2032</v>
      </c>
      <c r="AX84" s="288" t="s">
        <v>2032</v>
      </c>
      <c r="AY84" s="288" t="s">
        <v>2032</v>
      </c>
      <c r="AZ84" s="288" t="s">
        <v>2032</v>
      </c>
      <c r="BA84" s="288" t="s">
        <v>2032</v>
      </c>
      <c r="BB84" s="288" t="s">
        <v>2032</v>
      </c>
      <c r="BC84" s="288" t="s">
        <v>2032</v>
      </c>
      <c r="BD84" s="289">
        <f t="shared" si="0"/>
        <v>0</v>
      </c>
      <c r="BE84" s="287"/>
      <c r="BF84" s="272"/>
    </row>
    <row r="85" spans="1:58" ht="14.25" customHeight="1" x14ac:dyDescent="0.35">
      <c r="A85" s="68">
        <v>83</v>
      </c>
      <c r="B85" s="24" t="s">
        <v>1581</v>
      </c>
      <c r="C85" s="24">
        <v>2024</v>
      </c>
      <c r="D85" s="24" t="s">
        <v>1745</v>
      </c>
      <c r="E85" s="269" t="s">
        <v>1746</v>
      </c>
      <c r="F85" s="24" t="s">
        <v>1747</v>
      </c>
      <c r="G85" s="248" t="s">
        <v>45</v>
      </c>
      <c r="H85" s="248" t="s">
        <v>1636</v>
      </c>
      <c r="I85" s="248" t="s">
        <v>1637</v>
      </c>
      <c r="J85" s="248" t="s">
        <v>1638</v>
      </c>
      <c r="K85" s="248" t="s">
        <v>1593</v>
      </c>
      <c r="L85" s="272"/>
      <c r="M85" s="286" t="s">
        <v>1589</v>
      </c>
      <c r="N85" s="286" t="s">
        <v>1587</v>
      </c>
      <c r="O85" s="286" t="s">
        <v>1587</v>
      </c>
      <c r="P85" s="286" t="s">
        <v>1589</v>
      </c>
      <c r="Q85" s="286" t="s">
        <v>1587</v>
      </c>
      <c r="R85" s="286" t="s">
        <v>1589</v>
      </c>
      <c r="S85" s="286" t="s">
        <v>1587</v>
      </c>
      <c r="T85" s="286" t="s">
        <v>1589</v>
      </c>
      <c r="U85" s="286" t="s">
        <v>1588</v>
      </c>
      <c r="V85" s="286" t="s">
        <v>1587</v>
      </c>
      <c r="W85" s="286" t="s">
        <v>1589</v>
      </c>
      <c r="X85" s="286" t="s">
        <v>1587</v>
      </c>
      <c r="Y85" s="286" t="s">
        <v>1589</v>
      </c>
      <c r="Z85" s="286" t="s">
        <v>1587</v>
      </c>
      <c r="AA85" s="286" t="s">
        <v>1587</v>
      </c>
      <c r="AB85" s="286" t="s">
        <v>1587</v>
      </c>
      <c r="AC85" s="286" t="s">
        <v>1589</v>
      </c>
      <c r="AD85" s="286" t="s">
        <v>1588</v>
      </c>
      <c r="AE85" s="286" t="s">
        <v>1588</v>
      </c>
      <c r="AF85" s="286" t="s">
        <v>1589</v>
      </c>
      <c r="AG85" s="283">
        <v>15</v>
      </c>
      <c r="AH85" s="287" t="s">
        <v>23</v>
      </c>
      <c r="AI85" s="272"/>
      <c r="AJ85" s="288" t="s">
        <v>2032</v>
      </c>
      <c r="AK85" s="288" t="s">
        <v>2032</v>
      </c>
      <c r="AL85" s="288" t="s">
        <v>2032</v>
      </c>
      <c r="AM85" s="288" t="s">
        <v>2032</v>
      </c>
      <c r="AN85" s="288" t="s">
        <v>2032</v>
      </c>
      <c r="AO85" s="288" t="s">
        <v>2032</v>
      </c>
      <c r="AP85" s="288" t="s">
        <v>2032</v>
      </c>
      <c r="AQ85" s="288" t="s">
        <v>2032</v>
      </c>
      <c r="AR85" s="288" t="s">
        <v>2032</v>
      </c>
      <c r="AS85" s="288" t="s">
        <v>2032</v>
      </c>
      <c r="AT85" s="288" t="s">
        <v>2032</v>
      </c>
      <c r="AU85" s="288" t="s">
        <v>2032</v>
      </c>
      <c r="AV85" s="288" t="s">
        <v>2032</v>
      </c>
      <c r="AW85" s="288" t="s">
        <v>2032</v>
      </c>
      <c r="AX85" s="288" t="s">
        <v>2032</v>
      </c>
      <c r="AY85" s="288" t="s">
        <v>2032</v>
      </c>
      <c r="AZ85" s="288" t="s">
        <v>2032</v>
      </c>
      <c r="BA85" s="288" t="s">
        <v>2032</v>
      </c>
      <c r="BB85" s="288" t="s">
        <v>2032</v>
      </c>
      <c r="BC85" s="288" t="s">
        <v>2032</v>
      </c>
      <c r="BD85" s="289">
        <f t="shared" si="0"/>
        <v>0</v>
      </c>
      <c r="BE85" s="287"/>
      <c r="BF85" s="272"/>
    </row>
    <row r="86" spans="1:58" ht="14.25" customHeight="1" x14ac:dyDescent="0.35">
      <c r="A86" s="68">
        <v>84</v>
      </c>
      <c r="B86" s="24" t="s">
        <v>1581</v>
      </c>
      <c r="C86" s="24">
        <v>2024</v>
      </c>
      <c r="D86" s="24" t="s">
        <v>1745</v>
      </c>
      <c r="E86" s="269" t="s">
        <v>1746</v>
      </c>
      <c r="F86" s="24" t="s">
        <v>1747</v>
      </c>
      <c r="G86" s="248" t="s">
        <v>45</v>
      </c>
      <c r="H86" s="248" t="s">
        <v>1639</v>
      </c>
      <c r="I86" s="248" t="s">
        <v>1640</v>
      </c>
      <c r="J86" s="248" t="s">
        <v>1641</v>
      </c>
      <c r="K86" s="248" t="s">
        <v>1586</v>
      </c>
      <c r="L86" s="272"/>
      <c r="M86" s="286" t="s">
        <v>1589</v>
      </c>
      <c r="N86" s="286" t="s">
        <v>1588</v>
      </c>
      <c r="O86" s="286" t="s">
        <v>1587</v>
      </c>
      <c r="P86" s="286" t="s">
        <v>1589</v>
      </c>
      <c r="Q86" s="286" t="s">
        <v>1587</v>
      </c>
      <c r="R86" s="286" t="s">
        <v>1589</v>
      </c>
      <c r="S86" s="286" t="s">
        <v>1587</v>
      </c>
      <c r="T86" s="286" t="s">
        <v>1589</v>
      </c>
      <c r="U86" s="286" t="s">
        <v>1588</v>
      </c>
      <c r="V86" s="286" t="s">
        <v>1587</v>
      </c>
      <c r="W86" s="286" t="s">
        <v>1589</v>
      </c>
      <c r="X86" s="286" t="s">
        <v>1587</v>
      </c>
      <c r="Y86" s="286" t="s">
        <v>1588</v>
      </c>
      <c r="Z86" s="286" t="s">
        <v>1587</v>
      </c>
      <c r="AA86" s="286" t="s">
        <v>1589</v>
      </c>
      <c r="AB86" s="286" t="s">
        <v>1587</v>
      </c>
      <c r="AC86" s="286" t="s">
        <v>1589</v>
      </c>
      <c r="AD86" s="286" t="s">
        <v>1588</v>
      </c>
      <c r="AE86" s="286" t="s">
        <v>1587</v>
      </c>
      <c r="AF86" s="286" t="s">
        <v>1589</v>
      </c>
      <c r="AG86" s="283">
        <v>18</v>
      </c>
      <c r="AH86" s="287" t="s">
        <v>25</v>
      </c>
      <c r="AI86" s="272"/>
      <c r="AJ86" s="288" t="s">
        <v>2032</v>
      </c>
      <c r="AK86" s="288" t="s">
        <v>2032</v>
      </c>
      <c r="AL86" s="288" t="s">
        <v>2032</v>
      </c>
      <c r="AM86" s="288" t="s">
        <v>2032</v>
      </c>
      <c r="AN86" s="288" t="s">
        <v>2032</v>
      </c>
      <c r="AO86" s="288" t="s">
        <v>2032</v>
      </c>
      <c r="AP86" s="288" t="s">
        <v>2032</v>
      </c>
      <c r="AQ86" s="288" t="s">
        <v>2032</v>
      </c>
      <c r="AR86" s="288" t="s">
        <v>2032</v>
      </c>
      <c r="AS86" s="288" t="s">
        <v>2032</v>
      </c>
      <c r="AT86" s="288" t="s">
        <v>2032</v>
      </c>
      <c r="AU86" s="288" t="s">
        <v>2032</v>
      </c>
      <c r="AV86" s="288" t="s">
        <v>2032</v>
      </c>
      <c r="AW86" s="288" t="s">
        <v>2032</v>
      </c>
      <c r="AX86" s="288" t="s">
        <v>2032</v>
      </c>
      <c r="AY86" s="288" t="s">
        <v>2032</v>
      </c>
      <c r="AZ86" s="288" t="s">
        <v>2032</v>
      </c>
      <c r="BA86" s="288" t="s">
        <v>2032</v>
      </c>
      <c r="BB86" s="288" t="s">
        <v>2032</v>
      </c>
      <c r="BC86" s="288" t="s">
        <v>2032</v>
      </c>
      <c r="BD86" s="289">
        <f t="shared" si="0"/>
        <v>0</v>
      </c>
      <c r="BE86" s="287"/>
      <c r="BF86" s="272"/>
    </row>
    <row r="87" spans="1:58" ht="14.25" customHeight="1" x14ac:dyDescent="0.35">
      <c r="A87" s="68">
        <v>85</v>
      </c>
      <c r="B87" s="24" t="s">
        <v>1581</v>
      </c>
      <c r="C87" s="24">
        <v>2024</v>
      </c>
      <c r="D87" s="24" t="s">
        <v>1745</v>
      </c>
      <c r="E87" s="269" t="s">
        <v>1746</v>
      </c>
      <c r="F87" s="24" t="s">
        <v>1747</v>
      </c>
      <c r="G87" s="248" t="s">
        <v>45</v>
      </c>
      <c r="H87" s="248" t="s">
        <v>1642</v>
      </c>
      <c r="I87" s="248" t="s">
        <v>1590</v>
      </c>
      <c r="J87" s="248" t="s">
        <v>1643</v>
      </c>
      <c r="K87" s="248" t="s">
        <v>1593</v>
      </c>
      <c r="L87" s="272"/>
      <c r="M87" s="286" t="s">
        <v>1589</v>
      </c>
      <c r="N87" s="286" t="s">
        <v>1588</v>
      </c>
      <c r="O87" s="286" t="s">
        <v>1587</v>
      </c>
      <c r="P87" s="286" t="s">
        <v>1589</v>
      </c>
      <c r="Q87" s="286" t="s">
        <v>1587</v>
      </c>
      <c r="R87" s="286" t="s">
        <v>1589</v>
      </c>
      <c r="S87" s="286" t="s">
        <v>1587</v>
      </c>
      <c r="T87" s="286" t="s">
        <v>1589</v>
      </c>
      <c r="U87" s="286" t="s">
        <v>1588</v>
      </c>
      <c r="V87" s="286" t="s">
        <v>1587</v>
      </c>
      <c r="W87" s="286" t="s">
        <v>1587</v>
      </c>
      <c r="X87" s="286" t="s">
        <v>1587</v>
      </c>
      <c r="Y87" s="286" t="s">
        <v>1587</v>
      </c>
      <c r="Z87" s="286" t="s">
        <v>1588</v>
      </c>
      <c r="AA87" s="286" t="s">
        <v>1587</v>
      </c>
      <c r="AB87" s="286" t="s">
        <v>1589</v>
      </c>
      <c r="AC87" s="286" t="s">
        <v>1587</v>
      </c>
      <c r="AD87" s="286" t="s">
        <v>1587</v>
      </c>
      <c r="AE87" s="286" t="s">
        <v>1587</v>
      </c>
      <c r="AF87" s="286" t="s">
        <v>1589</v>
      </c>
      <c r="AG87" s="283">
        <v>12</v>
      </c>
      <c r="AH87" s="287" t="s">
        <v>23</v>
      </c>
      <c r="AI87" s="272"/>
      <c r="AJ87" s="288" t="s">
        <v>2032</v>
      </c>
      <c r="AK87" s="288" t="s">
        <v>2032</v>
      </c>
      <c r="AL87" s="288" t="s">
        <v>2032</v>
      </c>
      <c r="AM87" s="288" t="s">
        <v>2032</v>
      </c>
      <c r="AN87" s="288" t="s">
        <v>2032</v>
      </c>
      <c r="AO87" s="288" t="s">
        <v>2032</v>
      </c>
      <c r="AP87" s="288" t="s">
        <v>2032</v>
      </c>
      <c r="AQ87" s="288" t="s">
        <v>2032</v>
      </c>
      <c r="AR87" s="288" t="s">
        <v>2032</v>
      </c>
      <c r="AS87" s="288" t="s">
        <v>2032</v>
      </c>
      <c r="AT87" s="288" t="s">
        <v>2032</v>
      </c>
      <c r="AU87" s="288" t="s">
        <v>2032</v>
      </c>
      <c r="AV87" s="288" t="s">
        <v>2032</v>
      </c>
      <c r="AW87" s="288" t="s">
        <v>2032</v>
      </c>
      <c r="AX87" s="288" t="s">
        <v>2032</v>
      </c>
      <c r="AY87" s="288" t="s">
        <v>2032</v>
      </c>
      <c r="AZ87" s="288" t="s">
        <v>2032</v>
      </c>
      <c r="BA87" s="288" t="s">
        <v>2032</v>
      </c>
      <c r="BB87" s="288" t="s">
        <v>2032</v>
      </c>
      <c r="BC87" s="288" t="s">
        <v>2032</v>
      </c>
      <c r="BD87" s="289">
        <f t="shared" si="0"/>
        <v>0</v>
      </c>
      <c r="BE87" s="287"/>
      <c r="BF87" s="272"/>
    </row>
    <row r="88" spans="1:58" ht="14.25" customHeight="1" x14ac:dyDescent="0.35">
      <c r="A88" s="68">
        <v>86</v>
      </c>
      <c r="B88" s="24" t="s">
        <v>1581</v>
      </c>
      <c r="C88" s="24">
        <v>2024</v>
      </c>
      <c r="D88" s="24" t="s">
        <v>1745</v>
      </c>
      <c r="E88" s="269" t="s">
        <v>1746</v>
      </c>
      <c r="F88" s="24" t="s">
        <v>1747</v>
      </c>
      <c r="G88" s="248" t="s">
        <v>45</v>
      </c>
      <c r="H88" s="248" t="s">
        <v>1644</v>
      </c>
      <c r="I88" s="248" t="s">
        <v>1645</v>
      </c>
      <c r="J88" s="248" t="s">
        <v>1646</v>
      </c>
      <c r="K88" s="248" t="s">
        <v>1586</v>
      </c>
      <c r="L88" s="272"/>
      <c r="M88" s="286" t="s">
        <v>1589</v>
      </c>
      <c r="N88" s="286" t="s">
        <v>1589</v>
      </c>
      <c r="O88" s="286" t="s">
        <v>1587</v>
      </c>
      <c r="P88" s="286" t="s">
        <v>1589</v>
      </c>
      <c r="Q88" s="286" t="s">
        <v>1587</v>
      </c>
      <c r="R88" s="286" t="s">
        <v>1589</v>
      </c>
      <c r="S88" s="286" t="s">
        <v>1587</v>
      </c>
      <c r="T88" s="286" t="s">
        <v>1589</v>
      </c>
      <c r="U88" s="286" t="s">
        <v>1588</v>
      </c>
      <c r="V88" s="286" t="s">
        <v>1587</v>
      </c>
      <c r="W88" s="286" t="s">
        <v>1589</v>
      </c>
      <c r="X88" s="286" t="s">
        <v>1589</v>
      </c>
      <c r="Y88" s="286" t="s">
        <v>1589</v>
      </c>
      <c r="Z88" s="286" t="s">
        <v>1587</v>
      </c>
      <c r="AA88" s="286" t="s">
        <v>1588</v>
      </c>
      <c r="AB88" s="286" t="s">
        <v>1589</v>
      </c>
      <c r="AC88" s="286" t="s">
        <v>1588</v>
      </c>
      <c r="AD88" s="286" t="s">
        <v>1589</v>
      </c>
      <c r="AE88" s="286" t="s">
        <v>1587</v>
      </c>
      <c r="AF88" s="286" t="s">
        <v>1589</v>
      </c>
      <c r="AG88" s="283">
        <v>13</v>
      </c>
      <c r="AH88" s="287" t="s">
        <v>23</v>
      </c>
      <c r="AI88" s="272"/>
      <c r="AJ88" s="288" t="s">
        <v>2032</v>
      </c>
      <c r="AK88" s="288" t="s">
        <v>2032</v>
      </c>
      <c r="AL88" s="288" t="s">
        <v>2032</v>
      </c>
      <c r="AM88" s="288" t="s">
        <v>2032</v>
      </c>
      <c r="AN88" s="288" t="s">
        <v>2032</v>
      </c>
      <c r="AO88" s="288" t="s">
        <v>2032</v>
      </c>
      <c r="AP88" s="288" t="s">
        <v>2032</v>
      </c>
      <c r="AQ88" s="288" t="s">
        <v>2032</v>
      </c>
      <c r="AR88" s="288" t="s">
        <v>2032</v>
      </c>
      <c r="AS88" s="288" t="s">
        <v>2032</v>
      </c>
      <c r="AT88" s="288" t="s">
        <v>2032</v>
      </c>
      <c r="AU88" s="288" t="s">
        <v>2032</v>
      </c>
      <c r="AV88" s="288" t="s">
        <v>2032</v>
      </c>
      <c r="AW88" s="288" t="s">
        <v>2032</v>
      </c>
      <c r="AX88" s="288" t="s">
        <v>2032</v>
      </c>
      <c r="AY88" s="288" t="s">
        <v>2032</v>
      </c>
      <c r="AZ88" s="288" t="s">
        <v>2032</v>
      </c>
      <c r="BA88" s="288" t="s">
        <v>2032</v>
      </c>
      <c r="BB88" s="288" t="s">
        <v>2032</v>
      </c>
      <c r="BC88" s="288" t="s">
        <v>2032</v>
      </c>
      <c r="BD88" s="289">
        <f t="shared" si="0"/>
        <v>0</v>
      </c>
      <c r="BE88" s="287"/>
      <c r="BF88" s="272"/>
    </row>
    <row r="89" spans="1:58" ht="14.25" customHeight="1" x14ac:dyDescent="0.35">
      <c r="A89" s="68">
        <v>87</v>
      </c>
      <c r="B89" s="24" t="s">
        <v>1581</v>
      </c>
      <c r="C89" s="24">
        <v>2024</v>
      </c>
      <c r="D89" s="24" t="s">
        <v>1745</v>
      </c>
      <c r="E89" s="269" t="s">
        <v>1746</v>
      </c>
      <c r="F89" s="24" t="s">
        <v>1747</v>
      </c>
      <c r="G89" s="248" t="s">
        <v>45</v>
      </c>
      <c r="H89" s="248" t="s">
        <v>1647</v>
      </c>
      <c r="I89" s="248" t="s">
        <v>1648</v>
      </c>
      <c r="J89" s="248" t="s">
        <v>1649</v>
      </c>
      <c r="K89" s="248" t="s">
        <v>1593</v>
      </c>
      <c r="L89" s="272"/>
      <c r="M89" s="286"/>
      <c r="N89" s="286"/>
      <c r="O89" s="286"/>
      <c r="P89" s="286"/>
      <c r="Q89" s="286"/>
      <c r="R89" s="286"/>
      <c r="S89" s="286"/>
      <c r="T89" s="286"/>
      <c r="U89" s="286"/>
      <c r="V89" s="286"/>
      <c r="W89" s="286"/>
      <c r="X89" s="286"/>
      <c r="Y89" s="286"/>
      <c r="Z89" s="286"/>
      <c r="AA89" s="286"/>
      <c r="AB89" s="286"/>
      <c r="AC89" s="286"/>
      <c r="AD89" s="286"/>
      <c r="AE89" s="286"/>
      <c r="AF89" s="286"/>
      <c r="AG89" s="283">
        <v>0</v>
      </c>
      <c r="AH89" s="287" t="s">
        <v>1489</v>
      </c>
      <c r="AI89" s="272"/>
      <c r="AJ89" s="288" t="s">
        <v>2032</v>
      </c>
      <c r="AK89" s="288" t="s">
        <v>2032</v>
      </c>
      <c r="AL89" s="288" t="s">
        <v>2032</v>
      </c>
      <c r="AM89" s="288" t="s">
        <v>2032</v>
      </c>
      <c r="AN89" s="288" t="s">
        <v>2032</v>
      </c>
      <c r="AO89" s="288" t="s">
        <v>2032</v>
      </c>
      <c r="AP89" s="288" t="s">
        <v>2032</v>
      </c>
      <c r="AQ89" s="288" t="s">
        <v>2032</v>
      </c>
      <c r="AR89" s="288" t="s">
        <v>2032</v>
      </c>
      <c r="AS89" s="288" t="s">
        <v>2032</v>
      </c>
      <c r="AT89" s="288" t="s">
        <v>2032</v>
      </c>
      <c r="AU89" s="288" t="s">
        <v>2032</v>
      </c>
      <c r="AV89" s="288" t="s">
        <v>2032</v>
      </c>
      <c r="AW89" s="288" t="s">
        <v>2032</v>
      </c>
      <c r="AX89" s="288" t="s">
        <v>2032</v>
      </c>
      <c r="AY89" s="288" t="s">
        <v>2032</v>
      </c>
      <c r="AZ89" s="288" t="s">
        <v>2032</v>
      </c>
      <c r="BA89" s="288" t="s">
        <v>2032</v>
      </c>
      <c r="BB89" s="288" t="s">
        <v>2032</v>
      </c>
      <c r="BC89" s="288" t="s">
        <v>2032</v>
      </c>
      <c r="BD89" s="289">
        <f t="shared" si="0"/>
        <v>0</v>
      </c>
      <c r="BE89" s="287"/>
      <c r="BF89" s="272"/>
    </row>
    <row r="90" spans="1:58" ht="14.25" customHeight="1" x14ac:dyDescent="0.35">
      <c r="A90" s="68">
        <v>88</v>
      </c>
      <c r="B90" s="24" t="s">
        <v>1581</v>
      </c>
      <c r="C90" s="24">
        <v>2024</v>
      </c>
      <c r="D90" s="24" t="s">
        <v>1745</v>
      </c>
      <c r="E90" s="269" t="s">
        <v>1748</v>
      </c>
      <c r="F90" s="24" t="s">
        <v>1747</v>
      </c>
      <c r="G90" s="248" t="s">
        <v>16</v>
      </c>
      <c r="H90" s="248" t="s">
        <v>1650</v>
      </c>
      <c r="I90" s="248" t="s">
        <v>1651</v>
      </c>
      <c r="J90" s="248" t="s">
        <v>1652</v>
      </c>
      <c r="K90" s="248" t="s">
        <v>1586</v>
      </c>
      <c r="L90" s="272"/>
      <c r="M90" s="286" t="s">
        <v>1587</v>
      </c>
      <c r="N90" s="286" t="s">
        <v>1588</v>
      </c>
      <c r="O90" s="286" t="s">
        <v>1588</v>
      </c>
      <c r="P90" s="286" t="s">
        <v>1588</v>
      </c>
      <c r="Q90" s="286" t="s">
        <v>1587</v>
      </c>
      <c r="R90" s="286" t="s">
        <v>1588</v>
      </c>
      <c r="S90" s="286" t="s">
        <v>1587</v>
      </c>
      <c r="T90" s="286" t="s">
        <v>1589</v>
      </c>
      <c r="U90" s="286" t="s">
        <v>1587</v>
      </c>
      <c r="V90" s="286" t="s">
        <v>1587</v>
      </c>
      <c r="W90" s="286" t="s">
        <v>1617</v>
      </c>
      <c r="X90" s="286" t="s">
        <v>1617</v>
      </c>
      <c r="Y90" s="286" t="s">
        <v>1588</v>
      </c>
      <c r="Z90" s="286" t="s">
        <v>1588</v>
      </c>
      <c r="AA90" s="286" t="s">
        <v>1589</v>
      </c>
      <c r="AB90" s="286" t="s">
        <v>1588</v>
      </c>
      <c r="AC90" s="286" t="s">
        <v>1588</v>
      </c>
      <c r="AD90" s="286" t="s">
        <v>1587</v>
      </c>
      <c r="AE90" s="286" t="s">
        <v>1589</v>
      </c>
      <c r="AF90" s="286" t="s">
        <v>1589</v>
      </c>
      <c r="AG90" s="283">
        <v>10</v>
      </c>
      <c r="AH90" s="287" t="s">
        <v>19</v>
      </c>
      <c r="AI90" s="272"/>
      <c r="AJ90" s="288" t="s">
        <v>2032</v>
      </c>
      <c r="AK90" s="288" t="s">
        <v>2032</v>
      </c>
      <c r="AL90" s="288" t="s">
        <v>2032</v>
      </c>
      <c r="AM90" s="288" t="s">
        <v>2032</v>
      </c>
      <c r="AN90" s="288" t="s">
        <v>2032</v>
      </c>
      <c r="AO90" s="288" t="s">
        <v>2032</v>
      </c>
      <c r="AP90" s="288" t="s">
        <v>2032</v>
      </c>
      <c r="AQ90" s="288" t="s">
        <v>2032</v>
      </c>
      <c r="AR90" s="288" t="s">
        <v>2032</v>
      </c>
      <c r="AS90" s="288" t="s">
        <v>2032</v>
      </c>
      <c r="AT90" s="288" t="s">
        <v>2032</v>
      </c>
      <c r="AU90" s="288" t="s">
        <v>2032</v>
      </c>
      <c r="AV90" s="288" t="s">
        <v>2032</v>
      </c>
      <c r="AW90" s="288" t="s">
        <v>2032</v>
      </c>
      <c r="AX90" s="288" t="s">
        <v>2032</v>
      </c>
      <c r="AY90" s="288" t="s">
        <v>2032</v>
      </c>
      <c r="AZ90" s="288" t="s">
        <v>2032</v>
      </c>
      <c r="BA90" s="288" t="s">
        <v>2032</v>
      </c>
      <c r="BB90" s="288" t="s">
        <v>2032</v>
      </c>
      <c r="BC90" s="288" t="s">
        <v>2032</v>
      </c>
      <c r="BD90" s="289">
        <f t="shared" si="0"/>
        <v>0</v>
      </c>
      <c r="BE90" s="287"/>
      <c r="BF90" s="272"/>
    </row>
    <row r="91" spans="1:58" ht="14.25" customHeight="1" x14ac:dyDescent="0.35">
      <c r="A91" s="68">
        <v>89</v>
      </c>
      <c r="B91" s="24" t="s">
        <v>1581</v>
      </c>
      <c r="C91" s="24">
        <v>2024</v>
      </c>
      <c r="D91" s="24" t="s">
        <v>1745</v>
      </c>
      <c r="E91" s="269" t="s">
        <v>1748</v>
      </c>
      <c r="F91" s="24" t="s">
        <v>1747</v>
      </c>
      <c r="G91" s="248" t="s">
        <v>16</v>
      </c>
      <c r="H91" s="248" t="s">
        <v>1653</v>
      </c>
      <c r="I91" s="248" t="s">
        <v>1654</v>
      </c>
      <c r="J91" s="248" t="s">
        <v>1655</v>
      </c>
      <c r="K91" s="248" t="s">
        <v>1593</v>
      </c>
      <c r="L91" s="272"/>
      <c r="M91" s="286" t="s">
        <v>1587</v>
      </c>
      <c r="N91" s="286" t="s">
        <v>1588</v>
      </c>
      <c r="O91" s="286" t="s">
        <v>1588</v>
      </c>
      <c r="P91" s="286" t="s">
        <v>1588</v>
      </c>
      <c r="Q91" s="286" t="s">
        <v>1589</v>
      </c>
      <c r="R91" s="286" t="s">
        <v>1588</v>
      </c>
      <c r="S91" s="286" t="s">
        <v>1587</v>
      </c>
      <c r="T91" s="286" t="s">
        <v>1589</v>
      </c>
      <c r="U91" s="286" t="s">
        <v>1588</v>
      </c>
      <c r="V91" s="286" t="s">
        <v>1587</v>
      </c>
      <c r="W91" s="286" t="s">
        <v>1617</v>
      </c>
      <c r="X91" s="286" t="s">
        <v>1589</v>
      </c>
      <c r="Y91" s="286" t="s">
        <v>1588</v>
      </c>
      <c r="Z91" s="286" t="s">
        <v>1617</v>
      </c>
      <c r="AA91" s="286" t="s">
        <v>1587</v>
      </c>
      <c r="AB91" s="286" t="s">
        <v>1589</v>
      </c>
      <c r="AC91" s="286" t="s">
        <v>1617</v>
      </c>
      <c r="AD91" s="286" t="s">
        <v>1587</v>
      </c>
      <c r="AE91" s="286" t="s">
        <v>1589</v>
      </c>
      <c r="AF91" s="286" t="s">
        <v>1617</v>
      </c>
      <c r="AG91" s="283">
        <v>14</v>
      </c>
      <c r="AH91" s="287" t="s">
        <v>23</v>
      </c>
      <c r="AI91" s="272"/>
      <c r="AJ91" s="288" t="s">
        <v>2032</v>
      </c>
      <c r="AK91" s="288" t="s">
        <v>2032</v>
      </c>
      <c r="AL91" s="288" t="s">
        <v>2032</v>
      </c>
      <c r="AM91" s="288" t="s">
        <v>2032</v>
      </c>
      <c r="AN91" s="288" t="s">
        <v>2032</v>
      </c>
      <c r="AO91" s="288" t="s">
        <v>2032</v>
      </c>
      <c r="AP91" s="288" t="s">
        <v>2032</v>
      </c>
      <c r="AQ91" s="288" t="s">
        <v>2032</v>
      </c>
      <c r="AR91" s="288" t="s">
        <v>2032</v>
      </c>
      <c r="AS91" s="288" t="s">
        <v>2032</v>
      </c>
      <c r="AT91" s="288" t="s">
        <v>2032</v>
      </c>
      <c r="AU91" s="288" t="s">
        <v>2032</v>
      </c>
      <c r="AV91" s="288" t="s">
        <v>2032</v>
      </c>
      <c r="AW91" s="288" t="s">
        <v>2032</v>
      </c>
      <c r="AX91" s="288" t="s">
        <v>2032</v>
      </c>
      <c r="AY91" s="288" t="s">
        <v>2032</v>
      </c>
      <c r="AZ91" s="288" t="s">
        <v>2032</v>
      </c>
      <c r="BA91" s="288" t="s">
        <v>2032</v>
      </c>
      <c r="BB91" s="288" t="s">
        <v>2032</v>
      </c>
      <c r="BC91" s="288" t="s">
        <v>2032</v>
      </c>
      <c r="BD91" s="289">
        <f t="shared" si="0"/>
        <v>0</v>
      </c>
      <c r="BE91" s="287"/>
      <c r="BF91" s="272"/>
    </row>
    <row r="92" spans="1:58" ht="14.25" customHeight="1" x14ac:dyDescent="0.35">
      <c r="A92" s="68">
        <v>90</v>
      </c>
      <c r="B92" s="24" t="s">
        <v>1581</v>
      </c>
      <c r="C92" s="24">
        <v>2024</v>
      </c>
      <c r="D92" s="24" t="s">
        <v>1745</v>
      </c>
      <c r="E92" s="269" t="s">
        <v>1748</v>
      </c>
      <c r="F92" s="24" t="s">
        <v>1747</v>
      </c>
      <c r="G92" s="248" t="s">
        <v>16</v>
      </c>
      <c r="H92" s="248" t="s">
        <v>1656</v>
      </c>
      <c r="I92" s="248" t="s">
        <v>1657</v>
      </c>
      <c r="J92" s="248" t="s">
        <v>1658</v>
      </c>
      <c r="K92" s="248" t="s">
        <v>1593</v>
      </c>
      <c r="L92" s="272"/>
      <c r="M92" s="286" t="s">
        <v>1587</v>
      </c>
      <c r="N92" s="286" t="s">
        <v>1588</v>
      </c>
      <c r="O92" s="286" t="s">
        <v>1587</v>
      </c>
      <c r="P92" s="286" t="s">
        <v>1588</v>
      </c>
      <c r="Q92" s="286" t="s">
        <v>1588</v>
      </c>
      <c r="R92" s="286" t="s">
        <v>1589</v>
      </c>
      <c r="S92" s="286" t="s">
        <v>1587</v>
      </c>
      <c r="T92" s="286" t="s">
        <v>1587</v>
      </c>
      <c r="U92" s="286" t="s">
        <v>1589</v>
      </c>
      <c r="V92" s="286" t="s">
        <v>1617</v>
      </c>
      <c r="W92" s="286" t="s">
        <v>1587</v>
      </c>
      <c r="X92" s="286" t="s">
        <v>1588</v>
      </c>
      <c r="Y92" s="286" t="s">
        <v>1587</v>
      </c>
      <c r="Z92" s="286" t="s">
        <v>1587</v>
      </c>
      <c r="AA92" s="286" t="s">
        <v>1589</v>
      </c>
      <c r="AB92" s="286" t="s">
        <v>1617</v>
      </c>
      <c r="AC92" s="286" t="s">
        <v>1587</v>
      </c>
      <c r="AD92" s="286" t="s">
        <v>1589</v>
      </c>
      <c r="AE92" s="286" t="s">
        <v>1617</v>
      </c>
      <c r="AF92" s="286" t="s">
        <v>1587</v>
      </c>
      <c r="AG92" s="283">
        <v>5</v>
      </c>
      <c r="AH92" s="287" t="s">
        <v>19</v>
      </c>
      <c r="AI92" s="272"/>
      <c r="AJ92" s="288" t="s">
        <v>2032</v>
      </c>
      <c r="AK92" s="288" t="s">
        <v>2032</v>
      </c>
      <c r="AL92" s="288" t="s">
        <v>2032</v>
      </c>
      <c r="AM92" s="288" t="s">
        <v>2032</v>
      </c>
      <c r="AN92" s="288" t="s">
        <v>2032</v>
      </c>
      <c r="AO92" s="288" t="s">
        <v>2032</v>
      </c>
      <c r="AP92" s="288" t="s">
        <v>2032</v>
      </c>
      <c r="AQ92" s="288" t="s">
        <v>2032</v>
      </c>
      <c r="AR92" s="288" t="s">
        <v>2032</v>
      </c>
      <c r="AS92" s="288" t="s">
        <v>2032</v>
      </c>
      <c r="AT92" s="288" t="s">
        <v>2032</v>
      </c>
      <c r="AU92" s="288" t="s">
        <v>2032</v>
      </c>
      <c r="AV92" s="288" t="s">
        <v>2032</v>
      </c>
      <c r="AW92" s="288" t="s">
        <v>2032</v>
      </c>
      <c r="AX92" s="288" t="s">
        <v>2032</v>
      </c>
      <c r="AY92" s="288" t="s">
        <v>2032</v>
      </c>
      <c r="AZ92" s="288" t="s">
        <v>2032</v>
      </c>
      <c r="BA92" s="288" t="s">
        <v>2032</v>
      </c>
      <c r="BB92" s="288" t="s">
        <v>2032</v>
      </c>
      <c r="BC92" s="288" t="s">
        <v>2032</v>
      </c>
      <c r="BD92" s="289">
        <f t="shared" si="0"/>
        <v>0</v>
      </c>
      <c r="BE92" s="287"/>
      <c r="BF92" s="272"/>
    </row>
    <row r="93" spans="1:58" ht="14.25" customHeight="1" x14ac:dyDescent="0.35">
      <c r="A93" s="68">
        <v>91</v>
      </c>
      <c r="B93" s="24" t="s">
        <v>1581</v>
      </c>
      <c r="C93" s="24">
        <v>2024</v>
      </c>
      <c r="D93" s="24" t="s">
        <v>1745</v>
      </c>
      <c r="E93" s="269" t="s">
        <v>1748</v>
      </c>
      <c r="F93" s="24" t="s">
        <v>1747</v>
      </c>
      <c r="G93" s="248" t="s">
        <v>16</v>
      </c>
      <c r="H93" s="248" t="s">
        <v>1595</v>
      </c>
      <c r="I93" s="248" t="s">
        <v>1659</v>
      </c>
      <c r="J93" s="248" t="s">
        <v>1660</v>
      </c>
      <c r="K93" s="248" t="s">
        <v>1586</v>
      </c>
      <c r="L93" s="272"/>
      <c r="M93" s="286" t="s">
        <v>1587</v>
      </c>
      <c r="N93" s="286" t="s">
        <v>1588</v>
      </c>
      <c r="O93" s="286" t="s">
        <v>1588</v>
      </c>
      <c r="P93" s="286" t="s">
        <v>1588</v>
      </c>
      <c r="Q93" s="286" t="s">
        <v>1587</v>
      </c>
      <c r="R93" s="286" t="s">
        <v>1588</v>
      </c>
      <c r="S93" s="286" t="s">
        <v>1587</v>
      </c>
      <c r="T93" s="286" t="s">
        <v>1589</v>
      </c>
      <c r="U93" s="286" t="s">
        <v>1588</v>
      </c>
      <c r="V93" s="286" t="s">
        <v>1587</v>
      </c>
      <c r="W93" s="286" t="s">
        <v>1589</v>
      </c>
      <c r="X93" s="286" t="s">
        <v>1617</v>
      </c>
      <c r="Y93" s="286" t="s">
        <v>1588</v>
      </c>
      <c r="Z93" s="286" t="s">
        <v>1589</v>
      </c>
      <c r="AA93" s="286" t="s">
        <v>1587</v>
      </c>
      <c r="AB93" s="286" t="s">
        <v>1589</v>
      </c>
      <c r="AC93" s="286" t="s">
        <v>1617</v>
      </c>
      <c r="AD93" s="286" t="s">
        <v>1587</v>
      </c>
      <c r="AE93" s="286" t="s">
        <v>1588</v>
      </c>
      <c r="AF93" s="286" t="s">
        <v>1617</v>
      </c>
      <c r="AG93" s="283">
        <v>15</v>
      </c>
      <c r="AH93" s="287" t="s">
        <v>23</v>
      </c>
      <c r="AI93" s="272"/>
      <c r="AJ93" s="288" t="s">
        <v>2032</v>
      </c>
      <c r="AK93" s="288" t="s">
        <v>2032</v>
      </c>
      <c r="AL93" s="288" t="s">
        <v>2032</v>
      </c>
      <c r="AM93" s="288" t="s">
        <v>2032</v>
      </c>
      <c r="AN93" s="288" t="s">
        <v>2032</v>
      </c>
      <c r="AO93" s="288" t="s">
        <v>2032</v>
      </c>
      <c r="AP93" s="288" t="s">
        <v>2032</v>
      </c>
      <c r="AQ93" s="288" t="s">
        <v>2032</v>
      </c>
      <c r="AR93" s="288" t="s">
        <v>2032</v>
      </c>
      <c r="AS93" s="288" t="s">
        <v>2032</v>
      </c>
      <c r="AT93" s="288" t="s">
        <v>2032</v>
      </c>
      <c r="AU93" s="288" t="s">
        <v>2032</v>
      </c>
      <c r="AV93" s="288" t="s">
        <v>2032</v>
      </c>
      <c r="AW93" s="288" t="s">
        <v>2032</v>
      </c>
      <c r="AX93" s="288" t="s">
        <v>2032</v>
      </c>
      <c r="AY93" s="288" t="s">
        <v>2032</v>
      </c>
      <c r="AZ93" s="288" t="s">
        <v>2032</v>
      </c>
      <c r="BA93" s="288" t="s">
        <v>2032</v>
      </c>
      <c r="BB93" s="288" t="s">
        <v>2032</v>
      </c>
      <c r="BC93" s="288" t="s">
        <v>2032</v>
      </c>
      <c r="BD93" s="289">
        <f t="shared" si="0"/>
        <v>0</v>
      </c>
      <c r="BE93" s="287"/>
      <c r="BF93" s="272"/>
    </row>
    <row r="94" spans="1:58" ht="14.25" customHeight="1" x14ac:dyDescent="0.35">
      <c r="A94" s="68">
        <v>92</v>
      </c>
      <c r="B94" s="24" t="s">
        <v>1581</v>
      </c>
      <c r="C94" s="24">
        <v>2024</v>
      </c>
      <c r="D94" s="24" t="s">
        <v>1745</v>
      </c>
      <c r="E94" s="269" t="s">
        <v>1748</v>
      </c>
      <c r="F94" s="24" t="s">
        <v>1747</v>
      </c>
      <c r="G94" s="248" t="s">
        <v>16</v>
      </c>
      <c r="H94" s="248" t="s">
        <v>1661</v>
      </c>
      <c r="I94" s="248" t="s">
        <v>1662</v>
      </c>
      <c r="J94" s="248" t="s">
        <v>1663</v>
      </c>
      <c r="K94" s="248" t="s">
        <v>1593</v>
      </c>
      <c r="L94" s="272"/>
      <c r="M94" s="286" t="s">
        <v>1587</v>
      </c>
      <c r="N94" s="286" t="s">
        <v>1588</v>
      </c>
      <c r="O94" s="286" t="s">
        <v>1587</v>
      </c>
      <c r="P94" s="286" t="s">
        <v>1588</v>
      </c>
      <c r="Q94" s="286" t="s">
        <v>1589</v>
      </c>
      <c r="R94" s="286" t="s">
        <v>1588</v>
      </c>
      <c r="S94" s="286" t="s">
        <v>1587</v>
      </c>
      <c r="T94" s="286" t="s">
        <v>1589</v>
      </c>
      <c r="U94" s="286" t="s">
        <v>1588</v>
      </c>
      <c r="V94" s="286" t="s">
        <v>1587</v>
      </c>
      <c r="W94" s="286" t="s">
        <v>1589</v>
      </c>
      <c r="X94" s="286" t="s">
        <v>1589</v>
      </c>
      <c r="Y94" s="286" t="s">
        <v>1589</v>
      </c>
      <c r="Z94" s="286" t="s">
        <v>1587</v>
      </c>
      <c r="AA94" s="286" t="s">
        <v>1587</v>
      </c>
      <c r="AB94" s="286" t="s">
        <v>1588</v>
      </c>
      <c r="AC94" s="286" t="s">
        <v>1587</v>
      </c>
      <c r="AD94" s="286" t="s">
        <v>1589</v>
      </c>
      <c r="AE94" s="286" t="s">
        <v>1587</v>
      </c>
      <c r="AF94" s="286" t="s">
        <v>1587</v>
      </c>
      <c r="AG94" s="283">
        <v>10</v>
      </c>
      <c r="AH94" s="287" t="s">
        <v>19</v>
      </c>
      <c r="AI94" s="272"/>
      <c r="AJ94" s="288" t="s">
        <v>2032</v>
      </c>
      <c r="AK94" s="288" t="s">
        <v>2032</v>
      </c>
      <c r="AL94" s="288" t="s">
        <v>2032</v>
      </c>
      <c r="AM94" s="288" t="s">
        <v>2032</v>
      </c>
      <c r="AN94" s="288" t="s">
        <v>2032</v>
      </c>
      <c r="AO94" s="288" t="s">
        <v>2032</v>
      </c>
      <c r="AP94" s="288" t="s">
        <v>2032</v>
      </c>
      <c r="AQ94" s="288" t="s">
        <v>2032</v>
      </c>
      <c r="AR94" s="288" t="s">
        <v>2032</v>
      </c>
      <c r="AS94" s="288" t="s">
        <v>2032</v>
      </c>
      <c r="AT94" s="288" t="s">
        <v>2032</v>
      </c>
      <c r="AU94" s="288" t="s">
        <v>2032</v>
      </c>
      <c r="AV94" s="288" t="s">
        <v>2032</v>
      </c>
      <c r="AW94" s="288" t="s">
        <v>2032</v>
      </c>
      <c r="AX94" s="288" t="s">
        <v>2032</v>
      </c>
      <c r="AY94" s="288" t="s">
        <v>2032</v>
      </c>
      <c r="AZ94" s="288" t="s">
        <v>2032</v>
      </c>
      <c r="BA94" s="288" t="s">
        <v>2032</v>
      </c>
      <c r="BB94" s="288" t="s">
        <v>2032</v>
      </c>
      <c r="BC94" s="288" t="s">
        <v>2032</v>
      </c>
      <c r="BD94" s="289">
        <f t="shared" si="0"/>
        <v>0</v>
      </c>
      <c r="BE94" s="287"/>
      <c r="BF94" s="272"/>
    </row>
    <row r="95" spans="1:58" ht="14.25" customHeight="1" x14ac:dyDescent="0.35">
      <c r="A95" s="68">
        <v>93</v>
      </c>
      <c r="B95" s="24" t="s">
        <v>1581</v>
      </c>
      <c r="C95" s="24">
        <v>2024</v>
      </c>
      <c r="D95" s="24" t="s">
        <v>1745</v>
      </c>
      <c r="E95" s="269" t="s">
        <v>1748</v>
      </c>
      <c r="F95" s="24" t="s">
        <v>1747</v>
      </c>
      <c r="G95" s="248" t="s">
        <v>16</v>
      </c>
      <c r="H95" s="248" t="s">
        <v>1644</v>
      </c>
      <c r="I95" s="248" t="s">
        <v>1647</v>
      </c>
      <c r="J95" s="248" t="s">
        <v>1664</v>
      </c>
      <c r="K95" s="248" t="s">
        <v>1586</v>
      </c>
      <c r="L95" s="272"/>
      <c r="M95" s="286" t="s">
        <v>1587</v>
      </c>
      <c r="N95" s="286" t="s">
        <v>1587</v>
      </c>
      <c r="O95" s="286" t="s">
        <v>1587</v>
      </c>
      <c r="P95" s="286" t="s">
        <v>1587</v>
      </c>
      <c r="Q95" s="286" t="s">
        <v>1588</v>
      </c>
      <c r="R95" s="286" t="s">
        <v>1617</v>
      </c>
      <c r="S95" s="286" t="s">
        <v>1587</v>
      </c>
      <c r="T95" s="286" t="s">
        <v>1589</v>
      </c>
      <c r="U95" s="286" t="s">
        <v>1588</v>
      </c>
      <c r="V95" s="286" t="s">
        <v>1587</v>
      </c>
      <c r="W95" s="286" t="s">
        <v>1589</v>
      </c>
      <c r="X95" s="286" t="s">
        <v>1589</v>
      </c>
      <c r="Y95" s="286" t="s">
        <v>1589</v>
      </c>
      <c r="Z95" s="286" t="s">
        <v>1589</v>
      </c>
      <c r="AA95" s="286" t="s">
        <v>1587</v>
      </c>
      <c r="AB95" s="286" t="s">
        <v>1589</v>
      </c>
      <c r="AC95" s="286" t="s">
        <v>1617</v>
      </c>
      <c r="AD95" s="286" t="s">
        <v>1617</v>
      </c>
      <c r="AE95" s="286" t="s">
        <v>1589</v>
      </c>
      <c r="AF95" s="286" t="s">
        <v>1617</v>
      </c>
      <c r="AG95" s="283">
        <v>12</v>
      </c>
      <c r="AH95" s="287" t="s">
        <v>23</v>
      </c>
      <c r="AI95" s="272"/>
      <c r="AJ95" s="288" t="s">
        <v>2032</v>
      </c>
      <c r="AK95" s="288" t="s">
        <v>2032</v>
      </c>
      <c r="AL95" s="288" t="s">
        <v>2032</v>
      </c>
      <c r="AM95" s="288" t="s">
        <v>2032</v>
      </c>
      <c r="AN95" s="288" t="s">
        <v>2032</v>
      </c>
      <c r="AO95" s="288" t="s">
        <v>2032</v>
      </c>
      <c r="AP95" s="288" t="s">
        <v>2032</v>
      </c>
      <c r="AQ95" s="288" t="s">
        <v>2032</v>
      </c>
      <c r="AR95" s="288" t="s">
        <v>2032</v>
      </c>
      <c r="AS95" s="288" t="s">
        <v>2032</v>
      </c>
      <c r="AT95" s="288" t="s">
        <v>2032</v>
      </c>
      <c r="AU95" s="288" t="s">
        <v>2032</v>
      </c>
      <c r="AV95" s="288" t="s">
        <v>2032</v>
      </c>
      <c r="AW95" s="288" t="s">
        <v>2032</v>
      </c>
      <c r="AX95" s="288" t="s">
        <v>2032</v>
      </c>
      <c r="AY95" s="288" t="s">
        <v>2032</v>
      </c>
      <c r="AZ95" s="288" t="s">
        <v>2032</v>
      </c>
      <c r="BA95" s="288" t="s">
        <v>2032</v>
      </c>
      <c r="BB95" s="288" t="s">
        <v>2032</v>
      </c>
      <c r="BC95" s="288" t="s">
        <v>2032</v>
      </c>
      <c r="BD95" s="289">
        <f t="shared" si="0"/>
        <v>0</v>
      </c>
      <c r="BE95" s="287"/>
      <c r="BF95" s="272"/>
    </row>
    <row r="96" spans="1:58" ht="14.25" customHeight="1" x14ac:dyDescent="0.35">
      <c r="A96" s="68">
        <v>94</v>
      </c>
      <c r="B96" s="24" t="s">
        <v>1581</v>
      </c>
      <c r="C96" s="24">
        <v>2024</v>
      </c>
      <c r="D96" s="24" t="s">
        <v>1745</v>
      </c>
      <c r="E96" s="269" t="s">
        <v>1748</v>
      </c>
      <c r="F96" s="24" t="s">
        <v>1747</v>
      </c>
      <c r="G96" s="248" t="s">
        <v>16</v>
      </c>
      <c r="H96" s="248" t="s">
        <v>1604</v>
      </c>
      <c r="I96" s="248" t="s">
        <v>1665</v>
      </c>
      <c r="J96" s="248" t="s">
        <v>1666</v>
      </c>
      <c r="K96" s="248" t="s">
        <v>1593</v>
      </c>
      <c r="L96" s="272"/>
      <c r="M96" s="286" t="s">
        <v>1587</v>
      </c>
      <c r="N96" s="286" t="s">
        <v>1588</v>
      </c>
      <c r="O96" s="286" t="s">
        <v>1588</v>
      </c>
      <c r="P96" s="286" t="s">
        <v>1588</v>
      </c>
      <c r="Q96" s="286" t="s">
        <v>1589</v>
      </c>
      <c r="R96" s="286" t="s">
        <v>1588</v>
      </c>
      <c r="S96" s="286" t="s">
        <v>1587</v>
      </c>
      <c r="T96" s="286" t="s">
        <v>1589</v>
      </c>
      <c r="U96" s="286" t="s">
        <v>1588</v>
      </c>
      <c r="V96" s="286" t="s">
        <v>1587</v>
      </c>
      <c r="W96" s="286" t="s">
        <v>1589</v>
      </c>
      <c r="X96" s="286" t="s">
        <v>1617</v>
      </c>
      <c r="Y96" s="286" t="s">
        <v>1588</v>
      </c>
      <c r="Z96" s="286" t="s">
        <v>1589</v>
      </c>
      <c r="AA96" s="286" t="s">
        <v>1587</v>
      </c>
      <c r="AB96" s="286" t="s">
        <v>1589</v>
      </c>
      <c r="AC96" s="286" t="s">
        <v>1588</v>
      </c>
      <c r="AD96" s="286" t="s">
        <v>1587</v>
      </c>
      <c r="AE96" s="286" t="s">
        <v>1587</v>
      </c>
      <c r="AF96" s="286" t="s">
        <v>1617</v>
      </c>
      <c r="AG96" s="283">
        <v>16</v>
      </c>
      <c r="AH96" s="287" t="s">
        <v>23</v>
      </c>
      <c r="AI96" s="272"/>
      <c r="AJ96" s="288" t="s">
        <v>2032</v>
      </c>
      <c r="AK96" s="288" t="s">
        <v>2032</v>
      </c>
      <c r="AL96" s="288" t="s">
        <v>2032</v>
      </c>
      <c r="AM96" s="288" t="s">
        <v>2032</v>
      </c>
      <c r="AN96" s="288" t="s">
        <v>2032</v>
      </c>
      <c r="AO96" s="288" t="s">
        <v>2032</v>
      </c>
      <c r="AP96" s="288" t="s">
        <v>2032</v>
      </c>
      <c r="AQ96" s="288" t="s">
        <v>2032</v>
      </c>
      <c r="AR96" s="288" t="s">
        <v>2032</v>
      </c>
      <c r="AS96" s="288" t="s">
        <v>2032</v>
      </c>
      <c r="AT96" s="288" t="s">
        <v>2032</v>
      </c>
      <c r="AU96" s="288" t="s">
        <v>2032</v>
      </c>
      <c r="AV96" s="288" t="s">
        <v>2032</v>
      </c>
      <c r="AW96" s="288" t="s">
        <v>2032</v>
      </c>
      <c r="AX96" s="288" t="s">
        <v>2032</v>
      </c>
      <c r="AY96" s="288" t="s">
        <v>2032</v>
      </c>
      <c r="AZ96" s="288" t="s">
        <v>2032</v>
      </c>
      <c r="BA96" s="288" t="s">
        <v>2032</v>
      </c>
      <c r="BB96" s="288" t="s">
        <v>2032</v>
      </c>
      <c r="BC96" s="288" t="s">
        <v>2032</v>
      </c>
      <c r="BD96" s="289">
        <f t="shared" si="0"/>
        <v>0</v>
      </c>
      <c r="BE96" s="287"/>
      <c r="BF96" s="272"/>
    </row>
    <row r="97" spans="1:58" ht="14.25" customHeight="1" x14ac:dyDescent="0.35">
      <c r="A97" s="68">
        <v>95</v>
      </c>
      <c r="B97" s="24" t="s">
        <v>1581</v>
      </c>
      <c r="C97" s="24">
        <v>2024</v>
      </c>
      <c r="D97" s="24" t="s">
        <v>1745</v>
      </c>
      <c r="E97" s="269" t="s">
        <v>1748</v>
      </c>
      <c r="F97" s="24" t="s">
        <v>1747</v>
      </c>
      <c r="G97" s="248" t="s">
        <v>16</v>
      </c>
      <c r="H97" s="248" t="s">
        <v>1631</v>
      </c>
      <c r="I97" s="248" t="s">
        <v>1667</v>
      </c>
      <c r="J97" s="248" t="s">
        <v>1668</v>
      </c>
      <c r="K97" s="248" t="s">
        <v>1593</v>
      </c>
      <c r="L97" s="272"/>
      <c r="M97" s="286" t="s">
        <v>1589</v>
      </c>
      <c r="N97" s="286" t="s">
        <v>1588</v>
      </c>
      <c r="O97" s="286" t="s">
        <v>1617</v>
      </c>
      <c r="P97" s="286" t="s">
        <v>1617</v>
      </c>
      <c r="Q97" s="286" t="s">
        <v>1587</v>
      </c>
      <c r="R97" s="286" t="s">
        <v>1589</v>
      </c>
      <c r="S97" s="286" t="s">
        <v>1587</v>
      </c>
      <c r="T97" s="286" t="s">
        <v>1589</v>
      </c>
      <c r="U97" s="286" t="s">
        <v>1617</v>
      </c>
      <c r="V97" s="286" t="s">
        <v>1588</v>
      </c>
      <c r="W97" s="286" t="s">
        <v>1589</v>
      </c>
      <c r="X97" s="286" t="s">
        <v>1587</v>
      </c>
      <c r="Y97" s="286" t="s">
        <v>1587</v>
      </c>
      <c r="Z97" s="286" t="s">
        <v>1589</v>
      </c>
      <c r="AA97" s="286" t="s">
        <v>1589</v>
      </c>
      <c r="AB97" s="286" t="s">
        <v>1588</v>
      </c>
      <c r="AC97" s="286"/>
      <c r="AD97" s="286"/>
      <c r="AE97" s="286"/>
      <c r="AF97" s="286" t="s">
        <v>1588</v>
      </c>
      <c r="AG97" s="283">
        <v>5</v>
      </c>
      <c r="AH97" s="287" t="s">
        <v>19</v>
      </c>
      <c r="AI97" s="272"/>
      <c r="AJ97" s="288" t="s">
        <v>2032</v>
      </c>
      <c r="AK97" s="288" t="s">
        <v>2032</v>
      </c>
      <c r="AL97" s="288" t="s">
        <v>2032</v>
      </c>
      <c r="AM97" s="288" t="s">
        <v>2032</v>
      </c>
      <c r="AN97" s="288" t="s">
        <v>2032</v>
      </c>
      <c r="AO97" s="288" t="s">
        <v>2032</v>
      </c>
      <c r="AP97" s="288" t="s">
        <v>2032</v>
      </c>
      <c r="AQ97" s="288" t="s">
        <v>2032</v>
      </c>
      <c r="AR97" s="288" t="s">
        <v>2032</v>
      </c>
      <c r="AS97" s="288" t="s">
        <v>2032</v>
      </c>
      <c r="AT97" s="288" t="s">
        <v>2032</v>
      </c>
      <c r="AU97" s="288" t="s">
        <v>2032</v>
      </c>
      <c r="AV97" s="288" t="s">
        <v>2032</v>
      </c>
      <c r="AW97" s="288" t="s">
        <v>2032</v>
      </c>
      <c r="AX97" s="288" t="s">
        <v>2032</v>
      </c>
      <c r="AY97" s="288" t="s">
        <v>2032</v>
      </c>
      <c r="AZ97" s="288" t="s">
        <v>2032</v>
      </c>
      <c r="BA97" s="288" t="s">
        <v>2032</v>
      </c>
      <c r="BB97" s="288" t="s">
        <v>2032</v>
      </c>
      <c r="BC97" s="288" t="s">
        <v>2032</v>
      </c>
      <c r="BD97" s="289">
        <f t="shared" si="0"/>
        <v>0</v>
      </c>
      <c r="BE97" s="287"/>
      <c r="BF97" s="272"/>
    </row>
    <row r="98" spans="1:58" ht="14.25" customHeight="1" x14ac:dyDescent="0.35">
      <c r="A98" s="68">
        <v>96</v>
      </c>
      <c r="B98" s="24" t="s">
        <v>1581</v>
      </c>
      <c r="C98" s="24">
        <v>2024</v>
      </c>
      <c r="D98" s="24" t="s">
        <v>1745</v>
      </c>
      <c r="E98" s="269" t="s">
        <v>1748</v>
      </c>
      <c r="F98" s="24" t="s">
        <v>1747</v>
      </c>
      <c r="G98" s="248" t="s">
        <v>16</v>
      </c>
      <c r="H98" s="248" t="s">
        <v>1669</v>
      </c>
      <c r="I98" s="248" t="s">
        <v>1670</v>
      </c>
      <c r="J98" s="248" t="s">
        <v>1671</v>
      </c>
      <c r="K98" s="248" t="s">
        <v>1586</v>
      </c>
      <c r="L98" s="272"/>
      <c r="M98" s="286" t="s">
        <v>1587</v>
      </c>
      <c r="N98" s="286" t="s">
        <v>1617</v>
      </c>
      <c r="O98" s="286" t="s">
        <v>1588</v>
      </c>
      <c r="P98" s="286" t="s">
        <v>1587</v>
      </c>
      <c r="Q98" s="286" t="s">
        <v>1589</v>
      </c>
      <c r="R98" s="286" t="s">
        <v>1588</v>
      </c>
      <c r="S98" s="286" t="s">
        <v>1587</v>
      </c>
      <c r="T98" s="286" t="s">
        <v>1589</v>
      </c>
      <c r="U98" s="286" t="s">
        <v>1617</v>
      </c>
      <c r="V98" s="286" t="s">
        <v>1587</v>
      </c>
      <c r="W98" s="286" t="s">
        <v>1617</v>
      </c>
      <c r="X98" s="286" t="s">
        <v>1587</v>
      </c>
      <c r="Y98" s="286" t="s">
        <v>1589</v>
      </c>
      <c r="Z98" s="286" t="s">
        <v>1617</v>
      </c>
      <c r="AA98" s="286" t="s">
        <v>1588</v>
      </c>
      <c r="AB98" s="286" t="s">
        <v>1588</v>
      </c>
      <c r="AC98" s="286" t="s">
        <v>1588</v>
      </c>
      <c r="AD98" s="286" t="s">
        <v>1589</v>
      </c>
      <c r="AE98" s="286" t="s">
        <v>1587</v>
      </c>
      <c r="AF98" s="286" t="s">
        <v>1617</v>
      </c>
      <c r="AG98" s="283">
        <v>7</v>
      </c>
      <c r="AH98" s="287" t="s">
        <v>19</v>
      </c>
      <c r="AI98" s="272"/>
      <c r="AJ98" s="288" t="s">
        <v>2032</v>
      </c>
      <c r="AK98" s="288" t="s">
        <v>2032</v>
      </c>
      <c r="AL98" s="288" t="s">
        <v>2032</v>
      </c>
      <c r="AM98" s="288" t="s">
        <v>2032</v>
      </c>
      <c r="AN98" s="288" t="s">
        <v>2032</v>
      </c>
      <c r="AO98" s="288" t="s">
        <v>2032</v>
      </c>
      <c r="AP98" s="288" t="s">
        <v>2032</v>
      </c>
      <c r="AQ98" s="288" t="s">
        <v>2032</v>
      </c>
      <c r="AR98" s="288" t="s">
        <v>2032</v>
      </c>
      <c r="AS98" s="288" t="s">
        <v>2032</v>
      </c>
      <c r="AT98" s="288" t="s">
        <v>2032</v>
      </c>
      <c r="AU98" s="288" t="s">
        <v>2032</v>
      </c>
      <c r="AV98" s="288" t="s">
        <v>2032</v>
      </c>
      <c r="AW98" s="288" t="s">
        <v>2032</v>
      </c>
      <c r="AX98" s="288" t="s">
        <v>2032</v>
      </c>
      <c r="AY98" s="288" t="s">
        <v>2032</v>
      </c>
      <c r="AZ98" s="288" t="s">
        <v>2032</v>
      </c>
      <c r="BA98" s="288" t="s">
        <v>2032</v>
      </c>
      <c r="BB98" s="288" t="s">
        <v>2032</v>
      </c>
      <c r="BC98" s="288" t="s">
        <v>2032</v>
      </c>
      <c r="BD98" s="289">
        <f t="shared" si="0"/>
        <v>0</v>
      </c>
      <c r="BE98" s="287"/>
      <c r="BF98" s="272"/>
    </row>
    <row r="99" spans="1:58" ht="14.25" customHeight="1" x14ac:dyDescent="0.35">
      <c r="A99" s="68">
        <v>97</v>
      </c>
      <c r="B99" s="24" t="s">
        <v>1581</v>
      </c>
      <c r="C99" s="24">
        <v>2024</v>
      </c>
      <c r="D99" s="24" t="s">
        <v>1745</v>
      </c>
      <c r="E99" s="269" t="s">
        <v>1748</v>
      </c>
      <c r="F99" s="24" t="s">
        <v>1747</v>
      </c>
      <c r="G99" s="248" t="s">
        <v>16</v>
      </c>
      <c r="H99" s="248" t="s">
        <v>1672</v>
      </c>
      <c r="I99" s="248" t="s">
        <v>1656</v>
      </c>
      <c r="J99" s="248" t="s">
        <v>1673</v>
      </c>
      <c r="K99" s="248" t="s">
        <v>1586</v>
      </c>
      <c r="L99" s="272"/>
      <c r="M99" s="286" t="s">
        <v>1587</v>
      </c>
      <c r="N99" s="286" t="s">
        <v>1588</v>
      </c>
      <c r="O99" s="286" t="s">
        <v>1588</v>
      </c>
      <c r="P99" s="286" t="s">
        <v>1588</v>
      </c>
      <c r="Q99" s="286" t="s">
        <v>1587</v>
      </c>
      <c r="R99" s="286" t="s">
        <v>1588</v>
      </c>
      <c r="S99" s="286" t="s">
        <v>1588</v>
      </c>
      <c r="T99" s="286" t="s">
        <v>1589</v>
      </c>
      <c r="U99" s="286" t="s">
        <v>1588</v>
      </c>
      <c r="V99" s="286" t="s">
        <v>1587</v>
      </c>
      <c r="W99" s="286" t="s">
        <v>1588</v>
      </c>
      <c r="X99" s="286" t="s">
        <v>1588</v>
      </c>
      <c r="Y99" s="286" t="s">
        <v>1588</v>
      </c>
      <c r="Z99" s="286" t="s">
        <v>1588</v>
      </c>
      <c r="AA99" s="286" t="s">
        <v>1588</v>
      </c>
      <c r="AB99" s="286" t="s">
        <v>1587</v>
      </c>
      <c r="AC99" s="286" t="s">
        <v>1588</v>
      </c>
      <c r="AD99" s="286" t="s">
        <v>1617</v>
      </c>
      <c r="AE99" s="286" t="s">
        <v>1589</v>
      </c>
      <c r="AF99" s="286" t="s">
        <v>1588</v>
      </c>
      <c r="AG99" s="283">
        <v>9</v>
      </c>
      <c r="AH99" s="287" t="s">
        <v>19</v>
      </c>
      <c r="AI99" s="272"/>
      <c r="AJ99" s="288" t="s">
        <v>2032</v>
      </c>
      <c r="AK99" s="288" t="s">
        <v>2032</v>
      </c>
      <c r="AL99" s="288" t="s">
        <v>2032</v>
      </c>
      <c r="AM99" s="288" t="s">
        <v>2032</v>
      </c>
      <c r="AN99" s="288" t="s">
        <v>2032</v>
      </c>
      <c r="AO99" s="288" t="s">
        <v>2032</v>
      </c>
      <c r="AP99" s="288" t="s">
        <v>2032</v>
      </c>
      <c r="AQ99" s="288" t="s">
        <v>2032</v>
      </c>
      <c r="AR99" s="288" t="s">
        <v>2032</v>
      </c>
      <c r="AS99" s="288" t="s">
        <v>2032</v>
      </c>
      <c r="AT99" s="288" t="s">
        <v>2032</v>
      </c>
      <c r="AU99" s="288" t="s">
        <v>2032</v>
      </c>
      <c r="AV99" s="288" t="s">
        <v>2032</v>
      </c>
      <c r="AW99" s="288" t="s">
        <v>2032</v>
      </c>
      <c r="AX99" s="288" t="s">
        <v>2032</v>
      </c>
      <c r="AY99" s="288" t="s">
        <v>2032</v>
      </c>
      <c r="AZ99" s="288" t="s">
        <v>2032</v>
      </c>
      <c r="BA99" s="288" t="s">
        <v>2032</v>
      </c>
      <c r="BB99" s="288" t="s">
        <v>2032</v>
      </c>
      <c r="BC99" s="288" t="s">
        <v>2032</v>
      </c>
      <c r="BD99" s="289">
        <f t="shared" si="0"/>
        <v>0</v>
      </c>
      <c r="BE99" s="287"/>
      <c r="BF99" s="272"/>
    </row>
    <row r="100" spans="1:58" ht="14.25" customHeight="1" x14ac:dyDescent="0.35">
      <c r="A100" s="68">
        <v>98</v>
      </c>
      <c r="B100" s="24" t="s">
        <v>1581</v>
      </c>
      <c r="C100" s="24">
        <v>2024</v>
      </c>
      <c r="D100" s="24" t="s">
        <v>1745</v>
      </c>
      <c r="E100" s="269" t="s">
        <v>1748</v>
      </c>
      <c r="F100" s="24" t="s">
        <v>1747</v>
      </c>
      <c r="G100" s="248" t="s">
        <v>16</v>
      </c>
      <c r="H100" s="248" t="s">
        <v>1674</v>
      </c>
      <c r="I100" s="248" t="s">
        <v>1656</v>
      </c>
      <c r="J100" s="248" t="s">
        <v>1675</v>
      </c>
      <c r="K100" s="248" t="s">
        <v>1593</v>
      </c>
      <c r="L100" s="272"/>
      <c r="M100" s="286" t="s">
        <v>1587</v>
      </c>
      <c r="N100" s="286" t="s">
        <v>1589</v>
      </c>
      <c r="O100" s="286" t="s">
        <v>1587</v>
      </c>
      <c r="P100" s="286" t="s">
        <v>1588</v>
      </c>
      <c r="Q100" s="286" t="s">
        <v>1589</v>
      </c>
      <c r="R100" s="286" t="s">
        <v>1588</v>
      </c>
      <c r="S100" s="286" t="s">
        <v>1587</v>
      </c>
      <c r="T100" s="286" t="s">
        <v>1589</v>
      </c>
      <c r="U100" s="286" t="s">
        <v>1588</v>
      </c>
      <c r="V100" s="286" t="s">
        <v>1587</v>
      </c>
      <c r="W100" s="286" t="s">
        <v>1617</v>
      </c>
      <c r="X100" s="286" t="s">
        <v>1589</v>
      </c>
      <c r="Y100" s="286" t="s">
        <v>1589</v>
      </c>
      <c r="Z100" s="286" t="s">
        <v>1589</v>
      </c>
      <c r="AA100" s="286" t="s">
        <v>1587</v>
      </c>
      <c r="AB100" s="286" t="s">
        <v>1617</v>
      </c>
      <c r="AC100" s="286" t="s">
        <v>1617</v>
      </c>
      <c r="AD100" s="286" t="s">
        <v>1617</v>
      </c>
      <c r="AE100" s="286"/>
      <c r="AF100" s="286" t="s">
        <v>1589</v>
      </c>
      <c r="AG100" s="283">
        <v>9</v>
      </c>
      <c r="AH100" s="287" t="s">
        <v>19</v>
      </c>
      <c r="AI100" s="272"/>
      <c r="AJ100" s="288" t="s">
        <v>2032</v>
      </c>
      <c r="AK100" s="288" t="s">
        <v>2032</v>
      </c>
      <c r="AL100" s="288" t="s">
        <v>2032</v>
      </c>
      <c r="AM100" s="288" t="s">
        <v>2032</v>
      </c>
      <c r="AN100" s="288" t="s">
        <v>2032</v>
      </c>
      <c r="AO100" s="288" t="s">
        <v>2032</v>
      </c>
      <c r="AP100" s="288" t="s">
        <v>2032</v>
      </c>
      <c r="AQ100" s="288" t="s">
        <v>2032</v>
      </c>
      <c r="AR100" s="288" t="s">
        <v>2032</v>
      </c>
      <c r="AS100" s="288" t="s">
        <v>2032</v>
      </c>
      <c r="AT100" s="288" t="s">
        <v>2032</v>
      </c>
      <c r="AU100" s="288" t="s">
        <v>2032</v>
      </c>
      <c r="AV100" s="288" t="s">
        <v>2032</v>
      </c>
      <c r="AW100" s="288" t="s">
        <v>2032</v>
      </c>
      <c r="AX100" s="288" t="s">
        <v>2032</v>
      </c>
      <c r="AY100" s="288" t="s">
        <v>2032</v>
      </c>
      <c r="AZ100" s="288" t="s">
        <v>2032</v>
      </c>
      <c r="BA100" s="288" t="s">
        <v>2032</v>
      </c>
      <c r="BB100" s="288" t="s">
        <v>2032</v>
      </c>
      <c r="BC100" s="288" t="s">
        <v>2032</v>
      </c>
      <c r="BD100" s="289">
        <f t="shared" si="0"/>
        <v>0</v>
      </c>
      <c r="BE100" s="287"/>
      <c r="BF100" s="272"/>
    </row>
    <row r="101" spans="1:58" ht="14.25" customHeight="1" x14ac:dyDescent="0.35">
      <c r="A101" s="68">
        <v>99</v>
      </c>
      <c r="B101" s="24" t="s">
        <v>1581</v>
      </c>
      <c r="C101" s="24">
        <v>2024</v>
      </c>
      <c r="D101" s="24" t="s">
        <v>1745</v>
      </c>
      <c r="E101" s="269" t="s">
        <v>1748</v>
      </c>
      <c r="F101" s="24" t="s">
        <v>1747</v>
      </c>
      <c r="G101" s="248" t="s">
        <v>16</v>
      </c>
      <c r="H101" s="248" t="s">
        <v>1676</v>
      </c>
      <c r="I101" s="248" t="s">
        <v>1677</v>
      </c>
      <c r="J101" s="248" t="s">
        <v>1678</v>
      </c>
      <c r="K101" s="248" t="s">
        <v>1593</v>
      </c>
      <c r="L101" s="272"/>
      <c r="M101" s="286"/>
      <c r="N101" s="286"/>
      <c r="O101" s="286"/>
      <c r="P101" s="286"/>
      <c r="Q101" s="286"/>
      <c r="R101" s="286"/>
      <c r="S101" s="286"/>
      <c r="T101" s="286"/>
      <c r="U101" s="286"/>
      <c r="V101" s="286"/>
      <c r="W101" s="286"/>
      <c r="X101" s="286"/>
      <c r="Y101" s="286"/>
      <c r="Z101" s="286"/>
      <c r="AA101" s="286"/>
      <c r="AB101" s="286"/>
      <c r="AC101" s="286"/>
      <c r="AD101" s="286"/>
      <c r="AE101" s="286"/>
      <c r="AF101" s="286"/>
      <c r="AG101" s="283">
        <v>0</v>
      </c>
      <c r="AH101" s="287" t="s">
        <v>1489</v>
      </c>
      <c r="AI101" s="272"/>
      <c r="AJ101" s="288" t="s">
        <v>2032</v>
      </c>
      <c r="AK101" s="288" t="s">
        <v>2032</v>
      </c>
      <c r="AL101" s="288" t="s">
        <v>2032</v>
      </c>
      <c r="AM101" s="288" t="s">
        <v>2032</v>
      </c>
      <c r="AN101" s="288" t="s">
        <v>2032</v>
      </c>
      <c r="AO101" s="288" t="s">
        <v>2032</v>
      </c>
      <c r="AP101" s="288" t="s">
        <v>2032</v>
      </c>
      <c r="AQ101" s="288" t="s">
        <v>2032</v>
      </c>
      <c r="AR101" s="288" t="s">
        <v>2032</v>
      </c>
      <c r="AS101" s="288" t="s">
        <v>2032</v>
      </c>
      <c r="AT101" s="288" t="s">
        <v>2032</v>
      </c>
      <c r="AU101" s="288" t="s">
        <v>2032</v>
      </c>
      <c r="AV101" s="288" t="s">
        <v>2032</v>
      </c>
      <c r="AW101" s="288" t="s">
        <v>2032</v>
      </c>
      <c r="AX101" s="288" t="s">
        <v>2032</v>
      </c>
      <c r="AY101" s="288" t="s">
        <v>2032</v>
      </c>
      <c r="AZ101" s="288" t="s">
        <v>2032</v>
      </c>
      <c r="BA101" s="288" t="s">
        <v>2032</v>
      </c>
      <c r="BB101" s="288" t="s">
        <v>2032</v>
      </c>
      <c r="BC101" s="288" t="s">
        <v>2032</v>
      </c>
      <c r="BD101" s="289">
        <f t="shared" si="0"/>
        <v>0</v>
      </c>
      <c r="BE101" s="287"/>
      <c r="BF101" s="272"/>
    </row>
    <row r="102" spans="1:58" ht="14.25" customHeight="1" x14ac:dyDescent="0.35">
      <c r="A102" s="68">
        <v>100</v>
      </c>
      <c r="B102" s="24" t="s">
        <v>1581</v>
      </c>
      <c r="C102" s="24">
        <v>2024</v>
      </c>
      <c r="D102" s="24" t="s">
        <v>1745</v>
      </c>
      <c r="E102" s="269" t="s">
        <v>1748</v>
      </c>
      <c r="F102" s="24" t="s">
        <v>1747</v>
      </c>
      <c r="G102" s="248" t="s">
        <v>16</v>
      </c>
      <c r="H102" s="248" t="s">
        <v>1679</v>
      </c>
      <c r="I102" s="248" t="s">
        <v>1680</v>
      </c>
      <c r="J102" s="248" t="s">
        <v>1681</v>
      </c>
      <c r="K102" s="248" t="s">
        <v>1586</v>
      </c>
      <c r="L102" s="272"/>
      <c r="M102" s="286"/>
      <c r="N102" s="286"/>
      <c r="O102" s="286"/>
      <c r="P102" s="286"/>
      <c r="Q102" s="286"/>
      <c r="R102" s="286"/>
      <c r="S102" s="286"/>
      <c r="T102" s="286"/>
      <c r="U102" s="286"/>
      <c r="V102" s="286"/>
      <c r="W102" s="286"/>
      <c r="X102" s="286"/>
      <c r="Y102" s="286"/>
      <c r="Z102" s="286"/>
      <c r="AA102" s="286"/>
      <c r="AB102" s="286"/>
      <c r="AC102" s="286"/>
      <c r="AD102" s="286"/>
      <c r="AE102" s="286"/>
      <c r="AF102" s="286"/>
      <c r="AG102" s="283">
        <v>0</v>
      </c>
      <c r="AH102" s="287" t="s">
        <v>1489</v>
      </c>
      <c r="AI102" s="272"/>
      <c r="AJ102" s="288" t="s">
        <v>2032</v>
      </c>
      <c r="AK102" s="288" t="s">
        <v>2032</v>
      </c>
      <c r="AL102" s="288" t="s">
        <v>2032</v>
      </c>
      <c r="AM102" s="288" t="s">
        <v>2032</v>
      </c>
      <c r="AN102" s="288" t="s">
        <v>2032</v>
      </c>
      <c r="AO102" s="288" t="s">
        <v>2032</v>
      </c>
      <c r="AP102" s="288" t="s">
        <v>2032</v>
      </c>
      <c r="AQ102" s="288" t="s">
        <v>2032</v>
      </c>
      <c r="AR102" s="288" t="s">
        <v>2032</v>
      </c>
      <c r="AS102" s="288" t="s">
        <v>2032</v>
      </c>
      <c r="AT102" s="288" t="s">
        <v>2032</v>
      </c>
      <c r="AU102" s="288" t="s">
        <v>2032</v>
      </c>
      <c r="AV102" s="288" t="s">
        <v>2032</v>
      </c>
      <c r="AW102" s="288" t="s">
        <v>2032</v>
      </c>
      <c r="AX102" s="288" t="s">
        <v>2032</v>
      </c>
      <c r="AY102" s="288" t="s">
        <v>2032</v>
      </c>
      <c r="AZ102" s="288" t="s">
        <v>2032</v>
      </c>
      <c r="BA102" s="288" t="s">
        <v>2032</v>
      </c>
      <c r="BB102" s="288" t="s">
        <v>2032</v>
      </c>
      <c r="BC102" s="288" t="s">
        <v>2032</v>
      </c>
      <c r="BD102" s="289">
        <f t="shared" si="0"/>
        <v>0</v>
      </c>
      <c r="BE102" s="287"/>
      <c r="BF102" s="272"/>
    </row>
    <row r="103" spans="1:58" ht="14.25" customHeight="1" x14ac:dyDescent="0.35">
      <c r="A103" s="68">
        <v>101</v>
      </c>
      <c r="B103" s="24" t="s">
        <v>1581</v>
      </c>
      <c r="C103" s="24">
        <v>2024</v>
      </c>
      <c r="D103" s="24" t="s">
        <v>1745</v>
      </c>
      <c r="E103" s="269" t="s">
        <v>1748</v>
      </c>
      <c r="F103" s="24" t="s">
        <v>1747</v>
      </c>
      <c r="G103" s="248" t="s">
        <v>16</v>
      </c>
      <c r="H103" s="248" t="s">
        <v>1682</v>
      </c>
      <c r="I103" s="248" t="s">
        <v>1683</v>
      </c>
      <c r="J103" s="248" t="s">
        <v>1684</v>
      </c>
      <c r="K103" s="248" t="s">
        <v>1593</v>
      </c>
      <c r="L103" s="272"/>
      <c r="M103" s="286" t="s">
        <v>1588</v>
      </c>
      <c r="N103" s="286" t="s">
        <v>1617</v>
      </c>
      <c r="O103" s="286" t="s">
        <v>1588</v>
      </c>
      <c r="P103" s="286" t="s">
        <v>1587</v>
      </c>
      <c r="Q103" s="286" t="s">
        <v>1589</v>
      </c>
      <c r="R103" s="286" t="s">
        <v>1588</v>
      </c>
      <c r="S103" s="286" t="s">
        <v>1587</v>
      </c>
      <c r="T103" s="286" t="s">
        <v>1589</v>
      </c>
      <c r="U103" s="286" t="s">
        <v>1588</v>
      </c>
      <c r="V103" s="286" t="s">
        <v>1589</v>
      </c>
      <c r="W103" s="286" t="s">
        <v>1588</v>
      </c>
      <c r="X103" s="286" t="s">
        <v>1589</v>
      </c>
      <c r="Y103" s="286" t="s">
        <v>1588</v>
      </c>
      <c r="Z103" s="286" t="s">
        <v>1588</v>
      </c>
      <c r="AA103" s="286" t="s">
        <v>1587</v>
      </c>
      <c r="AB103" s="286" t="s">
        <v>1617</v>
      </c>
      <c r="AC103" s="286" t="s">
        <v>1588</v>
      </c>
      <c r="AD103" s="286" t="s">
        <v>1588</v>
      </c>
      <c r="AE103" s="286" t="s">
        <v>1587</v>
      </c>
      <c r="AF103" s="286" t="s">
        <v>1589</v>
      </c>
      <c r="AG103" s="283">
        <v>8</v>
      </c>
      <c r="AH103" s="287" t="s">
        <v>19</v>
      </c>
      <c r="AI103" s="272"/>
      <c r="AJ103" s="288" t="s">
        <v>2032</v>
      </c>
      <c r="AK103" s="288" t="s">
        <v>2032</v>
      </c>
      <c r="AL103" s="288" t="s">
        <v>2032</v>
      </c>
      <c r="AM103" s="288" t="s">
        <v>2032</v>
      </c>
      <c r="AN103" s="288" t="s">
        <v>2032</v>
      </c>
      <c r="AO103" s="288" t="s">
        <v>2032</v>
      </c>
      <c r="AP103" s="288" t="s">
        <v>2032</v>
      </c>
      <c r="AQ103" s="288" t="s">
        <v>2032</v>
      </c>
      <c r="AR103" s="288" t="s">
        <v>2032</v>
      </c>
      <c r="AS103" s="288" t="s">
        <v>2032</v>
      </c>
      <c r="AT103" s="288" t="s">
        <v>2032</v>
      </c>
      <c r="AU103" s="288" t="s">
        <v>2032</v>
      </c>
      <c r="AV103" s="288" t="s">
        <v>2032</v>
      </c>
      <c r="AW103" s="288" t="s">
        <v>2032</v>
      </c>
      <c r="AX103" s="288" t="s">
        <v>2032</v>
      </c>
      <c r="AY103" s="288" t="s">
        <v>2032</v>
      </c>
      <c r="AZ103" s="288" t="s">
        <v>2032</v>
      </c>
      <c r="BA103" s="288" t="s">
        <v>2032</v>
      </c>
      <c r="BB103" s="288" t="s">
        <v>2032</v>
      </c>
      <c r="BC103" s="288" t="s">
        <v>2032</v>
      </c>
      <c r="BD103" s="289">
        <f t="shared" si="0"/>
        <v>0</v>
      </c>
      <c r="BE103" s="287"/>
      <c r="BF103" s="272"/>
    </row>
    <row r="104" spans="1:58" ht="14.25" customHeight="1" x14ac:dyDescent="0.35">
      <c r="A104" s="68">
        <v>102</v>
      </c>
      <c r="B104" s="24" t="s">
        <v>1581</v>
      </c>
      <c r="C104" s="24">
        <v>2024</v>
      </c>
      <c r="D104" s="24" t="s">
        <v>1745</v>
      </c>
      <c r="E104" s="269" t="s">
        <v>1748</v>
      </c>
      <c r="F104" s="24" t="s">
        <v>1747</v>
      </c>
      <c r="G104" s="248" t="s">
        <v>16</v>
      </c>
      <c r="H104" s="248" t="s">
        <v>1665</v>
      </c>
      <c r="I104" s="248" t="s">
        <v>1612</v>
      </c>
      <c r="J104" s="248" t="s">
        <v>1685</v>
      </c>
      <c r="K104" s="248" t="s">
        <v>1586</v>
      </c>
      <c r="L104" s="272"/>
      <c r="M104" s="286" t="s">
        <v>1587</v>
      </c>
      <c r="N104" s="286" t="s">
        <v>1617</v>
      </c>
      <c r="O104" s="286" t="s">
        <v>1617</v>
      </c>
      <c r="P104" s="286" t="s">
        <v>1588</v>
      </c>
      <c r="Q104" s="286" t="s">
        <v>1617</v>
      </c>
      <c r="R104" s="286" t="s">
        <v>1588</v>
      </c>
      <c r="S104" s="286" t="s">
        <v>1587</v>
      </c>
      <c r="T104" s="286" t="s">
        <v>1589</v>
      </c>
      <c r="U104" s="286" t="s">
        <v>1588</v>
      </c>
      <c r="V104" s="286" t="s">
        <v>1587</v>
      </c>
      <c r="W104" s="286" t="s">
        <v>1617</v>
      </c>
      <c r="X104" s="286" t="s">
        <v>1589</v>
      </c>
      <c r="Y104" s="286" t="s">
        <v>1588</v>
      </c>
      <c r="Z104" s="286" t="s">
        <v>1588</v>
      </c>
      <c r="AA104" s="286" t="s">
        <v>1587</v>
      </c>
      <c r="AB104" s="286" t="s">
        <v>1589</v>
      </c>
      <c r="AC104" s="286" t="s">
        <v>1588</v>
      </c>
      <c r="AD104" s="286" t="s">
        <v>1587</v>
      </c>
      <c r="AE104" s="286" t="s">
        <v>1587</v>
      </c>
      <c r="AF104" s="286" t="s">
        <v>1589</v>
      </c>
      <c r="AG104" s="283">
        <v>13</v>
      </c>
      <c r="AH104" s="287" t="s">
        <v>23</v>
      </c>
      <c r="AI104" s="272"/>
      <c r="AJ104" s="288" t="s">
        <v>2032</v>
      </c>
      <c r="AK104" s="288" t="s">
        <v>2032</v>
      </c>
      <c r="AL104" s="288" t="s">
        <v>2032</v>
      </c>
      <c r="AM104" s="288" t="s">
        <v>2032</v>
      </c>
      <c r="AN104" s="288" t="s">
        <v>2032</v>
      </c>
      <c r="AO104" s="288" t="s">
        <v>2032</v>
      </c>
      <c r="AP104" s="288" t="s">
        <v>2032</v>
      </c>
      <c r="AQ104" s="288" t="s">
        <v>2032</v>
      </c>
      <c r="AR104" s="288" t="s">
        <v>2032</v>
      </c>
      <c r="AS104" s="288" t="s">
        <v>2032</v>
      </c>
      <c r="AT104" s="288" t="s">
        <v>2032</v>
      </c>
      <c r="AU104" s="288" t="s">
        <v>2032</v>
      </c>
      <c r="AV104" s="288" t="s">
        <v>2032</v>
      </c>
      <c r="AW104" s="288" t="s">
        <v>2032</v>
      </c>
      <c r="AX104" s="288" t="s">
        <v>2032</v>
      </c>
      <c r="AY104" s="288" t="s">
        <v>2032</v>
      </c>
      <c r="AZ104" s="288" t="s">
        <v>2032</v>
      </c>
      <c r="BA104" s="288" t="s">
        <v>2032</v>
      </c>
      <c r="BB104" s="288" t="s">
        <v>2032</v>
      </c>
      <c r="BC104" s="288" t="s">
        <v>2032</v>
      </c>
      <c r="BD104" s="289">
        <f t="shared" si="0"/>
        <v>0</v>
      </c>
      <c r="BE104" s="287"/>
      <c r="BF104" s="272"/>
    </row>
    <row r="105" spans="1:58" ht="14.25" customHeight="1" x14ac:dyDescent="0.35">
      <c r="A105" s="68">
        <v>103</v>
      </c>
      <c r="B105" s="24" t="s">
        <v>1581</v>
      </c>
      <c r="C105" s="24">
        <v>2024</v>
      </c>
      <c r="D105" s="24" t="s">
        <v>1745</v>
      </c>
      <c r="E105" s="269" t="s">
        <v>1748</v>
      </c>
      <c r="F105" s="24" t="s">
        <v>1747</v>
      </c>
      <c r="G105" s="248" t="s">
        <v>16</v>
      </c>
      <c r="H105" s="248" t="s">
        <v>1686</v>
      </c>
      <c r="I105" s="248" t="s">
        <v>1687</v>
      </c>
      <c r="J105" s="248" t="s">
        <v>1688</v>
      </c>
      <c r="K105" s="248" t="s">
        <v>1593</v>
      </c>
      <c r="L105" s="272"/>
      <c r="M105" s="286" t="s">
        <v>1587</v>
      </c>
      <c r="N105" s="286" t="s">
        <v>1588</v>
      </c>
      <c r="O105" s="286" t="s">
        <v>1588</v>
      </c>
      <c r="P105" s="286" t="s">
        <v>1587</v>
      </c>
      <c r="Q105" s="286" t="s">
        <v>1589</v>
      </c>
      <c r="R105" s="286" t="s">
        <v>1617</v>
      </c>
      <c r="S105" s="286" t="s">
        <v>1587</v>
      </c>
      <c r="T105" s="286" t="s">
        <v>1617</v>
      </c>
      <c r="U105" s="286" t="s">
        <v>1588</v>
      </c>
      <c r="V105" s="286" t="s">
        <v>1587</v>
      </c>
      <c r="W105" s="286" t="s">
        <v>1589</v>
      </c>
      <c r="X105" s="286" t="s">
        <v>1589</v>
      </c>
      <c r="Y105" s="286" t="s">
        <v>1587</v>
      </c>
      <c r="Z105" s="286" t="s">
        <v>1588</v>
      </c>
      <c r="AA105" s="286" t="s">
        <v>1588</v>
      </c>
      <c r="AB105" s="286" t="s">
        <v>1587</v>
      </c>
      <c r="AC105" s="286" t="s">
        <v>1587</v>
      </c>
      <c r="AD105" s="286" t="s">
        <v>1587</v>
      </c>
      <c r="AE105" s="286" t="s">
        <v>1589</v>
      </c>
      <c r="AF105" s="286" t="s">
        <v>1587</v>
      </c>
      <c r="AG105" s="283">
        <v>10</v>
      </c>
      <c r="AH105" s="287" t="s">
        <v>19</v>
      </c>
      <c r="AI105" s="272"/>
      <c r="AJ105" s="288" t="s">
        <v>2032</v>
      </c>
      <c r="AK105" s="288" t="s">
        <v>2032</v>
      </c>
      <c r="AL105" s="288" t="s">
        <v>2032</v>
      </c>
      <c r="AM105" s="288" t="s">
        <v>2032</v>
      </c>
      <c r="AN105" s="288" t="s">
        <v>2032</v>
      </c>
      <c r="AO105" s="288" t="s">
        <v>2032</v>
      </c>
      <c r="AP105" s="288" t="s">
        <v>2032</v>
      </c>
      <c r="AQ105" s="288" t="s">
        <v>2032</v>
      </c>
      <c r="AR105" s="288" t="s">
        <v>2032</v>
      </c>
      <c r="AS105" s="288" t="s">
        <v>2032</v>
      </c>
      <c r="AT105" s="288" t="s">
        <v>2032</v>
      </c>
      <c r="AU105" s="288" t="s">
        <v>2032</v>
      </c>
      <c r="AV105" s="288" t="s">
        <v>2032</v>
      </c>
      <c r="AW105" s="288" t="s">
        <v>2032</v>
      </c>
      <c r="AX105" s="288" t="s">
        <v>2032</v>
      </c>
      <c r="AY105" s="288" t="s">
        <v>2032</v>
      </c>
      <c r="AZ105" s="288" t="s">
        <v>2032</v>
      </c>
      <c r="BA105" s="288" t="s">
        <v>2032</v>
      </c>
      <c r="BB105" s="288" t="s">
        <v>2032</v>
      </c>
      <c r="BC105" s="288" t="s">
        <v>2032</v>
      </c>
      <c r="BD105" s="289">
        <f t="shared" si="0"/>
        <v>0</v>
      </c>
      <c r="BE105" s="287"/>
      <c r="BF105" s="272"/>
    </row>
    <row r="106" spans="1:58" ht="14.25" customHeight="1" x14ac:dyDescent="0.35">
      <c r="A106" s="68">
        <v>104</v>
      </c>
      <c r="B106" s="24" t="s">
        <v>1581</v>
      </c>
      <c r="C106" s="24">
        <v>2024</v>
      </c>
      <c r="D106" s="24" t="s">
        <v>1745</v>
      </c>
      <c r="E106" s="269" t="s">
        <v>1748</v>
      </c>
      <c r="F106" s="24" t="s">
        <v>1747</v>
      </c>
      <c r="G106" s="248" t="s">
        <v>16</v>
      </c>
      <c r="H106" s="248" t="s">
        <v>1689</v>
      </c>
      <c r="I106" s="248" t="s">
        <v>1690</v>
      </c>
      <c r="J106" s="248" t="s">
        <v>1691</v>
      </c>
      <c r="K106" s="248" t="s">
        <v>1586</v>
      </c>
      <c r="L106" s="272"/>
      <c r="M106" s="286" t="s">
        <v>1587</v>
      </c>
      <c r="N106" s="286" t="s">
        <v>1588</v>
      </c>
      <c r="O106" s="286" t="s">
        <v>1588</v>
      </c>
      <c r="P106" s="286" t="s">
        <v>1588</v>
      </c>
      <c r="Q106" s="286" t="s">
        <v>1588</v>
      </c>
      <c r="R106" s="286" t="s">
        <v>1588</v>
      </c>
      <c r="S106" s="286" t="s">
        <v>1587</v>
      </c>
      <c r="T106" s="286" t="s">
        <v>1589</v>
      </c>
      <c r="U106" s="286" t="s">
        <v>1588</v>
      </c>
      <c r="V106" s="286" t="s">
        <v>1587</v>
      </c>
      <c r="W106" s="286" t="s">
        <v>1589</v>
      </c>
      <c r="X106" s="286" t="s">
        <v>1587</v>
      </c>
      <c r="Y106" s="286" t="s">
        <v>1588</v>
      </c>
      <c r="Z106" s="286" t="s">
        <v>1589</v>
      </c>
      <c r="AA106" s="286" t="s">
        <v>1587</v>
      </c>
      <c r="AB106" s="286" t="s">
        <v>1588</v>
      </c>
      <c r="AC106" s="286" t="s">
        <v>1588</v>
      </c>
      <c r="AD106" s="286" t="s">
        <v>1587</v>
      </c>
      <c r="AE106" s="286" t="s">
        <v>1587</v>
      </c>
      <c r="AF106" s="286" t="s">
        <v>1589</v>
      </c>
      <c r="AG106" s="283">
        <v>14</v>
      </c>
      <c r="AH106" s="287" t="s">
        <v>23</v>
      </c>
      <c r="AI106" s="272"/>
      <c r="AJ106" s="288" t="s">
        <v>2032</v>
      </c>
      <c r="AK106" s="288" t="s">
        <v>2032</v>
      </c>
      <c r="AL106" s="288" t="s">
        <v>2032</v>
      </c>
      <c r="AM106" s="288" t="s">
        <v>2032</v>
      </c>
      <c r="AN106" s="288" t="s">
        <v>2032</v>
      </c>
      <c r="AO106" s="288" t="s">
        <v>2032</v>
      </c>
      <c r="AP106" s="288" t="s">
        <v>2032</v>
      </c>
      <c r="AQ106" s="288" t="s">
        <v>2032</v>
      </c>
      <c r="AR106" s="288" t="s">
        <v>2032</v>
      </c>
      <c r="AS106" s="288" t="s">
        <v>2032</v>
      </c>
      <c r="AT106" s="288" t="s">
        <v>2032</v>
      </c>
      <c r="AU106" s="288" t="s">
        <v>2032</v>
      </c>
      <c r="AV106" s="288" t="s">
        <v>2032</v>
      </c>
      <c r="AW106" s="288" t="s">
        <v>2032</v>
      </c>
      <c r="AX106" s="288" t="s">
        <v>2032</v>
      </c>
      <c r="AY106" s="288" t="s">
        <v>2032</v>
      </c>
      <c r="AZ106" s="288" t="s">
        <v>2032</v>
      </c>
      <c r="BA106" s="288" t="s">
        <v>2032</v>
      </c>
      <c r="BB106" s="288" t="s">
        <v>2032</v>
      </c>
      <c r="BC106" s="288" t="s">
        <v>2032</v>
      </c>
      <c r="BD106" s="289">
        <f t="shared" si="0"/>
        <v>0</v>
      </c>
      <c r="BE106" s="287"/>
      <c r="BF106" s="272"/>
    </row>
    <row r="107" spans="1:58" ht="14.25" customHeight="1" x14ac:dyDescent="0.35">
      <c r="A107" s="68">
        <v>105</v>
      </c>
      <c r="B107" s="24" t="s">
        <v>1581</v>
      </c>
      <c r="C107" s="24">
        <v>2024</v>
      </c>
      <c r="D107" s="24" t="s">
        <v>1745</v>
      </c>
      <c r="E107" s="269" t="s">
        <v>1748</v>
      </c>
      <c r="F107" s="24" t="s">
        <v>1747</v>
      </c>
      <c r="G107" s="248" t="s">
        <v>16</v>
      </c>
      <c r="H107" s="248" t="s">
        <v>1595</v>
      </c>
      <c r="I107" s="248" t="s">
        <v>1672</v>
      </c>
      <c r="J107" s="248" t="s">
        <v>1692</v>
      </c>
      <c r="K107" s="248" t="s">
        <v>1586</v>
      </c>
      <c r="L107" s="272"/>
      <c r="M107" s="286" t="s">
        <v>1587</v>
      </c>
      <c r="N107" s="286" t="s">
        <v>1617</v>
      </c>
      <c r="O107" s="286" t="s">
        <v>1588</v>
      </c>
      <c r="P107" s="286" t="s">
        <v>1588</v>
      </c>
      <c r="Q107" s="286" t="s">
        <v>1587</v>
      </c>
      <c r="R107" s="286" t="s">
        <v>1588</v>
      </c>
      <c r="S107" s="286" t="s">
        <v>1587</v>
      </c>
      <c r="T107" s="286" t="s">
        <v>1589</v>
      </c>
      <c r="U107" s="286" t="s">
        <v>1588</v>
      </c>
      <c r="V107" s="286" t="s">
        <v>1587</v>
      </c>
      <c r="W107" s="286" t="s">
        <v>1589</v>
      </c>
      <c r="X107" s="286" t="s">
        <v>1589</v>
      </c>
      <c r="Y107" s="286" t="s">
        <v>1588</v>
      </c>
      <c r="Z107" s="286" t="s">
        <v>1589</v>
      </c>
      <c r="AA107" s="286" t="s">
        <v>1587</v>
      </c>
      <c r="AB107" s="286" t="s">
        <v>1589</v>
      </c>
      <c r="AC107" s="286" t="s">
        <v>1617</v>
      </c>
      <c r="AD107" s="286" t="s">
        <v>1617</v>
      </c>
      <c r="AE107" s="286" t="s">
        <v>1588</v>
      </c>
      <c r="AF107" s="286" t="s">
        <v>1617</v>
      </c>
      <c r="AG107" s="283">
        <v>14</v>
      </c>
      <c r="AH107" s="287" t="s">
        <v>23</v>
      </c>
      <c r="AI107" s="272"/>
      <c r="AJ107" s="288" t="s">
        <v>2032</v>
      </c>
      <c r="AK107" s="288" t="s">
        <v>2032</v>
      </c>
      <c r="AL107" s="288" t="s">
        <v>2032</v>
      </c>
      <c r="AM107" s="288" t="s">
        <v>2032</v>
      </c>
      <c r="AN107" s="288" t="s">
        <v>2032</v>
      </c>
      <c r="AO107" s="288" t="s">
        <v>2032</v>
      </c>
      <c r="AP107" s="288" t="s">
        <v>2032</v>
      </c>
      <c r="AQ107" s="288" t="s">
        <v>2032</v>
      </c>
      <c r="AR107" s="288" t="s">
        <v>2032</v>
      </c>
      <c r="AS107" s="288" t="s">
        <v>2032</v>
      </c>
      <c r="AT107" s="288" t="s">
        <v>2032</v>
      </c>
      <c r="AU107" s="288" t="s">
        <v>2032</v>
      </c>
      <c r="AV107" s="288" t="s">
        <v>2032</v>
      </c>
      <c r="AW107" s="288" t="s">
        <v>2032</v>
      </c>
      <c r="AX107" s="288" t="s">
        <v>2032</v>
      </c>
      <c r="AY107" s="288" t="s">
        <v>2032</v>
      </c>
      <c r="AZ107" s="288" t="s">
        <v>2032</v>
      </c>
      <c r="BA107" s="288" t="s">
        <v>2032</v>
      </c>
      <c r="BB107" s="288" t="s">
        <v>2032</v>
      </c>
      <c r="BC107" s="288" t="s">
        <v>2032</v>
      </c>
      <c r="BD107" s="289">
        <f t="shared" si="0"/>
        <v>0</v>
      </c>
      <c r="BE107" s="287"/>
      <c r="BF107" s="272"/>
    </row>
    <row r="108" spans="1:58" ht="14.25" customHeight="1" x14ac:dyDescent="0.35">
      <c r="A108" s="68">
        <v>106</v>
      </c>
      <c r="B108" s="24" t="s">
        <v>1581</v>
      </c>
      <c r="C108" s="24">
        <v>2024</v>
      </c>
      <c r="D108" s="24" t="s">
        <v>1745</v>
      </c>
      <c r="E108" s="269" t="s">
        <v>1748</v>
      </c>
      <c r="F108" s="24" t="s">
        <v>1747</v>
      </c>
      <c r="G108" s="248" t="s">
        <v>16</v>
      </c>
      <c r="H108" s="248" t="s">
        <v>1612</v>
      </c>
      <c r="I108" s="248" t="s">
        <v>1612</v>
      </c>
      <c r="J108" s="248" t="s">
        <v>1693</v>
      </c>
      <c r="K108" s="248" t="s">
        <v>1586</v>
      </c>
      <c r="L108" s="272"/>
      <c r="M108" s="286" t="s">
        <v>1587</v>
      </c>
      <c r="N108" s="286" t="s">
        <v>1588</v>
      </c>
      <c r="O108" s="286" t="s">
        <v>1588</v>
      </c>
      <c r="P108" s="286" t="s">
        <v>1588</v>
      </c>
      <c r="Q108" s="286" t="s">
        <v>1589</v>
      </c>
      <c r="R108" s="286" t="s">
        <v>1588</v>
      </c>
      <c r="S108" s="286" t="s">
        <v>1587</v>
      </c>
      <c r="T108" s="286" t="s">
        <v>1589</v>
      </c>
      <c r="U108" s="286" t="s">
        <v>1588</v>
      </c>
      <c r="V108" s="286" t="s">
        <v>1587</v>
      </c>
      <c r="W108" s="286" t="s">
        <v>1589</v>
      </c>
      <c r="X108" s="286" t="s">
        <v>1589</v>
      </c>
      <c r="Y108" s="286" t="s">
        <v>1589</v>
      </c>
      <c r="Z108" s="286" t="s">
        <v>1588</v>
      </c>
      <c r="AA108" s="286" t="s">
        <v>1587</v>
      </c>
      <c r="AB108" s="286" t="s">
        <v>1589</v>
      </c>
      <c r="AC108" s="286" t="s">
        <v>1589</v>
      </c>
      <c r="AD108" s="286" t="s">
        <v>1617</v>
      </c>
      <c r="AE108" s="286" t="s">
        <v>1587</v>
      </c>
      <c r="AF108" s="286" t="s">
        <v>1617</v>
      </c>
      <c r="AG108" s="283">
        <v>13</v>
      </c>
      <c r="AH108" s="287" t="s">
        <v>23</v>
      </c>
      <c r="AI108" s="272"/>
      <c r="AJ108" s="288" t="s">
        <v>2032</v>
      </c>
      <c r="AK108" s="288" t="s">
        <v>2032</v>
      </c>
      <c r="AL108" s="288" t="s">
        <v>2032</v>
      </c>
      <c r="AM108" s="288" t="s">
        <v>2032</v>
      </c>
      <c r="AN108" s="288" t="s">
        <v>2032</v>
      </c>
      <c r="AO108" s="288" t="s">
        <v>2032</v>
      </c>
      <c r="AP108" s="288" t="s">
        <v>2032</v>
      </c>
      <c r="AQ108" s="288" t="s">
        <v>2032</v>
      </c>
      <c r="AR108" s="288" t="s">
        <v>2032</v>
      </c>
      <c r="AS108" s="288" t="s">
        <v>2032</v>
      </c>
      <c r="AT108" s="288" t="s">
        <v>2032</v>
      </c>
      <c r="AU108" s="288" t="s">
        <v>2032</v>
      </c>
      <c r="AV108" s="288" t="s">
        <v>2032</v>
      </c>
      <c r="AW108" s="288" t="s">
        <v>2032</v>
      </c>
      <c r="AX108" s="288" t="s">
        <v>2032</v>
      </c>
      <c r="AY108" s="288" t="s">
        <v>2032</v>
      </c>
      <c r="AZ108" s="288" t="s">
        <v>2032</v>
      </c>
      <c r="BA108" s="288" t="s">
        <v>2032</v>
      </c>
      <c r="BB108" s="288" t="s">
        <v>2032</v>
      </c>
      <c r="BC108" s="288" t="s">
        <v>2032</v>
      </c>
      <c r="BD108" s="289">
        <f t="shared" si="0"/>
        <v>0</v>
      </c>
      <c r="BE108" s="287"/>
      <c r="BF108" s="272"/>
    </row>
    <row r="109" spans="1:58" ht="14.25" customHeight="1" x14ac:dyDescent="0.35">
      <c r="A109" s="68">
        <v>107</v>
      </c>
      <c r="B109" s="24" t="s">
        <v>1581</v>
      </c>
      <c r="C109" s="24">
        <v>2024</v>
      </c>
      <c r="D109" s="24" t="s">
        <v>1745</v>
      </c>
      <c r="E109" s="269" t="s">
        <v>1748</v>
      </c>
      <c r="F109" s="24" t="s">
        <v>1747</v>
      </c>
      <c r="G109" s="248" t="s">
        <v>16</v>
      </c>
      <c r="H109" s="248" t="s">
        <v>1694</v>
      </c>
      <c r="I109" s="248" t="s">
        <v>1695</v>
      </c>
      <c r="J109" s="248" t="s">
        <v>1696</v>
      </c>
      <c r="K109" s="248" t="s">
        <v>1593</v>
      </c>
      <c r="L109" s="272"/>
      <c r="M109" s="286" t="s">
        <v>1587</v>
      </c>
      <c r="N109" s="286" t="s">
        <v>1589</v>
      </c>
      <c r="O109" s="286" t="s">
        <v>1588</v>
      </c>
      <c r="P109" s="286" t="s">
        <v>1588</v>
      </c>
      <c r="Q109" s="286" t="s">
        <v>1588</v>
      </c>
      <c r="R109" s="286" t="s">
        <v>1588</v>
      </c>
      <c r="S109" s="286" t="s">
        <v>1587</v>
      </c>
      <c r="T109" s="286" t="s">
        <v>1589</v>
      </c>
      <c r="U109" s="286" t="s">
        <v>1588</v>
      </c>
      <c r="V109" s="286" t="s">
        <v>1587</v>
      </c>
      <c r="W109" s="286" t="s">
        <v>1589</v>
      </c>
      <c r="X109" s="286" t="s">
        <v>1589</v>
      </c>
      <c r="Y109" s="286" t="s">
        <v>1588</v>
      </c>
      <c r="Z109" s="286" t="s">
        <v>1589</v>
      </c>
      <c r="AA109" s="286" t="s">
        <v>1589</v>
      </c>
      <c r="AB109" s="286"/>
      <c r="AC109" s="286" t="s">
        <v>1588</v>
      </c>
      <c r="AD109" s="286" t="s">
        <v>1617</v>
      </c>
      <c r="AE109" s="286" t="s">
        <v>1588</v>
      </c>
      <c r="AF109" s="286" t="s">
        <v>1617</v>
      </c>
      <c r="AG109" s="283">
        <v>13</v>
      </c>
      <c r="AH109" s="287" t="s">
        <v>23</v>
      </c>
      <c r="AI109" s="272"/>
      <c r="AJ109" s="288" t="s">
        <v>2032</v>
      </c>
      <c r="AK109" s="288" t="s">
        <v>2032</v>
      </c>
      <c r="AL109" s="288" t="s">
        <v>2032</v>
      </c>
      <c r="AM109" s="288" t="s">
        <v>2032</v>
      </c>
      <c r="AN109" s="288" t="s">
        <v>2032</v>
      </c>
      <c r="AO109" s="288" t="s">
        <v>2032</v>
      </c>
      <c r="AP109" s="288" t="s">
        <v>2032</v>
      </c>
      <c r="AQ109" s="288" t="s">
        <v>2032</v>
      </c>
      <c r="AR109" s="288" t="s">
        <v>2032</v>
      </c>
      <c r="AS109" s="288" t="s">
        <v>2032</v>
      </c>
      <c r="AT109" s="288" t="s">
        <v>2032</v>
      </c>
      <c r="AU109" s="288" t="s">
        <v>2032</v>
      </c>
      <c r="AV109" s="288" t="s">
        <v>2032</v>
      </c>
      <c r="AW109" s="288" t="s">
        <v>2032</v>
      </c>
      <c r="AX109" s="288" t="s">
        <v>2032</v>
      </c>
      <c r="AY109" s="288" t="s">
        <v>2032</v>
      </c>
      <c r="AZ109" s="288" t="s">
        <v>2032</v>
      </c>
      <c r="BA109" s="288" t="s">
        <v>2032</v>
      </c>
      <c r="BB109" s="288" t="s">
        <v>2032</v>
      </c>
      <c r="BC109" s="288" t="s">
        <v>2032</v>
      </c>
      <c r="BD109" s="289">
        <f t="shared" si="0"/>
        <v>0</v>
      </c>
      <c r="BE109" s="287"/>
      <c r="BF109" s="272"/>
    </row>
    <row r="110" spans="1:58" ht="14.25" customHeight="1" x14ac:dyDescent="0.35">
      <c r="A110" s="68">
        <v>108</v>
      </c>
      <c r="B110" s="24" t="s">
        <v>1581</v>
      </c>
      <c r="C110" s="24">
        <v>2024</v>
      </c>
      <c r="D110" s="24" t="s">
        <v>1745</v>
      </c>
      <c r="E110" s="269" t="s">
        <v>1748</v>
      </c>
      <c r="F110" s="24" t="s">
        <v>1747</v>
      </c>
      <c r="G110" s="248" t="s">
        <v>16</v>
      </c>
      <c r="H110" s="248" t="s">
        <v>1697</v>
      </c>
      <c r="I110" s="248" t="s">
        <v>1612</v>
      </c>
      <c r="J110" s="248" t="s">
        <v>1698</v>
      </c>
      <c r="K110" s="248" t="s">
        <v>1593</v>
      </c>
      <c r="L110" s="272"/>
      <c r="M110" s="286" t="s">
        <v>1588</v>
      </c>
      <c r="N110" s="286" t="s">
        <v>1588</v>
      </c>
      <c r="O110" s="286" t="s">
        <v>1588</v>
      </c>
      <c r="P110" s="286" t="s">
        <v>1588</v>
      </c>
      <c r="Q110" s="286" t="s">
        <v>1587</v>
      </c>
      <c r="R110" s="286" t="s">
        <v>1617</v>
      </c>
      <c r="S110" s="286" t="s">
        <v>1587</v>
      </c>
      <c r="T110" s="286" t="s">
        <v>1588</v>
      </c>
      <c r="U110" s="286" t="s">
        <v>1617</v>
      </c>
      <c r="V110" s="286" t="s">
        <v>1587</v>
      </c>
      <c r="W110" s="286" t="s">
        <v>1588</v>
      </c>
      <c r="X110" s="286" t="s">
        <v>1588</v>
      </c>
      <c r="Y110" s="286" t="s">
        <v>1589</v>
      </c>
      <c r="Z110" s="286" t="s">
        <v>1587</v>
      </c>
      <c r="AA110" s="286" t="s">
        <v>1589</v>
      </c>
      <c r="AB110" s="286" t="s">
        <v>1587</v>
      </c>
      <c r="AC110" s="286" t="s">
        <v>1589</v>
      </c>
      <c r="AD110" s="286" t="s">
        <v>1587</v>
      </c>
      <c r="AE110" s="286" t="s">
        <v>1588</v>
      </c>
      <c r="AF110" s="286" t="s">
        <v>1617</v>
      </c>
      <c r="AG110" s="283">
        <v>8</v>
      </c>
      <c r="AH110" s="287" t="s">
        <v>19</v>
      </c>
      <c r="AI110" s="272"/>
      <c r="AJ110" s="288" t="s">
        <v>2032</v>
      </c>
      <c r="AK110" s="288" t="s">
        <v>2032</v>
      </c>
      <c r="AL110" s="288" t="s">
        <v>2032</v>
      </c>
      <c r="AM110" s="288" t="s">
        <v>2032</v>
      </c>
      <c r="AN110" s="288" t="s">
        <v>2032</v>
      </c>
      <c r="AO110" s="288" t="s">
        <v>2032</v>
      </c>
      <c r="AP110" s="288" t="s">
        <v>2032</v>
      </c>
      <c r="AQ110" s="288" t="s">
        <v>2032</v>
      </c>
      <c r="AR110" s="288" t="s">
        <v>2032</v>
      </c>
      <c r="AS110" s="288" t="s">
        <v>2032</v>
      </c>
      <c r="AT110" s="288" t="s">
        <v>2032</v>
      </c>
      <c r="AU110" s="288" t="s">
        <v>2032</v>
      </c>
      <c r="AV110" s="288" t="s">
        <v>2032</v>
      </c>
      <c r="AW110" s="288" t="s">
        <v>2032</v>
      </c>
      <c r="AX110" s="288" t="s">
        <v>2032</v>
      </c>
      <c r="AY110" s="288" t="s">
        <v>2032</v>
      </c>
      <c r="AZ110" s="288" t="s">
        <v>2032</v>
      </c>
      <c r="BA110" s="288" t="s">
        <v>2032</v>
      </c>
      <c r="BB110" s="288" t="s">
        <v>2032</v>
      </c>
      <c r="BC110" s="288" t="s">
        <v>2032</v>
      </c>
      <c r="BD110" s="289">
        <f t="shared" si="0"/>
        <v>0</v>
      </c>
      <c r="BE110" s="287"/>
      <c r="BF110" s="272"/>
    </row>
    <row r="111" spans="1:58" ht="14.25" customHeight="1" x14ac:dyDescent="0.35">
      <c r="A111" s="68">
        <v>109</v>
      </c>
      <c r="B111" s="24" t="s">
        <v>1581</v>
      </c>
      <c r="C111" s="24">
        <v>2024</v>
      </c>
      <c r="D111" s="24" t="s">
        <v>1745</v>
      </c>
      <c r="E111" s="269" t="s">
        <v>1749</v>
      </c>
      <c r="F111" s="24" t="s">
        <v>1747</v>
      </c>
      <c r="G111" s="248" t="s">
        <v>37</v>
      </c>
      <c r="H111" s="248" t="s">
        <v>1699</v>
      </c>
      <c r="I111" s="248" t="s">
        <v>1700</v>
      </c>
      <c r="J111" s="248" t="s">
        <v>1701</v>
      </c>
      <c r="K111" s="248" t="s">
        <v>1593</v>
      </c>
      <c r="L111" s="272"/>
      <c r="M111" s="286" t="s">
        <v>1589</v>
      </c>
      <c r="N111" s="286" t="s">
        <v>1589</v>
      </c>
      <c r="O111" s="286" t="s">
        <v>1617</v>
      </c>
      <c r="P111" s="286" t="s">
        <v>1617</v>
      </c>
      <c r="Q111" s="286" t="s">
        <v>1617</v>
      </c>
      <c r="R111" s="286" t="s">
        <v>1617</v>
      </c>
      <c r="S111" s="286" t="s">
        <v>1617</v>
      </c>
      <c r="T111" s="286" t="s">
        <v>1589</v>
      </c>
      <c r="U111" s="286" t="s">
        <v>1617</v>
      </c>
      <c r="V111" s="286" t="s">
        <v>1587</v>
      </c>
      <c r="W111" s="286" t="s">
        <v>1617</v>
      </c>
      <c r="X111" s="286" t="s">
        <v>1617</v>
      </c>
      <c r="Y111" s="286" t="s">
        <v>1617</v>
      </c>
      <c r="Z111" s="286" t="s">
        <v>1589</v>
      </c>
      <c r="AA111" s="286" t="s">
        <v>1588</v>
      </c>
      <c r="AB111" s="286" t="s">
        <v>1617</v>
      </c>
      <c r="AC111" s="286" t="s">
        <v>1587</v>
      </c>
      <c r="AD111" s="286" t="s">
        <v>1588</v>
      </c>
      <c r="AE111" s="286" t="s">
        <v>1589</v>
      </c>
      <c r="AF111" s="286" t="s">
        <v>1617</v>
      </c>
      <c r="AG111" s="283">
        <v>18</v>
      </c>
      <c r="AH111" s="287" t="s">
        <v>25</v>
      </c>
      <c r="AI111" s="272"/>
      <c r="AJ111" s="288" t="s">
        <v>2032</v>
      </c>
      <c r="AK111" s="288" t="s">
        <v>2032</v>
      </c>
      <c r="AL111" s="288" t="s">
        <v>2032</v>
      </c>
      <c r="AM111" s="288" t="s">
        <v>2032</v>
      </c>
      <c r="AN111" s="288" t="s">
        <v>2032</v>
      </c>
      <c r="AO111" s="288" t="s">
        <v>2032</v>
      </c>
      <c r="AP111" s="288" t="s">
        <v>2032</v>
      </c>
      <c r="AQ111" s="288" t="s">
        <v>2032</v>
      </c>
      <c r="AR111" s="288" t="s">
        <v>2032</v>
      </c>
      <c r="AS111" s="288" t="s">
        <v>2032</v>
      </c>
      <c r="AT111" s="288" t="s">
        <v>2032</v>
      </c>
      <c r="AU111" s="288" t="s">
        <v>2032</v>
      </c>
      <c r="AV111" s="288" t="s">
        <v>2032</v>
      </c>
      <c r="AW111" s="288" t="s">
        <v>2032</v>
      </c>
      <c r="AX111" s="288" t="s">
        <v>2032</v>
      </c>
      <c r="AY111" s="288" t="s">
        <v>2032</v>
      </c>
      <c r="AZ111" s="288" t="s">
        <v>2032</v>
      </c>
      <c r="BA111" s="288" t="s">
        <v>2032</v>
      </c>
      <c r="BB111" s="288" t="s">
        <v>2032</v>
      </c>
      <c r="BC111" s="288" t="s">
        <v>2032</v>
      </c>
      <c r="BD111" s="289">
        <f t="shared" si="0"/>
        <v>0</v>
      </c>
      <c r="BE111" s="287"/>
      <c r="BF111" s="272"/>
    </row>
    <row r="112" spans="1:58" ht="14.25" customHeight="1" x14ac:dyDescent="0.35">
      <c r="A112" s="68">
        <v>110</v>
      </c>
      <c r="B112" s="24" t="s">
        <v>1581</v>
      </c>
      <c r="C112" s="24">
        <v>2024</v>
      </c>
      <c r="D112" s="24" t="s">
        <v>1745</v>
      </c>
      <c r="E112" s="269" t="s">
        <v>1749</v>
      </c>
      <c r="F112" s="24" t="s">
        <v>1747</v>
      </c>
      <c r="G112" s="248" t="s">
        <v>37</v>
      </c>
      <c r="H112" s="248" t="s">
        <v>1702</v>
      </c>
      <c r="I112" s="248" t="s">
        <v>1612</v>
      </c>
      <c r="J112" s="248" t="s">
        <v>1703</v>
      </c>
      <c r="K112" s="248" t="s">
        <v>1593</v>
      </c>
      <c r="L112" s="272"/>
      <c r="M112" s="286" t="s">
        <v>1589</v>
      </c>
      <c r="N112" s="286" t="s">
        <v>1589</v>
      </c>
      <c r="O112" s="286" t="s">
        <v>1617</v>
      </c>
      <c r="P112" s="286" t="s">
        <v>1587</v>
      </c>
      <c r="Q112" s="286" t="s">
        <v>1588</v>
      </c>
      <c r="R112" s="286" t="s">
        <v>1617</v>
      </c>
      <c r="S112" s="286" t="s">
        <v>1589</v>
      </c>
      <c r="T112" s="286"/>
      <c r="U112" s="286" t="s">
        <v>1617</v>
      </c>
      <c r="V112" s="286" t="s">
        <v>1588</v>
      </c>
      <c r="W112" s="286" t="s">
        <v>1617</v>
      </c>
      <c r="X112" s="286" t="s">
        <v>1617</v>
      </c>
      <c r="Y112" s="286" t="s">
        <v>1617</v>
      </c>
      <c r="Z112" s="286" t="s">
        <v>1589</v>
      </c>
      <c r="AA112" s="286" t="s">
        <v>1588</v>
      </c>
      <c r="AB112" s="286" t="s">
        <v>1617</v>
      </c>
      <c r="AC112" s="286" t="s">
        <v>1587</v>
      </c>
      <c r="AD112" s="286" t="s">
        <v>1588</v>
      </c>
      <c r="AE112" s="286" t="s">
        <v>1589</v>
      </c>
      <c r="AF112" s="286" t="s">
        <v>1617</v>
      </c>
      <c r="AG112" s="283">
        <v>17</v>
      </c>
      <c r="AH112" s="287" t="s">
        <v>25</v>
      </c>
      <c r="AI112" s="272"/>
      <c r="AJ112" s="288" t="s">
        <v>2032</v>
      </c>
      <c r="AK112" s="288" t="s">
        <v>2032</v>
      </c>
      <c r="AL112" s="288" t="s">
        <v>2032</v>
      </c>
      <c r="AM112" s="288" t="s">
        <v>2032</v>
      </c>
      <c r="AN112" s="288" t="s">
        <v>2032</v>
      </c>
      <c r="AO112" s="288" t="s">
        <v>2032</v>
      </c>
      <c r="AP112" s="288" t="s">
        <v>2032</v>
      </c>
      <c r="AQ112" s="288" t="s">
        <v>2032</v>
      </c>
      <c r="AR112" s="288" t="s">
        <v>2032</v>
      </c>
      <c r="AS112" s="288" t="s">
        <v>2032</v>
      </c>
      <c r="AT112" s="288" t="s">
        <v>2032</v>
      </c>
      <c r="AU112" s="288" t="s">
        <v>2032</v>
      </c>
      <c r="AV112" s="288" t="s">
        <v>2032</v>
      </c>
      <c r="AW112" s="288" t="s">
        <v>2032</v>
      </c>
      <c r="AX112" s="288" t="s">
        <v>2032</v>
      </c>
      <c r="AY112" s="288" t="s">
        <v>2032</v>
      </c>
      <c r="AZ112" s="288" t="s">
        <v>2032</v>
      </c>
      <c r="BA112" s="288" t="s">
        <v>2032</v>
      </c>
      <c r="BB112" s="288" t="s">
        <v>2032</v>
      </c>
      <c r="BC112" s="288" t="s">
        <v>2032</v>
      </c>
      <c r="BD112" s="289">
        <f t="shared" si="0"/>
        <v>0</v>
      </c>
      <c r="BE112" s="287"/>
      <c r="BF112" s="272"/>
    </row>
    <row r="113" spans="1:58" ht="14.25" customHeight="1" x14ac:dyDescent="0.35">
      <c r="A113" s="68">
        <v>111</v>
      </c>
      <c r="B113" s="24" t="s">
        <v>1581</v>
      </c>
      <c r="C113" s="24">
        <v>2024</v>
      </c>
      <c r="D113" s="24" t="s">
        <v>1745</v>
      </c>
      <c r="E113" s="269" t="s">
        <v>1749</v>
      </c>
      <c r="F113" s="24" t="s">
        <v>1747</v>
      </c>
      <c r="G113" s="248" t="s">
        <v>37</v>
      </c>
      <c r="H113" s="248" t="s">
        <v>1640</v>
      </c>
      <c r="I113" s="248" t="s">
        <v>1704</v>
      </c>
      <c r="J113" s="248" t="s">
        <v>1705</v>
      </c>
      <c r="K113" s="248" t="s">
        <v>1586</v>
      </c>
      <c r="L113" s="272"/>
      <c r="M113" s="286" t="s">
        <v>1589</v>
      </c>
      <c r="N113" s="286" t="s">
        <v>1589</v>
      </c>
      <c r="O113" s="286" t="s">
        <v>1617</v>
      </c>
      <c r="P113" s="286" t="s">
        <v>1617</v>
      </c>
      <c r="Q113" s="286" t="s">
        <v>1617</v>
      </c>
      <c r="R113" s="286" t="s">
        <v>1617</v>
      </c>
      <c r="S113" s="286" t="s">
        <v>1588</v>
      </c>
      <c r="T113" s="286" t="s">
        <v>1589</v>
      </c>
      <c r="U113" s="286" t="s">
        <v>1617</v>
      </c>
      <c r="V113" s="286" t="s">
        <v>1589</v>
      </c>
      <c r="W113" s="286" t="s">
        <v>1588</v>
      </c>
      <c r="X113" s="286" t="s">
        <v>1617</v>
      </c>
      <c r="Y113" s="286" t="s">
        <v>1617</v>
      </c>
      <c r="Z113" s="286" t="s">
        <v>1589</v>
      </c>
      <c r="AA113" s="286" t="s">
        <v>1587</v>
      </c>
      <c r="AB113" s="286" t="s">
        <v>1617</v>
      </c>
      <c r="AC113" s="286" t="s">
        <v>1587</v>
      </c>
      <c r="AD113" s="286" t="s">
        <v>1589</v>
      </c>
      <c r="AE113" s="286" t="s">
        <v>1588</v>
      </c>
      <c r="AF113" s="286" t="s">
        <v>1617</v>
      </c>
      <c r="AG113" s="283">
        <v>13</v>
      </c>
      <c r="AH113" s="287" t="s">
        <v>23</v>
      </c>
      <c r="AI113" s="272"/>
      <c r="AJ113" s="288" t="s">
        <v>2032</v>
      </c>
      <c r="AK113" s="288" t="s">
        <v>2032</v>
      </c>
      <c r="AL113" s="288" t="s">
        <v>2032</v>
      </c>
      <c r="AM113" s="288" t="s">
        <v>2032</v>
      </c>
      <c r="AN113" s="288" t="s">
        <v>2032</v>
      </c>
      <c r="AO113" s="288" t="s">
        <v>2032</v>
      </c>
      <c r="AP113" s="288" t="s">
        <v>2032</v>
      </c>
      <c r="AQ113" s="288" t="s">
        <v>2032</v>
      </c>
      <c r="AR113" s="288" t="s">
        <v>2032</v>
      </c>
      <c r="AS113" s="288" t="s">
        <v>2032</v>
      </c>
      <c r="AT113" s="288" t="s">
        <v>2032</v>
      </c>
      <c r="AU113" s="288" t="s">
        <v>2032</v>
      </c>
      <c r="AV113" s="288" t="s">
        <v>2032</v>
      </c>
      <c r="AW113" s="288" t="s">
        <v>2032</v>
      </c>
      <c r="AX113" s="288" t="s">
        <v>2032</v>
      </c>
      <c r="AY113" s="288" t="s">
        <v>2032</v>
      </c>
      <c r="AZ113" s="288" t="s">
        <v>2032</v>
      </c>
      <c r="BA113" s="288" t="s">
        <v>2032</v>
      </c>
      <c r="BB113" s="288" t="s">
        <v>2032</v>
      </c>
      <c r="BC113" s="288" t="s">
        <v>2032</v>
      </c>
      <c r="BD113" s="289">
        <f t="shared" si="0"/>
        <v>0</v>
      </c>
      <c r="BE113" s="287"/>
      <c r="BF113" s="272"/>
    </row>
    <row r="114" spans="1:58" ht="14.25" customHeight="1" x14ac:dyDescent="0.35">
      <c r="A114" s="68">
        <v>112</v>
      </c>
      <c r="B114" s="24" t="s">
        <v>1581</v>
      </c>
      <c r="C114" s="24">
        <v>2024</v>
      </c>
      <c r="D114" s="24" t="s">
        <v>1745</v>
      </c>
      <c r="E114" s="269" t="s">
        <v>1749</v>
      </c>
      <c r="F114" s="24" t="s">
        <v>1747</v>
      </c>
      <c r="G114" s="248" t="s">
        <v>37</v>
      </c>
      <c r="H114" s="248" t="s">
        <v>1595</v>
      </c>
      <c r="I114" s="248" t="s">
        <v>1706</v>
      </c>
      <c r="J114" s="248" t="s">
        <v>1707</v>
      </c>
      <c r="K114" s="248" t="s">
        <v>1593</v>
      </c>
      <c r="L114" s="272"/>
      <c r="M114" s="286" t="s">
        <v>1588</v>
      </c>
      <c r="N114" s="286" t="s">
        <v>1589</v>
      </c>
      <c r="O114" s="286" t="s">
        <v>1589</v>
      </c>
      <c r="P114" s="286" t="s">
        <v>1587</v>
      </c>
      <c r="Q114" s="286" t="s">
        <v>1588</v>
      </c>
      <c r="R114" s="286" t="s">
        <v>1617</v>
      </c>
      <c r="S114" s="286" t="s">
        <v>1589</v>
      </c>
      <c r="T114" s="286" t="s">
        <v>1617</v>
      </c>
      <c r="U114" s="286" t="s">
        <v>1589</v>
      </c>
      <c r="V114" s="286" t="s">
        <v>1589</v>
      </c>
      <c r="W114" s="286" t="s">
        <v>1588</v>
      </c>
      <c r="X114" s="286" t="s">
        <v>1617</v>
      </c>
      <c r="Y114" s="286" t="s">
        <v>1587</v>
      </c>
      <c r="Z114" s="286" t="s">
        <v>1589</v>
      </c>
      <c r="AA114" s="286" t="s">
        <v>1588</v>
      </c>
      <c r="AB114" s="286" t="s">
        <v>1617</v>
      </c>
      <c r="AC114" s="286" t="s">
        <v>1587</v>
      </c>
      <c r="AD114" s="286" t="s">
        <v>1588</v>
      </c>
      <c r="AE114" s="286" t="s">
        <v>1589</v>
      </c>
      <c r="AF114" s="286" t="s">
        <v>1617</v>
      </c>
      <c r="AG114" s="283">
        <v>12</v>
      </c>
      <c r="AH114" s="287" t="s">
        <v>23</v>
      </c>
      <c r="AI114" s="272"/>
      <c r="AJ114" s="288" t="s">
        <v>2032</v>
      </c>
      <c r="AK114" s="288" t="s">
        <v>2032</v>
      </c>
      <c r="AL114" s="288" t="s">
        <v>2032</v>
      </c>
      <c r="AM114" s="288" t="s">
        <v>2032</v>
      </c>
      <c r="AN114" s="288" t="s">
        <v>2032</v>
      </c>
      <c r="AO114" s="288" t="s">
        <v>2032</v>
      </c>
      <c r="AP114" s="288" t="s">
        <v>2032</v>
      </c>
      <c r="AQ114" s="288" t="s">
        <v>2032</v>
      </c>
      <c r="AR114" s="288" t="s">
        <v>2032</v>
      </c>
      <c r="AS114" s="288" t="s">
        <v>2032</v>
      </c>
      <c r="AT114" s="288" t="s">
        <v>2032</v>
      </c>
      <c r="AU114" s="288" t="s">
        <v>2032</v>
      </c>
      <c r="AV114" s="288" t="s">
        <v>2032</v>
      </c>
      <c r="AW114" s="288" t="s">
        <v>2032</v>
      </c>
      <c r="AX114" s="288" t="s">
        <v>2032</v>
      </c>
      <c r="AY114" s="288" t="s">
        <v>2032</v>
      </c>
      <c r="AZ114" s="288" t="s">
        <v>2032</v>
      </c>
      <c r="BA114" s="288" t="s">
        <v>2032</v>
      </c>
      <c r="BB114" s="288" t="s">
        <v>2032</v>
      </c>
      <c r="BC114" s="288" t="s">
        <v>2032</v>
      </c>
      <c r="BD114" s="289">
        <f t="shared" si="0"/>
        <v>0</v>
      </c>
      <c r="BE114" s="287"/>
      <c r="BF114" s="272"/>
    </row>
    <row r="115" spans="1:58" ht="14.25" customHeight="1" x14ac:dyDescent="0.35">
      <c r="A115" s="68">
        <v>113</v>
      </c>
      <c r="B115" s="24" t="s">
        <v>1581</v>
      </c>
      <c r="C115" s="24">
        <v>2024</v>
      </c>
      <c r="D115" s="24" t="s">
        <v>1745</v>
      </c>
      <c r="E115" s="269" t="s">
        <v>1749</v>
      </c>
      <c r="F115" s="24" t="s">
        <v>1747</v>
      </c>
      <c r="G115" s="248" t="s">
        <v>37</v>
      </c>
      <c r="H115" s="248" t="s">
        <v>1604</v>
      </c>
      <c r="I115" s="248" t="s">
        <v>1708</v>
      </c>
      <c r="J115" s="248" t="s">
        <v>1709</v>
      </c>
      <c r="K115" s="248" t="s">
        <v>1586</v>
      </c>
      <c r="L115" s="272"/>
      <c r="M115" s="286" t="s">
        <v>1589</v>
      </c>
      <c r="N115" s="286" t="s">
        <v>1589</v>
      </c>
      <c r="O115" s="286" t="s">
        <v>1617</v>
      </c>
      <c r="P115" s="286" t="s">
        <v>1587</v>
      </c>
      <c r="Q115" s="286" t="s">
        <v>1617</v>
      </c>
      <c r="R115" s="286" t="s">
        <v>1617</v>
      </c>
      <c r="S115" s="286" t="s">
        <v>1589</v>
      </c>
      <c r="T115" s="286" t="s">
        <v>1589</v>
      </c>
      <c r="U115" s="286" t="s">
        <v>1589</v>
      </c>
      <c r="V115" s="286" t="s">
        <v>1589</v>
      </c>
      <c r="W115" s="286" t="s">
        <v>1617</v>
      </c>
      <c r="X115" s="286" t="s">
        <v>1617</v>
      </c>
      <c r="Y115" s="286" t="s">
        <v>1617</v>
      </c>
      <c r="Z115" s="286" t="s">
        <v>1617</v>
      </c>
      <c r="AA115" s="286" t="s">
        <v>1588</v>
      </c>
      <c r="AB115" s="286" t="s">
        <v>1617</v>
      </c>
      <c r="AC115" s="286" t="s">
        <v>1587</v>
      </c>
      <c r="AD115" s="286" t="s">
        <v>1589</v>
      </c>
      <c r="AE115" s="286" t="s">
        <v>1588</v>
      </c>
      <c r="AF115" s="286" t="s">
        <v>1617</v>
      </c>
      <c r="AG115" s="283">
        <v>15</v>
      </c>
      <c r="AH115" s="287" t="s">
        <v>23</v>
      </c>
      <c r="AI115" s="272"/>
      <c r="AJ115" s="288" t="s">
        <v>2032</v>
      </c>
      <c r="AK115" s="288" t="s">
        <v>2032</v>
      </c>
      <c r="AL115" s="288" t="s">
        <v>2032</v>
      </c>
      <c r="AM115" s="288" t="s">
        <v>2032</v>
      </c>
      <c r="AN115" s="288" t="s">
        <v>2032</v>
      </c>
      <c r="AO115" s="288" t="s">
        <v>2032</v>
      </c>
      <c r="AP115" s="288" t="s">
        <v>2032</v>
      </c>
      <c r="AQ115" s="288" t="s">
        <v>2032</v>
      </c>
      <c r="AR115" s="288" t="s">
        <v>2032</v>
      </c>
      <c r="AS115" s="288" t="s">
        <v>2032</v>
      </c>
      <c r="AT115" s="288" t="s">
        <v>2032</v>
      </c>
      <c r="AU115" s="288" t="s">
        <v>2032</v>
      </c>
      <c r="AV115" s="288" t="s">
        <v>2032</v>
      </c>
      <c r="AW115" s="288" t="s">
        <v>2032</v>
      </c>
      <c r="AX115" s="288" t="s">
        <v>2032</v>
      </c>
      <c r="AY115" s="288" t="s">
        <v>2032</v>
      </c>
      <c r="AZ115" s="288" t="s">
        <v>2032</v>
      </c>
      <c r="BA115" s="288" t="s">
        <v>2032</v>
      </c>
      <c r="BB115" s="288" t="s">
        <v>2032</v>
      </c>
      <c r="BC115" s="288" t="s">
        <v>2032</v>
      </c>
      <c r="BD115" s="289">
        <f t="shared" si="0"/>
        <v>0</v>
      </c>
      <c r="BE115" s="287"/>
      <c r="BF115" s="272"/>
    </row>
    <row r="116" spans="1:58" ht="14.25" customHeight="1" x14ac:dyDescent="0.35">
      <c r="A116" s="68">
        <v>114</v>
      </c>
      <c r="B116" s="24" t="s">
        <v>1581</v>
      </c>
      <c r="C116" s="24">
        <v>2024</v>
      </c>
      <c r="D116" s="24" t="s">
        <v>1745</v>
      </c>
      <c r="E116" s="269" t="s">
        <v>1749</v>
      </c>
      <c r="F116" s="24" t="s">
        <v>1747</v>
      </c>
      <c r="G116" s="248" t="s">
        <v>37</v>
      </c>
      <c r="H116" s="248" t="s">
        <v>1710</v>
      </c>
      <c r="I116" s="248" t="s">
        <v>1711</v>
      </c>
      <c r="J116" s="248" t="s">
        <v>1712</v>
      </c>
      <c r="K116" s="248" t="s">
        <v>1593</v>
      </c>
      <c r="L116" s="272"/>
      <c r="M116" s="286" t="s">
        <v>1589</v>
      </c>
      <c r="N116" s="286" t="s">
        <v>1588</v>
      </c>
      <c r="O116" s="286" t="s">
        <v>1617</v>
      </c>
      <c r="P116" s="286" t="s">
        <v>1587</v>
      </c>
      <c r="Q116" s="286" t="s">
        <v>1617</v>
      </c>
      <c r="R116" s="286" t="s">
        <v>1617</v>
      </c>
      <c r="S116" s="286" t="s">
        <v>1587</v>
      </c>
      <c r="T116" s="286" t="s">
        <v>1617</v>
      </c>
      <c r="U116" s="286" t="s">
        <v>1589</v>
      </c>
      <c r="V116" s="286" t="s">
        <v>1617</v>
      </c>
      <c r="W116" s="286" t="s">
        <v>1617</v>
      </c>
      <c r="X116" s="286" t="s">
        <v>1589</v>
      </c>
      <c r="Y116" s="286" t="s">
        <v>1588</v>
      </c>
      <c r="Z116" s="286" t="s">
        <v>1587</v>
      </c>
      <c r="AA116" s="286" t="s">
        <v>1588</v>
      </c>
      <c r="AB116" s="286" t="s">
        <v>1617</v>
      </c>
      <c r="AC116" s="286" t="s">
        <v>1587</v>
      </c>
      <c r="AD116" s="286" t="s">
        <v>1588</v>
      </c>
      <c r="AE116" s="286" t="s">
        <v>1617</v>
      </c>
      <c r="AF116" s="286" t="s">
        <v>1588</v>
      </c>
      <c r="AG116" s="283">
        <v>10</v>
      </c>
      <c r="AH116" s="287" t="s">
        <v>19</v>
      </c>
      <c r="AI116" s="272"/>
      <c r="AJ116" s="288" t="s">
        <v>2032</v>
      </c>
      <c r="AK116" s="288" t="s">
        <v>2032</v>
      </c>
      <c r="AL116" s="288" t="s">
        <v>2032</v>
      </c>
      <c r="AM116" s="288" t="s">
        <v>2032</v>
      </c>
      <c r="AN116" s="288" t="s">
        <v>2032</v>
      </c>
      <c r="AO116" s="288" t="s">
        <v>2032</v>
      </c>
      <c r="AP116" s="288" t="s">
        <v>2032</v>
      </c>
      <c r="AQ116" s="288" t="s">
        <v>2032</v>
      </c>
      <c r="AR116" s="288" t="s">
        <v>2032</v>
      </c>
      <c r="AS116" s="288" t="s">
        <v>2032</v>
      </c>
      <c r="AT116" s="288" t="s">
        <v>2032</v>
      </c>
      <c r="AU116" s="288" t="s">
        <v>2032</v>
      </c>
      <c r="AV116" s="288" t="s">
        <v>2032</v>
      </c>
      <c r="AW116" s="288" t="s">
        <v>2032</v>
      </c>
      <c r="AX116" s="288" t="s">
        <v>2032</v>
      </c>
      <c r="AY116" s="288" t="s">
        <v>2032</v>
      </c>
      <c r="AZ116" s="288" t="s">
        <v>2032</v>
      </c>
      <c r="BA116" s="288" t="s">
        <v>2032</v>
      </c>
      <c r="BB116" s="288" t="s">
        <v>2032</v>
      </c>
      <c r="BC116" s="288" t="s">
        <v>2032</v>
      </c>
      <c r="BD116" s="289">
        <f t="shared" si="0"/>
        <v>0</v>
      </c>
      <c r="BE116" s="287"/>
      <c r="BF116" s="272"/>
    </row>
    <row r="117" spans="1:58" ht="14.25" customHeight="1" x14ac:dyDescent="0.35">
      <c r="A117" s="68">
        <v>115</v>
      </c>
      <c r="B117" s="24" t="s">
        <v>1581</v>
      </c>
      <c r="C117" s="24">
        <v>2024</v>
      </c>
      <c r="D117" s="24" t="s">
        <v>1745</v>
      </c>
      <c r="E117" s="269" t="s">
        <v>1749</v>
      </c>
      <c r="F117" s="24" t="s">
        <v>1747</v>
      </c>
      <c r="G117" s="248" t="s">
        <v>37</v>
      </c>
      <c r="H117" s="248" t="s">
        <v>1651</v>
      </c>
      <c r="I117" s="248" t="s">
        <v>1700</v>
      </c>
      <c r="J117" s="248" t="s">
        <v>1713</v>
      </c>
      <c r="K117" s="248" t="s">
        <v>1586</v>
      </c>
      <c r="L117" s="272"/>
      <c r="M117" s="286" t="s">
        <v>1589</v>
      </c>
      <c r="N117" s="286" t="s">
        <v>1589</v>
      </c>
      <c r="O117" s="286" t="s">
        <v>1589</v>
      </c>
      <c r="P117" s="286" t="s">
        <v>1587</v>
      </c>
      <c r="Q117" s="286" t="s">
        <v>1617</v>
      </c>
      <c r="R117" s="286" t="s">
        <v>1617</v>
      </c>
      <c r="S117" s="286" t="s">
        <v>1587</v>
      </c>
      <c r="T117" s="286" t="s">
        <v>1589</v>
      </c>
      <c r="U117" s="286" t="s">
        <v>1617</v>
      </c>
      <c r="V117" s="286" t="s">
        <v>1587</v>
      </c>
      <c r="W117" s="286" t="s">
        <v>1617</v>
      </c>
      <c r="X117" s="286" t="s">
        <v>1587</v>
      </c>
      <c r="Y117" s="286" t="s">
        <v>1617</v>
      </c>
      <c r="Z117" s="286" t="s">
        <v>1589</v>
      </c>
      <c r="AA117" s="286" t="s">
        <v>1588</v>
      </c>
      <c r="AB117" s="286" t="s">
        <v>1617</v>
      </c>
      <c r="AC117" s="286" t="s">
        <v>1587</v>
      </c>
      <c r="AD117" s="286" t="s">
        <v>1588</v>
      </c>
      <c r="AE117" s="286" t="s">
        <v>1589</v>
      </c>
      <c r="AF117" s="286" t="s">
        <v>1617</v>
      </c>
      <c r="AG117" s="283">
        <v>17</v>
      </c>
      <c r="AH117" s="287" t="s">
        <v>25</v>
      </c>
      <c r="AI117" s="272"/>
      <c r="AJ117" s="288" t="s">
        <v>2032</v>
      </c>
      <c r="AK117" s="288" t="s">
        <v>2032</v>
      </c>
      <c r="AL117" s="288" t="s">
        <v>2032</v>
      </c>
      <c r="AM117" s="288" t="s">
        <v>2032</v>
      </c>
      <c r="AN117" s="288" t="s">
        <v>2032</v>
      </c>
      <c r="AO117" s="288" t="s">
        <v>2032</v>
      </c>
      <c r="AP117" s="288" t="s">
        <v>2032</v>
      </c>
      <c r="AQ117" s="288" t="s">
        <v>2032</v>
      </c>
      <c r="AR117" s="288" t="s">
        <v>2032</v>
      </c>
      <c r="AS117" s="288" t="s">
        <v>2032</v>
      </c>
      <c r="AT117" s="288" t="s">
        <v>2032</v>
      </c>
      <c r="AU117" s="288" t="s">
        <v>2032</v>
      </c>
      <c r="AV117" s="288" t="s">
        <v>2032</v>
      </c>
      <c r="AW117" s="288" t="s">
        <v>2032</v>
      </c>
      <c r="AX117" s="288" t="s">
        <v>2032</v>
      </c>
      <c r="AY117" s="288" t="s">
        <v>2032</v>
      </c>
      <c r="AZ117" s="288" t="s">
        <v>2032</v>
      </c>
      <c r="BA117" s="288" t="s">
        <v>2032</v>
      </c>
      <c r="BB117" s="288" t="s">
        <v>2032</v>
      </c>
      <c r="BC117" s="288" t="s">
        <v>2032</v>
      </c>
      <c r="BD117" s="289">
        <f t="shared" si="0"/>
        <v>0</v>
      </c>
      <c r="BE117" s="287"/>
      <c r="BF117" s="272"/>
    </row>
    <row r="118" spans="1:58" ht="14.25" customHeight="1" x14ac:dyDescent="0.35">
      <c r="A118" s="68">
        <v>116</v>
      </c>
      <c r="B118" s="24" t="s">
        <v>1581</v>
      </c>
      <c r="C118" s="24">
        <v>2024</v>
      </c>
      <c r="D118" s="24" t="s">
        <v>1745</v>
      </c>
      <c r="E118" s="269" t="s">
        <v>1749</v>
      </c>
      <c r="F118" s="24" t="s">
        <v>1747</v>
      </c>
      <c r="G118" s="248" t="s">
        <v>37</v>
      </c>
      <c r="H118" s="248" t="s">
        <v>1714</v>
      </c>
      <c r="I118" s="248" t="s">
        <v>1715</v>
      </c>
      <c r="J118" s="248" t="s">
        <v>1716</v>
      </c>
      <c r="K118" s="248" t="s">
        <v>1586</v>
      </c>
      <c r="L118" s="272"/>
      <c r="M118" s="286" t="s">
        <v>1589</v>
      </c>
      <c r="N118" s="286" t="s">
        <v>1589</v>
      </c>
      <c r="O118" s="286" t="s">
        <v>1617</v>
      </c>
      <c r="P118" s="286" t="s">
        <v>1587</v>
      </c>
      <c r="Q118" s="286" t="s">
        <v>1617</v>
      </c>
      <c r="R118" s="286" t="s">
        <v>1617</v>
      </c>
      <c r="S118" s="286" t="s">
        <v>1617</v>
      </c>
      <c r="T118" s="286" t="s">
        <v>1589</v>
      </c>
      <c r="U118" s="286" t="s">
        <v>1617</v>
      </c>
      <c r="V118" s="286" t="s">
        <v>1588</v>
      </c>
      <c r="W118" s="286" t="s">
        <v>1617</v>
      </c>
      <c r="X118" s="286" t="s">
        <v>1617</v>
      </c>
      <c r="Y118" s="286" t="s">
        <v>1617</v>
      </c>
      <c r="Z118" s="286" t="s">
        <v>1617</v>
      </c>
      <c r="AA118" s="286" t="s">
        <v>1588</v>
      </c>
      <c r="AB118" s="286" t="s">
        <v>1617</v>
      </c>
      <c r="AC118" s="286" t="s">
        <v>1587</v>
      </c>
      <c r="AD118" s="286" t="s">
        <v>1588</v>
      </c>
      <c r="AE118" s="286" t="s">
        <v>1588</v>
      </c>
      <c r="AF118" s="286" t="s">
        <v>1617</v>
      </c>
      <c r="AG118" s="283">
        <v>16</v>
      </c>
      <c r="AH118" s="287" t="s">
        <v>23</v>
      </c>
      <c r="AI118" s="272"/>
      <c r="AJ118" s="288" t="s">
        <v>2032</v>
      </c>
      <c r="AK118" s="288" t="s">
        <v>2032</v>
      </c>
      <c r="AL118" s="288" t="s">
        <v>2032</v>
      </c>
      <c r="AM118" s="288" t="s">
        <v>2032</v>
      </c>
      <c r="AN118" s="288" t="s">
        <v>2032</v>
      </c>
      <c r="AO118" s="288" t="s">
        <v>2032</v>
      </c>
      <c r="AP118" s="288" t="s">
        <v>2032</v>
      </c>
      <c r="AQ118" s="288" t="s">
        <v>2032</v>
      </c>
      <c r="AR118" s="288" t="s">
        <v>2032</v>
      </c>
      <c r="AS118" s="288" t="s">
        <v>2032</v>
      </c>
      <c r="AT118" s="288" t="s">
        <v>2032</v>
      </c>
      <c r="AU118" s="288" t="s">
        <v>2032</v>
      </c>
      <c r="AV118" s="288" t="s">
        <v>2032</v>
      </c>
      <c r="AW118" s="288" t="s">
        <v>2032</v>
      </c>
      <c r="AX118" s="288" t="s">
        <v>2032</v>
      </c>
      <c r="AY118" s="288" t="s">
        <v>2032</v>
      </c>
      <c r="AZ118" s="288" t="s">
        <v>2032</v>
      </c>
      <c r="BA118" s="288" t="s">
        <v>2032</v>
      </c>
      <c r="BB118" s="288" t="s">
        <v>2032</v>
      </c>
      <c r="BC118" s="288" t="s">
        <v>2032</v>
      </c>
      <c r="BD118" s="289">
        <f t="shared" si="0"/>
        <v>0</v>
      </c>
      <c r="BE118" s="287"/>
      <c r="BF118" s="272"/>
    </row>
    <row r="119" spans="1:58" ht="14.25" customHeight="1" x14ac:dyDescent="0.35">
      <c r="A119" s="68">
        <v>117</v>
      </c>
      <c r="B119" s="24" t="s">
        <v>1581</v>
      </c>
      <c r="C119" s="24">
        <v>2024</v>
      </c>
      <c r="D119" s="24" t="s">
        <v>1745</v>
      </c>
      <c r="E119" s="269" t="s">
        <v>1749</v>
      </c>
      <c r="F119" s="24" t="s">
        <v>1747</v>
      </c>
      <c r="G119" s="248" t="s">
        <v>37</v>
      </c>
      <c r="H119" s="248" t="s">
        <v>1717</v>
      </c>
      <c r="I119" s="248" t="s">
        <v>1718</v>
      </c>
      <c r="J119" s="248" t="s">
        <v>1719</v>
      </c>
      <c r="K119" s="248" t="s">
        <v>1593</v>
      </c>
      <c r="L119" s="272"/>
      <c r="M119" s="286" t="s">
        <v>1589</v>
      </c>
      <c r="N119" s="286" t="s">
        <v>1589</v>
      </c>
      <c r="O119" s="286" t="s">
        <v>1617</v>
      </c>
      <c r="P119" s="286" t="s">
        <v>1617</v>
      </c>
      <c r="Q119" s="286" t="s">
        <v>1617</v>
      </c>
      <c r="R119" s="286" t="s">
        <v>1617</v>
      </c>
      <c r="S119" s="286" t="s">
        <v>1588</v>
      </c>
      <c r="T119" s="286" t="s">
        <v>1589</v>
      </c>
      <c r="U119" s="286" t="s">
        <v>1587</v>
      </c>
      <c r="V119" s="286" t="s">
        <v>1588</v>
      </c>
      <c r="W119" s="286" t="s">
        <v>1617</v>
      </c>
      <c r="X119" s="286" t="s">
        <v>1588</v>
      </c>
      <c r="Y119" s="286" t="s">
        <v>1588</v>
      </c>
      <c r="Z119" s="286" t="s">
        <v>1617</v>
      </c>
      <c r="AA119" s="286" t="s">
        <v>1588</v>
      </c>
      <c r="AB119" s="286" t="s">
        <v>1617</v>
      </c>
      <c r="AC119" s="286" t="s">
        <v>1587</v>
      </c>
      <c r="AD119" s="286" t="s">
        <v>1588</v>
      </c>
      <c r="AE119" s="286" t="s">
        <v>1589</v>
      </c>
      <c r="AF119" s="286" t="s">
        <v>1617</v>
      </c>
      <c r="AG119" s="283">
        <v>13</v>
      </c>
      <c r="AH119" s="287" t="s">
        <v>23</v>
      </c>
      <c r="AI119" s="272"/>
      <c r="AJ119" s="288" t="s">
        <v>2032</v>
      </c>
      <c r="AK119" s="288" t="s">
        <v>2032</v>
      </c>
      <c r="AL119" s="288" t="s">
        <v>2032</v>
      </c>
      <c r="AM119" s="288" t="s">
        <v>2032</v>
      </c>
      <c r="AN119" s="288" t="s">
        <v>2032</v>
      </c>
      <c r="AO119" s="288" t="s">
        <v>2032</v>
      </c>
      <c r="AP119" s="288" t="s">
        <v>2032</v>
      </c>
      <c r="AQ119" s="288" t="s">
        <v>2032</v>
      </c>
      <c r="AR119" s="288" t="s">
        <v>2032</v>
      </c>
      <c r="AS119" s="288" t="s">
        <v>2032</v>
      </c>
      <c r="AT119" s="288" t="s">
        <v>2032</v>
      </c>
      <c r="AU119" s="288" t="s">
        <v>2032</v>
      </c>
      <c r="AV119" s="288" t="s">
        <v>2032</v>
      </c>
      <c r="AW119" s="288" t="s">
        <v>2032</v>
      </c>
      <c r="AX119" s="288" t="s">
        <v>2032</v>
      </c>
      <c r="AY119" s="288" t="s">
        <v>2032</v>
      </c>
      <c r="AZ119" s="288" t="s">
        <v>2032</v>
      </c>
      <c r="BA119" s="288" t="s">
        <v>2032</v>
      </c>
      <c r="BB119" s="288" t="s">
        <v>2032</v>
      </c>
      <c r="BC119" s="288" t="s">
        <v>2032</v>
      </c>
      <c r="BD119" s="289">
        <f t="shared" si="0"/>
        <v>0</v>
      </c>
      <c r="BE119" s="287"/>
      <c r="BF119" s="272"/>
    </row>
    <row r="120" spans="1:58" ht="14.25" customHeight="1" x14ac:dyDescent="0.35">
      <c r="A120" s="68">
        <v>118</v>
      </c>
      <c r="B120" s="24" t="s">
        <v>1581</v>
      </c>
      <c r="C120" s="24">
        <v>2024</v>
      </c>
      <c r="D120" s="24" t="s">
        <v>1745</v>
      </c>
      <c r="E120" s="269" t="s">
        <v>1749</v>
      </c>
      <c r="F120" s="24" t="s">
        <v>1747</v>
      </c>
      <c r="G120" s="248" t="s">
        <v>37</v>
      </c>
      <c r="H120" s="248" t="s">
        <v>1720</v>
      </c>
      <c r="I120" s="248" t="s">
        <v>1612</v>
      </c>
      <c r="J120" s="248" t="s">
        <v>1721</v>
      </c>
      <c r="K120" s="248" t="s">
        <v>1586</v>
      </c>
      <c r="L120" s="272"/>
      <c r="M120" s="286" t="s">
        <v>1589</v>
      </c>
      <c r="N120" s="286" t="s">
        <v>1587</v>
      </c>
      <c r="O120" s="286" t="s">
        <v>1617</v>
      </c>
      <c r="P120" s="286" t="s">
        <v>1587</v>
      </c>
      <c r="Q120" s="286" t="s">
        <v>1617</v>
      </c>
      <c r="R120" s="286" t="s">
        <v>1588</v>
      </c>
      <c r="S120" s="286" t="s">
        <v>1587</v>
      </c>
      <c r="T120" s="286" t="s">
        <v>1588</v>
      </c>
      <c r="U120" s="286" t="s">
        <v>1588</v>
      </c>
      <c r="V120" s="286" t="s">
        <v>1589</v>
      </c>
      <c r="W120" s="286" t="s">
        <v>1617</v>
      </c>
      <c r="X120" s="286" t="s">
        <v>1588</v>
      </c>
      <c r="Y120" s="286" t="s">
        <v>1589</v>
      </c>
      <c r="Z120" s="286" t="s">
        <v>1587</v>
      </c>
      <c r="AA120" s="286" t="s">
        <v>1587</v>
      </c>
      <c r="AB120" s="286" t="s">
        <v>1589</v>
      </c>
      <c r="AC120" s="286" t="s">
        <v>1588</v>
      </c>
      <c r="AD120" s="286" t="s">
        <v>1588</v>
      </c>
      <c r="AE120" s="286" t="s">
        <v>1589</v>
      </c>
      <c r="AF120" s="286" t="s">
        <v>1589</v>
      </c>
      <c r="AG120" s="283">
        <v>7</v>
      </c>
      <c r="AH120" s="287" t="s">
        <v>19</v>
      </c>
      <c r="AI120" s="272"/>
      <c r="AJ120" s="288" t="s">
        <v>2032</v>
      </c>
      <c r="AK120" s="288" t="s">
        <v>2032</v>
      </c>
      <c r="AL120" s="288" t="s">
        <v>2032</v>
      </c>
      <c r="AM120" s="288" t="s">
        <v>2032</v>
      </c>
      <c r="AN120" s="288" t="s">
        <v>2032</v>
      </c>
      <c r="AO120" s="288" t="s">
        <v>2032</v>
      </c>
      <c r="AP120" s="288" t="s">
        <v>2032</v>
      </c>
      <c r="AQ120" s="288" t="s">
        <v>2032</v>
      </c>
      <c r="AR120" s="288" t="s">
        <v>2032</v>
      </c>
      <c r="AS120" s="288" t="s">
        <v>2032</v>
      </c>
      <c r="AT120" s="288" t="s">
        <v>2032</v>
      </c>
      <c r="AU120" s="288" t="s">
        <v>2032</v>
      </c>
      <c r="AV120" s="288" t="s">
        <v>2032</v>
      </c>
      <c r="AW120" s="288" t="s">
        <v>2032</v>
      </c>
      <c r="AX120" s="288" t="s">
        <v>2032</v>
      </c>
      <c r="AY120" s="288" t="s">
        <v>2032</v>
      </c>
      <c r="AZ120" s="288" t="s">
        <v>2032</v>
      </c>
      <c r="BA120" s="288" t="s">
        <v>2032</v>
      </c>
      <c r="BB120" s="288" t="s">
        <v>2032</v>
      </c>
      <c r="BC120" s="288" t="s">
        <v>2032</v>
      </c>
      <c r="BD120" s="289">
        <f t="shared" si="0"/>
        <v>0</v>
      </c>
      <c r="BE120" s="287"/>
      <c r="BF120" s="272"/>
    </row>
    <row r="121" spans="1:58" ht="14.25" customHeight="1" x14ac:dyDescent="0.35">
      <c r="A121" s="68">
        <v>119</v>
      </c>
      <c r="B121" s="24" t="s">
        <v>1581</v>
      </c>
      <c r="C121" s="24">
        <v>2024</v>
      </c>
      <c r="D121" s="24" t="s">
        <v>1745</v>
      </c>
      <c r="E121" s="269" t="s">
        <v>1749</v>
      </c>
      <c r="F121" s="24" t="s">
        <v>1747</v>
      </c>
      <c r="G121" s="248" t="s">
        <v>37</v>
      </c>
      <c r="H121" s="248" t="s">
        <v>1722</v>
      </c>
      <c r="I121" s="248" t="s">
        <v>1665</v>
      </c>
      <c r="J121" s="248" t="s">
        <v>1723</v>
      </c>
      <c r="K121" s="248" t="s">
        <v>1593</v>
      </c>
      <c r="L121" s="272"/>
      <c r="M121" s="286" t="s">
        <v>1589</v>
      </c>
      <c r="N121" s="286" t="s">
        <v>1589</v>
      </c>
      <c r="O121" s="286" t="s">
        <v>1617</v>
      </c>
      <c r="P121" s="286" t="s">
        <v>1587</v>
      </c>
      <c r="Q121" s="286" t="s">
        <v>1617</v>
      </c>
      <c r="R121" s="286" t="s">
        <v>1617</v>
      </c>
      <c r="S121" s="286" t="s">
        <v>1588</v>
      </c>
      <c r="T121" s="286" t="s">
        <v>1617</v>
      </c>
      <c r="U121" s="286" t="s">
        <v>1617</v>
      </c>
      <c r="V121" s="286" t="s">
        <v>1588</v>
      </c>
      <c r="W121" s="286" t="s">
        <v>1617</v>
      </c>
      <c r="X121" s="286" t="s">
        <v>1587</v>
      </c>
      <c r="Y121" s="286" t="s">
        <v>1589</v>
      </c>
      <c r="Z121" s="286" t="s">
        <v>1617</v>
      </c>
      <c r="AA121" s="286" t="s">
        <v>1589</v>
      </c>
      <c r="AB121" s="286" t="s">
        <v>1617</v>
      </c>
      <c r="AC121" s="286" t="s">
        <v>1617</v>
      </c>
      <c r="AD121" s="286" t="s">
        <v>1588</v>
      </c>
      <c r="AE121" s="286" t="s">
        <v>1589</v>
      </c>
      <c r="AF121" s="286" t="s">
        <v>1617</v>
      </c>
      <c r="AG121" s="283">
        <v>12</v>
      </c>
      <c r="AH121" s="287" t="s">
        <v>23</v>
      </c>
      <c r="AI121" s="272"/>
      <c r="AJ121" s="288" t="s">
        <v>2032</v>
      </c>
      <c r="AK121" s="288" t="s">
        <v>2032</v>
      </c>
      <c r="AL121" s="288" t="s">
        <v>2032</v>
      </c>
      <c r="AM121" s="288" t="s">
        <v>2032</v>
      </c>
      <c r="AN121" s="288" t="s">
        <v>2032</v>
      </c>
      <c r="AO121" s="288" t="s">
        <v>2032</v>
      </c>
      <c r="AP121" s="288" t="s">
        <v>2032</v>
      </c>
      <c r="AQ121" s="288" t="s">
        <v>2032</v>
      </c>
      <c r="AR121" s="288" t="s">
        <v>2032</v>
      </c>
      <c r="AS121" s="288" t="s">
        <v>2032</v>
      </c>
      <c r="AT121" s="288" t="s">
        <v>2032</v>
      </c>
      <c r="AU121" s="288" t="s">
        <v>2032</v>
      </c>
      <c r="AV121" s="288" t="s">
        <v>2032</v>
      </c>
      <c r="AW121" s="288" t="s">
        <v>2032</v>
      </c>
      <c r="AX121" s="288" t="s">
        <v>2032</v>
      </c>
      <c r="AY121" s="288" t="s">
        <v>2032</v>
      </c>
      <c r="AZ121" s="288" t="s">
        <v>2032</v>
      </c>
      <c r="BA121" s="288" t="s">
        <v>2032</v>
      </c>
      <c r="BB121" s="288" t="s">
        <v>2032</v>
      </c>
      <c r="BC121" s="288" t="s">
        <v>2032</v>
      </c>
      <c r="BD121" s="289">
        <f t="shared" si="0"/>
        <v>0</v>
      </c>
      <c r="BE121" s="287"/>
      <c r="BF121" s="272"/>
    </row>
    <row r="122" spans="1:58" ht="14.25" customHeight="1" x14ac:dyDescent="0.35">
      <c r="A122" s="68">
        <v>120</v>
      </c>
      <c r="B122" s="24" t="s">
        <v>1581</v>
      </c>
      <c r="C122" s="24">
        <v>2024</v>
      </c>
      <c r="D122" s="24" t="s">
        <v>1745</v>
      </c>
      <c r="E122" s="269" t="s">
        <v>1749</v>
      </c>
      <c r="F122" s="24" t="s">
        <v>1747</v>
      </c>
      <c r="G122" s="248" t="s">
        <v>37</v>
      </c>
      <c r="H122" s="248" t="s">
        <v>1724</v>
      </c>
      <c r="I122" s="248" t="s">
        <v>1595</v>
      </c>
      <c r="J122" s="248" t="s">
        <v>1725</v>
      </c>
      <c r="K122" s="248" t="s">
        <v>1586</v>
      </c>
      <c r="L122" s="272"/>
      <c r="M122" s="286" t="s">
        <v>1589</v>
      </c>
      <c r="N122" s="286" t="s">
        <v>1589</v>
      </c>
      <c r="O122" s="286" t="s">
        <v>1617</v>
      </c>
      <c r="P122" s="286" t="s">
        <v>1587</v>
      </c>
      <c r="Q122" s="286" t="s">
        <v>1617</v>
      </c>
      <c r="R122" s="286" t="s">
        <v>1617</v>
      </c>
      <c r="S122" s="286" t="s">
        <v>1589</v>
      </c>
      <c r="T122" s="286" t="s">
        <v>1589</v>
      </c>
      <c r="U122" s="286" t="s">
        <v>1588</v>
      </c>
      <c r="V122" s="286" t="s">
        <v>1587</v>
      </c>
      <c r="W122" s="286" t="s">
        <v>1617</v>
      </c>
      <c r="X122" s="286" t="s">
        <v>1617</v>
      </c>
      <c r="Y122" s="286" t="s">
        <v>1617</v>
      </c>
      <c r="Z122" s="286" t="s">
        <v>1589</v>
      </c>
      <c r="AA122" s="286" t="s">
        <v>1617</v>
      </c>
      <c r="AB122" s="286" t="s">
        <v>1617</v>
      </c>
      <c r="AC122" s="286" t="s">
        <v>1587</v>
      </c>
      <c r="AD122" s="286" t="s">
        <v>1588</v>
      </c>
      <c r="AE122" s="286" t="s">
        <v>1589</v>
      </c>
      <c r="AF122" s="286" t="s">
        <v>1588</v>
      </c>
      <c r="AG122" s="283">
        <v>17</v>
      </c>
      <c r="AH122" s="287" t="s">
        <v>25</v>
      </c>
      <c r="AI122" s="272"/>
      <c r="AJ122" s="288" t="s">
        <v>2032</v>
      </c>
      <c r="AK122" s="288" t="s">
        <v>2032</v>
      </c>
      <c r="AL122" s="288" t="s">
        <v>2032</v>
      </c>
      <c r="AM122" s="288" t="s">
        <v>2032</v>
      </c>
      <c r="AN122" s="288" t="s">
        <v>2032</v>
      </c>
      <c r="AO122" s="288" t="s">
        <v>2032</v>
      </c>
      <c r="AP122" s="288" t="s">
        <v>2032</v>
      </c>
      <c r="AQ122" s="288" t="s">
        <v>2032</v>
      </c>
      <c r="AR122" s="288" t="s">
        <v>2032</v>
      </c>
      <c r="AS122" s="288" t="s">
        <v>2032</v>
      </c>
      <c r="AT122" s="288" t="s">
        <v>2032</v>
      </c>
      <c r="AU122" s="288" t="s">
        <v>2032</v>
      </c>
      <c r="AV122" s="288" t="s">
        <v>2032</v>
      </c>
      <c r="AW122" s="288" t="s">
        <v>2032</v>
      </c>
      <c r="AX122" s="288" t="s">
        <v>2032</v>
      </c>
      <c r="AY122" s="288" t="s">
        <v>2032</v>
      </c>
      <c r="AZ122" s="288" t="s">
        <v>2032</v>
      </c>
      <c r="BA122" s="288" t="s">
        <v>2032</v>
      </c>
      <c r="BB122" s="288" t="s">
        <v>2032</v>
      </c>
      <c r="BC122" s="288" t="s">
        <v>2032</v>
      </c>
      <c r="BD122" s="289">
        <f t="shared" si="0"/>
        <v>0</v>
      </c>
      <c r="BE122" s="287"/>
      <c r="BF122" s="272"/>
    </row>
    <row r="123" spans="1:58" ht="14.25" customHeight="1" x14ac:dyDescent="0.35">
      <c r="A123" s="68">
        <v>121</v>
      </c>
      <c r="B123" s="24" t="s">
        <v>1581</v>
      </c>
      <c r="C123" s="24">
        <v>2024</v>
      </c>
      <c r="D123" s="24" t="s">
        <v>1745</v>
      </c>
      <c r="E123" s="269" t="s">
        <v>1749</v>
      </c>
      <c r="F123" s="24" t="s">
        <v>1747</v>
      </c>
      <c r="G123" s="248" t="s">
        <v>37</v>
      </c>
      <c r="H123" s="248" t="s">
        <v>1726</v>
      </c>
      <c r="I123" s="248" t="s">
        <v>1672</v>
      </c>
      <c r="J123" s="248" t="s">
        <v>1727</v>
      </c>
      <c r="K123" s="248" t="s">
        <v>1593</v>
      </c>
      <c r="L123" s="272"/>
      <c r="M123" s="286" t="s">
        <v>1588</v>
      </c>
      <c r="N123" s="286" t="s">
        <v>1589</v>
      </c>
      <c r="O123" s="286" t="s">
        <v>1589</v>
      </c>
      <c r="P123" s="286" t="s">
        <v>1587</v>
      </c>
      <c r="Q123" s="286" t="s">
        <v>1617</v>
      </c>
      <c r="R123" s="286" t="s">
        <v>1617</v>
      </c>
      <c r="S123" s="286" t="s">
        <v>1589</v>
      </c>
      <c r="T123" s="286" t="s">
        <v>1589</v>
      </c>
      <c r="U123" s="286" t="s">
        <v>1617</v>
      </c>
      <c r="V123" s="286" t="s">
        <v>1587</v>
      </c>
      <c r="W123" s="286" t="s">
        <v>1617</v>
      </c>
      <c r="X123" s="286" t="s">
        <v>1617</v>
      </c>
      <c r="Y123" s="286" t="s">
        <v>1588</v>
      </c>
      <c r="Z123" s="286" t="s">
        <v>1589</v>
      </c>
      <c r="AA123" s="286" t="s">
        <v>1589</v>
      </c>
      <c r="AB123" s="286" t="s">
        <v>1589</v>
      </c>
      <c r="AC123" s="286" t="s">
        <v>1587</v>
      </c>
      <c r="AD123" s="286" t="s">
        <v>1588</v>
      </c>
      <c r="AE123" s="286" t="s">
        <v>1589</v>
      </c>
      <c r="AF123" s="286" t="s">
        <v>1617</v>
      </c>
      <c r="AG123" s="283">
        <v>15</v>
      </c>
      <c r="AH123" s="287" t="s">
        <v>23</v>
      </c>
      <c r="AI123" s="272"/>
      <c r="AJ123" s="288" t="s">
        <v>2032</v>
      </c>
      <c r="AK123" s="288" t="s">
        <v>2032</v>
      </c>
      <c r="AL123" s="288" t="s">
        <v>2032</v>
      </c>
      <c r="AM123" s="288" t="s">
        <v>2032</v>
      </c>
      <c r="AN123" s="288" t="s">
        <v>2032</v>
      </c>
      <c r="AO123" s="288" t="s">
        <v>2032</v>
      </c>
      <c r="AP123" s="288" t="s">
        <v>2032</v>
      </c>
      <c r="AQ123" s="288" t="s">
        <v>2032</v>
      </c>
      <c r="AR123" s="288" t="s">
        <v>2032</v>
      </c>
      <c r="AS123" s="288" t="s">
        <v>2032</v>
      </c>
      <c r="AT123" s="288" t="s">
        <v>2032</v>
      </c>
      <c r="AU123" s="288" t="s">
        <v>2032</v>
      </c>
      <c r="AV123" s="288" t="s">
        <v>2032</v>
      </c>
      <c r="AW123" s="288" t="s">
        <v>2032</v>
      </c>
      <c r="AX123" s="288" t="s">
        <v>2032</v>
      </c>
      <c r="AY123" s="288" t="s">
        <v>2032</v>
      </c>
      <c r="AZ123" s="288" t="s">
        <v>2032</v>
      </c>
      <c r="BA123" s="288" t="s">
        <v>2032</v>
      </c>
      <c r="BB123" s="288" t="s">
        <v>2032</v>
      </c>
      <c r="BC123" s="288" t="s">
        <v>2032</v>
      </c>
      <c r="BD123" s="289">
        <f t="shared" si="0"/>
        <v>0</v>
      </c>
      <c r="BE123" s="287"/>
      <c r="BF123" s="272"/>
    </row>
    <row r="124" spans="1:58" ht="14.25" customHeight="1" x14ac:dyDescent="0.35">
      <c r="A124" s="68">
        <v>122</v>
      </c>
      <c r="B124" s="24" t="s">
        <v>1581</v>
      </c>
      <c r="C124" s="24">
        <v>2024</v>
      </c>
      <c r="D124" s="24" t="s">
        <v>1745</v>
      </c>
      <c r="E124" s="269" t="s">
        <v>1749</v>
      </c>
      <c r="F124" s="24" t="s">
        <v>1747</v>
      </c>
      <c r="G124" s="248" t="s">
        <v>37</v>
      </c>
      <c r="H124" s="248" t="s">
        <v>1612</v>
      </c>
      <c r="I124" s="248" t="s">
        <v>1728</v>
      </c>
      <c r="J124" s="248" t="s">
        <v>1729</v>
      </c>
      <c r="K124" s="248" t="s">
        <v>1593</v>
      </c>
      <c r="L124" s="272"/>
      <c r="M124" s="286" t="s">
        <v>1589</v>
      </c>
      <c r="N124" s="286" t="s">
        <v>1588</v>
      </c>
      <c r="O124" s="286" t="s">
        <v>1617</v>
      </c>
      <c r="P124" s="286" t="s">
        <v>1587</v>
      </c>
      <c r="Q124" s="286" t="s">
        <v>1588</v>
      </c>
      <c r="R124" s="286" t="s">
        <v>1617</v>
      </c>
      <c r="S124" s="286" t="s">
        <v>1589</v>
      </c>
      <c r="T124" s="286" t="s">
        <v>1588</v>
      </c>
      <c r="U124" s="286" t="s">
        <v>1589</v>
      </c>
      <c r="V124" s="286" t="s">
        <v>1589</v>
      </c>
      <c r="W124" s="286" t="s">
        <v>1588</v>
      </c>
      <c r="X124" s="286" t="s">
        <v>1587</v>
      </c>
      <c r="Y124" s="286" t="s">
        <v>1588</v>
      </c>
      <c r="Z124" s="286" t="s">
        <v>1589</v>
      </c>
      <c r="AA124" s="286" t="s">
        <v>1588</v>
      </c>
      <c r="AB124" s="286" t="s">
        <v>1589</v>
      </c>
      <c r="AC124" s="286" t="s">
        <v>1587</v>
      </c>
      <c r="AD124" s="286" t="s">
        <v>1617</v>
      </c>
      <c r="AE124" s="286" t="s">
        <v>1588</v>
      </c>
      <c r="AF124" s="286" t="s">
        <v>1588</v>
      </c>
      <c r="AG124" s="283">
        <v>8</v>
      </c>
      <c r="AH124" s="287" t="s">
        <v>19</v>
      </c>
      <c r="AI124" s="272"/>
      <c r="AJ124" s="288" t="s">
        <v>2032</v>
      </c>
      <c r="AK124" s="288" t="s">
        <v>2032</v>
      </c>
      <c r="AL124" s="288" t="s">
        <v>2032</v>
      </c>
      <c r="AM124" s="288" t="s">
        <v>2032</v>
      </c>
      <c r="AN124" s="288" t="s">
        <v>2032</v>
      </c>
      <c r="AO124" s="288" t="s">
        <v>2032</v>
      </c>
      <c r="AP124" s="288" t="s">
        <v>2032</v>
      </c>
      <c r="AQ124" s="288" t="s">
        <v>2032</v>
      </c>
      <c r="AR124" s="288" t="s">
        <v>2032</v>
      </c>
      <c r="AS124" s="288" t="s">
        <v>2032</v>
      </c>
      <c r="AT124" s="288" t="s">
        <v>2032</v>
      </c>
      <c r="AU124" s="288" t="s">
        <v>2032</v>
      </c>
      <c r="AV124" s="288" t="s">
        <v>2032</v>
      </c>
      <c r="AW124" s="288" t="s">
        <v>2032</v>
      </c>
      <c r="AX124" s="288" t="s">
        <v>2032</v>
      </c>
      <c r="AY124" s="288" t="s">
        <v>2032</v>
      </c>
      <c r="AZ124" s="288" t="s">
        <v>2032</v>
      </c>
      <c r="BA124" s="288" t="s">
        <v>2032</v>
      </c>
      <c r="BB124" s="288" t="s">
        <v>2032</v>
      </c>
      <c r="BC124" s="288" t="s">
        <v>2032</v>
      </c>
      <c r="BD124" s="289">
        <f t="shared" si="0"/>
        <v>0</v>
      </c>
      <c r="BE124" s="287"/>
      <c r="BF124" s="272"/>
    </row>
    <row r="125" spans="1:58" ht="14.25" customHeight="1" x14ac:dyDescent="0.35">
      <c r="A125" s="68">
        <v>123</v>
      </c>
      <c r="B125" s="24" t="s">
        <v>1581</v>
      </c>
      <c r="C125" s="24">
        <v>2024</v>
      </c>
      <c r="D125" s="24" t="s">
        <v>1745</v>
      </c>
      <c r="E125" s="269" t="s">
        <v>1749</v>
      </c>
      <c r="F125" s="24" t="s">
        <v>1747</v>
      </c>
      <c r="G125" s="248" t="s">
        <v>37</v>
      </c>
      <c r="H125" s="248" t="s">
        <v>1647</v>
      </c>
      <c r="I125" s="248" t="s">
        <v>1612</v>
      </c>
      <c r="J125" s="248" t="s">
        <v>1730</v>
      </c>
      <c r="K125" s="248" t="s">
        <v>1586</v>
      </c>
      <c r="L125" s="272"/>
      <c r="M125" s="286" t="s">
        <v>1589</v>
      </c>
      <c r="N125" s="286" t="s">
        <v>1589</v>
      </c>
      <c r="O125" s="286" t="s">
        <v>1617</v>
      </c>
      <c r="P125" s="286" t="s">
        <v>1587</v>
      </c>
      <c r="Q125" s="286" t="s">
        <v>1588</v>
      </c>
      <c r="R125" s="286" t="s">
        <v>1617</v>
      </c>
      <c r="S125" s="286" t="s">
        <v>1587</v>
      </c>
      <c r="T125" s="286" t="s">
        <v>1588</v>
      </c>
      <c r="U125" s="286" t="s">
        <v>1617</v>
      </c>
      <c r="V125" s="286" t="s">
        <v>1587</v>
      </c>
      <c r="W125" s="286" t="s">
        <v>1617</v>
      </c>
      <c r="X125" s="286" t="s">
        <v>1617</v>
      </c>
      <c r="Y125" s="286" t="s">
        <v>1617</v>
      </c>
      <c r="Z125" s="286" t="s">
        <v>1589</v>
      </c>
      <c r="AA125" s="286" t="s">
        <v>1588</v>
      </c>
      <c r="AB125" s="286" t="s">
        <v>1617</v>
      </c>
      <c r="AC125" s="286" t="s">
        <v>1587</v>
      </c>
      <c r="AD125" s="286" t="s">
        <v>1588</v>
      </c>
      <c r="AE125" s="286" t="s">
        <v>1589</v>
      </c>
      <c r="AF125" s="286" t="s">
        <v>1617</v>
      </c>
      <c r="AG125" s="283">
        <v>17</v>
      </c>
      <c r="AH125" s="287" t="s">
        <v>25</v>
      </c>
      <c r="AI125" s="272"/>
      <c r="AJ125" s="288" t="s">
        <v>2032</v>
      </c>
      <c r="AK125" s="288" t="s">
        <v>2032</v>
      </c>
      <c r="AL125" s="288" t="s">
        <v>2032</v>
      </c>
      <c r="AM125" s="288" t="s">
        <v>2032</v>
      </c>
      <c r="AN125" s="288" t="s">
        <v>2032</v>
      </c>
      <c r="AO125" s="288" t="s">
        <v>2032</v>
      </c>
      <c r="AP125" s="288" t="s">
        <v>2032</v>
      </c>
      <c r="AQ125" s="288" t="s">
        <v>2032</v>
      </c>
      <c r="AR125" s="288" t="s">
        <v>2032</v>
      </c>
      <c r="AS125" s="288" t="s">
        <v>2032</v>
      </c>
      <c r="AT125" s="288" t="s">
        <v>2032</v>
      </c>
      <c r="AU125" s="288" t="s">
        <v>2032</v>
      </c>
      <c r="AV125" s="288" t="s">
        <v>2032</v>
      </c>
      <c r="AW125" s="288" t="s">
        <v>2032</v>
      </c>
      <c r="AX125" s="288" t="s">
        <v>2032</v>
      </c>
      <c r="AY125" s="288" t="s">
        <v>2032</v>
      </c>
      <c r="AZ125" s="288" t="s">
        <v>2032</v>
      </c>
      <c r="BA125" s="288" t="s">
        <v>2032</v>
      </c>
      <c r="BB125" s="288" t="s">
        <v>2032</v>
      </c>
      <c r="BC125" s="288" t="s">
        <v>2032</v>
      </c>
      <c r="BD125" s="289">
        <f t="shared" si="0"/>
        <v>0</v>
      </c>
      <c r="BE125" s="287"/>
      <c r="BF125" s="272"/>
    </row>
    <row r="126" spans="1:58" ht="14.25" customHeight="1" x14ac:dyDescent="0.35">
      <c r="A126" s="68">
        <v>124</v>
      </c>
      <c r="B126" s="24" t="s">
        <v>1581</v>
      </c>
      <c r="C126" s="24">
        <v>2024</v>
      </c>
      <c r="D126" s="24" t="s">
        <v>1745</v>
      </c>
      <c r="E126" s="269" t="s">
        <v>1749</v>
      </c>
      <c r="F126" s="24" t="s">
        <v>1747</v>
      </c>
      <c r="G126" s="248" t="s">
        <v>37</v>
      </c>
      <c r="H126" s="248" t="s">
        <v>1731</v>
      </c>
      <c r="I126" s="248" t="s">
        <v>1732</v>
      </c>
      <c r="J126" s="248" t="s">
        <v>1733</v>
      </c>
      <c r="K126" s="248" t="s">
        <v>1593</v>
      </c>
      <c r="L126" s="272"/>
      <c r="M126" s="286" t="s">
        <v>1588</v>
      </c>
      <c r="N126" s="286" t="s">
        <v>1589</v>
      </c>
      <c r="O126" s="286" t="s">
        <v>1617</v>
      </c>
      <c r="P126" s="286" t="s">
        <v>1587</v>
      </c>
      <c r="Q126" s="286" t="s">
        <v>1617</v>
      </c>
      <c r="R126" s="286" t="s">
        <v>1587</v>
      </c>
      <c r="S126" s="286" t="s">
        <v>1589</v>
      </c>
      <c r="T126" s="286" t="s">
        <v>1589</v>
      </c>
      <c r="U126" s="286" t="s">
        <v>1589</v>
      </c>
      <c r="V126" s="286" t="s">
        <v>1588</v>
      </c>
      <c r="W126" s="286" t="s">
        <v>1587</v>
      </c>
      <c r="X126" s="286" t="s">
        <v>1617</v>
      </c>
      <c r="Y126" s="286" t="s">
        <v>1617</v>
      </c>
      <c r="Z126" s="286" t="s">
        <v>1589</v>
      </c>
      <c r="AA126" s="286" t="s">
        <v>1588</v>
      </c>
      <c r="AB126" s="286" t="s">
        <v>1617</v>
      </c>
      <c r="AC126" s="286" t="s">
        <v>1587</v>
      </c>
      <c r="AD126" s="286" t="s">
        <v>1588</v>
      </c>
      <c r="AE126" s="286" t="s">
        <v>1589</v>
      </c>
      <c r="AF126" s="286" t="s">
        <v>1617</v>
      </c>
      <c r="AG126" s="283">
        <v>15</v>
      </c>
      <c r="AH126" s="287" t="s">
        <v>23</v>
      </c>
      <c r="AI126" s="272"/>
      <c r="AJ126" s="288" t="s">
        <v>2032</v>
      </c>
      <c r="AK126" s="288" t="s">
        <v>2032</v>
      </c>
      <c r="AL126" s="288" t="s">
        <v>2032</v>
      </c>
      <c r="AM126" s="288" t="s">
        <v>2032</v>
      </c>
      <c r="AN126" s="288" t="s">
        <v>2032</v>
      </c>
      <c r="AO126" s="288" t="s">
        <v>2032</v>
      </c>
      <c r="AP126" s="288" t="s">
        <v>2032</v>
      </c>
      <c r="AQ126" s="288" t="s">
        <v>2032</v>
      </c>
      <c r="AR126" s="288" t="s">
        <v>2032</v>
      </c>
      <c r="AS126" s="288" t="s">
        <v>2032</v>
      </c>
      <c r="AT126" s="288" t="s">
        <v>2032</v>
      </c>
      <c r="AU126" s="288" t="s">
        <v>2032</v>
      </c>
      <c r="AV126" s="288" t="s">
        <v>2032</v>
      </c>
      <c r="AW126" s="288" t="s">
        <v>2032</v>
      </c>
      <c r="AX126" s="288" t="s">
        <v>2032</v>
      </c>
      <c r="AY126" s="288" t="s">
        <v>2032</v>
      </c>
      <c r="AZ126" s="288" t="s">
        <v>2032</v>
      </c>
      <c r="BA126" s="288" t="s">
        <v>2032</v>
      </c>
      <c r="BB126" s="288" t="s">
        <v>2032</v>
      </c>
      <c r="BC126" s="288" t="s">
        <v>2032</v>
      </c>
      <c r="BD126" s="289">
        <f t="shared" si="0"/>
        <v>0</v>
      </c>
      <c r="BE126" s="287"/>
      <c r="BF126" s="272"/>
    </row>
    <row r="127" spans="1:58" ht="14.25" customHeight="1" x14ac:dyDescent="0.35">
      <c r="A127" s="68">
        <v>125</v>
      </c>
      <c r="B127" s="24" t="s">
        <v>1581</v>
      </c>
      <c r="C127" s="24">
        <v>2024</v>
      </c>
      <c r="D127" s="24" t="s">
        <v>1745</v>
      </c>
      <c r="E127" s="269" t="s">
        <v>1749</v>
      </c>
      <c r="F127" s="24" t="s">
        <v>1747</v>
      </c>
      <c r="G127" s="248" t="s">
        <v>37</v>
      </c>
      <c r="H127" s="248" t="s">
        <v>1734</v>
      </c>
      <c r="I127" s="248" t="s">
        <v>1612</v>
      </c>
      <c r="J127" s="248" t="s">
        <v>1735</v>
      </c>
      <c r="K127" s="248" t="s">
        <v>1593</v>
      </c>
      <c r="L127" s="272"/>
      <c r="M127" s="286" t="s">
        <v>1589</v>
      </c>
      <c r="N127" s="286" t="s">
        <v>1589</v>
      </c>
      <c r="O127" s="286" t="s">
        <v>1589</v>
      </c>
      <c r="P127" s="286" t="s">
        <v>1587</v>
      </c>
      <c r="Q127" s="286" t="s">
        <v>1588</v>
      </c>
      <c r="R127" s="286" t="s">
        <v>1617</v>
      </c>
      <c r="S127" s="286" t="s">
        <v>1589</v>
      </c>
      <c r="T127" s="286" t="s">
        <v>1589</v>
      </c>
      <c r="U127" s="286" t="s">
        <v>1617</v>
      </c>
      <c r="V127" s="286" t="s">
        <v>1589</v>
      </c>
      <c r="W127" s="286" t="s">
        <v>1617</v>
      </c>
      <c r="X127" s="286" t="s">
        <v>1617</v>
      </c>
      <c r="Y127" s="286" t="s">
        <v>1617</v>
      </c>
      <c r="Z127" s="286" t="s">
        <v>1589</v>
      </c>
      <c r="AA127" s="286" t="s">
        <v>1588</v>
      </c>
      <c r="AB127" s="286" t="s">
        <v>1589</v>
      </c>
      <c r="AC127" s="286" t="s">
        <v>1587</v>
      </c>
      <c r="AD127" s="286" t="s">
        <v>1588</v>
      </c>
      <c r="AE127" s="286" t="s">
        <v>1589</v>
      </c>
      <c r="AF127" s="286" t="s">
        <v>1617</v>
      </c>
      <c r="AG127" s="283">
        <v>16</v>
      </c>
      <c r="AH127" s="287" t="s">
        <v>23</v>
      </c>
      <c r="AI127" s="272"/>
      <c r="AJ127" s="288" t="s">
        <v>2032</v>
      </c>
      <c r="AK127" s="288" t="s">
        <v>2032</v>
      </c>
      <c r="AL127" s="288" t="s">
        <v>2032</v>
      </c>
      <c r="AM127" s="288" t="s">
        <v>2032</v>
      </c>
      <c r="AN127" s="288" t="s">
        <v>2032</v>
      </c>
      <c r="AO127" s="288" t="s">
        <v>2032</v>
      </c>
      <c r="AP127" s="288" t="s">
        <v>2032</v>
      </c>
      <c r="AQ127" s="288" t="s">
        <v>2032</v>
      </c>
      <c r="AR127" s="288" t="s">
        <v>2032</v>
      </c>
      <c r="AS127" s="288" t="s">
        <v>2032</v>
      </c>
      <c r="AT127" s="288" t="s">
        <v>2032</v>
      </c>
      <c r="AU127" s="288" t="s">
        <v>2032</v>
      </c>
      <c r="AV127" s="288" t="s">
        <v>2032</v>
      </c>
      <c r="AW127" s="288" t="s">
        <v>2032</v>
      </c>
      <c r="AX127" s="288" t="s">
        <v>2032</v>
      </c>
      <c r="AY127" s="288" t="s">
        <v>2032</v>
      </c>
      <c r="AZ127" s="288" t="s">
        <v>2032</v>
      </c>
      <c r="BA127" s="288" t="s">
        <v>2032</v>
      </c>
      <c r="BB127" s="288" t="s">
        <v>2032</v>
      </c>
      <c r="BC127" s="288" t="s">
        <v>2032</v>
      </c>
      <c r="BD127" s="289">
        <f t="shared" si="0"/>
        <v>0</v>
      </c>
      <c r="BE127" s="287"/>
      <c r="BF127" s="272"/>
    </row>
    <row r="128" spans="1:58" ht="14.25" customHeight="1" x14ac:dyDescent="0.35">
      <c r="A128" s="68">
        <v>126</v>
      </c>
      <c r="B128" s="24" t="s">
        <v>1581</v>
      </c>
      <c r="C128" s="24">
        <v>2024</v>
      </c>
      <c r="D128" s="24" t="s">
        <v>1745</v>
      </c>
      <c r="E128" s="269" t="s">
        <v>1749</v>
      </c>
      <c r="F128" s="24" t="s">
        <v>1747</v>
      </c>
      <c r="G128" s="248" t="s">
        <v>37</v>
      </c>
      <c r="H128" s="248" t="s">
        <v>1736</v>
      </c>
      <c r="I128" s="248" t="s">
        <v>1694</v>
      </c>
      <c r="J128" s="248" t="s">
        <v>1737</v>
      </c>
      <c r="K128" s="248" t="s">
        <v>1586</v>
      </c>
      <c r="L128" s="272"/>
      <c r="M128" s="286" t="s">
        <v>1589</v>
      </c>
      <c r="N128" s="286" t="s">
        <v>1589</v>
      </c>
      <c r="O128" s="286" t="s">
        <v>1589</v>
      </c>
      <c r="P128" s="286" t="s">
        <v>1587</v>
      </c>
      <c r="Q128" s="286" t="s">
        <v>1588</v>
      </c>
      <c r="R128" s="286" t="s">
        <v>1617</v>
      </c>
      <c r="S128" s="286" t="s">
        <v>1617</v>
      </c>
      <c r="T128" s="286" t="s">
        <v>1589</v>
      </c>
      <c r="U128" s="286" t="s">
        <v>1617</v>
      </c>
      <c r="V128" s="286" t="s">
        <v>1589</v>
      </c>
      <c r="W128" s="286" t="s">
        <v>1617</v>
      </c>
      <c r="X128" s="286" t="s">
        <v>1617</v>
      </c>
      <c r="Y128" s="286" t="s">
        <v>1617</v>
      </c>
      <c r="Z128" s="286" t="s">
        <v>1589</v>
      </c>
      <c r="AA128" s="286" t="s">
        <v>1588</v>
      </c>
      <c r="AB128" s="286" t="s">
        <v>1617</v>
      </c>
      <c r="AC128" s="286" t="s">
        <v>1587</v>
      </c>
      <c r="AD128" s="286" t="s">
        <v>1588</v>
      </c>
      <c r="AE128" s="286" t="s">
        <v>1589</v>
      </c>
      <c r="AF128" s="286" t="s">
        <v>1617</v>
      </c>
      <c r="AG128" s="283">
        <v>16</v>
      </c>
      <c r="AH128" s="287" t="s">
        <v>23</v>
      </c>
      <c r="AI128" s="272"/>
      <c r="AJ128" s="288" t="s">
        <v>2032</v>
      </c>
      <c r="AK128" s="288" t="s">
        <v>2032</v>
      </c>
      <c r="AL128" s="288" t="s">
        <v>2032</v>
      </c>
      <c r="AM128" s="288" t="s">
        <v>2032</v>
      </c>
      <c r="AN128" s="288" t="s">
        <v>2032</v>
      </c>
      <c r="AO128" s="288" t="s">
        <v>2032</v>
      </c>
      <c r="AP128" s="288" t="s">
        <v>2032</v>
      </c>
      <c r="AQ128" s="288" t="s">
        <v>2032</v>
      </c>
      <c r="AR128" s="288" t="s">
        <v>2032</v>
      </c>
      <c r="AS128" s="288" t="s">
        <v>2032</v>
      </c>
      <c r="AT128" s="288" t="s">
        <v>2032</v>
      </c>
      <c r="AU128" s="288" t="s">
        <v>2032</v>
      </c>
      <c r="AV128" s="288" t="s">
        <v>2032</v>
      </c>
      <c r="AW128" s="288" t="s">
        <v>2032</v>
      </c>
      <c r="AX128" s="288" t="s">
        <v>2032</v>
      </c>
      <c r="AY128" s="288" t="s">
        <v>2032</v>
      </c>
      <c r="AZ128" s="288" t="s">
        <v>2032</v>
      </c>
      <c r="BA128" s="288" t="s">
        <v>2032</v>
      </c>
      <c r="BB128" s="288" t="s">
        <v>2032</v>
      </c>
      <c r="BC128" s="288" t="s">
        <v>2032</v>
      </c>
      <c r="BD128" s="289">
        <f t="shared" si="0"/>
        <v>0</v>
      </c>
      <c r="BE128" s="287"/>
      <c r="BF128" s="272"/>
    </row>
    <row r="129" spans="1:58" ht="14.25" customHeight="1" x14ac:dyDescent="0.35">
      <c r="A129" s="68">
        <v>127</v>
      </c>
      <c r="B129" s="24" t="s">
        <v>1581</v>
      </c>
      <c r="C129" s="24">
        <v>2024</v>
      </c>
      <c r="D129" s="24" t="s">
        <v>1745</v>
      </c>
      <c r="E129" s="269" t="s">
        <v>1749</v>
      </c>
      <c r="F129" s="24" t="s">
        <v>1747</v>
      </c>
      <c r="G129" s="248" t="s">
        <v>37</v>
      </c>
      <c r="H129" s="248" t="s">
        <v>1738</v>
      </c>
      <c r="I129" s="248" t="s">
        <v>1739</v>
      </c>
      <c r="J129" s="248" t="s">
        <v>1740</v>
      </c>
      <c r="K129" s="248" t="s">
        <v>1593</v>
      </c>
      <c r="L129" s="272"/>
      <c r="M129" s="286" t="s">
        <v>1589</v>
      </c>
      <c r="N129" s="286" t="s">
        <v>1589</v>
      </c>
      <c r="O129" s="286" t="s">
        <v>1589</v>
      </c>
      <c r="P129" s="286" t="s">
        <v>1587</v>
      </c>
      <c r="Q129" s="286" t="s">
        <v>1617</v>
      </c>
      <c r="R129" s="286" t="s">
        <v>1617</v>
      </c>
      <c r="S129" s="286" t="s">
        <v>1589</v>
      </c>
      <c r="T129" s="286" t="s">
        <v>1589</v>
      </c>
      <c r="U129" s="286" t="s">
        <v>1617</v>
      </c>
      <c r="V129" s="286" t="s">
        <v>1587</v>
      </c>
      <c r="W129" s="286" t="s">
        <v>1617</v>
      </c>
      <c r="X129" s="286" t="s">
        <v>1587</v>
      </c>
      <c r="Y129" s="286" t="s">
        <v>1617</v>
      </c>
      <c r="Z129" s="286" t="s">
        <v>1589</v>
      </c>
      <c r="AA129" s="286" t="s">
        <v>1588</v>
      </c>
      <c r="AB129" s="286" t="s">
        <v>1617</v>
      </c>
      <c r="AC129" s="286" t="s">
        <v>1587</v>
      </c>
      <c r="AD129" s="286" t="s">
        <v>1588</v>
      </c>
      <c r="AE129" s="286" t="s">
        <v>1589</v>
      </c>
      <c r="AF129" s="286" t="s">
        <v>1617</v>
      </c>
      <c r="AG129" s="283">
        <v>18</v>
      </c>
      <c r="AH129" s="287" t="s">
        <v>25</v>
      </c>
      <c r="AI129" s="272"/>
      <c r="AJ129" s="288" t="s">
        <v>2032</v>
      </c>
      <c r="AK129" s="288" t="s">
        <v>2032</v>
      </c>
      <c r="AL129" s="288" t="s">
        <v>2032</v>
      </c>
      <c r="AM129" s="288" t="s">
        <v>2032</v>
      </c>
      <c r="AN129" s="288" t="s">
        <v>2032</v>
      </c>
      <c r="AO129" s="288" t="s">
        <v>2032</v>
      </c>
      <c r="AP129" s="288" t="s">
        <v>2032</v>
      </c>
      <c r="AQ129" s="288" t="s">
        <v>2032</v>
      </c>
      <c r="AR129" s="288" t="s">
        <v>2032</v>
      </c>
      <c r="AS129" s="288" t="s">
        <v>2032</v>
      </c>
      <c r="AT129" s="288" t="s">
        <v>2032</v>
      </c>
      <c r="AU129" s="288" t="s">
        <v>2032</v>
      </c>
      <c r="AV129" s="288" t="s">
        <v>2032</v>
      </c>
      <c r="AW129" s="288" t="s">
        <v>2032</v>
      </c>
      <c r="AX129" s="288" t="s">
        <v>2032</v>
      </c>
      <c r="AY129" s="288" t="s">
        <v>2032</v>
      </c>
      <c r="AZ129" s="288" t="s">
        <v>2032</v>
      </c>
      <c r="BA129" s="288" t="s">
        <v>2032</v>
      </c>
      <c r="BB129" s="288" t="s">
        <v>2032</v>
      </c>
      <c r="BC129" s="288" t="s">
        <v>2032</v>
      </c>
      <c r="BD129" s="289">
        <f t="shared" si="0"/>
        <v>0</v>
      </c>
      <c r="BE129" s="287"/>
      <c r="BF129" s="272"/>
    </row>
    <row r="130" spans="1:58" ht="14.25" customHeight="1" x14ac:dyDescent="0.35">
      <c r="A130" s="68">
        <v>128</v>
      </c>
      <c r="B130" s="24" t="s">
        <v>1581</v>
      </c>
      <c r="C130" s="24">
        <v>2024</v>
      </c>
      <c r="D130" s="24" t="s">
        <v>1745</v>
      </c>
      <c r="E130" s="269" t="s">
        <v>1749</v>
      </c>
      <c r="F130" s="24" t="s">
        <v>1747</v>
      </c>
      <c r="G130" s="248" t="s">
        <v>37</v>
      </c>
      <c r="H130" s="248" t="s">
        <v>1612</v>
      </c>
      <c r="I130" s="248" t="s">
        <v>1672</v>
      </c>
      <c r="J130" s="248" t="s">
        <v>1741</v>
      </c>
      <c r="K130" s="248" t="s">
        <v>1593</v>
      </c>
      <c r="L130" s="272"/>
      <c r="M130" s="286" t="s">
        <v>1589</v>
      </c>
      <c r="N130" s="286" t="s">
        <v>1589</v>
      </c>
      <c r="O130" s="286" t="s">
        <v>1617</v>
      </c>
      <c r="P130" s="286" t="s">
        <v>1587</v>
      </c>
      <c r="Q130" s="286" t="s">
        <v>1617</v>
      </c>
      <c r="R130" s="286" t="s">
        <v>1617</v>
      </c>
      <c r="S130" s="286" t="s">
        <v>1589</v>
      </c>
      <c r="T130" s="286" t="s">
        <v>1589</v>
      </c>
      <c r="U130" s="286" t="s">
        <v>1617</v>
      </c>
      <c r="V130" s="286" t="s">
        <v>1587</v>
      </c>
      <c r="W130" s="286" t="s">
        <v>1617</v>
      </c>
      <c r="X130" s="286" t="s">
        <v>1617</v>
      </c>
      <c r="Y130" s="286" t="s">
        <v>1617</v>
      </c>
      <c r="Z130" s="286" t="s">
        <v>1589</v>
      </c>
      <c r="AA130" s="286" t="s">
        <v>1588</v>
      </c>
      <c r="AB130" s="286" t="s">
        <v>1617</v>
      </c>
      <c r="AC130" s="286" t="s">
        <v>1587</v>
      </c>
      <c r="AD130" s="286" t="s">
        <v>1588</v>
      </c>
      <c r="AE130" s="286" t="s">
        <v>1589</v>
      </c>
      <c r="AF130" s="286" t="s">
        <v>1617</v>
      </c>
      <c r="AG130" s="283">
        <v>20</v>
      </c>
      <c r="AH130" s="287" t="s">
        <v>25</v>
      </c>
      <c r="AI130" s="272"/>
      <c r="AJ130" s="288" t="s">
        <v>2032</v>
      </c>
      <c r="AK130" s="288" t="s">
        <v>2032</v>
      </c>
      <c r="AL130" s="288" t="s">
        <v>2032</v>
      </c>
      <c r="AM130" s="288" t="s">
        <v>2032</v>
      </c>
      <c r="AN130" s="288" t="s">
        <v>2032</v>
      </c>
      <c r="AO130" s="288" t="s">
        <v>2032</v>
      </c>
      <c r="AP130" s="288" t="s">
        <v>2032</v>
      </c>
      <c r="AQ130" s="288" t="s">
        <v>2032</v>
      </c>
      <c r="AR130" s="288" t="s">
        <v>2032</v>
      </c>
      <c r="AS130" s="288" t="s">
        <v>2032</v>
      </c>
      <c r="AT130" s="288" t="s">
        <v>2032</v>
      </c>
      <c r="AU130" s="288" t="s">
        <v>2032</v>
      </c>
      <c r="AV130" s="288" t="s">
        <v>2032</v>
      </c>
      <c r="AW130" s="288" t="s">
        <v>2032</v>
      </c>
      <c r="AX130" s="288" t="s">
        <v>2032</v>
      </c>
      <c r="AY130" s="288" t="s">
        <v>2032</v>
      </c>
      <c r="AZ130" s="288" t="s">
        <v>2032</v>
      </c>
      <c r="BA130" s="288" t="s">
        <v>2032</v>
      </c>
      <c r="BB130" s="288" t="s">
        <v>2032</v>
      </c>
      <c r="BC130" s="288" t="s">
        <v>2032</v>
      </c>
      <c r="BD130" s="289">
        <f t="shared" si="0"/>
        <v>0</v>
      </c>
      <c r="BE130" s="287"/>
      <c r="BF130" s="272"/>
    </row>
    <row r="131" spans="1:58" ht="14.25" customHeight="1" x14ac:dyDescent="0.35">
      <c r="A131" s="68">
        <v>129</v>
      </c>
      <c r="B131" s="24" t="s">
        <v>1581</v>
      </c>
      <c r="C131" s="24">
        <v>2024</v>
      </c>
      <c r="D131" s="24" t="s">
        <v>1745</v>
      </c>
      <c r="E131" s="269" t="s">
        <v>1749</v>
      </c>
      <c r="F131" s="24" t="s">
        <v>1747</v>
      </c>
      <c r="G131" s="248" t="s">
        <v>37</v>
      </c>
      <c r="H131" s="248" t="s">
        <v>1612</v>
      </c>
      <c r="I131" s="248" t="s">
        <v>1697</v>
      </c>
      <c r="J131" s="248" t="s">
        <v>1742</v>
      </c>
      <c r="K131" s="248" t="s">
        <v>1586</v>
      </c>
      <c r="L131" s="272"/>
      <c r="M131" s="286" t="s">
        <v>1589</v>
      </c>
      <c r="N131" s="286" t="s">
        <v>1617</v>
      </c>
      <c r="O131" s="286" t="s">
        <v>1589</v>
      </c>
      <c r="P131" s="286" t="s">
        <v>1587</v>
      </c>
      <c r="Q131" s="286" t="s">
        <v>1588</v>
      </c>
      <c r="R131" s="286" t="s">
        <v>1617</v>
      </c>
      <c r="S131" s="286" t="s">
        <v>1587</v>
      </c>
      <c r="T131" s="286" t="s">
        <v>1589</v>
      </c>
      <c r="U131" s="286" t="s">
        <v>1589</v>
      </c>
      <c r="V131" s="286" t="s">
        <v>1589</v>
      </c>
      <c r="W131" s="286" t="s">
        <v>1617</v>
      </c>
      <c r="X131" s="286" t="s">
        <v>1617</v>
      </c>
      <c r="Y131" s="286" t="s">
        <v>1617</v>
      </c>
      <c r="Z131" s="286" t="s">
        <v>1617</v>
      </c>
      <c r="AA131" s="286" t="s">
        <v>1588</v>
      </c>
      <c r="AB131" s="286" t="s">
        <v>1617</v>
      </c>
      <c r="AC131" s="286" t="s">
        <v>1587</v>
      </c>
      <c r="AD131" s="286" t="s">
        <v>1588</v>
      </c>
      <c r="AE131" s="286" t="s">
        <v>1587</v>
      </c>
      <c r="AF131" s="286" t="s">
        <v>1588</v>
      </c>
      <c r="AG131" s="283">
        <v>11</v>
      </c>
      <c r="AH131" s="287" t="s">
        <v>23</v>
      </c>
      <c r="AI131" s="272"/>
      <c r="AJ131" s="288" t="s">
        <v>2032</v>
      </c>
      <c r="AK131" s="288" t="s">
        <v>2032</v>
      </c>
      <c r="AL131" s="288" t="s">
        <v>2032</v>
      </c>
      <c r="AM131" s="288" t="s">
        <v>2032</v>
      </c>
      <c r="AN131" s="288" t="s">
        <v>2032</v>
      </c>
      <c r="AO131" s="288" t="s">
        <v>2032</v>
      </c>
      <c r="AP131" s="288" t="s">
        <v>2032</v>
      </c>
      <c r="AQ131" s="288" t="s">
        <v>2032</v>
      </c>
      <c r="AR131" s="288" t="s">
        <v>2032</v>
      </c>
      <c r="AS131" s="288" t="s">
        <v>2032</v>
      </c>
      <c r="AT131" s="288" t="s">
        <v>2032</v>
      </c>
      <c r="AU131" s="288" t="s">
        <v>2032</v>
      </c>
      <c r="AV131" s="288" t="s">
        <v>2032</v>
      </c>
      <c r="AW131" s="288" t="s">
        <v>2032</v>
      </c>
      <c r="AX131" s="288" t="s">
        <v>2032</v>
      </c>
      <c r="AY131" s="288" t="s">
        <v>2032</v>
      </c>
      <c r="AZ131" s="288" t="s">
        <v>2032</v>
      </c>
      <c r="BA131" s="288" t="s">
        <v>2032</v>
      </c>
      <c r="BB131" s="288" t="s">
        <v>2032</v>
      </c>
      <c r="BC131" s="288" t="s">
        <v>2032</v>
      </c>
      <c r="BD131" s="289">
        <f t="shared" si="0"/>
        <v>0</v>
      </c>
      <c r="BE131" s="287"/>
      <c r="BF131" s="272"/>
    </row>
    <row r="132" spans="1:58" ht="14.25" customHeight="1" x14ac:dyDescent="0.35">
      <c r="A132" s="68">
        <v>130</v>
      </c>
      <c r="B132" s="24" t="s">
        <v>1581</v>
      </c>
      <c r="C132" s="24">
        <v>2024</v>
      </c>
      <c r="D132" s="24" t="s">
        <v>1745</v>
      </c>
      <c r="E132" s="269" t="s">
        <v>1749</v>
      </c>
      <c r="F132" s="24" t="s">
        <v>1747</v>
      </c>
      <c r="G132" s="248" t="s">
        <v>37</v>
      </c>
      <c r="H132" s="248" t="s">
        <v>1743</v>
      </c>
      <c r="I132" s="248" t="s">
        <v>1612</v>
      </c>
      <c r="J132" s="248" t="s">
        <v>1744</v>
      </c>
      <c r="K132" s="248" t="s">
        <v>1593</v>
      </c>
      <c r="L132" s="272"/>
      <c r="M132" s="286" t="s">
        <v>1589</v>
      </c>
      <c r="N132" s="286" t="s">
        <v>1589</v>
      </c>
      <c r="O132" s="286" t="s">
        <v>1617</v>
      </c>
      <c r="P132" s="286" t="s">
        <v>1587</v>
      </c>
      <c r="Q132" s="286" t="s">
        <v>1617</v>
      </c>
      <c r="R132" s="286" t="s">
        <v>1617</v>
      </c>
      <c r="S132" s="286" t="s">
        <v>1589</v>
      </c>
      <c r="T132" s="286" t="s">
        <v>1589</v>
      </c>
      <c r="U132" s="286" t="s">
        <v>1617</v>
      </c>
      <c r="V132" s="286" t="s">
        <v>1587</v>
      </c>
      <c r="W132" s="286" t="s">
        <v>1617</v>
      </c>
      <c r="X132" s="286" t="s">
        <v>1617</v>
      </c>
      <c r="Y132" s="286" t="s">
        <v>1617</v>
      </c>
      <c r="Z132" s="286" t="s">
        <v>1589</v>
      </c>
      <c r="AA132" s="286" t="s">
        <v>1588</v>
      </c>
      <c r="AB132" s="286" t="s">
        <v>1617</v>
      </c>
      <c r="AC132" s="286" t="s">
        <v>1587</v>
      </c>
      <c r="AD132" s="286" t="s">
        <v>1588</v>
      </c>
      <c r="AE132" s="286" t="s">
        <v>1589</v>
      </c>
      <c r="AF132" s="286" t="s">
        <v>1617</v>
      </c>
      <c r="AG132" s="283">
        <v>20</v>
      </c>
      <c r="AH132" s="287" t="s">
        <v>25</v>
      </c>
      <c r="AI132" s="272"/>
      <c r="AJ132" s="288" t="s">
        <v>2032</v>
      </c>
      <c r="AK132" s="288" t="s">
        <v>2032</v>
      </c>
      <c r="AL132" s="288" t="s">
        <v>2032</v>
      </c>
      <c r="AM132" s="288" t="s">
        <v>2032</v>
      </c>
      <c r="AN132" s="288" t="s">
        <v>2032</v>
      </c>
      <c r="AO132" s="288" t="s">
        <v>2032</v>
      </c>
      <c r="AP132" s="288" t="s">
        <v>2032</v>
      </c>
      <c r="AQ132" s="288" t="s">
        <v>2032</v>
      </c>
      <c r="AR132" s="288" t="s">
        <v>2032</v>
      </c>
      <c r="AS132" s="288" t="s">
        <v>2032</v>
      </c>
      <c r="AT132" s="288" t="s">
        <v>2032</v>
      </c>
      <c r="AU132" s="288" t="s">
        <v>2032</v>
      </c>
      <c r="AV132" s="288" t="s">
        <v>2032</v>
      </c>
      <c r="AW132" s="288" t="s">
        <v>2032</v>
      </c>
      <c r="AX132" s="288" t="s">
        <v>2032</v>
      </c>
      <c r="AY132" s="288" t="s">
        <v>2032</v>
      </c>
      <c r="AZ132" s="288" t="s">
        <v>2032</v>
      </c>
      <c r="BA132" s="288" t="s">
        <v>2032</v>
      </c>
      <c r="BB132" s="288" t="s">
        <v>2032</v>
      </c>
      <c r="BC132" s="288" t="s">
        <v>2032</v>
      </c>
      <c r="BD132" s="289">
        <f t="shared" si="0"/>
        <v>0</v>
      </c>
      <c r="BE132" s="287"/>
      <c r="BF132" s="272"/>
    </row>
    <row r="133" spans="1:58" ht="14.25" customHeight="1" x14ac:dyDescent="0.35">
      <c r="A133" s="68">
        <v>131</v>
      </c>
      <c r="B133" s="24" t="s">
        <v>1750</v>
      </c>
      <c r="C133" s="24">
        <v>2024</v>
      </c>
      <c r="D133" s="24" t="s">
        <v>1541</v>
      </c>
      <c r="E133" s="269" t="str">
        <f ca="1">IFERROR(__xludf.DUMMYFUNCTION("ARRAYFORMULA(JOIN("""", ARRAYFORMULA(MID(SPLIT(F133, "" ""), 1, 1))))
&amp;""/""&amp;G133"),"MQ/2 Primaria")</f>
        <v>MQ/2 Primaria</v>
      </c>
      <c r="F133" s="24" t="s">
        <v>1751</v>
      </c>
      <c r="G133" s="248" t="s">
        <v>45</v>
      </c>
      <c r="H133" s="248" t="s">
        <v>1612</v>
      </c>
      <c r="I133" s="248" t="s">
        <v>1695</v>
      </c>
      <c r="J133" s="248" t="s">
        <v>1752</v>
      </c>
      <c r="K133" s="248" t="s">
        <v>1586</v>
      </c>
      <c r="L133" s="272"/>
      <c r="M133" s="286" t="s">
        <v>1753</v>
      </c>
      <c r="N133" s="286" t="s">
        <v>1753</v>
      </c>
      <c r="O133" s="286" t="s">
        <v>1754</v>
      </c>
      <c r="P133" s="286" t="s">
        <v>1588</v>
      </c>
      <c r="Q133" s="286" t="s">
        <v>1754</v>
      </c>
      <c r="R133" s="286" t="s">
        <v>1754</v>
      </c>
      <c r="S133" s="286" t="s">
        <v>1753</v>
      </c>
      <c r="T133" s="286" t="s">
        <v>1588</v>
      </c>
      <c r="U133" s="286" t="s">
        <v>1754</v>
      </c>
      <c r="V133" s="286" t="s">
        <v>1753</v>
      </c>
      <c r="W133" s="286" t="s">
        <v>1754</v>
      </c>
      <c r="X133" s="286" t="s">
        <v>1754</v>
      </c>
      <c r="Y133" s="286" t="s">
        <v>1754</v>
      </c>
      <c r="Z133" s="286" t="s">
        <v>1753</v>
      </c>
      <c r="AA133" s="286" t="s">
        <v>1588</v>
      </c>
      <c r="AB133" s="286" t="s">
        <v>1753</v>
      </c>
      <c r="AC133" s="286" t="s">
        <v>1588</v>
      </c>
      <c r="AD133" s="286" t="s">
        <v>1753</v>
      </c>
      <c r="AE133" s="286" t="s">
        <v>1588</v>
      </c>
      <c r="AF133" s="286" t="s">
        <v>1753</v>
      </c>
      <c r="AG133" s="283">
        <v>10</v>
      </c>
      <c r="AH133" s="287" t="s">
        <v>19</v>
      </c>
      <c r="AI133" s="272"/>
      <c r="AJ133" s="288" t="s">
        <v>2032</v>
      </c>
      <c r="AK133" s="288" t="s">
        <v>2032</v>
      </c>
      <c r="AL133" s="288" t="s">
        <v>2032</v>
      </c>
      <c r="AM133" s="288" t="s">
        <v>2032</v>
      </c>
      <c r="AN133" s="288" t="s">
        <v>2032</v>
      </c>
      <c r="AO133" s="288" t="s">
        <v>2032</v>
      </c>
      <c r="AP133" s="288" t="s">
        <v>2032</v>
      </c>
      <c r="AQ133" s="288" t="s">
        <v>2032</v>
      </c>
      <c r="AR133" s="288" t="s">
        <v>2032</v>
      </c>
      <c r="AS133" s="288" t="s">
        <v>2032</v>
      </c>
      <c r="AT133" s="288" t="s">
        <v>2032</v>
      </c>
      <c r="AU133" s="288" t="s">
        <v>2032</v>
      </c>
      <c r="AV133" s="288" t="s">
        <v>2032</v>
      </c>
      <c r="AW133" s="288" t="s">
        <v>2032</v>
      </c>
      <c r="AX133" s="288" t="s">
        <v>2032</v>
      </c>
      <c r="AY133" s="288" t="s">
        <v>2032</v>
      </c>
      <c r="AZ133" s="288" t="s">
        <v>2032</v>
      </c>
      <c r="BA133" s="288" t="s">
        <v>2032</v>
      </c>
      <c r="BB133" s="288" t="s">
        <v>2032</v>
      </c>
      <c r="BC133" s="288" t="s">
        <v>2032</v>
      </c>
      <c r="BD133" s="289">
        <f t="shared" si="0"/>
        <v>0</v>
      </c>
      <c r="BE133" s="287"/>
      <c r="BF133" s="272"/>
    </row>
    <row r="134" spans="1:58" ht="14.25" customHeight="1" x14ac:dyDescent="0.35">
      <c r="A134" s="68">
        <v>132</v>
      </c>
      <c r="B134" s="24" t="s">
        <v>1750</v>
      </c>
      <c r="C134" s="24">
        <v>2024</v>
      </c>
      <c r="D134" s="24" t="s">
        <v>1541</v>
      </c>
      <c r="E134" s="269" t="str">
        <f ca="1">IFERROR(__xludf.DUMMYFUNCTION("ARRAYFORMULA(JOIN("""", ARRAYFORMULA(MID(SPLIT(F134, "" ""), 1, 1))))
&amp;""/""&amp;G134"),"CLQ/2 Primaria")</f>
        <v>CLQ/2 Primaria</v>
      </c>
      <c r="F134" s="24" t="s">
        <v>1755</v>
      </c>
      <c r="G134" s="248" t="s">
        <v>45</v>
      </c>
      <c r="H134" s="248" t="s">
        <v>1612</v>
      </c>
      <c r="I134" s="248" t="s">
        <v>1695</v>
      </c>
      <c r="J134" s="248" t="s">
        <v>1752</v>
      </c>
      <c r="K134" s="248" t="s">
        <v>1586</v>
      </c>
      <c r="L134" s="272"/>
      <c r="M134" s="286" t="s">
        <v>1753</v>
      </c>
      <c r="N134" s="286" t="s">
        <v>1753</v>
      </c>
      <c r="O134" s="286" t="s">
        <v>1754</v>
      </c>
      <c r="P134" s="286" t="s">
        <v>1753</v>
      </c>
      <c r="Q134" s="286" t="s">
        <v>1588</v>
      </c>
      <c r="R134" s="286" t="s">
        <v>1753</v>
      </c>
      <c r="S134" s="286" t="s">
        <v>1754</v>
      </c>
      <c r="T134" s="286" t="s">
        <v>1754</v>
      </c>
      <c r="U134" s="286" t="s">
        <v>1588</v>
      </c>
      <c r="V134" s="286" t="s">
        <v>1753</v>
      </c>
      <c r="W134" s="286" t="s">
        <v>1753</v>
      </c>
      <c r="X134" s="286" t="s">
        <v>1753</v>
      </c>
      <c r="Y134" s="286" t="s">
        <v>1754</v>
      </c>
      <c r="Z134" s="286" t="s">
        <v>1753</v>
      </c>
      <c r="AA134" s="286" t="s">
        <v>1753</v>
      </c>
      <c r="AB134" s="286" t="s">
        <v>1754</v>
      </c>
      <c r="AC134" s="286" t="s">
        <v>1753</v>
      </c>
      <c r="AD134" s="286" t="s">
        <v>1753</v>
      </c>
      <c r="AE134" s="286" t="s">
        <v>1753</v>
      </c>
      <c r="AF134" s="286" t="s">
        <v>1754</v>
      </c>
      <c r="AG134" s="283">
        <v>7</v>
      </c>
      <c r="AH134" s="287" t="s">
        <v>19</v>
      </c>
      <c r="AI134" s="272"/>
      <c r="AJ134" s="288" t="s">
        <v>2032</v>
      </c>
      <c r="AK134" s="288" t="s">
        <v>2032</v>
      </c>
      <c r="AL134" s="288" t="s">
        <v>2032</v>
      </c>
      <c r="AM134" s="288" t="s">
        <v>2032</v>
      </c>
      <c r="AN134" s="288" t="s">
        <v>2032</v>
      </c>
      <c r="AO134" s="288" t="s">
        <v>2032</v>
      </c>
      <c r="AP134" s="288" t="s">
        <v>2032</v>
      </c>
      <c r="AQ134" s="288" t="s">
        <v>2032</v>
      </c>
      <c r="AR134" s="288" t="s">
        <v>2032</v>
      </c>
      <c r="AS134" s="288" t="s">
        <v>2032</v>
      </c>
      <c r="AT134" s="288" t="s">
        <v>2032</v>
      </c>
      <c r="AU134" s="288" t="s">
        <v>2032</v>
      </c>
      <c r="AV134" s="288" t="s">
        <v>2032</v>
      </c>
      <c r="AW134" s="288" t="s">
        <v>2032</v>
      </c>
      <c r="AX134" s="288" t="s">
        <v>2032</v>
      </c>
      <c r="AY134" s="288" t="s">
        <v>2032</v>
      </c>
      <c r="AZ134" s="288" t="s">
        <v>2032</v>
      </c>
      <c r="BA134" s="288" t="s">
        <v>2032</v>
      </c>
      <c r="BB134" s="288" t="s">
        <v>2032</v>
      </c>
      <c r="BC134" s="288" t="s">
        <v>2032</v>
      </c>
      <c r="BD134" s="289">
        <f t="shared" si="0"/>
        <v>0</v>
      </c>
      <c r="BE134" s="287"/>
      <c r="BF134" s="272"/>
    </row>
    <row r="135" spans="1:58" ht="14.25" customHeight="1" x14ac:dyDescent="0.35">
      <c r="A135" s="68">
        <v>133</v>
      </c>
      <c r="B135" s="24" t="s">
        <v>1750</v>
      </c>
      <c r="C135" s="24">
        <v>2024</v>
      </c>
      <c r="D135" s="24" t="s">
        <v>1541</v>
      </c>
      <c r="E135" s="269" t="str">
        <f ca="1">IFERROR(__xludf.DUMMYFUNCTION("ARRAYFORMULA(JOIN("""", ARRAYFORMULA(MID(SPLIT(F135, "" ""), 1, 1))))
&amp;""/""&amp;G135"),"MC/4 Primaria")</f>
        <v>MC/4 Primaria</v>
      </c>
      <c r="F135" s="24" t="s">
        <v>1582</v>
      </c>
      <c r="G135" s="248" t="s">
        <v>16</v>
      </c>
      <c r="H135" s="248" t="s">
        <v>1631</v>
      </c>
      <c r="I135" s="248" t="s">
        <v>1672</v>
      </c>
      <c r="J135" s="248" t="s">
        <v>1756</v>
      </c>
      <c r="K135" s="248" t="s">
        <v>1586</v>
      </c>
      <c r="L135" s="272"/>
      <c r="M135" s="286" t="s">
        <v>1617</v>
      </c>
      <c r="N135" s="286" t="s">
        <v>1589</v>
      </c>
      <c r="O135" s="286" t="s">
        <v>1588</v>
      </c>
      <c r="P135" s="286" t="s">
        <v>1587</v>
      </c>
      <c r="Q135" s="286" t="s">
        <v>1589</v>
      </c>
      <c r="R135" s="286" t="s">
        <v>1588</v>
      </c>
      <c r="S135" s="286" t="s">
        <v>1588</v>
      </c>
      <c r="T135" s="286" t="s">
        <v>1617</v>
      </c>
      <c r="U135" s="286" t="s">
        <v>1588</v>
      </c>
      <c r="V135" s="286" t="s">
        <v>1588</v>
      </c>
      <c r="W135" s="286" t="s">
        <v>1587</v>
      </c>
      <c r="X135" s="286" t="s">
        <v>1588</v>
      </c>
      <c r="Y135" s="286" t="s">
        <v>1589</v>
      </c>
      <c r="Z135" s="286" t="s">
        <v>1587</v>
      </c>
      <c r="AA135" s="286" t="s">
        <v>1617</v>
      </c>
      <c r="AB135" s="286" t="s">
        <v>1587</v>
      </c>
      <c r="AC135" s="286" t="s">
        <v>1588</v>
      </c>
      <c r="AD135" s="286" t="s">
        <v>1617</v>
      </c>
      <c r="AE135" s="286" t="s">
        <v>1588</v>
      </c>
      <c r="AF135" s="286" t="s">
        <v>1588</v>
      </c>
      <c r="AG135" s="283">
        <v>8</v>
      </c>
      <c r="AH135" s="287" t="s">
        <v>19</v>
      </c>
      <c r="AI135" s="272"/>
      <c r="AJ135" s="288" t="s">
        <v>2032</v>
      </c>
      <c r="AK135" s="288" t="s">
        <v>2032</v>
      </c>
      <c r="AL135" s="288" t="s">
        <v>2032</v>
      </c>
      <c r="AM135" s="288" t="s">
        <v>2032</v>
      </c>
      <c r="AN135" s="288" t="s">
        <v>2032</v>
      </c>
      <c r="AO135" s="288" t="s">
        <v>2032</v>
      </c>
      <c r="AP135" s="288" t="s">
        <v>2032</v>
      </c>
      <c r="AQ135" s="288" t="s">
        <v>2032</v>
      </c>
      <c r="AR135" s="288" t="s">
        <v>2032</v>
      </c>
      <c r="AS135" s="288" t="s">
        <v>2032</v>
      </c>
      <c r="AT135" s="288" t="s">
        <v>2032</v>
      </c>
      <c r="AU135" s="288" t="s">
        <v>2032</v>
      </c>
      <c r="AV135" s="288" t="s">
        <v>2032</v>
      </c>
      <c r="AW135" s="288" t="s">
        <v>2032</v>
      </c>
      <c r="AX135" s="288" t="s">
        <v>2032</v>
      </c>
      <c r="AY135" s="288" t="s">
        <v>2032</v>
      </c>
      <c r="AZ135" s="288" t="s">
        <v>2032</v>
      </c>
      <c r="BA135" s="288" t="s">
        <v>2032</v>
      </c>
      <c r="BB135" s="288" t="s">
        <v>2032</v>
      </c>
      <c r="BC135" s="288" t="s">
        <v>2032</v>
      </c>
      <c r="BD135" s="289">
        <f t="shared" si="0"/>
        <v>0</v>
      </c>
      <c r="BE135" s="287" t="s">
        <v>1489</v>
      </c>
      <c r="BF135" s="272"/>
    </row>
    <row r="136" spans="1:58" ht="14.25" customHeight="1" x14ac:dyDescent="0.35">
      <c r="A136" s="68">
        <v>134</v>
      </c>
      <c r="B136" s="24" t="s">
        <v>1750</v>
      </c>
      <c r="C136" s="24">
        <v>2024</v>
      </c>
      <c r="D136" s="24" t="s">
        <v>1745</v>
      </c>
      <c r="E136" s="269" t="str">
        <f ca="1">IFERROR(__xludf.DUMMYFUNCTION("ARRAYFORMULA(JOIN("""", ARRAYFORMULA(MID(SPLIT(F136, "" ""), 1, 1))))
&amp;""/""&amp;G136"),"CLC/4 Primaria")</f>
        <v>CLC/4 Primaria</v>
      </c>
      <c r="F136" s="24" t="s">
        <v>1747</v>
      </c>
      <c r="G136" s="248" t="s">
        <v>16</v>
      </c>
      <c r="H136" s="248" t="s">
        <v>1631</v>
      </c>
      <c r="I136" s="248" t="s">
        <v>1672</v>
      </c>
      <c r="J136" s="248" t="s">
        <v>1756</v>
      </c>
      <c r="K136" s="248" t="s">
        <v>1586</v>
      </c>
      <c r="L136" s="272"/>
      <c r="M136" s="286" t="s">
        <v>1587</v>
      </c>
      <c r="N136" s="286" t="s">
        <v>1587</v>
      </c>
      <c r="O136" s="286" t="s">
        <v>1588</v>
      </c>
      <c r="P136" s="286" t="s">
        <v>1588</v>
      </c>
      <c r="Q136" s="286" t="s">
        <v>1589</v>
      </c>
      <c r="R136" s="286" t="s">
        <v>1588</v>
      </c>
      <c r="S136" s="286" t="s">
        <v>1587</v>
      </c>
      <c r="T136" s="286" t="s">
        <v>1617</v>
      </c>
      <c r="U136" s="286" t="s">
        <v>1587</v>
      </c>
      <c r="V136" s="286" t="s">
        <v>1587</v>
      </c>
      <c r="W136" s="286" t="s">
        <v>1589</v>
      </c>
      <c r="X136" s="286" t="s">
        <v>1589</v>
      </c>
      <c r="Y136" s="286" t="s">
        <v>1589</v>
      </c>
      <c r="Z136" s="286" t="s">
        <v>1588</v>
      </c>
      <c r="AA136" s="286" t="s">
        <v>1587</v>
      </c>
      <c r="AB136" s="286" t="s">
        <v>1589</v>
      </c>
      <c r="AC136" s="286" t="s">
        <v>1588</v>
      </c>
      <c r="AD136" s="286" t="s">
        <v>1587</v>
      </c>
      <c r="AE136" s="286" t="s">
        <v>1589</v>
      </c>
      <c r="AF136" s="286" t="s">
        <v>1589</v>
      </c>
      <c r="AG136" s="283">
        <v>11</v>
      </c>
      <c r="AH136" s="287" t="s">
        <v>23</v>
      </c>
      <c r="AI136" s="272"/>
      <c r="AJ136" s="288" t="s">
        <v>2032</v>
      </c>
      <c r="AK136" s="288" t="s">
        <v>2032</v>
      </c>
      <c r="AL136" s="288" t="s">
        <v>2032</v>
      </c>
      <c r="AM136" s="288" t="s">
        <v>2032</v>
      </c>
      <c r="AN136" s="288" t="s">
        <v>2032</v>
      </c>
      <c r="AO136" s="288" t="s">
        <v>2032</v>
      </c>
      <c r="AP136" s="288" t="s">
        <v>2032</v>
      </c>
      <c r="AQ136" s="288" t="s">
        <v>2032</v>
      </c>
      <c r="AR136" s="288" t="s">
        <v>2032</v>
      </c>
      <c r="AS136" s="288" t="s">
        <v>2032</v>
      </c>
      <c r="AT136" s="288" t="s">
        <v>2032</v>
      </c>
      <c r="AU136" s="288" t="s">
        <v>2032</v>
      </c>
      <c r="AV136" s="288" t="s">
        <v>2032</v>
      </c>
      <c r="AW136" s="288" t="s">
        <v>2032</v>
      </c>
      <c r="AX136" s="288" t="s">
        <v>2032</v>
      </c>
      <c r="AY136" s="288" t="s">
        <v>2032</v>
      </c>
      <c r="AZ136" s="288" t="s">
        <v>2032</v>
      </c>
      <c r="BA136" s="288" t="s">
        <v>2032</v>
      </c>
      <c r="BB136" s="288" t="s">
        <v>2032</v>
      </c>
      <c r="BC136" s="288" t="s">
        <v>2032</v>
      </c>
      <c r="BD136" s="289">
        <f t="shared" si="0"/>
        <v>0</v>
      </c>
      <c r="BE136" s="287"/>
      <c r="BF136" s="272"/>
    </row>
    <row r="137" spans="1:58" ht="14.25" customHeight="1" x14ac:dyDescent="0.35">
      <c r="A137" s="68">
        <v>135</v>
      </c>
      <c r="B137" s="24" t="s">
        <v>1750</v>
      </c>
      <c r="C137" s="24">
        <v>2024</v>
      </c>
      <c r="D137" s="24" t="s">
        <v>1541</v>
      </c>
      <c r="E137" s="269" t="str">
        <f ca="1">IFERROR(__xludf.DUMMYFUNCTION("ARRAYFORMULA(JOIN("""", ARRAYFORMULA(MID(SPLIT(F137, "" ""), 1, 1))))
&amp;""/""&amp;G137"),"MQ/4 Primaria")</f>
        <v>MQ/4 Primaria</v>
      </c>
      <c r="F137" s="24" t="s">
        <v>1751</v>
      </c>
      <c r="G137" s="248" t="s">
        <v>16</v>
      </c>
      <c r="H137" s="248" t="s">
        <v>1710</v>
      </c>
      <c r="I137" s="248" t="s">
        <v>1757</v>
      </c>
      <c r="J137" s="248" t="s">
        <v>1758</v>
      </c>
      <c r="K137" s="248" t="s">
        <v>1586</v>
      </c>
      <c r="L137" s="272"/>
      <c r="M137" s="286" t="s">
        <v>1617</v>
      </c>
      <c r="N137" s="286" t="s">
        <v>1587</v>
      </c>
      <c r="O137" s="286" t="s">
        <v>1617</v>
      </c>
      <c r="P137" s="286" t="s">
        <v>1587</v>
      </c>
      <c r="Q137" s="286" t="s">
        <v>1589</v>
      </c>
      <c r="R137" s="286" t="s">
        <v>1588</v>
      </c>
      <c r="S137" s="286" t="s">
        <v>1587</v>
      </c>
      <c r="T137" s="286" t="s">
        <v>1589</v>
      </c>
      <c r="U137" s="286" t="s">
        <v>1587</v>
      </c>
      <c r="V137" s="286" t="s">
        <v>1617</v>
      </c>
      <c r="W137" s="286"/>
      <c r="X137" s="286"/>
      <c r="Y137" s="286" t="s">
        <v>1588</v>
      </c>
      <c r="Z137" s="286" t="s">
        <v>1587</v>
      </c>
      <c r="AA137" s="286" t="s">
        <v>1617</v>
      </c>
      <c r="AB137" s="286" t="s">
        <v>1587</v>
      </c>
      <c r="AC137" s="286" t="s">
        <v>1589</v>
      </c>
      <c r="AD137" s="286" t="s">
        <v>1587</v>
      </c>
      <c r="AE137" s="286" t="s">
        <v>1587</v>
      </c>
      <c r="AF137" s="286" t="s">
        <v>1617</v>
      </c>
      <c r="AG137" s="283">
        <v>10</v>
      </c>
      <c r="AH137" s="287" t="s">
        <v>19</v>
      </c>
      <c r="AI137" s="272"/>
      <c r="AJ137" s="288" t="s">
        <v>2032</v>
      </c>
      <c r="AK137" s="288" t="s">
        <v>2032</v>
      </c>
      <c r="AL137" s="288" t="s">
        <v>2032</v>
      </c>
      <c r="AM137" s="288" t="s">
        <v>2032</v>
      </c>
      <c r="AN137" s="288" t="s">
        <v>2032</v>
      </c>
      <c r="AO137" s="288" t="s">
        <v>2032</v>
      </c>
      <c r="AP137" s="288" t="s">
        <v>2032</v>
      </c>
      <c r="AQ137" s="288" t="s">
        <v>2032</v>
      </c>
      <c r="AR137" s="288" t="s">
        <v>2032</v>
      </c>
      <c r="AS137" s="288" t="s">
        <v>2032</v>
      </c>
      <c r="AT137" s="288" t="s">
        <v>2032</v>
      </c>
      <c r="AU137" s="288" t="s">
        <v>2032</v>
      </c>
      <c r="AV137" s="288" t="s">
        <v>2032</v>
      </c>
      <c r="AW137" s="288" t="s">
        <v>2032</v>
      </c>
      <c r="AX137" s="288" t="s">
        <v>2032</v>
      </c>
      <c r="AY137" s="288" t="s">
        <v>2032</v>
      </c>
      <c r="AZ137" s="288" t="s">
        <v>2032</v>
      </c>
      <c r="BA137" s="288" t="s">
        <v>2032</v>
      </c>
      <c r="BB137" s="288" t="s">
        <v>2032</v>
      </c>
      <c r="BC137" s="288" t="s">
        <v>2032</v>
      </c>
      <c r="BD137" s="289">
        <f t="shared" si="0"/>
        <v>0</v>
      </c>
      <c r="BE137" s="287"/>
      <c r="BF137" s="272"/>
    </row>
    <row r="138" spans="1:58" ht="14.25" customHeight="1" x14ac:dyDescent="0.35">
      <c r="A138" s="68">
        <v>136</v>
      </c>
      <c r="B138" s="24" t="s">
        <v>1750</v>
      </c>
      <c r="C138" s="24">
        <v>2024</v>
      </c>
      <c r="D138" s="24" t="s">
        <v>1541</v>
      </c>
      <c r="E138" s="269" t="str">
        <f ca="1">IFERROR(__xludf.DUMMYFUNCTION("ARRAYFORMULA(JOIN("""", ARRAYFORMULA(MID(SPLIT(F138, "" ""), 1, 1))))
&amp;""/""&amp;G138"),"MQ/4 Primaria")</f>
        <v>MQ/4 Primaria</v>
      </c>
      <c r="F138" s="24" t="s">
        <v>1751</v>
      </c>
      <c r="G138" s="248" t="s">
        <v>16</v>
      </c>
      <c r="H138" s="248" t="s">
        <v>1647</v>
      </c>
      <c r="I138" s="248" t="s">
        <v>1759</v>
      </c>
      <c r="J138" s="248" t="s">
        <v>1760</v>
      </c>
      <c r="K138" s="248" t="s">
        <v>1593</v>
      </c>
      <c r="L138" s="272"/>
      <c r="M138" s="286" t="s">
        <v>1588</v>
      </c>
      <c r="N138" s="286" t="s">
        <v>1617</v>
      </c>
      <c r="O138" s="286" t="s">
        <v>1587</v>
      </c>
      <c r="P138" s="286"/>
      <c r="Q138" s="286" t="s">
        <v>1589</v>
      </c>
      <c r="R138" s="286" t="s">
        <v>1588</v>
      </c>
      <c r="S138" s="286"/>
      <c r="T138" s="286" t="s">
        <v>1617</v>
      </c>
      <c r="U138" s="286" t="s">
        <v>1588</v>
      </c>
      <c r="V138" s="286" t="s">
        <v>1588</v>
      </c>
      <c r="W138" s="286" t="s">
        <v>1589</v>
      </c>
      <c r="X138" s="286" t="s">
        <v>1589</v>
      </c>
      <c r="Y138" s="286" t="s">
        <v>1587</v>
      </c>
      <c r="Z138" s="286" t="s">
        <v>1587</v>
      </c>
      <c r="AA138" s="286" t="s">
        <v>1588</v>
      </c>
      <c r="AB138" s="286" t="s">
        <v>1587</v>
      </c>
      <c r="AC138" s="286" t="s">
        <v>1587</v>
      </c>
      <c r="AD138" s="286" t="s">
        <v>1587</v>
      </c>
      <c r="AE138" s="286" t="s">
        <v>1587</v>
      </c>
      <c r="AF138" s="286" t="s">
        <v>1587</v>
      </c>
      <c r="AG138" s="283">
        <v>8</v>
      </c>
      <c r="AH138" s="287" t="s">
        <v>19</v>
      </c>
      <c r="AI138" s="272"/>
      <c r="AJ138" s="288" t="s">
        <v>2032</v>
      </c>
      <c r="AK138" s="288" t="s">
        <v>2032</v>
      </c>
      <c r="AL138" s="288" t="s">
        <v>2032</v>
      </c>
      <c r="AM138" s="288" t="s">
        <v>2032</v>
      </c>
      <c r="AN138" s="288" t="s">
        <v>2032</v>
      </c>
      <c r="AO138" s="288" t="s">
        <v>2032</v>
      </c>
      <c r="AP138" s="288" t="s">
        <v>2032</v>
      </c>
      <c r="AQ138" s="288" t="s">
        <v>2032</v>
      </c>
      <c r="AR138" s="288" t="s">
        <v>2032</v>
      </c>
      <c r="AS138" s="288" t="s">
        <v>2032</v>
      </c>
      <c r="AT138" s="288" t="s">
        <v>2032</v>
      </c>
      <c r="AU138" s="288" t="s">
        <v>2032</v>
      </c>
      <c r="AV138" s="288" t="s">
        <v>2032</v>
      </c>
      <c r="AW138" s="288" t="s">
        <v>2032</v>
      </c>
      <c r="AX138" s="288" t="s">
        <v>2032</v>
      </c>
      <c r="AY138" s="288" t="s">
        <v>2032</v>
      </c>
      <c r="AZ138" s="288" t="s">
        <v>2032</v>
      </c>
      <c r="BA138" s="288" t="s">
        <v>2032</v>
      </c>
      <c r="BB138" s="288" t="s">
        <v>2032</v>
      </c>
      <c r="BC138" s="288" t="s">
        <v>2032</v>
      </c>
      <c r="BD138" s="289">
        <f t="shared" si="0"/>
        <v>0</v>
      </c>
      <c r="BE138" s="287"/>
      <c r="BF138" s="272"/>
    </row>
    <row r="139" spans="1:58" ht="14.25" customHeight="1" x14ac:dyDescent="0.35">
      <c r="A139" s="68">
        <v>137</v>
      </c>
      <c r="B139" s="24" t="s">
        <v>1750</v>
      </c>
      <c r="C139" s="24">
        <v>2024</v>
      </c>
      <c r="D139" s="24" t="s">
        <v>1541</v>
      </c>
      <c r="E139" s="269" t="str">
        <f ca="1">IFERROR(__xludf.DUMMYFUNCTION("ARRAYFORMULA(JOIN("""", ARRAYFORMULA(MID(SPLIT(F139, "" ""), 1, 1))))
&amp;""/""&amp;G139"),"MQ/6 Primaria")</f>
        <v>MQ/6 Primaria</v>
      </c>
      <c r="F139" s="24" t="s">
        <v>1751</v>
      </c>
      <c r="G139" s="248" t="s">
        <v>37</v>
      </c>
      <c r="H139" s="248" t="s">
        <v>1761</v>
      </c>
      <c r="I139" s="248" t="s">
        <v>1595</v>
      </c>
      <c r="J139" s="248" t="s">
        <v>1762</v>
      </c>
      <c r="K139" s="248" t="s">
        <v>1586</v>
      </c>
      <c r="L139" s="272"/>
      <c r="M139" s="286" t="s">
        <v>1588</v>
      </c>
      <c r="N139" s="286" t="s">
        <v>1617</v>
      </c>
      <c r="O139" s="286" t="s">
        <v>1589</v>
      </c>
      <c r="P139" s="286" t="s">
        <v>1587</v>
      </c>
      <c r="Q139" s="286" t="s">
        <v>1587</v>
      </c>
      <c r="R139" s="286" t="s">
        <v>1587</v>
      </c>
      <c r="S139" s="286" t="s">
        <v>1587</v>
      </c>
      <c r="T139" s="286" t="s">
        <v>1587</v>
      </c>
      <c r="U139" s="286" t="s">
        <v>1587</v>
      </c>
      <c r="V139" s="286" t="s">
        <v>1617</v>
      </c>
      <c r="W139" s="286" t="s">
        <v>1589</v>
      </c>
      <c r="X139" s="286" t="s">
        <v>1617</v>
      </c>
      <c r="Y139" s="286" t="s">
        <v>1588</v>
      </c>
      <c r="Z139" s="286" t="s">
        <v>1589</v>
      </c>
      <c r="AA139" s="286" t="s">
        <v>1587</v>
      </c>
      <c r="AB139" s="286" t="s">
        <v>1617</v>
      </c>
      <c r="AC139" s="286" t="s">
        <v>1589</v>
      </c>
      <c r="AD139" s="286" t="s">
        <v>1587</v>
      </c>
      <c r="AE139" s="286" t="s">
        <v>1588</v>
      </c>
      <c r="AF139" s="286" t="s">
        <v>1589</v>
      </c>
      <c r="AG139" s="283">
        <v>17</v>
      </c>
      <c r="AH139" s="287" t="s">
        <v>25</v>
      </c>
      <c r="AI139" s="272"/>
      <c r="AJ139" s="288" t="s">
        <v>2032</v>
      </c>
      <c r="AK139" s="288" t="s">
        <v>2032</v>
      </c>
      <c r="AL139" s="288" t="s">
        <v>2032</v>
      </c>
      <c r="AM139" s="288" t="s">
        <v>2032</v>
      </c>
      <c r="AN139" s="288" t="s">
        <v>2032</v>
      </c>
      <c r="AO139" s="288" t="s">
        <v>2032</v>
      </c>
      <c r="AP139" s="288" t="s">
        <v>2032</v>
      </c>
      <c r="AQ139" s="288" t="s">
        <v>2032</v>
      </c>
      <c r="AR139" s="288" t="s">
        <v>2032</v>
      </c>
      <c r="AS139" s="288" t="s">
        <v>2032</v>
      </c>
      <c r="AT139" s="288" t="s">
        <v>2032</v>
      </c>
      <c r="AU139" s="288" t="s">
        <v>2032</v>
      </c>
      <c r="AV139" s="288" t="s">
        <v>2032</v>
      </c>
      <c r="AW139" s="288" t="s">
        <v>2032</v>
      </c>
      <c r="AX139" s="288" t="s">
        <v>2032</v>
      </c>
      <c r="AY139" s="288" t="s">
        <v>2032</v>
      </c>
      <c r="AZ139" s="288" t="s">
        <v>2032</v>
      </c>
      <c r="BA139" s="288" t="s">
        <v>2032</v>
      </c>
      <c r="BB139" s="288" t="s">
        <v>2032</v>
      </c>
      <c r="BC139" s="288" t="s">
        <v>2032</v>
      </c>
      <c r="BD139" s="289">
        <f t="shared" si="0"/>
        <v>0</v>
      </c>
      <c r="BE139" s="287"/>
      <c r="BF139" s="272"/>
    </row>
    <row r="140" spans="1:58" ht="14.25" customHeight="1" x14ac:dyDescent="0.35">
      <c r="A140" s="68">
        <v>138</v>
      </c>
      <c r="B140" s="24" t="s">
        <v>1750</v>
      </c>
      <c r="C140" s="24">
        <v>2024</v>
      </c>
      <c r="D140" s="24" t="s">
        <v>1541</v>
      </c>
      <c r="E140" s="269" t="str">
        <f ca="1">IFERROR(__xludf.DUMMYFUNCTION("ARRAYFORMULA(JOIN("""", ARRAYFORMULA(MID(SPLIT(F140, "" ""), 1, 1))))
&amp;""/""&amp;G140"),"MQ/6 Primaria")</f>
        <v>MQ/6 Primaria</v>
      </c>
      <c r="F140" s="24" t="s">
        <v>1751</v>
      </c>
      <c r="G140" s="248" t="s">
        <v>37</v>
      </c>
      <c r="H140" s="248" t="s">
        <v>1710</v>
      </c>
      <c r="I140" s="248" t="s">
        <v>1757</v>
      </c>
      <c r="J140" s="248" t="s">
        <v>1763</v>
      </c>
      <c r="K140" s="248" t="s">
        <v>1593</v>
      </c>
      <c r="L140" s="272"/>
      <c r="M140" s="286" t="s">
        <v>1588</v>
      </c>
      <c r="N140" s="286" t="s">
        <v>1589</v>
      </c>
      <c r="O140" s="286" t="s">
        <v>1588</v>
      </c>
      <c r="P140" s="286" t="s">
        <v>1587</v>
      </c>
      <c r="Q140" s="286" t="s">
        <v>1587</v>
      </c>
      <c r="R140" s="286" t="s">
        <v>1617</v>
      </c>
      <c r="S140" s="286" t="s">
        <v>1587</v>
      </c>
      <c r="T140" s="286" t="s">
        <v>1587</v>
      </c>
      <c r="U140" s="286" t="s">
        <v>1587</v>
      </c>
      <c r="V140" s="286" t="s">
        <v>1589</v>
      </c>
      <c r="W140" s="286" t="s">
        <v>1589</v>
      </c>
      <c r="X140" s="286" t="s">
        <v>1617</v>
      </c>
      <c r="Y140" s="286" t="s">
        <v>1589</v>
      </c>
      <c r="Z140" s="286" t="s">
        <v>1617</v>
      </c>
      <c r="AA140" s="286" t="s">
        <v>1587</v>
      </c>
      <c r="AB140" s="286" t="s">
        <v>1617</v>
      </c>
      <c r="AC140" s="286" t="s">
        <v>1588</v>
      </c>
      <c r="AD140" s="286" t="s">
        <v>1587</v>
      </c>
      <c r="AE140" s="286" t="s">
        <v>1589</v>
      </c>
      <c r="AF140" s="286" t="s">
        <v>1588</v>
      </c>
      <c r="AG140" s="283">
        <v>11</v>
      </c>
      <c r="AH140" s="287" t="s">
        <v>23</v>
      </c>
      <c r="AI140" s="272"/>
      <c r="AJ140" s="288" t="s">
        <v>2032</v>
      </c>
      <c r="AK140" s="288" t="s">
        <v>2032</v>
      </c>
      <c r="AL140" s="288" t="s">
        <v>2032</v>
      </c>
      <c r="AM140" s="288" t="s">
        <v>2032</v>
      </c>
      <c r="AN140" s="288" t="s">
        <v>2032</v>
      </c>
      <c r="AO140" s="288" t="s">
        <v>2032</v>
      </c>
      <c r="AP140" s="288" t="s">
        <v>2032</v>
      </c>
      <c r="AQ140" s="288" t="s">
        <v>2032</v>
      </c>
      <c r="AR140" s="288" t="s">
        <v>2032</v>
      </c>
      <c r="AS140" s="288" t="s">
        <v>2032</v>
      </c>
      <c r="AT140" s="288" t="s">
        <v>2032</v>
      </c>
      <c r="AU140" s="288" t="s">
        <v>2032</v>
      </c>
      <c r="AV140" s="288" t="s">
        <v>2032</v>
      </c>
      <c r="AW140" s="288" t="s">
        <v>2032</v>
      </c>
      <c r="AX140" s="288" t="s">
        <v>2032</v>
      </c>
      <c r="AY140" s="288" t="s">
        <v>2032</v>
      </c>
      <c r="AZ140" s="288" t="s">
        <v>2032</v>
      </c>
      <c r="BA140" s="288" t="s">
        <v>2032</v>
      </c>
      <c r="BB140" s="288" t="s">
        <v>2032</v>
      </c>
      <c r="BC140" s="288" t="s">
        <v>2032</v>
      </c>
      <c r="BD140" s="289">
        <f t="shared" si="0"/>
        <v>0</v>
      </c>
      <c r="BE140" s="287"/>
      <c r="BF140" s="272"/>
    </row>
    <row r="141" spans="1:58" ht="14.25" customHeight="1" x14ac:dyDescent="0.35">
      <c r="A141" s="68">
        <v>139</v>
      </c>
      <c r="B141" s="24" t="s">
        <v>1750</v>
      </c>
      <c r="C141" s="24">
        <v>2024</v>
      </c>
      <c r="D141" s="24" t="s">
        <v>1541</v>
      </c>
      <c r="E141" s="269" t="str">
        <f ca="1">IFERROR(__xludf.DUMMYFUNCTION("ARRAYFORMULA(JOIN("""", ARRAYFORMULA(MID(SPLIT(F141, "" ""), 1, 1))))
&amp;""/""&amp;G141"),"MQ/6 Primaria")</f>
        <v>MQ/6 Primaria</v>
      </c>
      <c r="F141" s="24" t="s">
        <v>1751</v>
      </c>
      <c r="G141" s="248" t="s">
        <v>37</v>
      </c>
      <c r="H141" s="248" t="s">
        <v>1612</v>
      </c>
      <c r="I141" s="248" t="s">
        <v>1672</v>
      </c>
      <c r="J141" s="248" t="s">
        <v>1764</v>
      </c>
      <c r="K141" s="248" t="s">
        <v>1593</v>
      </c>
      <c r="L141" s="272"/>
      <c r="M141" s="286" t="s">
        <v>1589</v>
      </c>
      <c r="N141" s="286" t="s">
        <v>1617</v>
      </c>
      <c r="O141" s="286" t="s">
        <v>1589</v>
      </c>
      <c r="P141" s="286" t="s">
        <v>1587</v>
      </c>
      <c r="Q141" s="286" t="s">
        <v>1588</v>
      </c>
      <c r="R141" s="286" t="s">
        <v>1617</v>
      </c>
      <c r="S141" s="286" t="s">
        <v>1587</v>
      </c>
      <c r="T141" s="286" t="s">
        <v>1587</v>
      </c>
      <c r="U141" s="286" t="s">
        <v>1587</v>
      </c>
      <c r="V141" s="286" t="s">
        <v>1588</v>
      </c>
      <c r="W141" s="286" t="s">
        <v>1589</v>
      </c>
      <c r="X141" s="286" t="s">
        <v>1617</v>
      </c>
      <c r="Y141" s="286" t="s">
        <v>1587</v>
      </c>
      <c r="Z141" s="286" t="s">
        <v>1617</v>
      </c>
      <c r="AA141" s="286" t="s">
        <v>1587</v>
      </c>
      <c r="AB141" s="286" t="s">
        <v>1617</v>
      </c>
      <c r="AC141" s="286" t="s">
        <v>1588</v>
      </c>
      <c r="AD141" s="286" t="s">
        <v>1587</v>
      </c>
      <c r="AE141" s="286" t="s">
        <v>1617</v>
      </c>
      <c r="AF141" s="286" t="s">
        <v>1588</v>
      </c>
      <c r="AG141" s="283">
        <v>12</v>
      </c>
      <c r="AH141" s="287" t="s">
        <v>23</v>
      </c>
      <c r="AI141" s="272"/>
      <c r="AJ141" s="288" t="s">
        <v>2032</v>
      </c>
      <c r="AK141" s="288" t="s">
        <v>2032</v>
      </c>
      <c r="AL141" s="288" t="s">
        <v>2032</v>
      </c>
      <c r="AM141" s="288" t="s">
        <v>2032</v>
      </c>
      <c r="AN141" s="288" t="s">
        <v>2032</v>
      </c>
      <c r="AO141" s="288" t="s">
        <v>2032</v>
      </c>
      <c r="AP141" s="288" t="s">
        <v>2032</v>
      </c>
      <c r="AQ141" s="288" t="s">
        <v>2032</v>
      </c>
      <c r="AR141" s="288" t="s">
        <v>2032</v>
      </c>
      <c r="AS141" s="288" t="s">
        <v>2032</v>
      </c>
      <c r="AT141" s="288" t="s">
        <v>2032</v>
      </c>
      <c r="AU141" s="288" t="s">
        <v>2032</v>
      </c>
      <c r="AV141" s="288" t="s">
        <v>2032</v>
      </c>
      <c r="AW141" s="288" t="s">
        <v>2032</v>
      </c>
      <c r="AX141" s="288" t="s">
        <v>2032</v>
      </c>
      <c r="AY141" s="288" t="s">
        <v>2032</v>
      </c>
      <c r="AZ141" s="288" t="s">
        <v>2032</v>
      </c>
      <c r="BA141" s="288" t="s">
        <v>2032</v>
      </c>
      <c r="BB141" s="288" t="s">
        <v>2032</v>
      </c>
      <c r="BC141" s="288" t="s">
        <v>2032</v>
      </c>
      <c r="BD141" s="289">
        <f t="shared" si="0"/>
        <v>0</v>
      </c>
      <c r="BE141" s="287"/>
      <c r="BF141" s="272"/>
    </row>
    <row r="142" spans="1:58" ht="14.25" customHeight="1" x14ac:dyDescent="0.35">
      <c r="A142" s="68">
        <v>140</v>
      </c>
      <c r="B142" s="24" t="s">
        <v>203</v>
      </c>
      <c r="C142" s="24">
        <v>2024</v>
      </c>
      <c r="D142" s="24" t="s">
        <v>1541</v>
      </c>
      <c r="E142" s="269" t="str">
        <f ca="1">IFERROR(__xludf.DUMMYFUNCTION("ARRAYFORMULA(JOIN("""", ARRAYFORMULA(MID(SPLIT(F142, "" ""), 1, 1))))
&amp;""/""&amp;G142"),"MQ/2 Primaria")</f>
        <v>MQ/2 Primaria</v>
      </c>
      <c r="F142" s="24" t="s">
        <v>1751</v>
      </c>
      <c r="G142" s="248" t="s">
        <v>45</v>
      </c>
      <c r="H142" s="248" t="s">
        <v>1631</v>
      </c>
      <c r="I142" s="248" t="s">
        <v>1765</v>
      </c>
      <c r="J142" s="248" t="s">
        <v>1766</v>
      </c>
      <c r="K142" s="248" t="s">
        <v>1593</v>
      </c>
      <c r="L142" s="272"/>
      <c r="M142" s="286" t="s">
        <v>1753</v>
      </c>
      <c r="N142" s="286" t="s">
        <v>1753</v>
      </c>
      <c r="O142" s="286" t="s">
        <v>1588</v>
      </c>
      <c r="P142" s="286"/>
      <c r="Q142" s="286" t="s">
        <v>1754</v>
      </c>
      <c r="R142" s="286"/>
      <c r="S142" s="286"/>
      <c r="T142" s="286"/>
      <c r="U142" s="286"/>
      <c r="V142" s="286"/>
      <c r="W142" s="286"/>
      <c r="X142" s="286" t="s">
        <v>1754</v>
      </c>
      <c r="Y142" s="286"/>
      <c r="Z142" s="286"/>
      <c r="AA142" s="286"/>
      <c r="AB142" s="286"/>
      <c r="AC142" s="286"/>
      <c r="AD142" s="286"/>
      <c r="AE142" s="286" t="s">
        <v>1754</v>
      </c>
      <c r="AF142" s="286" t="s">
        <v>1753</v>
      </c>
      <c r="AG142" s="283">
        <v>6</v>
      </c>
      <c r="AH142" s="287" t="s">
        <v>19</v>
      </c>
      <c r="AI142" s="272"/>
      <c r="AJ142" s="288" t="s">
        <v>2032</v>
      </c>
      <c r="AK142" s="288" t="s">
        <v>2032</v>
      </c>
      <c r="AL142" s="288" t="s">
        <v>2032</v>
      </c>
      <c r="AM142" s="288" t="s">
        <v>2032</v>
      </c>
      <c r="AN142" s="288" t="s">
        <v>2032</v>
      </c>
      <c r="AO142" s="288" t="s">
        <v>2032</v>
      </c>
      <c r="AP142" s="288" t="s">
        <v>2032</v>
      </c>
      <c r="AQ142" s="288" t="s">
        <v>2032</v>
      </c>
      <c r="AR142" s="288" t="s">
        <v>2032</v>
      </c>
      <c r="AS142" s="288" t="s">
        <v>2032</v>
      </c>
      <c r="AT142" s="288" t="s">
        <v>2032</v>
      </c>
      <c r="AU142" s="288" t="s">
        <v>2032</v>
      </c>
      <c r="AV142" s="288" t="s">
        <v>2032</v>
      </c>
      <c r="AW142" s="288" t="s">
        <v>2032</v>
      </c>
      <c r="AX142" s="288" t="s">
        <v>2032</v>
      </c>
      <c r="AY142" s="288" t="s">
        <v>2032</v>
      </c>
      <c r="AZ142" s="288" t="s">
        <v>2032</v>
      </c>
      <c r="BA142" s="288" t="s">
        <v>2032</v>
      </c>
      <c r="BB142" s="288" t="s">
        <v>2032</v>
      </c>
      <c r="BC142" s="288" t="s">
        <v>2032</v>
      </c>
      <c r="BD142" s="289">
        <f t="shared" si="0"/>
        <v>0</v>
      </c>
      <c r="BE142" s="287"/>
      <c r="BF142" s="272"/>
    </row>
    <row r="143" spans="1:58" ht="14.25" customHeight="1" x14ac:dyDescent="0.35">
      <c r="A143" s="68">
        <v>141</v>
      </c>
      <c r="B143" s="24" t="s">
        <v>203</v>
      </c>
      <c r="C143" s="24">
        <v>2024</v>
      </c>
      <c r="D143" s="24" t="s">
        <v>1541</v>
      </c>
      <c r="E143" s="269" t="str">
        <f ca="1">IFERROR(__xludf.DUMMYFUNCTION("ARRAYFORMULA(JOIN("""", ARRAYFORMULA(MID(SPLIT(F143, "" ""), 1, 1))))
&amp;""/""&amp;G143"),"MQ/2 Primaria")</f>
        <v>MQ/2 Primaria</v>
      </c>
      <c r="F143" s="24" t="s">
        <v>1751</v>
      </c>
      <c r="G143" s="248" t="s">
        <v>45</v>
      </c>
      <c r="H143" s="248" t="s">
        <v>1672</v>
      </c>
      <c r="I143" s="248" t="s">
        <v>1718</v>
      </c>
      <c r="J143" s="248" t="s">
        <v>1767</v>
      </c>
      <c r="K143" s="248" t="s">
        <v>1593</v>
      </c>
      <c r="L143" s="272"/>
      <c r="M143" s="286" t="s">
        <v>1753</v>
      </c>
      <c r="N143" s="286" t="s">
        <v>1753</v>
      </c>
      <c r="O143" s="286" t="s">
        <v>1588</v>
      </c>
      <c r="P143" s="286" t="s">
        <v>1588</v>
      </c>
      <c r="Q143" s="286" t="s">
        <v>1753</v>
      </c>
      <c r="R143" s="286" t="s">
        <v>1754</v>
      </c>
      <c r="S143" s="286" t="s">
        <v>1754</v>
      </c>
      <c r="T143" s="286" t="s">
        <v>1588</v>
      </c>
      <c r="U143" s="286" t="s">
        <v>1753</v>
      </c>
      <c r="V143" s="286" t="s">
        <v>1753</v>
      </c>
      <c r="W143" s="286" t="s">
        <v>1588</v>
      </c>
      <c r="X143" s="286" t="s">
        <v>1754</v>
      </c>
      <c r="Y143" s="286" t="s">
        <v>1754</v>
      </c>
      <c r="Z143" s="286" t="s">
        <v>1588</v>
      </c>
      <c r="AA143" s="286" t="s">
        <v>1588</v>
      </c>
      <c r="AB143" s="286" t="s">
        <v>1753</v>
      </c>
      <c r="AC143" s="286" t="s">
        <v>1588</v>
      </c>
      <c r="AD143" s="286" t="s">
        <v>1753</v>
      </c>
      <c r="AE143" s="286" t="s">
        <v>1754</v>
      </c>
      <c r="AF143" s="286" t="s">
        <v>1753</v>
      </c>
      <c r="AG143" s="283">
        <v>11</v>
      </c>
      <c r="AH143" s="287" t="s">
        <v>23</v>
      </c>
      <c r="AI143" s="272"/>
      <c r="AJ143" s="288" t="s">
        <v>2032</v>
      </c>
      <c r="AK143" s="288" t="s">
        <v>2032</v>
      </c>
      <c r="AL143" s="288" t="s">
        <v>2032</v>
      </c>
      <c r="AM143" s="288" t="s">
        <v>2032</v>
      </c>
      <c r="AN143" s="288" t="s">
        <v>2032</v>
      </c>
      <c r="AO143" s="288" t="s">
        <v>2032</v>
      </c>
      <c r="AP143" s="288" t="s">
        <v>2032</v>
      </c>
      <c r="AQ143" s="288" t="s">
        <v>2032</v>
      </c>
      <c r="AR143" s="288" t="s">
        <v>2032</v>
      </c>
      <c r="AS143" s="288" t="s">
        <v>2032</v>
      </c>
      <c r="AT143" s="288" t="s">
        <v>2032</v>
      </c>
      <c r="AU143" s="288" t="s">
        <v>2032</v>
      </c>
      <c r="AV143" s="288" t="s">
        <v>2032</v>
      </c>
      <c r="AW143" s="288" t="s">
        <v>2032</v>
      </c>
      <c r="AX143" s="288" t="s">
        <v>2032</v>
      </c>
      <c r="AY143" s="288" t="s">
        <v>2032</v>
      </c>
      <c r="AZ143" s="288" t="s">
        <v>2032</v>
      </c>
      <c r="BA143" s="288" t="s">
        <v>2032</v>
      </c>
      <c r="BB143" s="288" t="s">
        <v>2032</v>
      </c>
      <c r="BC143" s="288" t="s">
        <v>2032</v>
      </c>
      <c r="BD143" s="289">
        <f t="shared" si="0"/>
        <v>0</v>
      </c>
      <c r="BE143" s="287"/>
      <c r="BF143" s="272"/>
    </row>
    <row r="144" spans="1:58" ht="14.25" customHeight="1" x14ac:dyDescent="0.35">
      <c r="A144" s="68">
        <v>142</v>
      </c>
      <c r="B144" s="24" t="s">
        <v>203</v>
      </c>
      <c r="C144" s="24">
        <v>2024</v>
      </c>
      <c r="D144" s="24" t="s">
        <v>1541</v>
      </c>
      <c r="E144" s="269" t="str">
        <f ca="1">IFERROR(__xludf.DUMMYFUNCTION("ARRAYFORMULA(JOIN("""", ARRAYFORMULA(MID(SPLIT(F144, "" ""), 1, 1))))
&amp;""/""&amp;G144"),"MQ/2 Primaria")</f>
        <v>MQ/2 Primaria</v>
      </c>
      <c r="F144" s="24" t="s">
        <v>1751</v>
      </c>
      <c r="G144" s="248" t="s">
        <v>45</v>
      </c>
      <c r="H144" s="248" t="s">
        <v>1768</v>
      </c>
      <c r="I144" s="248" t="s">
        <v>1612</v>
      </c>
      <c r="J144" s="248" t="s">
        <v>1769</v>
      </c>
      <c r="K144" s="248" t="s">
        <v>1586</v>
      </c>
      <c r="L144" s="272"/>
      <c r="M144" s="286" t="s">
        <v>1753</v>
      </c>
      <c r="N144" s="286" t="s">
        <v>1588</v>
      </c>
      <c r="O144" s="286" t="s">
        <v>1753</v>
      </c>
      <c r="P144" s="286" t="s">
        <v>1754</v>
      </c>
      <c r="Q144" s="286" t="s">
        <v>1754</v>
      </c>
      <c r="R144" s="286" t="s">
        <v>1753</v>
      </c>
      <c r="S144" s="286" t="s">
        <v>1754</v>
      </c>
      <c r="T144" s="286" t="s">
        <v>1588</v>
      </c>
      <c r="U144" s="286" t="s">
        <v>1753</v>
      </c>
      <c r="V144" s="286"/>
      <c r="W144" s="286" t="s">
        <v>1754</v>
      </c>
      <c r="X144" s="286"/>
      <c r="Y144" s="286" t="s">
        <v>1588</v>
      </c>
      <c r="Z144" s="286" t="s">
        <v>1754</v>
      </c>
      <c r="AA144" s="286" t="s">
        <v>1588</v>
      </c>
      <c r="AB144" s="286" t="s">
        <v>1588</v>
      </c>
      <c r="AC144" s="286" t="s">
        <v>1588</v>
      </c>
      <c r="AD144" s="286" t="s">
        <v>1753</v>
      </c>
      <c r="AE144" s="286" t="s">
        <v>1754</v>
      </c>
      <c r="AF144" s="286" t="s">
        <v>1753</v>
      </c>
      <c r="AG144" s="283">
        <v>9</v>
      </c>
      <c r="AH144" s="287" t="s">
        <v>19</v>
      </c>
      <c r="AI144" s="272"/>
      <c r="AJ144" s="288" t="s">
        <v>2032</v>
      </c>
      <c r="AK144" s="288" t="s">
        <v>2032</v>
      </c>
      <c r="AL144" s="288" t="s">
        <v>2032</v>
      </c>
      <c r="AM144" s="288" t="s">
        <v>2032</v>
      </c>
      <c r="AN144" s="288" t="s">
        <v>2032</v>
      </c>
      <c r="AO144" s="288" t="s">
        <v>2032</v>
      </c>
      <c r="AP144" s="288" t="s">
        <v>2032</v>
      </c>
      <c r="AQ144" s="288" t="s">
        <v>2032</v>
      </c>
      <c r="AR144" s="288" t="s">
        <v>2032</v>
      </c>
      <c r="AS144" s="288" t="s">
        <v>2032</v>
      </c>
      <c r="AT144" s="288" t="s">
        <v>2032</v>
      </c>
      <c r="AU144" s="288" t="s">
        <v>2032</v>
      </c>
      <c r="AV144" s="288" t="s">
        <v>2032</v>
      </c>
      <c r="AW144" s="288" t="s">
        <v>2032</v>
      </c>
      <c r="AX144" s="288" t="s">
        <v>2032</v>
      </c>
      <c r="AY144" s="288" t="s">
        <v>2032</v>
      </c>
      <c r="AZ144" s="288" t="s">
        <v>2032</v>
      </c>
      <c r="BA144" s="288" t="s">
        <v>2032</v>
      </c>
      <c r="BB144" s="288" t="s">
        <v>2032</v>
      </c>
      <c r="BC144" s="288" t="s">
        <v>2032</v>
      </c>
      <c r="BD144" s="289">
        <f t="shared" si="0"/>
        <v>0</v>
      </c>
      <c r="BE144" s="287"/>
      <c r="BF144" s="272"/>
    </row>
    <row r="145" spans="1:58" ht="14.25" customHeight="1" x14ac:dyDescent="0.35">
      <c r="A145" s="68">
        <v>143</v>
      </c>
      <c r="B145" s="24" t="s">
        <v>203</v>
      </c>
      <c r="C145" s="24">
        <v>2024</v>
      </c>
      <c r="D145" s="24" t="s">
        <v>1541</v>
      </c>
      <c r="E145" s="269" t="str">
        <f ca="1">IFERROR(__xludf.DUMMYFUNCTION("ARRAYFORMULA(JOIN("""", ARRAYFORMULA(MID(SPLIT(F145, "" ""), 1, 1))))
&amp;""/""&amp;G145"),"MQ/4 Primaria")</f>
        <v>MQ/4 Primaria</v>
      </c>
      <c r="F145" s="24" t="s">
        <v>1751</v>
      </c>
      <c r="G145" s="248" t="s">
        <v>16</v>
      </c>
      <c r="H145" s="248" t="s">
        <v>1770</v>
      </c>
      <c r="I145" s="248" t="s">
        <v>1674</v>
      </c>
      <c r="J145" s="248" t="s">
        <v>1771</v>
      </c>
      <c r="K145" s="248" t="s">
        <v>1593</v>
      </c>
      <c r="L145" s="272"/>
      <c r="M145" s="286" t="s">
        <v>1587</v>
      </c>
      <c r="N145" s="286" t="s">
        <v>1589</v>
      </c>
      <c r="O145" s="286" t="s">
        <v>1617</v>
      </c>
      <c r="P145" s="286" t="s">
        <v>1617</v>
      </c>
      <c r="Q145" s="286" t="s">
        <v>1589</v>
      </c>
      <c r="R145" s="286" t="s">
        <v>1588</v>
      </c>
      <c r="S145" s="286" t="s">
        <v>1589</v>
      </c>
      <c r="T145" s="286" t="s">
        <v>1617</v>
      </c>
      <c r="U145" s="286" t="s">
        <v>1588</v>
      </c>
      <c r="V145" s="286" t="s">
        <v>1588</v>
      </c>
      <c r="W145" s="286" t="s">
        <v>1588</v>
      </c>
      <c r="X145" s="286" t="s">
        <v>1589</v>
      </c>
      <c r="Y145" s="286" t="s">
        <v>1588</v>
      </c>
      <c r="Z145" s="286" t="s">
        <v>1617</v>
      </c>
      <c r="AA145" s="286" t="s">
        <v>1587</v>
      </c>
      <c r="AB145" s="286" t="s">
        <v>1589</v>
      </c>
      <c r="AC145" s="286" t="s">
        <v>1589</v>
      </c>
      <c r="AD145" s="286" t="s">
        <v>1617</v>
      </c>
      <c r="AE145" s="286" t="s">
        <v>1588</v>
      </c>
      <c r="AF145" s="286" t="s">
        <v>1587</v>
      </c>
      <c r="AG145" s="283">
        <v>11</v>
      </c>
      <c r="AH145" s="287" t="s">
        <v>23</v>
      </c>
      <c r="AI145" s="272"/>
      <c r="AJ145" s="288" t="s">
        <v>2032</v>
      </c>
      <c r="AK145" s="288" t="s">
        <v>2032</v>
      </c>
      <c r="AL145" s="288" t="s">
        <v>2032</v>
      </c>
      <c r="AM145" s="288" t="s">
        <v>2032</v>
      </c>
      <c r="AN145" s="288" t="s">
        <v>2032</v>
      </c>
      <c r="AO145" s="288" t="s">
        <v>2032</v>
      </c>
      <c r="AP145" s="288" t="s">
        <v>2032</v>
      </c>
      <c r="AQ145" s="288" t="s">
        <v>2032</v>
      </c>
      <c r="AR145" s="288" t="s">
        <v>2032</v>
      </c>
      <c r="AS145" s="288" t="s">
        <v>2032</v>
      </c>
      <c r="AT145" s="288" t="s">
        <v>2032</v>
      </c>
      <c r="AU145" s="288" t="s">
        <v>2032</v>
      </c>
      <c r="AV145" s="288" t="s">
        <v>2032</v>
      </c>
      <c r="AW145" s="288" t="s">
        <v>2032</v>
      </c>
      <c r="AX145" s="288" t="s">
        <v>2032</v>
      </c>
      <c r="AY145" s="288" t="s">
        <v>2032</v>
      </c>
      <c r="AZ145" s="288" t="s">
        <v>2032</v>
      </c>
      <c r="BA145" s="288" t="s">
        <v>2032</v>
      </c>
      <c r="BB145" s="288" t="s">
        <v>2032</v>
      </c>
      <c r="BC145" s="288" t="s">
        <v>2032</v>
      </c>
      <c r="BD145" s="289">
        <f t="shared" si="0"/>
        <v>0</v>
      </c>
      <c r="BE145" s="287"/>
      <c r="BF145" s="272"/>
    </row>
    <row r="146" spans="1:58" ht="14.25" customHeight="1" x14ac:dyDescent="0.35">
      <c r="A146" s="68">
        <v>144</v>
      </c>
      <c r="B146" s="24" t="s">
        <v>203</v>
      </c>
      <c r="C146" s="24">
        <v>2024</v>
      </c>
      <c r="D146" s="24" t="s">
        <v>1541</v>
      </c>
      <c r="E146" s="269" t="str">
        <f ca="1">IFERROR(__xludf.DUMMYFUNCTION("ARRAYFORMULA(JOIN("""", ARRAYFORMULA(MID(SPLIT(F146, "" ""), 1, 1))))
&amp;""/""&amp;G146"),"MQ/4 Primaria")</f>
        <v>MQ/4 Primaria</v>
      </c>
      <c r="F146" s="24" t="s">
        <v>1751</v>
      </c>
      <c r="G146" s="248" t="s">
        <v>16</v>
      </c>
      <c r="H146" s="248" t="s">
        <v>1761</v>
      </c>
      <c r="I146" s="248" t="s">
        <v>1612</v>
      </c>
      <c r="J146" s="248" t="s">
        <v>1772</v>
      </c>
      <c r="K146" s="248" t="s">
        <v>1593</v>
      </c>
      <c r="L146" s="272"/>
      <c r="M146" s="286" t="s">
        <v>1617</v>
      </c>
      <c r="N146" s="286" t="s">
        <v>1589</v>
      </c>
      <c r="O146" s="286" t="s">
        <v>1617</v>
      </c>
      <c r="P146" s="286" t="s">
        <v>1587</v>
      </c>
      <c r="Q146" s="286" t="s">
        <v>1589</v>
      </c>
      <c r="R146" s="286" t="s">
        <v>1588</v>
      </c>
      <c r="S146" s="286" t="s">
        <v>1589</v>
      </c>
      <c r="T146" s="286" t="s">
        <v>1617</v>
      </c>
      <c r="U146" s="286" t="s">
        <v>1587</v>
      </c>
      <c r="V146" s="286"/>
      <c r="W146" s="286" t="s">
        <v>1588</v>
      </c>
      <c r="X146" s="286" t="s">
        <v>1589</v>
      </c>
      <c r="Y146" s="286" t="s">
        <v>1587</v>
      </c>
      <c r="Z146" s="286" t="s">
        <v>1617</v>
      </c>
      <c r="AA146" s="286" t="s">
        <v>1588</v>
      </c>
      <c r="AB146" s="286" t="s">
        <v>1588</v>
      </c>
      <c r="AC146" s="286" t="s">
        <v>1589</v>
      </c>
      <c r="AD146" s="286" t="s">
        <v>1589</v>
      </c>
      <c r="AE146" s="286" t="s">
        <v>1589</v>
      </c>
      <c r="AF146" s="286" t="s">
        <v>1588</v>
      </c>
      <c r="AG146" s="283">
        <v>11</v>
      </c>
      <c r="AH146" s="287" t="s">
        <v>23</v>
      </c>
      <c r="AI146" s="272"/>
      <c r="AJ146" s="288" t="s">
        <v>2032</v>
      </c>
      <c r="AK146" s="288" t="s">
        <v>2032</v>
      </c>
      <c r="AL146" s="288" t="s">
        <v>2032</v>
      </c>
      <c r="AM146" s="288" t="s">
        <v>2032</v>
      </c>
      <c r="AN146" s="288" t="s">
        <v>2032</v>
      </c>
      <c r="AO146" s="288" t="s">
        <v>2032</v>
      </c>
      <c r="AP146" s="288" t="s">
        <v>2032</v>
      </c>
      <c r="AQ146" s="288" t="s">
        <v>2032</v>
      </c>
      <c r="AR146" s="288" t="s">
        <v>2032</v>
      </c>
      <c r="AS146" s="288" t="s">
        <v>2032</v>
      </c>
      <c r="AT146" s="288" t="s">
        <v>2032</v>
      </c>
      <c r="AU146" s="288" t="s">
        <v>2032</v>
      </c>
      <c r="AV146" s="288" t="s">
        <v>2032</v>
      </c>
      <c r="AW146" s="288" t="s">
        <v>2032</v>
      </c>
      <c r="AX146" s="288" t="s">
        <v>2032</v>
      </c>
      <c r="AY146" s="288" t="s">
        <v>2032</v>
      </c>
      <c r="AZ146" s="288" t="s">
        <v>2032</v>
      </c>
      <c r="BA146" s="288" t="s">
        <v>2032</v>
      </c>
      <c r="BB146" s="288" t="s">
        <v>2032</v>
      </c>
      <c r="BC146" s="288" t="s">
        <v>2032</v>
      </c>
      <c r="BD146" s="289">
        <f t="shared" si="0"/>
        <v>0</v>
      </c>
      <c r="BE146" s="287"/>
      <c r="BF146" s="272"/>
    </row>
    <row r="147" spans="1:58" ht="14.25" customHeight="1" x14ac:dyDescent="0.35">
      <c r="A147" s="68">
        <v>145</v>
      </c>
      <c r="B147" s="24" t="s">
        <v>203</v>
      </c>
      <c r="C147" s="24">
        <v>2024</v>
      </c>
      <c r="D147" s="24" t="s">
        <v>1541</v>
      </c>
      <c r="E147" s="269" t="str">
        <f ca="1">IFERROR(__xludf.DUMMYFUNCTION("ARRAYFORMULA(JOIN("""", ARRAYFORMULA(MID(SPLIT(F147, "" ""), 1, 1))))
&amp;""/""&amp;G147"),"MQ/4 Primaria")</f>
        <v>MQ/4 Primaria</v>
      </c>
      <c r="F147" s="24" t="s">
        <v>1751</v>
      </c>
      <c r="G147" s="248" t="s">
        <v>16</v>
      </c>
      <c r="H147" s="248" t="s">
        <v>1612</v>
      </c>
      <c r="I147" s="248" t="s">
        <v>1640</v>
      </c>
      <c r="J147" s="248" t="s">
        <v>1773</v>
      </c>
      <c r="K147" s="248" t="s">
        <v>1586</v>
      </c>
      <c r="L147" s="272"/>
      <c r="M147" s="286" t="s">
        <v>1589</v>
      </c>
      <c r="N147" s="286" t="s">
        <v>1587</v>
      </c>
      <c r="O147" s="286" t="s">
        <v>1588</v>
      </c>
      <c r="P147" s="286" t="s">
        <v>1587</v>
      </c>
      <c r="Q147" s="286" t="s">
        <v>1617</v>
      </c>
      <c r="R147" s="286" t="s">
        <v>1589</v>
      </c>
      <c r="S147" s="286" t="s">
        <v>1587</v>
      </c>
      <c r="T147" s="286" t="s">
        <v>1589</v>
      </c>
      <c r="U147" s="286" t="s">
        <v>1587</v>
      </c>
      <c r="V147" s="286" t="s">
        <v>1617</v>
      </c>
      <c r="W147" s="286" t="s">
        <v>1617</v>
      </c>
      <c r="X147" s="286" t="s">
        <v>1589</v>
      </c>
      <c r="Y147" s="286" t="s">
        <v>1589</v>
      </c>
      <c r="Z147" s="286" t="s">
        <v>1588</v>
      </c>
      <c r="AA147" s="286" t="s">
        <v>1589</v>
      </c>
      <c r="AB147" s="286" t="s">
        <v>1587</v>
      </c>
      <c r="AC147" s="286" t="s">
        <v>1587</v>
      </c>
      <c r="AD147" s="286" t="s">
        <v>1589</v>
      </c>
      <c r="AE147" s="286" t="s">
        <v>1588</v>
      </c>
      <c r="AF147" s="286" t="s">
        <v>1589</v>
      </c>
      <c r="AG147" s="283">
        <v>6</v>
      </c>
      <c r="AH147" s="287" t="s">
        <v>19</v>
      </c>
      <c r="AI147" s="272"/>
      <c r="AJ147" s="288" t="s">
        <v>2032</v>
      </c>
      <c r="AK147" s="288" t="s">
        <v>2032</v>
      </c>
      <c r="AL147" s="288" t="s">
        <v>2032</v>
      </c>
      <c r="AM147" s="288" t="s">
        <v>2032</v>
      </c>
      <c r="AN147" s="288" t="s">
        <v>2032</v>
      </c>
      <c r="AO147" s="288" t="s">
        <v>2032</v>
      </c>
      <c r="AP147" s="288" t="s">
        <v>2032</v>
      </c>
      <c r="AQ147" s="288" t="s">
        <v>2032</v>
      </c>
      <c r="AR147" s="288" t="s">
        <v>2032</v>
      </c>
      <c r="AS147" s="288" t="s">
        <v>2032</v>
      </c>
      <c r="AT147" s="288" t="s">
        <v>2032</v>
      </c>
      <c r="AU147" s="288" t="s">
        <v>2032</v>
      </c>
      <c r="AV147" s="288" t="s">
        <v>2032</v>
      </c>
      <c r="AW147" s="288" t="s">
        <v>2032</v>
      </c>
      <c r="AX147" s="288" t="s">
        <v>2032</v>
      </c>
      <c r="AY147" s="288" t="s">
        <v>2032</v>
      </c>
      <c r="AZ147" s="288" t="s">
        <v>2032</v>
      </c>
      <c r="BA147" s="288" t="s">
        <v>2032</v>
      </c>
      <c r="BB147" s="288" t="s">
        <v>2032</v>
      </c>
      <c r="BC147" s="288" t="s">
        <v>2032</v>
      </c>
      <c r="BD147" s="289">
        <f t="shared" si="0"/>
        <v>0</v>
      </c>
      <c r="BE147" s="287"/>
      <c r="BF147" s="272"/>
    </row>
    <row r="148" spans="1:58" ht="14.25" customHeight="1" x14ac:dyDescent="0.35">
      <c r="A148" s="68">
        <v>146</v>
      </c>
      <c r="B148" s="24" t="s">
        <v>203</v>
      </c>
      <c r="C148" s="24">
        <v>2024</v>
      </c>
      <c r="D148" s="24" t="s">
        <v>1541</v>
      </c>
      <c r="E148" s="269" t="str">
        <f ca="1">IFERROR(__xludf.DUMMYFUNCTION("ARRAYFORMULA(JOIN("""", ARRAYFORMULA(MID(SPLIT(F148, "" ""), 1, 1))))
&amp;""/""&amp;G148"),"MQ/6 Primaria")</f>
        <v>MQ/6 Primaria</v>
      </c>
      <c r="F148" s="24" t="s">
        <v>1751</v>
      </c>
      <c r="G148" s="248" t="s">
        <v>37</v>
      </c>
      <c r="H148" s="248" t="s">
        <v>1672</v>
      </c>
      <c r="I148" s="248" t="s">
        <v>1774</v>
      </c>
      <c r="J148" s="248" t="s">
        <v>1775</v>
      </c>
      <c r="K148" s="248" t="s">
        <v>1593</v>
      </c>
      <c r="L148" s="272"/>
      <c r="M148" s="286" t="s">
        <v>1589</v>
      </c>
      <c r="N148" s="286" t="s">
        <v>1617</v>
      </c>
      <c r="O148" s="286" t="s">
        <v>1589</v>
      </c>
      <c r="P148" s="286" t="s">
        <v>1617</v>
      </c>
      <c r="Q148" s="286" t="s">
        <v>1587</v>
      </c>
      <c r="R148" s="286" t="s">
        <v>1587</v>
      </c>
      <c r="S148" s="286" t="s">
        <v>1587</v>
      </c>
      <c r="T148" s="286" t="s">
        <v>1587</v>
      </c>
      <c r="U148" s="286" t="s">
        <v>1617</v>
      </c>
      <c r="V148" s="286" t="s">
        <v>1617</v>
      </c>
      <c r="W148" s="286" t="s">
        <v>1587</v>
      </c>
      <c r="X148" s="286" t="s">
        <v>1617</v>
      </c>
      <c r="Y148" s="286" t="s">
        <v>1587</v>
      </c>
      <c r="Z148" s="286" t="s">
        <v>1588</v>
      </c>
      <c r="AA148" s="286" t="s">
        <v>1587</v>
      </c>
      <c r="AB148" s="286" t="s">
        <v>1587</v>
      </c>
      <c r="AC148" s="286" t="s">
        <v>1588</v>
      </c>
      <c r="AD148" s="286" t="s">
        <v>1589</v>
      </c>
      <c r="AE148" s="286" t="s">
        <v>1617</v>
      </c>
      <c r="AF148" s="286" t="s">
        <v>1588</v>
      </c>
      <c r="AG148" s="283">
        <v>12</v>
      </c>
      <c r="AH148" s="287" t="s">
        <v>23</v>
      </c>
      <c r="AI148" s="272"/>
      <c r="AJ148" s="288" t="s">
        <v>2032</v>
      </c>
      <c r="AK148" s="288" t="s">
        <v>2032</v>
      </c>
      <c r="AL148" s="288" t="s">
        <v>2032</v>
      </c>
      <c r="AM148" s="288" t="s">
        <v>2032</v>
      </c>
      <c r="AN148" s="288" t="s">
        <v>2032</v>
      </c>
      <c r="AO148" s="288" t="s">
        <v>2032</v>
      </c>
      <c r="AP148" s="288" t="s">
        <v>2032</v>
      </c>
      <c r="AQ148" s="288" t="s">
        <v>2032</v>
      </c>
      <c r="AR148" s="288" t="s">
        <v>2032</v>
      </c>
      <c r="AS148" s="288" t="s">
        <v>2032</v>
      </c>
      <c r="AT148" s="288" t="s">
        <v>2032</v>
      </c>
      <c r="AU148" s="288" t="s">
        <v>2032</v>
      </c>
      <c r="AV148" s="288" t="s">
        <v>2032</v>
      </c>
      <c r="AW148" s="288" t="s">
        <v>2032</v>
      </c>
      <c r="AX148" s="288" t="s">
        <v>2032</v>
      </c>
      <c r="AY148" s="288" t="s">
        <v>2032</v>
      </c>
      <c r="AZ148" s="288" t="s">
        <v>2032</v>
      </c>
      <c r="BA148" s="288" t="s">
        <v>2032</v>
      </c>
      <c r="BB148" s="288" t="s">
        <v>2032</v>
      </c>
      <c r="BC148" s="288" t="s">
        <v>2032</v>
      </c>
      <c r="BD148" s="289">
        <f t="shared" si="0"/>
        <v>0</v>
      </c>
      <c r="BE148" s="287"/>
      <c r="BF148" s="272"/>
    </row>
    <row r="149" spans="1:58" ht="14.25" customHeight="1" x14ac:dyDescent="0.35">
      <c r="A149" s="68">
        <v>147</v>
      </c>
      <c r="B149" s="24" t="s">
        <v>203</v>
      </c>
      <c r="C149" s="24">
        <v>2024</v>
      </c>
      <c r="D149" s="24" t="s">
        <v>1541</v>
      </c>
      <c r="E149" s="269" t="str">
        <f ca="1">IFERROR(__xludf.DUMMYFUNCTION("ARRAYFORMULA(JOIN("""", ARRAYFORMULA(MID(SPLIT(F149, "" ""), 1, 1))))
&amp;""/""&amp;G149"),"MQ/6 Primaria")</f>
        <v>MQ/6 Primaria</v>
      </c>
      <c r="F149" s="24" t="s">
        <v>1751</v>
      </c>
      <c r="G149" s="248" t="s">
        <v>37</v>
      </c>
      <c r="H149" s="248" t="s">
        <v>1776</v>
      </c>
      <c r="I149" s="248" t="s">
        <v>1612</v>
      </c>
      <c r="J149" s="248" t="s">
        <v>1777</v>
      </c>
      <c r="K149" s="248" t="s">
        <v>1586</v>
      </c>
      <c r="L149" s="272"/>
      <c r="M149" s="286" t="s">
        <v>1617</v>
      </c>
      <c r="N149" s="286" t="s">
        <v>1617</v>
      </c>
      <c r="O149" s="286" t="s">
        <v>1617</v>
      </c>
      <c r="P149" s="286" t="s">
        <v>1617</v>
      </c>
      <c r="Q149" s="286" t="s">
        <v>1588</v>
      </c>
      <c r="R149" s="286" t="s">
        <v>1617</v>
      </c>
      <c r="S149" s="286" t="s">
        <v>1587</v>
      </c>
      <c r="T149" s="286" t="s">
        <v>1587</v>
      </c>
      <c r="U149" s="286" t="s">
        <v>1617</v>
      </c>
      <c r="V149" s="286" t="s">
        <v>1589</v>
      </c>
      <c r="W149" s="286" t="s">
        <v>1617</v>
      </c>
      <c r="X149" s="286" t="s">
        <v>1587</v>
      </c>
      <c r="Y149" s="286" t="s">
        <v>1588</v>
      </c>
      <c r="Z149" s="286" t="s">
        <v>1617</v>
      </c>
      <c r="AA149" s="286" t="s">
        <v>1587</v>
      </c>
      <c r="AB149" s="286" t="s">
        <v>1617</v>
      </c>
      <c r="AC149" s="286" t="s">
        <v>1617</v>
      </c>
      <c r="AD149" s="286" t="s">
        <v>1589</v>
      </c>
      <c r="AE149" s="286" t="s">
        <v>1617</v>
      </c>
      <c r="AF149" s="286" t="s">
        <v>1588</v>
      </c>
      <c r="AG149" s="283">
        <v>8</v>
      </c>
      <c r="AH149" s="287" t="s">
        <v>19</v>
      </c>
      <c r="AI149" s="272"/>
      <c r="AJ149" s="288" t="s">
        <v>2032</v>
      </c>
      <c r="AK149" s="288" t="s">
        <v>2032</v>
      </c>
      <c r="AL149" s="288" t="s">
        <v>2032</v>
      </c>
      <c r="AM149" s="288" t="s">
        <v>2032</v>
      </c>
      <c r="AN149" s="288" t="s">
        <v>2032</v>
      </c>
      <c r="AO149" s="288" t="s">
        <v>2032</v>
      </c>
      <c r="AP149" s="288" t="s">
        <v>2032</v>
      </c>
      <c r="AQ149" s="288" t="s">
        <v>2032</v>
      </c>
      <c r="AR149" s="288" t="s">
        <v>2032</v>
      </c>
      <c r="AS149" s="288" t="s">
        <v>2032</v>
      </c>
      <c r="AT149" s="288" t="s">
        <v>2032</v>
      </c>
      <c r="AU149" s="288" t="s">
        <v>2032</v>
      </c>
      <c r="AV149" s="288" t="s">
        <v>2032</v>
      </c>
      <c r="AW149" s="288" t="s">
        <v>2032</v>
      </c>
      <c r="AX149" s="288" t="s">
        <v>2032</v>
      </c>
      <c r="AY149" s="288" t="s">
        <v>2032</v>
      </c>
      <c r="AZ149" s="288" t="s">
        <v>2032</v>
      </c>
      <c r="BA149" s="288" t="s">
        <v>2032</v>
      </c>
      <c r="BB149" s="288" t="s">
        <v>2032</v>
      </c>
      <c r="BC149" s="288" t="s">
        <v>2032</v>
      </c>
      <c r="BD149" s="289">
        <f t="shared" si="0"/>
        <v>0</v>
      </c>
      <c r="BE149" s="287"/>
      <c r="BF149" s="272"/>
    </row>
    <row r="150" spans="1:58" ht="14.25" customHeight="1" x14ac:dyDescent="0.35">
      <c r="A150" s="68">
        <v>148</v>
      </c>
      <c r="B150" s="24" t="s">
        <v>203</v>
      </c>
      <c r="C150" s="24">
        <v>2024</v>
      </c>
      <c r="D150" s="24" t="s">
        <v>1541</v>
      </c>
      <c r="E150" s="269" t="str">
        <f ca="1">IFERROR(__xludf.DUMMYFUNCTION("ARRAYFORMULA(JOIN("""", ARRAYFORMULA(MID(SPLIT(F150, "" ""), 1, 1))))
&amp;""/""&amp;G150"),"MQ/6 Primaria")</f>
        <v>MQ/6 Primaria</v>
      </c>
      <c r="F150" s="24" t="s">
        <v>1751</v>
      </c>
      <c r="G150" s="248" t="s">
        <v>37</v>
      </c>
      <c r="H150" s="248" t="s">
        <v>1612</v>
      </c>
      <c r="I150" s="248" t="s">
        <v>1656</v>
      </c>
      <c r="J150" s="248" t="s">
        <v>1778</v>
      </c>
      <c r="K150" s="248" t="s">
        <v>1586</v>
      </c>
      <c r="L150" s="272"/>
      <c r="M150" s="286" t="s">
        <v>1589</v>
      </c>
      <c r="N150" s="286" t="s">
        <v>1617</v>
      </c>
      <c r="O150" s="286" t="s">
        <v>1589</v>
      </c>
      <c r="P150" s="286" t="s">
        <v>1617</v>
      </c>
      <c r="Q150" s="286" t="s">
        <v>1587</v>
      </c>
      <c r="R150" s="286" t="s">
        <v>1587</v>
      </c>
      <c r="S150" s="286" t="s">
        <v>1588</v>
      </c>
      <c r="T150" s="286"/>
      <c r="U150" s="286" t="s">
        <v>1587</v>
      </c>
      <c r="V150" s="286" t="s">
        <v>1617</v>
      </c>
      <c r="W150" s="286" t="s">
        <v>1589</v>
      </c>
      <c r="X150" s="286" t="s">
        <v>1617</v>
      </c>
      <c r="Y150" s="286" t="s">
        <v>1589</v>
      </c>
      <c r="Z150" s="286" t="s">
        <v>1617</v>
      </c>
      <c r="AA150" s="286" t="s">
        <v>1589</v>
      </c>
      <c r="AB150" s="286" t="s">
        <v>1617</v>
      </c>
      <c r="AC150" s="286" t="s">
        <v>1588</v>
      </c>
      <c r="AD150" s="286" t="s">
        <v>1617</v>
      </c>
      <c r="AE150" s="286" t="s">
        <v>1588</v>
      </c>
      <c r="AF150" s="286" t="s">
        <v>1588</v>
      </c>
      <c r="AG150" s="283">
        <v>11</v>
      </c>
      <c r="AH150" s="287" t="s">
        <v>23</v>
      </c>
      <c r="AI150" s="272"/>
      <c r="AJ150" s="288" t="s">
        <v>2032</v>
      </c>
      <c r="AK150" s="288" t="s">
        <v>2032</v>
      </c>
      <c r="AL150" s="288" t="s">
        <v>2032</v>
      </c>
      <c r="AM150" s="288" t="s">
        <v>2032</v>
      </c>
      <c r="AN150" s="288" t="s">
        <v>2032</v>
      </c>
      <c r="AO150" s="288" t="s">
        <v>2032</v>
      </c>
      <c r="AP150" s="288" t="s">
        <v>2032</v>
      </c>
      <c r="AQ150" s="288" t="s">
        <v>2032</v>
      </c>
      <c r="AR150" s="288" t="s">
        <v>2032</v>
      </c>
      <c r="AS150" s="288" t="s">
        <v>2032</v>
      </c>
      <c r="AT150" s="288" t="s">
        <v>2032</v>
      </c>
      <c r="AU150" s="288" t="s">
        <v>2032</v>
      </c>
      <c r="AV150" s="288" t="s">
        <v>2032</v>
      </c>
      <c r="AW150" s="288" t="s">
        <v>2032</v>
      </c>
      <c r="AX150" s="288" t="s">
        <v>2032</v>
      </c>
      <c r="AY150" s="288" t="s">
        <v>2032</v>
      </c>
      <c r="AZ150" s="288" t="s">
        <v>2032</v>
      </c>
      <c r="BA150" s="288" t="s">
        <v>2032</v>
      </c>
      <c r="BB150" s="288" t="s">
        <v>2032</v>
      </c>
      <c r="BC150" s="288" t="s">
        <v>2032</v>
      </c>
      <c r="BD150" s="289">
        <f t="shared" si="0"/>
        <v>0</v>
      </c>
      <c r="BE150" s="287"/>
      <c r="BF150" s="272"/>
    </row>
    <row r="151" spans="1:58" ht="14.25" customHeight="1" x14ac:dyDescent="0.35">
      <c r="A151" s="68">
        <v>149</v>
      </c>
      <c r="B151" s="24" t="s">
        <v>1779</v>
      </c>
      <c r="C151" s="24">
        <v>2024</v>
      </c>
      <c r="D151" s="24" t="s">
        <v>1541</v>
      </c>
      <c r="E151" s="269" t="str">
        <f ca="1">IFERROR(__xludf.DUMMYFUNCTION("ARRAYFORMULA(JOIN("""", ARRAYFORMULA(MID(SPLIT(F151, "" ""), 1, 1))))
&amp;""/""&amp;G151"),"MQ/2 Primaria")</f>
        <v>MQ/2 Primaria</v>
      </c>
      <c r="F151" s="24" t="s">
        <v>1751</v>
      </c>
      <c r="G151" s="248" t="s">
        <v>45</v>
      </c>
      <c r="H151" s="248" t="s">
        <v>1674</v>
      </c>
      <c r="I151" s="248" t="s">
        <v>1699</v>
      </c>
      <c r="J151" s="248" t="s">
        <v>1780</v>
      </c>
      <c r="K151" s="248" t="s">
        <v>1586</v>
      </c>
      <c r="L151" s="272"/>
      <c r="M151" s="286" t="s">
        <v>1753</v>
      </c>
      <c r="N151" s="286" t="s">
        <v>1753</v>
      </c>
      <c r="O151" s="286" t="s">
        <v>1588</v>
      </c>
      <c r="P151" s="286" t="s">
        <v>1754</v>
      </c>
      <c r="Q151" s="286" t="s">
        <v>1754</v>
      </c>
      <c r="R151" s="286" t="s">
        <v>1588</v>
      </c>
      <c r="S151" s="286" t="s">
        <v>1754</v>
      </c>
      <c r="T151" s="286" t="s">
        <v>1753</v>
      </c>
      <c r="U151" s="286" t="s">
        <v>1754</v>
      </c>
      <c r="V151" s="286" t="s">
        <v>1753</v>
      </c>
      <c r="W151" s="286" t="s">
        <v>1588</v>
      </c>
      <c r="X151" s="286" t="s">
        <v>1754</v>
      </c>
      <c r="Y151" s="286" t="s">
        <v>1754</v>
      </c>
      <c r="Z151" s="286" t="s">
        <v>1588</v>
      </c>
      <c r="AA151" s="286" t="s">
        <v>1754</v>
      </c>
      <c r="AB151" s="286" t="s">
        <v>1753</v>
      </c>
      <c r="AC151" s="286" t="s">
        <v>1588</v>
      </c>
      <c r="AD151" s="286" t="s">
        <v>1754</v>
      </c>
      <c r="AE151" s="286" t="s">
        <v>1753</v>
      </c>
      <c r="AF151" s="286" t="s">
        <v>1753</v>
      </c>
      <c r="AG151" s="283">
        <v>15</v>
      </c>
      <c r="AH151" s="287" t="s">
        <v>23</v>
      </c>
      <c r="AI151" s="272"/>
      <c r="AJ151" s="288" t="s">
        <v>2032</v>
      </c>
      <c r="AK151" s="288" t="s">
        <v>2032</v>
      </c>
      <c r="AL151" s="288" t="s">
        <v>2032</v>
      </c>
      <c r="AM151" s="288" t="s">
        <v>2032</v>
      </c>
      <c r="AN151" s="288" t="s">
        <v>2032</v>
      </c>
      <c r="AO151" s="288" t="s">
        <v>2032</v>
      </c>
      <c r="AP151" s="288" t="s">
        <v>2032</v>
      </c>
      <c r="AQ151" s="288" t="s">
        <v>2032</v>
      </c>
      <c r="AR151" s="288" t="s">
        <v>2032</v>
      </c>
      <c r="AS151" s="288" t="s">
        <v>2032</v>
      </c>
      <c r="AT151" s="288" t="s">
        <v>2032</v>
      </c>
      <c r="AU151" s="288" t="s">
        <v>2032</v>
      </c>
      <c r="AV151" s="288" t="s">
        <v>2032</v>
      </c>
      <c r="AW151" s="288" t="s">
        <v>2032</v>
      </c>
      <c r="AX151" s="288" t="s">
        <v>2032</v>
      </c>
      <c r="AY151" s="288" t="s">
        <v>2032</v>
      </c>
      <c r="AZ151" s="288" t="s">
        <v>2032</v>
      </c>
      <c r="BA151" s="288" t="s">
        <v>2032</v>
      </c>
      <c r="BB151" s="288" t="s">
        <v>2032</v>
      </c>
      <c r="BC151" s="288" t="s">
        <v>2032</v>
      </c>
      <c r="BD151" s="289">
        <f t="shared" si="0"/>
        <v>0</v>
      </c>
      <c r="BE151" s="287"/>
      <c r="BF151" s="272"/>
    </row>
    <row r="152" spans="1:58" ht="14.25" customHeight="1" x14ac:dyDescent="0.35">
      <c r="A152" s="68">
        <v>150</v>
      </c>
      <c r="B152" s="24" t="s">
        <v>1779</v>
      </c>
      <c r="C152" s="24">
        <v>2024</v>
      </c>
      <c r="D152" s="24" t="s">
        <v>1541</v>
      </c>
      <c r="E152" s="269" t="str">
        <f ca="1">IFERROR(__xludf.DUMMYFUNCTION("ARRAYFORMULA(JOIN("""", ARRAYFORMULA(MID(SPLIT(F152, "" ""), 1, 1))))
&amp;""/""&amp;G152"),"MQ/2 Primaria")</f>
        <v>MQ/2 Primaria</v>
      </c>
      <c r="F152" s="24" t="s">
        <v>1751</v>
      </c>
      <c r="G152" s="248" t="s">
        <v>45</v>
      </c>
      <c r="H152" s="248" t="s">
        <v>1781</v>
      </c>
      <c r="I152" s="248" t="s">
        <v>1782</v>
      </c>
      <c r="J152" s="248" t="s">
        <v>1783</v>
      </c>
      <c r="K152" s="248" t="s">
        <v>1593</v>
      </c>
      <c r="L152" s="272"/>
      <c r="M152" s="286" t="s">
        <v>1753</v>
      </c>
      <c r="N152" s="286" t="s">
        <v>1753</v>
      </c>
      <c r="O152" s="286" t="s">
        <v>1588</v>
      </c>
      <c r="P152" s="286" t="s">
        <v>1754</v>
      </c>
      <c r="Q152" s="286" t="s">
        <v>1754</v>
      </c>
      <c r="R152" s="286" t="s">
        <v>1588</v>
      </c>
      <c r="S152" s="286" t="s">
        <v>1754</v>
      </c>
      <c r="T152" s="286" t="s">
        <v>1753</v>
      </c>
      <c r="U152" s="286" t="s">
        <v>1754</v>
      </c>
      <c r="V152" s="286" t="s">
        <v>1588</v>
      </c>
      <c r="W152" s="286" t="s">
        <v>1753</v>
      </c>
      <c r="X152" s="286" t="s">
        <v>1754</v>
      </c>
      <c r="Y152" s="286" t="s">
        <v>1588</v>
      </c>
      <c r="Z152" s="286" t="s">
        <v>1588</v>
      </c>
      <c r="AA152" s="286" t="s">
        <v>1754</v>
      </c>
      <c r="AB152" s="286" t="s">
        <v>1753</v>
      </c>
      <c r="AC152" s="286" t="s">
        <v>1588</v>
      </c>
      <c r="AD152" s="286" t="s">
        <v>1753</v>
      </c>
      <c r="AE152" s="286" t="s">
        <v>1753</v>
      </c>
      <c r="AF152" s="286" t="s">
        <v>1753</v>
      </c>
      <c r="AG152" s="283">
        <v>15</v>
      </c>
      <c r="AH152" s="287" t="s">
        <v>23</v>
      </c>
      <c r="AI152" s="272"/>
      <c r="AJ152" s="288" t="s">
        <v>2032</v>
      </c>
      <c r="AK152" s="288" t="s">
        <v>2032</v>
      </c>
      <c r="AL152" s="288" t="s">
        <v>2032</v>
      </c>
      <c r="AM152" s="288" t="s">
        <v>2032</v>
      </c>
      <c r="AN152" s="288" t="s">
        <v>2032</v>
      </c>
      <c r="AO152" s="288" t="s">
        <v>2032</v>
      </c>
      <c r="AP152" s="288" t="s">
        <v>2032</v>
      </c>
      <c r="AQ152" s="288" t="s">
        <v>2032</v>
      </c>
      <c r="AR152" s="288" t="s">
        <v>2032</v>
      </c>
      <c r="AS152" s="288" t="s">
        <v>2032</v>
      </c>
      <c r="AT152" s="288" t="s">
        <v>2032</v>
      </c>
      <c r="AU152" s="288" t="s">
        <v>2032</v>
      </c>
      <c r="AV152" s="288" t="s">
        <v>2032</v>
      </c>
      <c r="AW152" s="288" t="s">
        <v>2032</v>
      </c>
      <c r="AX152" s="288" t="s">
        <v>2032</v>
      </c>
      <c r="AY152" s="288" t="s">
        <v>2032</v>
      </c>
      <c r="AZ152" s="288" t="s">
        <v>2032</v>
      </c>
      <c r="BA152" s="288" t="s">
        <v>2032</v>
      </c>
      <c r="BB152" s="288" t="s">
        <v>2032</v>
      </c>
      <c r="BC152" s="288" t="s">
        <v>2032</v>
      </c>
      <c r="BD152" s="289">
        <f t="shared" si="0"/>
        <v>0</v>
      </c>
      <c r="BE152" s="287"/>
      <c r="BF152" s="272"/>
    </row>
    <row r="153" spans="1:58" ht="14.25" customHeight="1" x14ac:dyDescent="0.35">
      <c r="A153" s="68">
        <v>151</v>
      </c>
      <c r="B153" s="24" t="s">
        <v>1779</v>
      </c>
      <c r="C153" s="24">
        <v>2024</v>
      </c>
      <c r="D153" s="24" t="s">
        <v>1541</v>
      </c>
      <c r="E153" s="269" t="str">
        <f ca="1">IFERROR(__xludf.DUMMYFUNCTION("ARRAYFORMULA(JOIN("""", ARRAYFORMULA(MID(SPLIT(F153, "" ""), 1, 1))))
&amp;""/""&amp;G153"),"MQ/2 Primaria")</f>
        <v>MQ/2 Primaria</v>
      </c>
      <c r="F153" s="24" t="s">
        <v>1751</v>
      </c>
      <c r="G153" s="248" t="s">
        <v>45</v>
      </c>
      <c r="H153" s="248" t="s">
        <v>1784</v>
      </c>
      <c r="I153" s="248" t="s">
        <v>1785</v>
      </c>
      <c r="J153" s="248" t="s">
        <v>1786</v>
      </c>
      <c r="K153" s="248" t="s">
        <v>1586</v>
      </c>
      <c r="L153" s="272"/>
      <c r="M153" s="286" t="s">
        <v>1753</v>
      </c>
      <c r="N153" s="286" t="s">
        <v>1753</v>
      </c>
      <c r="O153" s="286" t="s">
        <v>1588</v>
      </c>
      <c r="P153" s="286" t="s">
        <v>1754</v>
      </c>
      <c r="Q153" s="286" t="s">
        <v>1754</v>
      </c>
      <c r="R153" s="286" t="s">
        <v>1588</v>
      </c>
      <c r="S153" s="286" t="s">
        <v>1754</v>
      </c>
      <c r="T153" s="286" t="s">
        <v>1753</v>
      </c>
      <c r="U153" s="286" t="s">
        <v>1754</v>
      </c>
      <c r="V153" s="286" t="s">
        <v>1753</v>
      </c>
      <c r="W153" s="286"/>
      <c r="X153" s="286"/>
      <c r="Y153" s="286"/>
      <c r="Z153" s="286" t="s">
        <v>1588</v>
      </c>
      <c r="AA153" s="286" t="s">
        <v>1754</v>
      </c>
      <c r="AB153" s="286" t="s">
        <v>1753</v>
      </c>
      <c r="AC153" s="286" t="s">
        <v>1588</v>
      </c>
      <c r="AD153" s="286" t="s">
        <v>1753</v>
      </c>
      <c r="AE153" s="286" t="s">
        <v>1754</v>
      </c>
      <c r="AF153" s="286" t="s">
        <v>1753</v>
      </c>
      <c r="AG153" s="283">
        <v>16</v>
      </c>
      <c r="AH153" s="287" t="s">
        <v>23</v>
      </c>
      <c r="AI153" s="272"/>
      <c r="AJ153" s="288" t="s">
        <v>2032</v>
      </c>
      <c r="AK153" s="288" t="s">
        <v>2032</v>
      </c>
      <c r="AL153" s="288" t="s">
        <v>2032</v>
      </c>
      <c r="AM153" s="288" t="s">
        <v>2032</v>
      </c>
      <c r="AN153" s="288" t="s">
        <v>2032</v>
      </c>
      <c r="AO153" s="288" t="s">
        <v>2032</v>
      </c>
      <c r="AP153" s="288" t="s">
        <v>2032</v>
      </c>
      <c r="AQ153" s="288" t="s">
        <v>2032</v>
      </c>
      <c r="AR153" s="288" t="s">
        <v>2032</v>
      </c>
      <c r="AS153" s="288" t="s">
        <v>2032</v>
      </c>
      <c r="AT153" s="288" t="s">
        <v>2032</v>
      </c>
      <c r="AU153" s="288" t="s">
        <v>2032</v>
      </c>
      <c r="AV153" s="288" t="s">
        <v>2032</v>
      </c>
      <c r="AW153" s="288" t="s">
        <v>2032</v>
      </c>
      <c r="AX153" s="288" t="s">
        <v>2032</v>
      </c>
      <c r="AY153" s="288" t="s">
        <v>2032</v>
      </c>
      <c r="AZ153" s="288" t="s">
        <v>2032</v>
      </c>
      <c r="BA153" s="288" t="s">
        <v>2032</v>
      </c>
      <c r="BB153" s="288" t="s">
        <v>2032</v>
      </c>
      <c r="BC153" s="288" t="s">
        <v>2032</v>
      </c>
      <c r="BD153" s="289">
        <f t="shared" si="0"/>
        <v>0</v>
      </c>
      <c r="BE153" s="287"/>
      <c r="BF153" s="272"/>
    </row>
    <row r="154" spans="1:58" ht="14.25" customHeight="1" x14ac:dyDescent="0.35">
      <c r="A154" s="68">
        <v>152</v>
      </c>
      <c r="B154" s="24" t="s">
        <v>1779</v>
      </c>
      <c r="C154" s="24">
        <v>2024</v>
      </c>
      <c r="D154" s="24" t="s">
        <v>1541</v>
      </c>
      <c r="E154" s="269" t="str">
        <f ca="1">IFERROR(__xludf.DUMMYFUNCTION("ARRAYFORMULA(JOIN("""", ARRAYFORMULA(MID(SPLIT(F154, "" ""), 1, 1))))
&amp;""/""&amp;G154"),"MQ/4 Primaria")</f>
        <v>MQ/4 Primaria</v>
      </c>
      <c r="F154" s="24" t="s">
        <v>1751</v>
      </c>
      <c r="G154" s="248" t="s">
        <v>16</v>
      </c>
      <c r="H154" s="248" t="s">
        <v>1689</v>
      </c>
      <c r="I154" s="248" t="s">
        <v>1636</v>
      </c>
      <c r="J154" s="248" t="s">
        <v>1787</v>
      </c>
      <c r="K154" s="248" t="s">
        <v>1586</v>
      </c>
      <c r="L154" s="272"/>
      <c r="M154" s="286" t="s">
        <v>1617</v>
      </c>
      <c r="N154" s="286" t="s">
        <v>1589</v>
      </c>
      <c r="O154" s="286" t="s">
        <v>1588</v>
      </c>
      <c r="P154" s="286" t="s">
        <v>1587</v>
      </c>
      <c r="Q154" s="286" t="s">
        <v>1589</v>
      </c>
      <c r="R154" s="286" t="s">
        <v>1588</v>
      </c>
      <c r="S154" s="286" t="s">
        <v>1617</v>
      </c>
      <c r="T154" s="286" t="s">
        <v>1589</v>
      </c>
      <c r="U154" s="286" t="s">
        <v>1587</v>
      </c>
      <c r="V154" s="286" t="s">
        <v>1589</v>
      </c>
      <c r="W154" s="286" t="s">
        <v>1587</v>
      </c>
      <c r="X154" s="286" t="s">
        <v>1588</v>
      </c>
      <c r="Y154" s="286" t="s">
        <v>1617</v>
      </c>
      <c r="Z154" s="286" t="s">
        <v>1588</v>
      </c>
      <c r="AA154" s="286" t="s">
        <v>1587</v>
      </c>
      <c r="AB154" s="286"/>
      <c r="AC154" s="286" t="s">
        <v>1589</v>
      </c>
      <c r="AD154" s="286" t="s">
        <v>1589</v>
      </c>
      <c r="AE154" s="286" t="s">
        <v>1588</v>
      </c>
      <c r="AF154" s="286" t="s">
        <v>1588</v>
      </c>
      <c r="AG154" s="283">
        <v>8</v>
      </c>
      <c r="AH154" s="287" t="s">
        <v>19</v>
      </c>
      <c r="AI154" s="272"/>
      <c r="AJ154" s="288" t="s">
        <v>2032</v>
      </c>
      <c r="AK154" s="288" t="s">
        <v>2032</v>
      </c>
      <c r="AL154" s="288" t="s">
        <v>2032</v>
      </c>
      <c r="AM154" s="288" t="s">
        <v>2032</v>
      </c>
      <c r="AN154" s="288" t="s">
        <v>2032</v>
      </c>
      <c r="AO154" s="288" t="s">
        <v>2032</v>
      </c>
      <c r="AP154" s="288" t="s">
        <v>2032</v>
      </c>
      <c r="AQ154" s="288" t="s">
        <v>2032</v>
      </c>
      <c r="AR154" s="288" t="s">
        <v>2032</v>
      </c>
      <c r="AS154" s="288" t="s">
        <v>2032</v>
      </c>
      <c r="AT154" s="288" t="s">
        <v>2032</v>
      </c>
      <c r="AU154" s="288" t="s">
        <v>2032</v>
      </c>
      <c r="AV154" s="288" t="s">
        <v>2032</v>
      </c>
      <c r="AW154" s="288" t="s">
        <v>2032</v>
      </c>
      <c r="AX154" s="288" t="s">
        <v>2032</v>
      </c>
      <c r="AY154" s="288" t="s">
        <v>2032</v>
      </c>
      <c r="AZ154" s="288" t="s">
        <v>2032</v>
      </c>
      <c r="BA154" s="288" t="s">
        <v>2032</v>
      </c>
      <c r="BB154" s="288" t="s">
        <v>2032</v>
      </c>
      <c r="BC154" s="288" t="s">
        <v>2032</v>
      </c>
      <c r="BD154" s="289">
        <f t="shared" si="0"/>
        <v>0</v>
      </c>
      <c r="BE154" s="287"/>
      <c r="BF154" s="272"/>
    </row>
    <row r="155" spans="1:58" ht="14.25" customHeight="1" x14ac:dyDescent="0.35">
      <c r="A155" s="68">
        <v>153</v>
      </c>
      <c r="B155" s="24" t="s">
        <v>1779</v>
      </c>
      <c r="C155" s="24">
        <v>2024</v>
      </c>
      <c r="D155" s="24" t="s">
        <v>1541</v>
      </c>
      <c r="E155" s="269" t="str">
        <f ca="1">IFERROR(__xludf.DUMMYFUNCTION("ARRAYFORMULA(JOIN("""", ARRAYFORMULA(MID(SPLIT(F155, "" ""), 1, 1))))
&amp;""/""&amp;G155"),"MQ/4 Primaria")</f>
        <v>MQ/4 Primaria</v>
      </c>
      <c r="F155" s="24" t="s">
        <v>1751</v>
      </c>
      <c r="G155" s="248" t="s">
        <v>16</v>
      </c>
      <c r="H155" s="248" t="s">
        <v>1788</v>
      </c>
      <c r="I155" s="248" t="s">
        <v>1718</v>
      </c>
      <c r="J155" s="248" t="s">
        <v>1789</v>
      </c>
      <c r="K155" s="248" t="s">
        <v>1586</v>
      </c>
      <c r="L155" s="272"/>
      <c r="M155" s="286" t="s">
        <v>1617</v>
      </c>
      <c r="N155" s="286" t="s">
        <v>1589</v>
      </c>
      <c r="O155" s="286" t="s">
        <v>1588</v>
      </c>
      <c r="P155" s="286" t="s">
        <v>1587</v>
      </c>
      <c r="Q155" s="286" t="s">
        <v>1589</v>
      </c>
      <c r="R155" s="286" t="s">
        <v>1587</v>
      </c>
      <c r="S155" s="286" t="s">
        <v>1589</v>
      </c>
      <c r="T155" s="286" t="s">
        <v>1617</v>
      </c>
      <c r="U155" s="286" t="s">
        <v>1588</v>
      </c>
      <c r="V155" s="286" t="s">
        <v>1588</v>
      </c>
      <c r="W155" s="286" t="s">
        <v>1589</v>
      </c>
      <c r="X155" s="286" t="s">
        <v>1588</v>
      </c>
      <c r="Y155" s="286" t="s">
        <v>1617</v>
      </c>
      <c r="Z155" s="286" t="s">
        <v>1617</v>
      </c>
      <c r="AA155" s="286" t="s">
        <v>1588</v>
      </c>
      <c r="AB155" s="286" t="s">
        <v>1587</v>
      </c>
      <c r="AC155" s="286" t="s">
        <v>1617</v>
      </c>
      <c r="AD155" s="286" t="s">
        <v>1589</v>
      </c>
      <c r="AE155" s="286" t="s">
        <v>1588</v>
      </c>
      <c r="AF155" s="286" t="s">
        <v>1589</v>
      </c>
      <c r="AG155" s="283">
        <v>9</v>
      </c>
      <c r="AH155" s="287" t="s">
        <v>19</v>
      </c>
      <c r="AI155" s="272"/>
      <c r="AJ155" s="288" t="s">
        <v>2032</v>
      </c>
      <c r="AK155" s="288" t="s">
        <v>2032</v>
      </c>
      <c r="AL155" s="288" t="s">
        <v>2032</v>
      </c>
      <c r="AM155" s="288" t="s">
        <v>2032</v>
      </c>
      <c r="AN155" s="288" t="s">
        <v>2032</v>
      </c>
      <c r="AO155" s="288" t="s">
        <v>2032</v>
      </c>
      <c r="AP155" s="288" t="s">
        <v>2032</v>
      </c>
      <c r="AQ155" s="288" t="s">
        <v>2032</v>
      </c>
      <c r="AR155" s="288" t="s">
        <v>2032</v>
      </c>
      <c r="AS155" s="288" t="s">
        <v>2032</v>
      </c>
      <c r="AT155" s="288" t="s">
        <v>2032</v>
      </c>
      <c r="AU155" s="288" t="s">
        <v>2032</v>
      </c>
      <c r="AV155" s="288" t="s">
        <v>2032</v>
      </c>
      <c r="AW155" s="288" t="s">
        <v>2032</v>
      </c>
      <c r="AX155" s="288" t="s">
        <v>2032</v>
      </c>
      <c r="AY155" s="288" t="s">
        <v>2032</v>
      </c>
      <c r="AZ155" s="288" t="s">
        <v>2032</v>
      </c>
      <c r="BA155" s="288" t="s">
        <v>2032</v>
      </c>
      <c r="BB155" s="288" t="s">
        <v>2032</v>
      </c>
      <c r="BC155" s="288" t="s">
        <v>2032</v>
      </c>
      <c r="BD155" s="289">
        <f t="shared" si="0"/>
        <v>0</v>
      </c>
      <c r="BE155" s="287"/>
      <c r="BF155" s="272"/>
    </row>
    <row r="156" spans="1:58" ht="14.25" customHeight="1" x14ac:dyDescent="0.35">
      <c r="A156" s="68">
        <v>154</v>
      </c>
      <c r="B156" s="24" t="s">
        <v>1779</v>
      </c>
      <c r="C156" s="24">
        <v>2024</v>
      </c>
      <c r="D156" s="24" t="s">
        <v>1541</v>
      </c>
      <c r="E156" s="269" t="str">
        <f ca="1">IFERROR(__xludf.DUMMYFUNCTION("ARRAYFORMULA(JOIN("""", ARRAYFORMULA(MID(SPLIT(F156, "" ""), 1, 1))))
&amp;""/""&amp;G156"),"MQ/6 Primaria")</f>
        <v>MQ/6 Primaria</v>
      </c>
      <c r="F156" s="24" t="s">
        <v>1751</v>
      </c>
      <c r="G156" s="248" t="s">
        <v>37</v>
      </c>
      <c r="H156" s="248" t="s">
        <v>1790</v>
      </c>
      <c r="I156" s="248" t="s">
        <v>1612</v>
      </c>
      <c r="J156" s="248" t="s">
        <v>1791</v>
      </c>
      <c r="K156" s="248" t="s">
        <v>1586</v>
      </c>
      <c r="L156" s="272"/>
      <c r="M156" s="286" t="s">
        <v>1588</v>
      </c>
      <c r="N156" s="286" t="s">
        <v>1587</v>
      </c>
      <c r="O156" s="286" t="s">
        <v>1587</v>
      </c>
      <c r="P156" s="286" t="s">
        <v>1617</v>
      </c>
      <c r="Q156" s="286" t="s">
        <v>1587</v>
      </c>
      <c r="R156" s="286" t="s">
        <v>1589</v>
      </c>
      <c r="S156" s="286" t="s">
        <v>1587</v>
      </c>
      <c r="T156" s="286" t="s">
        <v>1587</v>
      </c>
      <c r="U156" s="286" t="s">
        <v>1589</v>
      </c>
      <c r="V156" s="286" t="s">
        <v>1589</v>
      </c>
      <c r="W156" s="286" t="s">
        <v>1589</v>
      </c>
      <c r="X156" s="286" t="s">
        <v>1589</v>
      </c>
      <c r="Y156" s="286" t="s">
        <v>1587</v>
      </c>
      <c r="Z156" s="286" t="s">
        <v>1589</v>
      </c>
      <c r="AA156" s="286" t="s">
        <v>1589</v>
      </c>
      <c r="AB156" s="286" t="s">
        <v>1617</v>
      </c>
      <c r="AC156" s="286" t="s">
        <v>1588</v>
      </c>
      <c r="AD156" s="286" t="s">
        <v>1587</v>
      </c>
      <c r="AE156" s="286" t="s">
        <v>1617</v>
      </c>
      <c r="AF156" s="286" t="s">
        <v>1588</v>
      </c>
      <c r="AG156" s="283">
        <v>11</v>
      </c>
      <c r="AH156" s="287" t="s">
        <v>23</v>
      </c>
      <c r="AI156" s="272"/>
      <c r="AJ156" s="288" t="s">
        <v>2032</v>
      </c>
      <c r="AK156" s="288" t="s">
        <v>2032</v>
      </c>
      <c r="AL156" s="288" t="s">
        <v>2032</v>
      </c>
      <c r="AM156" s="288" t="s">
        <v>2032</v>
      </c>
      <c r="AN156" s="288" t="s">
        <v>2032</v>
      </c>
      <c r="AO156" s="288" t="s">
        <v>2032</v>
      </c>
      <c r="AP156" s="288" t="s">
        <v>2032</v>
      </c>
      <c r="AQ156" s="288" t="s">
        <v>2032</v>
      </c>
      <c r="AR156" s="288" t="s">
        <v>2032</v>
      </c>
      <c r="AS156" s="288" t="s">
        <v>2032</v>
      </c>
      <c r="AT156" s="288" t="s">
        <v>2032</v>
      </c>
      <c r="AU156" s="288" t="s">
        <v>2032</v>
      </c>
      <c r="AV156" s="288" t="s">
        <v>2032</v>
      </c>
      <c r="AW156" s="288" t="s">
        <v>2032</v>
      </c>
      <c r="AX156" s="288" t="s">
        <v>2032</v>
      </c>
      <c r="AY156" s="288" t="s">
        <v>2032</v>
      </c>
      <c r="AZ156" s="288" t="s">
        <v>2032</v>
      </c>
      <c r="BA156" s="288" t="s">
        <v>2032</v>
      </c>
      <c r="BB156" s="288" t="s">
        <v>2032</v>
      </c>
      <c r="BC156" s="288" t="s">
        <v>2032</v>
      </c>
      <c r="BD156" s="289">
        <f t="shared" si="0"/>
        <v>0</v>
      </c>
      <c r="BE156" s="287"/>
      <c r="BF156" s="272"/>
    </row>
    <row r="157" spans="1:58" ht="14.25" customHeight="1" x14ac:dyDescent="0.35">
      <c r="A157" s="68">
        <v>155</v>
      </c>
      <c r="B157" s="24" t="s">
        <v>1792</v>
      </c>
      <c r="C157" s="24">
        <v>2024</v>
      </c>
      <c r="D157" s="24" t="s">
        <v>1541</v>
      </c>
      <c r="E157" s="269" t="str">
        <f ca="1">IFERROR(__xludf.DUMMYFUNCTION("ARRAYFORMULA(JOIN("""", ARRAYFORMULA(MID(SPLIT(F157, "" ""), 1, 1))))
&amp;""/""&amp;G157"),"MQ/2 Primaria")</f>
        <v>MQ/2 Primaria</v>
      </c>
      <c r="F157" s="24" t="s">
        <v>1751</v>
      </c>
      <c r="G157" s="248" t="s">
        <v>45</v>
      </c>
      <c r="H157" s="248" t="s">
        <v>1793</v>
      </c>
      <c r="I157" s="248" t="s">
        <v>1689</v>
      </c>
      <c r="J157" s="248" t="s">
        <v>1794</v>
      </c>
      <c r="K157" s="248" t="s">
        <v>1586</v>
      </c>
      <c r="L157" s="272"/>
      <c r="M157" s="286" t="s">
        <v>1753</v>
      </c>
      <c r="N157" s="286" t="s">
        <v>1753</v>
      </c>
      <c r="O157" s="286" t="s">
        <v>1588</v>
      </c>
      <c r="P157" s="286" t="s">
        <v>1754</v>
      </c>
      <c r="Q157" s="286" t="s">
        <v>1588</v>
      </c>
      <c r="R157" s="286" t="s">
        <v>1754</v>
      </c>
      <c r="S157" s="286" t="s">
        <v>1753</v>
      </c>
      <c r="T157" s="286" t="s">
        <v>1588</v>
      </c>
      <c r="U157" s="286" t="s">
        <v>1754</v>
      </c>
      <c r="V157" s="286" t="s">
        <v>1754</v>
      </c>
      <c r="W157" s="286" t="s">
        <v>1588</v>
      </c>
      <c r="X157" s="286" t="s">
        <v>1754</v>
      </c>
      <c r="Y157" s="286"/>
      <c r="Z157" s="286" t="s">
        <v>1753</v>
      </c>
      <c r="AA157" s="286" t="s">
        <v>1588</v>
      </c>
      <c r="AB157" s="286" t="s">
        <v>1588</v>
      </c>
      <c r="AC157" s="286" t="s">
        <v>1588</v>
      </c>
      <c r="AD157" s="286" t="s">
        <v>1753</v>
      </c>
      <c r="AE157" s="286" t="s">
        <v>1754</v>
      </c>
      <c r="AF157" s="286" t="s">
        <v>1588</v>
      </c>
      <c r="AG157" s="283">
        <v>10</v>
      </c>
      <c r="AH157" s="287" t="s">
        <v>19</v>
      </c>
      <c r="AI157" s="272"/>
      <c r="AJ157" s="288" t="s">
        <v>2032</v>
      </c>
      <c r="AK157" s="288" t="s">
        <v>2032</v>
      </c>
      <c r="AL157" s="288" t="s">
        <v>2032</v>
      </c>
      <c r="AM157" s="288" t="s">
        <v>2032</v>
      </c>
      <c r="AN157" s="288" t="s">
        <v>2032</v>
      </c>
      <c r="AO157" s="288" t="s">
        <v>2032</v>
      </c>
      <c r="AP157" s="288" t="s">
        <v>2032</v>
      </c>
      <c r="AQ157" s="288" t="s">
        <v>2032</v>
      </c>
      <c r="AR157" s="288" t="s">
        <v>2032</v>
      </c>
      <c r="AS157" s="288" t="s">
        <v>2032</v>
      </c>
      <c r="AT157" s="288" t="s">
        <v>2032</v>
      </c>
      <c r="AU157" s="288" t="s">
        <v>2032</v>
      </c>
      <c r="AV157" s="288" t="s">
        <v>2032</v>
      </c>
      <c r="AW157" s="288" t="s">
        <v>2032</v>
      </c>
      <c r="AX157" s="288" t="s">
        <v>2032</v>
      </c>
      <c r="AY157" s="288" t="s">
        <v>2032</v>
      </c>
      <c r="AZ157" s="288" t="s">
        <v>2032</v>
      </c>
      <c r="BA157" s="288" t="s">
        <v>2032</v>
      </c>
      <c r="BB157" s="288" t="s">
        <v>2032</v>
      </c>
      <c r="BC157" s="288" t="s">
        <v>2032</v>
      </c>
      <c r="BD157" s="289">
        <f t="shared" si="0"/>
        <v>0</v>
      </c>
      <c r="BE157" s="287"/>
      <c r="BF157" s="272"/>
    </row>
    <row r="158" spans="1:58" ht="14.25" customHeight="1" x14ac:dyDescent="0.35">
      <c r="A158" s="68">
        <v>156</v>
      </c>
      <c r="B158" s="24" t="s">
        <v>1792</v>
      </c>
      <c r="C158" s="24">
        <v>2024</v>
      </c>
      <c r="D158" s="24" t="s">
        <v>1541</v>
      </c>
      <c r="E158" s="269" t="str">
        <f ca="1">IFERROR(__xludf.DUMMYFUNCTION("ARRAYFORMULA(JOIN("""", ARRAYFORMULA(MID(SPLIT(F158, "" ""), 1, 1))))
&amp;""/""&amp;G158"),"MQ/2 Primaria")</f>
        <v>MQ/2 Primaria</v>
      </c>
      <c r="F158" s="24" t="s">
        <v>1751</v>
      </c>
      <c r="G158" s="248" t="s">
        <v>45</v>
      </c>
      <c r="H158" s="248" t="s">
        <v>1795</v>
      </c>
      <c r="I158" s="248" t="s">
        <v>1796</v>
      </c>
      <c r="J158" s="248" t="s">
        <v>1797</v>
      </c>
      <c r="K158" s="248" t="s">
        <v>1593</v>
      </c>
      <c r="L158" s="272"/>
      <c r="M158" s="286" t="s">
        <v>1753</v>
      </c>
      <c r="N158" s="286" t="s">
        <v>1588</v>
      </c>
      <c r="O158" s="286" t="s">
        <v>1754</v>
      </c>
      <c r="P158" s="286" t="s">
        <v>1588</v>
      </c>
      <c r="Q158" s="286" t="s">
        <v>1754</v>
      </c>
      <c r="R158" s="286" t="s">
        <v>1588</v>
      </c>
      <c r="S158" s="286" t="s">
        <v>1754</v>
      </c>
      <c r="T158" s="286" t="s">
        <v>1753</v>
      </c>
      <c r="U158" s="286" t="s">
        <v>1753</v>
      </c>
      <c r="V158" s="286" t="s">
        <v>1588</v>
      </c>
      <c r="W158" s="286" t="s">
        <v>1588</v>
      </c>
      <c r="X158" s="286" t="s">
        <v>1753</v>
      </c>
      <c r="Y158" s="286" t="s">
        <v>1753</v>
      </c>
      <c r="Z158" s="286" t="s">
        <v>1753</v>
      </c>
      <c r="AA158" s="286" t="s">
        <v>1753</v>
      </c>
      <c r="AB158" s="286" t="s">
        <v>1753</v>
      </c>
      <c r="AC158" s="286" t="s">
        <v>1753</v>
      </c>
      <c r="AD158" s="286" t="s">
        <v>1753</v>
      </c>
      <c r="AE158" s="286" t="s">
        <v>1753</v>
      </c>
      <c r="AF158" s="286" t="s">
        <v>1754</v>
      </c>
      <c r="AG158" s="283">
        <v>10</v>
      </c>
      <c r="AH158" s="287" t="s">
        <v>19</v>
      </c>
      <c r="AI158" s="272"/>
      <c r="AJ158" s="288" t="s">
        <v>2032</v>
      </c>
      <c r="AK158" s="288" t="s">
        <v>2032</v>
      </c>
      <c r="AL158" s="288" t="s">
        <v>2032</v>
      </c>
      <c r="AM158" s="288" t="s">
        <v>2032</v>
      </c>
      <c r="AN158" s="288" t="s">
        <v>2032</v>
      </c>
      <c r="AO158" s="288" t="s">
        <v>2032</v>
      </c>
      <c r="AP158" s="288" t="s">
        <v>2032</v>
      </c>
      <c r="AQ158" s="288" t="s">
        <v>2032</v>
      </c>
      <c r="AR158" s="288" t="s">
        <v>2032</v>
      </c>
      <c r="AS158" s="288" t="s">
        <v>2032</v>
      </c>
      <c r="AT158" s="288" t="s">
        <v>2032</v>
      </c>
      <c r="AU158" s="288" t="s">
        <v>2032</v>
      </c>
      <c r="AV158" s="288" t="s">
        <v>2032</v>
      </c>
      <c r="AW158" s="288" t="s">
        <v>2032</v>
      </c>
      <c r="AX158" s="288" t="s">
        <v>2032</v>
      </c>
      <c r="AY158" s="288" t="s">
        <v>2032</v>
      </c>
      <c r="AZ158" s="288" t="s">
        <v>2032</v>
      </c>
      <c r="BA158" s="288" t="s">
        <v>2032</v>
      </c>
      <c r="BB158" s="288" t="s">
        <v>2032</v>
      </c>
      <c r="BC158" s="288" t="s">
        <v>2032</v>
      </c>
      <c r="BD158" s="289">
        <f t="shared" si="0"/>
        <v>0</v>
      </c>
      <c r="BE158" s="287"/>
      <c r="BF158" s="272"/>
    </row>
    <row r="159" spans="1:58" ht="14.25" customHeight="1" x14ac:dyDescent="0.35">
      <c r="A159" s="68">
        <v>157</v>
      </c>
      <c r="B159" s="24" t="s">
        <v>1792</v>
      </c>
      <c r="C159" s="24">
        <v>2024</v>
      </c>
      <c r="D159" s="24" t="s">
        <v>1541</v>
      </c>
      <c r="E159" s="269" t="str">
        <f ca="1">IFERROR(__xludf.DUMMYFUNCTION("ARRAYFORMULA(JOIN("""", ARRAYFORMULA(MID(SPLIT(F159, "" ""), 1, 1))))
&amp;""/""&amp;G159"),"MQ/2 Primaria")</f>
        <v>MQ/2 Primaria</v>
      </c>
      <c r="F159" s="24" t="s">
        <v>1751</v>
      </c>
      <c r="G159" s="248" t="s">
        <v>45</v>
      </c>
      <c r="H159" s="248" t="s">
        <v>1795</v>
      </c>
      <c r="I159" s="248" t="s">
        <v>1798</v>
      </c>
      <c r="J159" s="248" t="s">
        <v>1799</v>
      </c>
      <c r="K159" s="248" t="s">
        <v>1593</v>
      </c>
      <c r="L159" s="272"/>
      <c r="M159" s="286" t="s">
        <v>1753</v>
      </c>
      <c r="N159" s="286" t="s">
        <v>1588</v>
      </c>
      <c r="O159" s="286" t="s">
        <v>1588</v>
      </c>
      <c r="P159" s="286" t="s">
        <v>1754</v>
      </c>
      <c r="Q159" s="286" t="s">
        <v>1754</v>
      </c>
      <c r="R159" s="286" t="s">
        <v>1753</v>
      </c>
      <c r="S159" s="286" t="s">
        <v>1754</v>
      </c>
      <c r="T159" s="286" t="s">
        <v>1588</v>
      </c>
      <c r="U159" s="286" t="s">
        <v>1754</v>
      </c>
      <c r="V159" s="286" t="s">
        <v>1754</v>
      </c>
      <c r="W159" s="286" t="s">
        <v>1753</v>
      </c>
      <c r="X159" s="286" t="s">
        <v>1754</v>
      </c>
      <c r="Y159" s="286" t="s">
        <v>1753</v>
      </c>
      <c r="Z159" s="286" t="s">
        <v>1754</v>
      </c>
      <c r="AA159" s="286" t="s">
        <v>1754</v>
      </c>
      <c r="AB159" s="286" t="s">
        <v>1588</v>
      </c>
      <c r="AC159" s="286" t="s">
        <v>1588</v>
      </c>
      <c r="AD159" s="286" t="s">
        <v>1753</v>
      </c>
      <c r="AE159" s="286" t="s">
        <v>1754</v>
      </c>
      <c r="AF159" s="286" t="s">
        <v>1753</v>
      </c>
      <c r="AG159" s="283">
        <v>11</v>
      </c>
      <c r="AH159" s="287" t="s">
        <v>23</v>
      </c>
      <c r="AI159" s="272"/>
      <c r="AJ159" s="288" t="s">
        <v>2032</v>
      </c>
      <c r="AK159" s="288" t="s">
        <v>2032</v>
      </c>
      <c r="AL159" s="288" t="s">
        <v>2032</v>
      </c>
      <c r="AM159" s="288" t="s">
        <v>2032</v>
      </c>
      <c r="AN159" s="288" t="s">
        <v>2032</v>
      </c>
      <c r="AO159" s="288" t="s">
        <v>2032</v>
      </c>
      <c r="AP159" s="288" t="s">
        <v>2032</v>
      </c>
      <c r="AQ159" s="288" t="s">
        <v>2032</v>
      </c>
      <c r="AR159" s="288" t="s">
        <v>2032</v>
      </c>
      <c r="AS159" s="288" t="s">
        <v>2032</v>
      </c>
      <c r="AT159" s="288" t="s">
        <v>2032</v>
      </c>
      <c r="AU159" s="288" t="s">
        <v>2032</v>
      </c>
      <c r="AV159" s="288" t="s">
        <v>2032</v>
      </c>
      <c r="AW159" s="288" t="s">
        <v>2032</v>
      </c>
      <c r="AX159" s="288" t="s">
        <v>2032</v>
      </c>
      <c r="AY159" s="288" t="s">
        <v>2032</v>
      </c>
      <c r="AZ159" s="288" t="s">
        <v>2032</v>
      </c>
      <c r="BA159" s="288" t="s">
        <v>2032</v>
      </c>
      <c r="BB159" s="288" t="s">
        <v>2032</v>
      </c>
      <c r="BC159" s="288" t="s">
        <v>2032</v>
      </c>
      <c r="BD159" s="289">
        <f t="shared" si="0"/>
        <v>0</v>
      </c>
      <c r="BE159" s="287"/>
      <c r="BF159" s="272"/>
    </row>
    <row r="160" spans="1:58" ht="14.25" customHeight="1" x14ac:dyDescent="0.35">
      <c r="A160" s="68">
        <v>158</v>
      </c>
      <c r="B160" s="24" t="s">
        <v>1792</v>
      </c>
      <c r="C160" s="24">
        <v>2024</v>
      </c>
      <c r="D160" s="24" t="s">
        <v>1541</v>
      </c>
      <c r="E160" s="269" t="str">
        <f ca="1">IFERROR(__xludf.DUMMYFUNCTION("ARRAYFORMULA(JOIN("""", ARRAYFORMULA(MID(SPLIT(F160, "" ""), 1, 1))))
&amp;""/""&amp;G160"),"MQ/2 Primaria")</f>
        <v>MQ/2 Primaria</v>
      </c>
      <c r="F160" s="24" t="s">
        <v>1751</v>
      </c>
      <c r="G160" s="248" t="s">
        <v>45</v>
      </c>
      <c r="H160" s="248" t="s">
        <v>1800</v>
      </c>
      <c r="I160" s="248" t="s">
        <v>1647</v>
      </c>
      <c r="J160" s="248" t="s">
        <v>1801</v>
      </c>
      <c r="K160" s="248" t="s">
        <v>1586</v>
      </c>
      <c r="L160" s="272"/>
      <c r="M160" s="286" t="s">
        <v>1753</v>
      </c>
      <c r="N160" s="286" t="s">
        <v>1753</v>
      </c>
      <c r="O160" s="286" t="s">
        <v>1754</v>
      </c>
      <c r="P160" s="286" t="s">
        <v>1754</v>
      </c>
      <c r="Q160" s="286" t="s">
        <v>1754</v>
      </c>
      <c r="R160" s="286" t="s">
        <v>1753</v>
      </c>
      <c r="S160" s="286" t="s">
        <v>1753</v>
      </c>
      <c r="T160" s="286"/>
      <c r="U160" s="286" t="s">
        <v>1753</v>
      </c>
      <c r="V160" s="286" t="s">
        <v>1753</v>
      </c>
      <c r="W160" s="286" t="s">
        <v>1588</v>
      </c>
      <c r="X160" s="286" t="s">
        <v>1753</v>
      </c>
      <c r="Y160" s="286" t="s">
        <v>1753</v>
      </c>
      <c r="Z160" s="286" t="s">
        <v>1753</v>
      </c>
      <c r="AA160" s="286" t="s">
        <v>1754</v>
      </c>
      <c r="AB160" s="286" t="s">
        <v>1753</v>
      </c>
      <c r="AC160" s="286" t="s">
        <v>1588</v>
      </c>
      <c r="AD160" s="286"/>
      <c r="AE160" s="286"/>
      <c r="AF160" s="286" t="s">
        <v>1588</v>
      </c>
      <c r="AG160" s="283">
        <v>11</v>
      </c>
      <c r="AH160" s="287" t="s">
        <v>23</v>
      </c>
      <c r="AI160" s="272"/>
      <c r="AJ160" s="288" t="s">
        <v>2032</v>
      </c>
      <c r="AK160" s="288" t="s">
        <v>2032</v>
      </c>
      <c r="AL160" s="288" t="s">
        <v>2032</v>
      </c>
      <c r="AM160" s="288" t="s">
        <v>2032</v>
      </c>
      <c r="AN160" s="288" t="s">
        <v>2032</v>
      </c>
      <c r="AO160" s="288" t="s">
        <v>2032</v>
      </c>
      <c r="AP160" s="288" t="s">
        <v>2032</v>
      </c>
      <c r="AQ160" s="288" t="s">
        <v>2032</v>
      </c>
      <c r="AR160" s="288" t="s">
        <v>2032</v>
      </c>
      <c r="AS160" s="288" t="s">
        <v>2032</v>
      </c>
      <c r="AT160" s="288" t="s">
        <v>2032</v>
      </c>
      <c r="AU160" s="288" t="s">
        <v>2032</v>
      </c>
      <c r="AV160" s="288" t="s">
        <v>2032</v>
      </c>
      <c r="AW160" s="288" t="s">
        <v>2032</v>
      </c>
      <c r="AX160" s="288" t="s">
        <v>2032</v>
      </c>
      <c r="AY160" s="288" t="s">
        <v>2032</v>
      </c>
      <c r="AZ160" s="288" t="s">
        <v>2032</v>
      </c>
      <c r="BA160" s="288" t="s">
        <v>2032</v>
      </c>
      <c r="BB160" s="288" t="s">
        <v>2032</v>
      </c>
      <c r="BC160" s="288" t="s">
        <v>2032</v>
      </c>
      <c r="BD160" s="289">
        <f t="shared" si="0"/>
        <v>0</v>
      </c>
      <c r="BE160" s="287"/>
      <c r="BF160" s="272"/>
    </row>
    <row r="161" spans="1:58" ht="14.25" customHeight="1" x14ac:dyDescent="0.35">
      <c r="A161" s="68">
        <v>159</v>
      </c>
      <c r="B161" s="24" t="s">
        <v>1792</v>
      </c>
      <c r="C161" s="24">
        <v>2024</v>
      </c>
      <c r="D161" s="24" t="s">
        <v>1541</v>
      </c>
      <c r="E161" s="269" t="str">
        <f ca="1">IFERROR(__xludf.DUMMYFUNCTION("ARRAYFORMULA(JOIN("""", ARRAYFORMULA(MID(SPLIT(F161, "" ""), 1, 1))))
&amp;""/""&amp;G161"),"MQ/4 Primaria")</f>
        <v>MQ/4 Primaria</v>
      </c>
      <c r="F161" s="24" t="s">
        <v>1751</v>
      </c>
      <c r="G161" s="248" t="s">
        <v>16</v>
      </c>
      <c r="H161" s="248" t="s">
        <v>1802</v>
      </c>
      <c r="I161" s="248" t="s">
        <v>1803</v>
      </c>
      <c r="J161" s="248" t="s">
        <v>1804</v>
      </c>
      <c r="K161" s="248" t="s">
        <v>1586</v>
      </c>
      <c r="L161" s="272"/>
      <c r="M161" s="286" t="s">
        <v>1617</v>
      </c>
      <c r="N161" s="286" t="s">
        <v>1589</v>
      </c>
      <c r="O161" s="286" t="s">
        <v>1617</v>
      </c>
      <c r="P161" s="286" t="s">
        <v>1617</v>
      </c>
      <c r="Q161" s="286" t="s">
        <v>1589</v>
      </c>
      <c r="R161" s="286" t="s">
        <v>1588</v>
      </c>
      <c r="S161" s="286" t="s">
        <v>1587</v>
      </c>
      <c r="T161" s="286" t="s">
        <v>1589</v>
      </c>
      <c r="U161" s="286" t="s">
        <v>1588</v>
      </c>
      <c r="V161" s="286" t="s">
        <v>1588</v>
      </c>
      <c r="W161" s="286" t="s">
        <v>1617</v>
      </c>
      <c r="X161" s="286" t="s">
        <v>1589</v>
      </c>
      <c r="Y161" s="286" t="s">
        <v>1588</v>
      </c>
      <c r="Z161" s="286" t="s">
        <v>1587</v>
      </c>
      <c r="AA161" s="286" t="s">
        <v>1587</v>
      </c>
      <c r="AB161" s="286" t="s">
        <v>1587</v>
      </c>
      <c r="AC161" s="286" t="s">
        <v>1589</v>
      </c>
      <c r="AD161" s="286" t="s">
        <v>1589</v>
      </c>
      <c r="AE161" s="286" t="s">
        <v>1588</v>
      </c>
      <c r="AF161" s="286" t="s">
        <v>1589</v>
      </c>
      <c r="AG161" s="283">
        <v>16</v>
      </c>
      <c r="AH161" s="287" t="s">
        <v>23</v>
      </c>
      <c r="AI161" s="272"/>
      <c r="AJ161" s="288" t="s">
        <v>2032</v>
      </c>
      <c r="AK161" s="288" t="s">
        <v>2032</v>
      </c>
      <c r="AL161" s="288" t="s">
        <v>2032</v>
      </c>
      <c r="AM161" s="288" t="s">
        <v>2032</v>
      </c>
      <c r="AN161" s="288" t="s">
        <v>2032</v>
      </c>
      <c r="AO161" s="288" t="s">
        <v>2032</v>
      </c>
      <c r="AP161" s="288" t="s">
        <v>2032</v>
      </c>
      <c r="AQ161" s="288" t="s">
        <v>2032</v>
      </c>
      <c r="AR161" s="288" t="s">
        <v>2032</v>
      </c>
      <c r="AS161" s="288" t="s">
        <v>2032</v>
      </c>
      <c r="AT161" s="288" t="s">
        <v>2032</v>
      </c>
      <c r="AU161" s="288" t="s">
        <v>2032</v>
      </c>
      <c r="AV161" s="288" t="s">
        <v>2032</v>
      </c>
      <c r="AW161" s="288" t="s">
        <v>2032</v>
      </c>
      <c r="AX161" s="288" t="s">
        <v>2032</v>
      </c>
      <c r="AY161" s="288" t="s">
        <v>2032</v>
      </c>
      <c r="AZ161" s="288" t="s">
        <v>2032</v>
      </c>
      <c r="BA161" s="288" t="s">
        <v>2032</v>
      </c>
      <c r="BB161" s="288" t="s">
        <v>2032</v>
      </c>
      <c r="BC161" s="288" t="s">
        <v>2032</v>
      </c>
      <c r="BD161" s="289">
        <f t="shared" si="0"/>
        <v>0</v>
      </c>
      <c r="BE161" s="287"/>
      <c r="BF161" s="272"/>
    </row>
    <row r="162" spans="1:58" ht="14.25" customHeight="1" x14ac:dyDescent="0.35">
      <c r="A162" s="68">
        <v>160</v>
      </c>
      <c r="B162" s="24" t="s">
        <v>1792</v>
      </c>
      <c r="C162" s="24">
        <v>2024</v>
      </c>
      <c r="D162" s="24" t="s">
        <v>1541</v>
      </c>
      <c r="E162" s="269" t="str">
        <f ca="1">IFERROR(__xludf.DUMMYFUNCTION("ARRAYFORMULA(JOIN("""", ARRAYFORMULA(MID(SPLIT(F162, "" ""), 1, 1))))
&amp;""/""&amp;G162"),"MQ/4 Primaria")</f>
        <v>MQ/4 Primaria</v>
      </c>
      <c r="F162" s="24" t="s">
        <v>1751</v>
      </c>
      <c r="G162" s="248" t="s">
        <v>16</v>
      </c>
      <c r="H162" s="248" t="s">
        <v>1805</v>
      </c>
      <c r="I162" s="248" t="s">
        <v>1689</v>
      </c>
      <c r="J162" s="248" t="s">
        <v>1806</v>
      </c>
      <c r="K162" s="248" t="s">
        <v>1593</v>
      </c>
      <c r="L162" s="272"/>
      <c r="M162" s="286" t="s">
        <v>1617</v>
      </c>
      <c r="N162" s="286" t="s">
        <v>1589</v>
      </c>
      <c r="O162" s="286" t="s">
        <v>1617</v>
      </c>
      <c r="P162" s="286" t="s">
        <v>1617</v>
      </c>
      <c r="Q162" s="286" t="s">
        <v>1589</v>
      </c>
      <c r="R162" s="286" t="s">
        <v>1588</v>
      </c>
      <c r="S162" s="286" t="s">
        <v>1587</v>
      </c>
      <c r="T162" s="286" t="s">
        <v>1589</v>
      </c>
      <c r="U162" s="286" t="s">
        <v>1588</v>
      </c>
      <c r="V162" s="286" t="s">
        <v>1588</v>
      </c>
      <c r="W162" s="286" t="s">
        <v>1589</v>
      </c>
      <c r="X162" s="286" t="s">
        <v>1589</v>
      </c>
      <c r="Y162" s="286" t="s">
        <v>1588</v>
      </c>
      <c r="Z162" s="286" t="s">
        <v>1589</v>
      </c>
      <c r="AA162" s="286" t="s">
        <v>1588</v>
      </c>
      <c r="AB162" s="286" t="s">
        <v>1587</v>
      </c>
      <c r="AC162" s="286" t="s">
        <v>1589</v>
      </c>
      <c r="AD162" s="286" t="s">
        <v>1589</v>
      </c>
      <c r="AE162" s="286" t="s">
        <v>1588</v>
      </c>
      <c r="AF162" s="286" t="s">
        <v>1588</v>
      </c>
      <c r="AG162" s="283">
        <v>17</v>
      </c>
      <c r="AH162" s="287" t="s">
        <v>25</v>
      </c>
      <c r="AI162" s="272"/>
      <c r="AJ162" s="288" t="s">
        <v>2032</v>
      </c>
      <c r="AK162" s="288" t="s">
        <v>2032</v>
      </c>
      <c r="AL162" s="288" t="s">
        <v>2032</v>
      </c>
      <c r="AM162" s="288" t="s">
        <v>2032</v>
      </c>
      <c r="AN162" s="288" t="s">
        <v>2032</v>
      </c>
      <c r="AO162" s="288" t="s">
        <v>2032</v>
      </c>
      <c r="AP162" s="288" t="s">
        <v>2032</v>
      </c>
      <c r="AQ162" s="288" t="s">
        <v>2032</v>
      </c>
      <c r="AR162" s="288" t="s">
        <v>2032</v>
      </c>
      <c r="AS162" s="288" t="s">
        <v>2032</v>
      </c>
      <c r="AT162" s="288" t="s">
        <v>2032</v>
      </c>
      <c r="AU162" s="288" t="s">
        <v>2032</v>
      </c>
      <c r="AV162" s="288" t="s">
        <v>2032</v>
      </c>
      <c r="AW162" s="288" t="s">
        <v>2032</v>
      </c>
      <c r="AX162" s="288" t="s">
        <v>2032</v>
      </c>
      <c r="AY162" s="288" t="s">
        <v>2032</v>
      </c>
      <c r="AZ162" s="288" t="s">
        <v>2032</v>
      </c>
      <c r="BA162" s="288" t="s">
        <v>2032</v>
      </c>
      <c r="BB162" s="288" t="s">
        <v>2032</v>
      </c>
      <c r="BC162" s="288" t="s">
        <v>2032</v>
      </c>
      <c r="BD162" s="289">
        <f t="shared" si="0"/>
        <v>0</v>
      </c>
      <c r="BE162" s="287"/>
      <c r="BF162" s="272"/>
    </row>
    <row r="163" spans="1:58" ht="14.25" customHeight="1" x14ac:dyDescent="0.35">
      <c r="A163" s="68">
        <v>161</v>
      </c>
      <c r="B163" s="24" t="s">
        <v>1792</v>
      </c>
      <c r="C163" s="24">
        <v>2024</v>
      </c>
      <c r="D163" s="24" t="s">
        <v>1541</v>
      </c>
      <c r="E163" s="269" t="str">
        <f ca="1">IFERROR(__xludf.DUMMYFUNCTION("ARRAYFORMULA(JOIN("""", ARRAYFORMULA(MID(SPLIT(F163, "" ""), 1, 1))))
&amp;""/""&amp;G163"),"MQ/4 Primaria")</f>
        <v>MQ/4 Primaria</v>
      </c>
      <c r="F163" s="24" t="s">
        <v>1751</v>
      </c>
      <c r="G163" s="248" t="s">
        <v>16</v>
      </c>
      <c r="H163" s="248" t="s">
        <v>1807</v>
      </c>
      <c r="I163" s="248" t="s">
        <v>1808</v>
      </c>
      <c r="J163" s="248" t="s">
        <v>1809</v>
      </c>
      <c r="K163" s="248" t="s">
        <v>1586</v>
      </c>
      <c r="L163" s="272"/>
      <c r="M163" s="286" t="s">
        <v>1617</v>
      </c>
      <c r="N163" s="286" t="s">
        <v>1587</v>
      </c>
      <c r="O163" s="286" t="s">
        <v>1617</v>
      </c>
      <c r="P163" s="286" t="s">
        <v>1617</v>
      </c>
      <c r="Q163" s="286" t="s">
        <v>1589</v>
      </c>
      <c r="R163" s="286" t="s">
        <v>1589</v>
      </c>
      <c r="S163" s="286" t="s">
        <v>1587</v>
      </c>
      <c r="T163" s="286" t="s">
        <v>1589</v>
      </c>
      <c r="U163" s="286" t="s">
        <v>1588</v>
      </c>
      <c r="V163" s="286" t="s">
        <v>1588</v>
      </c>
      <c r="W163" s="286" t="s">
        <v>1589</v>
      </c>
      <c r="X163" s="286" t="s">
        <v>1589</v>
      </c>
      <c r="Y163" s="286" t="s">
        <v>1588</v>
      </c>
      <c r="Z163" s="286" t="s">
        <v>1617</v>
      </c>
      <c r="AA163" s="286" t="s">
        <v>1588</v>
      </c>
      <c r="AB163" s="286" t="s">
        <v>1587</v>
      </c>
      <c r="AC163" s="286" t="s">
        <v>1589</v>
      </c>
      <c r="AD163" s="286" t="s">
        <v>1617</v>
      </c>
      <c r="AE163" s="286" t="s">
        <v>1588</v>
      </c>
      <c r="AF163" s="286" t="s">
        <v>1588</v>
      </c>
      <c r="AG163" s="283">
        <v>15</v>
      </c>
      <c r="AH163" s="287" t="s">
        <v>23</v>
      </c>
      <c r="AI163" s="272"/>
      <c r="AJ163" s="288" t="s">
        <v>2032</v>
      </c>
      <c r="AK163" s="288" t="s">
        <v>2032</v>
      </c>
      <c r="AL163" s="288" t="s">
        <v>2032</v>
      </c>
      <c r="AM163" s="288" t="s">
        <v>2032</v>
      </c>
      <c r="AN163" s="288" t="s">
        <v>2032</v>
      </c>
      <c r="AO163" s="288" t="s">
        <v>2032</v>
      </c>
      <c r="AP163" s="288" t="s">
        <v>2032</v>
      </c>
      <c r="AQ163" s="288" t="s">
        <v>2032</v>
      </c>
      <c r="AR163" s="288" t="s">
        <v>2032</v>
      </c>
      <c r="AS163" s="288" t="s">
        <v>2032</v>
      </c>
      <c r="AT163" s="288" t="s">
        <v>2032</v>
      </c>
      <c r="AU163" s="288" t="s">
        <v>2032</v>
      </c>
      <c r="AV163" s="288" t="s">
        <v>2032</v>
      </c>
      <c r="AW163" s="288" t="s">
        <v>2032</v>
      </c>
      <c r="AX163" s="288" t="s">
        <v>2032</v>
      </c>
      <c r="AY163" s="288" t="s">
        <v>2032</v>
      </c>
      <c r="AZ163" s="288" t="s">
        <v>2032</v>
      </c>
      <c r="BA163" s="288" t="s">
        <v>2032</v>
      </c>
      <c r="BB163" s="288" t="s">
        <v>2032</v>
      </c>
      <c r="BC163" s="288" t="s">
        <v>2032</v>
      </c>
      <c r="BD163" s="289">
        <f t="shared" si="0"/>
        <v>0</v>
      </c>
      <c r="BE163" s="287"/>
      <c r="BF163" s="272"/>
    </row>
    <row r="164" spans="1:58" ht="14.25" customHeight="1" x14ac:dyDescent="0.35">
      <c r="A164" s="68">
        <v>162</v>
      </c>
      <c r="B164" s="24" t="s">
        <v>1792</v>
      </c>
      <c r="C164" s="24">
        <v>2024</v>
      </c>
      <c r="D164" s="24" t="s">
        <v>1541</v>
      </c>
      <c r="E164" s="269" t="str">
        <f ca="1">IFERROR(__xludf.DUMMYFUNCTION("ARRAYFORMULA(JOIN("""", ARRAYFORMULA(MID(SPLIT(F164, "" ""), 1, 1))))
&amp;""/""&amp;G164"),"MQ/4 Primaria")</f>
        <v>MQ/4 Primaria</v>
      </c>
      <c r="F164" s="24" t="s">
        <v>1751</v>
      </c>
      <c r="G164" s="248" t="s">
        <v>16</v>
      </c>
      <c r="H164" s="248" t="s">
        <v>1810</v>
      </c>
      <c r="I164" s="248" t="s">
        <v>1811</v>
      </c>
      <c r="J164" s="248" t="s">
        <v>1812</v>
      </c>
      <c r="K164" s="248" t="s">
        <v>1593</v>
      </c>
      <c r="L164" s="272"/>
      <c r="M164" s="286" t="s">
        <v>1617</v>
      </c>
      <c r="N164" s="286" t="s">
        <v>1589</v>
      </c>
      <c r="O164" s="286" t="s">
        <v>1617</v>
      </c>
      <c r="P164" s="286" t="s">
        <v>1617</v>
      </c>
      <c r="Q164" s="286" t="s">
        <v>1589</v>
      </c>
      <c r="R164" s="286" t="s">
        <v>1588</v>
      </c>
      <c r="S164" s="286" t="s">
        <v>1587</v>
      </c>
      <c r="T164" s="286" t="s">
        <v>1589</v>
      </c>
      <c r="U164" s="286" t="s">
        <v>1588</v>
      </c>
      <c r="V164" s="286" t="s">
        <v>1588</v>
      </c>
      <c r="W164" s="286" t="s">
        <v>1617</v>
      </c>
      <c r="X164" s="286" t="s">
        <v>1589</v>
      </c>
      <c r="Y164" s="286" t="s">
        <v>1588</v>
      </c>
      <c r="Z164" s="286" t="s">
        <v>1587</v>
      </c>
      <c r="AA164" s="286" t="s">
        <v>1588</v>
      </c>
      <c r="AB164" s="286" t="s">
        <v>1587</v>
      </c>
      <c r="AC164" s="286" t="s">
        <v>1589</v>
      </c>
      <c r="AD164" s="286" t="s">
        <v>1617</v>
      </c>
      <c r="AE164" s="286" t="s">
        <v>1588</v>
      </c>
      <c r="AF164" s="286" t="s">
        <v>1588</v>
      </c>
      <c r="AG164" s="283">
        <v>17</v>
      </c>
      <c r="AH164" s="287" t="s">
        <v>25</v>
      </c>
      <c r="AI164" s="272"/>
      <c r="AJ164" s="288" t="s">
        <v>2032</v>
      </c>
      <c r="AK164" s="288" t="s">
        <v>2032</v>
      </c>
      <c r="AL164" s="288" t="s">
        <v>2032</v>
      </c>
      <c r="AM164" s="288" t="s">
        <v>2032</v>
      </c>
      <c r="AN164" s="288" t="s">
        <v>2032</v>
      </c>
      <c r="AO164" s="288" t="s">
        <v>2032</v>
      </c>
      <c r="AP164" s="288" t="s">
        <v>2032</v>
      </c>
      <c r="AQ164" s="288" t="s">
        <v>2032</v>
      </c>
      <c r="AR164" s="288" t="s">
        <v>2032</v>
      </c>
      <c r="AS164" s="288" t="s">
        <v>2032</v>
      </c>
      <c r="AT164" s="288" t="s">
        <v>2032</v>
      </c>
      <c r="AU164" s="288" t="s">
        <v>2032</v>
      </c>
      <c r="AV164" s="288" t="s">
        <v>2032</v>
      </c>
      <c r="AW164" s="288" t="s">
        <v>2032</v>
      </c>
      <c r="AX164" s="288" t="s">
        <v>2032</v>
      </c>
      <c r="AY164" s="288" t="s">
        <v>2032</v>
      </c>
      <c r="AZ164" s="288" t="s">
        <v>2032</v>
      </c>
      <c r="BA164" s="288" t="s">
        <v>2032</v>
      </c>
      <c r="BB164" s="288" t="s">
        <v>2032</v>
      </c>
      <c r="BC164" s="288" t="s">
        <v>2032</v>
      </c>
      <c r="BD164" s="289">
        <f t="shared" si="0"/>
        <v>0</v>
      </c>
      <c r="BE164" s="287"/>
      <c r="BF164" s="272"/>
    </row>
    <row r="165" spans="1:58" ht="14.25" customHeight="1" x14ac:dyDescent="0.35">
      <c r="A165" s="68">
        <v>163</v>
      </c>
      <c r="B165" s="24" t="s">
        <v>1792</v>
      </c>
      <c r="C165" s="24">
        <v>2024</v>
      </c>
      <c r="D165" s="24" t="s">
        <v>1541</v>
      </c>
      <c r="E165" s="269" t="str">
        <f ca="1">IFERROR(__xludf.DUMMYFUNCTION("ARRAYFORMULA(JOIN("""", ARRAYFORMULA(MID(SPLIT(F165, "" ""), 1, 1))))
&amp;""/""&amp;G165"),"MQ/4 Primaria")</f>
        <v>MQ/4 Primaria</v>
      </c>
      <c r="F165" s="24" t="s">
        <v>1751</v>
      </c>
      <c r="G165" s="248" t="s">
        <v>16</v>
      </c>
      <c r="H165" s="248" t="s">
        <v>1813</v>
      </c>
      <c r="I165" s="248" t="s">
        <v>1583</v>
      </c>
      <c r="J165" s="248" t="s">
        <v>1814</v>
      </c>
      <c r="K165" s="248" t="s">
        <v>1586</v>
      </c>
      <c r="L165" s="272"/>
      <c r="M165" s="286" t="s">
        <v>1617</v>
      </c>
      <c r="N165" s="286" t="s">
        <v>1589</v>
      </c>
      <c r="O165" s="286" t="s">
        <v>1617</v>
      </c>
      <c r="P165" s="286" t="s">
        <v>1617</v>
      </c>
      <c r="Q165" s="286" t="s">
        <v>1589</v>
      </c>
      <c r="R165" s="286" t="s">
        <v>1588</v>
      </c>
      <c r="S165" s="286" t="s">
        <v>1587</v>
      </c>
      <c r="T165" s="286" t="s">
        <v>1589</v>
      </c>
      <c r="U165" s="286" t="s">
        <v>1588</v>
      </c>
      <c r="V165" s="286" t="s">
        <v>1617</v>
      </c>
      <c r="W165" s="286" t="s">
        <v>1617</v>
      </c>
      <c r="X165" s="286" t="s">
        <v>1589</v>
      </c>
      <c r="Y165" s="286" t="s">
        <v>1589</v>
      </c>
      <c r="Z165" s="286" t="s">
        <v>1588</v>
      </c>
      <c r="AA165" s="286" t="s">
        <v>1588</v>
      </c>
      <c r="AB165" s="286" t="s">
        <v>1587</v>
      </c>
      <c r="AC165" s="286" t="s">
        <v>1617</v>
      </c>
      <c r="AD165" s="286" t="s">
        <v>1587</v>
      </c>
      <c r="AE165" s="286" t="s">
        <v>1588</v>
      </c>
      <c r="AF165" s="286" t="s">
        <v>1588</v>
      </c>
      <c r="AG165" s="283">
        <v>14</v>
      </c>
      <c r="AH165" s="287" t="s">
        <v>23</v>
      </c>
      <c r="AI165" s="272"/>
      <c r="AJ165" s="288" t="s">
        <v>2032</v>
      </c>
      <c r="AK165" s="288" t="s">
        <v>2032</v>
      </c>
      <c r="AL165" s="288" t="s">
        <v>2032</v>
      </c>
      <c r="AM165" s="288" t="s">
        <v>2032</v>
      </c>
      <c r="AN165" s="288" t="s">
        <v>2032</v>
      </c>
      <c r="AO165" s="288" t="s">
        <v>2032</v>
      </c>
      <c r="AP165" s="288" t="s">
        <v>2032</v>
      </c>
      <c r="AQ165" s="288" t="s">
        <v>2032</v>
      </c>
      <c r="AR165" s="288" t="s">
        <v>2032</v>
      </c>
      <c r="AS165" s="288" t="s">
        <v>2032</v>
      </c>
      <c r="AT165" s="288" t="s">
        <v>2032</v>
      </c>
      <c r="AU165" s="288" t="s">
        <v>2032</v>
      </c>
      <c r="AV165" s="288" t="s">
        <v>2032</v>
      </c>
      <c r="AW165" s="288" t="s">
        <v>2032</v>
      </c>
      <c r="AX165" s="288" t="s">
        <v>2032</v>
      </c>
      <c r="AY165" s="288" t="s">
        <v>2032</v>
      </c>
      <c r="AZ165" s="288" t="s">
        <v>2032</v>
      </c>
      <c r="BA165" s="288" t="s">
        <v>2032</v>
      </c>
      <c r="BB165" s="288" t="s">
        <v>2032</v>
      </c>
      <c r="BC165" s="288" t="s">
        <v>2032</v>
      </c>
      <c r="BD165" s="289">
        <f t="shared" si="0"/>
        <v>0</v>
      </c>
      <c r="BE165" s="287"/>
      <c r="BF165" s="272"/>
    </row>
    <row r="166" spans="1:58" ht="14.25" customHeight="1" x14ac:dyDescent="0.35">
      <c r="A166" s="68">
        <v>164</v>
      </c>
      <c r="B166" s="24" t="s">
        <v>1792</v>
      </c>
      <c r="C166" s="24">
        <v>2024</v>
      </c>
      <c r="D166" s="24" t="s">
        <v>1541</v>
      </c>
      <c r="E166" s="269" t="str">
        <f ca="1">IFERROR(__xludf.DUMMYFUNCTION("ARRAYFORMULA(JOIN("""", ARRAYFORMULA(MID(SPLIT(F166, "" ""), 1, 1))))
&amp;""/""&amp;G166"),"MQ/4 Primaria")</f>
        <v>MQ/4 Primaria</v>
      </c>
      <c r="F166" s="24" t="s">
        <v>1751</v>
      </c>
      <c r="G166" s="248" t="s">
        <v>16</v>
      </c>
      <c r="H166" s="248" t="s">
        <v>1590</v>
      </c>
      <c r="I166" s="248" t="s">
        <v>1631</v>
      </c>
      <c r="J166" s="248" t="s">
        <v>1815</v>
      </c>
      <c r="K166" s="248" t="s">
        <v>1586</v>
      </c>
      <c r="L166" s="272"/>
      <c r="M166" s="286" t="s">
        <v>1587</v>
      </c>
      <c r="N166" s="286" t="s">
        <v>1587</v>
      </c>
      <c r="O166" s="286" t="s">
        <v>1617</v>
      </c>
      <c r="P166" s="286" t="s">
        <v>1587</v>
      </c>
      <c r="Q166" s="286" t="s">
        <v>1589</v>
      </c>
      <c r="R166" s="286" t="s">
        <v>1588</v>
      </c>
      <c r="S166" s="286" t="s">
        <v>1587</v>
      </c>
      <c r="T166" s="286" t="s">
        <v>1589</v>
      </c>
      <c r="U166" s="286" t="s">
        <v>1587</v>
      </c>
      <c r="V166" s="286" t="s">
        <v>1588</v>
      </c>
      <c r="W166" s="286" t="s">
        <v>1589</v>
      </c>
      <c r="X166" s="286" t="s">
        <v>1589</v>
      </c>
      <c r="Y166" s="286" t="s">
        <v>1617</v>
      </c>
      <c r="Z166" s="286" t="s">
        <v>1617</v>
      </c>
      <c r="AA166" s="286" t="s">
        <v>1617</v>
      </c>
      <c r="AB166" s="286" t="s">
        <v>1587</v>
      </c>
      <c r="AC166" s="286" t="s">
        <v>1589</v>
      </c>
      <c r="AD166" s="286" t="s">
        <v>1588</v>
      </c>
      <c r="AE166" s="286" t="s">
        <v>1617</v>
      </c>
      <c r="AF166" s="286"/>
      <c r="AG166" s="283">
        <v>10</v>
      </c>
      <c r="AH166" s="287" t="s">
        <v>19</v>
      </c>
      <c r="AI166" s="272"/>
      <c r="AJ166" s="288" t="s">
        <v>2032</v>
      </c>
      <c r="AK166" s="288" t="s">
        <v>2032</v>
      </c>
      <c r="AL166" s="288" t="s">
        <v>2032</v>
      </c>
      <c r="AM166" s="288" t="s">
        <v>2032</v>
      </c>
      <c r="AN166" s="288" t="s">
        <v>2032</v>
      </c>
      <c r="AO166" s="288" t="s">
        <v>2032</v>
      </c>
      <c r="AP166" s="288" t="s">
        <v>2032</v>
      </c>
      <c r="AQ166" s="288" t="s">
        <v>2032</v>
      </c>
      <c r="AR166" s="288" t="s">
        <v>2032</v>
      </c>
      <c r="AS166" s="288" t="s">
        <v>2032</v>
      </c>
      <c r="AT166" s="288" t="s">
        <v>2032</v>
      </c>
      <c r="AU166" s="288" t="s">
        <v>2032</v>
      </c>
      <c r="AV166" s="288" t="s">
        <v>2032</v>
      </c>
      <c r="AW166" s="288" t="s">
        <v>2032</v>
      </c>
      <c r="AX166" s="288" t="s">
        <v>2032</v>
      </c>
      <c r="AY166" s="288" t="s">
        <v>2032</v>
      </c>
      <c r="AZ166" s="288" t="s">
        <v>2032</v>
      </c>
      <c r="BA166" s="288" t="s">
        <v>2032</v>
      </c>
      <c r="BB166" s="288" t="s">
        <v>2032</v>
      </c>
      <c r="BC166" s="288" t="s">
        <v>2032</v>
      </c>
      <c r="BD166" s="289">
        <f t="shared" si="0"/>
        <v>0</v>
      </c>
      <c r="BE166" s="287"/>
      <c r="BF166" s="272"/>
    </row>
    <row r="167" spans="1:58" ht="14.25" customHeight="1" x14ac:dyDescent="0.35">
      <c r="A167" s="68">
        <v>165</v>
      </c>
      <c r="B167" s="24" t="s">
        <v>1792</v>
      </c>
      <c r="C167" s="24">
        <v>2024</v>
      </c>
      <c r="D167" s="24" t="s">
        <v>1541</v>
      </c>
      <c r="E167" s="269" t="str">
        <f ca="1">IFERROR(__xludf.DUMMYFUNCTION("ARRAYFORMULA(JOIN("""", ARRAYFORMULA(MID(SPLIT(F167, "" ""), 1, 1))))
&amp;""/""&amp;G167"),"MQ/4 Primaria")</f>
        <v>MQ/4 Primaria</v>
      </c>
      <c r="F167" s="24" t="s">
        <v>1751</v>
      </c>
      <c r="G167" s="248" t="s">
        <v>16</v>
      </c>
      <c r="H167" s="248" t="s">
        <v>1816</v>
      </c>
      <c r="I167" s="248" t="s">
        <v>1672</v>
      </c>
      <c r="J167" s="248" t="s">
        <v>1817</v>
      </c>
      <c r="K167" s="248" t="s">
        <v>1586</v>
      </c>
      <c r="L167" s="272"/>
      <c r="M167" s="286" t="s">
        <v>1587</v>
      </c>
      <c r="N167" s="286" t="s">
        <v>1588</v>
      </c>
      <c r="O167" s="286" t="s">
        <v>1617</v>
      </c>
      <c r="P167" s="286" t="s">
        <v>1587</v>
      </c>
      <c r="Q167" s="286" t="s">
        <v>1617</v>
      </c>
      <c r="R167" s="286" t="s">
        <v>1617</v>
      </c>
      <c r="S167" s="286" t="s">
        <v>1588</v>
      </c>
      <c r="T167" s="286" t="s">
        <v>1617</v>
      </c>
      <c r="U167" s="286" t="s">
        <v>1588</v>
      </c>
      <c r="V167" s="286" t="s">
        <v>1589</v>
      </c>
      <c r="W167" s="286" t="s">
        <v>1587</v>
      </c>
      <c r="X167" s="286" t="s">
        <v>1588</v>
      </c>
      <c r="Y167" s="286" t="s">
        <v>1617</v>
      </c>
      <c r="Z167" s="286" t="s">
        <v>1588</v>
      </c>
      <c r="AA167" s="286" t="s">
        <v>1589</v>
      </c>
      <c r="AB167" s="286" t="s">
        <v>1588</v>
      </c>
      <c r="AC167" s="286" t="s">
        <v>1588</v>
      </c>
      <c r="AD167" s="286" t="s">
        <v>1587</v>
      </c>
      <c r="AE167" s="286" t="s">
        <v>1587</v>
      </c>
      <c r="AF167" s="286" t="s">
        <v>1587</v>
      </c>
      <c r="AG167" s="283">
        <v>3</v>
      </c>
      <c r="AH167" s="287" t="s">
        <v>19</v>
      </c>
      <c r="AI167" s="272"/>
      <c r="AJ167" s="288" t="s">
        <v>2032</v>
      </c>
      <c r="AK167" s="288" t="s">
        <v>2032</v>
      </c>
      <c r="AL167" s="288" t="s">
        <v>2032</v>
      </c>
      <c r="AM167" s="288" t="s">
        <v>2032</v>
      </c>
      <c r="AN167" s="288" t="s">
        <v>2032</v>
      </c>
      <c r="AO167" s="288" t="s">
        <v>2032</v>
      </c>
      <c r="AP167" s="288" t="s">
        <v>2032</v>
      </c>
      <c r="AQ167" s="288" t="s">
        <v>2032</v>
      </c>
      <c r="AR167" s="288" t="s">
        <v>2032</v>
      </c>
      <c r="AS167" s="288" t="s">
        <v>2032</v>
      </c>
      <c r="AT167" s="288" t="s">
        <v>2032</v>
      </c>
      <c r="AU167" s="288" t="s">
        <v>2032</v>
      </c>
      <c r="AV167" s="288" t="s">
        <v>2032</v>
      </c>
      <c r="AW167" s="288" t="s">
        <v>2032</v>
      </c>
      <c r="AX167" s="288" t="s">
        <v>2032</v>
      </c>
      <c r="AY167" s="288" t="s">
        <v>2032</v>
      </c>
      <c r="AZ167" s="288" t="s">
        <v>2032</v>
      </c>
      <c r="BA167" s="288" t="s">
        <v>2032</v>
      </c>
      <c r="BB167" s="288" t="s">
        <v>2032</v>
      </c>
      <c r="BC167" s="288" t="s">
        <v>2032</v>
      </c>
      <c r="BD167" s="289">
        <f t="shared" si="0"/>
        <v>0</v>
      </c>
      <c r="BE167" s="287"/>
      <c r="BF167" s="272"/>
    </row>
    <row r="168" spans="1:58" ht="14.25" customHeight="1" x14ac:dyDescent="0.35">
      <c r="A168" s="68">
        <v>166</v>
      </c>
      <c r="B168" s="24" t="s">
        <v>1792</v>
      </c>
      <c r="C168" s="24">
        <v>2024</v>
      </c>
      <c r="D168" s="24" t="s">
        <v>1541</v>
      </c>
      <c r="E168" s="269" t="str">
        <f ca="1">IFERROR(__xludf.DUMMYFUNCTION("ARRAYFORMULA(JOIN("""", ARRAYFORMULA(MID(SPLIT(F168, "" ""), 1, 1))))
&amp;""/""&amp;G168"),"MQ/4 Primaria")</f>
        <v>MQ/4 Primaria</v>
      </c>
      <c r="F168" s="24" t="s">
        <v>1751</v>
      </c>
      <c r="G168" s="248" t="s">
        <v>16</v>
      </c>
      <c r="H168" s="248" t="s">
        <v>1818</v>
      </c>
      <c r="I168" s="248" t="s">
        <v>1819</v>
      </c>
      <c r="J168" s="248" t="s">
        <v>1820</v>
      </c>
      <c r="K168" s="248" t="s">
        <v>1593</v>
      </c>
      <c r="L168" s="272"/>
      <c r="M168" s="286" t="s">
        <v>1587</v>
      </c>
      <c r="N168" s="286" t="s">
        <v>1587</v>
      </c>
      <c r="O168" s="286" t="s">
        <v>1617</v>
      </c>
      <c r="P168" s="286" t="s">
        <v>1617</v>
      </c>
      <c r="Q168" s="286" t="s">
        <v>1589</v>
      </c>
      <c r="R168" s="286" t="s">
        <v>1589</v>
      </c>
      <c r="S168" s="286" t="s">
        <v>1587</v>
      </c>
      <c r="T168" s="286" t="s">
        <v>1617</v>
      </c>
      <c r="U168" s="286" t="s">
        <v>1587</v>
      </c>
      <c r="V168" s="286" t="s">
        <v>1588</v>
      </c>
      <c r="W168" s="286" t="s">
        <v>1587</v>
      </c>
      <c r="X168" s="286" t="s">
        <v>1589</v>
      </c>
      <c r="Y168" s="286" t="s">
        <v>1589</v>
      </c>
      <c r="Z168" s="286" t="s">
        <v>1588</v>
      </c>
      <c r="AA168" s="286" t="s">
        <v>1588</v>
      </c>
      <c r="AB168" s="286" t="s">
        <v>1587</v>
      </c>
      <c r="AC168" s="286" t="s">
        <v>1589</v>
      </c>
      <c r="AD168" s="286" t="s">
        <v>1617</v>
      </c>
      <c r="AE168" s="286" t="s">
        <v>1587</v>
      </c>
      <c r="AF168" s="286" t="s">
        <v>1617</v>
      </c>
      <c r="AG168" s="283">
        <v>10</v>
      </c>
      <c r="AH168" s="287" t="s">
        <v>19</v>
      </c>
      <c r="AI168" s="272"/>
      <c r="AJ168" s="288" t="s">
        <v>2032</v>
      </c>
      <c r="AK168" s="288" t="s">
        <v>2032</v>
      </c>
      <c r="AL168" s="288" t="s">
        <v>2032</v>
      </c>
      <c r="AM168" s="288" t="s">
        <v>2032</v>
      </c>
      <c r="AN168" s="288" t="s">
        <v>2032</v>
      </c>
      <c r="AO168" s="288" t="s">
        <v>2032</v>
      </c>
      <c r="AP168" s="288" t="s">
        <v>2032</v>
      </c>
      <c r="AQ168" s="288" t="s">
        <v>2032</v>
      </c>
      <c r="AR168" s="288" t="s">
        <v>2032</v>
      </c>
      <c r="AS168" s="288" t="s">
        <v>2032</v>
      </c>
      <c r="AT168" s="288" t="s">
        <v>2032</v>
      </c>
      <c r="AU168" s="288" t="s">
        <v>2032</v>
      </c>
      <c r="AV168" s="288" t="s">
        <v>2032</v>
      </c>
      <c r="AW168" s="288" t="s">
        <v>2032</v>
      </c>
      <c r="AX168" s="288" t="s">
        <v>2032</v>
      </c>
      <c r="AY168" s="288" t="s">
        <v>2032</v>
      </c>
      <c r="AZ168" s="288" t="s">
        <v>2032</v>
      </c>
      <c r="BA168" s="288" t="s">
        <v>2032</v>
      </c>
      <c r="BB168" s="288" t="s">
        <v>2032</v>
      </c>
      <c r="BC168" s="288" t="s">
        <v>2032</v>
      </c>
      <c r="BD168" s="289">
        <f t="shared" si="0"/>
        <v>0</v>
      </c>
      <c r="BE168" s="287"/>
      <c r="BF168" s="272"/>
    </row>
    <row r="169" spans="1:58" ht="14.25" customHeight="1" x14ac:dyDescent="0.35">
      <c r="A169" s="68">
        <v>167</v>
      </c>
      <c r="B169" s="24" t="s">
        <v>1792</v>
      </c>
      <c r="C169" s="24">
        <v>2024</v>
      </c>
      <c r="D169" s="24" t="s">
        <v>1541</v>
      </c>
      <c r="E169" s="269" t="str">
        <f ca="1">IFERROR(__xludf.DUMMYFUNCTION("ARRAYFORMULA(JOIN("""", ARRAYFORMULA(MID(SPLIT(F169, "" ""), 1, 1))))
&amp;""/""&amp;G169"),"MQ/6 Primaria")</f>
        <v>MQ/6 Primaria</v>
      </c>
      <c r="F169" s="24" t="s">
        <v>1751</v>
      </c>
      <c r="G169" s="248" t="s">
        <v>37</v>
      </c>
      <c r="H169" s="248" t="s">
        <v>1608</v>
      </c>
      <c r="I169" s="248" t="s">
        <v>1821</v>
      </c>
      <c r="J169" s="248" t="s">
        <v>1822</v>
      </c>
      <c r="K169" s="248" t="s">
        <v>1586</v>
      </c>
      <c r="L169" s="272"/>
      <c r="M169" s="286" t="s">
        <v>1588</v>
      </c>
      <c r="N169" s="286" t="s">
        <v>1617</v>
      </c>
      <c r="O169" s="286" t="s">
        <v>1589</v>
      </c>
      <c r="P169" s="286" t="s">
        <v>1617</v>
      </c>
      <c r="Q169" s="286" t="s">
        <v>1587</v>
      </c>
      <c r="R169" s="286" t="s">
        <v>1587</v>
      </c>
      <c r="S169" s="286" t="s">
        <v>1587</v>
      </c>
      <c r="T169" s="286" t="s">
        <v>1587</v>
      </c>
      <c r="U169" s="286" t="s">
        <v>1587</v>
      </c>
      <c r="V169" s="286" t="s">
        <v>1617</v>
      </c>
      <c r="W169" s="286" t="s">
        <v>1589</v>
      </c>
      <c r="X169" s="286" t="s">
        <v>1617</v>
      </c>
      <c r="Y169" s="286" t="s">
        <v>1588</v>
      </c>
      <c r="Z169" s="286" t="s">
        <v>1589</v>
      </c>
      <c r="AA169" s="286" t="s">
        <v>1587</v>
      </c>
      <c r="AB169" s="286" t="s">
        <v>1617</v>
      </c>
      <c r="AC169" s="286" t="s">
        <v>1588</v>
      </c>
      <c r="AD169" s="286" t="s">
        <v>1587</v>
      </c>
      <c r="AE169" s="286" t="s">
        <v>1588</v>
      </c>
      <c r="AF169" s="286" t="s">
        <v>1589</v>
      </c>
      <c r="AG169" s="283">
        <v>19</v>
      </c>
      <c r="AH169" s="287" t="s">
        <v>25</v>
      </c>
      <c r="AI169" s="272"/>
      <c r="AJ169" s="288" t="s">
        <v>2032</v>
      </c>
      <c r="AK169" s="288" t="s">
        <v>2032</v>
      </c>
      <c r="AL169" s="288" t="s">
        <v>2032</v>
      </c>
      <c r="AM169" s="288" t="s">
        <v>2032</v>
      </c>
      <c r="AN169" s="288" t="s">
        <v>2032</v>
      </c>
      <c r="AO169" s="288" t="s">
        <v>2032</v>
      </c>
      <c r="AP169" s="288" t="s">
        <v>2032</v>
      </c>
      <c r="AQ169" s="288" t="s">
        <v>2032</v>
      </c>
      <c r="AR169" s="288" t="s">
        <v>2032</v>
      </c>
      <c r="AS169" s="288" t="s">
        <v>2032</v>
      </c>
      <c r="AT169" s="288" t="s">
        <v>2032</v>
      </c>
      <c r="AU169" s="288" t="s">
        <v>2032</v>
      </c>
      <c r="AV169" s="288" t="s">
        <v>2032</v>
      </c>
      <c r="AW169" s="288" t="s">
        <v>2032</v>
      </c>
      <c r="AX169" s="288" t="s">
        <v>2032</v>
      </c>
      <c r="AY169" s="288" t="s">
        <v>2032</v>
      </c>
      <c r="AZ169" s="288" t="s">
        <v>2032</v>
      </c>
      <c r="BA169" s="288" t="s">
        <v>2032</v>
      </c>
      <c r="BB169" s="288" t="s">
        <v>2032</v>
      </c>
      <c r="BC169" s="288" t="s">
        <v>2032</v>
      </c>
      <c r="BD169" s="289">
        <f t="shared" si="0"/>
        <v>0</v>
      </c>
      <c r="BE169" s="287"/>
      <c r="BF169" s="272"/>
    </row>
    <row r="170" spans="1:58" ht="14.25" customHeight="1" x14ac:dyDescent="0.35">
      <c r="A170" s="68">
        <v>168</v>
      </c>
      <c r="B170" s="24" t="s">
        <v>1792</v>
      </c>
      <c r="C170" s="24">
        <v>2024</v>
      </c>
      <c r="D170" s="24" t="s">
        <v>1541</v>
      </c>
      <c r="E170" s="269" t="str">
        <f ca="1">IFERROR(__xludf.DUMMYFUNCTION("ARRAYFORMULA(JOIN("""", ARRAYFORMULA(MID(SPLIT(F170, "" ""), 1, 1))))
&amp;""/""&amp;G170"),"MQ/6 Primaria")</f>
        <v>MQ/6 Primaria</v>
      </c>
      <c r="F170" s="24" t="s">
        <v>1751</v>
      </c>
      <c r="G170" s="248" t="s">
        <v>37</v>
      </c>
      <c r="H170" s="248" t="s">
        <v>1583</v>
      </c>
      <c r="I170" s="248" t="s">
        <v>1823</v>
      </c>
      <c r="J170" s="248" t="s">
        <v>1824</v>
      </c>
      <c r="K170" s="248" t="s">
        <v>1593</v>
      </c>
      <c r="L170" s="272"/>
      <c r="M170" s="286" t="s">
        <v>1588</v>
      </c>
      <c r="N170" s="286" t="s">
        <v>1617</v>
      </c>
      <c r="O170" s="286" t="s">
        <v>1589</v>
      </c>
      <c r="P170" s="286" t="s">
        <v>1587</v>
      </c>
      <c r="Q170" s="286" t="s">
        <v>1588</v>
      </c>
      <c r="R170" s="286" t="s">
        <v>1587</v>
      </c>
      <c r="S170" s="286" t="s">
        <v>1587</v>
      </c>
      <c r="T170" s="286" t="s">
        <v>1587</v>
      </c>
      <c r="U170" s="286" t="s">
        <v>1587</v>
      </c>
      <c r="V170" s="286" t="s">
        <v>1617</v>
      </c>
      <c r="W170" s="286" t="s">
        <v>1589</v>
      </c>
      <c r="X170" s="286" t="s">
        <v>1617</v>
      </c>
      <c r="Y170" s="286" t="s">
        <v>1588</v>
      </c>
      <c r="Z170" s="286" t="s">
        <v>1617</v>
      </c>
      <c r="AA170" s="286" t="s">
        <v>1587</v>
      </c>
      <c r="AB170" s="286" t="s">
        <v>1617</v>
      </c>
      <c r="AC170" s="286" t="s">
        <v>1588</v>
      </c>
      <c r="AD170" s="286" t="s">
        <v>1587</v>
      </c>
      <c r="AE170" s="286" t="s">
        <v>1589</v>
      </c>
      <c r="AF170" s="286" t="s">
        <v>1588</v>
      </c>
      <c r="AG170" s="283">
        <v>15</v>
      </c>
      <c r="AH170" s="287" t="s">
        <v>23</v>
      </c>
      <c r="AI170" s="272"/>
      <c r="AJ170" s="288" t="s">
        <v>2032</v>
      </c>
      <c r="AK170" s="288" t="s">
        <v>2032</v>
      </c>
      <c r="AL170" s="288" t="s">
        <v>2032</v>
      </c>
      <c r="AM170" s="288" t="s">
        <v>2032</v>
      </c>
      <c r="AN170" s="288" t="s">
        <v>2032</v>
      </c>
      <c r="AO170" s="288" t="s">
        <v>2032</v>
      </c>
      <c r="AP170" s="288" t="s">
        <v>2032</v>
      </c>
      <c r="AQ170" s="288" t="s">
        <v>2032</v>
      </c>
      <c r="AR170" s="288" t="s">
        <v>2032</v>
      </c>
      <c r="AS170" s="288" t="s">
        <v>2032</v>
      </c>
      <c r="AT170" s="288" t="s">
        <v>2032</v>
      </c>
      <c r="AU170" s="288" t="s">
        <v>2032</v>
      </c>
      <c r="AV170" s="288" t="s">
        <v>2032</v>
      </c>
      <c r="AW170" s="288" t="s">
        <v>2032</v>
      </c>
      <c r="AX170" s="288" t="s">
        <v>2032</v>
      </c>
      <c r="AY170" s="288" t="s">
        <v>2032</v>
      </c>
      <c r="AZ170" s="288" t="s">
        <v>2032</v>
      </c>
      <c r="BA170" s="288" t="s">
        <v>2032</v>
      </c>
      <c r="BB170" s="288" t="s">
        <v>2032</v>
      </c>
      <c r="BC170" s="288" t="s">
        <v>2032</v>
      </c>
      <c r="BD170" s="289">
        <f t="shared" si="0"/>
        <v>0</v>
      </c>
      <c r="BE170" s="287"/>
      <c r="BF170" s="272"/>
    </row>
    <row r="171" spans="1:58" ht="14.25" customHeight="1" x14ac:dyDescent="0.35">
      <c r="A171" s="68">
        <v>169</v>
      </c>
      <c r="B171" s="24" t="s">
        <v>1792</v>
      </c>
      <c r="C171" s="24">
        <v>2024</v>
      </c>
      <c r="D171" s="24" t="s">
        <v>1541</v>
      </c>
      <c r="E171" s="269" t="str">
        <f ca="1">IFERROR(__xludf.DUMMYFUNCTION("ARRAYFORMULA(JOIN("""", ARRAYFORMULA(MID(SPLIT(F171, "" ""), 1, 1))))
&amp;""/""&amp;G171"),"MQ/6 Primaria")</f>
        <v>MQ/6 Primaria</v>
      </c>
      <c r="F171" s="24" t="s">
        <v>1751</v>
      </c>
      <c r="G171" s="248" t="s">
        <v>37</v>
      </c>
      <c r="H171" s="248" t="s">
        <v>1795</v>
      </c>
      <c r="I171" s="248" t="s">
        <v>1808</v>
      </c>
      <c r="J171" s="248" t="s">
        <v>1825</v>
      </c>
      <c r="K171" s="248" t="s">
        <v>1593</v>
      </c>
      <c r="L171" s="272"/>
      <c r="M171" s="286" t="s">
        <v>1588</v>
      </c>
      <c r="N171" s="286"/>
      <c r="O171" s="286" t="s">
        <v>1589</v>
      </c>
      <c r="P171" s="286"/>
      <c r="Q171" s="286"/>
      <c r="R171" s="286" t="s">
        <v>1587</v>
      </c>
      <c r="S171" s="286" t="s">
        <v>1587</v>
      </c>
      <c r="T171" s="286" t="s">
        <v>1587</v>
      </c>
      <c r="U171" s="286" t="s">
        <v>1587</v>
      </c>
      <c r="V171" s="286" t="s">
        <v>1617</v>
      </c>
      <c r="W171" s="286" t="s">
        <v>1589</v>
      </c>
      <c r="X171" s="286" t="s">
        <v>1617</v>
      </c>
      <c r="Y171" s="286" t="s">
        <v>1617</v>
      </c>
      <c r="Z171" s="286" t="s">
        <v>1589</v>
      </c>
      <c r="AA171" s="286" t="s">
        <v>1587</v>
      </c>
      <c r="AB171" s="286" t="s">
        <v>1617</v>
      </c>
      <c r="AC171" s="286" t="s">
        <v>1588</v>
      </c>
      <c r="AD171" s="286" t="s">
        <v>1587</v>
      </c>
      <c r="AE171" s="286" t="s">
        <v>1588</v>
      </c>
      <c r="AF171" s="286" t="s">
        <v>1589</v>
      </c>
      <c r="AG171" s="283">
        <v>15</v>
      </c>
      <c r="AH171" s="287" t="s">
        <v>23</v>
      </c>
      <c r="AI171" s="272"/>
      <c r="AJ171" s="288" t="s">
        <v>2032</v>
      </c>
      <c r="AK171" s="288" t="s">
        <v>2032</v>
      </c>
      <c r="AL171" s="288" t="s">
        <v>2032</v>
      </c>
      <c r="AM171" s="288" t="s">
        <v>2032</v>
      </c>
      <c r="AN171" s="288" t="s">
        <v>2032</v>
      </c>
      <c r="AO171" s="288" t="s">
        <v>2032</v>
      </c>
      <c r="AP171" s="288" t="s">
        <v>2032</v>
      </c>
      <c r="AQ171" s="288" t="s">
        <v>2032</v>
      </c>
      <c r="AR171" s="288" t="s">
        <v>2032</v>
      </c>
      <c r="AS171" s="288" t="s">
        <v>2032</v>
      </c>
      <c r="AT171" s="288" t="s">
        <v>2032</v>
      </c>
      <c r="AU171" s="288" t="s">
        <v>2032</v>
      </c>
      <c r="AV171" s="288" t="s">
        <v>2032</v>
      </c>
      <c r="AW171" s="288" t="s">
        <v>2032</v>
      </c>
      <c r="AX171" s="288" t="s">
        <v>2032</v>
      </c>
      <c r="AY171" s="288" t="s">
        <v>2032</v>
      </c>
      <c r="AZ171" s="288" t="s">
        <v>2032</v>
      </c>
      <c r="BA171" s="288" t="s">
        <v>2032</v>
      </c>
      <c r="BB171" s="288" t="s">
        <v>2032</v>
      </c>
      <c r="BC171" s="288" t="s">
        <v>2032</v>
      </c>
      <c r="BD171" s="289">
        <f t="shared" si="0"/>
        <v>0</v>
      </c>
      <c r="BE171" s="287"/>
      <c r="BF171" s="272"/>
    </row>
    <row r="172" spans="1:58" ht="14.25" customHeight="1" x14ac:dyDescent="0.35">
      <c r="A172" s="68">
        <v>170</v>
      </c>
      <c r="B172" s="24" t="s">
        <v>1792</v>
      </c>
      <c r="C172" s="24">
        <v>2024</v>
      </c>
      <c r="D172" s="24" t="s">
        <v>1541</v>
      </c>
      <c r="E172" s="269" t="str">
        <f ca="1">IFERROR(__xludf.DUMMYFUNCTION("ARRAYFORMULA(JOIN("""", ARRAYFORMULA(MID(SPLIT(F172, "" ""), 1, 1))))
&amp;""/""&amp;G172"),"MQ/6 Primaria")</f>
        <v>MQ/6 Primaria</v>
      </c>
      <c r="F172" s="24" t="s">
        <v>1751</v>
      </c>
      <c r="G172" s="248" t="s">
        <v>37</v>
      </c>
      <c r="H172" s="248" t="s">
        <v>1598</v>
      </c>
      <c r="I172" s="248" t="s">
        <v>1689</v>
      </c>
      <c r="J172" s="248" t="s">
        <v>1826</v>
      </c>
      <c r="K172" s="248" t="s">
        <v>1593</v>
      </c>
      <c r="L172" s="272"/>
      <c r="M172" s="286" t="s">
        <v>1587</v>
      </c>
      <c r="N172" s="286" t="s">
        <v>1617</v>
      </c>
      <c r="O172" s="286" t="s">
        <v>1589</v>
      </c>
      <c r="P172" s="286" t="s">
        <v>1588</v>
      </c>
      <c r="Q172" s="286" t="s">
        <v>1587</v>
      </c>
      <c r="R172" s="286" t="s">
        <v>1617</v>
      </c>
      <c r="S172" s="286" t="s">
        <v>1587</v>
      </c>
      <c r="T172" s="286" t="s">
        <v>1588</v>
      </c>
      <c r="U172" s="286" t="s">
        <v>1589</v>
      </c>
      <c r="V172" s="286" t="s">
        <v>1617</v>
      </c>
      <c r="W172" s="286" t="s">
        <v>1589</v>
      </c>
      <c r="X172" s="286" t="s">
        <v>1617</v>
      </c>
      <c r="Y172" s="286" t="s">
        <v>1588</v>
      </c>
      <c r="Z172" s="286" t="s">
        <v>1587</v>
      </c>
      <c r="AA172" s="286" t="s">
        <v>1587</v>
      </c>
      <c r="AB172" s="286" t="s">
        <v>1589</v>
      </c>
      <c r="AC172" s="286" t="s">
        <v>1617</v>
      </c>
      <c r="AD172" s="286" t="s">
        <v>1617</v>
      </c>
      <c r="AE172" s="286" t="s">
        <v>1588</v>
      </c>
      <c r="AF172" s="286" t="s">
        <v>1617</v>
      </c>
      <c r="AG172" s="283">
        <v>9</v>
      </c>
      <c r="AH172" s="287" t="s">
        <v>19</v>
      </c>
      <c r="AI172" s="272"/>
      <c r="AJ172" s="288" t="s">
        <v>2032</v>
      </c>
      <c r="AK172" s="288" t="s">
        <v>2032</v>
      </c>
      <c r="AL172" s="288" t="s">
        <v>2032</v>
      </c>
      <c r="AM172" s="288" t="s">
        <v>2032</v>
      </c>
      <c r="AN172" s="288" t="s">
        <v>2032</v>
      </c>
      <c r="AO172" s="288" t="s">
        <v>2032</v>
      </c>
      <c r="AP172" s="288" t="s">
        <v>2032</v>
      </c>
      <c r="AQ172" s="288" t="s">
        <v>2032</v>
      </c>
      <c r="AR172" s="288" t="s">
        <v>2032</v>
      </c>
      <c r="AS172" s="288" t="s">
        <v>2032</v>
      </c>
      <c r="AT172" s="288" t="s">
        <v>2032</v>
      </c>
      <c r="AU172" s="288" t="s">
        <v>2032</v>
      </c>
      <c r="AV172" s="288" t="s">
        <v>2032</v>
      </c>
      <c r="AW172" s="288" t="s">
        <v>2032</v>
      </c>
      <c r="AX172" s="288" t="s">
        <v>2032</v>
      </c>
      <c r="AY172" s="288" t="s">
        <v>2032</v>
      </c>
      <c r="AZ172" s="288" t="s">
        <v>2032</v>
      </c>
      <c r="BA172" s="288" t="s">
        <v>2032</v>
      </c>
      <c r="BB172" s="288" t="s">
        <v>2032</v>
      </c>
      <c r="BC172" s="288" t="s">
        <v>2032</v>
      </c>
      <c r="BD172" s="289">
        <f t="shared" si="0"/>
        <v>0</v>
      </c>
      <c r="BE172" s="287"/>
      <c r="BF172" s="272"/>
    </row>
    <row r="173" spans="1:58" ht="14.25" customHeight="1" x14ac:dyDescent="0.35">
      <c r="A173" s="68">
        <v>171</v>
      </c>
      <c r="B173" s="24" t="s">
        <v>1792</v>
      </c>
      <c r="C173" s="24">
        <v>2024</v>
      </c>
      <c r="D173" s="24" t="s">
        <v>1541</v>
      </c>
      <c r="E173" s="269" t="str">
        <f ca="1">IFERROR(__xludf.DUMMYFUNCTION("ARRAYFORMULA(JOIN("""", ARRAYFORMULA(MID(SPLIT(F173, "" ""), 1, 1))))
&amp;""/""&amp;G173"),"MQ/6 Primaria")</f>
        <v>MQ/6 Primaria</v>
      </c>
      <c r="F173" s="24" t="s">
        <v>1751</v>
      </c>
      <c r="G173" s="248" t="s">
        <v>37</v>
      </c>
      <c r="H173" s="248" t="s">
        <v>1827</v>
      </c>
      <c r="I173" s="248" t="s">
        <v>1612</v>
      </c>
      <c r="J173" s="248" t="s">
        <v>1828</v>
      </c>
      <c r="K173" s="248" t="s">
        <v>1586</v>
      </c>
      <c r="L173" s="272"/>
      <c r="M173" s="286" t="s">
        <v>1588</v>
      </c>
      <c r="N173" s="286" t="s">
        <v>1617</v>
      </c>
      <c r="O173" s="286" t="s">
        <v>1587</v>
      </c>
      <c r="P173" s="286" t="s">
        <v>1617</v>
      </c>
      <c r="Q173" s="286"/>
      <c r="R173" s="286" t="s">
        <v>1617</v>
      </c>
      <c r="S173" s="286" t="s">
        <v>1617</v>
      </c>
      <c r="T173" s="286" t="s">
        <v>1587</v>
      </c>
      <c r="U173" s="286" t="s">
        <v>1617</v>
      </c>
      <c r="V173" s="286" t="s">
        <v>1588</v>
      </c>
      <c r="W173" s="286" t="s">
        <v>1589</v>
      </c>
      <c r="X173" s="286" t="s">
        <v>1617</v>
      </c>
      <c r="Y173" s="286" t="s">
        <v>1588</v>
      </c>
      <c r="Z173" s="286" t="s">
        <v>1589</v>
      </c>
      <c r="AA173" s="286" t="s">
        <v>1587</v>
      </c>
      <c r="AB173" s="286" t="s">
        <v>1617</v>
      </c>
      <c r="AC173" s="286" t="s">
        <v>1617</v>
      </c>
      <c r="AD173" s="286"/>
      <c r="AE173" s="286" t="s">
        <v>1588</v>
      </c>
      <c r="AF173" s="286" t="s">
        <v>1589</v>
      </c>
      <c r="AG173" s="283">
        <v>11</v>
      </c>
      <c r="AH173" s="287" t="s">
        <v>23</v>
      </c>
      <c r="AI173" s="272"/>
      <c r="AJ173" s="288" t="s">
        <v>2032</v>
      </c>
      <c r="AK173" s="288" t="s">
        <v>2032</v>
      </c>
      <c r="AL173" s="288" t="s">
        <v>2032</v>
      </c>
      <c r="AM173" s="288" t="s">
        <v>2032</v>
      </c>
      <c r="AN173" s="288" t="s">
        <v>2032</v>
      </c>
      <c r="AO173" s="288" t="s">
        <v>2032</v>
      </c>
      <c r="AP173" s="288" t="s">
        <v>2032</v>
      </c>
      <c r="AQ173" s="288" t="s">
        <v>2032</v>
      </c>
      <c r="AR173" s="288" t="s">
        <v>2032</v>
      </c>
      <c r="AS173" s="288" t="s">
        <v>2032</v>
      </c>
      <c r="AT173" s="288" t="s">
        <v>2032</v>
      </c>
      <c r="AU173" s="288" t="s">
        <v>2032</v>
      </c>
      <c r="AV173" s="288" t="s">
        <v>2032</v>
      </c>
      <c r="AW173" s="288" t="s">
        <v>2032</v>
      </c>
      <c r="AX173" s="288" t="s">
        <v>2032</v>
      </c>
      <c r="AY173" s="288" t="s">
        <v>2032</v>
      </c>
      <c r="AZ173" s="288" t="s">
        <v>2032</v>
      </c>
      <c r="BA173" s="288" t="s">
        <v>2032</v>
      </c>
      <c r="BB173" s="288" t="s">
        <v>2032</v>
      </c>
      <c r="BC173" s="288" t="s">
        <v>2032</v>
      </c>
      <c r="BD173" s="289">
        <f t="shared" si="0"/>
        <v>0</v>
      </c>
      <c r="BE173" s="287"/>
      <c r="BF173" s="272"/>
    </row>
    <row r="174" spans="1:58" ht="14.25" customHeight="1" x14ac:dyDescent="0.35">
      <c r="A174" s="68">
        <v>172</v>
      </c>
      <c r="B174" s="24" t="s">
        <v>1829</v>
      </c>
      <c r="C174" s="24">
        <v>2024</v>
      </c>
      <c r="D174" s="24" t="s">
        <v>1541</v>
      </c>
      <c r="E174" s="269" t="str">
        <f ca="1">IFERROR(__xludf.DUMMYFUNCTION("ARRAYFORMULA(JOIN("""", ARRAYFORMULA(MID(SPLIT(F174, "" ""), 1, 1))))
&amp;""/""&amp;G174"),"MQ/2 Primaria")</f>
        <v>MQ/2 Primaria</v>
      </c>
      <c r="F174" s="24" t="s">
        <v>1751</v>
      </c>
      <c r="G174" s="248" t="s">
        <v>45</v>
      </c>
      <c r="H174" s="248" t="s">
        <v>1595</v>
      </c>
      <c r="I174" s="248" t="s">
        <v>1647</v>
      </c>
      <c r="J174" s="248" t="s">
        <v>1830</v>
      </c>
      <c r="K174" s="248" t="s">
        <v>1586</v>
      </c>
      <c r="L174" s="272"/>
      <c r="M174" s="286" t="s">
        <v>1754</v>
      </c>
      <c r="N174" s="286" t="s">
        <v>1588</v>
      </c>
      <c r="O174" s="286" t="s">
        <v>1588</v>
      </c>
      <c r="P174" s="286" t="s">
        <v>1588</v>
      </c>
      <c r="Q174" s="286" t="s">
        <v>1753</v>
      </c>
      <c r="R174" s="286" t="s">
        <v>1588</v>
      </c>
      <c r="S174" s="286" t="s">
        <v>1754</v>
      </c>
      <c r="T174" s="286" t="s">
        <v>1588</v>
      </c>
      <c r="U174" s="286" t="s">
        <v>1754</v>
      </c>
      <c r="V174" s="286"/>
      <c r="W174" s="286" t="s">
        <v>1588</v>
      </c>
      <c r="X174" s="286" t="s">
        <v>1588</v>
      </c>
      <c r="Y174" s="286" t="s">
        <v>1754</v>
      </c>
      <c r="Z174" s="286" t="s">
        <v>1754</v>
      </c>
      <c r="AA174" s="286" t="s">
        <v>1754</v>
      </c>
      <c r="AB174" s="286" t="s">
        <v>1753</v>
      </c>
      <c r="AC174" s="286" t="s">
        <v>1588</v>
      </c>
      <c r="AD174" s="286" t="s">
        <v>1754</v>
      </c>
      <c r="AE174" s="286" t="s">
        <v>1754</v>
      </c>
      <c r="AF174" s="286" t="s">
        <v>1753</v>
      </c>
      <c r="AG174" s="283">
        <v>10</v>
      </c>
      <c r="AH174" s="287" t="s">
        <v>19</v>
      </c>
      <c r="AI174" s="272"/>
      <c r="AJ174" s="288" t="s">
        <v>2032</v>
      </c>
      <c r="AK174" s="288" t="s">
        <v>2032</v>
      </c>
      <c r="AL174" s="288" t="s">
        <v>2032</v>
      </c>
      <c r="AM174" s="288" t="s">
        <v>2032</v>
      </c>
      <c r="AN174" s="288" t="s">
        <v>2032</v>
      </c>
      <c r="AO174" s="288" t="s">
        <v>2032</v>
      </c>
      <c r="AP174" s="288" t="s">
        <v>2032</v>
      </c>
      <c r="AQ174" s="288" t="s">
        <v>2032</v>
      </c>
      <c r="AR174" s="288" t="s">
        <v>2032</v>
      </c>
      <c r="AS174" s="288" t="s">
        <v>2032</v>
      </c>
      <c r="AT174" s="288" t="s">
        <v>2032</v>
      </c>
      <c r="AU174" s="288" t="s">
        <v>2032</v>
      </c>
      <c r="AV174" s="288" t="s">
        <v>2032</v>
      </c>
      <c r="AW174" s="288" t="s">
        <v>2032</v>
      </c>
      <c r="AX174" s="288" t="s">
        <v>2032</v>
      </c>
      <c r="AY174" s="288" t="s">
        <v>2032</v>
      </c>
      <c r="AZ174" s="288" t="s">
        <v>2032</v>
      </c>
      <c r="BA174" s="288" t="s">
        <v>2032</v>
      </c>
      <c r="BB174" s="288" t="s">
        <v>2032</v>
      </c>
      <c r="BC174" s="288" t="s">
        <v>2032</v>
      </c>
      <c r="BD174" s="289">
        <f t="shared" si="0"/>
        <v>0</v>
      </c>
      <c r="BE174" s="287"/>
      <c r="BF174" s="272"/>
    </row>
    <row r="175" spans="1:58" ht="14.25" customHeight="1" x14ac:dyDescent="0.35">
      <c r="A175" s="68">
        <v>173</v>
      </c>
      <c r="B175" s="24" t="s">
        <v>1829</v>
      </c>
      <c r="C175" s="24">
        <v>2024</v>
      </c>
      <c r="D175" s="24" t="s">
        <v>1541</v>
      </c>
      <c r="E175" s="269" t="str">
        <f ca="1">IFERROR(__xludf.DUMMYFUNCTION("ARRAYFORMULA(JOIN("""", ARRAYFORMULA(MID(SPLIT(F175, "" ""), 1, 1))))
&amp;""/""&amp;G175"),"MQ/4 Primaria")</f>
        <v>MQ/4 Primaria</v>
      </c>
      <c r="F175" s="24" t="s">
        <v>1751</v>
      </c>
      <c r="G175" s="248" t="s">
        <v>16</v>
      </c>
      <c r="H175" s="248" t="s">
        <v>1831</v>
      </c>
      <c r="I175" s="248" t="s">
        <v>1832</v>
      </c>
      <c r="J175" s="248" t="s">
        <v>1833</v>
      </c>
      <c r="K175" s="248" t="s">
        <v>1593</v>
      </c>
      <c r="L175" s="272"/>
      <c r="M175" s="286" t="s">
        <v>1617</v>
      </c>
      <c r="N175" s="286" t="s">
        <v>1587</v>
      </c>
      <c r="O175" s="286" t="s">
        <v>1617</v>
      </c>
      <c r="P175" s="286" t="s">
        <v>1587</v>
      </c>
      <c r="Q175" s="286" t="s">
        <v>1589</v>
      </c>
      <c r="R175" s="286" t="s">
        <v>1588</v>
      </c>
      <c r="S175" s="286" t="s">
        <v>1588</v>
      </c>
      <c r="T175" s="286" t="s">
        <v>1589</v>
      </c>
      <c r="U175" s="286" t="s">
        <v>1587</v>
      </c>
      <c r="V175" s="286" t="s">
        <v>1587</v>
      </c>
      <c r="W175" s="286" t="s">
        <v>1587</v>
      </c>
      <c r="X175" s="286" t="s">
        <v>1588</v>
      </c>
      <c r="Y175" s="286" t="s">
        <v>1588</v>
      </c>
      <c r="Z175" s="286" t="s">
        <v>1589</v>
      </c>
      <c r="AA175" s="286" t="s">
        <v>1588</v>
      </c>
      <c r="AB175" s="286" t="s">
        <v>1589</v>
      </c>
      <c r="AC175" s="286" t="s">
        <v>1617</v>
      </c>
      <c r="AD175" s="286" t="s">
        <v>1589</v>
      </c>
      <c r="AE175" s="286" t="s">
        <v>1588</v>
      </c>
      <c r="AF175" s="286" t="s">
        <v>1588</v>
      </c>
      <c r="AG175" s="283">
        <v>9</v>
      </c>
      <c r="AH175" s="287" t="s">
        <v>19</v>
      </c>
      <c r="AI175" s="272"/>
      <c r="AJ175" s="288" t="s">
        <v>2032</v>
      </c>
      <c r="AK175" s="288" t="s">
        <v>2032</v>
      </c>
      <c r="AL175" s="288" t="s">
        <v>2032</v>
      </c>
      <c r="AM175" s="288" t="s">
        <v>2032</v>
      </c>
      <c r="AN175" s="288" t="s">
        <v>2032</v>
      </c>
      <c r="AO175" s="288" t="s">
        <v>2032</v>
      </c>
      <c r="AP175" s="288" t="s">
        <v>2032</v>
      </c>
      <c r="AQ175" s="288" t="s">
        <v>2032</v>
      </c>
      <c r="AR175" s="288" t="s">
        <v>2032</v>
      </c>
      <c r="AS175" s="288" t="s">
        <v>2032</v>
      </c>
      <c r="AT175" s="288" t="s">
        <v>2032</v>
      </c>
      <c r="AU175" s="288" t="s">
        <v>2032</v>
      </c>
      <c r="AV175" s="288" t="s">
        <v>2032</v>
      </c>
      <c r="AW175" s="288" t="s">
        <v>2032</v>
      </c>
      <c r="AX175" s="288" t="s">
        <v>2032</v>
      </c>
      <c r="AY175" s="288" t="s">
        <v>2032</v>
      </c>
      <c r="AZ175" s="288" t="s">
        <v>2032</v>
      </c>
      <c r="BA175" s="288" t="s">
        <v>2032</v>
      </c>
      <c r="BB175" s="288" t="s">
        <v>2032</v>
      </c>
      <c r="BC175" s="288" t="s">
        <v>2032</v>
      </c>
      <c r="BD175" s="289">
        <f t="shared" si="0"/>
        <v>0</v>
      </c>
      <c r="BE175" s="287"/>
      <c r="BF175" s="272"/>
    </row>
    <row r="176" spans="1:58" ht="14.25" customHeight="1" x14ac:dyDescent="0.35">
      <c r="A176" s="68">
        <v>174</v>
      </c>
      <c r="B176" s="24" t="s">
        <v>1829</v>
      </c>
      <c r="C176" s="24">
        <v>2024</v>
      </c>
      <c r="D176" s="24" t="s">
        <v>1541</v>
      </c>
      <c r="E176" s="269" t="str">
        <f ca="1">IFERROR(__xludf.DUMMYFUNCTION("ARRAYFORMULA(JOIN("""", ARRAYFORMULA(MID(SPLIT(F176, "" ""), 1, 1))))
&amp;""/""&amp;G176"),"MQ/6 Primaria")</f>
        <v>MQ/6 Primaria</v>
      </c>
      <c r="F176" s="24" t="s">
        <v>1751</v>
      </c>
      <c r="G176" s="248" t="s">
        <v>37</v>
      </c>
      <c r="H176" s="248" t="s">
        <v>1823</v>
      </c>
      <c r="I176" s="248" t="s">
        <v>1823</v>
      </c>
      <c r="J176" s="248" t="s">
        <v>1834</v>
      </c>
      <c r="K176" s="248" t="s">
        <v>1593</v>
      </c>
      <c r="L176" s="272"/>
      <c r="M176" s="286" t="s">
        <v>1588</v>
      </c>
      <c r="N176" s="286" t="s">
        <v>1617</v>
      </c>
      <c r="O176" s="286" t="s">
        <v>1587</v>
      </c>
      <c r="P176" s="286" t="s">
        <v>1617</v>
      </c>
      <c r="Q176" s="286" t="s">
        <v>1588</v>
      </c>
      <c r="R176" s="286" t="s">
        <v>1587</v>
      </c>
      <c r="S176" s="286" t="s">
        <v>1587</v>
      </c>
      <c r="T176" s="286" t="s">
        <v>1587</v>
      </c>
      <c r="U176" s="286" t="s">
        <v>1617</v>
      </c>
      <c r="V176" s="286" t="s">
        <v>1617</v>
      </c>
      <c r="W176" s="286" t="s">
        <v>1589</v>
      </c>
      <c r="X176" s="286" t="s">
        <v>1617</v>
      </c>
      <c r="Y176" s="286" t="s">
        <v>1588</v>
      </c>
      <c r="Z176" s="286" t="s">
        <v>1589</v>
      </c>
      <c r="AA176" s="286" t="s">
        <v>1617</v>
      </c>
      <c r="AB176" s="286" t="s">
        <v>1617</v>
      </c>
      <c r="AC176" s="286" t="s">
        <v>1588</v>
      </c>
      <c r="AD176" s="286" t="s">
        <v>1587</v>
      </c>
      <c r="AE176" s="286" t="s">
        <v>1617</v>
      </c>
      <c r="AF176" s="286" t="s">
        <v>1589</v>
      </c>
      <c r="AG176" s="283">
        <v>16</v>
      </c>
      <c r="AH176" s="287" t="s">
        <v>23</v>
      </c>
      <c r="AI176" s="272"/>
      <c r="AJ176" s="288" t="s">
        <v>2032</v>
      </c>
      <c r="AK176" s="288" t="s">
        <v>2032</v>
      </c>
      <c r="AL176" s="288" t="s">
        <v>2032</v>
      </c>
      <c r="AM176" s="288" t="s">
        <v>2032</v>
      </c>
      <c r="AN176" s="288" t="s">
        <v>2032</v>
      </c>
      <c r="AO176" s="288" t="s">
        <v>2032</v>
      </c>
      <c r="AP176" s="288" t="s">
        <v>2032</v>
      </c>
      <c r="AQ176" s="288" t="s">
        <v>2032</v>
      </c>
      <c r="AR176" s="288" t="s">
        <v>2032</v>
      </c>
      <c r="AS176" s="288" t="s">
        <v>2032</v>
      </c>
      <c r="AT176" s="288" t="s">
        <v>2032</v>
      </c>
      <c r="AU176" s="288" t="s">
        <v>2032</v>
      </c>
      <c r="AV176" s="288" t="s">
        <v>2032</v>
      </c>
      <c r="AW176" s="288" t="s">
        <v>2032</v>
      </c>
      <c r="AX176" s="288" t="s">
        <v>2032</v>
      </c>
      <c r="AY176" s="288" t="s">
        <v>2032</v>
      </c>
      <c r="AZ176" s="288" t="s">
        <v>2032</v>
      </c>
      <c r="BA176" s="288" t="s">
        <v>2032</v>
      </c>
      <c r="BB176" s="288" t="s">
        <v>2032</v>
      </c>
      <c r="BC176" s="288" t="s">
        <v>2032</v>
      </c>
      <c r="BD176" s="289">
        <f t="shared" si="0"/>
        <v>0</v>
      </c>
      <c r="BE176" s="287"/>
      <c r="BF176" s="272"/>
    </row>
    <row r="177" spans="1:58" ht="14.25" customHeight="1" x14ac:dyDescent="0.35">
      <c r="A177" s="68">
        <v>175</v>
      </c>
      <c r="B177" s="24" t="s">
        <v>1835</v>
      </c>
      <c r="C177" s="24">
        <v>2024</v>
      </c>
      <c r="D177" s="24" t="s">
        <v>1541</v>
      </c>
      <c r="E177" s="269" t="str">
        <f ca="1">IFERROR(__xludf.DUMMYFUNCTION("ARRAYFORMULA(JOIN("""", ARRAYFORMULA(MID(SPLIT(F177, "" ""), 1, 1))))
&amp;""/""&amp;G177"),"MQ/2 Primaria")</f>
        <v>MQ/2 Primaria</v>
      </c>
      <c r="F177" s="24" t="s">
        <v>1751</v>
      </c>
      <c r="G177" s="248" t="s">
        <v>45</v>
      </c>
      <c r="H177" s="248" t="s">
        <v>1598</v>
      </c>
      <c r="I177" s="248" t="s">
        <v>1598</v>
      </c>
      <c r="J177" s="248" t="s">
        <v>1836</v>
      </c>
      <c r="K177" s="248" t="s">
        <v>1586</v>
      </c>
      <c r="L177" s="272"/>
      <c r="M177" s="286" t="s">
        <v>1754</v>
      </c>
      <c r="N177" s="286" t="s">
        <v>1753</v>
      </c>
      <c r="O177" s="286" t="s">
        <v>1588</v>
      </c>
      <c r="P177" s="286" t="s">
        <v>1588</v>
      </c>
      <c r="Q177" s="286" t="s">
        <v>1754</v>
      </c>
      <c r="R177" s="286" t="s">
        <v>1588</v>
      </c>
      <c r="S177" s="286" t="s">
        <v>1753</v>
      </c>
      <c r="T177" s="286" t="s">
        <v>1588</v>
      </c>
      <c r="U177" s="286" t="s">
        <v>1754</v>
      </c>
      <c r="V177" s="286" t="s">
        <v>1754</v>
      </c>
      <c r="W177" s="286" t="s">
        <v>1753</v>
      </c>
      <c r="X177" s="286" t="s">
        <v>1754</v>
      </c>
      <c r="Y177" s="286" t="s">
        <v>1753</v>
      </c>
      <c r="Z177" s="286" t="s">
        <v>1754</v>
      </c>
      <c r="AA177" s="286" t="s">
        <v>1754</v>
      </c>
      <c r="AB177" s="286" t="s">
        <v>1753</v>
      </c>
      <c r="AC177" s="286" t="s">
        <v>1588</v>
      </c>
      <c r="AD177" s="286" t="s">
        <v>1754</v>
      </c>
      <c r="AE177" s="286" t="s">
        <v>1753</v>
      </c>
      <c r="AF177" s="286" t="s">
        <v>1753</v>
      </c>
      <c r="AG177" s="283">
        <v>9</v>
      </c>
      <c r="AH177" s="287" t="s">
        <v>19</v>
      </c>
      <c r="AI177" s="272"/>
      <c r="AJ177" s="288" t="s">
        <v>2032</v>
      </c>
      <c r="AK177" s="288" t="s">
        <v>2032</v>
      </c>
      <c r="AL177" s="288" t="s">
        <v>2032</v>
      </c>
      <c r="AM177" s="288" t="s">
        <v>2032</v>
      </c>
      <c r="AN177" s="288" t="s">
        <v>2032</v>
      </c>
      <c r="AO177" s="288" t="s">
        <v>2032</v>
      </c>
      <c r="AP177" s="288" t="s">
        <v>2032</v>
      </c>
      <c r="AQ177" s="288" t="s">
        <v>2032</v>
      </c>
      <c r="AR177" s="288" t="s">
        <v>2032</v>
      </c>
      <c r="AS177" s="288" t="s">
        <v>2032</v>
      </c>
      <c r="AT177" s="288" t="s">
        <v>2032</v>
      </c>
      <c r="AU177" s="288" t="s">
        <v>2032</v>
      </c>
      <c r="AV177" s="288" t="s">
        <v>2032</v>
      </c>
      <c r="AW177" s="288" t="s">
        <v>2032</v>
      </c>
      <c r="AX177" s="288" t="s">
        <v>2032</v>
      </c>
      <c r="AY177" s="288" t="s">
        <v>2032</v>
      </c>
      <c r="AZ177" s="288" t="s">
        <v>2032</v>
      </c>
      <c r="BA177" s="288" t="s">
        <v>2032</v>
      </c>
      <c r="BB177" s="288" t="s">
        <v>2032</v>
      </c>
      <c r="BC177" s="288" t="s">
        <v>2032</v>
      </c>
      <c r="BD177" s="289">
        <f t="shared" si="0"/>
        <v>0</v>
      </c>
      <c r="BE177" s="287"/>
      <c r="BF177" s="272"/>
    </row>
    <row r="178" spans="1:58" ht="14.25" customHeight="1" x14ac:dyDescent="0.35">
      <c r="A178" s="68">
        <v>176</v>
      </c>
      <c r="B178" s="24" t="s">
        <v>1835</v>
      </c>
      <c r="C178" s="24">
        <v>2024</v>
      </c>
      <c r="D178" s="24" t="s">
        <v>1541</v>
      </c>
      <c r="E178" s="269" t="str">
        <f ca="1">IFERROR(__xludf.DUMMYFUNCTION("ARRAYFORMULA(JOIN("""", ARRAYFORMULA(MID(SPLIT(F178, "" ""), 1, 1))))
&amp;""/""&amp;G178"),"MQ/4 Primaria")</f>
        <v>MQ/4 Primaria</v>
      </c>
      <c r="F178" s="24" t="s">
        <v>1751</v>
      </c>
      <c r="G178" s="248" t="s">
        <v>16</v>
      </c>
      <c r="H178" s="248" t="s">
        <v>1598</v>
      </c>
      <c r="I178" s="248" t="s">
        <v>1837</v>
      </c>
      <c r="J178" s="248" t="s">
        <v>1838</v>
      </c>
      <c r="K178" s="248" t="s">
        <v>1586</v>
      </c>
      <c r="L178" s="272"/>
      <c r="M178" s="286" t="s">
        <v>1617</v>
      </c>
      <c r="N178" s="286" t="s">
        <v>1589</v>
      </c>
      <c r="O178" s="286" t="s">
        <v>1617</v>
      </c>
      <c r="P178" s="286" t="s">
        <v>1617</v>
      </c>
      <c r="Q178" s="286" t="s">
        <v>1617</v>
      </c>
      <c r="R178" s="286" t="s">
        <v>1588</v>
      </c>
      <c r="S178" s="286" t="s">
        <v>1589</v>
      </c>
      <c r="T178" s="286" t="s">
        <v>1617</v>
      </c>
      <c r="U178" s="286" t="s">
        <v>1587</v>
      </c>
      <c r="V178" s="286" t="s">
        <v>1588</v>
      </c>
      <c r="W178" s="286" t="s">
        <v>1617</v>
      </c>
      <c r="X178" s="286" t="s">
        <v>1588</v>
      </c>
      <c r="Y178" s="286" t="s">
        <v>1617</v>
      </c>
      <c r="Z178" s="286" t="s">
        <v>1617</v>
      </c>
      <c r="AA178" s="286" t="s">
        <v>1617</v>
      </c>
      <c r="AB178" s="286" t="s">
        <v>1587</v>
      </c>
      <c r="AC178" s="286" t="s">
        <v>1589</v>
      </c>
      <c r="AD178" s="286" t="s">
        <v>1617</v>
      </c>
      <c r="AE178" s="286" t="s">
        <v>1589</v>
      </c>
      <c r="AF178" s="286" t="s">
        <v>1588</v>
      </c>
      <c r="AG178" s="283">
        <v>11</v>
      </c>
      <c r="AH178" s="287" t="s">
        <v>23</v>
      </c>
      <c r="AI178" s="272"/>
      <c r="AJ178" s="288" t="s">
        <v>2032</v>
      </c>
      <c r="AK178" s="288" t="s">
        <v>2032</v>
      </c>
      <c r="AL178" s="288" t="s">
        <v>2032</v>
      </c>
      <c r="AM178" s="288" t="s">
        <v>2032</v>
      </c>
      <c r="AN178" s="288" t="s">
        <v>2032</v>
      </c>
      <c r="AO178" s="288" t="s">
        <v>2032</v>
      </c>
      <c r="AP178" s="288" t="s">
        <v>2032</v>
      </c>
      <c r="AQ178" s="288" t="s">
        <v>2032</v>
      </c>
      <c r="AR178" s="288" t="s">
        <v>2032</v>
      </c>
      <c r="AS178" s="288" t="s">
        <v>2032</v>
      </c>
      <c r="AT178" s="288" t="s">
        <v>2032</v>
      </c>
      <c r="AU178" s="288" t="s">
        <v>2032</v>
      </c>
      <c r="AV178" s="288" t="s">
        <v>2032</v>
      </c>
      <c r="AW178" s="288" t="s">
        <v>2032</v>
      </c>
      <c r="AX178" s="288" t="s">
        <v>2032</v>
      </c>
      <c r="AY178" s="288" t="s">
        <v>2032</v>
      </c>
      <c r="AZ178" s="288" t="s">
        <v>2032</v>
      </c>
      <c r="BA178" s="288" t="s">
        <v>2032</v>
      </c>
      <c r="BB178" s="288" t="s">
        <v>2032</v>
      </c>
      <c r="BC178" s="288" t="s">
        <v>2032</v>
      </c>
      <c r="BD178" s="289">
        <f t="shared" si="0"/>
        <v>0</v>
      </c>
      <c r="BE178" s="287"/>
      <c r="BF178" s="272"/>
    </row>
    <row r="179" spans="1:58" ht="14.25" customHeight="1" x14ac:dyDescent="0.35">
      <c r="A179" s="68">
        <v>177</v>
      </c>
      <c r="B179" s="24" t="s">
        <v>1835</v>
      </c>
      <c r="C179" s="24">
        <v>2024</v>
      </c>
      <c r="D179" s="24" t="s">
        <v>1541</v>
      </c>
      <c r="E179" s="269" t="str">
        <f ca="1">IFERROR(__xludf.DUMMYFUNCTION("ARRAYFORMULA(JOIN("""", ARRAYFORMULA(MID(SPLIT(F179, "" ""), 1, 1))))
&amp;""/""&amp;G179"),"MQ/4 Primaria")</f>
        <v>MQ/4 Primaria</v>
      </c>
      <c r="F179" s="24" t="s">
        <v>1751</v>
      </c>
      <c r="G179" s="248" t="s">
        <v>16</v>
      </c>
      <c r="H179" s="248" t="s">
        <v>1598</v>
      </c>
      <c r="I179" s="248" t="s">
        <v>1724</v>
      </c>
      <c r="J179" s="248" t="s">
        <v>1839</v>
      </c>
      <c r="K179" s="248" t="s">
        <v>1593</v>
      </c>
      <c r="L179" s="272"/>
      <c r="M179" s="286" t="s">
        <v>1617</v>
      </c>
      <c r="N179" s="286" t="s">
        <v>1617</v>
      </c>
      <c r="O179" s="286" t="s">
        <v>1588</v>
      </c>
      <c r="P179" s="286" t="s">
        <v>1617</v>
      </c>
      <c r="Q179" s="286" t="s">
        <v>1589</v>
      </c>
      <c r="R179" s="286" t="s">
        <v>1588</v>
      </c>
      <c r="S179" s="286" t="s">
        <v>1589</v>
      </c>
      <c r="T179" s="286" t="s">
        <v>1587</v>
      </c>
      <c r="U179" s="286" t="s">
        <v>1587</v>
      </c>
      <c r="V179" s="286" t="s">
        <v>1588</v>
      </c>
      <c r="W179" s="286" t="s">
        <v>1617</v>
      </c>
      <c r="X179" s="286" t="s">
        <v>1589</v>
      </c>
      <c r="Y179" s="286" t="s">
        <v>1589</v>
      </c>
      <c r="Z179" s="286" t="s">
        <v>1617</v>
      </c>
      <c r="AA179" s="286" t="s">
        <v>1587</v>
      </c>
      <c r="AB179" s="286" t="s">
        <v>1588</v>
      </c>
      <c r="AC179" s="286" t="s">
        <v>1589</v>
      </c>
      <c r="AD179" s="286" t="s">
        <v>1589</v>
      </c>
      <c r="AE179" s="286" t="s">
        <v>1587</v>
      </c>
      <c r="AF179" s="286" t="s">
        <v>1589</v>
      </c>
      <c r="AG179" s="283">
        <v>11</v>
      </c>
      <c r="AH179" s="287" t="s">
        <v>23</v>
      </c>
      <c r="AI179" s="272"/>
      <c r="AJ179" s="288" t="s">
        <v>2032</v>
      </c>
      <c r="AK179" s="288" t="s">
        <v>2032</v>
      </c>
      <c r="AL179" s="288" t="s">
        <v>2032</v>
      </c>
      <c r="AM179" s="288" t="s">
        <v>2032</v>
      </c>
      <c r="AN179" s="288" t="s">
        <v>2032</v>
      </c>
      <c r="AO179" s="288" t="s">
        <v>2032</v>
      </c>
      <c r="AP179" s="288" t="s">
        <v>2032</v>
      </c>
      <c r="AQ179" s="288" t="s">
        <v>2032</v>
      </c>
      <c r="AR179" s="288" t="s">
        <v>2032</v>
      </c>
      <c r="AS179" s="288" t="s">
        <v>2032</v>
      </c>
      <c r="AT179" s="288" t="s">
        <v>2032</v>
      </c>
      <c r="AU179" s="288" t="s">
        <v>2032</v>
      </c>
      <c r="AV179" s="288" t="s">
        <v>2032</v>
      </c>
      <c r="AW179" s="288" t="s">
        <v>2032</v>
      </c>
      <c r="AX179" s="288" t="s">
        <v>2032</v>
      </c>
      <c r="AY179" s="288" t="s">
        <v>2032</v>
      </c>
      <c r="AZ179" s="288" t="s">
        <v>2032</v>
      </c>
      <c r="BA179" s="288" t="s">
        <v>2032</v>
      </c>
      <c r="BB179" s="288" t="s">
        <v>2032</v>
      </c>
      <c r="BC179" s="288" t="s">
        <v>2032</v>
      </c>
      <c r="BD179" s="289">
        <f t="shared" si="0"/>
        <v>0</v>
      </c>
      <c r="BE179" s="287"/>
      <c r="BF179" s="272"/>
    </row>
    <row r="180" spans="1:58" ht="14.25" customHeight="1" x14ac:dyDescent="0.35">
      <c r="A180" s="68">
        <v>178</v>
      </c>
      <c r="B180" s="24" t="s">
        <v>1835</v>
      </c>
      <c r="C180" s="24">
        <v>2024</v>
      </c>
      <c r="D180" s="24" t="s">
        <v>1541</v>
      </c>
      <c r="E180" s="269" t="str">
        <f ca="1">IFERROR(__xludf.DUMMYFUNCTION("ARRAYFORMULA(JOIN("""", ARRAYFORMULA(MID(SPLIT(F180, "" ""), 1, 1))))
&amp;""/""&amp;G180"),"MQ/6 Primaria")</f>
        <v>MQ/6 Primaria</v>
      </c>
      <c r="F180" s="24" t="s">
        <v>1751</v>
      </c>
      <c r="G180" s="248" t="s">
        <v>37</v>
      </c>
      <c r="H180" s="248" t="s">
        <v>1840</v>
      </c>
      <c r="I180" s="248" t="s">
        <v>1595</v>
      </c>
      <c r="J180" s="248" t="s">
        <v>1841</v>
      </c>
      <c r="K180" s="248" t="s">
        <v>1593</v>
      </c>
      <c r="L180" s="272"/>
      <c r="M180" s="286" t="s">
        <v>1588</v>
      </c>
      <c r="N180" s="286" t="s">
        <v>1587</v>
      </c>
      <c r="O180" s="286" t="s">
        <v>1589</v>
      </c>
      <c r="P180" s="286" t="s">
        <v>1617</v>
      </c>
      <c r="Q180" s="286" t="s">
        <v>1588</v>
      </c>
      <c r="R180" s="286" t="s">
        <v>1587</v>
      </c>
      <c r="S180" s="286" t="s">
        <v>1587</v>
      </c>
      <c r="T180" s="286" t="s">
        <v>1617</v>
      </c>
      <c r="U180" s="286" t="s">
        <v>1587</v>
      </c>
      <c r="V180" s="286" t="s">
        <v>1617</v>
      </c>
      <c r="W180" s="286" t="s">
        <v>1589</v>
      </c>
      <c r="X180" s="286" t="s">
        <v>1589</v>
      </c>
      <c r="Y180" s="286" t="s">
        <v>1588</v>
      </c>
      <c r="Z180" s="286" t="s">
        <v>1589</v>
      </c>
      <c r="AA180" s="286" t="s">
        <v>1617</v>
      </c>
      <c r="AB180" s="286" t="s">
        <v>1617</v>
      </c>
      <c r="AC180" s="286" t="s">
        <v>1588</v>
      </c>
      <c r="AD180" s="286" t="s">
        <v>1589</v>
      </c>
      <c r="AE180" s="286" t="s">
        <v>1617</v>
      </c>
      <c r="AF180" s="286" t="s">
        <v>1588</v>
      </c>
      <c r="AG180" s="283">
        <v>13</v>
      </c>
      <c r="AH180" s="287" t="s">
        <v>23</v>
      </c>
      <c r="AI180" s="272"/>
      <c r="AJ180" s="288" t="s">
        <v>2032</v>
      </c>
      <c r="AK180" s="288" t="s">
        <v>2032</v>
      </c>
      <c r="AL180" s="288" t="s">
        <v>2032</v>
      </c>
      <c r="AM180" s="288" t="s">
        <v>2032</v>
      </c>
      <c r="AN180" s="288" t="s">
        <v>2032</v>
      </c>
      <c r="AO180" s="288" t="s">
        <v>2032</v>
      </c>
      <c r="AP180" s="288" t="s">
        <v>2032</v>
      </c>
      <c r="AQ180" s="288" t="s">
        <v>2032</v>
      </c>
      <c r="AR180" s="288" t="s">
        <v>2032</v>
      </c>
      <c r="AS180" s="288" t="s">
        <v>2032</v>
      </c>
      <c r="AT180" s="288" t="s">
        <v>2032</v>
      </c>
      <c r="AU180" s="288" t="s">
        <v>2032</v>
      </c>
      <c r="AV180" s="288" t="s">
        <v>2032</v>
      </c>
      <c r="AW180" s="288" t="s">
        <v>2032</v>
      </c>
      <c r="AX180" s="288" t="s">
        <v>2032</v>
      </c>
      <c r="AY180" s="288" t="s">
        <v>2032</v>
      </c>
      <c r="AZ180" s="288" t="s">
        <v>2032</v>
      </c>
      <c r="BA180" s="288" t="s">
        <v>2032</v>
      </c>
      <c r="BB180" s="288" t="s">
        <v>2032</v>
      </c>
      <c r="BC180" s="288" t="s">
        <v>2032</v>
      </c>
      <c r="BD180" s="289">
        <f t="shared" si="0"/>
        <v>0</v>
      </c>
      <c r="BE180" s="287"/>
      <c r="BF180" s="272"/>
    </row>
    <row r="181" spans="1:58" ht="14.25" customHeight="1" x14ac:dyDescent="0.35">
      <c r="A181" s="68">
        <v>179</v>
      </c>
      <c r="B181" s="24" t="s">
        <v>1835</v>
      </c>
      <c r="C181" s="24">
        <v>2024</v>
      </c>
      <c r="D181" s="24" t="s">
        <v>1541</v>
      </c>
      <c r="E181" s="269" t="str">
        <f ca="1">IFERROR(__xludf.DUMMYFUNCTION("ARRAYFORMULA(JOIN("""", ARRAYFORMULA(MID(SPLIT(F181, "" ""), 1, 1))))
&amp;""/""&amp;G181"),"MQ/6 Primaria")</f>
        <v>MQ/6 Primaria</v>
      </c>
      <c r="F181" s="24" t="s">
        <v>1751</v>
      </c>
      <c r="G181" s="248" t="s">
        <v>37</v>
      </c>
      <c r="H181" s="248" t="s">
        <v>1598</v>
      </c>
      <c r="I181" s="248" t="s">
        <v>1612</v>
      </c>
      <c r="J181" s="248" t="s">
        <v>1842</v>
      </c>
      <c r="K181" s="248" t="s">
        <v>1586</v>
      </c>
      <c r="L181" s="272"/>
      <c r="M181" s="286" t="s">
        <v>1589</v>
      </c>
      <c r="N181" s="286" t="s">
        <v>1617</v>
      </c>
      <c r="O181" s="286" t="s">
        <v>1589</v>
      </c>
      <c r="P181" s="286" t="s">
        <v>1617</v>
      </c>
      <c r="Q181" s="286" t="s">
        <v>1587</v>
      </c>
      <c r="R181" s="286" t="s">
        <v>1587</v>
      </c>
      <c r="S181" s="286" t="s">
        <v>1587</v>
      </c>
      <c r="T181" s="286" t="s">
        <v>1587</v>
      </c>
      <c r="U181" s="286" t="s">
        <v>1617</v>
      </c>
      <c r="V181" s="286" t="s">
        <v>1617</v>
      </c>
      <c r="W181" s="286" t="s">
        <v>1589</v>
      </c>
      <c r="X181" s="286" t="s">
        <v>1617</v>
      </c>
      <c r="Y181" s="286" t="s">
        <v>1588</v>
      </c>
      <c r="Z181" s="286" t="s">
        <v>1589</v>
      </c>
      <c r="AA181" s="286" t="s">
        <v>1587</v>
      </c>
      <c r="AB181" s="286" t="s">
        <v>1617</v>
      </c>
      <c r="AC181" s="286" t="s">
        <v>1588</v>
      </c>
      <c r="AD181" s="286" t="s">
        <v>1587</v>
      </c>
      <c r="AE181" s="286" t="s">
        <v>1617</v>
      </c>
      <c r="AF181" s="286" t="s">
        <v>1588</v>
      </c>
      <c r="AG181" s="283">
        <v>17</v>
      </c>
      <c r="AH181" s="287" t="s">
        <v>25</v>
      </c>
      <c r="AI181" s="272"/>
      <c r="AJ181" s="288" t="s">
        <v>2032</v>
      </c>
      <c r="AK181" s="288" t="s">
        <v>2032</v>
      </c>
      <c r="AL181" s="288" t="s">
        <v>2032</v>
      </c>
      <c r="AM181" s="288" t="s">
        <v>2032</v>
      </c>
      <c r="AN181" s="288" t="s">
        <v>2032</v>
      </c>
      <c r="AO181" s="288" t="s">
        <v>2032</v>
      </c>
      <c r="AP181" s="288" t="s">
        <v>2032</v>
      </c>
      <c r="AQ181" s="288" t="s">
        <v>2032</v>
      </c>
      <c r="AR181" s="288" t="s">
        <v>2032</v>
      </c>
      <c r="AS181" s="288" t="s">
        <v>2032</v>
      </c>
      <c r="AT181" s="288" t="s">
        <v>2032</v>
      </c>
      <c r="AU181" s="288" t="s">
        <v>2032</v>
      </c>
      <c r="AV181" s="288" t="s">
        <v>2032</v>
      </c>
      <c r="AW181" s="288" t="s">
        <v>2032</v>
      </c>
      <c r="AX181" s="288" t="s">
        <v>2032</v>
      </c>
      <c r="AY181" s="288" t="s">
        <v>2032</v>
      </c>
      <c r="AZ181" s="288" t="s">
        <v>2032</v>
      </c>
      <c r="BA181" s="288" t="s">
        <v>2032</v>
      </c>
      <c r="BB181" s="288" t="s">
        <v>2032</v>
      </c>
      <c r="BC181" s="288" t="s">
        <v>2032</v>
      </c>
      <c r="BD181" s="289">
        <f t="shared" si="0"/>
        <v>0</v>
      </c>
      <c r="BE181" s="287"/>
      <c r="BF181" s="272"/>
    </row>
    <row r="182" spans="1:58" ht="14.25" customHeight="1" x14ac:dyDescent="0.35">
      <c r="A182" s="68">
        <v>180</v>
      </c>
      <c r="B182" s="24" t="s">
        <v>1835</v>
      </c>
      <c r="C182" s="24">
        <v>2024</v>
      </c>
      <c r="D182" s="24" t="s">
        <v>1541</v>
      </c>
      <c r="E182" s="269" t="str">
        <f ca="1">IFERROR(__xludf.DUMMYFUNCTION("ARRAYFORMULA(JOIN("""", ARRAYFORMULA(MID(SPLIT(F182, "" ""), 1, 1))))
&amp;""/""&amp;G182"),"MQ/6 Primaria")</f>
        <v>MQ/6 Primaria</v>
      </c>
      <c r="F182" s="24" t="s">
        <v>1751</v>
      </c>
      <c r="G182" s="248" t="s">
        <v>37</v>
      </c>
      <c r="H182" s="248" t="s">
        <v>1606</v>
      </c>
      <c r="I182" s="248" t="s">
        <v>1843</v>
      </c>
      <c r="J182" s="248" t="s">
        <v>1844</v>
      </c>
      <c r="K182" s="248" t="s">
        <v>1586</v>
      </c>
      <c r="L182" s="272"/>
      <c r="M182" s="286" t="s">
        <v>1589</v>
      </c>
      <c r="N182" s="286" t="s">
        <v>1617</v>
      </c>
      <c r="O182" s="286" t="s">
        <v>1589</v>
      </c>
      <c r="P182" s="286" t="s">
        <v>1617</v>
      </c>
      <c r="Q182" s="286" t="s">
        <v>1587</v>
      </c>
      <c r="R182" s="286" t="s">
        <v>1587</v>
      </c>
      <c r="S182" s="286" t="s">
        <v>1587</v>
      </c>
      <c r="T182" s="286" t="s">
        <v>1587</v>
      </c>
      <c r="U182" s="286" t="s">
        <v>1587</v>
      </c>
      <c r="V182" s="286" t="s">
        <v>1617</v>
      </c>
      <c r="W182" s="286" t="s">
        <v>1589</v>
      </c>
      <c r="X182" s="286" t="s">
        <v>1617</v>
      </c>
      <c r="Y182" s="286" t="s">
        <v>1588</v>
      </c>
      <c r="Z182" s="286" t="s">
        <v>1589</v>
      </c>
      <c r="AA182" s="286" t="s">
        <v>1587</v>
      </c>
      <c r="AB182" s="286" t="s">
        <v>1617</v>
      </c>
      <c r="AC182" s="286" t="s">
        <v>1588</v>
      </c>
      <c r="AD182" s="286" t="s">
        <v>1587</v>
      </c>
      <c r="AE182" s="286" t="s">
        <v>1617</v>
      </c>
      <c r="AF182" s="286" t="s">
        <v>1588</v>
      </c>
      <c r="AG182" s="283">
        <v>18</v>
      </c>
      <c r="AH182" s="287" t="s">
        <v>25</v>
      </c>
      <c r="AI182" s="272"/>
      <c r="AJ182" s="288" t="s">
        <v>2032</v>
      </c>
      <c r="AK182" s="288" t="s">
        <v>2032</v>
      </c>
      <c r="AL182" s="288" t="s">
        <v>2032</v>
      </c>
      <c r="AM182" s="288" t="s">
        <v>2032</v>
      </c>
      <c r="AN182" s="288" t="s">
        <v>2032</v>
      </c>
      <c r="AO182" s="288" t="s">
        <v>2032</v>
      </c>
      <c r="AP182" s="288" t="s">
        <v>2032</v>
      </c>
      <c r="AQ182" s="288" t="s">
        <v>2032</v>
      </c>
      <c r="AR182" s="288" t="s">
        <v>2032</v>
      </c>
      <c r="AS182" s="288" t="s">
        <v>2032</v>
      </c>
      <c r="AT182" s="288" t="s">
        <v>2032</v>
      </c>
      <c r="AU182" s="288" t="s">
        <v>2032</v>
      </c>
      <c r="AV182" s="288" t="s">
        <v>2032</v>
      </c>
      <c r="AW182" s="288" t="s">
        <v>2032</v>
      </c>
      <c r="AX182" s="288" t="s">
        <v>2032</v>
      </c>
      <c r="AY182" s="288" t="s">
        <v>2032</v>
      </c>
      <c r="AZ182" s="288" t="s">
        <v>2032</v>
      </c>
      <c r="BA182" s="288" t="s">
        <v>2032</v>
      </c>
      <c r="BB182" s="288" t="s">
        <v>2032</v>
      </c>
      <c r="BC182" s="288" t="s">
        <v>2032</v>
      </c>
      <c r="BD182" s="289">
        <f t="shared" si="0"/>
        <v>0</v>
      </c>
      <c r="BE182" s="287"/>
      <c r="BF182" s="272"/>
    </row>
    <row r="183" spans="1:58" ht="14.25" customHeight="1" x14ac:dyDescent="0.35">
      <c r="A183" s="68">
        <v>181</v>
      </c>
      <c r="B183" s="24" t="s">
        <v>1750</v>
      </c>
      <c r="C183" s="24">
        <v>2024</v>
      </c>
      <c r="D183" s="24" t="s">
        <v>1745</v>
      </c>
      <c r="E183" s="269" t="str">
        <f ca="1">IFERROR(__xludf.DUMMYFUNCTION("ARRAYFORMULA(JOIN("""", ARRAYFORMULA(MID(SPLIT(F183, "" ""), 1, 1))))
&amp;""/""&amp;G183"),"CLQ/4 Primaria")</f>
        <v>CLQ/4 Primaria</v>
      </c>
      <c r="F183" s="24" t="s">
        <v>1755</v>
      </c>
      <c r="G183" s="248" t="s">
        <v>16</v>
      </c>
      <c r="H183" s="248" t="s">
        <v>1710</v>
      </c>
      <c r="I183" s="248" t="s">
        <v>1757</v>
      </c>
      <c r="J183" s="248" t="s">
        <v>1758</v>
      </c>
      <c r="K183" s="248" t="s">
        <v>1586</v>
      </c>
      <c r="L183" s="272"/>
      <c r="M183" s="286" t="s">
        <v>1587</v>
      </c>
      <c r="N183" s="286" t="s">
        <v>1588</v>
      </c>
      <c r="O183" s="286" t="s">
        <v>1588</v>
      </c>
      <c r="P183" s="286" t="s">
        <v>1587</v>
      </c>
      <c r="Q183" s="286" t="s">
        <v>1589</v>
      </c>
      <c r="R183" s="286" t="s">
        <v>1587</v>
      </c>
      <c r="S183" s="286" t="s">
        <v>1588</v>
      </c>
      <c r="T183" s="286" t="s">
        <v>1588</v>
      </c>
      <c r="U183" s="286" t="s">
        <v>1617</v>
      </c>
      <c r="V183" s="286" t="s">
        <v>1589</v>
      </c>
      <c r="W183" s="286" t="s">
        <v>1617</v>
      </c>
      <c r="X183" s="286" t="s">
        <v>1588</v>
      </c>
      <c r="Y183" s="286" t="s">
        <v>1588</v>
      </c>
      <c r="Z183" s="286" t="s">
        <v>1617</v>
      </c>
      <c r="AA183" s="286" t="s">
        <v>1589</v>
      </c>
      <c r="AB183" s="286" t="s">
        <v>1589</v>
      </c>
      <c r="AC183" s="286" t="s">
        <v>1589</v>
      </c>
      <c r="AD183" s="286" t="s">
        <v>1617</v>
      </c>
      <c r="AE183" s="286" t="s">
        <v>1589</v>
      </c>
      <c r="AF183" s="286" t="s">
        <v>1588</v>
      </c>
      <c r="AG183" s="283">
        <v>13</v>
      </c>
      <c r="AH183" s="287" t="s">
        <v>23</v>
      </c>
      <c r="AI183" s="272"/>
      <c r="AJ183" s="288" t="s">
        <v>2032</v>
      </c>
      <c r="AK183" s="288" t="s">
        <v>2032</v>
      </c>
      <c r="AL183" s="288" t="s">
        <v>2032</v>
      </c>
      <c r="AM183" s="288" t="s">
        <v>2032</v>
      </c>
      <c r="AN183" s="288" t="s">
        <v>2032</v>
      </c>
      <c r="AO183" s="288" t="s">
        <v>2032</v>
      </c>
      <c r="AP183" s="288" t="s">
        <v>2032</v>
      </c>
      <c r="AQ183" s="288" t="s">
        <v>2032</v>
      </c>
      <c r="AR183" s="288" t="s">
        <v>2032</v>
      </c>
      <c r="AS183" s="288" t="s">
        <v>2032</v>
      </c>
      <c r="AT183" s="288" t="s">
        <v>2032</v>
      </c>
      <c r="AU183" s="288" t="s">
        <v>2032</v>
      </c>
      <c r="AV183" s="288" t="s">
        <v>2032</v>
      </c>
      <c r="AW183" s="288" t="s">
        <v>2032</v>
      </c>
      <c r="AX183" s="288" t="s">
        <v>2032</v>
      </c>
      <c r="AY183" s="288" t="s">
        <v>2032</v>
      </c>
      <c r="AZ183" s="288" t="s">
        <v>2032</v>
      </c>
      <c r="BA183" s="288" t="s">
        <v>2032</v>
      </c>
      <c r="BB183" s="288" t="s">
        <v>2032</v>
      </c>
      <c r="BC183" s="288" t="s">
        <v>2032</v>
      </c>
      <c r="BD183" s="289">
        <f t="shared" si="0"/>
        <v>0</v>
      </c>
      <c r="BE183" s="287"/>
      <c r="BF183" s="272"/>
    </row>
    <row r="184" spans="1:58" ht="14.25" customHeight="1" x14ac:dyDescent="0.35">
      <c r="A184" s="68">
        <v>182</v>
      </c>
      <c r="B184" s="24" t="s">
        <v>1750</v>
      </c>
      <c r="C184" s="24">
        <v>2024</v>
      </c>
      <c r="D184" s="24" t="s">
        <v>1745</v>
      </c>
      <c r="E184" s="269" t="str">
        <f ca="1">IFERROR(__xludf.DUMMYFUNCTION("ARRAYFORMULA(JOIN("""", ARRAYFORMULA(MID(SPLIT(F184, "" ""), 1, 1))))
&amp;""/""&amp;G184"),"CLQ/4 Primaria")</f>
        <v>CLQ/4 Primaria</v>
      </c>
      <c r="F184" s="24" t="s">
        <v>1755</v>
      </c>
      <c r="G184" s="248" t="s">
        <v>16</v>
      </c>
      <c r="H184" s="248" t="s">
        <v>1647</v>
      </c>
      <c r="I184" s="248" t="s">
        <v>1759</v>
      </c>
      <c r="J184" s="248" t="s">
        <v>1760</v>
      </c>
      <c r="K184" s="248" t="s">
        <v>1593</v>
      </c>
      <c r="L184" s="272"/>
      <c r="M184" s="286" t="s">
        <v>1589</v>
      </c>
      <c r="N184" s="286" t="s">
        <v>1617</v>
      </c>
      <c r="O184" s="286" t="s">
        <v>1588</v>
      </c>
      <c r="P184" s="286" t="s">
        <v>1587</v>
      </c>
      <c r="Q184" s="286" t="s">
        <v>1589</v>
      </c>
      <c r="R184" s="286" t="s">
        <v>1589</v>
      </c>
      <c r="S184" s="286" t="s">
        <v>1589</v>
      </c>
      <c r="T184" s="286" t="s">
        <v>1588</v>
      </c>
      <c r="U184" s="286" t="s">
        <v>1617</v>
      </c>
      <c r="V184" s="286" t="s">
        <v>1587</v>
      </c>
      <c r="W184" s="286" t="s">
        <v>1589</v>
      </c>
      <c r="X184" s="286" t="s">
        <v>1587</v>
      </c>
      <c r="Y184" s="286" t="s">
        <v>1589</v>
      </c>
      <c r="Z184" s="286" t="s">
        <v>1587</v>
      </c>
      <c r="AA184" s="286" t="s">
        <v>1588</v>
      </c>
      <c r="AB184" s="286" t="s">
        <v>1587</v>
      </c>
      <c r="AC184" s="286" t="s">
        <v>1587</v>
      </c>
      <c r="AD184" s="286" t="s">
        <v>1588</v>
      </c>
      <c r="AE184" s="286" t="s">
        <v>1587</v>
      </c>
      <c r="AF184" s="286" t="s">
        <v>1589</v>
      </c>
      <c r="AG184" s="283">
        <v>5</v>
      </c>
      <c r="AH184" s="287" t="s">
        <v>19</v>
      </c>
      <c r="AI184" s="272"/>
      <c r="AJ184" s="288" t="s">
        <v>2032</v>
      </c>
      <c r="AK184" s="288" t="s">
        <v>2032</v>
      </c>
      <c r="AL184" s="288" t="s">
        <v>2032</v>
      </c>
      <c r="AM184" s="288" t="s">
        <v>2032</v>
      </c>
      <c r="AN184" s="288" t="s">
        <v>2032</v>
      </c>
      <c r="AO184" s="288" t="s">
        <v>2032</v>
      </c>
      <c r="AP184" s="288" t="s">
        <v>2032</v>
      </c>
      <c r="AQ184" s="288" t="s">
        <v>2032</v>
      </c>
      <c r="AR184" s="288" t="s">
        <v>2032</v>
      </c>
      <c r="AS184" s="288" t="s">
        <v>2032</v>
      </c>
      <c r="AT184" s="288" t="s">
        <v>2032</v>
      </c>
      <c r="AU184" s="288" t="s">
        <v>2032</v>
      </c>
      <c r="AV184" s="288" t="s">
        <v>2032</v>
      </c>
      <c r="AW184" s="288" t="s">
        <v>2032</v>
      </c>
      <c r="AX184" s="288" t="s">
        <v>2032</v>
      </c>
      <c r="AY184" s="288" t="s">
        <v>2032</v>
      </c>
      <c r="AZ184" s="288" t="s">
        <v>2032</v>
      </c>
      <c r="BA184" s="288" t="s">
        <v>2032</v>
      </c>
      <c r="BB184" s="288" t="s">
        <v>2032</v>
      </c>
      <c r="BC184" s="288" t="s">
        <v>2032</v>
      </c>
      <c r="BD184" s="289">
        <f t="shared" si="0"/>
        <v>0</v>
      </c>
      <c r="BE184" s="287"/>
      <c r="BF184" s="272"/>
    </row>
    <row r="185" spans="1:58" ht="14.25" customHeight="1" x14ac:dyDescent="0.35">
      <c r="A185" s="68">
        <v>183</v>
      </c>
      <c r="B185" s="24" t="s">
        <v>1750</v>
      </c>
      <c r="C185" s="24">
        <v>2024</v>
      </c>
      <c r="D185" s="24" t="s">
        <v>1745</v>
      </c>
      <c r="E185" s="269" t="str">
        <f ca="1">IFERROR(__xludf.DUMMYFUNCTION("ARRAYFORMULA(JOIN("""", ARRAYFORMULA(MID(SPLIT(F185, "" ""), 1, 1))))
&amp;""/""&amp;G185"),"CLQ/6 Primaria")</f>
        <v>CLQ/6 Primaria</v>
      </c>
      <c r="F185" s="24" t="s">
        <v>1755</v>
      </c>
      <c r="G185" s="248" t="s">
        <v>37</v>
      </c>
      <c r="H185" s="248" t="s">
        <v>1761</v>
      </c>
      <c r="I185" s="248" t="s">
        <v>1595</v>
      </c>
      <c r="J185" s="248" t="s">
        <v>1762</v>
      </c>
      <c r="K185" s="248" t="s">
        <v>1586</v>
      </c>
      <c r="L185" s="272"/>
      <c r="M185" s="286" t="s">
        <v>1589</v>
      </c>
      <c r="N185" s="286" t="s">
        <v>1587</v>
      </c>
      <c r="O185" s="286" t="s">
        <v>1617</v>
      </c>
      <c r="P185" s="286" t="s">
        <v>1587</v>
      </c>
      <c r="Q185" s="286" t="s">
        <v>1617</v>
      </c>
      <c r="R185" s="286" t="s">
        <v>1617</v>
      </c>
      <c r="S185" s="286" t="s">
        <v>1589</v>
      </c>
      <c r="T185" s="286" t="s">
        <v>1589</v>
      </c>
      <c r="U185" s="286" t="s">
        <v>1617</v>
      </c>
      <c r="V185" s="286" t="s">
        <v>1589</v>
      </c>
      <c r="W185" s="286" t="s">
        <v>1587</v>
      </c>
      <c r="X185" s="286" t="s">
        <v>1587</v>
      </c>
      <c r="Y185" s="286" t="s">
        <v>1617</v>
      </c>
      <c r="Z185" s="286" t="s">
        <v>1617</v>
      </c>
      <c r="AA185" s="286" t="s">
        <v>1588</v>
      </c>
      <c r="AB185" s="286" t="s">
        <v>1617</v>
      </c>
      <c r="AC185" s="286" t="s">
        <v>1587</v>
      </c>
      <c r="AD185" s="286" t="s">
        <v>1588</v>
      </c>
      <c r="AE185" s="286" t="s">
        <v>1589</v>
      </c>
      <c r="AF185" s="286" t="s">
        <v>1617</v>
      </c>
      <c r="AG185" s="283">
        <v>15</v>
      </c>
      <c r="AH185" s="287" t="s">
        <v>23</v>
      </c>
      <c r="AI185" s="272"/>
      <c r="AJ185" s="288" t="s">
        <v>2032</v>
      </c>
      <c r="AK185" s="288" t="s">
        <v>2032</v>
      </c>
      <c r="AL185" s="288" t="s">
        <v>2032</v>
      </c>
      <c r="AM185" s="288" t="s">
        <v>2032</v>
      </c>
      <c r="AN185" s="288" t="s">
        <v>2032</v>
      </c>
      <c r="AO185" s="288" t="s">
        <v>2032</v>
      </c>
      <c r="AP185" s="288" t="s">
        <v>2032</v>
      </c>
      <c r="AQ185" s="288" t="s">
        <v>2032</v>
      </c>
      <c r="AR185" s="288" t="s">
        <v>2032</v>
      </c>
      <c r="AS185" s="288" t="s">
        <v>2032</v>
      </c>
      <c r="AT185" s="288" t="s">
        <v>2032</v>
      </c>
      <c r="AU185" s="288" t="s">
        <v>2032</v>
      </c>
      <c r="AV185" s="288" t="s">
        <v>2032</v>
      </c>
      <c r="AW185" s="288" t="s">
        <v>2032</v>
      </c>
      <c r="AX185" s="288" t="s">
        <v>2032</v>
      </c>
      <c r="AY185" s="288" t="s">
        <v>2032</v>
      </c>
      <c r="AZ185" s="288" t="s">
        <v>2032</v>
      </c>
      <c r="BA185" s="288" t="s">
        <v>2032</v>
      </c>
      <c r="BB185" s="288" t="s">
        <v>2032</v>
      </c>
      <c r="BC185" s="288" t="s">
        <v>2032</v>
      </c>
      <c r="BD185" s="289">
        <f t="shared" si="0"/>
        <v>0</v>
      </c>
      <c r="BE185" s="287"/>
      <c r="BF185" s="272"/>
    </row>
    <row r="186" spans="1:58" ht="14.25" customHeight="1" x14ac:dyDescent="0.35">
      <c r="A186" s="68">
        <v>184</v>
      </c>
      <c r="B186" s="24" t="s">
        <v>1750</v>
      </c>
      <c r="C186" s="24">
        <v>2024</v>
      </c>
      <c r="D186" s="24" t="s">
        <v>1745</v>
      </c>
      <c r="E186" s="269" t="str">
        <f ca="1">IFERROR(__xludf.DUMMYFUNCTION("ARRAYFORMULA(JOIN("""", ARRAYFORMULA(MID(SPLIT(F186, "" ""), 1, 1))))
&amp;""/""&amp;G186"),"CLQ/6 Primaria")</f>
        <v>CLQ/6 Primaria</v>
      </c>
      <c r="F186" s="24" t="s">
        <v>1755</v>
      </c>
      <c r="G186" s="248" t="s">
        <v>37</v>
      </c>
      <c r="H186" s="248" t="s">
        <v>1710</v>
      </c>
      <c r="I186" s="248" t="s">
        <v>1757</v>
      </c>
      <c r="J186" s="248" t="s">
        <v>1763</v>
      </c>
      <c r="K186" s="248" t="s">
        <v>1593</v>
      </c>
      <c r="L186" s="272"/>
      <c r="M186" s="286" t="s">
        <v>1588</v>
      </c>
      <c r="N186" s="286" t="s">
        <v>1589</v>
      </c>
      <c r="O186" s="286" t="s">
        <v>1589</v>
      </c>
      <c r="P186" s="286" t="s">
        <v>1587</v>
      </c>
      <c r="Q186" s="286" t="s">
        <v>1588</v>
      </c>
      <c r="R186" s="286" t="s">
        <v>1617</v>
      </c>
      <c r="S186" s="286" t="s">
        <v>1617</v>
      </c>
      <c r="T186" s="286" t="s">
        <v>1589</v>
      </c>
      <c r="U186" s="286" t="s">
        <v>1588</v>
      </c>
      <c r="V186" s="286" t="s">
        <v>1589</v>
      </c>
      <c r="W186" s="286" t="s">
        <v>1617</v>
      </c>
      <c r="X186" s="286" t="s">
        <v>1589</v>
      </c>
      <c r="Y186" s="286" t="s">
        <v>1617</v>
      </c>
      <c r="Z186" s="286" t="s">
        <v>1617</v>
      </c>
      <c r="AA186" s="286" t="s">
        <v>1588</v>
      </c>
      <c r="AB186" s="286" t="s">
        <v>1617</v>
      </c>
      <c r="AC186" s="286" t="s">
        <v>1587</v>
      </c>
      <c r="AD186" s="286" t="s">
        <v>1587</v>
      </c>
      <c r="AE186" s="286" t="s">
        <v>1617</v>
      </c>
      <c r="AF186" s="286" t="s">
        <v>1617</v>
      </c>
      <c r="AG186" s="283">
        <v>10</v>
      </c>
      <c r="AH186" s="287" t="s">
        <v>19</v>
      </c>
      <c r="AI186" s="272"/>
      <c r="AJ186" s="288" t="s">
        <v>2032</v>
      </c>
      <c r="AK186" s="288" t="s">
        <v>2032</v>
      </c>
      <c r="AL186" s="288" t="s">
        <v>2032</v>
      </c>
      <c r="AM186" s="288" t="s">
        <v>2032</v>
      </c>
      <c r="AN186" s="288" t="s">
        <v>2032</v>
      </c>
      <c r="AO186" s="288" t="s">
        <v>2032</v>
      </c>
      <c r="AP186" s="288" t="s">
        <v>2032</v>
      </c>
      <c r="AQ186" s="288" t="s">
        <v>2032</v>
      </c>
      <c r="AR186" s="288" t="s">
        <v>2032</v>
      </c>
      <c r="AS186" s="288" t="s">
        <v>2032</v>
      </c>
      <c r="AT186" s="288" t="s">
        <v>2032</v>
      </c>
      <c r="AU186" s="288" t="s">
        <v>2032</v>
      </c>
      <c r="AV186" s="288" t="s">
        <v>2032</v>
      </c>
      <c r="AW186" s="288" t="s">
        <v>2032</v>
      </c>
      <c r="AX186" s="288" t="s">
        <v>2032</v>
      </c>
      <c r="AY186" s="288" t="s">
        <v>2032</v>
      </c>
      <c r="AZ186" s="288" t="s">
        <v>2032</v>
      </c>
      <c r="BA186" s="288" t="s">
        <v>2032</v>
      </c>
      <c r="BB186" s="288" t="s">
        <v>2032</v>
      </c>
      <c r="BC186" s="288" t="s">
        <v>2032</v>
      </c>
      <c r="BD186" s="289">
        <f t="shared" si="0"/>
        <v>0</v>
      </c>
      <c r="BE186" s="287"/>
      <c r="BF186" s="272"/>
    </row>
    <row r="187" spans="1:58" ht="14.25" customHeight="1" x14ac:dyDescent="0.35">
      <c r="A187" s="68">
        <v>185</v>
      </c>
      <c r="B187" s="24" t="s">
        <v>1750</v>
      </c>
      <c r="C187" s="24">
        <v>2024</v>
      </c>
      <c r="D187" s="24" t="s">
        <v>1745</v>
      </c>
      <c r="E187" s="269" t="str">
        <f ca="1">IFERROR(__xludf.DUMMYFUNCTION("ARRAYFORMULA(JOIN("""", ARRAYFORMULA(MID(SPLIT(F187, "" ""), 1, 1))))
&amp;""/""&amp;G187"),"CLQ/6 Primaria")</f>
        <v>CLQ/6 Primaria</v>
      </c>
      <c r="F187" s="24" t="s">
        <v>1755</v>
      </c>
      <c r="G187" s="248" t="s">
        <v>37</v>
      </c>
      <c r="H187" s="248" t="s">
        <v>1612</v>
      </c>
      <c r="I187" s="248" t="s">
        <v>1672</v>
      </c>
      <c r="J187" s="248" t="s">
        <v>1764</v>
      </c>
      <c r="K187" s="248" t="s">
        <v>1593</v>
      </c>
      <c r="L187" s="272"/>
      <c r="M187" s="286" t="s">
        <v>1589</v>
      </c>
      <c r="N187" s="286" t="s">
        <v>1589</v>
      </c>
      <c r="O187" s="286" t="s">
        <v>1617</v>
      </c>
      <c r="P187" s="286" t="s">
        <v>1587</v>
      </c>
      <c r="Q187" s="286" t="s">
        <v>1588</v>
      </c>
      <c r="R187" s="286" t="s">
        <v>1617</v>
      </c>
      <c r="S187" s="286" t="s">
        <v>1589</v>
      </c>
      <c r="T187" s="286" t="s">
        <v>1588</v>
      </c>
      <c r="U187" s="286" t="s">
        <v>1617</v>
      </c>
      <c r="V187" s="286" t="s">
        <v>1588</v>
      </c>
      <c r="W187" s="286" t="s">
        <v>1587</v>
      </c>
      <c r="X187" s="286" t="s">
        <v>1587</v>
      </c>
      <c r="Y187" s="286" t="s">
        <v>1617</v>
      </c>
      <c r="Z187" s="286" t="s">
        <v>1589</v>
      </c>
      <c r="AA187" s="286" t="s">
        <v>1588</v>
      </c>
      <c r="AB187" s="286" t="s">
        <v>1589</v>
      </c>
      <c r="AC187" s="286" t="s">
        <v>1587</v>
      </c>
      <c r="AD187" s="286" t="s">
        <v>1588</v>
      </c>
      <c r="AE187" s="286" t="s">
        <v>1588</v>
      </c>
      <c r="AF187" s="286" t="s">
        <v>1588</v>
      </c>
      <c r="AG187" s="283">
        <v>12</v>
      </c>
      <c r="AH187" s="287" t="s">
        <v>23</v>
      </c>
      <c r="AI187" s="272"/>
      <c r="AJ187" s="288" t="s">
        <v>2032</v>
      </c>
      <c r="AK187" s="288" t="s">
        <v>2032</v>
      </c>
      <c r="AL187" s="288" t="s">
        <v>2032</v>
      </c>
      <c r="AM187" s="288" t="s">
        <v>2032</v>
      </c>
      <c r="AN187" s="288" t="s">
        <v>2032</v>
      </c>
      <c r="AO187" s="288" t="s">
        <v>2032</v>
      </c>
      <c r="AP187" s="288" t="s">
        <v>2032</v>
      </c>
      <c r="AQ187" s="288" t="s">
        <v>2032</v>
      </c>
      <c r="AR187" s="288" t="s">
        <v>2032</v>
      </c>
      <c r="AS187" s="288" t="s">
        <v>2032</v>
      </c>
      <c r="AT187" s="288" t="s">
        <v>2032</v>
      </c>
      <c r="AU187" s="288" t="s">
        <v>2032</v>
      </c>
      <c r="AV187" s="288" t="s">
        <v>2032</v>
      </c>
      <c r="AW187" s="288" t="s">
        <v>2032</v>
      </c>
      <c r="AX187" s="288" t="s">
        <v>2032</v>
      </c>
      <c r="AY187" s="288" t="s">
        <v>2032</v>
      </c>
      <c r="AZ187" s="288" t="s">
        <v>2032</v>
      </c>
      <c r="BA187" s="288" t="s">
        <v>2032</v>
      </c>
      <c r="BB187" s="288" t="s">
        <v>2032</v>
      </c>
      <c r="BC187" s="288" t="s">
        <v>2032</v>
      </c>
      <c r="BD187" s="289">
        <f t="shared" si="0"/>
        <v>0</v>
      </c>
      <c r="BE187" s="287"/>
      <c r="BF187" s="272"/>
    </row>
    <row r="188" spans="1:58" ht="14.25" customHeight="1" x14ac:dyDescent="0.35">
      <c r="A188" s="68">
        <v>186</v>
      </c>
      <c r="B188" s="24" t="s">
        <v>203</v>
      </c>
      <c r="C188" s="24">
        <v>2024</v>
      </c>
      <c r="D188" s="24" t="s">
        <v>1745</v>
      </c>
      <c r="E188" s="269" t="str">
        <f ca="1">IFERROR(__xludf.DUMMYFUNCTION("ARRAYFORMULA(JOIN("""", ARRAYFORMULA(MID(SPLIT(F188, "" ""), 1, 1))))
&amp;""/""&amp;G188"),"CLQ/2 Primaria")</f>
        <v>CLQ/2 Primaria</v>
      </c>
      <c r="F188" s="24" t="s">
        <v>1755</v>
      </c>
      <c r="G188" s="248" t="s">
        <v>45</v>
      </c>
      <c r="H188" s="248" t="s">
        <v>1631</v>
      </c>
      <c r="I188" s="248" t="s">
        <v>1765</v>
      </c>
      <c r="J188" s="248" t="s">
        <v>1766</v>
      </c>
      <c r="K188" s="248" t="s">
        <v>1593</v>
      </c>
      <c r="L188" s="272"/>
      <c r="M188" s="286" t="s">
        <v>1753</v>
      </c>
      <c r="N188" s="286" t="s">
        <v>1753</v>
      </c>
      <c r="O188" s="286" t="s">
        <v>1588</v>
      </c>
      <c r="P188" s="286" t="s">
        <v>1753</v>
      </c>
      <c r="Q188" s="286" t="s">
        <v>1753</v>
      </c>
      <c r="R188" s="286" t="s">
        <v>1753</v>
      </c>
      <c r="S188" s="286" t="s">
        <v>1753</v>
      </c>
      <c r="T188" s="286" t="s">
        <v>1753</v>
      </c>
      <c r="U188" s="286" t="s">
        <v>1753</v>
      </c>
      <c r="V188" s="286" t="s">
        <v>1753</v>
      </c>
      <c r="W188" s="286" t="s">
        <v>1753</v>
      </c>
      <c r="X188" s="286" t="s">
        <v>1754</v>
      </c>
      <c r="Y188" s="286" t="s">
        <v>1753</v>
      </c>
      <c r="Z188" s="286" t="s">
        <v>1753</v>
      </c>
      <c r="AA188" s="286" t="s">
        <v>1753</v>
      </c>
      <c r="AB188" s="286" t="s">
        <v>1753</v>
      </c>
      <c r="AC188" s="286" t="s">
        <v>1753</v>
      </c>
      <c r="AD188" s="286" t="s">
        <v>1753</v>
      </c>
      <c r="AE188" s="286" t="s">
        <v>1753</v>
      </c>
      <c r="AF188" s="286" t="s">
        <v>1753</v>
      </c>
      <c r="AG188" s="283">
        <v>7</v>
      </c>
      <c r="AH188" s="287" t="s">
        <v>19</v>
      </c>
      <c r="AI188" s="272"/>
      <c r="AJ188" s="288" t="s">
        <v>2032</v>
      </c>
      <c r="AK188" s="288" t="s">
        <v>2032</v>
      </c>
      <c r="AL188" s="288" t="s">
        <v>2032</v>
      </c>
      <c r="AM188" s="288" t="s">
        <v>2032</v>
      </c>
      <c r="AN188" s="288" t="s">
        <v>2032</v>
      </c>
      <c r="AO188" s="288" t="s">
        <v>2032</v>
      </c>
      <c r="AP188" s="288" t="s">
        <v>2032</v>
      </c>
      <c r="AQ188" s="288" t="s">
        <v>2032</v>
      </c>
      <c r="AR188" s="288" t="s">
        <v>2032</v>
      </c>
      <c r="AS188" s="288" t="s">
        <v>2032</v>
      </c>
      <c r="AT188" s="288" t="s">
        <v>2032</v>
      </c>
      <c r="AU188" s="288" t="s">
        <v>2032</v>
      </c>
      <c r="AV188" s="288" t="s">
        <v>2032</v>
      </c>
      <c r="AW188" s="288" t="s">
        <v>2032</v>
      </c>
      <c r="AX188" s="288" t="s">
        <v>2032</v>
      </c>
      <c r="AY188" s="288" t="s">
        <v>2032</v>
      </c>
      <c r="AZ188" s="288" t="s">
        <v>2032</v>
      </c>
      <c r="BA188" s="288" t="s">
        <v>2032</v>
      </c>
      <c r="BB188" s="288" t="s">
        <v>2032</v>
      </c>
      <c r="BC188" s="288" t="s">
        <v>2032</v>
      </c>
      <c r="BD188" s="289">
        <f t="shared" si="0"/>
        <v>0</v>
      </c>
      <c r="BE188" s="287"/>
      <c r="BF188" s="272"/>
    </row>
    <row r="189" spans="1:58" ht="14.25" customHeight="1" x14ac:dyDescent="0.35">
      <c r="A189" s="68">
        <v>187</v>
      </c>
      <c r="B189" s="24" t="s">
        <v>203</v>
      </c>
      <c r="C189" s="24">
        <v>2024</v>
      </c>
      <c r="D189" s="24" t="s">
        <v>1745</v>
      </c>
      <c r="E189" s="269" t="str">
        <f ca="1">IFERROR(__xludf.DUMMYFUNCTION("ARRAYFORMULA(JOIN("""", ARRAYFORMULA(MID(SPLIT(F189, "" ""), 1, 1))))
&amp;""/""&amp;G189"),"CLQ/2 Primaria")</f>
        <v>CLQ/2 Primaria</v>
      </c>
      <c r="F189" s="24" t="s">
        <v>1755</v>
      </c>
      <c r="G189" s="248" t="s">
        <v>45</v>
      </c>
      <c r="H189" s="248" t="s">
        <v>1672</v>
      </c>
      <c r="I189" s="248" t="s">
        <v>1718</v>
      </c>
      <c r="J189" s="248" t="s">
        <v>1767</v>
      </c>
      <c r="K189" s="248" t="s">
        <v>1593</v>
      </c>
      <c r="L189" s="272"/>
      <c r="M189" s="286" t="s">
        <v>1753</v>
      </c>
      <c r="N189" s="286" t="s">
        <v>1753</v>
      </c>
      <c r="O189" s="286" t="s">
        <v>1754</v>
      </c>
      <c r="P189" s="286" t="s">
        <v>1753</v>
      </c>
      <c r="Q189" s="286" t="s">
        <v>1588</v>
      </c>
      <c r="R189" s="286" t="s">
        <v>1753</v>
      </c>
      <c r="S189" s="286" t="s">
        <v>1754</v>
      </c>
      <c r="T189" s="286" t="s">
        <v>1588</v>
      </c>
      <c r="U189" s="286" t="s">
        <v>1753</v>
      </c>
      <c r="V189" s="286" t="s">
        <v>1753</v>
      </c>
      <c r="W189" s="286" t="s">
        <v>1588</v>
      </c>
      <c r="X189" s="286" t="s">
        <v>1588</v>
      </c>
      <c r="Y189" s="286" t="s">
        <v>1754</v>
      </c>
      <c r="Z189" s="286" t="s">
        <v>1753</v>
      </c>
      <c r="AA189" s="286" t="s">
        <v>1753</v>
      </c>
      <c r="AB189" s="286" t="s">
        <v>1588</v>
      </c>
      <c r="AC189" s="286" t="s">
        <v>1753</v>
      </c>
      <c r="AD189" s="286" t="s">
        <v>1754</v>
      </c>
      <c r="AE189" s="286" t="s">
        <v>1753</v>
      </c>
      <c r="AF189" s="286" t="s">
        <v>1753</v>
      </c>
      <c r="AG189" s="283">
        <v>10</v>
      </c>
      <c r="AH189" s="287" t="s">
        <v>19</v>
      </c>
      <c r="AI189" s="272"/>
      <c r="AJ189" s="288" t="s">
        <v>2032</v>
      </c>
      <c r="AK189" s="288" t="s">
        <v>2032</v>
      </c>
      <c r="AL189" s="288" t="s">
        <v>2032</v>
      </c>
      <c r="AM189" s="288" t="s">
        <v>2032</v>
      </c>
      <c r="AN189" s="288" t="s">
        <v>2032</v>
      </c>
      <c r="AO189" s="288" t="s">
        <v>2032</v>
      </c>
      <c r="AP189" s="288" t="s">
        <v>2032</v>
      </c>
      <c r="AQ189" s="288" t="s">
        <v>2032</v>
      </c>
      <c r="AR189" s="288" t="s">
        <v>2032</v>
      </c>
      <c r="AS189" s="288" t="s">
        <v>2032</v>
      </c>
      <c r="AT189" s="288" t="s">
        <v>2032</v>
      </c>
      <c r="AU189" s="288" t="s">
        <v>2032</v>
      </c>
      <c r="AV189" s="288" t="s">
        <v>2032</v>
      </c>
      <c r="AW189" s="288" t="s">
        <v>2032</v>
      </c>
      <c r="AX189" s="288" t="s">
        <v>2032</v>
      </c>
      <c r="AY189" s="288" t="s">
        <v>2032</v>
      </c>
      <c r="AZ189" s="288" t="s">
        <v>2032</v>
      </c>
      <c r="BA189" s="288" t="s">
        <v>2032</v>
      </c>
      <c r="BB189" s="288" t="s">
        <v>2032</v>
      </c>
      <c r="BC189" s="288" t="s">
        <v>2032</v>
      </c>
      <c r="BD189" s="289">
        <f t="shared" si="0"/>
        <v>0</v>
      </c>
      <c r="BE189" s="287"/>
      <c r="BF189" s="272"/>
    </row>
    <row r="190" spans="1:58" ht="14.25" customHeight="1" x14ac:dyDescent="0.35">
      <c r="A190" s="68">
        <v>188</v>
      </c>
      <c r="B190" s="24" t="s">
        <v>203</v>
      </c>
      <c r="C190" s="24">
        <v>2024</v>
      </c>
      <c r="D190" s="24" t="s">
        <v>1745</v>
      </c>
      <c r="E190" s="269" t="str">
        <f ca="1">IFERROR(__xludf.DUMMYFUNCTION("ARRAYFORMULA(JOIN("""", ARRAYFORMULA(MID(SPLIT(F190, "" ""), 1, 1))))
&amp;""/""&amp;G190"),"CLQ/2 Primaria")</f>
        <v>CLQ/2 Primaria</v>
      </c>
      <c r="F190" s="24" t="s">
        <v>1755</v>
      </c>
      <c r="G190" s="248" t="s">
        <v>45</v>
      </c>
      <c r="H190" s="248" t="s">
        <v>1768</v>
      </c>
      <c r="I190" s="248" t="s">
        <v>1612</v>
      </c>
      <c r="J190" s="248" t="s">
        <v>1769</v>
      </c>
      <c r="K190" s="248" t="s">
        <v>1586</v>
      </c>
      <c r="L190" s="272"/>
      <c r="M190" s="286" t="s">
        <v>1753</v>
      </c>
      <c r="N190" s="286" t="s">
        <v>1753</v>
      </c>
      <c r="O190" s="286" t="s">
        <v>1754</v>
      </c>
      <c r="P190" s="286" t="s">
        <v>1753</v>
      </c>
      <c r="Q190" s="286" t="s">
        <v>1588</v>
      </c>
      <c r="R190" s="286" t="s">
        <v>1753</v>
      </c>
      <c r="S190" s="286" t="s">
        <v>1754</v>
      </c>
      <c r="T190" s="286" t="s">
        <v>1588</v>
      </c>
      <c r="U190" s="286" t="s">
        <v>1753</v>
      </c>
      <c r="V190" s="286" t="s">
        <v>1753</v>
      </c>
      <c r="W190" s="286" t="s">
        <v>1753</v>
      </c>
      <c r="X190" s="286" t="s">
        <v>1754</v>
      </c>
      <c r="Y190" s="286" t="s">
        <v>1754</v>
      </c>
      <c r="Z190" s="286" t="s">
        <v>1753</v>
      </c>
      <c r="AA190" s="286" t="s">
        <v>1588</v>
      </c>
      <c r="AB190" s="286" t="s">
        <v>1753</v>
      </c>
      <c r="AC190" s="286" t="s">
        <v>1588</v>
      </c>
      <c r="AD190" s="286" t="s">
        <v>1754</v>
      </c>
      <c r="AE190" s="286" t="s">
        <v>1753</v>
      </c>
      <c r="AF190" s="286" t="s">
        <v>1753</v>
      </c>
      <c r="AG190" s="283">
        <v>9</v>
      </c>
      <c r="AH190" s="287" t="s">
        <v>19</v>
      </c>
      <c r="AI190" s="272"/>
      <c r="AJ190" s="288" t="s">
        <v>2032</v>
      </c>
      <c r="AK190" s="288" t="s">
        <v>2032</v>
      </c>
      <c r="AL190" s="288" t="s">
        <v>2032</v>
      </c>
      <c r="AM190" s="288" t="s">
        <v>2032</v>
      </c>
      <c r="AN190" s="288" t="s">
        <v>2032</v>
      </c>
      <c r="AO190" s="288" t="s">
        <v>2032</v>
      </c>
      <c r="AP190" s="288" t="s">
        <v>2032</v>
      </c>
      <c r="AQ190" s="288" t="s">
        <v>2032</v>
      </c>
      <c r="AR190" s="288" t="s">
        <v>2032</v>
      </c>
      <c r="AS190" s="288" t="s">
        <v>2032</v>
      </c>
      <c r="AT190" s="288" t="s">
        <v>2032</v>
      </c>
      <c r="AU190" s="288" t="s">
        <v>2032</v>
      </c>
      <c r="AV190" s="288" t="s">
        <v>2032</v>
      </c>
      <c r="AW190" s="288" t="s">
        <v>2032</v>
      </c>
      <c r="AX190" s="288" t="s">
        <v>2032</v>
      </c>
      <c r="AY190" s="288" t="s">
        <v>2032</v>
      </c>
      <c r="AZ190" s="288" t="s">
        <v>2032</v>
      </c>
      <c r="BA190" s="288" t="s">
        <v>2032</v>
      </c>
      <c r="BB190" s="288" t="s">
        <v>2032</v>
      </c>
      <c r="BC190" s="288" t="s">
        <v>2032</v>
      </c>
      <c r="BD190" s="289">
        <f t="shared" si="0"/>
        <v>0</v>
      </c>
      <c r="BE190" s="287"/>
      <c r="BF190" s="272"/>
    </row>
    <row r="191" spans="1:58" ht="14.25" customHeight="1" x14ac:dyDescent="0.35">
      <c r="A191" s="68">
        <v>189</v>
      </c>
      <c r="B191" s="24" t="s">
        <v>203</v>
      </c>
      <c r="C191" s="24">
        <v>2024</v>
      </c>
      <c r="D191" s="24" t="s">
        <v>1745</v>
      </c>
      <c r="E191" s="269" t="str">
        <f ca="1">IFERROR(__xludf.DUMMYFUNCTION("ARRAYFORMULA(JOIN("""", ARRAYFORMULA(MID(SPLIT(F191, "" ""), 1, 1))))
&amp;""/""&amp;G191"),"CLQ/4 Primaria")</f>
        <v>CLQ/4 Primaria</v>
      </c>
      <c r="F191" s="24" t="s">
        <v>1755</v>
      </c>
      <c r="G191" s="248" t="s">
        <v>16</v>
      </c>
      <c r="H191" s="248" t="s">
        <v>1770</v>
      </c>
      <c r="I191" s="248" t="s">
        <v>1674</v>
      </c>
      <c r="J191" s="248" t="s">
        <v>1771</v>
      </c>
      <c r="K191" s="248" t="s">
        <v>1593</v>
      </c>
      <c r="L191" s="272"/>
      <c r="M191" s="286" t="s">
        <v>1587</v>
      </c>
      <c r="N191" s="286" t="s">
        <v>1588</v>
      </c>
      <c r="O191" s="286" t="s">
        <v>1587</v>
      </c>
      <c r="P191" s="286" t="s">
        <v>1589</v>
      </c>
      <c r="Q191" s="286" t="s">
        <v>1588</v>
      </c>
      <c r="R191" s="286" t="s">
        <v>1589</v>
      </c>
      <c r="S191" s="286" t="s">
        <v>1588</v>
      </c>
      <c r="T191" s="286" t="s">
        <v>1589</v>
      </c>
      <c r="U191" s="286" t="s">
        <v>1617</v>
      </c>
      <c r="V191" s="286" t="s">
        <v>1589</v>
      </c>
      <c r="W191" s="286" t="s">
        <v>1617</v>
      </c>
      <c r="X191" s="286" t="s">
        <v>1588</v>
      </c>
      <c r="Y191" s="286" t="s">
        <v>1587</v>
      </c>
      <c r="Z191" s="286" t="s">
        <v>1588</v>
      </c>
      <c r="AA191" s="286" t="s">
        <v>1588</v>
      </c>
      <c r="AB191" s="286" t="s">
        <v>1589</v>
      </c>
      <c r="AC191" s="286" t="s">
        <v>1589</v>
      </c>
      <c r="AD191" s="286" t="s">
        <v>1617</v>
      </c>
      <c r="AE191" s="286" t="s">
        <v>1589</v>
      </c>
      <c r="AF191" s="286" t="s">
        <v>1588</v>
      </c>
      <c r="AG191" s="283">
        <v>12</v>
      </c>
      <c r="AH191" s="287" t="s">
        <v>23</v>
      </c>
      <c r="AI191" s="272"/>
      <c r="AJ191" s="288" t="s">
        <v>2032</v>
      </c>
      <c r="AK191" s="288" t="s">
        <v>2032</v>
      </c>
      <c r="AL191" s="288" t="s">
        <v>2032</v>
      </c>
      <c r="AM191" s="288" t="s">
        <v>2032</v>
      </c>
      <c r="AN191" s="288" t="s">
        <v>2032</v>
      </c>
      <c r="AO191" s="288" t="s">
        <v>2032</v>
      </c>
      <c r="AP191" s="288" t="s">
        <v>2032</v>
      </c>
      <c r="AQ191" s="288" t="s">
        <v>2032</v>
      </c>
      <c r="AR191" s="288" t="s">
        <v>2032</v>
      </c>
      <c r="AS191" s="288" t="s">
        <v>2032</v>
      </c>
      <c r="AT191" s="288" t="s">
        <v>2032</v>
      </c>
      <c r="AU191" s="288" t="s">
        <v>2032</v>
      </c>
      <c r="AV191" s="288" t="s">
        <v>2032</v>
      </c>
      <c r="AW191" s="288" t="s">
        <v>2032</v>
      </c>
      <c r="AX191" s="288" t="s">
        <v>2032</v>
      </c>
      <c r="AY191" s="288" t="s">
        <v>2032</v>
      </c>
      <c r="AZ191" s="288" t="s">
        <v>2032</v>
      </c>
      <c r="BA191" s="288" t="s">
        <v>2032</v>
      </c>
      <c r="BB191" s="288" t="s">
        <v>2032</v>
      </c>
      <c r="BC191" s="288" t="s">
        <v>2032</v>
      </c>
      <c r="BD191" s="289">
        <f t="shared" si="0"/>
        <v>0</v>
      </c>
      <c r="BE191" s="287"/>
      <c r="BF191" s="272"/>
    </row>
    <row r="192" spans="1:58" ht="14.25" customHeight="1" x14ac:dyDescent="0.35">
      <c r="A192" s="68">
        <v>190</v>
      </c>
      <c r="B192" s="24" t="s">
        <v>203</v>
      </c>
      <c r="C192" s="24">
        <v>2024</v>
      </c>
      <c r="D192" s="24" t="s">
        <v>1745</v>
      </c>
      <c r="E192" s="269" t="str">
        <f ca="1">IFERROR(__xludf.DUMMYFUNCTION("ARRAYFORMULA(JOIN("""", ARRAYFORMULA(MID(SPLIT(F192, "" ""), 1, 1))))
&amp;""/""&amp;G192"),"CLQ/4 Primaria")</f>
        <v>CLQ/4 Primaria</v>
      </c>
      <c r="F192" s="24" t="s">
        <v>1755</v>
      </c>
      <c r="G192" s="248" t="s">
        <v>16</v>
      </c>
      <c r="H192" s="248" t="s">
        <v>1761</v>
      </c>
      <c r="I192" s="248" t="s">
        <v>1612</v>
      </c>
      <c r="J192" s="248" t="s">
        <v>1772</v>
      </c>
      <c r="K192" s="248" t="s">
        <v>1593</v>
      </c>
      <c r="L192" s="272"/>
      <c r="M192" s="286" t="s">
        <v>1587</v>
      </c>
      <c r="N192" s="286" t="s">
        <v>1588</v>
      </c>
      <c r="O192" s="286" t="s">
        <v>1588</v>
      </c>
      <c r="P192" s="286" t="s">
        <v>1587</v>
      </c>
      <c r="Q192" s="286" t="s">
        <v>1617</v>
      </c>
      <c r="R192" s="286" t="s">
        <v>1588</v>
      </c>
      <c r="S192" s="286" t="s">
        <v>1588</v>
      </c>
      <c r="T192" s="286" t="s">
        <v>1587</v>
      </c>
      <c r="U192" s="286" t="s">
        <v>1588</v>
      </c>
      <c r="V192" s="286" t="s">
        <v>1589</v>
      </c>
      <c r="W192" s="286" t="s">
        <v>1617</v>
      </c>
      <c r="X192" s="286" t="s">
        <v>1588</v>
      </c>
      <c r="Y192" s="286" t="s">
        <v>1587</v>
      </c>
      <c r="Z192" s="286" t="s">
        <v>1587</v>
      </c>
      <c r="AA192" s="286" t="s">
        <v>1589</v>
      </c>
      <c r="AB192" s="286" t="s">
        <v>1588</v>
      </c>
      <c r="AC192" s="286" t="s">
        <v>1589</v>
      </c>
      <c r="AD192" s="286" t="s">
        <v>1588</v>
      </c>
      <c r="AE192" s="286" t="s">
        <v>1617</v>
      </c>
      <c r="AF192" s="286" t="s">
        <v>1617</v>
      </c>
      <c r="AG192" s="283">
        <v>13</v>
      </c>
      <c r="AH192" s="287" t="s">
        <v>23</v>
      </c>
      <c r="AI192" s="272"/>
      <c r="AJ192" s="288" t="s">
        <v>2032</v>
      </c>
      <c r="AK192" s="288" t="s">
        <v>2032</v>
      </c>
      <c r="AL192" s="288" t="s">
        <v>2032</v>
      </c>
      <c r="AM192" s="288" t="s">
        <v>2032</v>
      </c>
      <c r="AN192" s="288" t="s">
        <v>2032</v>
      </c>
      <c r="AO192" s="288" t="s">
        <v>2032</v>
      </c>
      <c r="AP192" s="288" t="s">
        <v>2032</v>
      </c>
      <c r="AQ192" s="288" t="s">
        <v>2032</v>
      </c>
      <c r="AR192" s="288" t="s">
        <v>2032</v>
      </c>
      <c r="AS192" s="288" t="s">
        <v>2032</v>
      </c>
      <c r="AT192" s="288" t="s">
        <v>2032</v>
      </c>
      <c r="AU192" s="288" t="s">
        <v>2032</v>
      </c>
      <c r="AV192" s="288" t="s">
        <v>2032</v>
      </c>
      <c r="AW192" s="288" t="s">
        <v>2032</v>
      </c>
      <c r="AX192" s="288" t="s">
        <v>2032</v>
      </c>
      <c r="AY192" s="288" t="s">
        <v>2032</v>
      </c>
      <c r="AZ192" s="288" t="s">
        <v>2032</v>
      </c>
      <c r="BA192" s="288" t="s">
        <v>2032</v>
      </c>
      <c r="BB192" s="288" t="s">
        <v>2032</v>
      </c>
      <c r="BC192" s="288" t="s">
        <v>2032</v>
      </c>
      <c r="BD192" s="289">
        <f t="shared" si="0"/>
        <v>0</v>
      </c>
      <c r="BE192" s="287"/>
      <c r="BF192" s="272"/>
    </row>
    <row r="193" spans="1:58" ht="14.25" customHeight="1" x14ac:dyDescent="0.35">
      <c r="A193" s="68">
        <v>191</v>
      </c>
      <c r="B193" s="24" t="s">
        <v>203</v>
      </c>
      <c r="C193" s="24">
        <v>2024</v>
      </c>
      <c r="D193" s="24" t="s">
        <v>1745</v>
      </c>
      <c r="E193" s="269" t="str">
        <f ca="1">IFERROR(__xludf.DUMMYFUNCTION("ARRAYFORMULA(JOIN("""", ARRAYFORMULA(MID(SPLIT(F193, "" ""), 1, 1))))
&amp;""/""&amp;G193"),"CLQ/4 Primaria")</f>
        <v>CLQ/4 Primaria</v>
      </c>
      <c r="F193" s="24" t="s">
        <v>1755</v>
      </c>
      <c r="G193" s="248" t="s">
        <v>16</v>
      </c>
      <c r="H193" s="248" t="s">
        <v>1612</v>
      </c>
      <c r="I193" s="248" t="s">
        <v>1640</v>
      </c>
      <c r="J193" s="248" t="s">
        <v>1773</v>
      </c>
      <c r="K193" s="248" t="s">
        <v>1586</v>
      </c>
      <c r="L193" s="272"/>
      <c r="M193" s="286" t="s">
        <v>1617</v>
      </c>
      <c r="N193" s="286" t="s">
        <v>1588</v>
      </c>
      <c r="O193" s="286" t="s">
        <v>1588</v>
      </c>
      <c r="P193" s="286" t="s">
        <v>1588</v>
      </c>
      <c r="Q193" s="286" t="s">
        <v>1587</v>
      </c>
      <c r="R193" s="286" t="s">
        <v>1587</v>
      </c>
      <c r="S193" s="286" t="s">
        <v>1587</v>
      </c>
      <c r="T193" s="286" t="s">
        <v>1588</v>
      </c>
      <c r="U193" s="286" t="s">
        <v>1588</v>
      </c>
      <c r="V193" s="286" t="s">
        <v>1587</v>
      </c>
      <c r="W193" s="286"/>
      <c r="X193" s="286" t="s">
        <v>1588</v>
      </c>
      <c r="Y193" s="286"/>
      <c r="Z193" s="286"/>
      <c r="AA193" s="286"/>
      <c r="AB193" s="286" t="s">
        <v>1588</v>
      </c>
      <c r="AC193" s="286" t="s">
        <v>1617</v>
      </c>
      <c r="AD193" s="286" t="s">
        <v>1587</v>
      </c>
      <c r="AE193" s="286" t="s">
        <v>1587</v>
      </c>
      <c r="AF193" s="286" t="s">
        <v>1587</v>
      </c>
      <c r="AG193" s="283">
        <v>3</v>
      </c>
      <c r="AH193" s="287" t="s">
        <v>19</v>
      </c>
      <c r="AI193" s="272"/>
      <c r="AJ193" s="288" t="s">
        <v>2032</v>
      </c>
      <c r="AK193" s="288" t="s">
        <v>2032</v>
      </c>
      <c r="AL193" s="288" t="s">
        <v>2032</v>
      </c>
      <c r="AM193" s="288" t="s">
        <v>2032</v>
      </c>
      <c r="AN193" s="288" t="s">
        <v>2032</v>
      </c>
      <c r="AO193" s="288" t="s">
        <v>2032</v>
      </c>
      <c r="AP193" s="288" t="s">
        <v>2032</v>
      </c>
      <c r="AQ193" s="288" t="s">
        <v>2032</v>
      </c>
      <c r="AR193" s="288" t="s">
        <v>2032</v>
      </c>
      <c r="AS193" s="288" t="s">
        <v>2032</v>
      </c>
      <c r="AT193" s="288" t="s">
        <v>2032</v>
      </c>
      <c r="AU193" s="288" t="s">
        <v>2032</v>
      </c>
      <c r="AV193" s="288" t="s">
        <v>2032</v>
      </c>
      <c r="AW193" s="288" t="s">
        <v>2032</v>
      </c>
      <c r="AX193" s="288" t="s">
        <v>2032</v>
      </c>
      <c r="AY193" s="288" t="s">
        <v>2032</v>
      </c>
      <c r="AZ193" s="288" t="s">
        <v>2032</v>
      </c>
      <c r="BA193" s="288" t="s">
        <v>2032</v>
      </c>
      <c r="BB193" s="288" t="s">
        <v>2032</v>
      </c>
      <c r="BC193" s="288" t="s">
        <v>2032</v>
      </c>
      <c r="BD193" s="289">
        <f t="shared" si="0"/>
        <v>0</v>
      </c>
      <c r="BE193" s="287"/>
      <c r="BF193" s="272"/>
    </row>
    <row r="194" spans="1:58" ht="14.25" customHeight="1" x14ac:dyDescent="0.35">
      <c r="A194" s="68">
        <v>192</v>
      </c>
      <c r="B194" s="24" t="s">
        <v>203</v>
      </c>
      <c r="C194" s="24">
        <v>2024</v>
      </c>
      <c r="D194" s="24" t="s">
        <v>1745</v>
      </c>
      <c r="E194" s="269" t="str">
        <f ca="1">IFERROR(__xludf.DUMMYFUNCTION("ARRAYFORMULA(JOIN("""", ARRAYFORMULA(MID(SPLIT(F194, "" ""), 1, 1))))
&amp;""/""&amp;G194"),"CLQ/6 Primaria")</f>
        <v>CLQ/6 Primaria</v>
      </c>
      <c r="F194" s="24" t="s">
        <v>1755</v>
      </c>
      <c r="G194" s="248" t="s">
        <v>37</v>
      </c>
      <c r="H194" s="248" t="s">
        <v>1672</v>
      </c>
      <c r="I194" s="248" t="s">
        <v>1774</v>
      </c>
      <c r="J194" s="248" t="s">
        <v>1775</v>
      </c>
      <c r="K194" s="248" t="s">
        <v>1593</v>
      </c>
      <c r="L194" s="272"/>
      <c r="M194" s="286" t="s">
        <v>1587</v>
      </c>
      <c r="N194" s="286" t="s">
        <v>1589</v>
      </c>
      <c r="O194" s="286" t="s">
        <v>1617</v>
      </c>
      <c r="P194" s="286" t="s">
        <v>1587</v>
      </c>
      <c r="Q194" s="286" t="s">
        <v>1589</v>
      </c>
      <c r="R194" s="286" t="s">
        <v>1587</v>
      </c>
      <c r="S194" s="286" t="s">
        <v>1589</v>
      </c>
      <c r="T194" s="286" t="s">
        <v>1589</v>
      </c>
      <c r="U194" s="286" t="s">
        <v>1589</v>
      </c>
      <c r="V194" s="286" t="s">
        <v>1587</v>
      </c>
      <c r="W194" s="286" t="s">
        <v>1589</v>
      </c>
      <c r="X194" s="286" t="s">
        <v>1587</v>
      </c>
      <c r="Y194" s="286" t="s">
        <v>1589</v>
      </c>
      <c r="Z194" s="286" t="s">
        <v>1587</v>
      </c>
      <c r="AA194" s="286" t="s">
        <v>1588</v>
      </c>
      <c r="AB194" s="286" t="s">
        <v>1587</v>
      </c>
      <c r="AC194" s="286" t="s">
        <v>1587</v>
      </c>
      <c r="AD194" s="286" t="s">
        <v>1588</v>
      </c>
      <c r="AE194" s="286" t="s">
        <v>1589</v>
      </c>
      <c r="AF194" s="286" t="s">
        <v>1617</v>
      </c>
      <c r="AG194" s="283">
        <v>11</v>
      </c>
      <c r="AH194" s="287" t="s">
        <v>23</v>
      </c>
      <c r="AI194" s="272"/>
      <c r="AJ194" s="288" t="s">
        <v>2032</v>
      </c>
      <c r="AK194" s="288" t="s">
        <v>2032</v>
      </c>
      <c r="AL194" s="288" t="s">
        <v>2032</v>
      </c>
      <c r="AM194" s="288" t="s">
        <v>2032</v>
      </c>
      <c r="AN194" s="288" t="s">
        <v>2032</v>
      </c>
      <c r="AO194" s="288" t="s">
        <v>2032</v>
      </c>
      <c r="AP194" s="288" t="s">
        <v>2032</v>
      </c>
      <c r="AQ194" s="288" t="s">
        <v>2032</v>
      </c>
      <c r="AR194" s="288" t="s">
        <v>2032</v>
      </c>
      <c r="AS194" s="288" t="s">
        <v>2032</v>
      </c>
      <c r="AT194" s="288" t="s">
        <v>2032</v>
      </c>
      <c r="AU194" s="288" t="s">
        <v>2032</v>
      </c>
      <c r="AV194" s="288" t="s">
        <v>2032</v>
      </c>
      <c r="AW194" s="288" t="s">
        <v>2032</v>
      </c>
      <c r="AX194" s="288" t="s">
        <v>2032</v>
      </c>
      <c r="AY194" s="288" t="s">
        <v>2032</v>
      </c>
      <c r="AZ194" s="288" t="s">
        <v>2032</v>
      </c>
      <c r="BA194" s="288" t="s">
        <v>2032</v>
      </c>
      <c r="BB194" s="288" t="s">
        <v>2032</v>
      </c>
      <c r="BC194" s="288" t="s">
        <v>2032</v>
      </c>
      <c r="BD194" s="289">
        <f t="shared" si="0"/>
        <v>0</v>
      </c>
      <c r="BE194" s="287"/>
      <c r="BF194" s="272"/>
    </row>
    <row r="195" spans="1:58" ht="14.25" customHeight="1" x14ac:dyDescent="0.35">
      <c r="A195" s="68">
        <v>193</v>
      </c>
      <c r="B195" s="24" t="s">
        <v>203</v>
      </c>
      <c r="C195" s="24">
        <v>2024</v>
      </c>
      <c r="D195" s="24" t="s">
        <v>1745</v>
      </c>
      <c r="E195" s="269" t="str">
        <f ca="1">IFERROR(__xludf.DUMMYFUNCTION("ARRAYFORMULA(JOIN("""", ARRAYFORMULA(MID(SPLIT(F195, "" ""), 1, 1))))
&amp;""/""&amp;G195"),"CLQ/6 Primaria")</f>
        <v>CLQ/6 Primaria</v>
      </c>
      <c r="F195" s="24" t="s">
        <v>1755</v>
      </c>
      <c r="G195" s="248" t="s">
        <v>37</v>
      </c>
      <c r="H195" s="248" t="s">
        <v>1776</v>
      </c>
      <c r="I195" s="248" t="s">
        <v>1612</v>
      </c>
      <c r="J195" s="248" t="s">
        <v>1777</v>
      </c>
      <c r="K195" s="248" t="s">
        <v>1586</v>
      </c>
      <c r="L195" s="272"/>
      <c r="M195" s="286" t="s">
        <v>1587</v>
      </c>
      <c r="N195" s="286" t="s">
        <v>1589</v>
      </c>
      <c r="O195" s="286" t="s">
        <v>1617</v>
      </c>
      <c r="P195" s="286" t="s">
        <v>1587</v>
      </c>
      <c r="Q195" s="286" t="s">
        <v>1589</v>
      </c>
      <c r="R195" s="286" t="s">
        <v>1587</v>
      </c>
      <c r="S195" s="286" t="s">
        <v>1589</v>
      </c>
      <c r="T195" s="286" t="s">
        <v>1587</v>
      </c>
      <c r="U195" s="286" t="s">
        <v>1589</v>
      </c>
      <c r="V195" s="286" t="s">
        <v>1587</v>
      </c>
      <c r="W195" s="286" t="s">
        <v>1589</v>
      </c>
      <c r="X195" s="286" t="s">
        <v>1587</v>
      </c>
      <c r="Y195" s="286" t="s">
        <v>1589</v>
      </c>
      <c r="Z195" s="286" t="s">
        <v>1587</v>
      </c>
      <c r="AA195" s="286" t="s">
        <v>1589</v>
      </c>
      <c r="AB195" s="286" t="s">
        <v>1587</v>
      </c>
      <c r="AC195" s="286" t="s">
        <v>1587</v>
      </c>
      <c r="AD195" s="286" t="s">
        <v>1588</v>
      </c>
      <c r="AE195" s="286" t="s">
        <v>1589</v>
      </c>
      <c r="AF195" s="286" t="s">
        <v>1617</v>
      </c>
      <c r="AG195" s="283">
        <v>9</v>
      </c>
      <c r="AH195" s="287" t="s">
        <v>19</v>
      </c>
      <c r="AI195" s="272"/>
      <c r="AJ195" s="288" t="s">
        <v>2032</v>
      </c>
      <c r="AK195" s="288" t="s">
        <v>2032</v>
      </c>
      <c r="AL195" s="288" t="s">
        <v>2032</v>
      </c>
      <c r="AM195" s="288" t="s">
        <v>2032</v>
      </c>
      <c r="AN195" s="288" t="s">
        <v>2032</v>
      </c>
      <c r="AO195" s="288" t="s">
        <v>2032</v>
      </c>
      <c r="AP195" s="288" t="s">
        <v>2032</v>
      </c>
      <c r="AQ195" s="288" t="s">
        <v>2032</v>
      </c>
      <c r="AR195" s="288" t="s">
        <v>2032</v>
      </c>
      <c r="AS195" s="288" t="s">
        <v>2032</v>
      </c>
      <c r="AT195" s="288" t="s">
        <v>2032</v>
      </c>
      <c r="AU195" s="288" t="s">
        <v>2032</v>
      </c>
      <c r="AV195" s="288" t="s">
        <v>2032</v>
      </c>
      <c r="AW195" s="288" t="s">
        <v>2032</v>
      </c>
      <c r="AX195" s="288" t="s">
        <v>2032</v>
      </c>
      <c r="AY195" s="288" t="s">
        <v>2032</v>
      </c>
      <c r="AZ195" s="288" t="s">
        <v>2032</v>
      </c>
      <c r="BA195" s="288" t="s">
        <v>2032</v>
      </c>
      <c r="BB195" s="288" t="s">
        <v>2032</v>
      </c>
      <c r="BC195" s="288" t="s">
        <v>2032</v>
      </c>
      <c r="BD195" s="289">
        <f t="shared" si="0"/>
        <v>0</v>
      </c>
      <c r="BE195" s="287"/>
      <c r="BF195" s="272"/>
    </row>
    <row r="196" spans="1:58" ht="14.25" customHeight="1" x14ac:dyDescent="0.35">
      <c r="A196" s="68">
        <v>194</v>
      </c>
      <c r="B196" s="24" t="s">
        <v>203</v>
      </c>
      <c r="C196" s="24">
        <v>2024</v>
      </c>
      <c r="D196" s="24" t="s">
        <v>1745</v>
      </c>
      <c r="E196" s="269" t="str">
        <f ca="1">IFERROR(__xludf.DUMMYFUNCTION("ARRAYFORMULA(JOIN("""", ARRAYFORMULA(MID(SPLIT(F196, "" ""), 1, 1))))
&amp;""/""&amp;G196"),"CLQ/6 Primaria")</f>
        <v>CLQ/6 Primaria</v>
      </c>
      <c r="F196" s="24" t="s">
        <v>1755</v>
      </c>
      <c r="G196" s="248" t="s">
        <v>37</v>
      </c>
      <c r="H196" s="248" t="s">
        <v>1612</v>
      </c>
      <c r="I196" s="248" t="s">
        <v>1656</v>
      </c>
      <c r="J196" s="248" t="s">
        <v>1778</v>
      </c>
      <c r="K196" s="248" t="s">
        <v>1586</v>
      </c>
      <c r="L196" s="272"/>
      <c r="M196" s="286" t="s">
        <v>1587</v>
      </c>
      <c r="N196" s="286" t="s">
        <v>1589</v>
      </c>
      <c r="O196" s="286" t="s">
        <v>1617</v>
      </c>
      <c r="P196" s="286" t="s">
        <v>1587</v>
      </c>
      <c r="Q196" s="286" t="s">
        <v>1589</v>
      </c>
      <c r="R196" s="286" t="s">
        <v>1587</v>
      </c>
      <c r="S196" s="286" t="s">
        <v>1589</v>
      </c>
      <c r="T196" s="286" t="s">
        <v>1587</v>
      </c>
      <c r="U196" s="286" t="s">
        <v>1589</v>
      </c>
      <c r="V196" s="286" t="s">
        <v>1587</v>
      </c>
      <c r="W196" s="286" t="s">
        <v>1589</v>
      </c>
      <c r="X196" s="286" t="s">
        <v>1587</v>
      </c>
      <c r="Y196" s="286" t="s">
        <v>1589</v>
      </c>
      <c r="Z196" s="286" t="s">
        <v>1587</v>
      </c>
      <c r="AA196" s="286" t="s">
        <v>1589</v>
      </c>
      <c r="AB196" s="286" t="s">
        <v>1587</v>
      </c>
      <c r="AC196" s="286" t="s">
        <v>1589</v>
      </c>
      <c r="AD196" s="286" t="s">
        <v>1587</v>
      </c>
      <c r="AE196" s="286" t="s">
        <v>1589</v>
      </c>
      <c r="AF196" s="286" t="s">
        <v>1587</v>
      </c>
      <c r="AG196" s="283">
        <v>6</v>
      </c>
      <c r="AH196" s="287" t="s">
        <v>19</v>
      </c>
      <c r="AI196" s="272"/>
      <c r="AJ196" s="288" t="s">
        <v>2032</v>
      </c>
      <c r="AK196" s="288" t="s">
        <v>2032</v>
      </c>
      <c r="AL196" s="288" t="s">
        <v>2032</v>
      </c>
      <c r="AM196" s="288" t="s">
        <v>2032</v>
      </c>
      <c r="AN196" s="288" t="s">
        <v>2032</v>
      </c>
      <c r="AO196" s="288" t="s">
        <v>2032</v>
      </c>
      <c r="AP196" s="288" t="s">
        <v>2032</v>
      </c>
      <c r="AQ196" s="288" t="s">
        <v>2032</v>
      </c>
      <c r="AR196" s="288" t="s">
        <v>2032</v>
      </c>
      <c r="AS196" s="288" t="s">
        <v>2032</v>
      </c>
      <c r="AT196" s="288" t="s">
        <v>2032</v>
      </c>
      <c r="AU196" s="288" t="s">
        <v>2032</v>
      </c>
      <c r="AV196" s="288" t="s">
        <v>2032</v>
      </c>
      <c r="AW196" s="288" t="s">
        <v>2032</v>
      </c>
      <c r="AX196" s="288" t="s">
        <v>2032</v>
      </c>
      <c r="AY196" s="288" t="s">
        <v>2032</v>
      </c>
      <c r="AZ196" s="288" t="s">
        <v>2032</v>
      </c>
      <c r="BA196" s="288" t="s">
        <v>2032</v>
      </c>
      <c r="BB196" s="288" t="s">
        <v>2032</v>
      </c>
      <c r="BC196" s="288" t="s">
        <v>2032</v>
      </c>
      <c r="BD196" s="289">
        <f t="shared" si="0"/>
        <v>0</v>
      </c>
      <c r="BE196" s="287"/>
      <c r="BF196" s="272"/>
    </row>
    <row r="197" spans="1:58" ht="14.25" customHeight="1" x14ac:dyDescent="0.35">
      <c r="A197" s="68">
        <v>195</v>
      </c>
      <c r="B197" s="24" t="s">
        <v>1779</v>
      </c>
      <c r="C197" s="24">
        <v>2024</v>
      </c>
      <c r="D197" s="24" t="s">
        <v>1745</v>
      </c>
      <c r="E197" s="269" t="str">
        <f ca="1">IFERROR(__xludf.DUMMYFUNCTION("ARRAYFORMULA(JOIN("""", ARRAYFORMULA(MID(SPLIT(F197, "" ""), 1, 1))))
&amp;""/""&amp;G197"),"CLQ/2 Primaria")</f>
        <v>CLQ/2 Primaria</v>
      </c>
      <c r="F197" s="24" t="s">
        <v>1755</v>
      </c>
      <c r="G197" s="248" t="s">
        <v>45</v>
      </c>
      <c r="H197" s="248" t="s">
        <v>1674</v>
      </c>
      <c r="I197" s="248" t="s">
        <v>1699</v>
      </c>
      <c r="J197" s="248" t="s">
        <v>1780</v>
      </c>
      <c r="K197" s="248" t="s">
        <v>1586</v>
      </c>
      <c r="L197" s="272"/>
      <c r="M197" s="286" t="s">
        <v>1753</v>
      </c>
      <c r="N197" s="286" t="s">
        <v>1754</v>
      </c>
      <c r="O197" s="286" t="s">
        <v>1754</v>
      </c>
      <c r="P197" s="286" t="s">
        <v>1753</v>
      </c>
      <c r="Q197" s="286" t="s">
        <v>1753</v>
      </c>
      <c r="R197" s="286" t="s">
        <v>1588</v>
      </c>
      <c r="S197" s="286" t="s">
        <v>1754</v>
      </c>
      <c r="T197" s="286" t="s">
        <v>1588</v>
      </c>
      <c r="U197" s="286" t="s">
        <v>1753</v>
      </c>
      <c r="V197" s="286" t="s">
        <v>1754</v>
      </c>
      <c r="W197" s="286" t="s">
        <v>1753</v>
      </c>
      <c r="X197" s="286" t="s">
        <v>1754</v>
      </c>
      <c r="Y197" s="286" t="s">
        <v>1754</v>
      </c>
      <c r="Z197" s="286" t="s">
        <v>1588</v>
      </c>
      <c r="AA197" s="286" t="s">
        <v>1588</v>
      </c>
      <c r="AB197" s="286" t="s">
        <v>1753</v>
      </c>
      <c r="AC197" s="286" t="s">
        <v>1753</v>
      </c>
      <c r="AD197" s="286" t="s">
        <v>1588</v>
      </c>
      <c r="AE197" s="286" t="s">
        <v>1753</v>
      </c>
      <c r="AF197" s="286" t="s">
        <v>1588</v>
      </c>
      <c r="AG197" s="283">
        <v>14</v>
      </c>
      <c r="AH197" s="287" t="s">
        <v>23</v>
      </c>
      <c r="AI197" s="272"/>
      <c r="AJ197" s="288" t="s">
        <v>2032</v>
      </c>
      <c r="AK197" s="288" t="s">
        <v>2032</v>
      </c>
      <c r="AL197" s="288" t="s">
        <v>2032</v>
      </c>
      <c r="AM197" s="288" t="s">
        <v>2032</v>
      </c>
      <c r="AN197" s="288" t="s">
        <v>2032</v>
      </c>
      <c r="AO197" s="288" t="s">
        <v>2032</v>
      </c>
      <c r="AP197" s="288" t="s">
        <v>2032</v>
      </c>
      <c r="AQ197" s="288" t="s">
        <v>2032</v>
      </c>
      <c r="AR197" s="288" t="s">
        <v>2032</v>
      </c>
      <c r="AS197" s="288" t="s">
        <v>2032</v>
      </c>
      <c r="AT197" s="288" t="s">
        <v>2032</v>
      </c>
      <c r="AU197" s="288" t="s">
        <v>2032</v>
      </c>
      <c r="AV197" s="288" t="s">
        <v>2032</v>
      </c>
      <c r="AW197" s="288" t="s">
        <v>2032</v>
      </c>
      <c r="AX197" s="288" t="s">
        <v>2032</v>
      </c>
      <c r="AY197" s="288" t="s">
        <v>2032</v>
      </c>
      <c r="AZ197" s="288" t="s">
        <v>2032</v>
      </c>
      <c r="BA197" s="288" t="s">
        <v>2032</v>
      </c>
      <c r="BB197" s="288" t="s">
        <v>2032</v>
      </c>
      <c r="BC197" s="288" t="s">
        <v>2032</v>
      </c>
      <c r="BD197" s="289">
        <f t="shared" si="0"/>
        <v>0</v>
      </c>
      <c r="BE197" s="287"/>
      <c r="BF197" s="272"/>
    </row>
    <row r="198" spans="1:58" ht="14.25" customHeight="1" x14ac:dyDescent="0.35">
      <c r="A198" s="68">
        <v>196</v>
      </c>
      <c r="B198" s="24" t="s">
        <v>1779</v>
      </c>
      <c r="C198" s="24">
        <v>2024</v>
      </c>
      <c r="D198" s="24" t="s">
        <v>1745</v>
      </c>
      <c r="E198" s="269" t="str">
        <f ca="1">IFERROR(__xludf.DUMMYFUNCTION("ARRAYFORMULA(JOIN("""", ARRAYFORMULA(MID(SPLIT(F198, "" ""), 1, 1))))
&amp;""/""&amp;G198"),"CLQ/2 Primaria")</f>
        <v>CLQ/2 Primaria</v>
      </c>
      <c r="F198" s="24" t="s">
        <v>1755</v>
      </c>
      <c r="G198" s="248" t="s">
        <v>45</v>
      </c>
      <c r="H198" s="248" t="s">
        <v>1781</v>
      </c>
      <c r="I198" s="248" t="s">
        <v>1782</v>
      </c>
      <c r="J198" s="248" t="s">
        <v>1783</v>
      </c>
      <c r="K198" s="248" t="s">
        <v>1593</v>
      </c>
      <c r="L198" s="272"/>
      <c r="M198" s="286" t="s">
        <v>1753</v>
      </c>
      <c r="N198" s="286" t="s">
        <v>1753</v>
      </c>
      <c r="O198" s="286" t="s">
        <v>1754</v>
      </c>
      <c r="P198" s="286" t="s">
        <v>1753</v>
      </c>
      <c r="Q198" s="286" t="s">
        <v>1753</v>
      </c>
      <c r="R198" s="286" t="s">
        <v>1754</v>
      </c>
      <c r="S198" s="286" t="s">
        <v>1754</v>
      </c>
      <c r="T198" s="286" t="s">
        <v>1588</v>
      </c>
      <c r="U198" s="286" t="s">
        <v>1753</v>
      </c>
      <c r="V198" s="286" t="s">
        <v>1754</v>
      </c>
      <c r="W198" s="286" t="s">
        <v>1753</v>
      </c>
      <c r="X198" s="286" t="s">
        <v>1753</v>
      </c>
      <c r="Y198" s="286" t="s">
        <v>1754</v>
      </c>
      <c r="Z198" s="286" t="s">
        <v>1588</v>
      </c>
      <c r="AA198" s="286" t="s">
        <v>1588</v>
      </c>
      <c r="AB198" s="286" t="s">
        <v>1753</v>
      </c>
      <c r="AC198" s="286" t="s">
        <v>1753</v>
      </c>
      <c r="AD198" s="286" t="s">
        <v>1588</v>
      </c>
      <c r="AE198" s="286" t="s">
        <v>1588</v>
      </c>
      <c r="AF198" s="286"/>
      <c r="AG198" s="283">
        <v>14</v>
      </c>
      <c r="AH198" s="287" t="s">
        <v>23</v>
      </c>
      <c r="AI198" s="272"/>
      <c r="AJ198" s="288" t="s">
        <v>2032</v>
      </c>
      <c r="AK198" s="288" t="s">
        <v>2032</v>
      </c>
      <c r="AL198" s="288" t="s">
        <v>2032</v>
      </c>
      <c r="AM198" s="288" t="s">
        <v>2032</v>
      </c>
      <c r="AN198" s="288" t="s">
        <v>2032</v>
      </c>
      <c r="AO198" s="288" t="s">
        <v>2032</v>
      </c>
      <c r="AP198" s="288" t="s">
        <v>2032</v>
      </c>
      <c r="AQ198" s="288" t="s">
        <v>2032</v>
      </c>
      <c r="AR198" s="288" t="s">
        <v>2032</v>
      </c>
      <c r="AS198" s="288" t="s">
        <v>2032</v>
      </c>
      <c r="AT198" s="288" t="s">
        <v>2032</v>
      </c>
      <c r="AU198" s="288" t="s">
        <v>2032</v>
      </c>
      <c r="AV198" s="288" t="s">
        <v>2032</v>
      </c>
      <c r="AW198" s="288" t="s">
        <v>2032</v>
      </c>
      <c r="AX198" s="288" t="s">
        <v>2032</v>
      </c>
      <c r="AY198" s="288" t="s">
        <v>2032</v>
      </c>
      <c r="AZ198" s="288" t="s">
        <v>2032</v>
      </c>
      <c r="BA198" s="288" t="s">
        <v>2032</v>
      </c>
      <c r="BB198" s="288" t="s">
        <v>2032</v>
      </c>
      <c r="BC198" s="288" t="s">
        <v>2032</v>
      </c>
      <c r="BD198" s="289">
        <f t="shared" si="0"/>
        <v>0</v>
      </c>
      <c r="BE198" s="287"/>
      <c r="BF198" s="272"/>
    </row>
    <row r="199" spans="1:58" ht="14.25" customHeight="1" x14ac:dyDescent="0.35">
      <c r="A199" s="68">
        <v>197</v>
      </c>
      <c r="B199" s="24" t="s">
        <v>1779</v>
      </c>
      <c r="C199" s="24">
        <v>2024</v>
      </c>
      <c r="D199" s="24" t="s">
        <v>1745</v>
      </c>
      <c r="E199" s="269" t="str">
        <f ca="1">IFERROR(__xludf.DUMMYFUNCTION("ARRAYFORMULA(JOIN("""", ARRAYFORMULA(MID(SPLIT(F199, "" ""), 1, 1))))
&amp;""/""&amp;G199"),"CLQ/2 Primaria")</f>
        <v>CLQ/2 Primaria</v>
      </c>
      <c r="F199" s="24" t="s">
        <v>1755</v>
      </c>
      <c r="G199" s="248" t="s">
        <v>45</v>
      </c>
      <c r="H199" s="248" t="s">
        <v>1784</v>
      </c>
      <c r="I199" s="248" t="s">
        <v>1785</v>
      </c>
      <c r="J199" s="248" t="s">
        <v>1786</v>
      </c>
      <c r="K199" s="248" t="s">
        <v>1586</v>
      </c>
      <c r="L199" s="272"/>
      <c r="M199" s="286" t="s">
        <v>1753</v>
      </c>
      <c r="N199" s="286" t="s">
        <v>1753</v>
      </c>
      <c r="O199" s="286" t="s">
        <v>1754</v>
      </c>
      <c r="P199" s="286" t="s">
        <v>1753</v>
      </c>
      <c r="Q199" s="286" t="s">
        <v>1753</v>
      </c>
      <c r="R199" s="286"/>
      <c r="S199" s="286" t="s">
        <v>1754</v>
      </c>
      <c r="T199" s="286" t="s">
        <v>1588</v>
      </c>
      <c r="U199" s="286" t="s">
        <v>1753</v>
      </c>
      <c r="V199" s="286" t="s">
        <v>1754</v>
      </c>
      <c r="W199" s="286" t="s">
        <v>1753</v>
      </c>
      <c r="X199" s="286" t="s">
        <v>1753</v>
      </c>
      <c r="Y199" s="286" t="s">
        <v>1753</v>
      </c>
      <c r="Z199" s="286" t="s">
        <v>1588</v>
      </c>
      <c r="AA199" s="286"/>
      <c r="AB199" s="286" t="s">
        <v>1753</v>
      </c>
      <c r="AC199" s="286" t="s">
        <v>1753</v>
      </c>
      <c r="AD199" s="286" t="s">
        <v>1588</v>
      </c>
      <c r="AE199" s="286" t="s">
        <v>1753</v>
      </c>
      <c r="AF199" s="286"/>
      <c r="AG199" s="283">
        <v>12</v>
      </c>
      <c r="AH199" s="287" t="s">
        <v>23</v>
      </c>
      <c r="AI199" s="272"/>
      <c r="AJ199" s="288" t="s">
        <v>2032</v>
      </c>
      <c r="AK199" s="288" t="s">
        <v>2032</v>
      </c>
      <c r="AL199" s="288" t="s">
        <v>2032</v>
      </c>
      <c r="AM199" s="288" t="s">
        <v>2032</v>
      </c>
      <c r="AN199" s="288" t="s">
        <v>2032</v>
      </c>
      <c r="AO199" s="288" t="s">
        <v>2032</v>
      </c>
      <c r="AP199" s="288" t="s">
        <v>2032</v>
      </c>
      <c r="AQ199" s="288" t="s">
        <v>2032</v>
      </c>
      <c r="AR199" s="288" t="s">
        <v>2032</v>
      </c>
      <c r="AS199" s="288" t="s">
        <v>2032</v>
      </c>
      <c r="AT199" s="288" t="s">
        <v>2032</v>
      </c>
      <c r="AU199" s="288" t="s">
        <v>2032</v>
      </c>
      <c r="AV199" s="288" t="s">
        <v>2032</v>
      </c>
      <c r="AW199" s="288" t="s">
        <v>2032</v>
      </c>
      <c r="AX199" s="288" t="s">
        <v>2032</v>
      </c>
      <c r="AY199" s="288" t="s">
        <v>2032</v>
      </c>
      <c r="AZ199" s="288" t="s">
        <v>2032</v>
      </c>
      <c r="BA199" s="288" t="s">
        <v>2032</v>
      </c>
      <c r="BB199" s="288" t="s">
        <v>2032</v>
      </c>
      <c r="BC199" s="288" t="s">
        <v>2032</v>
      </c>
      <c r="BD199" s="289">
        <f t="shared" si="0"/>
        <v>0</v>
      </c>
      <c r="BE199" s="287"/>
      <c r="BF199" s="272"/>
    </row>
    <row r="200" spans="1:58" ht="14.25" customHeight="1" x14ac:dyDescent="0.35">
      <c r="A200" s="68">
        <v>198</v>
      </c>
      <c r="B200" s="24" t="s">
        <v>1779</v>
      </c>
      <c r="C200" s="24">
        <v>2024</v>
      </c>
      <c r="D200" s="24" t="s">
        <v>1745</v>
      </c>
      <c r="E200" s="269" t="str">
        <f ca="1">IFERROR(__xludf.DUMMYFUNCTION("ARRAYFORMULA(JOIN("""", ARRAYFORMULA(MID(SPLIT(F200, "" ""), 1, 1))))
&amp;""/""&amp;G200"),"CLQ/4 Primaria")</f>
        <v>CLQ/4 Primaria</v>
      </c>
      <c r="F200" s="24" t="s">
        <v>1755</v>
      </c>
      <c r="G200" s="248" t="s">
        <v>16</v>
      </c>
      <c r="H200" s="248" t="s">
        <v>1689</v>
      </c>
      <c r="I200" s="248" t="s">
        <v>1636</v>
      </c>
      <c r="J200" s="248" t="s">
        <v>1787</v>
      </c>
      <c r="K200" s="248" t="s">
        <v>1586</v>
      </c>
      <c r="L200" s="272"/>
      <c r="M200" s="286" t="s">
        <v>1587</v>
      </c>
      <c r="N200" s="286" t="s">
        <v>1589</v>
      </c>
      <c r="O200" s="286" t="s">
        <v>1588</v>
      </c>
      <c r="P200" s="286" t="s">
        <v>1589</v>
      </c>
      <c r="Q200" s="286" t="s">
        <v>1617</v>
      </c>
      <c r="R200" s="286" t="s">
        <v>1588</v>
      </c>
      <c r="S200" s="286" t="s">
        <v>1588</v>
      </c>
      <c r="T200" s="286" t="s">
        <v>1589</v>
      </c>
      <c r="U200" s="286" t="s">
        <v>1617</v>
      </c>
      <c r="V200" s="286" t="s">
        <v>1589</v>
      </c>
      <c r="W200" s="286" t="s">
        <v>1617</v>
      </c>
      <c r="X200" s="286" t="s">
        <v>1588</v>
      </c>
      <c r="Y200" s="286" t="s">
        <v>1587</v>
      </c>
      <c r="Z200" s="286" t="s">
        <v>1587</v>
      </c>
      <c r="AA200" s="286" t="s">
        <v>1588</v>
      </c>
      <c r="AB200" s="286" t="s">
        <v>1617</v>
      </c>
      <c r="AC200" s="286" t="s">
        <v>1617</v>
      </c>
      <c r="AD200" s="286" t="s">
        <v>1617</v>
      </c>
      <c r="AE200" s="286" t="s">
        <v>1587</v>
      </c>
      <c r="AF200" s="286" t="s">
        <v>1587</v>
      </c>
      <c r="AG200" s="283">
        <v>12</v>
      </c>
      <c r="AH200" s="287" t="s">
        <v>23</v>
      </c>
      <c r="AI200" s="272"/>
      <c r="AJ200" s="288" t="s">
        <v>2032</v>
      </c>
      <c r="AK200" s="288" t="s">
        <v>2032</v>
      </c>
      <c r="AL200" s="288" t="s">
        <v>2032</v>
      </c>
      <c r="AM200" s="288" t="s">
        <v>2032</v>
      </c>
      <c r="AN200" s="288" t="s">
        <v>2032</v>
      </c>
      <c r="AO200" s="288" t="s">
        <v>2032</v>
      </c>
      <c r="AP200" s="288" t="s">
        <v>2032</v>
      </c>
      <c r="AQ200" s="288" t="s">
        <v>2032</v>
      </c>
      <c r="AR200" s="288" t="s">
        <v>2032</v>
      </c>
      <c r="AS200" s="288" t="s">
        <v>2032</v>
      </c>
      <c r="AT200" s="288" t="s">
        <v>2032</v>
      </c>
      <c r="AU200" s="288" t="s">
        <v>2032</v>
      </c>
      <c r="AV200" s="288" t="s">
        <v>2032</v>
      </c>
      <c r="AW200" s="288" t="s">
        <v>2032</v>
      </c>
      <c r="AX200" s="288" t="s">
        <v>2032</v>
      </c>
      <c r="AY200" s="288" t="s">
        <v>2032</v>
      </c>
      <c r="AZ200" s="288" t="s">
        <v>2032</v>
      </c>
      <c r="BA200" s="288" t="s">
        <v>2032</v>
      </c>
      <c r="BB200" s="288" t="s">
        <v>2032</v>
      </c>
      <c r="BC200" s="288" t="s">
        <v>2032</v>
      </c>
      <c r="BD200" s="289">
        <f t="shared" si="0"/>
        <v>0</v>
      </c>
      <c r="BE200" s="287"/>
      <c r="BF200" s="272"/>
    </row>
    <row r="201" spans="1:58" ht="14.25" customHeight="1" x14ac:dyDescent="0.35">
      <c r="A201" s="68">
        <v>199</v>
      </c>
      <c r="B201" s="24" t="s">
        <v>1779</v>
      </c>
      <c r="C201" s="24">
        <v>2024</v>
      </c>
      <c r="D201" s="24" t="s">
        <v>1745</v>
      </c>
      <c r="E201" s="269" t="str">
        <f ca="1">IFERROR(__xludf.DUMMYFUNCTION("ARRAYFORMULA(JOIN("""", ARRAYFORMULA(MID(SPLIT(F201, "" ""), 1, 1))))
&amp;""/""&amp;G201"),"CLQ/4 Primaria")</f>
        <v>CLQ/4 Primaria</v>
      </c>
      <c r="F201" s="24" t="s">
        <v>1755</v>
      </c>
      <c r="G201" s="248" t="s">
        <v>16</v>
      </c>
      <c r="H201" s="248" t="s">
        <v>1788</v>
      </c>
      <c r="I201" s="248" t="s">
        <v>1718</v>
      </c>
      <c r="J201" s="248" t="s">
        <v>1789</v>
      </c>
      <c r="K201" s="248" t="s">
        <v>1586</v>
      </c>
      <c r="L201" s="272"/>
      <c r="M201" s="286" t="s">
        <v>1587</v>
      </c>
      <c r="N201" s="286" t="s">
        <v>1589</v>
      </c>
      <c r="O201" s="286" t="s">
        <v>1588</v>
      </c>
      <c r="P201" s="286" t="s">
        <v>1587</v>
      </c>
      <c r="Q201" s="286" t="s">
        <v>1589</v>
      </c>
      <c r="R201" s="286" t="s">
        <v>1587</v>
      </c>
      <c r="S201" s="286" t="s">
        <v>1588</v>
      </c>
      <c r="T201" s="286" t="s">
        <v>1589</v>
      </c>
      <c r="U201" s="286" t="s">
        <v>1617</v>
      </c>
      <c r="V201" s="286" t="s">
        <v>1589</v>
      </c>
      <c r="W201" s="286" t="s">
        <v>1617</v>
      </c>
      <c r="X201" s="286" t="s">
        <v>1588</v>
      </c>
      <c r="Y201" s="286" t="s">
        <v>1587</v>
      </c>
      <c r="Z201" s="286" t="s">
        <v>1617</v>
      </c>
      <c r="AA201" s="286" t="s">
        <v>1589</v>
      </c>
      <c r="AB201" s="286" t="s">
        <v>1617</v>
      </c>
      <c r="AC201" s="286" t="s">
        <v>1589</v>
      </c>
      <c r="AD201" s="286" t="s">
        <v>1617</v>
      </c>
      <c r="AE201" s="286" t="s">
        <v>1587</v>
      </c>
      <c r="AF201" s="286" t="s">
        <v>1587</v>
      </c>
      <c r="AG201" s="283">
        <v>14</v>
      </c>
      <c r="AH201" s="287" t="s">
        <v>23</v>
      </c>
      <c r="AI201" s="272"/>
      <c r="AJ201" s="288" t="s">
        <v>2032</v>
      </c>
      <c r="AK201" s="288" t="s">
        <v>2032</v>
      </c>
      <c r="AL201" s="288" t="s">
        <v>2032</v>
      </c>
      <c r="AM201" s="288" t="s">
        <v>2032</v>
      </c>
      <c r="AN201" s="288" t="s">
        <v>2032</v>
      </c>
      <c r="AO201" s="288" t="s">
        <v>2032</v>
      </c>
      <c r="AP201" s="288" t="s">
        <v>2032</v>
      </c>
      <c r="AQ201" s="288" t="s">
        <v>2032</v>
      </c>
      <c r="AR201" s="288" t="s">
        <v>2032</v>
      </c>
      <c r="AS201" s="288" t="s">
        <v>2032</v>
      </c>
      <c r="AT201" s="288" t="s">
        <v>2032</v>
      </c>
      <c r="AU201" s="288" t="s">
        <v>2032</v>
      </c>
      <c r="AV201" s="288" t="s">
        <v>2032</v>
      </c>
      <c r="AW201" s="288" t="s">
        <v>2032</v>
      </c>
      <c r="AX201" s="288" t="s">
        <v>2032</v>
      </c>
      <c r="AY201" s="288" t="s">
        <v>2032</v>
      </c>
      <c r="AZ201" s="288" t="s">
        <v>2032</v>
      </c>
      <c r="BA201" s="288" t="s">
        <v>2032</v>
      </c>
      <c r="BB201" s="288" t="s">
        <v>2032</v>
      </c>
      <c r="BC201" s="288" t="s">
        <v>2032</v>
      </c>
      <c r="BD201" s="289">
        <f t="shared" si="0"/>
        <v>0</v>
      </c>
      <c r="BE201" s="287"/>
      <c r="BF201" s="272"/>
    </row>
    <row r="202" spans="1:58" ht="14.25" customHeight="1" x14ac:dyDescent="0.35">
      <c r="A202" s="68">
        <v>200</v>
      </c>
      <c r="B202" s="24" t="s">
        <v>1779</v>
      </c>
      <c r="C202" s="24">
        <v>2024</v>
      </c>
      <c r="D202" s="24" t="s">
        <v>1745</v>
      </c>
      <c r="E202" s="269" t="str">
        <f ca="1">IFERROR(__xludf.DUMMYFUNCTION("ARRAYFORMULA(JOIN("""", ARRAYFORMULA(MID(SPLIT(F202, "" ""), 1, 1))))
&amp;""/""&amp;G202"),"CLQ/6 Primaria")</f>
        <v>CLQ/6 Primaria</v>
      </c>
      <c r="F202" s="24" t="s">
        <v>1755</v>
      </c>
      <c r="G202" s="248" t="s">
        <v>37</v>
      </c>
      <c r="H202" s="248" t="s">
        <v>1790</v>
      </c>
      <c r="I202" s="248" t="s">
        <v>1612</v>
      </c>
      <c r="J202" s="248" t="s">
        <v>1791</v>
      </c>
      <c r="K202" s="248" t="s">
        <v>1586</v>
      </c>
      <c r="L202" s="272"/>
      <c r="M202" s="286" t="s">
        <v>1589</v>
      </c>
      <c r="N202" s="286" t="s">
        <v>1589</v>
      </c>
      <c r="O202" s="286" t="s">
        <v>1617</v>
      </c>
      <c r="P202" s="286" t="s">
        <v>1587</v>
      </c>
      <c r="Q202" s="286" t="s">
        <v>1588</v>
      </c>
      <c r="R202" s="286" t="s">
        <v>1617</v>
      </c>
      <c r="S202" s="286" t="s">
        <v>1587</v>
      </c>
      <c r="T202" s="286" t="s">
        <v>1589</v>
      </c>
      <c r="U202" s="286" t="s">
        <v>1617</v>
      </c>
      <c r="V202" s="286" t="s">
        <v>1589</v>
      </c>
      <c r="W202" s="286" t="s">
        <v>1588</v>
      </c>
      <c r="X202" s="286" t="s">
        <v>1589</v>
      </c>
      <c r="Y202" s="286" t="s">
        <v>1588</v>
      </c>
      <c r="Z202" s="286" t="s">
        <v>1589</v>
      </c>
      <c r="AA202" s="286" t="s">
        <v>1588</v>
      </c>
      <c r="AB202" s="286" t="s">
        <v>1588</v>
      </c>
      <c r="AC202" s="286" t="s">
        <v>1587</v>
      </c>
      <c r="AD202" s="286" t="s">
        <v>1588</v>
      </c>
      <c r="AE202" s="286" t="s">
        <v>1588</v>
      </c>
      <c r="AF202" s="286" t="s">
        <v>1617</v>
      </c>
      <c r="AG202" s="283">
        <v>12</v>
      </c>
      <c r="AH202" s="287" t="s">
        <v>23</v>
      </c>
      <c r="AI202" s="272"/>
      <c r="AJ202" s="288" t="s">
        <v>2032</v>
      </c>
      <c r="AK202" s="288" t="s">
        <v>2032</v>
      </c>
      <c r="AL202" s="288" t="s">
        <v>2032</v>
      </c>
      <c r="AM202" s="288" t="s">
        <v>2032</v>
      </c>
      <c r="AN202" s="288" t="s">
        <v>2032</v>
      </c>
      <c r="AO202" s="288" t="s">
        <v>2032</v>
      </c>
      <c r="AP202" s="288" t="s">
        <v>2032</v>
      </c>
      <c r="AQ202" s="288" t="s">
        <v>2032</v>
      </c>
      <c r="AR202" s="288" t="s">
        <v>2032</v>
      </c>
      <c r="AS202" s="288" t="s">
        <v>2032</v>
      </c>
      <c r="AT202" s="288" t="s">
        <v>2032</v>
      </c>
      <c r="AU202" s="288" t="s">
        <v>2032</v>
      </c>
      <c r="AV202" s="288" t="s">
        <v>2032</v>
      </c>
      <c r="AW202" s="288" t="s">
        <v>2032</v>
      </c>
      <c r="AX202" s="288" t="s">
        <v>2032</v>
      </c>
      <c r="AY202" s="288" t="s">
        <v>2032</v>
      </c>
      <c r="AZ202" s="288" t="s">
        <v>2032</v>
      </c>
      <c r="BA202" s="288" t="s">
        <v>2032</v>
      </c>
      <c r="BB202" s="288" t="s">
        <v>2032</v>
      </c>
      <c r="BC202" s="288" t="s">
        <v>2032</v>
      </c>
      <c r="BD202" s="289">
        <f t="shared" si="0"/>
        <v>0</v>
      </c>
      <c r="BE202" s="287"/>
      <c r="BF202" s="272"/>
    </row>
    <row r="203" spans="1:58" ht="14.25" customHeight="1" x14ac:dyDescent="0.35">
      <c r="A203" s="68">
        <v>201</v>
      </c>
      <c r="B203" s="24" t="s">
        <v>1792</v>
      </c>
      <c r="C203" s="24">
        <v>2024</v>
      </c>
      <c r="D203" s="24" t="s">
        <v>1745</v>
      </c>
      <c r="E203" s="269" t="str">
        <f ca="1">IFERROR(__xludf.DUMMYFUNCTION("ARRAYFORMULA(JOIN("""", ARRAYFORMULA(MID(SPLIT(F203, "" ""), 1, 1))))
&amp;""/""&amp;G203"),"CLQ/2 Primaria")</f>
        <v>CLQ/2 Primaria</v>
      </c>
      <c r="F203" s="24" t="s">
        <v>1755</v>
      </c>
      <c r="G203" s="248" t="s">
        <v>45</v>
      </c>
      <c r="H203" s="248" t="s">
        <v>1793</v>
      </c>
      <c r="I203" s="248" t="s">
        <v>1689</v>
      </c>
      <c r="J203" s="248" t="s">
        <v>1794</v>
      </c>
      <c r="K203" s="248" t="s">
        <v>1586</v>
      </c>
      <c r="L203" s="272"/>
      <c r="M203" s="286" t="s">
        <v>1753</v>
      </c>
      <c r="N203" s="286" t="s">
        <v>1753</v>
      </c>
      <c r="O203" s="286" t="s">
        <v>1588</v>
      </c>
      <c r="P203" s="286" t="s">
        <v>1754</v>
      </c>
      <c r="Q203" s="286" t="s">
        <v>1753</v>
      </c>
      <c r="R203" s="286" t="s">
        <v>1588</v>
      </c>
      <c r="S203" s="286" t="s">
        <v>1588</v>
      </c>
      <c r="T203" s="286" t="s">
        <v>1588</v>
      </c>
      <c r="U203" s="286" t="s">
        <v>1754</v>
      </c>
      <c r="V203" s="286" t="s">
        <v>1753</v>
      </c>
      <c r="W203" s="286" t="s">
        <v>1588</v>
      </c>
      <c r="X203" s="286" t="s">
        <v>1588</v>
      </c>
      <c r="Y203" s="286" t="s">
        <v>1588</v>
      </c>
      <c r="Z203" s="286" t="s">
        <v>1754</v>
      </c>
      <c r="AA203" s="286" t="s">
        <v>1754</v>
      </c>
      <c r="AB203" s="286" t="s">
        <v>1754</v>
      </c>
      <c r="AC203" s="286" t="s">
        <v>1753</v>
      </c>
      <c r="AD203" s="286" t="s">
        <v>1754</v>
      </c>
      <c r="AE203" s="286" t="s">
        <v>1753</v>
      </c>
      <c r="AF203" s="286" t="s">
        <v>1754</v>
      </c>
      <c r="AG203" s="283">
        <v>7</v>
      </c>
      <c r="AH203" s="287" t="s">
        <v>19</v>
      </c>
      <c r="AI203" s="272"/>
      <c r="AJ203" s="288" t="s">
        <v>2032</v>
      </c>
      <c r="AK203" s="288" t="s">
        <v>2032</v>
      </c>
      <c r="AL203" s="288" t="s">
        <v>2032</v>
      </c>
      <c r="AM203" s="288" t="s">
        <v>2032</v>
      </c>
      <c r="AN203" s="288" t="s">
        <v>2032</v>
      </c>
      <c r="AO203" s="288" t="s">
        <v>2032</v>
      </c>
      <c r="AP203" s="288" t="s">
        <v>2032</v>
      </c>
      <c r="AQ203" s="288" t="s">
        <v>2032</v>
      </c>
      <c r="AR203" s="288" t="s">
        <v>2032</v>
      </c>
      <c r="AS203" s="288" t="s">
        <v>2032</v>
      </c>
      <c r="AT203" s="288" t="s">
        <v>2032</v>
      </c>
      <c r="AU203" s="288" t="s">
        <v>2032</v>
      </c>
      <c r="AV203" s="288" t="s">
        <v>2032</v>
      </c>
      <c r="AW203" s="288" t="s">
        <v>2032</v>
      </c>
      <c r="AX203" s="288" t="s">
        <v>2032</v>
      </c>
      <c r="AY203" s="288" t="s">
        <v>2032</v>
      </c>
      <c r="AZ203" s="288" t="s">
        <v>2032</v>
      </c>
      <c r="BA203" s="288" t="s">
        <v>2032</v>
      </c>
      <c r="BB203" s="288" t="s">
        <v>2032</v>
      </c>
      <c r="BC203" s="288" t="s">
        <v>2032</v>
      </c>
      <c r="BD203" s="289">
        <f t="shared" si="0"/>
        <v>0</v>
      </c>
      <c r="BE203" s="287"/>
      <c r="BF203" s="272"/>
    </row>
    <row r="204" spans="1:58" ht="14.25" customHeight="1" x14ac:dyDescent="0.35">
      <c r="A204" s="68">
        <v>202</v>
      </c>
      <c r="B204" s="24" t="s">
        <v>1792</v>
      </c>
      <c r="C204" s="24">
        <v>2024</v>
      </c>
      <c r="D204" s="24" t="s">
        <v>1745</v>
      </c>
      <c r="E204" s="269" t="str">
        <f ca="1">IFERROR(__xludf.DUMMYFUNCTION("ARRAYFORMULA(JOIN("""", ARRAYFORMULA(MID(SPLIT(F204, "" ""), 1, 1))))
&amp;""/""&amp;G204"),"CLQ/2 Primaria")</f>
        <v>CLQ/2 Primaria</v>
      </c>
      <c r="F204" s="24" t="s">
        <v>1755</v>
      </c>
      <c r="G204" s="248" t="s">
        <v>45</v>
      </c>
      <c r="H204" s="248" t="s">
        <v>1795</v>
      </c>
      <c r="I204" s="248" t="s">
        <v>1796</v>
      </c>
      <c r="J204" s="248" t="s">
        <v>1797</v>
      </c>
      <c r="K204" s="248" t="s">
        <v>1593</v>
      </c>
      <c r="L204" s="272"/>
      <c r="M204" s="286" t="s">
        <v>1753</v>
      </c>
      <c r="N204" s="286" t="s">
        <v>1753</v>
      </c>
      <c r="O204" s="286" t="s">
        <v>1588</v>
      </c>
      <c r="P204" s="286" t="s">
        <v>1754</v>
      </c>
      <c r="Q204" s="286" t="s">
        <v>1753</v>
      </c>
      <c r="R204" s="286" t="s">
        <v>1588</v>
      </c>
      <c r="S204" s="286" t="s">
        <v>1753</v>
      </c>
      <c r="T204" s="286" t="s">
        <v>1754</v>
      </c>
      <c r="U204" s="286" t="s">
        <v>1588</v>
      </c>
      <c r="V204" s="286" t="s">
        <v>1588</v>
      </c>
      <c r="W204" s="286" t="s">
        <v>1588</v>
      </c>
      <c r="X204" s="286" t="s">
        <v>1753</v>
      </c>
      <c r="Y204" s="286" t="s">
        <v>1754</v>
      </c>
      <c r="Z204" s="286" t="s">
        <v>1588</v>
      </c>
      <c r="AA204" s="286" t="s">
        <v>1753</v>
      </c>
      <c r="AB204" s="286" t="s">
        <v>1753</v>
      </c>
      <c r="AC204" s="286" t="s">
        <v>1753</v>
      </c>
      <c r="AD204" s="286" t="s">
        <v>1754</v>
      </c>
      <c r="AE204" s="286" t="s">
        <v>1754</v>
      </c>
      <c r="AF204" s="286" t="s">
        <v>1753</v>
      </c>
      <c r="AG204" s="283">
        <v>11</v>
      </c>
      <c r="AH204" s="287" t="s">
        <v>23</v>
      </c>
      <c r="AI204" s="272"/>
      <c r="AJ204" s="288" t="s">
        <v>2032</v>
      </c>
      <c r="AK204" s="288" t="s">
        <v>2032</v>
      </c>
      <c r="AL204" s="288" t="s">
        <v>2032</v>
      </c>
      <c r="AM204" s="288" t="s">
        <v>2032</v>
      </c>
      <c r="AN204" s="288" t="s">
        <v>2032</v>
      </c>
      <c r="AO204" s="288" t="s">
        <v>2032</v>
      </c>
      <c r="AP204" s="288" t="s">
        <v>2032</v>
      </c>
      <c r="AQ204" s="288" t="s">
        <v>2032</v>
      </c>
      <c r="AR204" s="288" t="s">
        <v>2032</v>
      </c>
      <c r="AS204" s="288" t="s">
        <v>2032</v>
      </c>
      <c r="AT204" s="288" t="s">
        <v>2032</v>
      </c>
      <c r="AU204" s="288" t="s">
        <v>2032</v>
      </c>
      <c r="AV204" s="288" t="s">
        <v>2032</v>
      </c>
      <c r="AW204" s="288" t="s">
        <v>2032</v>
      </c>
      <c r="AX204" s="288" t="s">
        <v>2032</v>
      </c>
      <c r="AY204" s="288" t="s">
        <v>2032</v>
      </c>
      <c r="AZ204" s="288" t="s">
        <v>2032</v>
      </c>
      <c r="BA204" s="288" t="s">
        <v>2032</v>
      </c>
      <c r="BB204" s="288" t="s">
        <v>2032</v>
      </c>
      <c r="BC204" s="288" t="s">
        <v>2032</v>
      </c>
      <c r="BD204" s="289">
        <f t="shared" si="0"/>
        <v>0</v>
      </c>
      <c r="BE204" s="287"/>
      <c r="BF204" s="272"/>
    </row>
    <row r="205" spans="1:58" ht="14.25" customHeight="1" x14ac:dyDescent="0.35">
      <c r="A205" s="68">
        <v>203</v>
      </c>
      <c r="B205" s="24" t="s">
        <v>1792</v>
      </c>
      <c r="C205" s="24">
        <v>2024</v>
      </c>
      <c r="D205" s="24" t="s">
        <v>1745</v>
      </c>
      <c r="E205" s="269" t="str">
        <f ca="1">IFERROR(__xludf.DUMMYFUNCTION("ARRAYFORMULA(JOIN("""", ARRAYFORMULA(MID(SPLIT(F205, "" ""), 1, 1))))
&amp;""/""&amp;G205"),"CLQ/2 Primaria")</f>
        <v>CLQ/2 Primaria</v>
      </c>
      <c r="F205" s="24" t="s">
        <v>1755</v>
      </c>
      <c r="G205" s="248" t="s">
        <v>45</v>
      </c>
      <c r="H205" s="248" t="s">
        <v>1795</v>
      </c>
      <c r="I205" s="248" t="s">
        <v>1798</v>
      </c>
      <c r="J205" s="248" t="s">
        <v>1799</v>
      </c>
      <c r="K205" s="248" t="s">
        <v>1593</v>
      </c>
      <c r="L205" s="272"/>
      <c r="M205" s="286" t="s">
        <v>1753</v>
      </c>
      <c r="N205" s="286" t="s">
        <v>1588</v>
      </c>
      <c r="O205" s="286" t="s">
        <v>1588</v>
      </c>
      <c r="P205" s="286" t="s">
        <v>1753</v>
      </c>
      <c r="Q205" s="286" t="s">
        <v>1753</v>
      </c>
      <c r="R205" s="286" t="s">
        <v>1588</v>
      </c>
      <c r="S205" s="286" t="s">
        <v>1588</v>
      </c>
      <c r="T205" s="286" t="s">
        <v>1588</v>
      </c>
      <c r="U205" s="286" t="s">
        <v>1753</v>
      </c>
      <c r="V205" s="286" t="s">
        <v>1754</v>
      </c>
      <c r="W205" s="286" t="s">
        <v>1588</v>
      </c>
      <c r="X205" s="286" t="s">
        <v>1753</v>
      </c>
      <c r="Y205" s="286" t="s">
        <v>1754</v>
      </c>
      <c r="Z205" s="286" t="s">
        <v>1753</v>
      </c>
      <c r="AA205" s="286" t="s">
        <v>1754</v>
      </c>
      <c r="AB205" s="286" t="s">
        <v>1754</v>
      </c>
      <c r="AC205" s="286" t="s">
        <v>1753</v>
      </c>
      <c r="AD205" s="286" t="s">
        <v>1753</v>
      </c>
      <c r="AE205" s="286" t="s">
        <v>1754</v>
      </c>
      <c r="AF205" s="286" t="s">
        <v>1754</v>
      </c>
      <c r="AG205" s="283">
        <v>11</v>
      </c>
      <c r="AH205" s="287" t="s">
        <v>23</v>
      </c>
      <c r="AI205" s="272"/>
      <c r="AJ205" s="288" t="s">
        <v>2032</v>
      </c>
      <c r="AK205" s="288" t="s">
        <v>2032</v>
      </c>
      <c r="AL205" s="288" t="s">
        <v>2032</v>
      </c>
      <c r="AM205" s="288" t="s">
        <v>2032</v>
      </c>
      <c r="AN205" s="288" t="s">
        <v>2032</v>
      </c>
      <c r="AO205" s="288" t="s">
        <v>2032</v>
      </c>
      <c r="AP205" s="288" t="s">
        <v>2032</v>
      </c>
      <c r="AQ205" s="288" t="s">
        <v>2032</v>
      </c>
      <c r="AR205" s="288" t="s">
        <v>2032</v>
      </c>
      <c r="AS205" s="288" t="s">
        <v>2032</v>
      </c>
      <c r="AT205" s="288" t="s">
        <v>2032</v>
      </c>
      <c r="AU205" s="288" t="s">
        <v>2032</v>
      </c>
      <c r="AV205" s="288" t="s">
        <v>2032</v>
      </c>
      <c r="AW205" s="288" t="s">
        <v>2032</v>
      </c>
      <c r="AX205" s="288" t="s">
        <v>2032</v>
      </c>
      <c r="AY205" s="288" t="s">
        <v>2032</v>
      </c>
      <c r="AZ205" s="288" t="s">
        <v>2032</v>
      </c>
      <c r="BA205" s="288" t="s">
        <v>2032</v>
      </c>
      <c r="BB205" s="288" t="s">
        <v>2032</v>
      </c>
      <c r="BC205" s="288" t="s">
        <v>2032</v>
      </c>
      <c r="BD205" s="289">
        <f t="shared" si="0"/>
        <v>0</v>
      </c>
      <c r="BE205" s="287"/>
      <c r="BF205" s="272"/>
    </row>
    <row r="206" spans="1:58" ht="14.25" customHeight="1" x14ac:dyDescent="0.35">
      <c r="A206" s="68">
        <v>204</v>
      </c>
      <c r="B206" s="24" t="s">
        <v>1792</v>
      </c>
      <c r="C206" s="24">
        <v>2024</v>
      </c>
      <c r="D206" s="24" t="s">
        <v>1745</v>
      </c>
      <c r="E206" s="269" t="str">
        <f ca="1">IFERROR(__xludf.DUMMYFUNCTION("ARRAYFORMULA(JOIN("""", ARRAYFORMULA(MID(SPLIT(F206, "" ""), 1, 1))))
&amp;""/""&amp;G206"),"CLQ/2 Primaria")</f>
        <v>CLQ/2 Primaria</v>
      </c>
      <c r="F206" s="24" t="s">
        <v>1755</v>
      </c>
      <c r="G206" s="248" t="s">
        <v>45</v>
      </c>
      <c r="H206" s="248" t="s">
        <v>1800</v>
      </c>
      <c r="I206" s="248" t="s">
        <v>1647</v>
      </c>
      <c r="J206" s="248" t="s">
        <v>1801</v>
      </c>
      <c r="K206" s="248" t="s">
        <v>1586</v>
      </c>
      <c r="L206" s="272"/>
      <c r="M206" s="286" t="s">
        <v>1753</v>
      </c>
      <c r="N206" s="286" t="s">
        <v>1753</v>
      </c>
      <c r="O206" s="286" t="s">
        <v>1754</v>
      </c>
      <c r="P206" s="286" t="s">
        <v>1588</v>
      </c>
      <c r="Q206" s="286" t="s">
        <v>1754</v>
      </c>
      <c r="R206" s="286" t="s">
        <v>1588</v>
      </c>
      <c r="S206" s="286" t="s">
        <v>1753</v>
      </c>
      <c r="T206" s="286" t="s">
        <v>1754</v>
      </c>
      <c r="U206" s="286" t="s">
        <v>1588</v>
      </c>
      <c r="V206" s="286" t="s">
        <v>1753</v>
      </c>
      <c r="W206" s="286" t="s">
        <v>1588</v>
      </c>
      <c r="X206" s="286" t="s">
        <v>1753</v>
      </c>
      <c r="Y206" s="286" t="s">
        <v>1754</v>
      </c>
      <c r="Z206" s="286" t="s">
        <v>1588</v>
      </c>
      <c r="AA206" s="286" t="s">
        <v>1588</v>
      </c>
      <c r="AB206" s="286" t="s">
        <v>1588</v>
      </c>
      <c r="AC206" s="286" t="s">
        <v>1754</v>
      </c>
      <c r="AD206" s="286" t="s">
        <v>1753</v>
      </c>
      <c r="AE206" s="286" t="s">
        <v>1588</v>
      </c>
      <c r="AF206" s="286" t="s">
        <v>1754</v>
      </c>
      <c r="AG206" s="283">
        <v>8</v>
      </c>
      <c r="AH206" s="287" t="s">
        <v>19</v>
      </c>
      <c r="AI206" s="272"/>
      <c r="AJ206" s="288" t="s">
        <v>2032</v>
      </c>
      <c r="AK206" s="288" t="s">
        <v>2032</v>
      </c>
      <c r="AL206" s="288" t="s">
        <v>2032</v>
      </c>
      <c r="AM206" s="288" t="s">
        <v>2032</v>
      </c>
      <c r="AN206" s="288" t="s">
        <v>2032</v>
      </c>
      <c r="AO206" s="288" t="s">
        <v>2032</v>
      </c>
      <c r="AP206" s="288" t="s">
        <v>2032</v>
      </c>
      <c r="AQ206" s="288" t="s">
        <v>2032</v>
      </c>
      <c r="AR206" s="288" t="s">
        <v>2032</v>
      </c>
      <c r="AS206" s="288" t="s">
        <v>2032</v>
      </c>
      <c r="AT206" s="288" t="s">
        <v>2032</v>
      </c>
      <c r="AU206" s="288" t="s">
        <v>2032</v>
      </c>
      <c r="AV206" s="288" t="s">
        <v>2032</v>
      </c>
      <c r="AW206" s="288" t="s">
        <v>2032</v>
      </c>
      <c r="AX206" s="288" t="s">
        <v>2032</v>
      </c>
      <c r="AY206" s="288" t="s">
        <v>2032</v>
      </c>
      <c r="AZ206" s="288" t="s">
        <v>2032</v>
      </c>
      <c r="BA206" s="288" t="s">
        <v>2032</v>
      </c>
      <c r="BB206" s="288" t="s">
        <v>2032</v>
      </c>
      <c r="BC206" s="288" t="s">
        <v>2032</v>
      </c>
      <c r="BD206" s="289">
        <f t="shared" si="0"/>
        <v>0</v>
      </c>
      <c r="BE206" s="287"/>
      <c r="BF206" s="272"/>
    </row>
    <row r="207" spans="1:58" ht="14.25" customHeight="1" x14ac:dyDescent="0.35">
      <c r="A207" s="68">
        <v>205</v>
      </c>
      <c r="B207" s="24" t="s">
        <v>1792</v>
      </c>
      <c r="C207" s="24">
        <v>2024</v>
      </c>
      <c r="D207" s="24" t="s">
        <v>1745</v>
      </c>
      <c r="E207" s="269" t="str">
        <f ca="1">IFERROR(__xludf.DUMMYFUNCTION("ARRAYFORMULA(JOIN("""", ARRAYFORMULA(MID(SPLIT(F207, "" ""), 1, 1))))
&amp;""/""&amp;G207"),"CLQ/4 Primaria")</f>
        <v>CLQ/4 Primaria</v>
      </c>
      <c r="F207" s="24" t="s">
        <v>1755</v>
      </c>
      <c r="G207" s="248" t="s">
        <v>16</v>
      </c>
      <c r="H207" s="248" t="s">
        <v>1802</v>
      </c>
      <c r="I207" s="248" t="s">
        <v>1803</v>
      </c>
      <c r="J207" s="248" t="s">
        <v>1804</v>
      </c>
      <c r="K207" s="248" t="s">
        <v>1586</v>
      </c>
      <c r="L207" s="272"/>
      <c r="M207" s="286" t="s">
        <v>1587</v>
      </c>
      <c r="N207" s="286" t="s">
        <v>1588</v>
      </c>
      <c r="O207" s="286" t="s">
        <v>1588</v>
      </c>
      <c r="P207" s="286" t="s">
        <v>1587</v>
      </c>
      <c r="Q207" s="286" t="s">
        <v>1587</v>
      </c>
      <c r="R207" s="286" t="s">
        <v>1587</v>
      </c>
      <c r="S207" s="286" t="s">
        <v>1588</v>
      </c>
      <c r="T207" s="286" t="s">
        <v>1589</v>
      </c>
      <c r="U207" s="286" t="s">
        <v>1587</v>
      </c>
      <c r="V207" s="286" t="s">
        <v>1617</v>
      </c>
      <c r="W207" s="286" t="s">
        <v>1589</v>
      </c>
      <c r="X207" s="286" t="s">
        <v>1588</v>
      </c>
      <c r="Y207" s="286" t="s">
        <v>1588</v>
      </c>
      <c r="Z207" s="286" t="s">
        <v>1589</v>
      </c>
      <c r="AA207" s="286" t="s">
        <v>1617</v>
      </c>
      <c r="AB207" s="286" t="s">
        <v>1587</v>
      </c>
      <c r="AC207" s="286" t="s">
        <v>1589</v>
      </c>
      <c r="AD207" s="286" t="s">
        <v>1617</v>
      </c>
      <c r="AE207" s="286" t="s">
        <v>1589</v>
      </c>
      <c r="AF207" s="286" t="s">
        <v>1589</v>
      </c>
      <c r="AG207" s="283">
        <v>8</v>
      </c>
      <c r="AH207" s="287" t="s">
        <v>19</v>
      </c>
      <c r="AI207" s="272"/>
      <c r="AJ207" s="288" t="s">
        <v>2032</v>
      </c>
      <c r="AK207" s="288" t="s">
        <v>2032</v>
      </c>
      <c r="AL207" s="288" t="s">
        <v>2032</v>
      </c>
      <c r="AM207" s="288" t="s">
        <v>2032</v>
      </c>
      <c r="AN207" s="288" t="s">
        <v>2032</v>
      </c>
      <c r="AO207" s="288" t="s">
        <v>2032</v>
      </c>
      <c r="AP207" s="288" t="s">
        <v>2032</v>
      </c>
      <c r="AQ207" s="288" t="s">
        <v>2032</v>
      </c>
      <c r="AR207" s="288" t="s">
        <v>2032</v>
      </c>
      <c r="AS207" s="288" t="s">
        <v>2032</v>
      </c>
      <c r="AT207" s="288" t="s">
        <v>2032</v>
      </c>
      <c r="AU207" s="288" t="s">
        <v>2032</v>
      </c>
      <c r="AV207" s="288" t="s">
        <v>2032</v>
      </c>
      <c r="AW207" s="288" t="s">
        <v>2032</v>
      </c>
      <c r="AX207" s="288" t="s">
        <v>2032</v>
      </c>
      <c r="AY207" s="288" t="s">
        <v>2032</v>
      </c>
      <c r="AZ207" s="288" t="s">
        <v>2032</v>
      </c>
      <c r="BA207" s="288" t="s">
        <v>2032</v>
      </c>
      <c r="BB207" s="288" t="s">
        <v>2032</v>
      </c>
      <c r="BC207" s="288" t="s">
        <v>2032</v>
      </c>
      <c r="BD207" s="289">
        <f t="shared" si="0"/>
        <v>0</v>
      </c>
      <c r="BE207" s="287"/>
      <c r="BF207" s="272"/>
    </row>
    <row r="208" spans="1:58" ht="14.25" customHeight="1" x14ac:dyDescent="0.35">
      <c r="A208" s="68">
        <v>206</v>
      </c>
      <c r="B208" s="24" t="s">
        <v>1792</v>
      </c>
      <c r="C208" s="24">
        <v>2024</v>
      </c>
      <c r="D208" s="24" t="s">
        <v>1745</v>
      </c>
      <c r="E208" s="269" t="str">
        <f ca="1">IFERROR(__xludf.DUMMYFUNCTION("ARRAYFORMULA(JOIN("""", ARRAYFORMULA(MID(SPLIT(F208, "" ""), 1, 1))))
&amp;""/""&amp;G208"),"CLQ/4 Primaria")</f>
        <v>CLQ/4 Primaria</v>
      </c>
      <c r="F208" s="24" t="s">
        <v>1755</v>
      </c>
      <c r="G208" s="248" t="s">
        <v>16</v>
      </c>
      <c r="H208" s="248" t="s">
        <v>1805</v>
      </c>
      <c r="I208" s="248" t="s">
        <v>1689</v>
      </c>
      <c r="J208" s="248" t="s">
        <v>1806</v>
      </c>
      <c r="K208" s="248" t="s">
        <v>1593</v>
      </c>
      <c r="L208" s="272"/>
      <c r="M208" s="286" t="s">
        <v>1587</v>
      </c>
      <c r="N208" s="286" t="s">
        <v>1589</v>
      </c>
      <c r="O208" s="286" t="s">
        <v>1588</v>
      </c>
      <c r="P208" s="286" t="s">
        <v>1587</v>
      </c>
      <c r="Q208" s="286" t="s">
        <v>1617</v>
      </c>
      <c r="R208" s="286" t="s">
        <v>1617</v>
      </c>
      <c r="S208" s="286" t="s">
        <v>1588</v>
      </c>
      <c r="T208" s="286" t="s">
        <v>1589</v>
      </c>
      <c r="U208" s="286" t="s">
        <v>1588</v>
      </c>
      <c r="V208" s="286" t="s">
        <v>1589</v>
      </c>
      <c r="W208" s="286" t="s">
        <v>1617</v>
      </c>
      <c r="X208" s="286" t="s">
        <v>1589</v>
      </c>
      <c r="Y208" s="286" t="s">
        <v>1587</v>
      </c>
      <c r="Z208" s="286" t="s">
        <v>1587</v>
      </c>
      <c r="AA208" s="286" t="s">
        <v>1588</v>
      </c>
      <c r="AB208" s="286" t="s">
        <v>1589</v>
      </c>
      <c r="AC208" s="286" t="s">
        <v>1589</v>
      </c>
      <c r="AD208" s="286" t="s">
        <v>1617</v>
      </c>
      <c r="AE208" s="286" t="s">
        <v>1587</v>
      </c>
      <c r="AF208" s="286" t="s">
        <v>1588</v>
      </c>
      <c r="AG208" s="283">
        <v>12</v>
      </c>
      <c r="AH208" s="287" t="s">
        <v>23</v>
      </c>
      <c r="AI208" s="272"/>
      <c r="AJ208" s="288" t="s">
        <v>2032</v>
      </c>
      <c r="AK208" s="288" t="s">
        <v>2032</v>
      </c>
      <c r="AL208" s="288" t="s">
        <v>2032</v>
      </c>
      <c r="AM208" s="288" t="s">
        <v>2032</v>
      </c>
      <c r="AN208" s="288" t="s">
        <v>2032</v>
      </c>
      <c r="AO208" s="288" t="s">
        <v>2032</v>
      </c>
      <c r="AP208" s="288" t="s">
        <v>2032</v>
      </c>
      <c r="AQ208" s="288" t="s">
        <v>2032</v>
      </c>
      <c r="AR208" s="288" t="s">
        <v>2032</v>
      </c>
      <c r="AS208" s="288" t="s">
        <v>2032</v>
      </c>
      <c r="AT208" s="288" t="s">
        <v>2032</v>
      </c>
      <c r="AU208" s="288" t="s">
        <v>2032</v>
      </c>
      <c r="AV208" s="288" t="s">
        <v>2032</v>
      </c>
      <c r="AW208" s="288" t="s">
        <v>2032</v>
      </c>
      <c r="AX208" s="288" t="s">
        <v>2032</v>
      </c>
      <c r="AY208" s="288" t="s">
        <v>2032</v>
      </c>
      <c r="AZ208" s="288" t="s">
        <v>2032</v>
      </c>
      <c r="BA208" s="288" t="s">
        <v>2032</v>
      </c>
      <c r="BB208" s="288" t="s">
        <v>2032</v>
      </c>
      <c r="BC208" s="288" t="s">
        <v>2032</v>
      </c>
      <c r="BD208" s="289">
        <f t="shared" si="0"/>
        <v>0</v>
      </c>
      <c r="BE208" s="287"/>
      <c r="BF208" s="272"/>
    </row>
    <row r="209" spans="1:58" ht="14.25" customHeight="1" x14ac:dyDescent="0.35">
      <c r="A209" s="68">
        <v>207</v>
      </c>
      <c r="B209" s="24" t="s">
        <v>1792</v>
      </c>
      <c r="C209" s="24">
        <v>2024</v>
      </c>
      <c r="D209" s="24" t="s">
        <v>1745</v>
      </c>
      <c r="E209" s="269" t="str">
        <f ca="1">IFERROR(__xludf.DUMMYFUNCTION("ARRAYFORMULA(JOIN("""", ARRAYFORMULA(MID(SPLIT(F209, "" ""), 1, 1))))
&amp;""/""&amp;G209"),"CLQ/4 Primaria")</f>
        <v>CLQ/4 Primaria</v>
      </c>
      <c r="F209" s="24" t="s">
        <v>1755</v>
      </c>
      <c r="G209" s="248" t="s">
        <v>16</v>
      </c>
      <c r="H209" s="248" t="s">
        <v>1807</v>
      </c>
      <c r="I209" s="248" t="s">
        <v>1808</v>
      </c>
      <c r="J209" s="248" t="s">
        <v>1809</v>
      </c>
      <c r="K209" s="248" t="s">
        <v>1586</v>
      </c>
      <c r="L209" s="272"/>
      <c r="M209" s="286" t="s">
        <v>1587</v>
      </c>
      <c r="N209" s="286" t="s">
        <v>1589</v>
      </c>
      <c r="O209" s="286" t="s">
        <v>1588</v>
      </c>
      <c r="P209" s="286" t="s">
        <v>1587</v>
      </c>
      <c r="Q209" s="286" t="s">
        <v>1589</v>
      </c>
      <c r="R209" s="286" t="s">
        <v>1588</v>
      </c>
      <c r="S209" s="286" t="s">
        <v>1588</v>
      </c>
      <c r="T209" s="286" t="s">
        <v>1589</v>
      </c>
      <c r="U209" s="286" t="s">
        <v>1589</v>
      </c>
      <c r="V209" s="286" t="s">
        <v>1589</v>
      </c>
      <c r="W209" s="286" t="s">
        <v>1588</v>
      </c>
      <c r="X209" s="286" t="s">
        <v>1587</v>
      </c>
      <c r="Y209" s="286" t="s">
        <v>1588</v>
      </c>
      <c r="Z209" s="286" t="s">
        <v>1589</v>
      </c>
      <c r="AA209" s="286" t="s">
        <v>1587</v>
      </c>
      <c r="AB209" s="286" t="s">
        <v>1589</v>
      </c>
      <c r="AC209" s="286" t="s">
        <v>1587</v>
      </c>
      <c r="AD209" s="286" t="s">
        <v>1617</v>
      </c>
      <c r="AE209" s="286" t="s">
        <v>1587</v>
      </c>
      <c r="AF209" s="286" t="s">
        <v>1588</v>
      </c>
      <c r="AG209" s="283">
        <v>10</v>
      </c>
      <c r="AH209" s="287" t="s">
        <v>19</v>
      </c>
      <c r="AI209" s="272"/>
      <c r="AJ209" s="288" t="s">
        <v>2032</v>
      </c>
      <c r="AK209" s="288" t="s">
        <v>2032</v>
      </c>
      <c r="AL209" s="288" t="s">
        <v>2032</v>
      </c>
      <c r="AM209" s="288" t="s">
        <v>2032</v>
      </c>
      <c r="AN209" s="288" t="s">
        <v>2032</v>
      </c>
      <c r="AO209" s="288" t="s">
        <v>2032</v>
      </c>
      <c r="AP209" s="288" t="s">
        <v>2032</v>
      </c>
      <c r="AQ209" s="288" t="s">
        <v>2032</v>
      </c>
      <c r="AR209" s="288" t="s">
        <v>2032</v>
      </c>
      <c r="AS209" s="288" t="s">
        <v>2032</v>
      </c>
      <c r="AT209" s="288" t="s">
        <v>2032</v>
      </c>
      <c r="AU209" s="288" t="s">
        <v>2032</v>
      </c>
      <c r="AV209" s="288" t="s">
        <v>2032</v>
      </c>
      <c r="AW209" s="288" t="s">
        <v>2032</v>
      </c>
      <c r="AX209" s="288" t="s">
        <v>2032</v>
      </c>
      <c r="AY209" s="288" t="s">
        <v>2032</v>
      </c>
      <c r="AZ209" s="288" t="s">
        <v>2032</v>
      </c>
      <c r="BA209" s="288" t="s">
        <v>2032</v>
      </c>
      <c r="BB209" s="288" t="s">
        <v>2032</v>
      </c>
      <c r="BC209" s="288" t="s">
        <v>2032</v>
      </c>
      <c r="BD209" s="289">
        <f t="shared" si="0"/>
        <v>0</v>
      </c>
      <c r="BE209" s="287"/>
      <c r="BF209" s="272"/>
    </row>
    <row r="210" spans="1:58" ht="14.25" customHeight="1" x14ac:dyDescent="0.35">
      <c r="A210" s="68">
        <v>208</v>
      </c>
      <c r="B210" s="24" t="s">
        <v>1792</v>
      </c>
      <c r="C210" s="24">
        <v>2024</v>
      </c>
      <c r="D210" s="24" t="s">
        <v>1745</v>
      </c>
      <c r="E210" s="269" t="str">
        <f ca="1">IFERROR(__xludf.DUMMYFUNCTION("ARRAYFORMULA(JOIN("""", ARRAYFORMULA(MID(SPLIT(F210, "" ""), 1, 1))))
&amp;""/""&amp;G210"),"CLQ/4 Primaria")</f>
        <v>CLQ/4 Primaria</v>
      </c>
      <c r="F210" s="24" t="s">
        <v>1755</v>
      </c>
      <c r="G210" s="248" t="s">
        <v>16</v>
      </c>
      <c r="H210" s="248" t="s">
        <v>1810</v>
      </c>
      <c r="I210" s="248" t="s">
        <v>1811</v>
      </c>
      <c r="J210" s="248" t="s">
        <v>1812</v>
      </c>
      <c r="K210" s="248" t="s">
        <v>1593</v>
      </c>
      <c r="L210" s="272"/>
      <c r="M210" s="286" t="s">
        <v>1587</v>
      </c>
      <c r="N210" s="286" t="s">
        <v>1588</v>
      </c>
      <c r="O210" s="286" t="s">
        <v>1588</v>
      </c>
      <c r="P210" s="286" t="s">
        <v>1587</v>
      </c>
      <c r="Q210" s="286" t="s">
        <v>1589</v>
      </c>
      <c r="R210" s="286" t="s">
        <v>1617</v>
      </c>
      <c r="S210" s="286" t="s">
        <v>1588</v>
      </c>
      <c r="T210" s="286" t="s">
        <v>1589</v>
      </c>
      <c r="U210" s="286" t="s">
        <v>1617</v>
      </c>
      <c r="V210" s="286" t="s">
        <v>1589</v>
      </c>
      <c r="W210" s="286" t="s">
        <v>1617</v>
      </c>
      <c r="X210" s="286" t="s">
        <v>1588</v>
      </c>
      <c r="Y210" s="286" t="s">
        <v>1587</v>
      </c>
      <c r="Z210" s="286" t="s">
        <v>1587</v>
      </c>
      <c r="AA210" s="286" t="s">
        <v>1589</v>
      </c>
      <c r="AB210" s="286" t="s">
        <v>1589</v>
      </c>
      <c r="AC210" s="286" t="s">
        <v>1589</v>
      </c>
      <c r="AD210" s="286" t="s">
        <v>1617</v>
      </c>
      <c r="AE210" s="286" t="s">
        <v>1587</v>
      </c>
      <c r="AF210" s="286" t="s">
        <v>1617</v>
      </c>
      <c r="AG210" s="283">
        <v>18</v>
      </c>
      <c r="AH210" s="287" t="s">
        <v>25</v>
      </c>
      <c r="AI210" s="272"/>
      <c r="AJ210" s="288" t="s">
        <v>2032</v>
      </c>
      <c r="AK210" s="288" t="s">
        <v>2032</v>
      </c>
      <c r="AL210" s="288" t="s">
        <v>2032</v>
      </c>
      <c r="AM210" s="288" t="s">
        <v>2032</v>
      </c>
      <c r="AN210" s="288" t="s">
        <v>2032</v>
      </c>
      <c r="AO210" s="288" t="s">
        <v>2032</v>
      </c>
      <c r="AP210" s="288" t="s">
        <v>2032</v>
      </c>
      <c r="AQ210" s="288" t="s">
        <v>2032</v>
      </c>
      <c r="AR210" s="288" t="s">
        <v>2032</v>
      </c>
      <c r="AS210" s="288" t="s">
        <v>2032</v>
      </c>
      <c r="AT210" s="288" t="s">
        <v>2032</v>
      </c>
      <c r="AU210" s="288" t="s">
        <v>2032</v>
      </c>
      <c r="AV210" s="288" t="s">
        <v>2032</v>
      </c>
      <c r="AW210" s="288" t="s">
        <v>2032</v>
      </c>
      <c r="AX210" s="288" t="s">
        <v>2032</v>
      </c>
      <c r="AY210" s="288" t="s">
        <v>2032</v>
      </c>
      <c r="AZ210" s="288" t="s">
        <v>2032</v>
      </c>
      <c r="BA210" s="288" t="s">
        <v>2032</v>
      </c>
      <c r="BB210" s="288" t="s">
        <v>2032</v>
      </c>
      <c r="BC210" s="288" t="s">
        <v>2032</v>
      </c>
      <c r="BD210" s="289">
        <f t="shared" si="0"/>
        <v>0</v>
      </c>
      <c r="BE210" s="287"/>
      <c r="BF210" s="272"/>
    </row>
    <row r="211" spans="1:58" ht="14.25" customHeight="1" x14ac:dyDescent="0.35">
      <c r="A211" s="68">
        <v>209</v>
      </c>
      <c r="B211" s="24" t="s">
        <v>1792</v>
      </c>
      <c r="C211" s="24">
        <v>2024</v>
      </c>
      <c r="D211" s="24" t="s">
        <v>1745</v>
      </c>
      <c r="E211" s="269" t="str">
        <f ca="1">IFERROR(__xludf.DUMMYFUNCTION("ARRAYFORMULA(JOIN("""", ARRAYFORMULA(MID(SPLIT(F211, "" ""), 1, 1))))
&amp;""/""&amp;G211"),"CLQ/4 Primaria")</f>
        <v>CLQ/4 Primaria</v>
      </c>
      <c r="F211" s="24" t="s">
        <v>1755</v>
      </c>
      <c r="G211" s="248" t="s">
        <v>16</v>
      </c>
      <c r="H211" s="248" t="s">
        <v>1813</v>
      </c>
      <c r="I211" s="248" t="s">
        <v>1583</v>
      </c>
      <c r="J211" s="248" t="s">
        <v>1814</v>
      </c>
      <c r="K211" s="248" t="s">
        <v>1586</v>
      </c>
      <c r="L211" s="272"/>
      <c r="M211" s="286" t="s">
        <v>1587</v>
      </c>
      <c r="N211" s="286" t="s">
        <v>1589</v>
      </c>
      <c r="O211" s="286" t="s">
        <v>1588</v>
      </c>
      <c r="P211" s="286" t="s">
        <v>1587</v>
      </c>
      <c r="Q211" s="286" t="s">
        <v>1617</v>
      </c>
      <c r="R211" s="286" t="s">
        <v>1617</v>
      </c>
      <c r="S211" s="286" t="s">
        <v>1588</v>
      </c>
      <c r="T211" s="286" t="s">
        <v>1588</v>
      </c>
      <c r="U211" s="286" t="s">
        <v>1617</v>
      </c>
      <c r="V211" s="286" t="s">
        <v>1589</v>
      </c>
      <c r="W211" s="286" t="s">
        <v>1587</v>
      </c>
      <c r="X211" s="286" t="s">
        <v>1588</v>
      </c>
      <c r="Y211" s="286" t="s">
        <v>1587</v>
      </c>
      <c r="Z211" s="286" t="s">
        <v>1587</v>
      </c>
      <c r="AA211" s="286" t="s">
        <v>1589</v>
      </c>
      <c r="AB211" s="286" t="s">
        <v>1589</v>
      </c>
      <c r="AC211" s="286" t="s">
        <v>1588</v>
      </c>
      <c r="AD211" s="286" t="s">
        <v>1588</v>
      </c>
      <c r="AE211" s="286" t="s">
        <v>1587</v>
      </c>
      <c r="AF211" s="286" t="s">
        <v>1617</v>
      </c>
      <c r="AG211" s="283">
        <v>12</v>
      </c>
      <c r="AH211" s="287" t="s">
        <v>23</v>
      </c>
      <c r="AI211" s="272"/>
      <c r="AJ211" s="288" t="s">
        <v>2032</v>
      </c>
      <c r="AK211" s="288" t="s">
        <v>2032</v>
      </c>
      <c r="AL211" s="288" t="s">
        <v>2032</v>
      </c>
      <c r="AM211" s="288" t="s">
        <v>2032</v>
      </c>
      <c r="AN211" s="288" t="s">
        <v>2032</v>
      </c>
      <c r="AO211" s="288" t="s">
        <v>2032</v>
      </c>
      <c r="AP211" s="288" t="s">
        <v>2032</v>
      </c>
      <c r="AQ211" s="288" t="s">
        <v>2032</v>
      </c>
      <c r="AR211" s="288" t="s">
        <v>2032</v>
      </c>
      <c r="AS211" s="288" t="s">
        <v>2032</v>
      </c>
      <c r="AT211" s="288" t="s">
        <v>2032</v>
      </c>
      <c r="AU211" s="288" t="s">
        <v>2032</v>
      </c>
      <c r="AV211" s="288" t="s">
        <v>2032</v>
      </c>
      <c r="AW211" s="288" t="s">
        <v>2032</v>
      </c>
      <c r="AX211" s="288" t="s">
        <v>2032</v>
      </c>
      <c r="AY211" s="288" t="s">
        <v>2032</v>
      </c>
      <c r="AZ211" s="288" t="s">
        <v>2032</v>
      </c>
      <c r="BA211" s="288" t="s">
        <v>2032</v>
      </c>
      <c r="BB211" s="288" t="s">
        <v>2032</v>
      </c>
      <c r="BC211" s="288" t="s">
        <v>2032</v>
      </c>
      <c r="BD211" s="289">
        <f t="shared" si="0"/>
        <v>0</v>
      </c>
      <c r="BE211" s="287"/>
      <c r="BF211" s="272"/>
    </row>
    <row r="212" spans="1:58" ht="14.25" customHeight="1" x14ac:dyDescent="0.35">
      <c r="A212" s="68">
        <v>210</v>
      </c>
      <c r="B212" s="24" t="s">
        <v>1792</v>
      </c>
      <c r="C212" s="24">
        <v>2024</v>
      </c>
      <c r="D212" s="24" t="s">
        <v>1745</v>
      </c>
      <c r="E212" s="269" t="str">
        <f ca="1">IFERROR(__xludf.DUMMYFUNCTION("ARRAYFORMULA(JOIN("""", ARRAYFORMULA(MID(SPLIT(F212, "" ""), 1, 1))))
&amp;""/""&amp;G212"),"CLQ/4 Primaria")</f>
        <v>CLQ/4 Primaria</v>
      </c>
      <c r="F212" s="24" t="s">
        <v>1755</v>
      </c>
      <c r="G212" s="248" t="s">
        <v>16</v>
      </c>
      <c r="H212" s="248" t="s">
        <v>1590</v>
      </c>
      <c r="I212" s="248" t="s">
        <v>1631</v>
      </c>
      <c r="J212" s="248" t="s">
        <v>1815</v>
      </c>
      <c r="K212" s="248" t="s">
        <v>1586</v>
      </c>
      <c r="L212" s="272"/>
      <c r="M212" s="286" t="s">
        <v>1587</v>
      </c>
      <c r="N212" s="286" t="s">
        <v>1589</v>
      </c>
      <c r="O212" s="286" t="s">
        <v>1588</v>
      </c>
      <c r="P212" s="286" t="s">
        <v>1587</v>
      </c>
      <c r="Q212" s="286" t="s">
        <v>1587</v>
      </c>
      <c r="R212" s="286" t="s">
        <v>1588</v>
      </c>
      <c r="S212" s="286" t="s">
        <v>1588</v>
      </c>
      <c r="T212" s="286" t="s">
        <v>1588</v>
      </c>
      <c r="U212" s="286" t="s">
        <v>1617</v>
      </c>
      <c r="V212" s="286" t="s">
        <v>1589</v>
      </c>
      <c r="W212" s="286" t="s">
        <v>1588</v>
      </c>
      <c r="X212" s="286" t="s">
        <v>1617</v>
      </c>
      <c r="Y212" s="286" t="s">
        <v>1587</v>
      </c>
      <c r="Z212" s="286" t="s">
        <v>1588</v>
      </c>
      <c r="AA212" s="286" t="s">
        <v>1587</v>
      </c>
      <c r="AB212" s="286" t="s">
        <v>1587</v>
      </c>
      <c r="AC212" s="286" t="s">
        <v>1617</v>
      </c>
      <c r="AD212" s="286" t="s">
        <v>1589</v>
      </c>
      <c r="AE212" s="286" t="s">
        <v>1617</v>
      </c>
      <c r="AF212" s="286" t="s">
        <v>1589</v>
      </c>
      <c r="AG212" s="283">
        <v>7</v>
      </c>
      <c r="AH212" s="287" t="s">
        <v>19</v>
      </c>
      <c r="AI212" s="272"/>
      <c r="AJ212" s="288" t="s">
        <v>2032</v>
      </c>
      <c r="AK212" s="288" t="s">
        <v>2032</v>
      </c>
      <c r="AL212" s="288" t="s">
        <v>2032</v>
      </c>
      <c r="AM212" s="288" t="s">
        <v>2032</v>
      </c>
      <c r="AN212" s="288" t="s">
        <v>2032</v>
      </c>
      <c r="AO212" s="288" t="s">
        <v>2032</v>
      </c>
      <c r="AP212" s="288" t="s">
        <v>2032</v>
      </c>
      <c r="AQ212" s="288" t="s">
        <v>2032</v>
      </c>
      <c r="AR212" s="288" t="s">
        <v>2032</v>
      </c>
      <c r="AS212" s="288" t="s">
        <v>2032</v>
      </c>
      <c r="AT212" s="288" t="s">
        <v>2032</v>
      </c>
      <c r="AU212" s="288" t="s">
        <v>2032</v>
      </c>
      <c r="AV212" s="288" t="s">
        <v>2032</v>
      </c>
      <c r="AW212" s="288" t="s">
        <v>2032</v>
      </c>
      <c r="AX212" s="288" t="s">
        <v>2032</v>
      </c>
      <c r="AY212" s="288" t="s">
        <v>2032</v>
      </c>
      <c r="AZ212" s="288" t="s">
        <v>2032</v>
      </c>
      <c r="BA212" s="288" t="s">
        <v>2032</v>
      </c>
      <c r="BB212" s="288" t="s">
        <v>2032</v>
      </c>
      <c r="BC212" s="288" t="s">
        <v>2032</v>
      </c>
      <c r="BD212" s="289">
        <f t="shared" si="0"/>
        <v>0</v>
      </c>
      <c r="BE212" s="287"/>
      <c r="BF212" s="272"/>
    </row>
    <row r="213" spans="1:58" ht="14.25" customHeight="1" x14ac:dyDescent="0.35">
      <c r="A213" s="68">
        <v>211</v>
      </c>
      <c r="B213" s="24" t="s">
        <v>1792</v>
      </c>
      <c r="C213" s="24">
        <v>2024</v>
      </c>
      <c r="D213" s="24" t="s">
        <v>1745</v>
      </c>
      <c r="E213" s="269" t="str">
        <f ca="1">IFERROR(__xludf.DUMMYFUNCTION("ARRAYFORMULA(JOIN("""", ARRAYFORMULA(MID(SPLIT(F213, "" ""), 1, 1))))
&amp;""/""&amp;G213"),"CLQ/4 Primaria")</f>
        <v>CLQ/4 Primaria</v>
      </c>
      <c r="F213" s="24" t="s">
        <v>1755</v>
      </c>
      <c r="G213" s="248" t="s">
        <v>16</v>
      </c>
      <c r="H213" s="248" t="s">
        <v>1816</v>
      </c>
      <c r="I213" s="248" t="s">
        <v>1672</v>
      </c>
      <c r="J213" s="248" t="s">
        <v>1817</v>
      </c>
      <c r="K213" s="248" t="s">
        <v>1586</v>
      </c>
      <c r="L213" s="272"/>
      <c r="M213" s="286" t="s">
        <v>1587</v>
      </c>
      <c r="N213" s="286" t="s">
        <v>1617</v>
      </c>
      <c r="O213" s="286" t="s">
        <v>1588</v>
      </c>
      <c r="P213" s="286" t="s">
        <v>1588</v>
      </c>
      <c r="Q213" s="286" t="s">
        <v>1589</v>
      </c>
      <c r="R213" s="286" t="s">
        <v>1589</v>
      </c>
      <c r="S213" s="286" t="s">
        <v>1617</v>
      </c>
      <c r="T213" s="286" t="s">
        <v>1617</v>
      </c>
      <c r="U213" s="286" t="s">
        <v>1617</v>
      </c>
      <c r="V213" s="286" t="s">
        <v>1589</v>
      </c>
      <c r="W213" s="286" t="s">
        <v>1589</v>
      </c>
      <c r="X213" s="286" t="s">
        <v>1587</v>
      </c>
      <c r="Y213" s="286" t="s">
        <v>1617</v>
      </c>
      <c r="Z213" s="286" t="s">
        <v>1587</v>
      </c>
      <c r="AA213" s="286" t="s">
        <v>1589</v>
      </c>
      <c r="AB213" s="286" t="s">
        <v>1588</v>
      </c>
      <c r="AC213" s="286" t="s">
        <v>1588</v>
      </c>
      <c r="AD213" s="286" t="s">
        <v>1588</v>
      </c>
      <c r="AE213" s="286" t="s">
        <v>1589</v>
      </c>
      <c r="AF213" s="286" t="s">
        <v>1587</v>
      </c>
      <c r="AG213" s="283">
        <v>6</v>
      </c>
      <c r="AH213" s="287" t="s">
        <v>19</v>
      </c>
      <c r="AI213" s="272"/>
      <c r="AJ213" s="288" t="s">
        <v>2032</v>
      </c>
      <c r="AK213" s="288" t="s">
        <v>2032</v>
      </c>
      <c r="AL213" s="288" t="s">
        <v>2032</v>
      </c>
      <c r="AM213" s="288" t="s">
        <v>2032</v>
      </c>
      <c r="AN213" s="288" t="s">
        <v>2032</v>
      </c>
      <c r="AO213" s="288" t="s">
        <v>2032</v>
      </c>
      <c r="AP213" s="288" t="s">
        <v>2032</v>
      </c>
      <c r="AQ213" s="288" t="s">
        <v>2032</v>
      </c>
      <c r="AR213" s="288" t="s">
        <v>2032</v>
      </c>
      <c r="AS213" s="288" t="s">
        <v>2032</v>
      </c>
      <c r="AT213" s="288" t="s">
        <v>2032</v>
      </c>
      <c r="AU213" s="288" t="s">
        <v>2032</v>
      </c>
      <c r="AV213" s="288" t="s">
        <v>2032</v>
      </c>
      <c r="AW213" s="288" t="s">
        <v>2032</v>
      </c>
      <c r="AX213" s="288" t="s">
        <v>2032</v>
      </c>
      <c r="AY213" s="288" t="s">
        <v>2032</v>
      </c>
      <c r="AZ213" s="288" t="s">
        <v>2032</v>
      </c>
      <c r="BA213" s="288" t="s">
        <v>2032</v>
      </c>
      <c r="BB213" s="288" t="s">
        <v>2032</v>
      </c>
      <c r="BC213" s="288" t="s">
        <v>2032</v>
      </c>
      <c r="BD213" s="289">
        <f t="shared" si="0"/>
        <v>0</v>
      </c>
      <c r="BE213" s="287"/>
      <c r="BF213" s="272"/>
    </row>
    <row r="214" spans="1:58" ht="14.25" customHeight="1" x14ac:dyDescent="0.35">
      <c r="A214" s="68">
        <v>212</v>
      </c>
      <c r="B214" s="24" t="s">
        <v>1792</v>
      </c>
      <c r="C214" s="24">
        <v>2024</v>
      </c>
      <c r="D214" s="24" t="s">
        <v>1745</v>
      </c>
      <c r="E214" s="269" t="str">
        <f ca="1">IFERROR(__xludf.DUMMYFUNCTION("ARRAYFORMULA(JOIN("""", ARRAYFORMULA(MID(SPLIT(F214, "" ""), 1, 1))))
&amp;""/""&amp;G214"),"CLQ/4 Primaria")</f>
        <v>CLQ/4 Primaria</v>
      </c>
      <c r="F214" s="24" t="s">
        <v>1755</v>
      </c>
      <c r="G214" s="248" t="s">
        <v>16</v>
      </c>
      <c r="H214" s="248" t="s">
        <v>1818</v>
      </c>
      <c r="I214" s="248" t="s">
        <v>1819</v>
      </c>
      <c r="J214" s="248" t="s">
        <v>1820</v>
      </c>
      <c r="K214" s="248" t="s">
        <v>1593</v>
      </c>
      <c r="L214" s="272"/>
      <c r="M214" s="286" t="s">
        <v>1587</v>
      </c>
      <c r="N214" s="286" t="s">
        <v>1588</v>
      </c>
      <c r="O214" s="286" t="s">
        <v>1588</v>
      </c>
      <c r="P214" s="286" t="s">
        <v>1587</v>
      </c>
      <c r="Q214" s="286" t="s">
        <v>1589</v>
      </c>
      <c r="R214" s="286" t="s">
        <v>1588</v>
      </c>
      <c r="S214" s="286" t="s">
        <v>1588</v>
      </c>
      <c r="T214" s="286" t="s">
        <v>1589</v>
      </c>
      <c r="U214" s="286" t="s">
        <v>1617</v>
      </c>
      <c r="V214" s="286" t="s">
        <v>1617</v>
      </c>
      <c r="W214" s="286" t="s">
        <v>1617</v>
      </c>
      <c r="X214" s="286" t="s">
        <v>1589</v>
      </c>
      <c r="Y214" s="286" t="s">
        <v>1587</v>
      </c>
      <c r="Z214" s="286" t="s">
        <v>1587</v>
      </c>
      <c r="AA214" s="286" t="s">
        <v>1588</v>
      </c>
      <c r="AB214" s="286" t="s">
        <v>1589</v>
      </c>
      <c r="AC214" s="286" t="s">
        <v>1589</v>
      </c>
      <c r="AD214" s="286" t="s">
        <v>1617</v>
      </c>
      <c r="AE214" s="286" t="s">
        <v>1587</v>
      </c>
      <c r="AF214" s="286" t="s">
        <v>1588</v>
      </c>
      <c r="AG214" s="283">
        <v>15</v>
      </c>
      <c r="AH214" s="287" t="s">
        <v>23</v>
      </c>
      <c r="AI214" s="272"/>
      <c r="AJ214" s="288" t="s">
        <v>2032</v>
      </c>
      <c r="AK214" s="288" t="s">
        <v>2032</v>
      </c>
      <c r="AL214" s="288" t="s">
        <v>2032</v>
      </c>
      <c r="AM214" s="288" t="s">
        <v>2032</v>
      </c>
      <c r="AN214" s="288" t="s">
        <v>2032</v>
      </c>
      <c r="AO214" s="288" t="s">
        <v>2032</v>
      </c>
      <c r="AP214" s="288" t="s">
        <v>2032</v>
      </c>
      <c r="AQ214" s="288" t="s">
        <v>2032</v>
      </c>
      <c r="AR214" s="288" t="s">
        <v>2032</v>
      </c>
      <c r="AS214" s="288" t="s">
        <v>2032</v>
      </c>
      <c r="AT214" s="288" t="s">
        <v>2032</v>
      </c>
      <c r="AU214" s="288" t="s">
        <v>2032</v>
      </c>
      <c r="AV214" s="288" t="s">
        <v>2032</v>
      </c>
      <c r="AW214" s="288" t="s">
        <v>2032</v>
      </c>
      <c r="AX214" s="288" t="s">
        <v>2032</v>
      </c>
      <c r="AY214" s="288" t="s">
        <v>2032</v>
      </c>
      <c r="AZ214" s="288" t="s">
        <v>2032</v>
      </c>
      <c r="BA214" s="288" t="s">
        <v>2032</v>
      </c>
      <c r="BB214" s="288" t="s">
        <v>2032</v>
      </c>
      <c r="BC214" s="288" t="s">
        <v>2032</v>
      </c>
      <c r="BD214" s="289">
        <f t="shared" si="0"/>
        <v>0</v>
      </c>
      <c r="BE214" s="287"/>
      <c r="BF214" s="272"/>
    </row>
    <row r="215" spans="1:58" ht="14.25" customHeight="1" x14ac:dyDescent="0.35">
      <c r="A215" s="68">
        <v>213</v>
      </c>
      <c r="B215" s="24" t="s">
        <v>1792</v>
      </c>
      <c r="C215" s="24">
        <v>2024</v>
      </c>
      <c r="D215" s="24" t="s">
        <v>1745</v>
      </c>
      <c r="E215" s="269" t="str">
        <f ca="1">IFERROR(__xludf.DUMMYFUNCTION("ARRAYFORMULA(JOIN("""", ARRAYFORMULA(MID(SPLIT(F215, "" ""), 1, 1))))
&amp;""/""&amp;G215"),"CLQ/6 Primaria")</f>
        <v>CLQ/6 Primaria</v>
      </c>
      <c r="F215" s="24" t="s">
        <v>1755</v>
      </c>
      <c r="G215" s="248" t="s">
        <v>37</v>
      </c>
      <c r="H215" s="248" t="s">
        <v>1608</v>
      </c>
      <c r="I215" s="248" t="s">
        <v>1821</v>
      </c>
      <c r="J215" s="248" t="s">
        <v>1822</v>
      </c>
      <c r="K215" s="248" t="s">
        <v>1586</v>
      </c>
      <c r="L215" s="272"/>
      <c r="M215" s="286" t="s">
        <v>1589</v>
      </c>
      <c r="N215" s="286" t="s">
        <v>1589</v>
      </c>
      <c r="O215" s="286" t="s">
        <v>1587</v>
      </c>
      <c r="P215" s="286" t="s">
        <v>1617</v>
      </c>
      <c r="Q215" s="286" t="s">
        <v>1588</v>
      </c>
      <c r="R215" s="286" t="s">
        <v>1617</v>
      </c>
      <c r="S215" s="286" t="s">
        <v>1587</v>
      </c>
      <c r="T215" s="286" t="s">
        <v>1588</v>
      </c>
      <c r="U215" s="286" t="s">
        <v>1617</v>
      </c>
      <c r="V215" s="286"/>
      <c r="W215" s="286" t="s">
        <v>1587</v>
      </c>
      <c r="X215" s="286" t="s">
        <v>1587</v>
      </c>
      <c r="Y215" s="286" t="s">
        <v>1587</v>
      </c>
      <c r="Z215" s="286" t="s">
        <v>1587</v>
      </c>
      <c r="AA215" s="286" t="s">
        <v>1588</v>
      </c>
      <c r="AB215" s="286" t="s">
        <v>1588</v>
      </c>
      <c r="AC215" s="286" t="s">
        <v>1588</v>
      </c>
      <c r="AD215" s="286" t="s">
        <v>1588</v>
      </c>
      <c r="AE215" s="286" t="s">
        <v>1587</v>
      </c>
      <c r="AF215" s="286" t="s">
        <v>1587</v>
      </c>
      <c r="AG215" s="283">
        <v>6</v>
      </c>
      <c r="AH215" s="287" t="s">
        <v>19</v>
      </c>
      <c r="AI215" s="272"/>
      <c r="AJ215" s="288" t="s">
        <v>2032</v>
      </c>
      <c r="AK215" s="288" t="s">
        <v>2032</v>
      </c>
      <c r="AL215" s="288" t="s">
        <v>2032</v>
      </c>
      <c r="AM215" s="288" t="s">
        <v>2032</v>
      </c>
      <c r="AN215" s="288" t="s">
        <v>2032</v>
      </c>
      <c r="AO215" s="288" t="s">
        <v>2032</v>
      </c>
      <c r="AP215" s="288" t="s">
        <v>2032</v>
      </c>
      <c r="AQ215" s="288" t="s">
        <v>2032</v>
      </c>
      <c r="AR215" s="288" t="s">
        <v>2032</v>
      </c>
      <c r="AS215" s="288" t="s">
        <v>2032</v>
      </c>
      <c r="AT215" s="288" t="s">
        <v>2032</v>
      </c>
      <c r="AU215" s="288" t="s">
        <v>2032</v>
      </c>
      <c r="AV215" s="288" t="s">
        <v>2032</v>
      </c>
      <c r="AW215" s="288" t="s">
        <v>2032</v>
      </c>
      <c r="AX215" s="288" t="s">
        <v>2032</v>
      </c>
      <c r="AY215" s="288" t="s">
        <v>2032</v>
      </c>
      <c r="AZ215" s="288" t="s">
        <v>2032</v>
      </c>
      <c r="BA215" s="288" t="s">
        <v>2032</v>
      </c>
      <c r="BB215" s="288" t="s">
        <v>2032</v>
      </c>
      <c r="BC215" s="288" t="s">
        <v>2032</v>
      </c>
      <c r="BD215" s="289">
        <f t="shared" si="0"/>
        <v>0</v>
      </c>
      <c r="BE215" s="287"/>
      <c r="BF215" s="272"/>
    </row>
    <row r="216" spans="1:58" ht="14.25" customHeight="1" x14ac:dyDescent="0.35">
      <c r="A216" s="68">
        <v>214</v>
      </c>
      <c r="B216" s="24" t="s">
        <v>1792</v>
      </c>
      <c r="C216" s="24">
        <v>2024</v>
      </c>
      <c r="D216" s="24" t="s">
        <v>1745</v>
      </c>
      <c r="E216" s="269" t="str">
        <f ca="1">IFERROR(__xludf.DUMMYFUNCTION("ARRAYFORMULA(JOIN("""", ARRAYFORMULA(MID(SPLIT(F216, "" ""), 1, 1))))
&amp;""/""&amp;G216"),"CLQ/6 Primaria")</f>
        <v>CLQ/6 Primaria</v>
      </c>
      <c r="F216" s="24" t="s">
        <v>1755</v>
      </c>
      <c r="G216" s="248" t="s">
        <v>37</v>
      </c>
      <c r="H216" s="248" t="s">
        <v>1583</v>
      </c>
      <c r="I216" s="248" t="s">
        <v>1823</v>
      </c>
      <c r="J216" s="248" t="s">
        <v>1824</v>
      </c>
      <c r="K216" s="248" t="s">
        <v>1593</v>
      </c>
      <c r="L216" s="272"/>
      <c r="M216" s="286" t="s">
        <v>1589</v>
      </c>
      <c r="N216" s="286" t="s">
        <v>1589</v>
      </c>
      <c r="O216" s="286" t="s">
        <v>1617</v>
      </c>
      <c r="P216" s="286" t="s">
        <v>1587</v>
      </c>
      <c r="Q216" s="286" t="s">
        <v>1617</v>
      </c>
      <c r="R216" s="286" t="s">
        <v>1588</v>
      </c>
      <c r="S216" s="286" t="s">
        <v>1587</v>
      </c>
      <c r="T216" s="286" t="s">
        <v>1589</v>
      </c>
      <c r="U216" s="286" t="s">
        <v>1617</v>
      </c>
      <c r="V216" s="286" t="s">
        <v>1589</v>
      </c>
      <c r="W216" s="286" t="s">
        <v>1617</v>
      </c>
      <c r="X216" s="286" t="s">
        <v>1589</v>
      </c>
      <c r="Y216" s="286" t="s">
        <v>1587</v>
      </c>
      <c r="Z216" s="286" t="s">
        <v>1588</v>
      </c>
      <c r="AA216" s="286" t="s">
        <v>1587</v>
      </c>
      <c r="AB216" s="286" t="s">
        <v>1589</v>
      </c>
      <c r="AC216" s="286" t="s">
        <v>1617</v>
      </c>
      <c r="AD216" s="286" t="s">
        <v>1588</v>
      </c>
      <c r="AE216" s="286" t="s">
        <v>1587</v>
      </c>
      <c r="AF216" s="286" t="s">
        <v>1589</v>
      </c>
      <c r="AG216" s="283">
        <v>9</v>
      </c>
      <c r="AH216" s="287" t="s">
        <v>19</v>
      </c>
      <c r="AI216" s="272"/>
      <c r="AJ216" s="288" t="s">
        <v>2032</v>
      </c>
      <c r="AK216" s="288" t="s">
        <v>2032</v>
      </c>
      <c r="AL216" s="288" t="s">
        <v>2032</v>
      </c>
      <c r="AM216" s="288" t="s">
        <v>2032</v>
      </c>
      <c r="AN216" s="288" t="s">
        <v>2032</v>
      </c>
      <c r="AO216" s="288" t="s">
        <v>2032</v>
      </c>
      <c r="AP216" s="288" t="s">
        <v>2032</v>
      </c>
      <c r="AQ216" s="288" t="s">
        <v>2032</v>
      </c>
      <c r="AR216" s="288" t="s">
        <v>2032</v>
      </c>
      <c r="AS216" s="288" t="s">
        <v>2032</v>
      </c>
      <c r="AT216" s="288" t="s">
        <v>2032</v>
      </c>
      <c r="AU216" s="288" t="s">
        <v>2032</v>
      </c>
      <c r="AV216" s="288" t="s">
        <v>2032</v>
      </c>
      <c r="AW216" s="288" t="s">
        <v>2032</v>
      </c>
      <c r="AX216" s="288" t="s">
        <v>2032</v>
      </c>
      <c r="AY216" s="288" t="s">
        <v>2032</v>
      </c>
      <c r="AZ216" s="288" t="s">
        <v>2032</v>
      </c>
      <c r="BA216" s="288" t="s">
        <v>2032</v>
      </c>
      <c r="BB216" s="288" t="s">
        <v>2032</v>
      </c>
      <c r="BC216" s="288" t="s">
        <v>2032</v>
      </c>
      <c r="BD216" s="289">
        <f t="shared" si="0"/>
        <v>0</v>
      </c>
      <c r="BE216" s="287"/>
      <c r="BF216" s="272"/>
    </row>
    <row r="217" spans="1:58" ht="14.25" customHeight="1" x14ac:dyDescent="0.35">
      <c r="A217" s="68">
        <v>215</v>
      </c>
      <c r="B217" s="24" t="s">
        <v>1792</v>
      </c>
      <c r="C217" s="24">
        <v>2024</v>
      </c>
      <c r="D217" s="24" t="s">
        <v>1745</v>
      </c>
      <c r="E217" s="269" t="str">
        <f ca="1">IFERROR(__xludf.DUMMYFUNCTION("ARRAYFORMULA(JOIN("""", ARRAYFORMULA(MID(SPLIT(F217, "" ""), 1, 1))))
&amp;""/""&amp;G217"),"CLQ/6 Primaria")</f>
        <v>CLQ/6 Primaria</v>
      </c>
      <c r="F217" s="24" t="s">
        <v>1755</v>
      </c>
      <c r="G217" s="248" t="s">
        <v>37</v>
      </c>
      <c r="H217" s="248" t="s">
        <v>1795</v>
      </c>
      <c r="I217" s="248" t="s">
        <v>1808</v>
      </c>
      <c r="J217" s="248" t="s">
        <v>1825</v>
      </c>
      <c r="K217" s="248" t="s">
        <v>1593</v>
      </c>
      <c r="L217" s="272"/>
      <c r="M217" s="286" t="s">
        <v>1589</v>
      </c>
      <c r="N217" s="286" t="s">
        <v>1589</v>
      </c>
      <c r="O217" s="286" t="s">
        <v>1587</v>
      </c>
      <c r="P217" s="286" t="s">
        <v>1587</v>
      </c>
      <c r="Q217" s="286" t="s">
        <v>1588</v>
      </c>
      <c r="R217" s="286" t="s">
        <v>1617</v>
      </c>
      <c r="S217" s="286" t="s">
        <v>1587</v>
      </c>
      <c r="T217" s="286" t="s">
        <v>1589</v>
      </c>
      <c r="U217" s="286" t="s">
        <v>1589</v>
      </c>
      <c r="V217" s="286" t="s">
        <v>1589</v>
      </c>
      <c r="W217" s="286" t="s">
        <v>1589</v>
      </c>
      <c r="X217" s="286" t="s">
        <v>1587</v>
      </c>
      <c r="Y217" s="286" t="s">
        <v>1588</v>
      </c>
      <c r="Z217" s="286" t="s">
        <v>1589</v>
      </c>
      <c r="AA217" s="286" t="s">
        <v>1588</v>
      </c>
      <c r="AB217" s="286" t="s">
        <v>1588</v>
      </c>
      <c r="AC217" s="286" t="s">
        <v>1617</v>
      </c>
      <c r="AD217" s="286" t="s">
        <v>1617</v>
      </c>
      <c r="AE217" s="286" t="s">
        <v>1617</v>
      </c>
      <c r="AF217" s="286" t="s">
        <v>1587</v>
      </c>
      <c r="AG217" s="283">
        <v>7</v>
      </c>
      <c r="AH217" s="287" t="s">
        <v>19</v>
      </c>
      <c r="AI217" s="272"/>
      <c r="AJ217" s="288" t="s">
        <v>2032</v>
      </c>
      <c r="AK217" s="288" t="s">
        <v>2032</v>
      </c>
      <c r="AL217" s="288" t="s">
        <v>2032</v>
      </c>
      <c r="AM217" s="288" t="s">
        <v>2032</v>
      </c>
      <c r="AN217" s="288" t="s">
        <v>2032</v>
      </c>
      <c r="AO217" s="288" t="s">
        <v>2032</v>
      </c>
      <c r="AP217" s="288" t="s">
        <v>2032</v>
      </c>
      <c r="AQ217" s="288" t="s">
        <v>2032</v>
      </c>
      <c r="AR217" s="288" t="s">
        <v>2032</v>
      </c>
      <c r="AS217" s="288" t="s">
        <v>2032</v>
      </c>
      <c r="AT217" s="288" t="s">
        <v>2032</v>
      </c>
      <c r="AU217" s="288" t="s">
        <v>2032</v>
      </c>
      <c r="AV217" s="288" t="s">
        <v>2032</v>
      </c>
      <c r="AW217" s="288" t="s">
        <v>2032</v>
      </c>
      <c r="AX217" s="288" t="s">
        <v>2032</v>
      </c>
      <c r="AY217" s="288" t="s">
        <v>2032</v>
      </c>
      <c r="AZ217" s="288" t="s">
        <v>2032</v>
      </c>
      <c r="BA217" s="288" t="s">
        <v>2032</v>
      </c>
      <c r="BB217" s="288" t="s">
        <v>2032</v>
      </c>
      <c r="BC217" s="288" t="s">
        <v>2032</v>
      </c>
      <c r="BD217" s="289">
        <f t="shared" si="0"/>
        <v>0</v>
      </c>
      <c r="BE217" s="287"/>
      <c r="BF217" s="272"/>
    </row>
    <row r="218" spans="1:58" ht="14.25" customHeight="1" x14ac:dyDescent="0.35">
      <c r="A218" s="68">
        <v>216</v>
      </c>
      <c r="B218" s="24" t="s">
        <v>1792</v>
      </c>
      <c r="C218" s="24">
        <v>2024</v>
      </c>
      <c r="D218" s="24" t="s">
        <v>1745</v>
      </c>
      <c r="E218" s="269" t="str">
        <f ca="1">IFERROR(__xludf.DUMMYFUNCTION("ARRAYFORMULA(JOIN("""", ARRAYFORMULA(MID(SPLIT(F218, "" ""), 1, 1))))
&amp;""/""&amp;G218"),"CLQ/6 Primaria")</f>
        <v>CLQ/6 Primaria</v>
      </c>
      <c r="F218" s="24" t="s">
        <v>1755</v>
      </c>
      <c r="G218" s="248" t="s">
        <v>37</v>
      </c>
      <c r="H218" s="248" t="s">
        <v>1598</v>
      </c>
      <c r="I218" s="248" t="s">
        <v>1689</v>
      </c>
      <c r="J218" s="248" t="s">
        <v>1826</v>
      </c>
      <c r="K218" s="248" t="s">
        <v>1593</v>
      </c>
      <c r="L218" s="272"/>
      <c r="M218" s="286" t="s">
        <v>1589</v>
      </c>
      <c r="N218" s="286" t="s">
        <v>1587</v>
      </c>
      <c r="O218" s="286" t="s">
        <v>1617</v>
      </c>
      <c r="P218" s="286" t="s">
        <v>1588</v>
      </c>
      <c r="Q218" s="286" t="s">
        <v>1587</v>
      </c>
      <c r="R218" s="286" t="s">
        <v>1587</v>
      </c>
      <c r="S218" s="286" t="s">
        <v>1589</v>
      </c>
      <c r="T218" s="286" t="s">
        <v>1617</v>
      </c>
      <c r="U218" s="286" t="s">
        <v>1617</v>
      </c>
      <c r="V218" s="286" t="s">
        <v>1587</v>
      </c>
      <c r="W218" s="286" t="s">
        <v>1589</v>
      </c>
      <c r="X218" s="286" t="s">
        <v>1588</v>
      </c>
      <c r="Y218" s="286" t="s">
        <v>1587</v>
      </c>
      <c r="Z218" s="286" t="s">
        <v>1617</v>
      </c>
      <c r="AA218" s="286" t="s">
        <v>1589</v>
      </c>
      <c r="AB218" s="286" t="s">
        <v>1617</v>
      </c>
      <c r="AC218" s="286" t="s">
        <v>1589</v>
      </c>
      <c r="AD218" s="286" t="s">
        <v>1589</v>
      </c>
      <c r="AE218" s="286" t="s">
        <v>1588</v>
      </c>
      <c r="AF218" s="286" t="s">
        <v>1587</v>
      </c>
      <c r="AG218" s="283">
        <v>6</v>
      </c>
      <c r="AH218" s="287" t="s">
        <v>19</v>
      </c>
      <c r="AI218" s="272"/>
      <c r="AJ218" s="288" t="s">
        <v>2032</v>
      </c>
      <c r="AK218" s="288" t="s">
        <v>2032</v>
      </c>
      <c r="AL218" s="288" t="s">
        <v>2032</v>
      </c>
      <c r="AM218" s="288" t="s">
        <v>2032</v>
      </c>
      <c r="AN218" s="288" t="s">
        <v>2032</v>
      </c>
      <c r="AO218" s="288" t="s">
        <v>2032</v>
      </c>
      <c r="AP218" s="288" t="s">
        <v>2032</v>
      </c>
      <c r="AQ218" s="288" t="s">
        <v>2032</v>
      </c>
      <c r="AR218" s="288" t="s">
        <v>2032</v>
      </c>
      <c r="AS218" s="288" t="s">
        <v>2032</v>
      </c>
      <c r="AT218" s="288" t="s">
        <v>2032</v>
      </c>
      <c r="AU218" s="288" t="s">
        <v>2032</v>
      </c>
      <c r="AV218" s="288" t="s">
        <v>2032</v>
      </c>
      <c r="AW218" s="288" t="s">
        <v>2032</v>
      </c>
      <c r="AX218" s="288" t="s">
        <v>2032</v>
      </c>
      <c r="AY218" s="288" t="s">
        <v>2032</v>
      </c>
      <c r="AZ218" s="288" t="s">
        <v>2032</v>
      </c>
      <c r="BA218" s="288" t="s">
        <v>2032</v>
      </c>
      <c r="BB218" s="288" t="s">
        <v>2032</v>
      </c>
      <c r="BC218" s="288" t="s">
        <v>2032</v>
      </c>
      <c r="BD218" s="289">
        <f t="shared" si="0"/>
        <v>0</v>
      </c>
      <c r="BE218" s="287"/>
      <c r="BF218" s="272"/>
    </row>
    <row r="219" spans="1:58" ht="14.25" customHeight="1" x14ac:dyDescent="0.35">
      <c r="A219" s="68">
        <v>217</v>
      </c>
      <c r="B219" s="24" t="s">
        <v>1792</v>
      </c>
      <c r="C219" s="24">
        <v>2024</v>
      </c>
      <c r="D219" s="24" t="s">
        <v>1745</v>
      </c>
      <c r="E219" s="269" t="str">
        <f ca="1">IFERROR(__xludf.DUMMYFUNCTION("ARRAYFORMULA(JOIN("""", ARRAYFORMULA(MID(SPLIT(F219, "" ""), 1, 1))))
&amp;""/""&amp;G219"),"CLQ/6 Primaria")</f>
        <v>CLQ/6 Primaria</v>
      </c>
      <c r="F219" s="24" t="s">
        <v>1755</v>
      </c>
      <c r="G219" s="248" t="s">
        <v>37</v>
      </c>
      <c r="H219" s="248" t="s">
        <v>1827</v>
      </c>
      <c r="I219" s="248" t="s">
        <v>1612</v>
      </c>
      <c r="J219" s="248" t="s">
        <v>1828</v>
      </c>
      <c r="K219" s="248" t="s">
        <v>1586</v>
      </c>
      <c r="L219" s="272"/>
      <c r="M219" s="286" t="s">
        <v>1587</v>
      </c>
      <c r="N219" s="286" t="s">
        <v>1587</v>
      </c>
      <c r="O219" s="286" t="s">
        <v>1617</v>
      </c>
      <c r="P219" s="286" t="s">
        <v>1617</v>
      </c>
      <c r="Q219" s="286" t="s">
        <v>1617</v>
      </c>
      <c r="R219" s="286" t="s">
        <v>1588</v>
      </c>
      <c r="S219" s="286" t="s">
        <v>1589</v>
      </c>
      <c r="T219" s="286" t="s">
        <v>1587</v>
      </c>
      <c r="U219" s="286" t="s">
        <v>1617</v>
      </c>
      <c r="V219" s="286" t="s">
        <v>1589</v>
      </c>
      <c r="W219" s="286" t="s">
        <v>1617</v>
      </c>
      <c r="X219" s="286" t="s">
        <v>1589</v>
      </c>
      <c r="Y219" s="286" t="s">
        <v>1588</v>
      </c>
      <c r="Z219" s="286" t="s">
        <v>1617</v>
      </c>
      <c r="AA219" s="286" t="s">
        <v>1588</v>
      </c>
      <c r="AB219" s="286" t="s">
        <v>1589</v>
      </c>
      <c r="AC219" s="286" t="s">
        <v>1587</v>
      </c>
      <c r="AD219" s="286" t="s">
        <v>1588</v>
      </c>
      <c r="AE219" s="286" t="s">
        <v>1589</v>
      </c>
      <c r="AF219" s="286" t="s">
        <v>1589</v>
      </c>
      <c r="AG219" s="283">
        <v>9</v>
      </c>
      <c r="AH219" s="287" t="s">
        <v>19</v>
      </c>
      <c r="AI219" s="272"/>
      <c r="AJ219" s="288" t="s">
        <v>2032</v>
      </c>
      <c r="AK219" s="288" t="s">
        <v>2032</v>
      </c>
      <c r="AL219" s="288" t="s">
        <v>2032</v>
      </c>
      <c r="AM219" s="288" t="s">
        <v>2032</v>
      </c>
      <c r="AN219" s="288" t="s">
        <v>2032</v>
      </c>
      <c r="AO219" s="288" t="s">
        <v>2032</v>
      </c>
      <c r="AP219" s="288" t="s">
        <v>2032</v>
      </c>
      <c r="AQ219" s="288" t="s">
        <v>2032</v>
      </c>
      <c r="AR219" s="288" t="s">
        <v>2032</v>
      </c>
      <c r="AS219" s="288" t="s">
        <v>2032</v>
      </c>
      <c r="AT219" s="288" t="s">
        <v>2032</v>
      </c>
      <c r="AU219" s="288" t="s">
        <v>2032</v>
      </c>
      <c r="AV219" s="288" t="s">
        <v>2032</v>
      </c>
      <c r="AW219" s="288" t="s">
        <v>2032</v>
      </c>
      <c r="AX219" s="288" t="s">
        <v>2032</v>
      </c>
      <c r="AY219" s="288" t="s">
        <v>2032</v>
      </c>
      <c r="AZ219" s="288" t="s">
        <v>2032</v>
      </c>
      <c r="BA219" s="288" t="s">
        <v>2032</v>
      </c>
      <c r="BB219" s="288" t="s">
        <v>2032</v>
      </c>
      <c r="BC219" s="288" t="s">
        <v>2032</v>
      </c>
      <c r="BD219" s="289">
        <f t="shared" si="0"/>
        <v>0</v>
      </c>
      <c r="BE219" s="287"/>
      <c r="BF219" s="272"/>
    </row>
    <row r="220" spans="1:58" ht="14.25" customHeight="1" x14ac:dyDescent="0.35">
      <c r="A220" s="68">
        <v>218</v>
      </c>
      <c r="B220" s="24" t="s">
        <v>1829</v>
      </c>
      <c r="C220" s="24">
        <v>2024</v>
      </c>
      <c r="D220" s="24" t="s">
        <v>1745</v>
      </c>
      <c r="E220" s="269" t="str">
        <f ca="1">IFERROR(__xludf.DUMMYFUNCTION("ARRAYFORMULA(JOIN("""", ARRAYFORMULA(MID(SPLIT(F220, "" ""), 1, 1))))
&amp;""/""&amp;G220"),"CLQ/2 Primaria")</f>
        <v>CLQ/2 Primaria</v>
      </c>
      <c r="F220" s="24" t="s">
        <v>1755</v>
      </c>
      <c r="G220" s="248" t="s">
        <v>45</v>
      </c>
      <c r="H220" s="248" t="s">
        <v>1595</v>
      </c>
      <c r="I220" s="248" t="s">
        <v>1647</v>
      </c>
      <c r="J220" s="248" t="s">
        <v>1830</v>
      </c>
      <c r="K220" s="248" t="s">
        <v>1586</v>
      </c>
      <c r="L220" s="272"/>
      <c r="M220" s="286" t="s">
        <v>1753</v>
      </c>
      <c r="N220" s="286" t="s">
        <v>1753</v>
      </c>
      <c r="O220" s="286" t="s">
        <v>1754</v>
      </c>
      <c r="P220" s="286" t="s">
        <v>1753</v>
      </c>
      <c r="Q220" s="286" t="s">
        <v>1753</v>
      </c>
      <c r="R220" s="286" t="s">
        <v>1753</v>
      </c>
      <c r="S220" s="286" t="s">
        <v>1588</v>
      </c>
      <c r="T220" s="286" t="s">
        <v>1588</v>
      </c>
      <c r="U220" s="286" t="s">
        <v>1754</v>
      </c>
      <c r="V220" s="286" t="s">
        <v>1754</v>
      </c>
      <c r="W220" s="286" t="s">
        <v>1588</v>
      </c>
      <c r="X220" s="286" t="s">
        <v>1753</v>
      </c>
      <c r="Y220" s="286" t="s">
        <v>1753</v>
      </c>
      <c r="Z220" s="286" t="s">
        <v>1754</v>
      </c>
      <c r="AA220" s="286" t="s">
        <v>1753</v>
      </c>
      <c r="AB220" s="286" t="s">
        <v>1753</v>
      </c>
      <c r="AC220" s="286" t="s">
        <v>1588</v>
      </c>
      <c r="AD220" s="286" t="s">
        <v>1588</v>
      </c>
      <c r="AE220" s="286" t="s">
        <v>1753</v>
      </c>
      <c r="AF220" s="286" t="s">
        <v>1753</v>
      </c>
      <c r="AG220" s="283">
        <v>10</v>
      </c>
      <c r="AH220" s="287" t="s">
        <v>19</v>
      </c>
      <c r="AI220" s="272"/>
      <c r="AJ220" s="288" t="s">
        <v>2032</v>
      </c>
      <c r="AK220" s="288" t="s">
        <v>2032</v>
      </c>
      <c r="AL220" s="288" t="s">
        <v>2032</v>
      </c>
      <c r="AM220" s="288" t="s">
        <v>2032</v>
      </c>
      <c r="AN220" s="288" t="s">
        <v>2032</v>
      </c>
      <c r="AO220" s="288" t="s">
        <v>2032</v>
      </c>
      <c r="AP220" s="288" t="s">
        <v>2032</v>
      </c>
      <c r="AQ220" s="288" t="s">
        <v>2032</v>
      </c>
      <c r="AR220" s="288" t="s">
        <v>2032</v>
      </c>
      <c r="AS220" s="288" t="s">
        <v>2032</v>
      </c>
      <c r="AT220" s="288" t="s">
        <v>2032</v>
      </c>
      <c r="AU220" s="288" t="s">
        <v>2032</v>
      </c>
      <c r="AV220" s="288" t="s">
        <v>2032</v>
      </c>
      <c r="AW220" s="288" t="s">
        <v>2032</v>
      </c>
      <c r="AX220" s="288" t="s">
        <v>2032</v>
      </c>
      <c r="AY220" s="288" t="s">
        <v>2032</v>
      </c>
      <c r="AZ220" s="288" t="s">
        <v>2032</v>
      </c>
      <c r="BA220" s="288" t="s">
        <v>2032</v>
      </c>
      <c r="BB220" s="288" t="s">
        <v>2032</v>
      </c>
      <c r="BC220" s="288" t="s">
        <v>2032</v>
      </c>
      <c r="BD220" s="289">
        <f t="shared" si="0"/>
        <v>0</v>
      </c>
      <c r="BE220" s="287"/>
      <c r="BF220" s="272"/>
    </row>
    <row r="221" spans="1:58" ht="14.25" customHeight="1" x14ac:dyDescent="0.35">
      <c r="A221" s="68">
        <v>219</v>
      </c>
      <c r="B221" s="24" t="s">
        <v>1829</v>
      </c>
      <c r="C221" s="24">
        <v>2024</v>
      </c>
      <c r="D221" s="24" t="s">
        <v>1745</v>
      </c>
      <c r="E221" s="269" t="str">
        <f ca="1">IFERROR(__xludf.DUMMYFUNCTION("ARRAYFORMULA(JOIN("""", ARRAYFORMULA(MID(SPLIT(F221, "" ""), 1, 1))))
&amp;""/""&amp;G221"),"CLQ/4 Primaria")</f>
        <v>CLQ/4 Primaria</v>
      </c>
      <c r="F221" s="24" t="s">
        <v>1755</v>
      </c>
      <c r="G221" s="248" t="s">
        <v>16</v>
      </c>
      <c r="H221" s="248" t="s">
        <v>1831</v>
      </c>
      <c r="I221" s="248" t="s">
        <v>1832</v>
      </c>
      <c r="J221" s="248" t="s">
        <v>1833</v>
      </c>
      <c r="K221" s="248" t="s">
        <v>1593</v>
      </c>
      <c r="L221" s="272"/>
      <c r="M221" s="286" t="s">
        <v>1587</v>
      </c>
      <c r="N221" s="286" t="s">
        <v>1588</v>
      </c>
      <c r="O221" s="286" t="s">
        <v>1588</v>
      </c>
      <c r="P221" s="286" t="s">
        <v>1587</v>
      </c>
      <c r="Q221" s="286" t="s">
        <v>1617</v>
      </c>
      <c r="R221" s="286" t="s">
        <v>1588</v>
      </c>
      <c r="S221" s="286" t="s">
        <v>1588</v>
      </c>
      <c r="T221" s="286" t="s">
        <v>1589</v>
      </c>
      <c r="U221" s="286" t="s">
        <v>1617</v>
      </c>
      <c r="V221" s="286" t="s">
        <v>1589</v>
      </c>
      <c r="W221" s="286" t="s">
        <v>1617</v>
      </c>
      <c r="X221" s="286" t="s">
        <v>1587</v>
      </c>
      <c r="Y221" s="286" t="s">
        <v>1587</v>
      </c>
      <c r="Z221" s="286" t="s">
        <v>1617</v>
      </c>
      <c r="AA221" s="286" t="s">
        <v>1589</v>
      </c>
      <c r="AB221" s="286" t="s">
        <v>1589</v>
      </c>
      <c r="AC221" s="286" t="s">
        <v>1589</v>
      </c>
      <c r="AD221" s="286" t="s">
        <v>1617</v>
      </c>
      <c r="AE221" s="286" t="s">
        <v>1587</v>
      </c>
      <c r="AF221" s="286" t="s">
        <v>1617</v>
      </c>
      <c r="AG221" s="283">
        <v>16</v>
      </c>
      <c r="AH221" s="287" t="s">
        <v>23</v>
      </c>
      <c r="AI221" s="272"/>
      <c r="AJ221" s="288" t="s">
        <v>2032</v>
      </c>
      <c r="AK221" s="288" t="s">
        <v>2032</v>
      </c>
      <c r="AL221" s="288" t="s">
        <v>2032</v>
      </c>
      <c r="AM221" s="288" t="s">
        <v>2032</v>
      </c>
      <c r="AN221" s="288" t="s">
        <v>2032</v>
      </c>
      <c r="AO221" s="288" t="s">
        <v>2032</v>
      </c>
      <c r="AP221" s="288" t="s">
        <v>2032</v>
      </c>
      <c r="AQ221" s="288" t="s">
        <v>2032</v>
      </c>
      <c r="AR221" s="288" t="s">
        <v>2032</v>
      </c>
      <c r="AS221" s="288" t="s">
        <v>2032</v>
      </c>
      <c r="AT221" s="288" t="s">
        <v>2032</v>
      </c>
      <c r="AU221" s="288" t="s">
        <v>2032</v>
      </c>
      <c r="AV221" s="288" t="s">
        <v>2032</v>
      </c>
      <c r="AW221" s="288" t="s">
        <v>2032</v>
      </c>
      <c r="AX221" s="288" t="s">
        <v>2032</v>
      </c>
      <c r="AY221" s="288" t="s">
        <v>2032</v>
      </c>
      <c r="AZ221" s="288" t="s">
        <v>2032</v>
      </c>
      <c r="BA221" s="288" t="s">
        <v>2032</v>
      </c>
      <c r="BB221" s="288" t="s">
        <v>2032</v>
      </c>
      <c r="BC221" s="288" t="s">
        <v>2032</v>
      </c>
      <c r="BD221" s="289">
        <f t="shared" si="0"/>
        <v>0</v>
      </c>
      <c r="BE221" s="287"/>
      <c r="BF221" s="272"/>
    </row>
    <row r="222" spans="1:58" ht="14.25" customHeight="1" x14ac:dyDescent="0.35">
      <c r="A222" s="68">
        <v>220</v>
      </c>
      <c r="B222" s="24" t="s">
        <v>1829</v>
      </c>
      <c r="C222" s="24">
        <v>2024</v>
      </c>
      <c r="D222" s="24" t="s">
        <v>1745</v>
      </c>
      <c r="E222" s="269" t="str">
        <f ca="1">IFERROR(__xludf.DUMMYFUNCTION("ARRAYFORMULA(JOIN("""", ARRAYFORMULA(MID(SPLIT(F222, "" ""), 1, 1))))
&amp;""/""&amp;G222"),"CLQ/6 Primaria")</f>
        <v>CLQ/6 Primaria</v>
      </c>
      <c r="F222" s="24" t="s">
        <v>1755</v>
      </c>
      <c r="G222" s="248" t="s">
        <v>37</v>
      </c>
      <c r="H222" s="248" t="s">
        <v>1823</v>
      </c>
      <c r="I222" s="248" t="s">
        <v>1823</v>
      </c>
      <c r="J222" s="248" t="s">
        <v>1834</v>
      </c>
      <c r="K222" s="248" t="s">
        <v>1593</v>
      </c>
      <c r="L222" s="272"/>
      <c r="M222" s="286" t="s">
        <v>1589</v>
      </c>
      <c r="N222" s="286" t="s">
        <v>1589</v>
      </c>
      <c r="O222" s="286" t="s">
        <v>1617</v>
      </c>
      <c r="P222" s="286" t="s">
        <v>1587</v>
      </c>
      <c r="Q222" s="286" t="s">
        <v>1617</v>
      </c>
      <c r="R222" s="286" t="s">
        <v>1617</v>
      </c>
      <c r="S222" s="286" t="s">
        <v>1589</v>
      </c>
      <c r="T222" s="286" t="s">
        <v>1589</v>
      </c>
      <c r="U222" s="286" t="s">
        <v>1588</v>
      </c>
      <c r="V222" s="286" t="s">
        <v>1587</v>
      </c>
      <c r="W222" s="286" t="s">
        <v>1587</v>
      </c>
      <c r="X222" s="286" t="s">
        <v>1589</v>
      </c>
      <c r="Y222" s="286" t="s">
        <v>1617</v>
      </c>
      <c r="Z222" s="286" t="s">
        <v>1617</v>
      </c>
      <c r="AA222" s="286" t="s">
        <v>1588</v>
      </c>
      <c r="AB222" s="286" t="s">
        <v>1589</v>
      </c>
      <c r="AC222" s="286" t="s">
        <v>1587</v>
      </c>
      <c r="AD222" s="286" t="s">
        <v>1588</v>
      </c>
      <c r="AE222" s="286" t="s">
        <v>1588</v>
      </c>
      <c r="AF222" s="286" t="s">
        <v>1617</v>
      </c>
      <c r="AG222" s="283">
        <v>14</v>
      </c>
      <c r="AH222" s="287" t="s">
        <v>23</v>
      </c>
      <c r="AI222" s="272"/>
      <c r="AJ222" s="288" t="s">
        <v>2032</v>
      </c>
      <c r="AK222" s="288" t="s">
        <v>2032</v>
      </c>
      <c r="AL222" s="288" t="s">
        <v>2032</v>
      </c>
      <c r="AM222" s="288" t="s">
        <v>2032</v>
      </c>
      <c r="AN222" s="288" t="s">
        <v>2032</v>
      </c>
      <c r="AO222" s="288" t="s">
        <v>2032</v>
      </c>
      <c r="AP222" s="288" t="s">
        <v>2032</v>
      </c>
      <c r="AQ222" s="288" t="s">
        <v>2032</v>
      </c>
      <c r="AR222" s="288" t="s">
        <v>2032</v>
      </c>
      <c r="AS222" s="288" t="s">
        <v>2032</v>
      </c>
      <c r="AT222" s="288" t="s">
        <v>2032</v>
      </c>
      <c r="AU222" s="288" t="s">
        <v>2032</v>
      </c>
      <c r="AV222" s="288" t="s">
        <v>2032</v>
      </c>
      <c r="AW222" s="288" t="s">
        <v>2032</v>
      </c>
      <c r="AX222" s="288" t="s">
        <v>2032</v>
      </c>
      <c r="AY222" s="288" t="s">
        <v>2032</v>
      </c>
      <c r="AZ222" s="288" t="s">
        <v>2032</v>
      </c>
      <c r="BA222" s="288" t="s">
        <v>2032</v>
      </c>
      <c r="BB222" s="288" t="s">
        <v>2032</v>
      </c>
      <c r="BC222" s="288" t="s">
        <v>2032</v>
      </c>
      <c r="BD222" s="289">
        <f t="shared" si="0"/>
        <v>0</v>
      </c>
      <c r="BE222" s="287"/>
      <c r="BF222" s="272"/>
    </row>
    <row r="223" spans="1:58" ht="14.25" customHeight="1" x14ac:dyDescent="0.35">
      <c r="A223" s="68">
        <v>221</v>
      </c>
      <c r="B223" s="24" t="s">
        <v>1835</v>
      </c>
      <c r="C223" s="24">
        <v>2024</v>
      </c>
      <c r="D223" s="24" t="s">
        <v>1745</v>
      </c>
      <c r="E223" s="269" t="str">
        <f ca="1">IFERROR(__xludf.DUMMYFUNCTION("ARRAYFORMULA(JOIN("""", ARRAYFORMULA(MID(SPLIT(F223, "" ""), 1, 1))))
&amp;""/""&amp;G223"),"CLQ/2 Primaria")</f>
        <v>CLQ/2 Primaria</v>
      </c>
      <c r="F223" s="24" t="s">
        <v>1755</v>
      </c>
      <c r="G223" s="248" t="s">
        <v>45</v>
      </c>
      <c r="H223" s="248" t="s">
        <v>1598</v>
      </c>
      <c r="I223" s="248" t="s">
        <v>1598</v>
      </c>
      <c r="J223" s="248" t="s">
        <v>1836</v>
      </c>
      <c r="K223" s="248" t="s">
        <v>1586</v>
      </c>
      <c r="L223" s="272"/>
      <c r="M223" s="286" t="s">
        <v>1753</v>
      </c>
      <c r="N223" s="286" t="s">
        <v>1588</v>
      </c>
      <c r="O223" s="286" t="s">
        <v>1754</v>
      </c>
      <c r="P223" s="286" t="s">
        <v>1753</v>
      </c>
      <c r="Q223" s="286" t="s">
        <v>1753</v>
      </c>
      <c r="R223" s="286" t="s">
        <v>1588</v>
      </c>
      <c r="S223" s="286" t="s">
        <v>1754</v>
      </c>
      <c r="T223" s="286" t="s">
        <v>1753</v>
      </c>
      <c r="U223" s="286" t="s">
        <v>1588</v>
      </c>
      <c r="V223" s="286" t="s">
        <v>1753</v>
      </c>
      <c r="W223" s="286" t="s">
        <v>1753</v>
      </c>
      <c r="X223" s="286" t="s">
        <v>1754</v>
      </c>
      <c r="Y223" s="286" t="s">
        <v>1588</v>
      </c>
      <c r="Z223" s="286" t="s">
        <v>1754</v>
      </c>
      <c r="AA223" s="286" t="s">
        <v>1588</v>
      </c>
      <c r="AB223" s="286" t="s">
        <v>1754</v>
      </c>
      <c r="AC223" s="286" t="s">
        <v>1588</v>
      </c>
      <c r="AD223" s="286" t="s">
        <v>1753</v>
      </c>
      <c r="AE223" s="286" t="s">
        <v>1588</v>
      </c>
      <c r="AF223" s="286" t="s">
        <v>1753</v>
      </c>
      <c r="AG223" s="283">
        <v>8</v>
      </c>
      <c r="AH223" s="287" t="s">
        <v>19</v>
      </c>
      <c r="AI223" s="272"/>
      <c r="AJ223" s="288" t="s">
        <v>2032</v>
      </c>
      <c r="AK223" s="288" t="s">
        <v>2032</v>
      </c>
      <c r="AL223" s="288" t="s">
        <v>2032</v>
      </c>
      <c r="AM223" s="288" t="s">
        <v>2032</v>
      </c>
      <c r="AN223" s="288" t="s">
        <v>2032</v>
      </c>
      <c r="AO223" s="288" t="s">
        <v>2032</v>
      </c>
      <c r="AP223" s="288" t="s">
        <v>2032</v>
      </c>
      <c r="AQ223" s="288" t="s">
        <v>2032</v>
      </c>
      <c r="AR223" s="288" t="s">
        <v>2032</v>
      </c>
      <c r="AS223" s="288" t="s">
        <v>2032</v>
      </c>
      <c r="AT223" s="288" t="s">
        <v>2032</v>
      </c>
      <c r="AU223" s="288" t="s">
        <v>2032</v>
      </c>
      <c r="AV223" s="288" t="s">
        <v>2032</v>
      </c>
      <c r="AW223" s="288" t="s">
        <v>2032</v>
      </c>
      <c r="AX223" s="288" t="s">
        <v>2032</v>
      </c>
      <c r="AY223" s="288" t="s">
        <v>2032</v>
      </c>
      <c r="AZ223" s="288" t="s">
        <v>2032</v>
      </c>
      <c r="BA223" s="288" t="s">
        <v>2032</v>
      </c>
      <c r="BB223" s="288" t="s">
        <v>2032</v>
      </c>
      <c r="BC223" s="288" t="s">
        <v>2032</v>
      </c>
      <c r="BD223" s="289">
        <f t="shared" si="0"/>
        <v>0</v>
      </c>
      <c r="BE223" s="287"/>
      <c r="BF223" s="272"/>
    </row>
    <row r="224" spans="1:58" ht="14.25" customHeight="1" x14ac:dyDescent="0.35">
      <c r="A224" s="68">
        <v>222</v>
      </c>
      <c r="B224" s="24" t="s">
        <v>1835</v>
      </c>
      <c r="C224" s="24">
        <v>2024</v>
      </c>
      <c r="D224" s="24" t="s">
        <v>1745</v>
      </c>
      <c r="E224" s="269" t="str">
        <f ca="1">IFERROR(__xludf.DUMMYFUNCTION("ARRAYFORMULA(JOIN("""", ARRAYFORMULA(MID(SPLIT(F224, "" ""), 1, 1))))
&amp;""/""&amp;G224"),"CLQ/4 Primaria")</f>
        <v>CLQ/4 Primaria</v>
      </c>
      <c r="F224" s="24" t="s">
        <v>1755</v>
      </c>
      <c r="G224" s="248" t="s">
        <v>16</v>
      </c>
      <c r="H224" s="248" t="s">
        <v>1598</v>
      </c>
      <c r="I224" s="248" t="s">
        <v>1837</v>
      </c>
      <c r="J224" s="248" t="s">
        <v>1838</v>
      </c>
      <c r="K224" s="248" t="s">
        <v>1586</v>
      </c>
      <c r="L224" s="272"/>
      <c r="M224" s="286" t="s">
        <v>1587</v>
      </c>
      <c r="N224" s="286" t="s">
        <v>1588</v>
      </c>
      <c r="O224" s="286" t="s">
        <v>1589</v>
      </c>
      <c r="P224" s="286" t="s">
        <v>1587</v>
      </c>
      <c r="Q224" s="286" t="s">
        <v>1589</v>
      </c>
      <c r="R224" s="286" t="s">
        <v>1588</v>
      </c>
      <c r="S224" s="286" t="s">
        <v>1587</v>
      </c>
      <c r="T224" s="286" t="s">
        <v>1589</v>
      </c>
      <c r="U224" s="286" t="s">
        <v>1617</v>
      </c>
      <c r="V224" s="286" t="s">
        <v>1589</v>
      </c>
      <c r="W224" s="286" t="s">
        <v>1587</v>
      </c>
      <c r="X224" s="286" t="s">
        <v>1588</v>
      </c>
      <c r="Y224" s="286" t="s">
        <v>1617</v>
      </c>
      <c r="Z224" s="286" t="s">
        <v>1617</v>
      </c>
      <c r="AA224" s="286" t="s">
        <v>1617</v>
      </c>
      <c r="AB224" s="286" t="s">
        <v>1589</v>
      </c>
      <c r="AC224" s="286" t="s">
        <v>1617</v>
      </c>
      <c r="AD224" s="286" t="s">
        <v>1589</v>
      </c>
      <c r="AE224" s="286" t="s">
        <v>1617</v>
      </c>
      <c r="AF224" s="286" t="s">
        <v>1588</v>
      </c>
      <c r="AG224" s="283">
        <v>11</v>
      </c>
      <c r="AH224" s="287" t="s">
        <v>23</v>
      </c>
      <c r="AI224" s="272"/>
      <c r="AJ224" s="288" t="s">
        <v>2032</v>
      </c>
      <c r="AK224" s="288" t="s">
        <v>2032</v>
      </c>
      <c r="AL224" s="288" t="s">
        <v>2032</v>
      </c>
      <c r="AM224" s="288" t="s">
        <v>2032</v>
      </c>
      <c r="AN224" s="288" t="s">
        <v>2032</v>
      </c>
      <c r="AO224" s="288" t="s">
        <v>2032</v>
      </c>
      <c r="AP224" s="288" t="s">
        <v>2032</v>
      </c>
      <c r="AQ224" s="288" t="s">
        <v>2032</v>
      </c>
      <c r="AR224" s="288" t="s">
        <v>2032</v>
      </c>
      <c r="AS224" s="288" t="s">
        <v>2032</v>
      </c>
      <c r="AT224" s="288" t="s">
        <v>2032</v>
      </c>
      <c r="AU224" s="288" t="s">
        <v>2032</v>
      </c>
      <c r="AV224" s="288" t="s">
        <v>2032</v>
      </c>
      <c r="AW224" s="288" t="s">
        <v>2032</v>
      </c>
      <c r="AX224" s="288" t="s">
        <v>2032</v>
      </c>
      <c r="AY224" s="288" t="s">
        <v>2032</v>
      </c>
      <c r="AZ224" s="288" t="s">
        <v>2032</v>
      </c>
      <c r="BA224" s="288" t="s">
        <v>2032</v>
      </c>
      <c r="BB224" s="288" t="s">
        <v>2032</v>
      </c>
      <c r="BC224" s="288" t="s">
        <v>2032</v>
      </c>
      <c r="BD224" s="289">
        <f t="shared" si="0"/>
        <v>0</v>
      </c>
      <c r="BE224" s="287"/>
      <c r="BF224" s="272"/>
    </row>
    <row r="225" spans="1:58" ht="14.25" customHeight="1" x14ac:dyDescent="0.35">
      <c r="A225" s="68">
        <v>223</v>
      </c>
      <c r="B225" s="24" t="s">
        <v>1835</v>
      </c>
      <c r="C225" s="24">
        <v>2024</v>
      </c>
      <c r="D225" s="24" t="s">
        <v>1745</v>
      </c>
      <c r="E225" s="269" t="str">
        <f ca="1">IFERROR(__xludf.DUMMYFUNCTION("ARRAYFORMULA(JOIN("""", ARRAYFORMULA(MID(SPLIT(F225, "" ""), 1, 1))))
&amp;""/""&amp;G225"),"CLQ/4 Primaria")</f>
        <v>CLQ/4 Primaria</v>
      </c>
      <c r="F225" s="24" t="s">
        <v>1755</v>
      </c>
      <c r="G225" s="248" t="s">
        <v>16</v>
      </c>
      <c r="H225" s="248" t="s">
        <v>1598</v>
      </c>
      <c r="I225" s="248" t="s">
        <v>1724</v>
      </c>
      <c r="J225" s="248" t="s">
        <v>1839</v>
      </c>
      <c r="K225" s="248" t="s">
        <v>1593</v>
      </c>
      <c r="L225" s="272"/>
      <c r="M225" s="286" t="s">
        <v>1587</v>
      </c>
      <c r="N225" s="286" t="s">
        <v>1589</v>
      </c>
      <c r="O225" s="286" t="s">
        <v>1589</v>
      </c>
      <c r="P225" s="286" t="s">
        <v>1589</v>
      </c>
      <c r="Q225" s="286" t="s">
        <v>1617</v>
      </c>
      <c r="R225" s="286" t="s">
        <v>1588</v>
      </c>
      <c r="S225" s="286" t="s">
        <v>1589</v>
      </c>
      <c r="T225" s="286" t="s">
        <v>1617</v>
      </c>
      <c r="U225" s="286" t="s">
        <v>1589</v>
      </c>
      <c r="V225" s="286" t="s">
        <v>1617</v>
      </c>
      <c r="W225" s="286" t="s">
        <v>1617</v>
      </c>
      <c r="X225" s="286" t="s">
        <v>1589</v>
      </c>
      <c r="Y225" s="286" t="s">
        <v>1587</v>
      </c>
      <c r="Z225" s="286" t="s">
        <v>1589</v>
      </c>
      <c r="AA225" s="286" t="s">
        <v>1587</v>
      </c>
      <c r="AB225" s="286" t="s">
        <v>1617</v>
      </c>
      <c r="AC225" s="286" t="s">
        <v>1589</v>
      </c>
      <c r="AD225" s="286" t="s">
        <v>1617</v>
      </c>
      <c r="AE225" s="286" t="s">
        <v>1587</v>
      </c>
      <c r="AF225" s="286" t="s">
        <v>1588</v>
      </c>
      <c r="AG225" s="283">
        <v>8</v>
      </c>
      <c r="AH225" s="287" t="s">
        <v>19</v>
      </c>
      <c r="AI225" s="272"/>
      <c r="AJ225" s="288" t="s">
        <v>2032</v>
      </c>
      <c r="AK225" s="288" t="s">
        <v>2032</v>
      </c>
      <c r="AL225" s="288" t="s">
        <v>2032</v>
      </c>
      <c r="AM225" s="288" t="s">
        <v>2032</v>
      </c>
      <c r="AN225" s="288" t="s">
        <v>2032</v>
      </c>
      <c r="AO225" s="288" t="s">
        <v>2032</v>
      </c>
      <c r="AP225" s="288" t="s">
        <v>2032</v>
      </c>
      <c r="AQ225" s="288" t="s">
        <v>2032</v>
      </c>
      <c r="AR225" s="288" t="s">
        <v>2032</v>
      </c>
      <c r="AS225" s="288" t="s">
        <v>2032</v>
      </c>
      <c r="AT225" s="288" t="s">
        <v>2032</v>
      </c>
      <c r="AU225" s="288" t="s">
        <v>2032</v>
      </c>
      <c r="AV225" s="288" t="s">
        <v>2032</v>
      </c>
      <c r="AW225" s="288" t="s">
        <v>2032</v>
      </c>
      <c r="AX225" s="288" t="s">
        <v>2032</v>
      </c>
      <c r="AY225" s="288" t="s">
        <v>2032</v>
      </c>
      <c r="AZ225" s="288" t="s">
        <v>2032</v>
      </c>
      <c r="BA225" s="288" t="s">
        <v>2032</v>
      </c>
      <c r="BB225" s="288" t="s">
        <v>2032</v>
      </c>
      <c r="BC225" s="288" t="s">
        <v>2032</v>
      </c>
      <c r="BD225" s="289">
        <f t="shared" si="0"/>
        <v>0</v>
      </c>
      <c r="BE225" s="287"/>
      <c r="BF225" s="272"/>
    </row>
    <row r="226" spans="1:58" ht="14.25" customHeight="1" x14ac:dyDescent="0.35">
      <c r="A226" s="68">
        <v>224</v>
      </c>
      <c r="B226" s="24" t="s">
        <v>1835</v>
      </c>
      <c r="C226" s="24">
        <v>2024</v>
      </c>
      <c r="D226" s="24" t="s">
        <v>1745</v>
      </c>
      <c r="E226" s="269" t="str">
        <f ca="1">IFERROR(__xludf.DUMMYFUNCTION("ARRAYFORMULA(JOIN("""", ARRAYFORMULA(MID(SPLIT(F226, "" ""), 1, 1))))
&amp;""/""&amp;G226"),"CLQ/6 Primaria")</f>
        <v>CLQ/6 Primaria</v>
      </c>
      <c r="F226" s="24" t="s">
        <v>1755</v>
      </c>
      <c r="G226" s="248" t="s">
        <v>37</v>
      </c>
      <c r="H226" s="248" t="s">
        <v>1840</v>
      </c>
      <c r="I226" s="248" t="s">
        <v>1595</v>
      </c>
      <c r="J226" s="248" t="s">
        <v>1841</v>
      </c>
      <c r="K226" s="248" t="s">
        <v>1593</v>
      </c>
      <c r="L226" s="272"/>
      <c r="M226" s="286" t="s">
        <v>1588</v>
      </c>
      <c r="N226" s="286" t="s">
        <v>1589</v>
      </c>
      <c r="O226" s="286" t="s">
        <v>1617</v>
      </c>
      <c r="P226" s="286" t="s">
        <v>1587</v>
      </c>
      <c r="Q226" s="286" t="s">
        <v>1617</v>
      </c>
      <c r="R226" s="286" t="s">
        <v>1617</v>
      </c>
      <c r="S226" s="286" t="s">
        <v>1617</v>
      </c>
      <c r="T226" s="286" t="s">
        <v>1589</v>
      </c>
      <c r="U226" s="286" t="s">
        <v>1617</v>
      </c>
      <c r="V226" s="286" t="s">
        <v>1587</v>
      </c>
      <c r="W226" s="286" t="s">
        <v>1617</v>
      </c>
      <c r="X226" s="286" t="s">
        <v>1617</v>
      </c>
      <c r="Y226" s="286" t="s">
        <v>1617</v>
      </c>
      <c r="Z226" s="286" t="s">
        <v>1589</v>
      </c>
      <c r="AA226" s="286" t="s">
        <v>1617</v>
      </c>
      <c r="AB226" s="286" t="s">
        <v>1617</v>
      </c>
      <c r="AC226" s="286" t="s">
        <v>1587</v>
      </c>
      <c r="AD226" s="286" t="s">
        <v>1588</v>
      </c>
      <c r="AE226" s="286" t="s">
        <v>1617</v>
      </c>
      <c r="AF226" s="286" t="s">
        <v>1617</v>
      </c>
      <c r="AG226" s="283">
        <v>16</v>
      </c>
      <c r="AH226" s="287" t="s">
        <v>23</v>
      </c>
      <c r="AI226" s="272"/>
      <c r="AJ226" s="288" t="s">
        <v>2032</v>
      </c>
      <c r="AK226" s="288" t="s">
        <v>2032</v>
      </c>
      <c r="AL226" s="288" t="s">
        <v>2032</v>
      </c>
      <c r="AM226" s="288" t="s">
        <v>2032</v>
      </c>
      <c r="AN226" s="288" t="s">
        <v>2032</v>
      </c>
      <c r="AO226" s="288" t="s">
        <v>2032</v>
      </c>
      <c r="AP226" s="288" t="s">
        <v>2032</v>
      </c>
      <c r="AQ226" s="288" t="s">
        <v>2032</v>
      </c>
      <c r="AR226" s="288" t="s">
        <v>2032</v>
      </c>
      <c r="AS226" s="288" t="s">
        <v>2032</v>
      </c>
      <c r="AT226" s="288" t="s">
        <v>2032</v>
      </c>
      <c r="AU226" s="288" t="s">
        <v>2032</v>
      </c>
      <c r="AV226" s="288" t="s">
        <v>2032</v>
      </c>
      <c r="AW226" s="288" t="s">
        <v>2032</v>
      </c>
      <c r="AX226" s="288" t="s">
        <v>2032</v>
      </c>
      <c r="AY226" s="288" t="s">
        <v>2032</v>
      </c>
      <c r="AZ226" s="288" t="s">
        <v>2032</v>
      </c>
      <c r="BA226" s="288" t="s">
        <v>2032</v>
      </c>
      <c r="BB226" s="288" t="s">
        <v>2032</v>
      </c>
      <c r="BC226" s="288" t="s">
        <v>2032</v>
      </c>
      <c r="BD226" s="289">
        <f t="shared" si="0"/>
        <v>0</v>
      </c>
      <c r="BE226" s="287"/>
      <c r="BF226" s="272"/>
    </row>
    <row r="227" spans="1:58" ht="14.25" customHeight="1" x14ac:dyDescent="0.35">
      <c r="A227" s="68">
        <v>225</v>
      </c>
      <c r="B227" s="24" t="s">
        <v>1835</v>
      </c>
      <c r="C227" s="24">
        <v>2024</v>
      </c>
      <c r="D227" s="24" t="s">
        <v>1745</v>
      </c>
      <c r="E227" s="269" t="str">
        <f ca="1">IFERROR(__xludf.DUMMYFUNCTION("ARRAYFORMULA(JOIN("""", ARRAYFORMULA(MID(SPLIT(F227, "" ""), 1, 1))))
&amp;""/""&amp;G227"),"CLQ/6 Primaria")</f>
        <v>CLQ/6 Primaria</v>
      </c>
      <c r="F227" s="24" t="s">
        <v>1755</v>
      </c>
      <c r="G227" s="248" t="s">
        <v>37</v>
      </c>
      <c r="H227" s="248" t="s">
        <v>1598</v>
      </c>
      <c r="I227" s="248" t="s">
        <v>1612</v>
      </c>
      <c r="J227" s="248" t="s">
        <v>1842</v>
      </c>
      <c r="K227" s="248" t="s">
        <v>1586</v>
      </c>
      <c r="L227" s="272"/>
      <c r="M227" s="286" t="s">
        <v>1589</v>
      </c>
      <c r="N227" s="286" t="s">
        <v>1589</v>
      </c>
      <c r="O227" s="286" t="s">
        <v>1617</v>
      </c>
      <c r="P227" s="286" t="s">
        <v>1587</v>
      </c>
      <c r="Q227" s="286" t="s">
        <v>1588</v>
      </c>
      <c r="R227" s="286" t="s">
        <v>1617</v>
      </c>
      <c r="S227" s="286" t="s">
        <v>1589</v>
      </c>
      <c r="T227" s="286" t="s">
        <v>1588</v>
      </c>
      <c r="U227" s="286" t="s">
        <v>1617</v>
      </c>
      <c r="V227" s="286" t="s">
        <v>1617</v>
      </c>
      <c r="W227" s="286" t="s">
        <v>1617</v>
      </c>
      <c r="X227" s="286" t="s">
        <v>1587</v>
      </c>
      <c r="Y227" s="286" t="s">
        <v>1617</v>
      </c>
      <c r="Z227" s="286" t="s">
        <v>1589</v>
      </c>
      <c r="AA227" s="286" t="s">
        <v>1588</v>
      </c>
      <c r="AB227" s="286" t="s">
        <v>1588</v>
      </c>
      <c r="AC227" s="286" t="s">
        <v>1587</v>
      </c>
      <c r="AD227" s="286" t="s">
        <v>1588</v>
      </c>
      <c r="AE227" s="286" t="s">
        <v>1589</v>
      </c>
      <c r="AF227" s="286" t="s">
        <v>1589</v>
      </c>
      <c r="AG227" s="283">
        <v>14</v>
      </c>
      <c r="AH227" s="287" t="s">
        <v>23</v>
      </c>
      <c r="AI227" s="272"/>
      <c r="AJ227" s="288" t="s">
        <v>2032</v>
      </c>
      <c r="AK227" s="288" t="s">
        <v>2032</v>
      </c>
      <c r="AL227" s="288" t="s">
        <v>2032</v>
      </c>
      <c r="AM227" s="288" t="s">
        <v>2032</v>
      </c>
      <c r="AN227" s="288" t="s">
        <v>2032</v>
      </c>
      <c r="AO227" s="288" t="s">
        <v>2032</v>
      </c>
      <c r="AP227" s="288" t="s">
        <v>2032</v>
      </c>
      <c r="AQ227" s="288" t="s">
        <v>2032</v>
      </c>
      <c r="AR227" s="288" t="s">
        <v>2032</v>
      </c>
      <c r="AS227" s="288" t="s">
        <v>2032</v>
      </c>
      <c r="AT227" s="288" t="s">
        <v>2032</v>
      </c>
      <c r="AU227" s="288" t="s">
        <v>2032</v>
      </c>
      <c r="AV227" s="288" t="s">
        <v>2032</v>
      </c>
      <c r="AW227" s="288" t="s">
        <v>2032</v>
      </c>
      <c r="AX227" s="288" t="s">
        <v>2032</v>
      </c>
      <c r="AY227" s="288" t="s">
        <v>2032</v>
      </c>
      <c r="AZ227" s="288" t="s">
        <v>2032</v>
      </c>
      <c r="BA227" s="288" t="s">
        <v>2032</v>
      </c>
      <c r="BB227" s="288" t="s">
        <v>2032</v>
      </c>
      <c r="BC227" s="288" t="s">
        <v>2032</v>
      </c>
      <c r="BD227" s="289">
        <f t="shared" si="0"/>
        <v>0</v>
      </c>
      <c r="BE227" s="287"/>
      <c r="BF227" s="272"/>
    </row>
    <row r="228" spans="1:58" ht="14.25" customHeight="1" x14ac:dyDescent="0.35">
      <c r="A228" s="68">
        <v>226</v>
      </c>
      <c r="B228" s="24" t="s">
        <v>1835</v>
      </c>
      <c r="C228" s="24">
        <v>2024</v>
      </c>
      <c r="D228" s="24" t="s">
        <v>1745</v>
      </c>
      <c r="E228" s="269" t="str">
        <f ca="1">IFERROR(__xludf.DUMMYFUNCTION("ARRAYFORMULA(JOIN("""", ARRAYFORMULA(MID(SPLIT(F228, "" ""), 1, 1))))
&amp;""/""&amp;G228"),"CLQ/6 Primaria")</f>
        <v>CLQ/6 Primaria</v>
      </c>
      <c r="F228" s="24" t="s">
        <v>1755</v>
      </c>
      <c r="G228" s="248" t="s">
        <v>37</v>
      </c>
      <c r="H228" s="248" t="s">
        <v>1606</v>
      </c>
      <c r="I228" s="248" t="s">
        <v>1843</v>
      </c>
      <c r="J228" s="248" t="s">
        <v>1844</v>
      </c>
      <c r="K228" s="248" t="s">
        <v>1586</v>
      </c>
      <c r="L228" s="272"/>
      <c r="M228" s="286" t="s">
        <v>1589</v>
      </c>
      <c r="N228" s="286" t="s">
        <v>1589</v>
      </c>
      <c r="O228" s="286" t="s">
        <v>1617</v>
      </c>
      <c r="P228" s="286" t="s">
        <v>1587</v>
      </c>
      <c r="Q228" s="286" t="s">
        <v>1617</v>
      </c>
      <c r="R228" s="286" t="s">
        <v>1617</v>
      </c>
      <c r="S228" s="286" t="s">
        <v>1587</v>
      </c>
      <c r="T228" s="286" t="s">
        <v>1589</v>
      </c>
      <c r="U228" s="286" t="s">
        <v>1617</v>
      </c>
      <c r="V228" s="286" t="s">
        <v>1587</v>
      </c>
      <c r="W228" s="286" t="s">
        <v>1588</v>
      </c>
      <c r="X228" s="286" t="s">
        <v>1617</v>
      </c>
      <c r="Y228" s="286" t="s">
        <v>1587</v>
      </c>
      <c r="Z228" s="286" t="s">
        <v>1589</v>
      </c>
      <c r="AA228" s="286" t="s">
        <v>1588</v>
      </c>
      <c r="AB228" s="286" t="s">
        <v>1617</v>
      </c>
      <c r="AC228" s="286" t="s">
        <v>1587</v>
      </c>
      <c r="AD228" s="286" t="s">
        <v>1588</v>
      </c>
      <c r="AE228" s="286" t="s">
        <v>1589</v>
      </c>
      <c r="AF228" s="286" t="s">
        <v>1617</v>
      </c>
      <c r="AG228" s="283">
        <v>17</v>
      </c>
      <c r="AH228" s="287" t="s">
        <v>25</v>
      </c>
      <c r="AI228" s="272"/>
      <c r="AJ228" s="288" t="s">
        <v>2032</v>
      </c>
      <c r="AK228" s="288" t="s">
        <v>2032</v>
      </c>
      <c r="AL228" s="288" t="s">
        <v>2032</v>
      </c>
      <c r="AM228" s="288" t="s">
        <v>2032</v>
      </c>
      <c r="AN228" s="288" t="s">
        <v>2032</v>
      </c>
      <c r="AO228" s="288" t="s">
        <v>2032</v>
      </c>
      <c r="AP228" s="288" t="s">
        <v>2032</v>
      </c>
      <c r="AQ228" s="288" t="s">
        <v>2032</v>
      </c>
      <c r="AR228" s="288" t="s">
        <v>2032</v>
      </c>
      <c r="AS228" s="288" t="s">
        <v>2032</v>
      </c>
      <c r="AT228" s="288" t="s">
        <v>2032</v>
      </c>
      <c r="AU228" s="288" t="s">
        <v>2032</v>
      </c>
      <c r="AV228" s="288" t="s">
        <v>2032</v>
      </c>
      <c r="AW228" s="288" t="s">
        <v>2032</v>
      </c>
      <c r="AX228" s="288" t="s">
        <v>2032</v>
      </c>
      <c r="AY228" s="288" t="s">
        <v>2032</v>
      </c>
      <c r="AZ228" s="288" t="s">
        <v>2032</v>
      </c>
      <c r="BA228" s="288" t="s">
        <v>2032</v>
      </c>
      <c r="BB228" s="288" t="s">
        <v>2032</v>
      </c>
      <c r="BC228" s="288" t="s">
        <v>2032</v>
      </c>
      <c r="BD228" s="289">
        <f t="shared" si="0"/>
        <v>0</v>
      </c>
      <c r="BE228" s="287"/>
      <c r="BF228" s="272"/>
    </row>
    <row r="229" spans="1:58" ht="14.25" customHeight="1" x14ac:dyDescent="0.35">
      <c r="A229" s="68">
        <v>227</v>
      </c>
      <c r="B229" s="24" t="s">
        <v>1835</v>
      </c>
      <c r="C229" s="24">
        <v>2024</v>
      </c>
      <c r="D229" s="24" t="s">
        <v>1745</v>
      </c>
      <c r="E229" s="269" t="str">
        <f ca="1">IFERROR(__xludf.DUMMYFUNCTION("ARRAYFORMULA(JOIN("""", ARRAYFORMULA(MID(SPLIT(F229, "" ""), 1, 1))))
&amp;""/""&amp;G229"),"CLQ/6 Primaria")</f>
        <v>CLQ/6 Primaria</v>
      </c>
      <c r="F229" s="24" t="s">
        <v>1755</v>
      </c>
      <c r="G229" s="248" t="s">
        <v>37</v>
      </c>
      <c r="H229" s="248" t="s">
        <v>1808</v>
      </c>
      <c r="I229" s="248" t="s">
        <v>1732</v>
      </c>
      <c r="J229" s="248" t="s">
        <v>1845</v>
      </c>
      <c r="K229" s="248" t="s">
        <v>1586</v>
      </c>
      <c r="L229" s="272"/>
      <c r="M229" s="286"/>
      <c r="N229" s="286"/>
      <c r="O229" s="286"/>
      <c r="P229" s="286"/>
      <c r="Q229" s="286"/>
      <c r="R229" s="286"/>
      <c r="S229" s="286"/>
      <c r="T229" s="286"/>
      <c r="U229" s="286"/>
      <c r="V229" s="286"/>
      <c r="W229" s="286"/>
      <c r="X229" s="286"/>
      <c r="Y229" s="286"/>
      <c r="Z229" s="286"/>
      <c r="AA229" s="286"/>
      <c r="AB229" s="286"/>
      <c r="AC229" s="286"/>
      <c r="AD229" s="286"/>
      <c r="AE229" s="286"/>
      <c r="AF229" s="286"/>
      <c r="AG229" s="283">
        <v>0</v>
      </c>
      <c r="AH229" s="287" t="s">
        <v>1489</v>
      </c>
      <c r="AI229" s="272"/>
      <c r="AJ229" s="288" t="s">
        <v>2032</v>
      </c>
      <c r="AK229" s="288" t="s">
        <v>2032</v>
      </c>
      <c r="AL229" s="288" t="s">
        <v>2032</v>
      </c>
      <c r="AM229" s="288" t="s">
        <v>2032</v>
      </c>
      <c r="AN229" s="288" t="s">
        <v>2032</v>
      </c>
      <c r="AO229" s="288" t="s">
        <v>2032</v>
      </c>
      <c r="AP229" s="288" t="s">
        <v>2032</v>
      </c>
      <c r="AQ229" s="288" t="s">
        <v>2032</v>
      </c>
      <c r="AR229" s="288" t="s">
        <v>2032</v>
      </c>
      <c r="AS229" s="288" t="s">
        <v>2032</v>
      </c>
      <c r="AT229" s="288" t="s">
        <v>2032</v>
      </c>
      <c r="AU229" s="288" t="s">
        <v>2032</v>
      </c>
      <c r="AV229" s="288" t="s">
        <v>2032</v>
      </c>
      <c r="AW229" s="288" t="s">
        <v>2032</v>
      </c>
      <c r="AX229" s="288" t="s">
        <v>2032</v>
      </c>
      <c r="AY229" s="288" t="s">
        <v>2032</v>
      </c>
      <c r="AZ229" s="288" t="s">
        <v>2032</v>
      </c>
      <c r="BA229" s="288" t="s">
        <v>2032</v>
      </c>
      <c r="BB229" s="288" t="s">
        <v>2032</v>
      </c>
      <c r="BC229" s="288" t="s">
        <v>2032</v>
      </c>
      <c r="BD229" s="289">
        <f t="shared" si="0"/>
        <v>0</v>
      </c>
      <c r="BE229" s="287" t="s">
        <v>1489</v>
      </c>
      <c r="BF229" s="272"/>
    </row>
    <row r="230" spans="1:58" ht="14.25" customHeight="1" x14ac:dyDescent="0.35">
      <c r="A230" s="68">
        <v>228</v>
      </c>
      <c r="B230" s="24" t="s">
        <v>1835</v>
      </c>
      <c r="C230" s="24">
        <v>2024</v>
      </c>
      <c r="D230" s="24" t="s">
        <v>1745</v>
      </c>
      <c r="E230" s="269" t="str">
        <f ca="1">IFERROR(__xludf.DUMMYFUNCTION("ARRAYFORMULA(JOIN("""", ARRAYFORMULA(MID(SPLIT(F230, "" ""), 1, 1))))
&amp;""/""&amp;G230"),"CLQ/6 Primaria")</f>
        <v>CLQ/6 Primaria</v>
      </c>
      <c r="F230" s="24" t="s">
        <v>1755</v>
      </c>
      <c r="G230" s="248" t="s">
        <v>37</v>
      </c>
      <c r="H230" s="248" t="s">
        <v>1846</v>
      </c>
      <c r="I230" s="248" t="s">
        <v>1612</v>
      </c>
      <c r="J230" s="248" t="s">
        <v>1847</v>
      </c>
      <c r="K230" s="248" t="s">
        <v>1586</v>
      </c>
      <c r="L230" s="272"/>
      <c r="M230" s="286"/>
      <c r="N230" s="286"/>
      <c r="O230" s="286"/>
      <c r="P230" s="286"/>
      <c r="Q230" s="286"/>
      <c r="R230" s="286"/>
      <c r="S230" s="286"/>
      <c r="T230" s="286"/>
      <c r="U230" s="286"/>
      <c r="V230" s="286"/>
      <c r="W230" s="286"/>
      <c r="X230" s="286"/>
      <c r="Y230" s="286"/>
      <c r="Z230" s="286"/>
      <c r="AA230" s="286"/>
      <c r="AB230" s="286"/>
      <c r="AC230" s="286"/>
      <c r="AD230" s="286"/>
      <c r="AE230" s="286"/>
      <c r="AF230" s="286"/>
      <c r="AG230" s="283">
        <v>0</v>
      </c>
      <c r="AH230" s="287" t="s">
        <v>1489</v>
      </c>
      <c r="AI230" s="272"/>
      <c r="AJ230" s="288" t="s">
        <v>2032</v>
      </c>
      <c r="AK230" s="288" t="s">
        <v>2032</v>
      </c>
      <c r="AL230" s="288" t="s">
        <v>2032</v>
      </c>
      <c r="AM230" s="288" t="s">
        <v>2032</v>
      </c>
      <c r="AN230" s="288" t="s">
        <v>2032</v>
      </c>
      <c r="AO230" s="288" t="s">
        <v>2032</v>
      </c>
      <c r="AP230" s="288" t="s">
        <v>2032</v>
      </c>
      <c r="AQ230" s="288" t="s">
        <v>2032</v>
      </c>
      <c r="AR230" s="288" t="s">
        <v>2032</v>
      </c>
      <c r="AS230" s="288" t="s">
        <v>2032</v>
      </c>
      <c r="AT230" s="288" t="s">
        <v>2032</v>
      </c>
      <c r="AU230" s="288" t="s">
        <v>2032</v>
      </c>
      <c r="AV230" s="288" t="s">
        <v>2032</v>
      </c>
      <c r="AW230" s="288" t="s">
        <v>2032</v>
      </c>
      <c r="AX230" s="288" t="s">
        <v>2032</v>
      </c>
      <c r="AY230" s="288" t="s">
        <v>2032</v>
      </c>
      <c r="AZ230" s="288" t="s">
        <v>2032</v>
      </c>
      <c r="BA230" s="288" t="s">
        <v>2032</v>
      </c>
      <c r="BB230" s="288" t="s">
        <v>2032</v>
      </c>
      <c r="BC230" s="288" t="s">
        <v>2032</v>
      </c>
      <c r="BD230" s="289">
        <f t="shared" si="0"/>
        <v>0</v>
      </c>
      <c r="BE230" s="287" t="s">
        <v>1489</v>
      </c>
      <c r="BF230" s="272"/>
    </row>
    <row r="231" spans="1:58" ht="14.25" customHeight="1" x14ac:dyDescent="0.35">
      <c r="A231" s="68">
        <v>229</v>
      </c>
      <c r="B231" s="24" t="s">
        <v>1848</v>
      </c>
      <c r="C231" s="24">
        <v>2024</v>
      </c>
      <c r="D231" s="24" t="s">
        <v>1541</v>
      </c>
      <c r="E231" s="269" t="str">
        <f ca="1">IFERROR(__xludf.DUMMYFUNCTION("ARRAYFORMULA(JOIN("""", ARRAYFORMULA(MID(SPLIT(F231, "" ""), 1, 1))))
&amp;""/""&amp;G231"),"MQ/2 Primaria")</f>
        <v>MQ/2 Primaria</v>
      </c>
      <c r="F231" s="24" t="s">
        <v>1751</v>
      </c>
      <c r="G231" s="248" t="s">
        <v>45</v>
      </c>
      <c r="H231" s="248" t="s">
        <v>1759</v>
      </c>
      <c r="I231" s="248" t="s">
        <v>1849</v>
      </c>
      <c r="J231" s="248" t="s">
        <v>1850</v>
      </c>
      <c r="K231" s="248" t="s">
        <v>1586</v>
      </c>
      <c r="L231" s="272"/>
      <c r="M231" s="286" t="s">
        <v>1753</v>
      </c>
      <c r="N231" s="286" t="s">
        <v>1588</v>
      </c>
      <c r="O231" s="286" t="s">
        <v>1753</v>
      </c>
      <c r="P231" s="286" t="s">
        <v>1754</v>
      </c>
      <c r="Q231" s="286" t="s">
        <v>1754</v>
      </c>
      <c r="R231" s="286" t="s">
        <v>1588</v>
      </c>
      <c r="S231" s="286" t="s">
        <v>1754</v>
      </c>
      <c r="T231" s="286" t="s">
        <v>1588</v>
      </c>
      <c r="U231" s="286" t="s">
        <v>1754</v>
      </c>
      <c r="V231" s="286" t="s">
        <v>1753</v>
      </c>
      <c r="W231" s="286" t="s">
        <v>1588</v>
      </c>
      <c r="X231" s="286" t="s">
        <v>1753</v>
      </c>
      <c r="Y231" s="286" t="s">
        <v>1753</v>
      </c>
      <c r="Z231" s="286" t="s">
        <v>1753</v>
      </c>
      <c r="AA231" s="286" t="s">
        <v>1754</v>
      </c>
      <c r="AB231" s="286" t="s">
        <v>1588</v>
      </c>
      <c r="AC231" s="286" t="s">
        <v>1588</v>
      </c>
      <c r="AD231" s="286" t="s">
        <v>1754</v>
      </c>
      <c r="AE231" s="286" t="s">
        <v>1753</v>
      </c>
      <c r="AF231" s="286" t="s">
        <v>1753</v>
      </c>
      <c r="AG231" s="283">
        <v>13</v>
      </c>
      <c r="AH231" s="287" t="s">
        <v>23</v>
      </c>
      <c r="AI231" s="272"/>
      <c r="AJ231" s="288" t="s">
        <v>2032</v>
      </c>
      <c r="AK231" s="288" t="s">
        <v>2032</v>
      </c>
      <c r="AL231" s="288" t="s">
        <v>2032</v>
      </c>
      <c r="AM231" s="288" t="s">
        <v>2032</v>
      </c>
      <c r="AN231" s="288" t="s">
        <v>2032</v>
      </c>
      <c r="AO231" s="288" t="s">
        <v>2032</v>
      </c>
      <c r="AP231" s="288" t="s">
        <v>2032</v>
      </c>
      <c r="AQ231" s="288" t="s">
        <v>2032</v>
      </c>
      <c r="AR231" s="288" t="s">
        <v>2032</v>
      </c>
      <c r="AS231" s="288" t="s">
        <v>2032</v>
      </c>
      <c r="AT231" s="288" t="s">
        <v>2032</v>
      </c>
      <c r="AU231" s="288" t="s">
        <v>2032</v>
      </c>
      <c r="AV231" s="288" t="s">
        <v>2032</v>
      </c>
      <c r="AW231" s="288" t="s">
        <v>2032</v>
      </c>
      <c r="AX231" s="288" t="s">
        <v>2032</v>
      </c>
      <c r="AY231" s="288" t="s">
        <v>2032</v>
      </c>
      <c r="AZ231" s="288" t="s">
        <v>2032</v>
      </c>
      <c r="BA231" s="288" t="s">
        <v>2032</v>
      </c>
      <c r="BB231" s="288" t="s">
        <v>2032</v>
      </c>
      <c r="BC231" s="288" t="s">
        <v>2032</v>
      </c>
      <c r="BD231" s="289">
        <f t="shared" si="0"/>
        <v>0</v>
      </c>
      <c r="BE231" s="287"/>
      <c r="BF231" s="272"/>
    </row>
    <row r="232" spans="1:58" ht="14.25" customHeight="1" x14ac:dyDescent="0.35">
      <c r="A232" s="68">
        <v>230</v>
      </c>
      <c r="B232" s="24" t="s">
        <v>1848</v>
      </c>
      <c r="C232" s="24">
        <v>2024</v>
      </c>
      <c r="D232" s="24" t="s">
        <v>1745</v>
      </c>
      <c r="E232" s="269" t="str">
        <f ca="1">IFERROR(__xludf.DUMMYFUNCTION("ARRAYFORMULA(JOIN("""", ARRAYFORMULA(MID(SPLIT(F232, "" ""), 1, 1))))
&amp;""/""&amp;G232"),"CLQ/2 Primaria")</f>
        <v>CLQ/2 Primaria</v>
      </c>
      <c r="F232" s="24" t="s">
        <v>1755</v>
      </c>
      <c r="G232" s="248" t="s">
        <v>45</v>
      </c>
      <c r="H232" s="248" t="s">
        <v>1759</v>
      </c>
      <c r="I232" s="248" t="s">
        <v>1849</v>
      </c>
      <c r="J232" s="248" t="s">
        <v>1850</v>
      </c>
      <c r="K232" s="248" t="s">
        <v>1586</v>
      </c>
      <c r="L232" s="272"/>
      <c r="M232" s="286" t="s">
        <v>1753</v>
      </c>
      <c r="N232" s="286" t="s">
        <v>1754</v>
      </c>
      <c r="O232" s="286" t="s">
        <v>1588</v>
      </c>
      <c r="P232" s="286" t="s">
        <v>1753</v>
      </c>
      <c r="Q232" s="286" t="s">
        <v>1753</v>
      </c>
      <c r="R232" s="286" t="s">
        <v>1754</v>
      </c>
      <c r="S232" s="286" t="s">
        <v>1754</v>
      </c>
      <c r="T232" s="286" t="s">
        <v>1753</v>
      </c>
      <c r="U232" s="286" t="s">
        <v>1754</v>
      </c>
      <c r="V232" s="286" t="s">
        <v>1588</v>
      </c>
      <c r="W232" s="286" t="s">
        <v>1753</v>
      </c>
      <c r="X232" s="286" t="s">
        <v>1588</v>
      </c>
      <c r="Y232" s="286" t="s">
        <v>1754</v>
      </c>
      <c r="Z232" s="286" t="s">
        <v>1753</v>
      </c>
      <c r="AA232" s="286" t="s">
        <v>1588</v>
      </c>
      <c r="AB232" s="286" t="s">
        <v>1588</v>
      </c>
      <c r="AC232" s="286" t="s">
        <v>1754</v>
      </c>
      <c r="AD232" s="286" t="s">
        <v>1753</v>
      </c>
      <c r="AE232" s="286" t="s">
        <v>1753</v>
      </c>
      <c r="AF232" s="286" t="s">
        <v>1753</v>
      </c>
      <c r="AG232" s="283">
        <v>8</v>
      </c>
      <c r="AH232" s="287" t="s">
        <v>19</v>
      </c>
      <c r="AI232" s="272"/>
      <c r="AJ232" s="288" t="s">
        <v>2032</v>
      </c>
      <c r="AK232" s="288" t="s">
        <v>2032</v>
      </c>
      <c r="AL232" s="288" t="s">
        <v>2032</v>
      </c>
      <c r="AM232" s="288" t="s">
        <v>2032</v>
      </c>
      <c r="AN232" s="288" t="s">
        <v>2032</v>
      </c>
      <c r="AO232" s="288" t="s">
        <v>2032</v>
      </c>
      <c r="AP232" s="288" t="s">
        <v>2032</v>
      </c>
      <c r="AQ232" s="288" t="s">
        <v>2032</v>
      </c>
      <c r="AR232" s="288" t="s">
        <v>2032</v>
      </c>
      <c r="AS232" s="288" t="s">
        <v>2032</v>
      </c>
      <c r="AT232" s="288" t="s">
        <v>2032</v>
      </c>
      <c r="AU232" s="288" t="s">
        <v>2032</v>
      </c>
      <c r="AV232" s="288" t="s">
        <v>2032</v>
      </c>
      <c r="AW232" s="288" t="s">
        <v>2032</v>
      </c>
      <c r="AX232" s="288" t="s">
        <v>2032</v>
      </c>
      <c r="AY232" s="288" t="s">
        <v>2032</v>
      </c>
      <c r="AZ232" s="288" t="s">
        <v>2032</v>
      </c>
      <c r="BA232" s="288" t="s">
        <v>2032</v>
      </c>
      <c r="BB232" s="288" t="s">
        <v>2032</v>
      </c>
      <c r="BC232" s="288" t="s">
        <v>2032</v>
      </c>
      <c r="BD232" s="289">
        <f t="shared" si="0"/>
        <v>0</v>
      </c>
      <c r="BE232" s="287"/>
      <c r="BF232" s="272"/>
    </row>
    <row r="233" spans="1:58" ht="14.25" customHeight="1" x14ac:dyDescent="0.35">
      <c r="A233" s="68">
        <v>231</v>
      </c>
      <c r="B233" s="24" t="s">
        <v>1848</v>
      </c>
      <c r="C233" s="24">
        <v>2024</v>
      </c>
      <c r="D233" s="24" t="s">
        <v>1541</v>
      </c>
      <c r="E233" s="269" t="str">
        <f ca="1">IFERROR(__xludf.DUMMYFUNCTION("ARRAYFORMULA(JOIN("""", ARRAYFORMULA(MID(SPLIT(F233, "" ""), 1, 1))))
&amp;""/""&amp;G233"),"MQ/4 Primaria")</f>
        <v>MQ/4 Primaria</v>
      </c>
      <c r="F233" s="24" t="s">
        <v>1751</v>
      </c>
      <c r="G233" s="248" t="s">
        <v>16</v>
      </c>
      <c r="H233" s="248" t="s">
        <v>1651</v>
      </c>
      <c r="I233" s="248" t="s">
        <v>1670</v>
      </c>
      <c r="J233" s="248" t="s">
        <v>1851</v>
      </c>
      <c r="K233" s="248" t="s">
        <v>1586</v>
      </c>
      <c r="L233" s="272"/>
      <c r="M233" s="286" t="s">
        <v>1617</v>
      </c>
      <c r="N233" s="286" t="s">
        <v>1589</v>
      </c>
      <c r="O233" s="286" t="s">
        <v>1617</v>
      </c>
      <c r="P233" s="286" t="s">
        <v>1617</v>
      </c>
      <c r="Q233" s="286" t="s">
        <v>1589</v>
      </c>
      <c r="R233" s="286" t="s">
        <v>1588</v>
      </c>
      <c r="S233" s="286" t="s">
        <v>1588</v>
      </c>
      <c r="T233" s="286" t="s">
        <v>1617</v>
      </c>
      <c r="U233" s="286" t="s">
        <v>1587</v>
      </c>
      <c r="V233" s="286" t="s">
        <v>1588</v>
      </c>
      <c r="W233" s="286" t="s">
        <v>1587</v>
      </c>
      <c r="X233" s="286" t="s">
        <v>1588</v>
      </c>
      <c r="Y233" s="286" t="s">
        <v>1588</v>
      </c>
      <c r="Z233" s="286" t="s">
        <v>1589</v>
      </c>
      <c r="AA233" s="286" t="s">
        <v>1588</v>
      </c>
      <c r="AB233" s="286" t="s">
        <v>1587</v>
      </c>
      <c r="AC233" s="286" t="s">
        <v>1617</v>
      </c>
      <c r="AD233" s="286" t="s">
        <v>1589</v>
      </c>
      <c r="AE233" s="286" t="s">
        <v>1587</v>
      </c>
      <c r="AF233" s="286" t="s">
        <v>1588</v>
      </c>
      <c r="AG233" s="283">
        <v>13</v>
      </c>
      <c r="AH233" s="287" t="s">
        <v>23</v>
      </c>
      <c r="AI233" s="272"/>
      <c r="AJ233" s="288" t="s">
        <v>2032</v>
      </c>
      <c r="AK233" s="288" t="s">
        <v>2032</v>
      </c>
      <c r="AL233" s="288" t="s">
        <v>2032</v>
      </c>
      <c r="AM233" s="288" t="s">
        <v>2032</v>
      </c>
      <c r="AN233" s="288" t="s">
        <v>2032</v>
      </c>
      <c r="AO233" s="288" t="s">
        <v>2032</v>
      </c>
      <c r="AP233" s="288" t="s">
        <v>2032</v>
      </c>
      <c r="AQ233" s="288" t="s">
        <v>2032</v>
      </c>
      <c r="AR233" s="288" t="s">
        <v>2032</v>
      </c>
      <c r="AS233" s="288" t="s">
        <v>2032</v>
      </c>
      <c r="AT233" s="288" t="s">
        <v>2032</v>
      </c>
      <c r="AU233" s="288" t="s">
        <v>2032</v>
      </c>
      <c r="AV233" s="288" t="s">
        <v>2032</v>
      </c>
      <c r="AW233" s="288" t="s">
        <v>2032</v>
      </c>
      <c r="AX233" s="288" t="s">
        <v>2032</v>
      </c>
      <c r="AY233" s="288" t="s">
        <v>2032</v>
      </c>
      <c r="AZ233" s="288" t="s">
        <v>2032</v>
      </c>
      <c r="BA233" s="288" t="s">
        <v>2032</v>
      </c>
      <c r="BB233" s="288" t="s">
        <v>2032</v>
      </c>
      <c r="BC233" s="288" t="s">
        <v>2032</v>
      </c>
      <c r="BD233" s="289">
        <f t="shared" si="0"/>
        <v>0</v>
      </c>
      <c r="BE233" s="287"/>
      <c r="BF233" s="272"/>
    </row>
    <row r="234" spans="1:58" ht="14.25" customHeight="1" x14ac:dyDescent="0.35">
      <c r="A234" s="68">
        <v>232</v>
      </c>
      <c r="B234" s="24" t="s">
        <v>1848</v>
      </c>
      <c r="C234" s="24">
        <v>2024</v>
      </c>
      <c r="D234" s="24" t="s">
        <v>1745</v>
      </c>
      <c r="E234" s="269" t="str">
        <f ca="1">IFERROR(__xludf.DUMMYFUNCTION("ARRAYFORMULA(JOIN("""", ARRAYFORMULA(MID(SPLIT(F234, "" ""), 1, 1))))
&amp;""/""&amp;G234"),"CLQ/4 Primaria")</f>
        <v>CLQ/4 Primaria</v>
      </c>
      <c r="F234" s="24" t="s">
        <v>1755</v>
      </c>
      <c r="G234" s="248" t="s">
        <v>16</v>
      </c>
      <c r="H234" s="248" t="s">
        <v>1651</v>
      </c>
      <c r="I234" s="248" t="s">
        <v>1670</v>
      </c>
      <c r="J234" s="248" t="s">
        <v>1851</v>
      </c>
      <c r="K234" s="248" t="s">
        <v>1586</v>
      </c>
      <c r="L234" s="272"/>
      <c r="M234" s="286" t="s">
        <v>1587</v>
      </c>
      <c r="N234" s="286" t="s">
        <v>1588</v>
      </c>
      <c r="O234" s="286" t="s">
        <v>1588</v>
      </c>
      <c r="P234" s="286" t="s">
        <v>1617</v>
      </c>
      <c r="Q234" s="286" t="s">
        <v>1589</v>
      </c>
      <c r="R234" s="286" t="s">
        <v>1587</v>
      </c>
      <c r="S234" s="286" t="s">
        <v>1588</v>
      </c>
      <c r="T234" s="286" t="s">
        <v>1588</v>
      </c>
      <c r="U234" s="286" t="s">
        <v>1617</v>
      </c>
      <c r="V234" s="286" t="s">
        <v>1589</v>
      </c>
      <c r="W234" s="286" t="s">
        <v>1588</v>
      </c>
      <c r="X234" s="286" t="s">
        <v>1588</v>
      </c>
      <c r="Y234" s="286" t="s">
        <v>1587</v>
      </c>
      <c r="Z234" s="286" t="s">
        <v>1587</v>
      </c>
      <c r="AA234" s="286" t="s">
        <v>1589</v>
      </c>
      <c r="AB234" s="286" t="s">
        <v>1617</v>
      </c>
      <c r="AC234" s="286" t="s">
        <v>1617</v>
      </c>
      <c r="AD234" s="286" t="s">
        <v>1617</v>
      </c>
      <c r="AE234" s="286" t="s">
        <v>1587</v>
      </c>
      <c r="AF234" s="286" t="s">
        <v>1617</v>
      </c>
      <c r="AG234" s="283">
        <v>13</v>
      </c>
      <c r="AH234" s="287" t="s">
        <v>23</v>
      </c>
      <c r="AI234" s="272"/>
      <c r="AJ234" s="288" t="s">
        <v>2032</v>
      </c>
      <c r="AK234" s="288" t="s">
        <v>2032</v>
      </c>
      <c r="AL234" s="288" t="s">
        <v>2032</v>
      </c>
      <c r="AM234" s="288" t="s">
        <v>2032</v>
      </c>
      <c r="AN234" s="288" t="s">
        <v>2032</v>
      </c>
      <c r="AO234" s="288" t="s">
        <v>2032</v>
      </c>
      <c r="AP234" s="288" t="s">
        <v>2032</v>
      </c>
      <c r="AQ234" s="288" t="s">
        <v>2032</v>
      </c>
      <c r="AR234" s="288" t="s">
        <v>2032</v>
      </c>
      <c r="AS234" s="288" t="s">
        <v>2032</v>
      </c>
      <c r="AT234" s="288" t="s">
        <v>2032</v>
      </c>
      <c r="AU234" s="288" t="s">
        <v>2032</v>
      </c>
      <c r="AV234" s="288" t="s">
        <v>2032</v>
      </c>
      <c r="AW234" s="288" t="s">
        <v>2032</v>
      </c>
      <c r="AX234" s="288" t="s">
        <v>2032</v>
      </c>
      <c r="AY234" s="288" t="s">
        <v>2032</v>
      </c>
      <c r="AZ234" s="288" t="s">
        <v>2032</v>
      </c>
      <c r="BA234" s="288" t="s">
        <v>2032</v>
      </c>
      <c r="BB234" s="288" t="s">
        <v>2032</v>
      </c>
      <c r="BC234" s="288" t="s">
        <v>2032</v>
      </c>
      <c r="BD234" s="289">
        <f t="shared" si="0"/>
        <v>0</v>
      </c>
      <c r="BE234" s="287"/>
      <c r="BF234" s="272"/>
    </row>
    <row r="235" spans="1:58" ht="14.25" customHeight="1" x14ac:dyDescent="0.35">
      <c r="A235" s="68">
        <v>233</v>
      </c>
      <c r="B235" s="24" t="s">
        <v>1848</v>
      </c>
      <c r="C235" s="24">
        <v>2024</v>
      </c>
      <c r="D235" s="24" t="s">
        <v>1541</v>
      </c>
      <c r="E235" s="269" t="str">
        <f ca="1">IFERROR(__xludf.DUMMYFUNCTION("ARRAYFORMULA(JOIN("""", ARRAYFORMULA(MID(SPLIT(F235, "" ""), 1, 1))))
&amp;""/""&amp;G235"),"MQ/6 Primaria")</f>
        <v>MQ/6 Primaria</v>
      </c>
      <c r="F235" s="24" t="s">
        <v>1751</v>
      </c>
      <c r="G235" s="248" t="s">
        <v>37</v>
      </c>
      <c r="H235" s="248" t="s">
        <v>1852</v>
      </c>
      <c r="I235" s="248" t="s">
        <v>1853</v>
      </c>
      <c r="J235" s="248" t="s">
        <v>1854</v>
      </c>
      <c r="K235" s="248" t="s">
        <v>1593</v>
      </c>
      <c r="L235" s="272"/>
      <c r="M235" s="286" t="s">
        <v>1617</v>
      </c>
      <c r="N235" s="286" t="s">
        <v>1617</v>
      </c>
      <c r="O235" s="286" t="s">
        <v>1587</v>
      </c>
      <c r="P235" s="286" t="s">
        <v>1589</v>
      </c>
      <c r="Q235" s="286" t="s">
        <v>1588</v>
      </c>
      <c r="R235" s="286" t="s">
        <v>1587</v>
      </c>
      <c r="S235" s="286" t="s">
        <v>1587</v>
      </c>
      <c r="T235" s="286" t="s">
        <v>1587</v>
      </c>
      <c r="U235" s="286" t="s">
        <v>1587</v>
      </c>
      <c r="V235" s="286" t="s">
        <v>1589</v>
      </c>
      <c r="W235" s="286" t="s">
        <v>1589</v>
      </c>
      <c r="X235" s="286" t="s">
        <v>1617</v>
      </c>
      <c r="Y235" s="286" t="s">
        <v>1588</v>
      </c>
      <c r="Z235" s="286" t="s">
        <v>1617</v>
      </c>
      <c r="AA235" s="286" t="s">
        <v>1617</v>
      </c>
      <c r="AB235" s="286" t="s">
        <v>1617</v>
      </c>
      <c r="AC235" s="286" t="s">
        <v>1588</v>
      </c>
      <c r="AD235" s="286" t="s">
        <v>1587</v>
      </c>
      <c r="AE235" s="286" t="s">
        <v>1617</v>
      </c>
      <c r="AF235" s="286" t="s">
        <v>1588</v>
      </c>
      <c r="AG235" s="283">
        <v>12</v>
      </c>
      <c r="AH235" s="287" t="s">
        <v>23</v>
      </c>
      <c r="AI235" s="272"/>
      <c r="AJ235" s="288" t="s">
        <v>2032</v>
      </c>
      <c r="AK235" s="288" t="s">
        <v>2032</v>
      </c>
      <c r="AL235" s="288" t="s">
        <v>2032</v>
      </c>
      <c r="AM235" s="288" t="s">
        <v>2032</v>
      </c>
      <c r="AN235" s="288" t="s">
        <v>2032</v>
      </c>
      <c r="AO235" s="288" t="s">
        <v>2032</v>
      </c>
      <c r="AP235" s="288" t="s">
        <v>2032</v>
      </c>
      <c r="AQ235" s="288" t="s">
        <v>2032</v>
      </c>
      <c r="AR235" s="288" t="s">
        <v>2032</v>
      </c>
      <c r="AS235" s="288" t="s">
        <v>2032</v>
      </c>
      <c r="AT235" s="288" t="s">
        <v>2032</v>
      </c>
      <c r="AU235" s="288" t="s">
        <v>2032</v>
      </c>
      <c r="AV235" s="288" t="s">
        <v>2032</v>
      </c>
      <c r="AW235" s="288" t="s">
        <v>2032</v>
      </c>
      <c r="AX235" s="288" t="s">
        <v>2032</v>
      </c>
      <c r="AY235" s="288" t="s">
        <v>2032</v>
      </c>
      <c r="AZ235" s="288" t="s">
        <v>2032</v>
      </c>
      <c r="BA235" s="288" t="s">
        <v>2032</v>
      </c>
      <c r="BB235" s="288" t="s">
        <v>2032</v>
      </c>
      <c r="BC235" s="288" t="s">
        <v>2032</v>
      </c>
      <c r="BD235" s="289">
        <f t="shared" si="0"/>
        <v>0</v>
      </c>
      <c r="BE235" s="287"/>
      <c r="BF235" s="272"/>
    </row>
    <row r="236" spans="1:58" ht="14.25" customHeight="1" x14ac:dyDescent="0.35">
      <c r="A236" s="68">
        <v>234</v>
      </c>
      <c r="B236" s="24" t="s">
        <v>1848</v>
      </c>
      <c r="C236" s="24">
        <v>2024</v>
      </c>
      <c r="D236" s="24" t="s">
        <v>1745</v>
      </c>
      <c r="E236" s="269" t="str">
        <f ca="1">IFERROR(__xludf.DUMMYFUNCTION("ARRAYFORMULA(JOIN("""", ARRAYFORMULA(MID(SPLIT(F236, "" ""), 1, 1))))
&amp;""/""&amp;G236"),"CLQ/6 Primaria")</f>
        <v>CLQ/6 Primaria</v>
      </c>
      <c r="F236" s="24" t="s">
        <v>1755</v>
      </c>
      <c r="G236" s="248" t="s">
        <v>37</v>
      </c>
      <c r="H236" s="248" t="s">
        <v>1852</v>
      </c>
      <c r="I236" s="248" t="s">
        <v>1853</v>
      </c>
      <c r="J236" s="248" t="s">
        <v>1854</v>
      </c>
      <c r="K236" s="248" t="s">
        <v>1593</v>
      </c>
      <c r="L236" s="272"/>
      <c r="M236" s="286" t="s">
        <v>1589</v>
      </c>
      <c r="N236" s="286" t="s">
        <v>1589</v>
      </c>
      <c r="O236" s="286" t="s">
        <v>1617</v>
      </c>
      <c r="P236" s="286" t="s">
        <v>1587</v>
      </c>
      <c r="Q236" s="286" t="s">
        <v>1588</v>
      </c>
      <c r="R236" s="286" t="s">
        <v>1617</v>
      </c>
      <c r="S236" s="286" t="s">
        <v>1617</v>
      </c>
      <c r="T236" s="286" t="s">
        <v>1588</v>
      </c>
      <c r="U236" s="286" t="s">
        <v>1587</v>
      </c>
      <c r="V236" s="286" t="s">
        <v>1589</v>
      </c>
      <c r="W236" s="286" t="s">
        <v>1588</v>
      </c>
      <c r="X236" s="286" t="s">
        <v>1589</v>
      </c>
      <c r="Y236" s="286" t="s">
        <v>1588</v>
      </c>
      <c r="Z236" s="286" t="s">
        <v>1617</v>
      </c>
      <c r="AA236" s="286" t="s">
        <v>1588</v>
      </c>
      <c r="AB236" s="286" t="s">
        <v>1617</v>
      </c>
      <c r="AC236" s="286" t="s">
        <v>1587</v>
      </c>
      <c r="AD236" s="286" t="s">
        <v>1588</v>
      </c>
      <c r="AE236" s="286" t="s">
        <v>1617</v>
      </c>
      <c r="AF236" s="286" t="s">
        <v>1617</v>
      </c>
      <c r="AG236" s="283">
        <v>10</v>
      </c>
      <c r="AH236" s="287" t="s">
        <v>19</v>
      </c>
      <c r="AI236" s="272"/>
      <c r="AJ236" s="288" t="s">
        <v>2032</v>
      </c>
      <c r="AK236" s="288" t="s">
        <v>2032</v>
      </c>
      <c r="AL236" s="288" t="s">
        <v>2032</v>
      </c>
      <c r="AM236" s="288" t="s">
        <v>2032</v>
      </c>
      <c r="AN236" s="288" t="s">
        <v>2032</v>
      </c>
      <c r="AO236" s="288" t="s">
        <v>2032</v>
      </c>
      <c r="AP236" s="288" t="s">
        <v>2032</v>
      </c>
      <c r="AQ236" s="288" t="s">
        <v>2032</v>
      </c>
      <c r="AR236" s="288" t="s">
        <v>2032</v>
      </c>
      <c r="AS236" s="288" t="s">
        <v>2032</v>
      </c>
      <c r="AT236" s="288" t="s">
        <v>2032</v>
      </c>
      <c r="AU236" s="288" t="s">
        <v>2032</v>
      </c>
      <c r="AV236" s="288" t="s">
        <v>2032</v>
      </c>
      <c r="AW236" s="288" t="s">
        <v>2032</v>
      </c>
      <c r="AX236" s="288" t="s">
        <v>2032</v>
      </c>
      <c r="AY236" s="288" t="s">
        <v>2032</v>
      </c>
      <c r="AZ236" s="288" t="s">
        <v>2032</v>
      </c>
      <c r="BA236" s="288" t="s">
        <v>2032</v>
      </c>
      <c r="BB236" s="288" t="s">
        <v>2032</v>
      </c>
      <c r="BC236" s="288" t="s">
        <v>2032</v>
      </c>
      <c r="BD236" s="289">
        <f t="shared" si="0"/>
        <v>0</v>
      </c>
      <c r="BE236" s="287"/>
      <c r="BF236" s="272"/>
    </row>
    <row r="237" spans="1:58" ht="14.25" customHeight="1" x14ac:dyDescent="0.35">
      <c r="A237" s="68">
        <v>235</v>
      </c>
      <c r="B237" s="24" t="s">
        <v>1855</v>
      </c>
      <c r="C237" s="24">
        <v>2024</v>
      </c>
      <c r="D237" s="24" t="s">
        <v>1745</v>
      </c>
      <c r="E237" s="269" t="str">
        <f ca="1">IFERROR(__xludf.DUMMYFUNCTION("ARRAYFORMULA(JOIN("""", ARRAYFORMULA(MID(SPLIT(F237, "" ""), 1, 1))))
&amp;""/""&amp;G237"),"CLQ/2 Primaria")</f>
        <v>CLQ/2 Primaria</v>
      </c>
      <c r="F237" s="24" t="s">
        <v>1755</v>
      </c>
      <c r="G237" s="248" t="s">
        <v>45</v>
      </c>
      <c r="H237" s="248" t="s">
        <v>1590</v>
      </c>
      <c r="I237" s="248" t="s">
        <v>1672</v>
      </c>
      <c r="J237" s="248" t="s">
        <v>1856</v>
      </c>
      <c r="K237" s="248" t="s">
        <v>1586</v>
      </c>
      <c r="L237" s="272"/>
      <c r="M237" s="286"/>
      <c r="N237" s="286"/>
      <c r="O237" s="286"/>
      <c r="P237" s="286"/>
      <c r="Q237" s="286"/>
      <c r="R237" s="286"/>
      <c r="S237" s="286"/>
      <c r="T237" s="286"/>
      <c r="U237" s="286"/>
      <c r="V237" s="286"/>
      <c r="W237" s="286"/>
      <c r="X237" s="286"/>
      <c r="Y237" s="286"/>
      <c r="Z237" s="286"/>
      <c r="AA237" s="286"/>
      <c r="AB237" s="286"/>
      <c r="AC237" s="286"/>
      <c r="AD237" s="286"/>
      <c r="AE237" s="286"/>
      <c r="AF237" s="286"/>
      <c r="AG237" s="283">
        <v>0</v>
      </c>
      <c r="AH237" s="287" t="s">
        <v>1489</v>
      </c>
      <c r="AI237" s="272"/>
      <c r="AJ237" s="288" t="s">
        <v>2032</v>
      </c>
      <c r="AK237" s="288" t="s">
        <v>2032</v>
      </c>
      <c r="AL237" s="288" t="s">
        <v>2032</v>
      </c>
      <c r="AM237" s="288" t="s">
        <v>2032</v>
      </c>
      <c r="AN237" s="288" t="s">
        <v>2032</v>
      </c>
      <c r="AO237" s="288" t="s">
        <v>2032</v>
      </c>
      <c r="AP237" s="288" t="s">
        <v>2032</v>
      </c>
      <c r="AQ237" s="288" t="s">
        <v>2032</v>
      </c>
      <c r="AR237" s="288" t="s">
        <v>2032</v>
      </c>
      <c r="AS237" s="288" t="s">
        <v>2032</v>
      </c>
      <c r="AT237" s="288" t="s">
        <v>2032</v>
      </c>
      <c r="AU237" s="288" t="s">
        <v>2032</v>
      </c>
      <c r="AV237" s="288" t="s">
        <v>2032</v>
      </c>
      <c r="AW237" s="288" t="s">
        <v>2032</v>
      </c>
      <c r="AX237" s="288" t="s">
        <v>2032</v>
      </c>
      <c r="AY237" s="288" t="s">
        <v>2032</v>
      </c>
      <c r="AZ237" s="288" t="s">
        <v>2032</v>
      </c>
      <c r="BA237" s="288" t="s">
        <v>2032</v>
      </c>
      <c r="BB237" s="288" t="s">
        <v>2032</v>
      </c>
      <c r="BC237" s="288" t="s">
        <v>2032</v>
      </c>
      <c r="BD237" s="289">
        <f t="shared" si="0"/>
        <v>0</v>
      </c>
      <c r="BE237" s="287" t="s">
        <v>1489</v>
      </c>
      <c r="BF237" s="272"/>
    </row>
    <row r="238" spans="1:58" ht="14.25" customHeight="1" x14ac:dyDescent="0.35">
      <c r="A238" s="68">
        <v>236</v>
      </c>
      <c r="B238" s="24" t="s">
        <v>1855</v>
      </c>
      <c r="C238" s="24">
        <v>2024</v>
      </c>
      <c r="D238" s="24" t="s">
        <v>1541</v>
      </c>
      <c r="E238" s="269" t="str">
        <f ca="1">IFERROR(__xludf.DUMMYFUNCTION("ARRAYFORMULA(JOIN("""", ARRAYFORMULA(MID(SPLIT(F238, "" ""), 1, 1))))
&amp;""/""&amp;G238"),"MC/2 Primaria")</f>
        <v>MC/2 Primaria</v>
      </c>
      <c r="F238" s="24" t="s">
        <v>1582</v>
      </c>
      <c r="G238" s="248" t="s">
        <v>45</v>
      </c>
      <c r="H238" s="248" t="s">
        <v>1765</v>
      </c>
      <c r="I238" s="248" t="s">
        <v>1857</v>
      </c>
      <c r="J238" s="248" t="s">
        <v>1858</v>
      </c>
      <c r="K238" s="248" t="s">
        <v>1586</v>
      </c>
      <c r="L238" s="272"/>
      <c r="M238" s="286" t="s">
        <v>1587</v>
      </c>
      <c r="N238" s="286" t="s">
        <v>1589</v>
      </c>
      <c r="O238" s="286" t="s">
        <v>1587</v>
      </c>
      <c r="P238" s="286" t="s">
        <v>1587</v>
      </c>
      <c r="Q238" s="286" t="s">
        <v>1587</v>
      </c>
      <c r="R238" s="286" t="s">
        <v>1588</v>
      </c>
      <c r="S238" s="286" t="s">
        <v>1587</v>
      </c>
      <c r="T238" s="286" t="s">
        <v>1589</v>
      </c>
      <c r="U238" s="286" t="s">
        <v>1587</v>
      </c>
      <c r="V238" s="286" t="s">
        <v>1588</v>
      </c>
      <c r="W238" s="286" t="s">
        <v>1589</v>
      </c>
      <c r="X238" s="286" t="s">
        <v>1588</v>
      </c>
      <c r="Y238" s="286" t="s">
        <v>1589</v>
      </c>
      <c r="Z238" s="286" t="s">
        <v>1589</v>
      </c>
      <c r="AA238" s="286" t="s">
        <v>1589</v>
      </c>
      <c r="AB238" s="286" t="s">
        <v>1589</v>
      </c>
      <c r="AC238" s="286" t="s">
        <v>1587</v>
      </c>
      <c r="AD238" s="286" t="s">
        <v>1588</v>
      </c>
      <c r="AE238" s="286" t="s">
        <v>1589</v>
      </c>
      <c r="AF238" s="286" t="s">
        <v>1587</v>
      </c>
      <c r="AG238" s="283">
        <v>20</v>
      </c>
      <c r="AH238" s="287" t="s">
        <v>25</v>
      </c>
      <c r="AI238" s="272"/>
      <c r="AJ238" s="288" t="s">
        <v>2032</v>
      </c>
      <c r="AK238" s="288" t="s">
        <v>2032</v>
      </c>
      <c r="AL238" s="288" t="s">
        <v>2032</v>
      </c>
      <c r="AM238" s="288" t="s">
        <v>2032</v>
      </c>
      <c r="AN238" s="288" t="s">
        <v>2032</v>
      </c>
      <c r="AO238" s="288" t="s">
        <v>2032</v>
      </c>
      <c r="AP238" s="288" t="s">
        <v>2032</v>
      </c>
      <c r="AQ238" s="288" t="s">
        <v>2032</v>
      </c>
      <c r="AR238" s="288" t="s">
        <v>2032</v>
      </c>
      <c r="AS238" s="288" t="s">
        <v>2032</v>
      </c>
      <c r="AT238" s="288" t="s">
        <v>2032</v>
      </c>
      <c r="AU238" s="288" t="s">
        <v>2032</v>
      </c>
      <c r="AV238" s="288" t="s">
        <v>2032</v>
      </c>
      <c r="AW238" s="288" t="s">
        <v>2032</v>
      </c>
      <c r="AX238" s="288" t="s">
        <v>2032</v>
      </c>
      <c r="AY238" s="288" t="s">
        <v>2032</v>
      </c>
      <c r="AZ238" s="288" t="s">
        <v>2032</v>
      </c>
      <c r="BA238" s="288" t="s">
        <v>2032</v>
      </c>
      <c r="BB238" s="288" t="s">
        <v>2032</v>
      </c>
      <c r="BC238" s="288" t="s">
        <v>2032</v>
      </c>
      <c r="BD238" s="289">
        <f t="shared" si="0"/>
        <v>0</v>
      </c>
      <c r="BE238" s="287" t="s">
        <v>1489</v>
      </c>
      <c r="BF238" s="272"/>
    </row>
    <row r="239" spans="1:58" ht="14.25" customHeight="1" x14ac:dyDescent="0.35">
      <c r="A239" s="68">
        <v>237</v>
      </c>
      <c r="B239" s="24" t="s">
        <v>1855</v>
      </c>
      <c r="C239" s="24">
        <v>2024</v>
      </c>
      <c r="D239" s="24" t="s">
        <v>1745</v>
      </c>
      <c r="E239" s="269" t="str">
        <f ca="1">IFERROR(__xludf.DUMMYFUNCTION("ARRAYFORMULA(JOIN("""", ARRAYFORMULA(MID(SPLIT(F239, "" ""), 1, 1))))
&amp;""/""&amp;G239"),"CLC/2 Primaria")</f>
        <v>CLC/2 Primaria</v>
      </c>
      <c r="F239" s="24" t="s">
        <v>1747</v>
      </c>
      <c r="G239" s="248" t="s">
        <v>45</v>
      </c>
      <c r="H239" s="248" t="s">
        <v>1765</v>
      </c>
      <c r="I239" s="248" t="s">
        <v>1857</v>
      </c>
      <c r="J239" s="248" t="s">
        <v>1858</v>
      </c>
      <c r="K239" s="248" t="s">
        <v>1586</v>
      </c>
      <c r="L239" s="272"/>
      <c r="M239" s="286" t="s">
        <v>1589</v>
      </c>
      <c r="N239" s="286" t="s">
        <v>1588</v>
      </c>
      <c r="O239" s="286" t="s">
        <v>1587</v>
      </c>
      <c r="P239" s="286" t="s">
        <v>1589</v>
      </c>
      <c r="Q239" s="286" t="s">
        <v>1587</v>
      </c>
      <c r="R239" s="286" t="s">
        <v>1589</v>
      </c>
      <c r="S239" s="286" t="s">
        <v>1587</v>
      </c>
      <c r="T239" s="286" t="s">
        <v>1589</v>
      </c>
      <c r="U239" s="286" t="s">
        <v>1588</v>
      </c>
      <c r="V239" s="286" t="s">
        <v>1587</v>
      </c>
      <c r="W239" s="286" t="s">
        <v>1589</v>
      </c>
      <c r="X239" s="286" t="s">
        <v>1587</v>
      </c>
      <c r="Y239" s="286" t="s">
        <v>1589</v>
      </c>
      <c r="Z239" s="286" t="s">
        <v>1587</v>
      </c>
      <c r="AA239" s="286" t="s">
        <v>1588</v>
      </c>
      <c r="AB239" s="286" t="s">
        <v>1587</v>
      </c>
      <c r="AC239" s="286" t="s">
        <v>1589</v>
      </c>
      <c r="AD239" s="286" t="s">
        <v>1588</v>
      </c>
      <c r="AE239" s="286" t="s">
        <v>1589</v>
      </c>
      <c r="AF239" s="286" t="s">
        <v>1587</v>
      </c>
      <c r="AG239" s="283">
        <v>18</v>
      </c>
      <c r="AH239" s="287" t="s">
        <v>25</v>
      </c>
      <c r="AI239" s="272"/>
      <c r="AJ239" s="288" t="s">
        <v>2032</v>
      </c>
      <c r="AK239" s="288" t="s">
        <v>2032</v>
      </c>
      <c r="AL239" s="288" t="s">
        <v>2032</v>
      </c>
      <c r="AM239" s="288" t="s">
        <v>2032</v>
      </c>
      <c r="AN239" s="288" t="s">
        <v>2032</v>
      </c>
      <c r="AO239" s="288" t="s">
        <v>2032</v>
      </c>
      <c r="AP239" s="288" t="s">
        <v>2032</v>
      </c>
      <c r="AQ239" s="288" t="s">
        <v>2032</v>
      </c>
      <c r="AR239" s="288" t="s">
        <v>2032</v>
      </c>
      <c r="AS239" s="288" t="s">
        <v>2032</v>
      </c>
      <c r="AT239" s="288" t="s">
        <v>2032</v>
      </c>
      <c r="AU239" s="288" t="s">
        <v>2032</v>
      </c>
      <c r="AV239" s="288" t="s">
        <v>2032</v>
      </c>
      <c r="AW239" s="288" t="s">
        <v>2032</v>
      </c>
      <c r="AX239" s="288" t="s">
        <v>2032</v>
      </c>
      <c r="AY239" s="288" t="s">
        <v>2032</v>
      </c>
      <c r="AZ239" s="288" t="s">
        <v>2032</v>
      </c>
      <c r="BA239" s="288" t="s">
        <v>2032</v>
      </c>
      <c r="BB239" s="288" t="s">
        <v>2032</v>
      </c>
      <c r="BC239" s="288" t="s">
        <v>2032</v>
      </c>
      <c r="BD239" s="289">
        <f t="shared" si="0"/>
        <v>0</v>
      </c>
      <c r="BE239" s="287"/>
      <c r="BF239" s="272"/>
    </row>
    <row r="240" spans="1:58" ht="14.25" customHeight="1" x14ac:dyDescent="0.35">
      <c r="A240" s="68">
        <v>238</v>
      </c>
      <c r="B240" s="24" t="s">
        <v>1855</v>
      </c>
      <c r="C240" s="24">
        <v>2024</v>
      </c>
      <c r="D240" s="24" t="s">
        <v>1541</v>
      </c>
      <c r="E240" s="269" t="str">
        <f ca="1">IFERROR(__xludf.DUMMYFUNCTION("ARRAYFORMULA(JOIN("""", ARRAYFORMULA(MID(SPLIT(F240, "" ""), 1, 1))))
&amp;""/""&amp;G240"),"MC/2 Primaria")</f>
        <v>MC/2 Primaria</v>
      </c>
      <c r="F240" s="24" t="s">
        <v>1582</v>
      </c>
      <c r="G240" s="248" t="s">
        <v>45</v>
      </c>
      <c r="H240" s="248" t="s">
        <v>1640</v>
      </c>
      <c r="I240" s="248" t="s">
        <v>1612</v>
      </c>
      <c r="J240" s="248" t="s">
        <v>1859</v>
      </c>
      <c r="K240" s="248" t="s">
        <v>1593</v>
      </c>
      <c r="L240" s="272"/>
      <c r="M240" s="286" t="s">
        <v>1587</v>
      </c>
      <c r="N240" s="286" t="s">
        <v>1589</v>
      </c>
      <c r="O240" s="286" t="s">
        <v>1587</v>
      </c>
      <c r="P240" s="286" t="s">
        <v>1587</v>
      </c>
      <c r="Q240" s="286" t="s">
        <v>1587</v>
      </c>
      <c r="R240" s="286" t="s">
        <v>1587</v>
      </c>
      <c r="S240" s="286" t="s">
        <v>1589</v>
      </c>
      <c r="T240" s="286" t="s">
        <v>1589</v>
      </c>
      <c r="U240" s="286" t="s">
        <v>1587</v>
      </c>
      <c r="V240" s="286" t="s">
        <v>1587</v>
      </c>
      <c r="W240" s="286" t="s">
        <v>1587</v>
      </c>
      <c r="X240" s="286" t="s">
        <v>1588</v>
      </c>
      <c r="Y240" s="286" t="s">
        <v>1587</v>
      </c>
      <c r="Z240" s="286" t="s">
        <v>1589</v>
      </c>
      <c r="AA240" s="286" t="s">
        <v>1588</v>
      </c>
      <c r="AB240" s="286" t="s">
        <v>1589</v>
      </c>
      <c r="AC240" s="286" t="s">
        <v>1587</v>
      </c>
      <c r="AD240" s="286" t="s">
        <v>1588</v>
      </c>
      <c r="AE240" s="286" t="s">
        <v>1589</v>
      </c>
      <c r="AF240" s="286" t="s">
        <v>1587</v>
      </c>
      <c r="AG240" s="283">
        <v>14</v>
      </c>
      <c r="AH240" s="287" t="s">
        <v>23</v>
      </c>
      <c r="AI240" s="272"/>
      <c r="AJ240" s="288" t="s">
        <v>2032</v>
      </c>
      <c r="AK240" s="288" t="s">
        <v>2032</v>
      </c>
      <c r="AL240" s="288" t="s">
        <v>2032</v>
      </c>
      <c r="AM240" s="288" t="s">
        <v>2032</v>
      </c>
      <c r="AN240" s="288" t="s">
        <v>2032</v>
      </c>
      <c r="AO240" s="288" t="s">
        <v>2032</v>
      </c>
      <c r="AP240" s="288" t="s">
        <v>2032</v>
      </c>
      <c r="AQ240" s="288" t="s">
        <v>2032</v>
      </c>
      <c r="AR240" s="288" t="s">
        <v>2032</v>
      </c>
      <c r="AS240" s="288" t="s">
        <v>2032</v>
      </c>
      <c r="AT240" s="288" t="s">
        <v>2032</v>
      </c>
      <c r="AU240" s="288" t="s">
        <v>2032</v>
      </c>
      <c r="AV240" s="288" t="s">
        <v>2032</v>
      </c>
      <c r="AW240" s="288" t="s">
        <v>2032</v>
      </c>
      <c r="AX240" s="288" t="s">
        <v>2032</v>
      </c>
      <c r="AY240" s="288" t="s">
        <v>2032</v>
      </c>
      <c r="AZ240" s="288" t="s">
        <v>2032</v>
      </c>
      <c r="BA240" s="288" t="s">
        <v>2032</v>
      </c>
      <c r="BB240" s="288" t="s">
        <v>2032</v>
      </c>
      <c r="BC240" s="288" t="s">
        <v>2032</v>
      </c>
      <c r="BD240" s="289">
        <f t="shared" si="0"/>
        <v>0</v>
      </c>
      <c r="BE240" s="287" t="s">
        <v>1489</v>
      </c>
      <c r="BF240" s="272"/>
    </row>
    <row r="241" spans="1:58" ht="14.25" customHeight="1" x14ac:dyDescent="0.35">
      <c r="A241" s="68">
        <v>239</v>
      </c>
      <c r="B241" s="24" t="s">
        <v>1855</v>
      </c>
      <c r="C241" s="24">
        <v>2024</v>
      </c>
      <c r="D241" s="24" t="s">
        <v>1745</v>
      </c>
      <c r="E241" s="269" t="str">
        <f ca="1">IFERROR(__xludf.DUMMYFUNCTION("ARRAYFORMULA(JOIN("""", ARRAYFORMULA(MID(SPLIT(F241, "" ""), 1, 1))))
&amp;""/""&amp;G241"),"CLC/2 Primaria")</f>
        <v>CLC/2 Primaria</v>
      </c>
      <c r="F241" s="24" t="s">
        <v>1747</v>
      </c>
      <c r="G241" s="248" t="s">
        <v>45</v>
      </c>
      <c r="H241" s="248" t="s">
        <v>1640</v>
      </c>
      <c r="I241" s="248" t="s">
        <v>1612</v>
      </c>
      <c r="J241" s="248" t="s">
        <v>1859</v>
      </c>
      <c r="K241" s="248" t="s">
        <v>1593</v>
      </c>
      <c r="L241" s="272"/>
      <c r="M241" s="286" t="s">
        <v>1589</v>
      </c>
      <c r="N241" s="286" t="s">
        <v>1588</v>
      </c>
      <c r="O241" s="286" t="s">
        <v>1587</v>
      </c>
      <c r="P241" s="286" t="s">
        <v>1589</v>
      </c>
      <c r="Q241" s="286" t="s">
        <v>1587</v>
      </c>
      <c r="R241" s="286" t="s">
        <v>1589</v>
      </c>
      <c r="S241" s="286" t="s">
        <v>1587</v>
      </c>
      <c r="T241" s="286" t="s">
        <v>1589</v>
      </c>
      <c r="U241" s="286" t="s">
        <v>1588</v>
      </c>
      <c r="V241" s="286" t="s">
        <v>1587</v>
      </c>
      <c r="W241" s="286" t="s">
        <v>1589</v>
      </c>
      <c r="X241" s="286" t="s">
        <v>1587</v>
      </c>
      <c r="Y241" s="286" t="s">
        <v>1589</v>
      </c>
      <c r="Z241" s="286" t="s">
        <v>1587</v>
      </c>
      <c r="AA241" s="286" t="s">
        <v>1588</v>
      </c>
      <c r="AB241" s="286" t="s">
        <v>1587</v>
      </c>
      <c r="AC241" s="286" t="s">
        <v>1589</v>
      </c>
      <c r="AD241" s="286" t="s">
        <v>1588</v>
      </c>
      <c r="AE241" s="286" t="s">
        <v>1589</v>
      </c>
      <c r="AF241" s="286" t="s">
        <v>1587</v>
      </c>
      <c r="AG241" s="283">
        <v>18</v>
      </c>
      <c r="AH241" s="287" t="s">
        <v>25</v>
      </c>
      <c r="AI241" s="272"/>
      <c r="AJ241" s="288" t="s">
        <v>2032</v>
      </c>
      <c r="AK241" s="288" t="s">
        <v>2032</v>
      </c>
      <c r="AL241" s="288" t="s">
        <v>2032</v>
      </c>
      <c r="AM241" s="288" t="s">
        <v>2032</v>
      </c>
      <c r="AN241" s="288" t="s">
        <v>2032</v>
      </c>
      <c r="AO241" s="288" t="s">
        <v>2032</v>
      </c>
      <c r="AP241" s="288" t="s">
        <v>2032</v>
      </c>
      <c r="AQ241" s="288" t="s">
        <v>2032</v>
      </c>
      <c r="AR241" s="288" t="s">
        <v>2032</v>
      </c>
      <c r="AS241" s="288" t="s">
        <v>2032</v>
      </c>
      <c r="AT241" s="288" t="s">
        <v>2032</v>
      </c>
      <c r="AU241" s="288" t="s">
        <v>2032</v>
      </c>
      <c r="AV241" s="288" t="s">
        <v>2032</v>
      </c>
      <c r="AW241" s="288" t="s">
        <v>2032</v>
      </c>
      <c r="AX241" s="288" t="s">
        <v>2032</v>
      </c>
      <c r="AY241" s="288" t="s">
        <v>2032</v>
      </c>
      <c r="AZ241" s="288" t="s">
        <v>2032</v>
      </c>
      <c r="BA241" s="288" t="s">
        <v>2032</v>
      </c>
      <c r="BB241" s="288" t="s">
        <v>2032</v>
      </c>
      <c r="BC241" s="288" t="s">
        <v>2032</v>
      </c>
      <c r="BD241" s="289">
        <f t="shared" si="0"/>
        <v>0</v>
      </c>
      <c r="BE241" s="287"/>
      <c r="BF241" s="272"/>
    </row>
    <row r="242" spans="1:58" ht="14.25" customHeight="1" x14ac:dyDescent="0.35">
      <c r="A242" s="68">
        <v>240</v>
      </c>
      <c r="B242" s="24" t="s">
        <v>1855</v>
      </c>
      <c r="C242" s="24">
        <v>2024</v>
      </c>
      <c r="D242" s="24" t="s">
        <v>1541</v>
      </c>
      <c r="E242" s="269" t="str">
        <f ca="1">IFERROR(__xludf.DUMMYFUNCTION("ARRAYFORMULA(JOIN("""", ARRAYFORMULA(MID(SPLIT(F242, "" ""), 1, 1))))
&amp;""/""&amp;G242"),"MC/2 Primaria")</f>
        <v>MC/2 Primaria</v>
      </c>
      <c r="F242" s="24" t="s">
        <v>1582</v>
      </c>
      <c r="G242" s="248" t="s">
        <v>45</v>
      </c>
      <c r="H242" s="248" t="s">
        <v>1595</v>
      </c>
      <c r="I242" s="248" t="s">
        <v>1677</v>
      </c>
      <c r="J242" s="248" t="s">
        <v>1860</v>
      </c>
      <c r="K242" s="248" t="s">
        <v>1586</v>
      </c>
      <c r="L242" s="272"/>
      <c r="M242" s="286" t="s">
        <v>1587</v>
      </c>
      <c r="N242" s="286" t="s">
        <v>1589</v>
      </c>
      <c r="O242" s="286" t="s">
        <v>1588</v>
      </c>
      <c r="P242" s="286" t="s">
        <v>1589</v>
      </c>
      <c r="Q242" s="286" t="s">
        <v>1588</v>
      </c>
      <c r="R242" s="286" t="s">
        <v>1588</v>
      </c>
      <c r="S242" s="286" t="s">
        <v>1589</v>
      </c>
      <c r="T242" s="286" t="s">
        <v>1589</v>
      </c>
      <c r="U242" s="286" t="s">
        <v>1589</v>
      </c>
      <c r="V242" s="286" t="s">
        <v>1588</v>
      </c>
      <c r="W242" s="286" t="s">
        <v>1589</v>
      </c>
      <c r="X242" s="286" t="s">
        <v>1589</v>
      </c>
      <c r="Y242" s="286" t="s">
        <v>1589</v>
      </c>
      <c r="Z242" s="286" t="s">
        <v>1589</v>
      </c>
      <c r="AA242" s="286" t="s">
        <v>1589</v>
      </c>
      <c r="AB242" s="286"/>
      <c r="AC242" s="286" t="s">
        <v>1587</v>
      </c>
      <c r="AD242" s="286" t="s">
        <v>1588</v>
      </c>
      <c r="AE242" s="286" t="s">
        <v>1587</v>
      </c>
      <c r="AF242" s="286" t="s">
        <v>1587</v>
      </c>
      <c r="AG242" s="283">
        <v>12</v>
      </c>
      <c r="AH242" s="287" t="s">
        <v>23</v>
      </c>
      <c r="AI242" s="272"/>
      <c r="AJ242" s="288" t="s">
        <v>2032</v>
      </c>
      <c r="AK242" s="288" t="s">
        <v>2032</v>
      </c>
      <c r="AL242" s="288" t="s">
        <v>2032</v>
      </c>
      <c r="AM242" s="288" t="s">
        <v>2032</v>
      </c>
      <c r="AN242" s="288" t="s">
        <v>2032</v>
      </c>
      <c r="AO242" s="288" t="s">
        <v>2032</v>
      </c>
      <c r="AP242" s="288" t="s">
        <v>2032</v>
      </c>
      <c r="AQ242" s="288" t="s">
        <v>2032</v>
      </c>
      <c r="AR242" s="288" t="s">
        <v>2032</v>
      </c>
      <c r="AS242" s="288" t="s">
        <v>2032</v>
      </c>
      <c r="AT242" s="288" t="s">
        <v>2032</v>
      </c>
      <c r="AU242" s="288" t="s">
        <v>2032</v>
      </c>
      <c r="AV242" s="288" t="s">
        <v>2032</v>
      </c>
      <c r="AW242" s="288" t="s">
        <v>2032</v>
      </c>
      <c r="AX242" s="288" t="s">
        <v>2032</v>
      </c>
      <c r="AY242" s="288" t="s">
        <v>2032</v>
      </c>
      <c r="AZ242" s="288" t="s">
        <v>2032</v>
      </c>
      <c r="BA242" s="288" t="s">
        <v>2032</v>
      </c>
      <c r="BB242" s="288" t="s">
        <v>2032</v>
      </c>
      <c r="BC242" s="288" t="s">
        <v>2032</v>
      </c>
      <c r="BD242" s="289">
        <f t="shared" si="0"/>
        <v>0</v>
      </c>
      <c r="BE242" s="287" t="s">
        <v>1489</v>
      </c>
      <c r="BF242" s="272"/>
    </row>
    <row r="243" spans="1:58" ht="14.25" customHeight="1" x14ac:dyDescent="0.35">
      <c r="A243" s="68">
        <v>241</v>
      </c>
      <c r="B243" s="24" t="s">
        <v>1855</v>
      </c>
      <c r="C243" s="24">
        <v>2024</v>
      </c>
      <c r="D243" s="24" t="s">
        <v>1745</v>
      </c>
      <c r="E243" s="269" t="str">
        <f ca="1">IFERROR(__xludf.DUMMYFUNCTION("ARRAYFORMULA(JOIN("""", ARRAYFORMULA(MID(SPLIT(F243, "" ""), 1, 1))))
&amp;""/""&amp;G243"),"CLC/2 Primaria")</f>
        <v>CLC/2 Primaria</v>
      </c>
      <c r="F243" s="24" t="s">
        <v>1747</v>
      </c>
      <c r="G243" s="248" t="s">
        <v>45</v>
      </c>
      <c r="H243" s="248" t="s">
        <v>1595</v>
      </c>
      <c r="I243" s="248" t="s">
        <v>1677</v>
      </c>
      <c r="J243" s="248" t="s">
        <v>1860</v>
      </c>
      <c r="K243" s="248" t="s">
        <v>1586</v>
      </c>
      <c r="L243" s="272"/>
      <c r="M243" s="286" t="s">
        <v>1589</v>
      </c>
      <c r="N243" s="286" t="s">
        <v>1588</v>
      </c>
      <c r="O243" s="286" t="s">
        <v>1587</v>
      </c>
      <c r="P243" s="286" t="s">
        <v>1589</v>
      </c>
      <c r="Q243" s="286" t="s">
        <v>1587</v>
      </c>
      <c r="R243" s="286" t="s">
        <v>1589</v>
      </c>
      <c r="S243" s="286" t="s">
        <v>1587</v>
      </c>
      <c r="T243" s="286" t="s">
        <v>1589</v>
      </c>
      <c r="U243" s="286" t="s">
        <v>1588</v>
      </c>
      <c r="V243" s="286" t="s">
        <v>1587</v>
      </c>
      <c r="W243" s="286" t="s">
        <v>1589</v>
      </c>
      <c r="X243" s="286" t="s">
        <v>1587</v>
      </c>
      <c r="Y243" s="286" t="s">
        <v>1588</v>
      </c>
      <c r="Z243" s="286" t="s">
        <v>1587</v>
      </c>
      <c r="AA243" s="286" t="s">
        <v>1588</v>
      </c>
      <c r="AB243" s="286" t="s">
        <v>1587</v>
      </c>
      <c r="AC243" s="286" t="s">
        <v>1588</v>
      </c>
      <c r="AD243" s="286" t="s">
        <v>1588</v>
      </c>
      <c r="AE243" s="286" t="s">
        <v>1587</v>
      </c>
      <c r="AF243" s="286" t="s">
        <v>1587</v>
      </c>
      <c r="AG243" s="283">
        <v>19</v>
      </c>
      <c r="AH243" s="287" t="s">
        <v>25</v>
      </c>
      <c r="AI243" s="272"/>
      <c r="AJ243" s="288" t="s">
        <v>2032</v>
      </c>
      <c r="AK243" s="288" t="s">
        <v>2032</v>
      </c>
      <c r="AL243" s="288" t="s">
        <v>2032</v>
      </c>
      <c r="AM243" s="288" t="s">
        <v>2032</v>
      </c>
      <c r="AN243" s="288" t="s">
        <v>2032</v>
      </c>
      <c r="AO243" s="288" t="s">
        <v>2032</v>
      </c>
      <c r="AP243" s="288" t="s">
        <v>2032</v>
      </c>
      <c r="AQ243" s="288" t="s">
        <v>2032</v>
      </c>
      <c r="AR243" s="288" t="s">
        <v>2032</v>
      </c>
      <c r="AS243" s="288" t="s">
        <v>2032</v>
      </c>
      <c r="AT243" s="288" t="s">
        <v>2032</v>
      </c>
      <c r="AU243" s="288" t="s">
        <v>2032</v>
      </c>
      <c r="AV243" s="288" t="s">
        <v>2032</v>
      </c>
      <c r="AW243" s="288" t="s">
        <v>2032</v>
      </c>
      <c r="AX243" s="288" t="s">
        <v>2032</v>
      </c>
      <c r="AY243" s="288" t="s">
        <v>2032</v>
      </c>
      <c r="AZ243" s="288" t="s">
        <v>2032</v>
      </c>
      <c r="BA243" s="288" t="s">
        <v>2032</v>
      </c>
      <c r="BB243" s="288" t="s">
        <v>2032</v>
      </c>
      <c r="BC243" s="288" t="s">
        <v>2032</v>
      </c>
      <c r="BD243" s="289">
        <f t="shared" si="0"/>
        <v>0</v>
      </c>
      <c r="BE243" s="287"/>
      <c r="BF243" s="272"/>
    </row>
    <row r="244" spans="1:58" ht="14.25" customHeight="1" x14ac:dyDescent="0.35">
      <c r="A244" s="68">
        <v>242</v>
      </c>
      <c r="B244" s="24" t="s">
        <v>1855</v>
      </c>
      <c r="C244" s="24">
        <v>2024</v>
      </c>
      <c r="D244" s="24" t="s">
        <v>1541</v>
      </c>
      <c r="E244" s="269" t="str">
        <f ca="1">IFERROR(__xludf.DUMMYFUNCTION("ARRAYFORMULA(JOIN("""", ARRAYFORMULA(MID(SPLIT(F244, "" ""), 1, 1))))
&amp;""/""&amp;G244"),"MC/2 Primaria")</f>
        <v>MC/2 Primaria</v>
      </c>
      <c r="F244" s="24" t="s">
        <v>1582</v>
      </c>
      <c r="G244" s="248" t="s">
        <v>45</v>
      </c>
      <c r="H244" s="248" t="s">
        <v>1784</v>
      </c>
      <c r="I244" s="248" t="s">
        <v>1612</v>
      </c>
      <c r="J244" s="248" t="s">
        <v>1861</v>
      </c>
      <c r="K244" s="248" t="s">
        <v>1586</v>
      </c>
      <c r="L244" s="272"/>
      <c r="M244" s="286" t="s">
        <v>1587</v>
      </c>
      <c r="N244" s="286" t="s">
        <v>1589</v>
      </c>
      <c r="O244" s="286" t="s">
        <v>1587</v>
      </c>
      <c r="P244" s="286" t="s">
        <v>1587</v>
      </c>
      <c r="Q244" s="286" t="s">
        <v>1587</v>
      </c>
      <c r="R244" s="286" t="s">
        <v>1588</v>
      </c>
      <c r="S244" s="286" t="s">
        <v>1587</v>
      </c>
      <c r="T244" s="286" t="s">
        <v>1589</v>
      </c>
      <c r="U244" s="286" t="s">
        <v>1587</v>
      </c>
      <c r="V244" s="286" t="s">
        <v>1588</v>
      </c>
      <c r="W244" s="286" t="s">
        <v>1588</v>
      </c>
      <c r="X244" s="286" t="s">
        <v>1588</v>
      </c>
      <c r="Y244" s="286" t="s">
        <v>1589</v>
      </c>
      <c r="Z244" s="286" t="s">
        <v>1589</v>
      </c>
      <c r="AA244" s="286" t="s">
        <v>1589</v>
      </c>
      <c r="AB244" s="286" t="s">
        <v>1589</v>
      </c>
      <c r="AC244" s="286" t="s">
        <v>1587</v>
      </c>
      <c r="AD244" s="286" t="s">
        <v>1588</v>
      </c>
      <c r="AE244" s="286" t="s">
        <v>1589</v>
      </c>
      <c r="AF244" s="286" t="s">
        <v>1587</v>
      </c>
      <c r="AG244" s="283">
        <v>19</v>
      </c>
      <c r="AH244" s="287" t="s">
        <v>25</v>
      </c>
      <c r="AI244" s="272"/>
      <c r="AJ244" s="288" t="s">
        <v>2032</v>
      </c>
      <c r="AK244" s="288" t="s">
        <v>2032</v>
      </c>
      <c r="AL244" s="288" t="s">
        <v>2032</v>
      </c>
      <c r="AM244" s="288" t="s">
        <v>2032</v>
      </c>
      <c r="AN244" s="288" t="s">
        <v>2032</v>
      </c>
      <c r="AO244" s="288" t="s">
        <v>2032</v>
      </c>
      <c r="AP244" s="288" t="s">
        <v>2032</v>
      </c>
      <c r="AQ244" s="288" t="s">
        <v>2032</v>
      </c>
      <c r="AR244" s="288" t="s">
        <v>2032</v>
      </c>
      <c r="AS244" s="288" t="s">
        <v>2032</v>
      </c>
      <c r="AT244" s="288" t="s">
        <v>2032</v>
      </c>
      <c r="AU244" s="288" t="s">
        <v>2032</v>
      </c>
      <c r="AV244" s="288" t="s">
        <v>2032</v>
      </c>
      <c r="AW244" s="288" t="s">
        <v>2032</v>
      </c>
      <c r="AX244" s="288" t="s">
        <v>2032</v>
      </c>
      <c r="AY244" s="288" t="s">
        <v>2032</v>
      </c>
      <c r="AZ244" s="288" t="s">
        <v>2032</v>
      </c>
      <c r="BA244" s="288" t="s">
        <v>2032</v>
      </c>
      <c r="BB244" s="288" t="s">
        <v>2032</v>
      </c>
      <c r="BC244" s="288" t="s">
        <v>2032</v>
      </c>
      <c r="BD244" s="289">
        <f t="shared" si="0"/>
        <v>0</v>
      </c>
      <c r="BE244" s="287" t="s">
        <v>1489</v>
      </c>
      <c r="BF244" s="272"/>
    </row>
    <row r="245" spans="1:58" ht="14.25" customHeight="1" x14ac:dyDescent="0.35">
      <c r="A245" s="68">
        <v>243</v>
      </c>
      <c r="B245" s="24" t="s">
        <v>1855</v>
      </c>
      <c r="C245" s="24">
        <v>2024</v>
      </c>
      <c r="D245" s="24" t="s">
        <v>1745</v>
      </c>
      <c r="E245" s="269" t="str">
        <f ca="1">IFERROR(__xludf.DUMMYFUNCTION("ARRAYFORMULA(JOIN("""", ARRAYFORMULA(MID(SPLIT(F245, "" ""), 1, 1))))
&amp;""/""&amp;G245"),"CLC/2 Primaria")</f>
        <v>CLC/2 Primaria</v>
      </c>
      <c r="F245" s="24" t="s">
        <v>1747</v>
      </c>
      <c r="G245" s="248" t="s">
        <v>45</v>
      </c>
      <c r="H245" s="248" t="s">
        <v>1784</v>
      </c>
      <c r="I245" s="248" t="s">
        <v>1612</v>
      </c>
      <c r="J245" s="248" t="s">
        <v>1861</v>
      </c>
      <c r="K245" s="248" t="s">
        <v>1586</v>
      </c>
      <c r="L245" s="272"/>
      <c r="M245" s="286" t="s">
        <v>1589</v>
      </c>
      <c r="N245" s="286" t="s">
        <v>1588</v>
      </c>
      <c r="O245" s="286" t="s">
        <v>1587</v>
      </c>
      <c r="P245" s="286" t="s">
        <v>1589</v>
      </c>
      <c r="Q245" s="286" t="s">
        <v>1587</v>
      </c>
      <c r="R245" s="286" t="s">
        <v>1589</v>
      </c>
      <c r="S245" s="286" t="s">
        <v>1587</v>
      </c>
      <c r="T245" s="286" t="s">
        <v>1589</v>
      </c>
      <c r="U245" s="286" t="s">
        <v>1588</v>
      </c>
      <c r="V245" s="286" t="s">
        <v>1587</v>
      </c>
      <c r="W245" s="286" t="s">
        <v>1589</v>
      </c>
      <c r="X245" s="286" t="s">
        <v>1587</v>
      </c>
      <c r="Y245" s="286" t="s">
        <v>1589</v>
      </c>
      <c r="Z245" s="286" t="s">
        <v>1587</v>
      </c>
      <c r="AA245" s="286" t="s">
        <v>1588</v>
      </c>
      <c r="AB245" s="286" t="s">
        <v>1587</v>
      </c>
      <c r="AC245" s="286" t="s">
        <v>1589</v>
      </c>
      <c r="AD245" s="286" t="s">
        <v>1588</v>
      </c>
      <c r="AE245" s="286" t="s">
        <v>1589</v>
      </c>
      <c r="AF245" s="286" t="s">
        <v>1587</v>
      </c>
      <c r="AG245" s="283">
        <v>18</v>
      </c>
      <c r="AH245" s="287" t="s">
        <v>25</v>
      </c>
      <c r="AI245" s="272"/>
      <c r="AJ245" s="288" t="s">
        <v>2032</v>
      </c>
      <c r="AK245" s="288" t="s">
        <v>2032</v>
      </c>
      <c r="AL245" s="288" t="s">
        <v>2032</v>
      </c>
      <c r="AM245" s="288" t="s">
        <v>2032</v>
      </c>
      <c r="AN245" s="288" t="s">
        <v>2032</v>
      </c>
      <c r="AO245" s="288" t="s">
        <v>2032</v>
      </c>
      <c r="AP245" s="288" t="s">
        <v>2032</v>
      </c>
      <c r="AQ245" s="288" t="s">
        <v>2032</v>
      </c>
      <c r="AR245" s="288" t="s">
        <v>2032</v>
      </c>
      <c r="AS245" s="288" t="s">
        <v>2032</v>
      </c>
      <c r="AT245" s="288" t="s">
        <v>2032</v>
      </c>
      <c r="AU245" s="288" t="s">
        <v>2032</v>
      </c>
      <c r="AV245" s="288" t="s">
        <v>2032</v>
      </c>
      <c r="AW245" s="288" t="s">
        <v>2032</v>
      </c>
      <c r="AX245" s="288" t="s">
        <v>2032</v>
      </c>
      <c r="AY245" s="288" t="s">
        <v>2032</v>
      </c>
      <c r="AZ245" s="288" t="s">
        <v>2032</v>
      </c>
      <c r="BA245" s="288" t="s">
        <v>2032</v>
      </c>
      <c r="BB245" s="288" t="s">
        <v>2032</v>
      </c>
      <c r="BC245" s="288" t="s">
        <v>2032</v>
      </c>
      <c r="BD245" s="289">
        <f t="shared" si="0"/>
        <v>0</v>
      </c>
      <c r="BE245" s="287"/>
      <c r="BF245" s="272"/>
    </row>
    <row r="246" spans="1:58" ht="14.25" customHeight="1" x14ac:dyDescent="0.35">
      <c r="A246" s="68">
        <v>244</v>
      </c>
      <c r="B246" s="24" t="s">
        <v>1855</v>
      </c>
      <c r="C246" s="24">
        <v>2024</v>
      </c>
      <c r="D246" s="24" t="s">
        <v>1541</v>
      </c>
      <c r="E246" s="269" t="str">
        <f ca="1">IFERROR(__xludf.DUMMYFUNCTION("ARRAYFORMULA(JOIN("""", ARRAYFORMULA(MID(SPLIT(F246, "" ""), 1, 1))))
&amp;""/""&amp;G246"),"MC/2 Primaria")</f>
        <v>MC/2 Primaria</v>
      </c>
      <c r="F246" s="24" t="s">
        <v>1582</v>
      </c>
      <c r="G246" s="248" t="s">
        <v>45</v>
      </c>
      <c r="H246" s="248" t="s">
        <v>1862</v>
      </c>
      <c r="I246" s="248" t="s">
        <v>1863</v>
      </c>
      <c r="J246" s="248" t="s">
        <v>1864</v>
      </c>
      <c r="K246" s="248" t="s">
        <v>1593</v>
      </c>
      <c r="L246" s="272"/>
      <c r="M246" s="286" t="s">
        <v>1587</v>
      </c>
      <c r="N246" s="286" t="s">
        <v>1589</v>
      </c>
      <c r="O246" s="286" t="s">
        <v>1587</v>
      </c>
      <c r="P246" s="286" t="s">
        <v>1587</v>
      </c>
      <c r="Q246" s="286" t="s">
        <v>1587</v>
      </c>
      <c r="R246" s="286" t="s">
        <v>1588</v>
      </c>
      <c r="S246" s="286" t="s">
        <v>1587</v>
      </c>
      <c r="T246" s="286" t="s">
        <v>1589</v>
      </c>
      <c r="U246" s="286" t="s">
        <v>1587</v>
      </c>
      <c r="V246" s="286" t="s">
        <v>1588</v>
      </c>
      <c r="W246" s="286" t="s">
        <v>1589</v>
      </c>
      <c r="X246" s="286" t="s">
        <v>1588</v>
      </c>
      <c r="Y246" s="286" t="s">
        <v>1589</v>
      </c>
      <c r="Z246" s="286" t="s">
        <v>1587</v>
      </c>
      <c r="AA246" s="286" t="s">
        <v>1589</v>
      </c>
      <c r="AB246" s="286" t="s">
        <v>1589</v>
      </c>
      <c r="AC246" s="286" t="s">
        <v>1587</v>
      </c>
      <c r="AD246" s="286" t="s">
        <v>1588</v>
      </c>
      <c r="AE246" s="286" t="s">
        <v>1589</v>
      </c>
      <c r="AF246" s="286" t="s">
        <v>1587</v>
      </c>
      <c r="AG246" s="283">
        <v>19</v>
      </c>
      <c r="AH246" s="287" t="s">
        <v>25</v>
      </c>
      <c r="AI246" s="272"/>
      <c r="AJ246" s="288" t="s">
        <v>2032</v>
      </c>
      <c r="AK246" s="288" t="s">
        <v>2032</v>
      </c>
      <c r="AL246" s="288" t="s">
        <v>2032</v>
      </c>
      <c r="AM246" s="288" t="s">
        <v>2032</v>
      </c>
      <c r="AN246" s="288" t="s">
        <v>2032</v>
      </c>
      <c r="AO246" s="288" t="s">
        <v>2032</v>
      </c>
      <c r="AP246" s="288" t="s">
        <v>2032</v>
      </c>
      <c r="AQ246" s="288" t="s">
        <v>2032</v>
      </c>
      <c r="AR246" s="288" t="s">
        <v>2032</v>
      </c>
      <c r="AS246" s="288" t="s">
        <v>2032</v>
      </c>
      <c r="AT246" s="288" t="s">
        <v>2032</v>
      </c>
      <c r="AU246" s="288" t="s">
        <v>2032</v>
      </c>
      <c r="AV246" s="288" t="s">
        <v>2032</v>
      </c>
      <c r="AW246" s="288" t="s">
        <v>2032</v>
      </c>
      <c r="AX246" s="288" t="s">
        <v>2032</v>
      </c>
      <c r="AY246" s="288" t="s">
        <v>2032</v>
      </c>
      <c r="AZ246" s="288" t="s">
        <v>2032</v>
      </c>
      <c r="BA246" s="288" t="s">
        <v>2032</v>
      </c>
      <c r="BB246" s="288" t="s">
        <v>2032</v>
      </c>
      <c r="BC246" s="288" t="s">
        <v>2032</v>
      </c>
      <c r="BD246" s="289">
        <f t="shared" si="0"/>
        <v>0</v>
      </c>
      <c r="BE246" s="287" t="s">
        <v>1489</v>
      </c>
      <c r="BF246" s="272"/>
    </row>
    <row r="247" spans="1:58" ht="14.25" customHeight="1" x14ac:dyDescent="0.35">
      <c r="A247" s="68">
        <v>245</v>
      </c>
      <c r="B247" s="24" t="s">
        <v>1855</v>
      </c>
      <c r="C247" s="24">
        <v>2024</v>
      </c>
      <c r="D247" s="24" t="s">
        <v>1745</v>
      </c>
      <c r="E247" s="269" t="str">
        <f ca="1">IFERROR(__xludf.DUMMYFUNCTION("ARRAYFORMULA(JOIN("""", ARRAYFORMULA(MID(SPLIT(F247, "" ""), 1, 1))))
&amp;""/""&amp;G247"),"CLC/2 Primaria")</f>
        <v>CLC/2 Primaria</v>
      </c>
      <c r="F247" s="24" t="s">
        <v>1747</v>
      </c>
      <c r="G247" s="248" t="s">
        <v>45</v>
      </c>
      <c r="H247" s="248" t="s">
        <v>1862</v>
      </c>
      <c r="I247" s="248" t="s">
        <v>1863</v>
      </c>
      <c r="J247" s="248" t="s">
        <v>1864</v>
      </c>
      <c r="K247" s="248" t="s">
        <v>1593</v>
      </c>
      <c r="L247" s="272"/>
      <c r="M247" s="286" t="s">
        <v>1589</v>
      </c>
      <c r="N247" s="286" t="s">
        <v>1588</v>
      </c>
      <c r="O247" s="286" t="s">
        <v>1587</v>
      </c>
      <c r="P247" s="286" t="s">
        <v>1589</v>
      </c>
      <c r="Q247" s="286" t="s">
        <v>1587</v>
      </c>
      <c r="R247" s="286" t="s">
        <v>1589</v>
      </c>
      <c r="S247" s="286" t="s">
        <v>1587</v>
      </c>
      <c r="T247" s="286" t="s">
        <v>1589</v>
      </c>
      <c r="U247" s="286" t="s">
        <v>1588</v>
      </c>
      <c r="V247" s="286" t="s">
        <v>1587</v>
      </c>
      <c r="W247" s="286" t="s">
        <v>1589</v>
      </c>
      <c r="X247" s="286" t="s">
        <v>1587</v>
      </c>
      <c r="Y247" s="286" t="s">
        <v>1589</v>
      </c>
      <c r="Z247" s="286" t="s">
        <v>1587</v>
      </c>
      <c r="AA247" s="286" t="s">
        <v>1588</v>
      </c>
      <c r="AB247" s="286" t="s">
        <v>1587</v>
      </c>
      <c r="AC247" s="286" t="s">
        <v>1589</v>
      </c>
      <c r="AD247" s="286" t="s">
        <v>1588</v>
      </c>
      <c r="AE247" s="286" t="s">
        <v>1589</v>
      </c>
      <c r="AF247" s="286" t="s">
        <v>1587</v>
      </c>
      <c r="AG247" s="283">
        <v>18</v>
      </c>
      <c r="AH247" s="287" t="s">
        <v>25</v>
      </c>
      <c r="AI247" s="272"/>
      <c r="AJ247" s="288" t="s">
        <v>2032</v>
      </c>
      <c r="AK247" s="288" t="s">
        <v>2032</v>
      </c>
      <c r="AL247" s="288" t="s">
        <v>2032</v>
      </c>
      <c r="AM247" s="288" t="s">
        <v>2032</v>
      </c>
      <c r="AN247" s="288" t="s">
        <v>2032</v>
      </c>
      <c r="AO247" s="288" t="s">
        <v>2032</v>
      </c>
      <c r="AP247" s="288" t="s">
        <v>2032</v>
      </c>
      <c r="AQ247" s="288" t="s">
        <v>2032</v>
      </c>
      <c r="AR247" s="288" t="s">
        <v>2032</v>
      </c>
      <c r="AS247" s="288" t="s">
        <v>2032</v>
      </c>
      <c r="AT247" s="288" t="s">
        <v>2032</v>
      </c>
      <c r="AU247" s="288" t="s">
        <v>2032</v>
      </c>
      <c r="AV247" s="288" t="s">
        <v>2032</v>
      </c>
      <c r="AW247" s="288" t="s">
        <v>2032</v>
      </c>
      <c r="AX247" s="288" t="s">
        <v>2032</v>
      </c>
      <c r="AY247" s="288" t="s">
        <v>2032</v>
      </c>
      <c r="AZ247" s="288" t="s">
        <v>2032</v>
      </c>
      <c r="BA247" s="288" t="s">
        <v>2032</v>
      </c>
      <c r="BB247" s="288" t="s">
        <v>2032</v>
      </c>
      <c r="BC247" s="288" t="s">
        <v>2032</v>
      </c>
      <c r="BD247" s="289">
        <f t="shared" si="0"/>
        <v>0</v>
      </c>
      <c r="BE247" s="287"/>
      <c r="BF247" s="272"/>
    </row>
    <row r="248" spans="1:58" ht="14.25" customHeight="1" x14ac:dyDescent="0.35">
      <c r="A248" s="68">
        <v>246</v>
      </c>
      <c r="B248" s="24" t="s">
        <v>1855</v>
      </c>
      <c r="C248" s="24">
        <v>2024</v>
      </c>
      <c r="D248" s="24" t="s">
        <v>1541</v>
      </c>
      <c r="E248" s="269" t="str">
        <f ca="1">IFERROR(__xludf.DUMMYFUNCTION("ARRAYFORMULA(JOIN("""", ARRAYFORMULA(MID(SPLIT(F248, "" ""), 1, 1))))
&amp;""/""&amp;G248"),"MC/2 Primaria")</f>
        <v>MC/2 Primaria</v>
      </c>
      <c r="F248" s="24" t="s">
        <v>1582</v>
      </c>
      <c r="G248" s="248" t="s">
        <v>45</v>
      </c>
      <c r="H248" s="248" t="s">
        <v>1865</v>
      </c>
      <c r="I248" s="248" t="s">
        <v>1677</v>
      </c>
      <c r="J248" s="248" t="s">
        <v>1866</v>
      </c>
      <c r="K248" s="248" t="s">
        <v>1586</v>
      </c>
      <c r="L248" s="272"/>
      <c r="M248" s="286" t="s">
        <v>1587</v>
      </c>
      <c r="N248" s="286" t="s">
        <v>1589</v>
      </c>
      <c r="O248" s="286" t="s">
        <v>1587</v>
      </c>
      <c r="P248" s="286" t="s">
        <v>1587</v>
      </c>
      <c r="Q248" s="286" t="s">
        <v>1587</v>
      </c>
      <c r="R248" s="286" t="s">
        <v>1588</v>
      </c>
      <c r="S248" s="286" t="s">
        <v>1587</v>
      </c>
      <c r="T248" s="286"/>
      <c r="U248" s="286"/>
      <c r="V248" s="286" t="s">
        <v>1588</v>
      </c>
      <c r="W248" s="286" t="s">
        <v>1589</v>
      </c>
      <c r="X248" s="286" t="s">
        <v>1588</v>
      </c>
      <c r="Y248" s="286" t="s">
        <v>1589</v>
      </c>
      <c r="Z248" s="286" t="s">
        <v>1589</v>
      </c>
      <c r="AA248" s="286" t="s">
        <v>1589</v>
      </c>
      <c r="AB248" s="286" t="s">
        <v>1589</v>
      </c>
      <c r="AC248" s="286" t="s">
        <v>1587</v>
      </c>
      <c r="AD248" s="286" t="s">
        <v>1588</v>
      </c>
      <c r="AE248" s="286" t="s">
        <v>1588</v>
      </c>
      <c r="AF248" s="286" t="s">
        <v>1587</v>
      </c>
      <c r="AG248" s="283">
        <v>17</v>
      </c>
      <c r="AH248" s="287" t="s">
        <v>25</v>
      </c>
      <c r="AI248" s="272"/>
      <c r="AJ248" s="288" t="s">
        <v>2032</v>
      </c>
      <c r="AK248" s="288" t="s">
        <v>2032</v>
      </c>
      <c r="AL248" s="288" t="s">
        <v>2032</v>
      </c>
      <c r="AM248" s="288" t="s">
        <v>2032</v>
      </c>
      <c r="AN248" s="288" t="s">
        <v>2032</v>
      </c>
      <c r="AO248" s="288" t="s">
        <v>2032</v>
      </c>
      <c r="AP248" s="288" t="s">
        <v>2032</v>
      </c>
      <c r="AQ248" s="288" t="s">
        <v>2032</v>
      </c>
      <c r="AR248" s="288" t="s">
        <v>2032</v>
      </c>
      <c r="AS248" s="288" t="s">
        <v>2032</v>
      </c>
      <c r="AT248" s="288" t="s">
        <v>2032</v>
      </c>
      <c r="AU248" s="288" t="s">
        <v>2032</v>
      </c>
      <c r="AV248" s="288" t="s">
        <v>2032</v>
      </c>
      <c r="AW248" s="288" t="s">
        <v>2032</v>
      </c>
      <c r="AX248" s="288" t="s">
        <v>2032</v>
      </c>
      <c r="AY248" s="288" t="s">
        <v>2032</v>
      </c>
      <c r="AZ248" s="288" t="s">
        <v>2032</v>
      </c>
      <c r="BA248" s="288" t="s">
        <v>2032</v>
      </c>
      <c r="BB248" s="288" t="s">
        <v>2032</v>
      </c>
      <c r="BC248" s="288" t="s">
        <v>2032</v>
      </c>
      <c r="BD248" s="289">
        <f t="shared" si="0"/>
        <v>0</v>
      </c>
      <c r="BE248" s="287" t="s">
        <v>1489</v>
      </c>
      <c r="BF248" s="272"/>
    </row>
    <row r="249" spans="1:58" ht="14.25" customHeight="1" x14ac:dyDescent="0.35">
      <c r="A249" s="68">
        <v>247</v>
      </c>
      <c r="B249" s="24" t="s">
        <v>1855</v>
      </c>
      <c r="C249" s="24">
        <v>2024</v>
      </c>
      <c r="D249" s="24" t="s">
        <v>1745</v>
      </c>
      <c r="E249" s="269" t="str">
        <f ca="1">IFERROR(__xludf.DUMMYFUNCTION("ARRAYFORMULA(JOIN("""", ARRAYFORMULA(MID(SPLIT(F249, "" ""), 1, 1))))
&amp;""/""&amp;G249"),"CLC/2 Primaria")</f>
        <v>CLC/2 Primaria</v>
      </c>
      <c r="F249" s="24" t="s">
        <v>1747</v>
      </c>
      <c r="G249" s="248" t="s">
        <v>45</v>
      </c>
      <c r="H249" s="248" t="s">
        <v>1865</v>
      </c>
      <c r="I249" s="248" t="s">
        <v>1677</v>
      </c>
      <c r="J249" s="248" t="s">
        <v>1866</v>
      </c>
      <c r="K249" s="248" t="s">
        <v>1586</v>
      </c>
      <c r="L249" s="272"/>
      <c r="M249" s="286" t="s">
        <v>1589</v>
      </c>
      <c r="N249" s="286" t="s">
        <v>1588</v>
      </c>
      <c r="O249" s="286" t="s">
        <v>1587</v>
      </c>
      <c r="P249" s="286" t="s">
        <v>1589</v>
      </c>
      <c r="Q249" s="286" t="s">
        <v>1587</v>
      </c>
      <c r="R249" s="286" t="s">
        <v>1589</v>
      </c>
      <c r="S249" s="286" t="s">
        <v>1587</v>
      </c>
      <c r="T249" s="286" t="s">
        <v>1589</v>
      </c>
      <c r="U249" s="286" t="s">
        <v>1588</v>
      </c>
      <c r="V249" s="286" t="s">
        <v>1587</v>
      </c>
      <c r="W249" s="286" t="s">
        <v>1589</v>
      </c>
      <c r="X249" s="286" t="s">
        <v>1587</v>
      </c>
      <c r="Y249" s="286" t="s">
        <v>1589</v>
      </c>
      <c r="Z249" s="286" t="s">
        <v>1587</v>
      </c>
      <c r="AA249" s="286" t="s">
        <v>1588</v>
      </c>
      <c r="AB249" s="286" t="s">
        <v>1587</v>
      </c>
      <c r="AC249" s="286" t="s">
        <v>1589</v>
      </c>
      <c r="AD249" s="286" t="s">
        <v>1588</v>
      </c>
      <c r="AE249" s="286" t="s">
        <v>1589</v>
      </c>
      <c r="AF249" s="286" t="s">
        <v>1587</v>
      </c>
      <c r="AG249" s="283">
        <v>18</v>
      </c>
      <c r="AH249" s="287" t="s">
        <v>25</v>
      </c>
      <c r="AI249" s="272"/>
      <c r="AJ249" s="288" t="s">
        <v>2032</v>
      </c>
      <c r="AK249" s="288" t="s">
        <v>2032</v>
      </c>
      <c r="AL249" s="288" t="s">
        <v>2032</v>
      </c>
      <c r="AM249" s="288" t="s">
        <v>2032</v>
      </c>
      <c r="AN249" s="288" t="s">
        <v>2032</v>
      </c>
      <c r="AO249" s="288" t="s">
        <v>2032</v>
      </c>
      <c r="AP249" s="288" t="s">
        <v>2032</v>
      </c>
      <c r="AQ249" s="288" t="s">
        <v>2032</v>
      </c>
      <c r="AR249" s="288" t="s">
        <v>2032</v>
      </c>
      <c r="AS249" s="288" t="s">
        <v>2032</v>
      </c>
      <c r="AT249" s="288" t="s">
        <v>2032</v>
      </c>
      <c r="AU249" s="288" t="s">
        <v>2032</v>
      </c>
      <c r="AV249" s="288" t="s">
        <v>2032</v>
      </c>
      <c r="AW249" s="288" t="s">
        <v>2032</v>
      </c>
      <c r="AX249" s="288" t="s">
        <v>2032</v>
      </c>
      <c r="AY249" s="288" t="s">
        <v>2032</v>
      </c>
      <c r="AZ249" s="288" t="s">
        <v>2032</v>
      </c>
      <c r="BA249" s="288" t="s">
        <v>2032</v>
      </c>
      <c r="BB249" s="288" t="s">
        <v>2032</v>
      </c>
      <c r="BC249" s="288" t="s">
        <v>2032</v>
      </c>
      <c r="BD249" s="289">
        <f t="shared" si="0"/>
        <v>0</v>
      </c>
      <c r="BE249" s="287"/>
      <c r="BF249" s="272"/>
    </row>
    <row r="250" spans="1:58" ht="14.25" customHeight="1" x14ac:dyDescent="0.35">
      <c r="A250" s="68">
        <v>248</v>
      </c>
      <c r="B250" s="24" t="s">
        <v>1855</v>
      </c>
      <c r="C250" s="24">
        <v>2024</v>
      </c>
      <c r="D250" s="24" t="s">
        <v>1541</v>
      </c>
      <c r="E250" s="269" t="str">
        <f ca="1">IFERROR(__xludf.DUMMYFUNCTION("ARRAYFORMULA(JOIN("""", ARRAYFORMULA(MID(SPLIT(F250, "" ""), 1, 1))))
&amp;""/""&amp;G250"),"MC/2 Primaria")</f>
        <v>MC/2 Primaria</v>
      </c>
      <c r="F250" s="24" t="s">
        <v>1582</v>
      </c>
      <c r="G250" s="248" t="s">
        <v>45</v>
      </c>
      <c r="H250" s="248" t="s">
        <v>1867</v>
      </c>
      <c r="I250" s="248" t="s">
        <v>1868</v>
      </c>
      <c r="J250" s="248" t="s">
        <v>1869</v>
      </c>
      <c r="K250" s="248" t="s">
        <v>1593</v>
      </c>
      <c r="L250" s="272"/>
      <c r="M250" s="286" t="s">
        <v>1587</v>
      </c>
      <c r="N250" s="286" t="s">
        <v>1589</v>
      </c>
      <c r="O250" s="286" t="s">
        <v>1587</v>
      </c>
      <c r="P250" s="286" t="s">
        <v>1587</v>
      </c>
      <c r="Q250" s="286" t="s">
        <v>1587</v>
      </c>
      <c r="R250" s="286" t="s">
        <v>1588</v>
      </c>
      <c r="S250" s="286" t="s">
        <v>1589</v>
      </c>
      <c r="T250" s="286" t="s">
        <v>1589</v>
      </c>
      <c r="U250" s="286" t="s">
        <v>1587</v>
      </c>
      <c r="V250" s="286" t="s">
        <v>1588</v>
      </c>
      <c r="W250" s="286" t="s">
        <v>1589</v>
      </c>
      <c r="X250" s="286" t="s">
        <v>1588</v>
      </c>
      <c r="Y250" s="286" t="s">
        <v>1589</v>
      </c>
      <c r="Z250" s="286" t="s">
        <v>1589</v>
      </c>
      <c r="AA250" s="286" t="s">
        <v>1589</v>
      </c>
      <c r="AB250" s="286" t="s">
        <v>1589</v>
      </c>
      <c r="AC250" s="286" t="s">
        <v>1587</v>
      </c>
      <c r="AD250" s="286" t="s">
        <v>1588</v>
      </c>
      <c r="AE250" s="286" t="s">
        <v>1589</v>
      </c>
      <c r="AF250" s="286" t="s">
        <v>1587</v>
      </c>
      <c r="AG250" s="283">
        <v>19</v>
      </c>
      <c r="AH250" s="287" t="s">
        <v>25</v>
      </c>
      <c r="AI250" s="272"/>
      <c r="AJ250" s="288" t="s">
        <v>2032</v>
      </c>
      <c r="AK250" s="288" t="s">
        <v>2032</v>
      </c>
      <c r="AL250" s="288" t="s">
        <v>2032</v>
      </c>
      <c r="AM250" s="288" t="s">
        <v>2032</v>
      </c>
      <c r="AN250" s="288" t="s">
        <v>2032</v>
      </c>
      <c r="AO250" s="288" t="s">
        <v>2032</v>
      </c>
      <c r="AP250" s="288" t="s">
        <v>2032</v>
      </c>
      <c r="AQ250" s="288" t="s">
        <v>2032</v>
      </c>
      <c r="AR250" s="288" t="s">
        <v>2032</v>
      </c>
      <c r="AS250" s="288" t="s">
        <v>2032</v>
      </c>
      <c r="AT250" s="288" t="s">
        <v>2032</v>
      </c>
      <c r="AU250" s="288" t="s">
        <v>2032</v>
      </c>
      <c r="AV250" s="288" t="s">
        <v>2032</v>
      </c>
      <c r="AW250" s="288" t="s">
        <v>2032</v>
      </c>
      <c r="AX250" s="288" t="s">
        <v>2032</v>
      </c>
      <c r="AY250" s="288" t="s">
        <v>2032</v>
      </c>
      <c r="AZ250" s="288" t="s">
        <v>2032</v>
      </c>
      <c r="BA250" s="288" t="s">
        <v>2032</v>
      </c>
      <c r="BB250" s="288" t="s">
        <v>2032</v>
      </c>
      <c r="BC250" s="288" t="s">
        <v>2032</v>
      </c>
      <c r="BD250" s="289">
        <f t="shared" si="0"/>
        <v>0</v>
      </c>
      <c r="BE250" s="287" t="s">
        <v>1489</v>
      </c>
      <c r="BF250" s="272"/>
    </row>
    <row r="251" spans="1:58" ht="14.25" customHeight="1" x14ac:dyDescent="0.35">
      <c r="A251" s="68">
        <v>249</v>
      </c>
      <c r="B251" s="24" t="s">
        <v>1855</v>
      </c>
      <c r="C251" s="24">
        <v>2024</v>
      </c>
      <c r="D251" s="24" t="s">
        <v>1745</v>
      </c>
      <c r="E251" s="269" t="str">
        <f ca="1">IFERROR(__xludf.DUMMYFUNCTION("ARRAYFORMULA(JOIN("""", ARRAYFORMULA(MID(SPLIT(F251, "" ""), 1, 1))))
&amp;""/""&amp;G251"),"CLC/2 Primaria")</f>
        <v>CLC/2 Primaria</v>
      </c>
      <c r="F251" s="24" t="s">
        <v>1747</v>
      </c>
      <c r="G251" s="248" t="s">
        <v>45</v>
      </c>
      <c r="H251" s="248" t="s">
        <v>1867</v>
      </c>
      <c r="I251" s="248" t="s">
        <v>1868</v>
      </c>
      <c r="J251" s="248" t="s">
        <v>1869</v>
      </c>
      <c r="K251" s="248" t="s">
        <v>1593</v>
      </c>
      <c r="L251" s="272"/>
      <c r="M251" s="286" t="s">
        <v>1589</v>
      </c>
      <c r="N251" s="286" t="s">
        <v>1588</v>
      </c>
      <c r="O251" s="286" t="s">
        <v>1587</v>
      </c>
      <c r="P251" s="286" t="s">
        <v>1589</v>
      </c>
      <c r="Q251" s="286" t="s">
        <v>1587</v>
      </c>
      <c r="R251" s="286" t="s">
        <v>1589</v>
      </c>
      <c r="S251" s="286" t="s">
        <v>1587</v>
      </c>
      <c r="T251" s="286" t="s">
        <v>1589</v>
      </c>
      <c r="U251" s="286" t="s">
        <v>1588</v>
      </c>
      <c r="V251" s="286" t="s">
        <v>1587</v>
      </c>
      <c r="W251" s="286" t="s">
        <v>1589</v>
      </c>
      <c r="X251" s="286" t="s">
        <v>1589</v>
      </c>
      <c r="Y251" s="286" t="s">
        <v>1589</v>
      </c>
      <c r="Z251" s="286" t="s">
        <v>1587</v>
      </c>
      <c r="AA251" s="286" t="s">
        <v>1588</v>
      </c>
      <c r="AB251" s="286" t="s">
        <v>1587</v>
      </c>
      <c r="AC251" s="286" t="s">
        <v>1589</v>
      </c>
      <c r="AD251" s="286" t="s">
        <v>1588</v>
      </c>
      <c r="AE251" s="286" t="s">
        <v>1589</v>
      </c>
      <c r="AF251" s="286" t="s">
        <v>1587</v>
      </c>
      <c r="AG251" s="283">
        <v>17</v>
      </c>
      <c r="AH251" s="287" t="s">
        <v>25</v>
      </c>
      <c r="AI251" s="272"/>
      <c r="AJ251" s="288" t="s">
        <v>2032</v>
      </c>
      <c r="AK251" s="288" t="s">
        <v>2032</v>
      </c>
      <c r="AL251" s="288" t="s">
        <v>2032</v>
      </c>
      <c r="AM251" s="288" t="s">
        <v>2032</v>
      </c>
      <c r="AN251" s="288" t="s">
        <v>2032</v>
      </c>
      <c r="AO251" s="288" t="s">
        <v>2032</v>
      </c>
      <c r="AP251" s="288" t="s">
        <v>2032</v>
      </c>
      <c r="AQ251" s="288" t="s">
        <v>2032</v>
      </c>
      <c r="AR251" s="288" t="s">
        <v>2032</v>
      </c>
      <c r="AS251" s="288" t="s">
        <v>2032</v>
      </c>
      <c r="AT251" s="288" t="s">
        <v>2032</v>
      </c>
      <c r="AU251" s="288" t="s">
        <v>2032</v>
      </c>
      <c r="AV251" s="288" t="s">
        <v>2032</v>
      </c>
      <c r="AW251" s="288" t="s">
        <v>2032</v>
      </c>
      <c r="AX251" s="288" t="s">
        <v>2032</v>
      </c>
      <c r="AY251" s="288" t="s">
        <v>2032</v>
      </c>
      <c r="AZ251" s="288" t="s">
        <v>2032</v>
      </c>
      <c r="BA251" s="288" t="s">
        <v>2032</v>
      </c>
      <c r="BB251" s="288" t="s">
        <v>2032</v>
      </c>
      <c r="BC251" s="288" t="s">
        <v>2032</v>
      </c>
      <c r="BD251" s="289">
        <f t="shared" si="0"/>
        <v>0</v>
      </c>
      <c r="BE251" s="287"/>
      <c r="BF251" s="272"/>
    </row>
    <row r="252" spans="1:58" ht="14.25" customHeight="1" x14ac:dyDescent="0.35">
      <c r="A252" s="68">
        <v>250</v>
      </c>
      <c r="B252" s="24" t="s">
        <v>1855</v>
      </c>
      <c r="C252" s="24">
        <v>2024</v>
      </c>
      <c r="D252" s="24" t="s">
        <v>1541</v>
      </c>
      <c r="E252" s="269" t="str">
        <f ca="1">IFERROR(__xludf.DUMMYFUNCTION("ARRAYFORMULA(JOIN("""", ARRAYFORMULA(MID(SPLIT(F252, "" ""), 1, 1))))
&amp;""/""&amp;G252"),"MC/2 Primaria")</f>
        <v>MC/2 Primaria</v>
      </c>
      <c r="F252" s="24" t="s">
        <v>1582</v>
      </c>
      <c r="G252" s="248" t="s">
        <v>45</v>
      </c>
      <c r="H252" s="248" t="s">
        <v>1870</v>
      </c>
      <c r="I252" s="248" t="s">
        <v>1871</v>
      </c>
      <c r="J252" s="248" t="s">
        <v>1872</v>
      </c>
      <c r="K252" s="248" t="s">
        <v>1586</v>
      </c>
      <c r="L252" s="272"/>
      <c r="M252" s="286" t="s">
        <v>1587</v>
      </c>
      <c r="N252" s="286" t="s">
        <v>1587</v>
      </c>
      <c r="O252" s="286" t="s">
        <v>1589</v>
      </c>
      <c r="P252" s="286" t="s">
        <v>1587</v>
      </c>
      <c r="Q252" s="286" t="s">
        <v>1588</v>
      </c>
      <c r="R252" s="286" t="s">
        <v>1588</v>
      </c>
      <c r="S252" s="286" t="s">
        <v>1589</v>
      </c>
      <c r="T252" s="286" t="s">
        <v>1587</v>
      </c>
      <c r="U252" s="286" t="s">
        <v>1589</v>
      </c>
      <c r="V252" s="286" t="s">
        <v>1588</v>
      </c>
      <c r="W252" s="286" t="s">
        <v>1588</v>
      </c>
      <c r="X252" s="286" t="s">
        <v>1587</v>
      </c>
      <c r="Y252" s="286" t="s">
        <v>1588</v>
      </c>
      <c r="Z252" s="286" t="s">
        <v>1589</v>
      </c>
      <c r="AA252" s="286" t="s">
        <v>1588</v>
      </c>
      <c r="AB252" s="286" t="s">
        <v>1589</v>
      </c>
      <c r="AC252" s="286" t="s">
        <v>1589</v>
      </c>
      <c r="AD252" s="286" t="s">
        <v>1588</v>
      </c>
      <c r="AE252" s="286" t="s">
        <v>1589</v>
      </c>
      <c r="AF252" s="286" t="s">
        <v>1587</v>
      </c>
      <c r="AG252" s="283">
        <v>9</v>
      </c>
      <c r="AH252" s="287" t="s">
        <v>19</v>
      </c>
      <c r="AI252" s="272"/>
      <c r="AJ252" s="288" t="s">
        <v>2032</v>
      </c>
      <c r="AK252" s="288" t="s">
        <v>2032</v>
      </c>
      <c r="AL252" s="288" t="s">
        <v>2032</v>
      </c>
      <c r="AM252" s="288" t="s">
        <v>2032</v>
      </c>
      <c r="AN252" s="288" t="s">
        <v>2032</v>
      </c>
      <c r="AO252" s="288" t="s">
        <v>2032</v>
      </c>
      <c r="AP252" s="288" t="s">
        <v>2032</v>
      </c>
      <c r="AQ252" s="288" t="s">
        <v>2032</v>
      </c>
      <c r="AR252" s="288" t="s">
        <v>2032</v>
      </c>
      <c r="AS252" s="288" t="s">
        <v>2032</v>
      </c>
      <c r="AT252" s="288" t="s">
        <v>2032</v>
      </c>
      <c r="AU252" s="288" t="s">
        <v>2032</v>
      </c>
      <c r="AV252" s="288" t="s">
        <v>2032</v>
      </c>
      <c r="AW252" s="288" t="s">
        <v>2032</v>
      </c>
      <c r="AX252" s="288" t="s">
        <v>2032</v>
      </c>
      <c r="AY252" s="288" t="s">
        <v>2032</v>
      </c>
      <c r="AZ252" s="288" t="s">
        <v>2032</v>
      </c>
      <c r="BA252" s="288" t="s">
        <v>2032</v>
      </c>
      <c r="BB252" s="288" t="s">
        <v>2032</v>
      </c>
      <c r="BC252" s="288" t="s">
        <v>2032</v>
      </c>
      <c r="BD252" s="289">
        <f t="shared" si="0"/>
        <v>0</v>
      </c>
      <c r="BE252" s="287" t="s">
        <v>1489</v>
      </c>
      <c r="BF252" s="272"/>
    </row>
    <row r="253" spans="1:58" ht="14.25" customHeight="1" x14ac:dyDescent="0.35">
      <c r="A253" s="68">
        <v>251</v>
      </c>
      <c r="B253" s="24" t="s">
        <v>1855</v>
      </c>
      <c r="C253" s="24">
        <v>2024</v>
      </c>
      <c r="D253" s="24" t="s">
        <v>1745</v>
      </c>
      <c r="E253" s="269" t="str">
        <f ca="1">IFERROR(__xludf.DUMMYFUNCTION("ARRAYFORMULA(JOIN("""", ARRAYFORMULA(MID(SPLIT(F253, "" ""), 1, 1))))
&amp;""/""&amp;G253"),"CLC/2 Primaria")</f>
        <v>CLC/2 Primaria</v>
      </c>
      <c r="F253" s="24" t="s">
        <v>1747</v>
      </c>
      <c r="G253" s="248" t="s">
        <v>45</v>
      </c>
      <c r="H253" s="248" t="s">
        <v>1870</v>
      </c>
      <c r="I253" s="248" t="s">
        <v>1871</v>
      </c>
      <c r="J253" s="248" t="s">
        <v>1872</v>
      </c>
      <c r="K253" s="248" t="s">
        <v>1586</v>
      </c>
      <c r="L253" s="272"/>
      <c r="M253" s="286" t="s">
        <v>1589</v>
      </c>
      <c r="N253" s="286" t="s">
        <v>1587</v>
      </c>
      <c r="O253" s="286" t="s">
        <v>1587</v>
      </c>
      <c r="P253" s="286" t="s">
        <v>1589</v>
      </c>
      <c r="Q253" s="286" t="s">
        <v>1587</v>
      </c>
      <c r="R253" s="286" t="s">
        <v>1589</v>
      </c>
      <c r="S253" s="286" t="s">
        <v>1587</v>
      </c>
      <c r="T253" s="286" t="s">
        <v>1589</v>
      </c>
      <c r="U253" s="286" t="s">
        <v>1588</v>
      </c>
      <c r="V253" s="286" t="s">
        <v>1587</v>
      </c>
      <c r="W253" s="286" t="s">
        <v>1588</v>
      </c>
      <c r="X253" s="286" t="s">
        <v>1589</v>
      </c>
      <c r="Y253" s="286" t="s">
        <v>1588</v>
      </c>
      <c r="Z253" s="286" t="s">
        <v>1589</v>
      </c>
      <c r="AA253" s="286" t="s">
        <v>1588</v>
      </c>
      <c r="AB253" s="286" t="s">
        <v>1589</v>
      </c>
      <c r="AC253" s="286" t="s">
        <v>1589</v>
      </c>
      <c r="AD253" s="286" t="s">
        <v>1587</v>
      </c>
      <c r="AE253" s="286" t="s">
        <v>1589</v>
      </c>
      <c r="AF253" s="286" t="s">
        <v>1588</v>
      </c>
      <c r="AG253" s="283">
        <v>12</v>
      </c>
      <c r="AH253" s="287" t="s">
        <v>23</v>
      </c>
      <c r="AI253" s="272"/>
      <c r="AJ253" s="288" t="s">
        <v>2032</v>
      </c>
      <c r="AK253" s="288" t="s">
        <v>2032</v>
      </c>
      <c r="AL253" s="288" t="s">
        <v>2032</v>
      </c>
      <c r="AM253" s="288" t="s">
        <v>2032</v>
      </c>
      <c r="AN253" s="288" t="s">
        <v>2032</v>
      </c>
      <c r="AO253" s="288" t="s">
        <v>2032</v>
      </c>
      <c r="AP253" s="288" t="s">
        <v>2032</v>
      </c>
      <c r="AQ253" s="288" t="s">
        <v>2032</v>
      </c>
      <c r="AR253" s="288" t="s">
        <v>2032</v>
      </c>
      <c r="AS253" s="288" t="s">
        <v>2032</v>
      </c>
      <c r="AT253" s="288" t="s">
        <v>2032</v>
      </c>
      <c r="AU253" s="288" t="s">
        <v>2032</v>
      </c>
      <c r="AV253" s="288" t="s">
        <v>2032</v>
      </c>
      <c r="AW253" s="288" t="s">
        <v>2032</v>
      </c>
      <c r="AX253" s="288" t="s">
        <v>2032</v>
      </c>
      <c r="AY253" s="288" t="s">
        <v>2032</v>
      </c>
      <c r="AZ253" s="288" t="s">
        <v>2032</v>
      </c>
      <c r="BA253" s="288" t="s">
        <v>2032</v>
      </c>
      <c r="BB253" s="288" t="s">
        <v>2032</v>
      </c>
      <c r="BC253" s="288" t="s">
        <v>2032</v>
      </c>
      <c r="BD253" s="289">
        <f t="shared" si="0"/>
        <v>0</v>
      </c>
      <c r="BE253" s="287"/>
      <c r="BF253" s="272"/>
    </row>
    <row r="254" spans="1:58" ht="14.25" customHeight="1" x14ac:dyDescent="0.35">
      <c r="A254" s="68">
        <v>252</v>
      </c>
      <c r="B254" s="24" t="s">
        <v>1855</v>
      </c>
      <c r="C254" s="24">
        <v>2024</v>
      </c>
      <c r="D254" s="24" t="s">
        <v>1541</v>
      </c>
      <c r="E254" s="269" t="str">
        <f ca="1">IFERROR(__xludf.DUMMYFUNCTION("ARRAYFORMULA(JOIN("""", ARRAYFORMULA(MID(SPLIT(F254, "" ""), 1, 1))))
&amp;""/""&amp;G254"),"MC/2 Primaria")</f>
        <v>MC/2 Primaria</v>
      </c>
      <c r="F254" s="24" t="s">
        <v>1582</v>
      </c>
      <c r="G254" s="248" t="s">
        <v>45</v>
      </c>
      <c r="H254" s="248" t="s">
        <v>1873</v>
      </c>
      <c r="I254" s="248" t="s">
        <v>1874</v>
      </c>
      <c r="J254" s="248" t="s">
        <v>1875</v>
      </c>
      <c r="K254" s="248" t="s">
        <v>1593</v>
      </c>
      <c r="L254" s="272"/>
      <c r="M254" s="286" t="s">
        <v>1587</v>
      </c>
      <c r="N254" s="286" t="s">
        <v>1588</v>
      </c>
      <c r="O254" s="286" t="s">
        <v>1588</v>
      </c>
      <c r="P254" s="286" t="s">
        <v>1589</v>
      </c>
      <c r="Q254" s="286" t="s">
        <v>1588</v>
      </c>
      <c r="R254" s="286" t="s">
        <v>1588</v>
      </c>
      <c r="S254" s="286" t="s">
        <v>1589</v>
      </c>
      <c r="T254" s="286" t="s">
        <v>1589</v>
      </c>
      <c r="U254" s="286" t="s">
        <v>1587</v>
      </c>
      <c r="V254" s="286" t="s">
        <v>1587</v>
      </c>
      <c r="W254" s="286" t="s">
        <v>1587</v>
      </c>
      <c r="X254" s="286" t="s">
        <v>1589</v>
      </c>
      <c r="Y254" s="286" t="s">
        <v>1589</v>
      </c>
      <c r="Z254" s="286" t="s">
        <v>1587</v>
      </c>
      <c r="AA254" s="286" t="s">
        <v>1589</v>
      </c>
      <c r="AB254" s="286" t="s">
        <v>1589</v>
      </c>
      <c r="AC254" s="286" t="s">
        <v>1589</v>
      </c>
      <c r="AD254" s="286" t="s">
        <v>1589</v>
      </c>
      <c r="AE254" s="286" t="s">
        <v>1589</v>
      </c>
      <c r="AF254" s="286" t="s">
        <v>1588</v>
      </c>
      <c r="AG254" s="283">
        <v>8</v>
      </c>
      <c r="AH254" s="287" t="s">
        <v>19</v>
      </c>
      <c r="AI254" s="272"/>
      <c r="AJ254" s="288" t="s">
        <v>2032</v>
      </c>
      <c r="AK254" s="288" t="s">
        <v>2032</v>
      </c>
      <c r="AL254" s="288" t="s">
        <v>2032</v>
      </c>
      <c r="AM254" s="288" t="s">
        <v>2032</v>
      </c>
      <c r="AN254" s="288" t="s">
        <v>2032</v>
      </c>
      <c r="AO254" s="288" t="s">
        <v>2032</v>
      </c>
      <c r="AP254" s="288" t="s">
        <v>2032</v>
      </c>
      <c r="AQ254" s="288" t="s">
        <v>2032</v>
      </c>
      <c r="AR254" s="288" t="s">
        <v>2032</v>
      </c>
      <c r="AS254" s="288" t="s">
        <v>2032</v>
      </c>
      <c r="AT254" s="288" t="s">
        <v>2032</v>
      </c>
      <c r="AU254" s="288" t="s">
        <v>2032</v>
      </c>
      <c r="AV254" s="288" t="s">
        <v>2032</v>
      </c>
      <c r="AW254" s="288" t="s">
        <v>2032</v>
      </c>
      <c r="AX254" s="288" t="s">
        <v>2032</v>
      </c>
      <c r="AY254" s="288" t="s">
        <v>2032</v>
      </c>
      <c r="AZ254" s="288" t="s">
        <v>2032</v>
      </c>
      <c r="BA254" s="288" t="s">
        <v>2032</v>
      </c>
      <c r="BB254" s="288" t="s">
        <v>2032</v>
      </c>
      <c r="BC254" s="288" t="s">
        <v>2032</v>
      </c>
      <c r="BD254" s="289">
        <f t="shared" si="0"/>
        <v>0</v>
      </c>
      <c r="BE254" s="287" t="s">
        <v>1489</v>
      </c>
      <c r="BF254" s="272"/>
    </row>
    <row r="255" spans="1:58" ht="14.25" customHeight="1" x14ac:dyDescent="0.35">
      <c r="A255" s="68">
        <v>253</v>
      </c>
      <c r="B255" s="24" t="s">
        <v>1855</v>
      </c>
      <c r="C255" s="24">
        <v>2024</v>
      </c>
      <c r="D255" s="24" t="s">
        <v>1745</v>
      </c>
      <c r="E255" s="269" t="str">
        <f ca="1">IFERROR(__xludf.DUMMYFUNCTION("ARRAYFORMULA(JOIN("""", ARRAYFORMULA(MID(SPLIT(F255, "" ""), 1, 1))))
&amp;""/""&amp;G255"),"CLC/2 Primaria")</f>
        <v>CLC/2 Primaria</v>
      </c>
      <c r="F255" s="24" t="s">
        <v>1747</v>
      </c>
      <c r="G255" s="248" t="s">
        <v>45</v>
      </c>
      <c r="H255" s="248" t="s">
        <v>1873</v>
      </c>
      <c r="I255" s="248" t="s">
        <v>1874</v>
      </c>
      <c r="J255" s="248" t="s">
        <v>1875</v>
      </c>
      <c r="K255" s="248" t="s">
        <v>1593</v>
      </c>
      <c r="L255" s="272"/>
      <c r="M255" s="286" t="s">
        <v>1589</v>
      </c>
      <c r="N255" s="286" t="s">
        <v>1588</v>
      </c>
      <c r="O255" s="286" t="s">
        <v>1587</v>
      </c>
      <c r="P255" s="286" t="s">
        <v>1589</v>
      </c>
      <c r="Q255" s="286" t="s">
        <v>1587</v>
      </c>
      <c r="R255" s="286" t="s">
        <v>1589</v>
      </c>
      <c r="S255" s="286" t="s">
        <v>1587</v>
      </c>
      <c r="T255" s="286" t="s">
        <v>1589</v>
      </c>
      <c r="U255" s="286" t="s">
        <v>1588</v>
      </c>
      <c r="V255" s="286" t="s">
        <v>1588</v>
      </c>
      <c r="W255" s="286" t="s">
        <v>1587</v>
      </c>
      <c r="X255" s="286" t="s">
        <v>1588</v>
      </c>
      <c r="Y255" s="286" t="s">
        <v>1588</v>
      </c>
      <c r="Z255" s="286" t="s">
        <v>1587</v>
      </c>
      <c r="AA255" s="286" t="s">
        <v>1588</v>
      </c>
      <c r="AB255" s="286" t="s">
        <v>1587</v>
      </c>
      <c r="AC255" s="286" t="s">
        <v>1589</v>
      </c>
      <c r="AD255" s="286" t="s">
        <v>1588</v>
      </c>
      <c r="AE255" s="286" t="s">
        <v>1587</v>
      </c>
      <c r="AF255" s="286" t="s">
        <v>1587</v>
      </c>
      <c r="AG255" s="283">
        <v>17</v>
      </c>
      <c r="AH255" s="287" t="s">
        <v>25</v>
      </c>
      <c r="AI255" s="272"/>
      <c r="AJ255" s="288" t="s">
        <v>2032</v>
      </c>
      <c r="AK255" s="288" t="s">
        <v>2032</v>
      </c>
      <c r="AL255" s="288" t="s">
        <v>2032</v>
      </c>
      <c r="AM255" s="288" t="s">
        <v>2032</v>
      </c>
      <c r="AN255" s="288" t="s">
        <v>2032</v>
      </c>
      <c r="AO255" s="288" t="s">
        <v>2032</v>
      </c>
      <c r="AP255" s="288" t="s">
        <v>2032</v>
      </c>
      <c r="AQ255" s="288" t="s">
        <v>2032</v>
      </c>
      <c r="AR255" s="288" t="s">
        <v>2032</v>
      </c>
      <c r="AS255" s="288" t="s">
        <v>2032</v>
      </c>
      <c r="AT255" s="288" t="s">
        <v>2032</v>
      </c>
      <c r="AU255" s="288" t="s">
        <v>2032</v>
      </c>
      <c r="AV255" s="288" t="s">
        <v>2032</v>
      </c>
      <c r="AW255" s="288" t="s">
        <v>2032</v>
      </c>
      <c r="AX255" s="288" t="s">
        <v>2032</v>
      </c>
      <c r="AY255" s="288" t="s">
        <v>2032</v>
      </c>
      <c r="AZ255" s="288" t="s">
        <v>2032</v>
      </c>
      <c r="BA255" s="288" t="s">
        <v>2032</v>
      </c>
      <c r="BB255" s="288" t="s">
        <v>2032</v>
      </c>
      <c r="BC255" s="288" t="s">
        <v>2032</v>
      </c>
      <c r="BD255" s="289">
        <f t="shared" si="0"/>
        <v>0</v>
      </c>
      <c r="BE255" s="287"/>
      <c r="BF255" s="272"/>
    </row>
    <row r="256" spans="1:58" ht="14.25" customHeight="1" x14ac:dyDescent="0.35">
      <c r="A256" s="68">
        <v>254</v>
      </c>
      <c r="B256" s="24" t="s">
        <v>1855</v>
      </c>
      <c r="C256" s="24">
        <v>2024</v>
      </c>
      <c r="D256" s="24" t="s">
        <v>1541</v>
      </c>
      <c r="E256" s="269" t="str">
        <f ca="1">IFERROR(__xludf.DUMMYFUNCTION("ARRAYFORMULA(JOIN("""", ARRAYFORMULA(MID(SPLIT(F256, "" ""), 1, 1))))
&amp;""/""&amp;G256"),"MC/2 Primaria")</f>
        <v>MC/2 Primaria</v>
      </c>
      <c r="F256" s="24" t="s">
        <v>1582</v>
      </c>
      <c r="G256" s="248" t="s">
        <v>45</v>
      </c>
      <c r="H256" s="248" t="s">
        <v>1665</v>
      </c>
      <c r="I256" s="248" t="s">
        <v>1598</v>
      </c>
      <c r="J256" s="248" t="s">
        <v>1876</v>
      </c>
      <c r="K256" s="248" t="s">
        <v>1586</v>
      </c>
      <c r="L256" s="272"/>
      <c r="M256" s="286" t="s">
        <v>1588</v>
      </c>
      <c r="N256" s="286" t="s">
        <v>1589</v>
      </c>
      <c r="O256" s="286" t="s">
        <v>1588</v>
      </c>
      <c r="P256" s="286" t="s">
        <v>1587</v>
      </c>
      <c r="Q256" s="286" t="s">
        <v>1587</v>
      </c>
      <c r="R256" s="286" t="s">
        <v>1588</v>
      </c>
      <c r="S256" s="286" t="s">
        <v>1587</v>
      </c>
      <c r="T256" s="286" t="s">
        <v>1589</v>
      </c>
      <c r="U256" s="286" t="s">
        <v>1589</v>
      </c>
      <c r="V256" s="286" t="s">
        <v>1588</v>
      </c>
      <c r="W256" s="286" t="s">
        <v>1589</v>
      </c>
      <c r="X256" s="286" t="s">
        <v>1588</v>
      </c>
      <c r="Y256" s="286" t="s">
        <v>1589</v>
      </c>
      <c r="Z256" s="286" t="s">
        <v>1589</v>
      </c>
      <c r="AA256" s="286" t="s">
        <v>1587</v>
      </c>
      <c r="AB256" s="286" t="s">
        <v>1589</v>
      </c>
      <c r="AC256" s="286" t="s">
        <v>1587</v>
      </c>
      <c r="AD256" s="286" t="s">
        <v>1588</v>
      </c>
      <c r="AE256" s="286" t="s">
        <v>1589</v>
      </c>
      <c r="AF256" s="286" t="s">
        <v>1587</v>
      </c>
      <c r="AG256" s="283">
        <v>16</v>
      </c>
      <c r="AH256" s="287" t="s">
        <v>23</v>
      </c>
      <c r="AI256" s="272"/>
      <c r="AJ256" s="288" t="s">
        <v>2032</v>
      </c>
      <c r="AK256" s="288" t="s">
        <v>2032</v>
      </c>
      <c r="AL256" s="288" t="s">
        <v>2032</v>
      </c>
      <c r="AM256" s="288" t="s">
        <v>2032</v>
      </c>
      <c r="AN256" s="288" t="s">
        <v>2032</v>
      </c>
      <c r="AO256" s="288" t="s">
        <v>2032</v>
      </c>
      <c r="AP256" s="288" t="s">
        <v>2032</v>
      </c>
      <c r="AQ256" s="288" t="s">
        <v>2032</v>
      </c>
      <c r="AR256" s="288" t="s">
        <v>2032</v>
      </c>
      <c r="AS256" s="288" t="s">
        <v>2032</v>
      </c>
      <c r="AT256" s="288" t="s">
        <v>2032</v>
      </c>
      <c r="AU256" s="288" t="s">
        <v>2032</v>
      </c>
      <c r="AV256" s="288" t="s">
        <v>2032</v>
      </c>
      <c r="AW256" s="288" t="s">
        <v>2032</v>
      </c>
      <c r="AX256" s="288" t="s">
        <v>2032</v>
      </c>
      <c r="AY256" s="288" t="s">
        <v>2032</v>
      </c>
      <c r="AZ256" s="288" t="s">
        <v>2032</v>
      </c>
      <c r="BA256" s="288" t="s">
        <v>2032</v>
      </c>
      <c r="BB256" s="288" t="s">
        <v>2032</v>
      </c>
      <c r="BC256" s="288" t="s">
        <v>2032</v>
      </c>
      <c r="BD256" s="289">
        <f t="shared" si="0"/>
        <v>0</v>
      </c>
      <c r="BE256" s="287" t="s">
        <v>1489</v>
      </c>
      <c r="BF256" s="272"/>
    </row>
    <row r="257" spans="1:58" ht="14.25" customHeight="1" x14ac:dyDescent="0.35">
      <c r="A257" s="68">
        <v>255</v>
      </c>
      <c r="B257" s="24" t="s">
        <v>1855</v>
      </c>
      <c r="C257" s="24">
        <v>2024</v>
      </c>
      <c r="D257" s="24" t="s">
        <v>1745</v>
      </c>
      <c r="E257" s="269" t="str">
        <f ca="1">IFERROR(__xludf.DUMMYFUNCTION("ARRAYFORMULA(JOIN("""", ARRAYFORMULA(MID(SPLIT(F257, "" ""), 1, 1))))
&amp;""/""&amp;G257"),"CLC/2 Primaria")</f>
        <v>CLC/2 Primaria</v>
      </c>
      <c r="F257" s="24" t="s">
        <v>1747</v>
      </c>
      <c r="G257" s="248" t="s">
        <v>45</v>
      </c>
      <c r="H257" s="248" t="s">
        <v>1665</v>
      </c>
      <c r="I257" s="248" t="s">
        <v>1598</v>
      </c>
      <c r="J257" s="248" t="s">
        <v>1876</v>
      </c>
      <c r="K257" s="248" t="s">
        <v>1586</v>
      </c>
      <c r="L257" s="272"/>
      <c r="M257" s="286" t="s">
        <v>1589</v>
      </c>
      <c r="N257" s="286" t="s">
        <v>1588</v>
      </c>
      <c r="O257" s="286" t="s">
        <v>1587</v>
      </c>
      <c r="P257" s="286" t="s">
        <v>1589</v>
      </c>
      <c r="Q257" s="286" t="s">
        <v>1587</v>
      </c>
      <c r="R257" s="286" t="s">
        <v>1589</v>
      </c>
      <c r="S257" s="286" t="s">
        <v>1587</v>
      </c>
      <c r="T257" s="286" t="s">
        <v>1589</v>
      </c>
      <c r="U257" s="286" t="s">
        <v>1589</v>
      </c>
      <c r="V257" s="286" t="s">
        <v>1588</v>
      </c>
      <c r="W257" s="286" t="s">
        <v>1589</v>
      </c>
      <c r="X257" s="286" t="s">
        <v>1587</v>
      </c>
      <c r="Y257" s="286" t="s">
        <v>1589</v>
      </c>
      <c r="Z257" s="286" t="s">
        <v>1587</v>
      </c>
      <c r="AA257" s="286" t="s">
        <v>1588</v>
      </c>
      <c r="AB257" s="286" t="s">
        <v>1587</v>
      </c>
      <c r="AC257" s="286" t="s">
        <v>1589</v>
      </c>
      <c r="AD257" s="286" t="s">
        <v>1588</v>
      </c>
      <c r="AE257" s="286" t="s">
        <v>1587</v>
      </c>
      <c r="AF257" s="286" t="s">
        <v>1587</v>
      </c>
      <c r="AG257" s="283">
        <v>17</v>
      </c>
      <c r="AH257" s="287" t="s">
        <v>25</v>
      </c>
      <c r="AI257" s="272"/>
      <c r="AJ257" s="288" t="s">
        <v>2032</v>
      </c>
      <c r="AK257" s="288" t="s">
        <v>2032</v>
      </c>
      <c r="AL257" s="288" t="s">
        <v>2032</v>
      </c>
      <c r="AM257" s="288" t="s">
        <v>2032</v>
      </c>
      <c r="AN257" s="288" t="s">
        <v>2032</v>
      </c>
      <c r="AO257" s="288" t="s">
        <v>2032</v>
      </c>
      <c r="AP257" s="288" t="s">
        <v>2032</v>
      </c>
      <c r="AQ257" s="288" t="s">
        <v>2032</v>
      </c>
      <c r="AR257" s="288" t="s">
        <v>2032</v>
      </c>
      <c r="AS257" s="288" t="s">
        <v>2032</v>
      </c>
      <c r="AT257" s="288" t="s">
        <v>2032</v>
      </c>
      <c r="AU257" s="288" t="s">
        <v>2032</v>
      </c>
      <c r="AV257" s="288" t="s">
        <v>2032</v>
      </c>
      <c r="AW257" s="288" t="s">
        <v>2032</v>
      </c>
      <c r="AX257" s="288" t="s">
        <v>2032</v>
      </c>
      <c r="AY257" s="288" t="s">
        <v>2032</v>
      </c>
      <c r="AZ257" s="288" t="s">
        <v>2032</v>
      </c>
      <c r="BA257" s="288" t="s">
        <v>2032</v>
      </c>
      <c r="BB257" s="288" t="s">
        <v>2032</v>
      </c>
      <c r="BC257" s="288" t="s">
        <v>2032</v>
      </c>
      <c r="BD257" s="289">
        <f t="shared" si="0"/>
        <v>0</v>
      </c>
      <c r="BE257" s="287"/>
      <c r="BF257" s="272"/>
    </row>
    <row r="258" spans="1:58" ht="14.25" customHeight="1" x14ac:dyDescent="0.35">
      <c r="A258" s="68">
        <v>256</v>
      </c>
      <c r="B258" s="24" t="s">
        <v>1855</v>
      </c>
      <c r="C258" s="24">
        <v>2024</v>
      </c>
      <c r="D258" s="24" t="s">
        <v>1541</v>
      </c>
      <c r="E258" s="269" t="str">
        <f ca="1">IFERROR(__xludf.DUMMYFUNCTION("ARRAYFORMULA(JOIN("""", ARRAYFORMULA(MID(SPLIT(F258, "" ""), 1, 1))))
&amp;""/""&amp;G258"),"MC/2 Primaria")</f>
        <v>MC/2 Primaria</v>
      </c>
      <c r="F258" s="24" t="s">
        <v>1582</v>
      </c>
      <c r="G258" s="248" t="s">
        <v>45</v>
      </c>
      <c r="H258" s="248" t="s">
        <v>1710</v>
      </c>
      <c r="I258" s="248" t="s">
        <v>1625</v>
      </c>
      <c r="J258" s="248" t="s">
        <v>1877</v>
      </c>
      <c r="K258" s="248" t="s">
        <v>1586</v>
      </c>
      <c r="L258" s="272"/>
      <c r="M258" s="286" t="s">
        <v>1587</v>
      </c>
      <c r="N258" s="286" t="s">
        <v>1589</v>
      </c>
      <c r="O258" s="286" t="s">
        <v>1587</v>
      </c>
      <c r="P258" s="286" t="s">
        <v>1589</v>
      </c>
      <c r="Q258" s="286" t="s">
        <v>1589</v>
      </c>
      <c r="R258" s="286" t="s">
        <v>1588</v>
      </c>
      <c r="S258" s="286" t="s">
        <v>1587</v>
      </c>
      <c r="T258" s="286" t="s">
        <v>1589</v>
      </c>
      <c r="U258" s="286" t="s">
        <v>1589</v>
      </c>
      <c r="V258" s="286" t="s">
        <v>1588</v>
      </c>
      <c r="W258" s="286" t="s">
        <v>1587</v>
      </c>
      <c r="X258" s="286" t="s">
        <v>1588</v>
      </c>
      <c r="Y258" s="286" t="s">
        <v>1589</v>
      </c>
      <c r="Z258" s="286" t="s">
        <v>1589</v>
      </c>
      <c r="AA258" s="286" t="s">
        <v>1588</v>
      </c>
      <c r="AB258" s="286" t="s">
        <v>1587</v>
      </c>
      <c r="AC258" s="286" t="s">
        <v>1587</v>
      </c>
      <c r="AD258" s="286" t="s">
        <v>1589</v>
      </c>
      <c r="AE258" s="286" t="s">
        <v>1588</v>
      </c>
      <c r="AF258" s="286" t="s">
        <v>1588</v>
      </c>
      <c r="AG258" s="283">
        <v>11</v>
      </c>
      <c r="AH258" s="287" t="s">
        <v>23</v>
      </c>
      <c r="AI258" s="272"/>
      <c r="AJ258" s="288" t="s">
        <v>2032</v>
      </c>
      <c r="AK258" s="288" t="s">
        <v>2032</v>
      </c>
      <c r="AL258" s="288" t="s">
        <v>2032</v>
      </c>
      <c r="AM258" s="288" t="s">
        <v>2032</v>
      </c>
      <c r="AN258" s="288" t="s">
        <v>2032</v>
      </c>
      <c r="AO258" s="288" t="s">
        <v>2032</v>
      </c>
      <c r="AP258" s="288" t="s">
        <v>2032</v>
      </c>
      <c r="AQ258" s="288" t="s">
        <v>2032</v>
      </c>
      <c r="AR258" s="288" t="s">
        <v>2032</v>
      </c>
      <c r="AS258" s="288" t="s">
        <v>2032</v>
      </c>
      <c r="AT258" s="288" t="s">
        <v>2032</v>
      </c>
      <c r="AU258" s="288" t="s">
        <v>2032</v>
      </c>
      <c r="AV258" s="288" t="s">
        <v>2032</v>
      </c>
      <c r="AW258" s="288" t="s">
        <v>2032</v>
      </c>
      <c r="AX258" s="288" t="s">
        <v>2032</v>
      </c>
      <c r="AY258" s="288" t="s">
        <v>2032</v>
      </c>
      <c r="AZ258" s="288" t="s">
        <v>2032</v>
      </c>
      <c r="BA258" s="288" t="s">
        <v>2032</v>
      </c>
      <c r="BB258" s="288" t="s">
        <v>2032</v>
      </c>
      <c r="BC258" s="288" t="s">
        <v>2032</v>
      </c>
      <c r="BD258" s="289">
        <f t="shared" ref="BD258:BD423" si="1">SUM(AJ258:BC258)</f>
        <v>0</v>
      </c>
      <c r="BE258" s="287" t="s">
        <v>1489</v>
      </c>
      <c r="BF258" s="272"/>
    </row>
    <row r="259" spans="1:58" ht="14.25" customHeight="1" x14ac:dyDescent="0.35">
      <c r="A259" s="68">
        <v>257</v>
      </c>
      <c r="B259" s="24" t="s">
        <v>1855</v>
      </c>
      <c r="C259" s="24">
        <v>2024</v>
      </c>
      <c r="D259" s="24" t="s">
        <v>1745</v>
      </c>
      <c r="E259" s="269" t="str">
        <f ca="1">IFERROR(__xludf.DUMMYFUNCTION("ARRAYFORMULA(JOIN("""", ARRAYFORMULA(MID(SPLIT(F259, "" ""), 1, 1))))
&amp;""/""&amp;G259"),"CLC/2 Primaria")</f>
        <v>CLC/2 Primaria</v>
      </c>
      <c r="F259" s="24" t="s">
        <v>1747</v>
      </c>
      <c r="G259" s="248" t="s">
        <v>45</v>
      </c>
      <c r="H259" s="248" t="s">
        <v>1710</v>
      </c>
      <c r="I259" s="248" t="s">
        <v>1625</v>
      </c>
      <c r="J259" s="248" t="s">
        <v>1877</v>
      </c>
      <c r="K259" s="248" t="s">
        <v>1586</v>
      </c>
      <c r="L259" s="272"/>
      <c r="M259" s="286" t="s">
        <v>1589</v>
      </c>
      <c r="N259" s="286" t="s">
        <v>1588</v>
      </c>
      <c r="O259" s="286" t="s">
        <v>1587</v>
      </c>
      <c r="P259" s="286" t="s">
        <v>1589</v>
      </c>
      <c r="Q259" s="286" t="s">
        <v>1587</v>
      </c>
      <c r="R259" s="286" t="s">
        <v>1589</v>
      </c>
      <c r="S259" s="286" t="s">
        <v>1587</v>
      </c>
      <c r="T259" s="286" t="s">
        <v>1589</v>
      </c>
      <c r="U259" s="286" t="s">
        <v>1588</v>
      </c>
      <c r="V259" s="286" t="s">
        <v>1587</v>
      </c>
      <c r="W259" s="286" t="s">
        <v>1589</v>
      </c>
      <c r="X259" s="286" t="s">
        <v>1587</v>
      </c>
      <c r="Y259" s="286" t="s">
        <v>1588</v>
      </c>
      <c r="Z259" s="286" t="s">
        <v>1587</v>
      </c>
      <c r="AA259" s="286" t="s">
        <v>1588</v>
      </c>
      <c r="AB259" s="286" t="s">
        <v>1587</v>
      </c>
      <c r="AC259" s="286" t="s">
        <v>1589</v>
      </c>
      <c r="AD259" s="286" t="s">
        <v>1588</v>
      </c>
      <c r="AE259" s="286" t="s">
        <v>1587</v>
      </c>
      <c r="AF259" s="286" t="s">
        <v>1589</v>
      </c>
      <c r="AG259" s="283">
        <v>19</v>
      </c>
      <c r="AH259" s="287" t="s">
        <v>25</v>
      </c>
      <c r="AI259" s="272"/>
      <c r="AJ259" s="288" t="s">
        <v>2032</v>
      </c>
      <c r="AK259" s="288" t="s">
        <v>2032</v>
      </c>
      <c r="AL259" s="288" t="s">
        <v>2032</v>
      </c>
      <c r="AM259" s="288" t="s">
        <v>2032</v>
      </c>
      <c r="AN259" s="288" t="s">
        <v>2032</v>
      </c>
      <c r="AO259" s="288" t="s">
        <v>2032</v>
      </c>
      <c r="AP259" s="288" t="s">
        <v>2032</v>
      </c>
      <c r="AQ259" s="288" t="s">
        <v>2032</v>
      </c>
      <c r="AR259" s="288" t="s">
        <v>2032</v>
      </c>
      <c r="AS259" s="288" t="s">
        <v>2032</v>
      </c>
      <c r="AT259" s="288" t="s">
        <v>2032</v>
      </c>
      <c r="AU259" s="288" t="s">
        <v>2032</v>
      </c>
      <c r="AV259" s="288" t="s">
        <v>2032</v>
      </c>
      <c r="AW259" s="288" t="s">
        <v>2032</v>
      </c>
      <c r="AX259" s="288" t="s">
        <v>2032</v>
      </c>
      <c r="AY259" s="288" t="s">
        <v>2032</v>
      </c>
      <c r="AZ259" s="288" t="s">
        <v>2032</v>
      </c>
      <c r="BA259" s="288" t="s">
        <v>2032</v>
      </c>
      <c r="BB259" s="288" t="s">
        <v>2032</v>
      </c>
      <c r="BC259" s="288" t="s">
        <v>2032</v>
      </c>
      <c r="BD259" s="289">
        <f t="shared" si="1"/>
        <v>0</v>
      </c>
      <c r="BE259" s="287"/>
      <c r="BF259" s="272"/>
    </row>
    <row r="260" spans="1:58" ht="14.25" customHeight="1" x14ac:dyDescent="0.35">
      <c r="A260" s="68">
        <v>258</v>
      </c>
      <c r="B260" s="24" t="s">
        <v>1855</v>
      </c>
      <c r="C260" s="24">
        <v>2024</v>
      </c>
      <c r="D260" s="24" t="s">
        <v>1745</v>
      </c>
      <c r="E260" s="269" t="str">
        <f ca="1">IFERROR(__xludf.DUMMYFUNCTION("ARRAYFORMULA(JOIN("""", ARRAYFORMULA(MID(SPLIT(F260, "" ""), 1, 1))))
&amp;""/""&amp;G260"),"CLQ/2 Primaria")</f>
        <v>CLQ/2 Primaria</v>
      </c>
      <c r="F260" s="24" t="s">
        <v>1755</v>
      </c>
      <c r="G260" s="248" t="s">
        <v>45</v>
      </c>
      <c r="H260" s="248" t="s">
        <v>1878</v>
      </c>
      <c r="I260" s="248" t="s">
        <v>1612</v>
      </c>
      <c r="J260" s="248" t="s">
        <v>1879</v>
      </c>
      <c r="K260" s="248" t="s">
        <v>1593</v>
      </c>
      <c r="L260" s="272"/>
      <c r="M260" s="286"/>
      <c r="N260" s="286"/>
      <c r="O260" s="286"/>
      <c r="P260" s="286"/>
      <c r="Q260" s="286"/>
      <c r="R260" s="286"/>
      <c r="S260" s="286"/>
      <c r="T260" s="286"/>
      <c r="U260" s="286"/>
      <c r="V260" s="286"/>
      <c r="W260" s="286"/>
      <c r="X260" s="286"/>
      <c r="Y260" s="286"/>
      <c r="Z260" s="286"/>
      <c r="AA260" s="286"/>
      <c r="AB260" s="286"/>
      <c r="AC260" s="286"/>
      <c r="AD260" s="286"/>
      <c r="AE260" s="286"/>
      <c r="AF260" s="286"/>
      <c r="AG260" s="283">
        <v>0</v>
      </c>
      <c r="AH260" s="287" t="s">
        <v>1489</v>
      </c>
      <c r="AI260" s="272"/>
      <c r="AJ260" s="288" t="s">
        <v>2032</v>
      </c>
      <c r="AK260" s="288" t="s">
        <v>2032</v>
      </c>
      <c r="AL260" s="288" t="s">
        <v>2032</v>
      </c>
      <c r="AM260" s="288" t="s">
        <v>2032</v>
      </c>
      <c r="AN260" s="288" t="s">
        <v>2032</v>
      </c>
      <c r="AO260" s="288" t="s">
        <v>2032</v>
      </c>
      <c r="AP260" s="288" t="s">
        <v>2032</v>
      </c>
      <c r="AQ260" s="288" t="s">
        <v>2032</v>
      </c>
      <c r="AR260" s="288" t="s">
        <v>2032</v>
      </c>
      <c r="AS260" s="288" t="s">
        <v>2032</v>
      </c>
      <c r="AT260" s="288" t="s">
        <v>2032</v>
      </c>
      <c r="AU260" s="288" t="s">
        <v>2032</v>
      </c>
      <c r="AV260" s="288" t="s">
        <v>2032</v>
      </c>
      <c r="AW260" s="288" t="s">
        <v>2032</v>
      </c>
      <c r="AX260" s="288" t="s">
        <v>2032</v>
      </c>
      <c r="AY260" s="288" t="s">
        <v>2032</v>
      </c>
      <c r="AZ260" s="288" t="s">
        <v>2032</v>
      </c>
      <c r="BA260" s="288" t="s">
        <v>2032</v>
      </c>
      <c r="BB260" s="288" t="s">
        <v>2032</v>
      </c>
      <c r="BC260" s="288" t="s">
        <v>2032</v>
      </c>
      <c r="BD260" s="289">
        <f t="shared" si="1"/>
        <v>0</v>
      </c>
      <c r="BE260" s="287" t="s">
        <v>1489</v>
      </c>
      <c r="BF260" s="272"/>
    </row>
    <row r="261" spans="1:58" ht="14.25" customHeight="1" x14ac:dyDescent="0.35">
      <c r="A261" s="68">
        <v>259</v>
      </c>
      <c r="B261" s="24" t="s">
        <v>1855</v>
      </c>
      <c r="C261" s="24">
        <v>2024</v>
      </c>
      <c r="D261" s="24" t="s">
        <v>1541</v>
      </c>
      <c r="E261" s="269" t="str">
        <f ca="1">IFERROR(__xludf.DUMMYFUNCTION("ARRAYFORMULA(JOIN("""", ARRAYFORMULA(MID(SPLIT(F261, "" ""), 1, 1))))
&amp;""/""&amp;G261"),"MC/2 Primaria")</f>
        <v>MC/2 Primaria</v>
      </c>
      <c r="F261" s="24" t="s">
        <v>1582</v>
      </c>
      <c r="G261" s="248" t="s">
        <v>45</v>
      </c>
      <c r="H261" s="248" t="s">
        <v>1880</v>
      </c>
      <c r="I261" s="248" t="s">
        <v>1612</v>
      </c>
      <c r="J261" s="248" t="s">
        <v>1881</v>
      </c>
      <c r="K261" s="248" t="s">
        <v>1586</v>
      </c>
      <c r="L261" s="272"/>
      <c r="M261" s="286" t="s">
        <v>1587</v>
      </c>
      <c r="N261" s="286" t="s">
        <v>1588</v>
      </c>
      <c r="O261" s="286" t="s">
        <v>1587</v>
      </c>
      <c r="P261" s="286" t="s">
        <v>1587</v>
      </c>
      <c r="Q261" s="286" t="s">
        <v>1588</v>
      </c>
      <c r="R261" s="286" t="s">
        <v>1589</v>
      </c>
      <c r="S261" s="286" t="s">
        <v>1589</v>
      </c>
      <c r="T261" s="286" t="s">
        <v>1587</v>
      </c>
      <c r="U261" s="286" t="s">
        <v>1589</v>
      </c>
      <c r="V261" s="286" t="s">
        <v>1588</v>
      </c>
      <c r="W261" s="286" t="s">
        <v>1588</v>
      </c>
      <c r="X261" s="286" t="s">
        <v>1589</v>
      </c>
      <c r="Y261" s="286" t="s">
        <v>1589</v>
      </c>
      <c r="Z261" s="286" t="s">
        <v>1589</v>
      </c>
      <c r="AA261" s="286"/>
      <c r="AB261" s="286"/>
      <c r="AC261" s="286"/>
      <c r="AD261" s="286"/>
      <c r="AE261" s="286"/>
      <c r="AF261" s="286"/>
      <c r="AG261" s="283">
        <v>6</v>
      </c>
      <c r="AH261" s="287" t="s">
        <v>19</v>
      </c>
      <c r="AI261" s="272"/>
      <c r="AJ261" s="288" t="s">
        <v>2032</v>
      </c>
      <c r="AK261" s="288" t="s">
        <v>2032</v>
      </c>
      <c r="AL261" s="288" t="s">
        <v>2032</v>
      </c>
      <c r="AM261" s="288" t="s">
        <v>2032</v>
      </c>
      <c r="AN261" s="288" t="s">
        <v>2032</v>
      </c>
      <c r="AO261" s="288" t="s">
        <v>2032</v>
      </c>
      <c r="AP261" s="288" t="s">
        <v>2032</v>
      </c>
      <c r="AQ261" s="288" t="s">
        <v>2032</v>
      </c>
      <c r="AR261" s="288" t="s">
        <v>2032</v>
      </c>
      <c r="AS261" s="288" t="s">
        <v>2032</v>
      </c>
      <c r="AT261" s="288" t="s">
        <v>2032</v>
      </c>
      <c r="AU261" s="288" t="s">
        <v>2032</v>
      </c>
      <c r="AV261" s="288" t="s">
        <v>2032</v>
      </c>
      <c r="AW261" s="288" t="s">
        <v>2032</v>
      </c>
      <c r="AX261" s="288" t="s">
        <v>2032</v>
      </c>
      <c r="AY261" s="288" t="s">
        <v>2032</v>
      </c>
      <c r="AZ261" s="288" t="s">
        <v>2032</v>
      </c>
      <c r="BA261" s="288" t="s">
        <v>2032</v>
      </c>
      <c r="BB261" s="288" t="s">
        <v>2032</v>
      </c>
      <c r="BC261" s="288" t="s">
        <v>2032</v>
      </c>
      <c r="BD261" s="289">
        <f t="shared" si="1"/>
        <v>0</v>
      </c>
      <c r="BE261" s="287" t="s">
        <v>1489</v>
      </c>
      <c r="BF261" s="272"/>
    </row>
    <row r="262" spans="1:58" ht="14.25" customHeight="1" x14ac:dyDescent="0.35">
      <c r="A262" s="68">
        <v>260</v>
      </c>
      <c r="B262" s="24" t="s">
        <v>1855</v>
      </c>
      <c r="C262" s="24">
        <v>2024</v>
      </c>
      <c r="D262" s="24" t="s">
        <v>1745</v>
      </c>
      <c r="E262" s="269" t="str">
        <f ca="1">IFERROR(__xludf.DUMMYFUNCTION("ARRAYFORMULA(JOIN("""", ARRAYFORMULA(MID(SPLIT(F262, "" ""), 1, 1))))
&amp;""/""&amp;G262"),"CLC/2 Primaria")</f>
        <v>CLC/2 Primaria</v>
      </c>
      <c r="F262" s="24" t="s">
        <v>1747</v>
      </c>
      <c r="G262" s="248" t="s">
        <v>45</v>
      </c>
      <c r="H262" s="248" t="s">
        <v>1880</v>
      </c>
      <c r="I262" s="248" t="s">
        <v>1612</v>
      </c>
      <c r="J262" s="248" t="s">
        <v>1881</v>
      </c>
      <c r="K262" s="248" t="s">
        <v>1586</v>
      </c>
      <c r="L262" s="272"/>
      <c r="M262" s="286" t="s">
        <v>1589</v>
      </c>
      <c r="N262" s="286" t="s">
        <v>1588</v>
      </c>
      <c r="O262" s="286" t="s">
        <v>1587</v>
      </c>
      <c r="P262" s="286" t="s">
        <v>1589</v>
      </c>
      <c r="Q262" s="286" t="s">
        <v>1587</v>
      </c>
      <c r="R262" s="286" t="s">
        <v>1589</v>
      </c>
      <c r="S262" s="286" t="s">
        <v>1587</v>
      </c>
      <c r="T262" s="286" t="s">
        <v>1589</v>
      </c>
      <c r="U262" s="286" t="s">
        <v>1588</v>
      </c>
      <c r="V262" s="286" t="s">
        <v>1587</v>
      </c>
      <c r="W262" s="286" t="s">
        <v>1589</v>
      </c>
      <c r="X262" s="286" t="s">
        <v>1587</v>
      </c>
      <c r="Y262" s="286" t="s">
        <v>1588</v>
      </c>
      <c r="Z262" s="286" t="s">
        <v>1587</v>
      </c>
      <c r="AA262" s="286" t="s">
        <v>1588</v>
      </c>
      <c r="AB262" s="286" t="s">
        <v>1587</v>
      </c>
      <c r="AC262" s="286"/>
      <c r="AD262" s="286" t="s">
        <v>1588</v>
      </c>
      <c r="AE262" s="286" t="s">
        <v>1587</v>
      </c>
      <c r="AF262" s="286" t="s">
        <v>1587</v>
      </c>
      <c r="AG262" s="283">
        <v>19</v>
      </c>
      <c r="AH262" s="287" t="s">
        <v>25</v>
      </c>
      <c r="AI262" s="272"/>
      <c r="AJ262" s="288" t="s">
        <v>2032</v>
      </c>
      <c r="AK262" s="288" t="s">
        <v>2032</v>
      </c>
      <c r="AL262" s="288" t="s">
        <v>2032</v>
      </c>
      <c r="AM262" s="288" t="s">
        <v>2032</v>
      </c>
      <c r="AN262" s="288" t="s">
        <v>2032</v>
      </c>
      <c r="AO262" s="288" t="s">
        <v>2032</v>
      </c>
      <c r="AP262" s="288" t="s">
        <v>2032</v>
      </c>
      <c r="AQ262" s="288" t="s">
        <v>2032</v>
      </c>
      <c r="AR262" s="288" t="s">
        <v>2032</v>
      </c>
      <c r="AS262" s="288" t="s">
        <v>2032</v>
      </c>
      <c r="AT262" s="288" t="s">
        <v>2032</v>
      </c>
      <c r="AU262" s="288" t="s">
        <v>2032</v>
      </c>
      <c r="AV262" s="288" t="s">
        <v>2032</v>
      </c>
      <c r="AW262" s="288" t="s">
        <v>2032</v>
      </c>
      <c r="AX262" s="288" t="s">
        <v>2032</v>
      </c>
      <c r="AY262" s="288" t="s">
        <v>2032</v>
      </c>
      <c r="AZ262" s="288" t="s">
        <v>2032</v>
      </c>
      <c r="BA262" s="288" t="s">
        <v>2032</v>
      </c>
      <c r="BB262" s="288" t="s">
        <v>2032</v>
      </c>
      <c r="BC262" s="288" t="s">
        <v>2032</v>
      </c>
      <c r="BD262" s="289">
        <f t="shared" si="1"/>
        <v>0</v>
      </c>
      <c r="BE262" s="287"/>
      <c r="BF262" s="272"/>
    </row>
    <row r="263" spans="1:58" ht="14.25" customHeight="1" x14ac:dyDescent="0.35">
      <c r="A263" s="68">
        <v>261</v>
      </c>
      <c r="B263" s="24" t="s">
        <v>1855</v>
      </c>
      <c r="C263" s="24">
        <v>2024</v>
      </c>
      <c r="D263" s="24" t="s">
        <v>1541</v>
      </c>
      <c r="E263" s="269" t="str">
        <f ca="1">IFERROR(__xludf.DUMMYFUNCTION("ARRAYFORMULA(JOIN("""", ARRAYFORMULA(MID(SPLIT(F263, "" ""), 1, 1))))
&amp;""/""&amp;G263"),"MC/2 Primaria")</f>
        <v>MC/2 Primaria</v>
      </c>
      <c r="F263" s="24" t="s">
        <v>1582</v>
      </c>
      <c r="G263" s="248" t="s">
        <v>45</v>
      </c>
      <c r="H263" s="248" t="s">
        <v>1882</v>
      </c>
      <c r="I263" s="248" t="s">
        <v>1883</v>
      </c>
      <c r="J263" s="248" t="s">
        <v>1884</v>
      </c>
      <c r="K263" s="248" t="s">
        <v>1593</v>
      </c>
      <c r="L263" s="272"/>
      <c r="M263" s="286" t="s">
        <v>1587</v>
      </c>
      <c r="N263" s="286" t="s">
        <v>1589</v>
      </c>
      <c r="O263" s="286" t="s">
        <v>1587</v>
      </c>
      <c r="P263" s="286" t="s">
        <v>1587</v>
      </c>
      <c r="Q263" s="286" t="s">
        <v>1587</v>
      </c>
      <c r="R263" s="286" t="s">
        <v>1588</v>
      </c>
      <c r="S263" s="286" t="s">
        <v>1589</v>
      </c>
      <c r="T263" s="286" t="s">
        <v>1589</v>
      </c>
      <c r="U263" s="286" t="s">
        <v>1589</v>
      </c>
      <c r="V263" s="286" t="s">
        <v>1588</v>
      </c>
      <c r="W263" s="286" t="s">
        <v>1587</v>
      </c>
      <c r="X263" s="286" t="s">
        <v>1589</v>
      </c>
      <c r="Y263" s="286" t="s">
        <v>1589</v>
      </c>
      <c r="Z263" s="286" t="s">
        <v>1589</v>
      </c>
      <c r="AA263" s="286" t="s">
        <v>1587</v>
      </c>
      <c r="AB263" s="286" t="s">
        <v>1588</v>
      </c>
      <c r="AC263" s="286" t="s">
        <v>1587</v>
      </c>
      <c r="AD263" s="286" t="s">
        <v>1588</v>
      </c>
      <c r="AE263" s="286" t="s">
        <v>1587</v>
      </c>
      <c r="AF263" s="286" t="s">
        <v>1589</v>
      </c>
      <c r="AG263" s="283">
        <v>12</v>
      </c>
      <c r="AH263" s="287" t="s">
        <v>23</v>
      </c>
      <c r="AI263" s="272"/>
      <c r="AJ263" s="288" t="s">
        <v>2032</v>
      </c>
      <c r="AK263" s="288" t="s">
        <v>2032</v>
      </c>
      <c r="AL263" s="288" t="s">
        <v>2032</v>
      </c>
      <c r="AM263" s="288" t="s">
        <v>2032</v>
      </c>
      <c r="AN263" s="288" t="s">
        <v>2032</v>
      </c>
      <c r="AO263" s="288" t="s">
        <v>2032</v>
      </c>
      <c r="AP263" s="288" t="s">
        <v>2032</v>
      </c>
      <c r="AQ263" s="288" t="s">
        <v>2032</v>
      </c>
      <c r="AR263" s="288" t="s">
        <v>2032</v>
      </c>
      <c r="AS263" s="288" t="s">
        <v>2032</v>
      </c>
      <c r="AT263" s="288" t="s">
        <v>2032</v>
      </c>
      <c r="AU263" s="288" t="s">
        <v>2032</v>
      </c>
      <c r="AV263" s="288" t="s">
        <v>2032</v>
      </c>
      <c r="AW263" s="288" t="s">
        <v>2032</v>
      </c>
      <c r="AX263" s="288" t="s">
        <v>2032</v>
      </c>
      <c r="AY263" s="288" t="s">
        <v>2032</v>
      </c>
      <c r="AZ263" s="288" t="s">
        <v>2032</v>
      </c>
      <c r="BA263" s="288" t="s">
        <v>2032</v>
      </c>
      <c r="BB263" s="288" t="s">
        <v>2032</v>
      </c>
      <c r="BC263" s="288" t="s">
        <v>2032</v>
      </c>
      <c r="BD263" s="289">
        <f t="shared" si="1"/>
        <v>0</v>
      </c>
      <c r="BE263" s="287" t="s">
        <v>1489</v>
      </c>
      <c r="BF263" s="272"/>
    </row>
    <row r="264" spans="1:58" ht="14.25" customHeight="1" x14ac:dyDescent="0.35">
      <c r="A264" s="68">
        <v>262</v>
      </c>
      <c r="B264" s="24" t="s">
        <v>1855</v>
      </c>
      <c r="C264" s="24">
        <v>2024</v>
      </c>
      <c r="D264" s="24" t="s">
        <v>1745</v>
      </c>
      <c r="E264" s="269" t="str">
        <f ca="1">IFERROR(__xludf.DUMMYFUNCTION("ARRAYFORMULA(JOIN("""", ARRAYFORMULA(MID(SPLIT(F264, "" ""), 1, 1))))
&amp;""/""&amp;G264"),"CLC/2 Primaria")</f>
        <v>CLC/2 Primaria</v>
      </c>
      <c r="F264" s="24" t="s">
        <v>1747</v>
      </c>
      <c r="G264" s="248" t="s">
        <v>45</v>
      </c>
      <c r="H264" s="248" t="s">
        <v>1882</v>
      </c>
      <c r="I264" s="248" t="s">
        <v>1883</v>
      </c>
      <c r="J264" s="248" t="s">
        <v>1884</v>
      </c>
      <c r="K264" s="248" t="s">
        <v>1593</v>
      </c>
      <c r="L264" s="272"/>
      <c r="M264" s="286" t="s">
        <v>1589</v>
      </c>
      <c r="N264" s="286" t="s">
        <v>1588</v>
      </c>
      <c r="O264" s="286" t="s">
        <v>1587</v>
      </c>
      <c r="P264" s="286" t="s">
        <v>1589</v>
      </c>
      <c r="Q264" s="286" t="s">
        <v>1587</v>
      </c>
      <c r="R264" s="286" t="s">
        <v>1589</v>
      </c>
      <c r="S264" s="286" t="s">
        <v>1587</v>
      </c>
      <c r="T264" s="286" t="s">
        <v>1589</v>
      </c>
      <c r="U264" s="286" t="s">
        <v>1588</v>
      </c>
      <c r="V264" s="286" t="s">
        <v>1587</v>
      </c>
      <c r="W264" s="286" t="s">
        <v>1589</v>
      </c>
      <c r="X264" s="286" t="s">
        <v>1587</v>
      </c>
      <c r="Y264" s="286" t="s">
        <v>1589</v>
      </c>
      <c r="Z264" s="286" t="s">
        <v>1587</v>
      </c>
      <c r="AA264" s="286" t="s">
        <v>1589</v>
      </c>
      <c r="AB264" s="286" t="s">
        <v>1587</v>
      </c>
      <c r="AC264" s="286"/>
      <c r="AD264" s="286" t="s">
        <v>1588</v>
      </c>
      <c r="AE264" s="286" t="s">
        <v>1587</v>
      </c>
      <c r="AF264" s="286" t="s">
        <v>1587</v>
      </c>
      <c r="AG264" s="283">
        <v>17</v>
      </c>
      <c r="AH264" s="287" t="s">
        <v>25</v>
      </c>
      <c r="AI264" s="272"/>
      <c r="AJ264" s="288" t="s">
        <v>2032</v>
      </c>
      <c r="AK264" s="288" t="s">
        <v>2032</v>
      </c>
      <c r="AL264" s="288" t="s">
        <v>2032</v>
      </c>
      <c r="AM264" s="288" t="s">
        <v>2032</v>
      </c>
      <c r="AN264" s="288" t="s">
        <v>2032</v>
      </c>
      <c r="AO264" s="288" t="s">
        <v>2032</v>
      </c>
      <c r="AP264" s="288" t="s">
        <v>2032</v>
      </c>
      <c r="AQ264" s="288" t="s">
        <v>2032</v>
      </c>
      <c r="AR264" s="288" t="s">
        <v>2032</v>
      </c>
      <c r="AS264" s="288" t="s">
        <v>2032</v>
      </c>
      <c r="AT264" s="288" t="s">
        <v>2032</v>
      </c>
      <c r="AU264" s="288" t="s">
        <v>2032</v>
      </c>
      <c r="AV264" s="288" t="s">
        <v>2032</v>
      </c>
      <c r="AW264" s="288" t="s">
        <v>2032</v>
      </c>
      <c r="AX264" s="288" t="s">
        <v>2032</v>
      </c>
      <c r="AY264" s="288" t="s">
        <v>2032</v>
      </c>
      <c r="AZ264" s="288" t="s">
        <v>2032</v>
      </c>
      <c r="BA264" s="288" t="s">
        <v>2032</v>
      </c>
      <c r="BB264" s="288" t="s">
        <v>2032</v>
      </c>
      <c r="BC264" s="288" t="s">
        <v>2032</v>
      </c>
      <c r="BD264" s="289">
        <f t="shared" si="1"/>
        <v>0</v>
      </c>
      <c r="BE264" s="287"/>
      <c r="BF264" s="272"/>
    </row>
    <row r="265" spans="1:58" ht="14.25" customHeight="1" x14ac:dyDescent="0.35">
      <c r="A265" s="68">
        <v>263</v>
      </c>
      <c r="B265" s="24" t="s">
        <v>1855</v>
      </c>
      <c r="C265" s="24">
        <v>2024</v>
      </c>
      <c r="D265" s="24" t="s">
        <v>1541</v>
      </c>
      <c r="E265" s="269" t="str">
        <f ca="1">IFERROR(__xludf.DUMMYFUNCTION("ARRAYFORMULA(JOIN("""", ARRAYFORMULA(MID(SPLIT(F265, "" ""), 1, 1))))
&amp;""/""&amp;G265"),"MC/2 Primaria")</f>
        <v>MC/2 Primaria</v>
      </c>
      <c r="F265" s="24" t="s">
        <v>1582</v>
      </c>
      <c r="G265" s="248" t="s">
        <v>45</v>
      </c>
      <c r="H265" s="248" t="s">
        <v>1885</v>
      </c>
      <c r="I265" s="248" t="s">
        <v>1595</v>
      </c>
      <c r="J265" s="248" t="s">
        <v>1886</v>
      </c>
      <c r="K265" s="248" t="s">
        <v>1586</v>
      </c>
      <c r="L265" s="272"/>
      <c r="M265" s="286" t="s">
        <v>1587</v>
      </c>
      <c r="N265" s="286" t="s">
        <v>1589</v>
      </c>
      <c r="O265" s="286" t="s">
        <v>1587</v>
      </c>
      <c r="P265" s="286" t="s">
        <v>1587</v>
      </c>
      <c r="Q265" s="286" t="s">
        <v>1587</v>
      </c>
      <c r="R265" s="286" t="s">
        <v>1588</v>
      </c>
      <c r="S265" s="286" t="s">
        <v>1589</v>
      </c>
      <c r="T265" s="286" t="s">
        <v>1589</v>
      </c>
      <c r="U265" s="286" t="s">
        <v>1587</v>
      </c>
      <c r="V265" s="286" t="s">
        <v>1588</v>
      </c>
      <c r="W265" s="286" t="s">
        <v>1589</v>
      </c>
      <c r="X265" s="286" t="s">
        <v>1588</v>
      </c>
      <c r="Y265" s="286" t="s">
        <v>1588</v>
      </c>
      <c r="Z265" s="286" t="s">
        <v>1589</v>
      </c>
      <c r="AA265" s="286" t="s">
        <v>1587</v>
      </c>
      <c r="AB265" s="286" t="s">
        <v>1589</v>
      </c>
      <c r="AC265" s="286" t="s">
        <v>1587</v>
      </c>
      <c r="AD265" s="286" t="s">
        <v>1588</v>
      </c>
      <c r="AE265" s="286" t="s">
        <v>1589</v>
      </c>
      <c r="AF265" s="286" t="s">
        <v>1587</v>
      </c>
      <c r="AG265" s="283">
        <v>17</v>
      </c>
      <c r="AH265" s="287" t="s">
        <v>25</v>
      </c>
      <c r="AI265" s="272"/>
      <c r="AJ265" s="288" t="s">
        <v>2032</v>
      </c>
      <c r="AK265" s="288" t="s">
        <v>2032</v>
      </c>
      <c r="AL265" s="288" t="s">
        <v>2032</v>
      </c>
      <c r="AM265" s="288" t="s">
        <v>2032</v>
      </c>
      <c r="AN265" s="288" t="s">
        <v>2032</v>
      </c>
      <c r="AO265" s="288" t="s">
        <v>2032</v>
      </c>
      <c r="AP265" s="288" t="s">
        <v>2032</v>
      </c>
      <c r="AQ265" s="288" t="s">
        <v>2032</v>
      </c>
      <c r="AR265" s="288" t="s">
        <v>2032</v>
      </c>
      <c r="AS265" s="288" t="s">
        <v>2032</v>
      </c>
      <c r="AT265" s="288" t="s">
        <v>2032</v>
      </c>
      <c r="AU265" s="288" t="s">
        <v>2032</v>
      </c>
      <c r="AV265" s="288" t="s">
        <v>2032</v>
      </c>
      <c r="AW265" s="288" t="s">
        <v>2032</v>
      </c>
      <c r="AX265" s="288" t="s">
        <v>2032</v>
      </c>
      <c r="AY265" s="288" t="s">
        <v>2032</v>
      </c>
      <c r="AZ265" s="288" t="s">
        <v>2032</v>
      </c>
      <c r="BA265" s="288" t="s">
        <v>2032</v>
      </c>
      <c r="BB265" s="288" t="s">
        <v>2032</v>
      </c>
      <c r="BC265" s="288" t="s">
        <v>2032</v>
      </c>
      <c r="BD265" s="289">
        <f t="shared" si="1"/>
        <v>0</v>
      </c>
      <c r="BE265" s="287" t="s">
        <v>1489</v>
      </c>
      <c r="BF265" s="272"/>
    </row>
    <row r="266" spans="1:58" ht="14.25" customHeight="1" x14ac:dyDescent="0.35">
      <c r="A266" s="68">
        <v>264</v>
      </c>
      <c r="B266" s="24" t="s">
        <v>1855</v>
      </c>
      <c r="C266" s="24">
        <v>2024</v>
      </c>
      <c r="D266" s="24" t="s">
        <v>1745</v>
      </c>
      <c r="E266" s="269" t="str">
        <f ca="1">IFERROR(__xludf.DUMMYFUNCTION("ARRAYFORMULA(JOIN("""", ARRAYFORMULA(MID(SPLIT(F266, "" ""), 1, 1))))
&amp;""/""&amp;G266"),"CLC/2 Primaria")</f>
        <v>CLC/2 Primaria</v>
      </c>
      <c r="F266" s="24" t="s">
        <v>1747</v>
      </c>
      <c r="G266" s="248" t="s">
        <v>45</v>
      </c>
      <c r="H266" s="248" t="s">
        <v>1885</v>
      </c>
      <c r="I266" s="248" t="s">
        <v>1595</v>
      </c>
      <c r="J266" s="248" t="s">
        <v>1886</v>
      </c>
      <c r="K266" s="248" t="s">
        <v>1586</v>
      </c>
      <c r="L266" s="272"/>
      <c r="M266" s="286" t="s">
        <v>1589</v>
      </c>
      <c r="N266" s="286" t="s">
        <v>1588</v>
      </c>
      <c r="O266" s="286" t="s">
        <v>1587</v>
      </c>
      <c r="P266" s="286" t="s">
        <v>1589</v>
      </c>
      <c r="Q266" s="286" t="s">
        <v>1587</v>
      </c>
      <c r="R266" s="286" t="s">
        <v>1589</v>
      </c>
      <c r="S266" s="286" t="s">
        <v>1587</v>
      </c>
      <c r="T266" s="286" t="s">
        <v>1587</v>
      </c>
      <c r="U266" s="286" t="s">
        <v>1589</v>
      </c>
      <c r="V266" s="286" t="s">
        <v>1587</v>
      </c>
      <c r="W266" s="286" t="s">
        <v>1589</v>
      </c>
      <c r="X266" s="286" t="s">
        <v>1587</v>
      </c>
      <c r="Y266" s="286" t="s">
        <v>1588</v>
      </c>
      <c r="Z266" s="286" t="s">
        <v>1587</v>
      </c>
      <c r="AA266" s="286" t="s">
        <v>1587</v>
      </c>
      <c r="AB266" s="286" t="s">
        <v>1587</v>
      </c>
      <c r="AC266" s="286" t="s">
        <v>1589</v>
      </c>
      <c r="AD266" s="286" t="s">
        <v>1588</v>
      </c>
      <c r="AE266" s="286" t="s">
        <v>1588</v>
      </c>
      <c r="AF266" s="286" t="s">
        <v>1587</v>
      </c>
      <c r="AG266" s="283">
        <v>16</v>
      </c>
      <c r="AH266" s="287" t="s">
        <v>23</v>
      </c>
      <c r="AI266" s="272"/>
      <c r="AJ266" s="288" t="s">
        <v>2032</v>
      </c>
      <c r="AK266" s="288" t="s">
        <v>2032</v>
      </c>
      <c r="AL266" s="288" t="s">
        <v>2032</v>
      </c>
      <c r="AM266" s="288" t="s">
        <v>2032</v>
      </c>
      <c r="AN266" s="288" t="s">
        <v>2032</v>
      </c>
      <c r="AO266" s="288" t="s">
        <v>2032</v>
      </c>
      <c r="AP266" s="288" t="s">
        <v>2032</v>
      </c>
      <c r="AQ266" s="288" t="s">
        <v>2032</v>
      </c>
      <c r="AR266" s="288" t="s">
        <v>2032</v>
      </c>
      <c r="AS266" s="288" t="s">
        <v>2032</v>
      </c>
      <c r="AT266" s="288" t="s">
        <v>2032</v>
      </c>
      <c r="AU266" s="288" t="s">
        <v>2032</v>
      </c>
      <c r="AV266" s="288" t="s">
        <v>2032</v>
      </c>
      <c r="AW266" s="288" t="s">
        <v>2032</v>
      </c>
      <c r="AX266" s="288" t="s">
        <v>2032</v>
      </c>
      <c r="AY266" s="288" t="s">
        <v>2032</v>
      </c>
      <c r="AZ266" s="288" t="s">
        <v>2032</v>
      </c>
      <c r="BA266" s="288" t="s">
        <v>2032</v>
      </c>
      <c r="BB266" s="288" t="s">
        <v>2032</v>
      </c>
      <c r="BC266" s="288" t="s">
        <v>2032</v>
      </c>
      <c r="BD266" s="289">
        <f t="shared" si="1"/>
        <v>0</v>
      </c>
      <c r="BE266" s="287"/>
      <c r="BF266" s="272"/>
    </row>
    <row r="267" spans="1:58" ht="14.25" customHeight="1" x14ac:dyDescent="0.35">
      <c r="A267" s="68">
        <v>265</v>
      </c>
      <c r="B267" s="24" t="s">
        <v>1855</v>
      </c>
      <c r="C267" s="24">
        <v>2024</v>
      </c>
      <c r="D267" s="24" t="s">
        <v>1541</v>
      </c>
      <c r="E267" s="269" t="str">
        <f ca="1">IFERROR(__xludf.DUMMYFUNCTION("ARRAYFORMULA(JOIN("""", ARRAYFORMULA(MID(SPLIT(F267, "" ""), 1, 1))))
&amp;""/""&amp;G267"),"MC/4 Primaria")</f>
        <v>MC/4 Primaria</v>
      </c>
      <c r="F267" s="24" t="s">
        <v>1582</v>
      </c>
      <c r="G267" s="248" t="s">
        <v>16</v>
      </c>
      <c r="H267" s="248" t="s">
        <v>1811</v>
      </c>
      <c r="I267" s="248" t="s">
        <v>1863</v>
      </c>
      <c r="J267" s="248" t="s">
        <v>1887</v>
      </c>
      <c r="K267" s="248" t="s">
        <v>1586</v>
      </c>
      <c r="L267" s="272"/>
      <c r="M267" s="286" t="s">
        <v>1617</v>
      </c>
      <c r="N267" s="286" t="s">
        <v>1589</v>
      </c>
      <c r="O267" s="286" t="s">
        <v>1617</v>
      </c>
      <c r="P267" s="286" t="s">
        <v>1587</v>
      </c>
      <c r="Q267" s="286" t="s">
        <v>1589</v>
      </c>
      <c r="R267" s="286" t="s">
        <v>1617</v>
      </c>
      <c r="S267" s="286" t="s">
        <v>1588</v>
      </c>
      <c r="T267" s="286" t="s">
        <v>1589</v>
      </c>
      <c r="U267" s="286" t="s">
        <v>1587</v>
      </c>
      <c r="V267" s="286" t="s">
        <v>1587</v>
      </c>
      <c r="W267" s="286" t="s">
        <v>1589</v>
      </c>
      <c r="X267" s="286" t="s">
        <v>1588</v>
      </c>
      <c r="Y267" s="286" t="s">
        <v>1589</v>
      </c>
      <c r="Z267" s="286" t="s">
        <v>1588</v>
      </c>
      <c r="AA267" s="286" t="s">
        <v>1587</v>
      </c>
      <c r="AB267" s="286" t="s">
        <v>1588</v>
      </c>
      <c r="AC267" s="286" t="s">
        <v>1589</v>
      </c>
      <c r="AD267" s="286" t="s">
        <v>1587</v>
      </c>
      <c r="AE267" s="286" t="s">
        <v>1588</v>
      </c>
      <c r="AF267" s="286" t="s">
        <v>1587</v>
      </c>
      <c r="AG267" s="283">
        <v>6</v>
      </c>
      <c r="AH267" s="287" t="s">
        <v>19</v>
      </c>
      <c r="AI267" s="272"/>
      <c r="AJ267" s="288" t="s">
        <v>2032</v>
      </c>
      <c r="AK267" s="288" t="s">
        <v>2032</v>
      </c>
      <c r="AL267" s="288" t="s">
        <v>2032</v>
      </c>
      <c r="AM267" s="288" t="s">
        <v>2032</v>
      </c>
      <c r="AN267" s="288" t="s">
        <v>2032</v>
      </c>
      <c r="AO267" s="288" t="s">
        <v>2032</v>
      </c>
      <c r="AP267" s="288" t="s">
        <v>2032</v>
      </c>
      <c r="AQ267" s="288" t="s">
        <v>2032</v>
      </c>
      <c r="AR267" s="288" t="s">
        <v>2032</v>
      </c>
      <c r="AS267" s="288" t="s">
        <v>2032</v>
      </c>
      <c r="AT267" s="288" t="s">
        <v>2032</v>
      </c>
      <c r="AU267" s="288" t="s">
        <v>2032</v>
      </c>
      <c r="AV267" s="288" t="s">
        <v>2032</v>
      </c>
      <c r="AW267" s="288" t="s">
        <v>2032</v>
      </c>
      <c r="AX267" s="288" t="s">
        <v>2032</v>
      </c>
      <c r="AY267" s="288" t="s">
        <v>2032</v>
      </c>
      <c r="AZ267" s="288" t="s">
        <v>2032</v>
      </c>
      <c r="BA267" s="288" t="s">
        <v>2032</v>
      </c>
      <c r="BB267" s="288" t="s">
        <v>2032</v>
      </c>
      <c r="BC267" s="288" t="s">
        <v>2032</v>
      </c>
      <c r="BD267" s="289">
        <f t="shared" si="1"/>
        <v>0</v>
      </c>
      <c r="BE267" s="287" t="s">
        <v>1489</v>
      </c>
      <c r="BF267" s="272"/>
    </row>
    <row r="268" spans="1:58" ht="14.25" customHeight="1" x14ac:dyDescent="0.35">
      <c r="A268" s="68">
        <v>266</v>
      </c>
      <c r="B268" s="24" t="s">
        <v>1855</v>
      </c>
      <c r="C268" s="24">
        <v>2024</v>
      </c>
      <c r="D268" s="24" t="s">
        <v>1745</v>
      </c>
      <c r="E268" s="269" t="str">
        <f ca="1">IFERROR(__xludf.DUMMYFUNCTION("ARRAYFORMULA(JOIN("""", ARRAYFORMULA(MID(SPLIT(F268, "" ""), 1, 1))))
&amp;""/""&amp;G268"),"CLC/4 Primaria")</f>
        <v>CLC/4 Primaria</v>
      </c>
      <c r="F268" s="24" t="s">
        <v>1747</v>
      </c>
      <c r="G268" s="248" t="s">
        <v>16</v>
      </c>
      <c r="H268" s="248" t="s">
        <v>1811</v>
      </c>
      <c r="I268" s="248" t="s">
        <v>1863</v>
      </c>
      <c r="J268" s="248" t="s">
        <v>1887</v>
      </c>
      <c r="K268" s="248" t="s">
        <v>1586</v>
      </c>
      <c r="L268" s="272"/>
      <c r="M268" s="286" t="s">
        <v>1587</v>
      </c>
      <c r="N268" s="286" t="s">
        <v>1617</v>
      </c>
      <c r="O268" s="286" t="s">
        <v>1617</v>
      </c>
      <c r="P268" s="286" t="s">
        <v>1588</v>
      </c>
      <c r="Q268" s="286" t="s">
        <v>1617</v>
      </c>
      <c r="R268" s="286" t="s">
        <v>1588</v>
      </c>
      <c r="S268" s="286" t="s">
        <v>1587</v>
      </c>
      <c r="T268" s="286" t="s">
        <v>1617</v>
      </c>
      <c r="U268" s="286" t="s">
        <v>1587</v>
      </c>
      <c r="V268" s="286" t="s">
        <v>1589</v>
      </c>
      <c r="W268" s="286" t="s">
        <v>1587</v>
      </c>
      <c r="X268" s="286" t="s">
        <v>1588</v>
      </c>
      <c r="Y268" s="286" t="s">
        <v>1587</v>
      </c>
      <c r="Z268" s="286" t="s">
        <v>1589</v>
      </c>
      <c r="AA268" s="286" t="s">
        <v>1588</v>
      </c>
      <c r="AB268" s="286" t="s">
        <v>1587</v>
      </c>
      <c r="AC268" s="286" t="s">
        <v>1588</v>
      </c>
      <c r="AD268" s="286" t="s">
        <v>1587</v>
      </c>
      <c r="AE268" s="286" t="s">
        <v>1587</v>
      </c>
      <c r="AF268" s="286" t="s">
        <v>1587</v>
      </c>
      <c r="AG268" s="283">
        <v>7</v>
      </c>
      <c r="AH268" s="287" t="s">
        <v>19</v>
      </c>
      <c r="AI268" s="272"/>
      <c r="AJ268" s="288" t="s">
        <v>2032</v>
      </c>
      <c r="AK268" s="288" t="s">
        <v>2032</v>
      </c>
      <c r="AL268" s="288" t="s">
        <v>2032</v>
      </c>
      <c r="AM268" s="288" t="s">
        <v>2032</v>
      </c>
      <c r="AN268" s="288" t="s">
        <v>2032</v>
      </c>
      <c r="AO268" s="288" t="s">
        <v>2032</v>
      </c>
      <c r="AP268" s="288" t="s">
        <v>2032</v>
      </c>
      <c r="AQ268" s="288" t="s">
        <v>2032</v>
      </c>
      <c r="AR268" s="288" t="s">
        <v>2032</v>
      </c>
      <c r="AS268" s="288" t="s">
        <v>2032</v>
      </c>
      <c r="AT268" s="288" t="s">
        <v>2032</v>
      </c>
      <c r="AU268" s="288" t="s">
        <v>2032</v>
      </c>
      <c r="AV268" s="288" t="s">
        <v>2032</v>
      </c>
      <c r="AW268" s="288" t="s">
        <v>2032</v>
      </c>
      <c r="AX268" s="288" t="s">
        <v>2032</v>
      </c>
      <c r="AY268" s="288" t="s">
        <v>2032</v>
      </c>
      <c r="AZ268" s="288" t="s">
        <v>2032</v>
      </c>
      <c r="BA268" s="288" t="s">
        <v>2032</v>
      </c>
      <c r="BB268" s="288" t="s">
        <v>2032</v>
      </c>
      <c r="BC268" s="288" t="s">
        <v>2032</v>
      </c>
      <c r="BD268" s="289">
        <f t="shared" si="1"/>
        <v>0</v>
      </c>
      <c r="BE268" s="287"/>
      <c r="BF268" s="272"/>
    </row>
    <row r="269" spans="1:58" ht="14.25" customHeight="1" x14ac:dyDescent="0.35">
      <c r="A269" s="68">
        <v>267</v>
      </c>
      <c r="B269" s="24" t="s">
        <v>1855</v>
      </c>
      <c r="C269" s="24">
        <v>2024</v>
      </c>
      <c r="D269" s="24" t="s">
        <v>1541</v>
      </c>
      <c r="E269" s="269" t="str">
        <f ca="1">IFERROR(__xludf.DUMMYFUNCTION("ARRAYFORMULA(JOIN("""", ARRAYFORMULA(MID(SPLIT(F269, "" ""), 1, 1))))
&amp;""/""&amp;G269"),"MC/4 Primaria")</f>
        <v>MC/4 Primaria</v>
      </c>
      <c r="F269" s="24" t="s">
        <v>1582</v>
      </c>
      <c r="G269" s="248" t="s">
        <v>16</v>
      </c>
      <c r="H269" s="248" t="s">
        <v>1672</v>
      </c>
      <c r="I269" s="248" t="s">
        <v>1699</v>
      </c>
      <c r="J269" s="248" t="s">
        <v>1888</v>
      </c>
      <c r="K269" s="248" t="s">
        <v>1593</v>
      </c>
      <c r="L269" s="272"/>
      <c r="M269" s="286" t="s">
        <v>1589</v>
      </c>
      <c r="N269" s="286" t="s">
        <v>1589</v>
      </c>
      <c r="O269" s="286" t="s">
        <v>1588</v>
      </c>
      <c r="P269" s="286" t="s">
        <v>1587</v>
      </c>
      <c r="Q269" s="286" t="s">
        <v>1589</v>
      </c>
      <c r="R269" s="286" t="s">
        <v>1617</v>
      </c>
      <c r="S269" s="286" t="s">
        <v>1587</v>
      </c>
      <c r="T269" s="286" t="s">
        <v>1589</v>
      </c>
      <c r="U269" s="286" t="s">
        <v>1587</v>
      </c>
      <c r="V269" s="286" t="s">
        <v>1589</v>
      </c>
      <c r="W269" s="286" t="s">
        <v>1589</v>
      </c>
      <c r="X269" s="286" t="s">
        <v>1617</v>
      </c>
      <c r="Y269" s="286" t="s">
        <v>1588</v>
      </c>
      <c r="Z269" s="286" t="s">
        <v>1588</v>
      </c>
      <c r="AA269" s="286" t="s">
        <v>1589</v>
      </c>
      <c r="AB269" s="286" t="s">
        <v>1588</v>
      </c>
      <c r="AC269" s="286" t="s">
        <v>1587</v>
      </c>
      <c r="AD269" s="286" t="s">
        <v>1589</v>
      </c>
      <c r="AE269" s="286" t="s">
        <v>1617</v>
      </c>
      <c r="AF269" s="286" t="s">
        <v>1589</v>
      </c>
      <c r="AG269" s="283">
        <v>6</v>
      </c>
      <c r="AH269" s="287" t="s">
        <v>19</v>
      </c>
      <c r="AI269" s="272"/>
      <c r="AJ269" s="288" t="s">
        <v>2032</v>
      </c>
      <c r="AK269" s="288" t="s">
        <v>2032</v>
      </c>
      <c r="AL269" s="288" t="s">
        <v>2032</v>
      </c>
      <c r="AM269" s="288" t="s">
        <v>2032</v>
      </c>
      <c r="AN269" s="288" t="s">
        <v>2032</v>
      </c>
      <c r="AO269" s="288" t="s">
        <v>2032</v>
      </c>
      <c r="AP269" s="288" t="s">
        <v>2032</v>
      </c>
      <c r="AQ269" s="288" t="s">
        <v>2032</v>
      </c>
      <c r="AR269" s="288" t="s">
        <v>2032</v>
      </c>
      <c r="AS269" s="288" t="s">
        <v>2032</v>
      </c>
      <c r="AT269" s="288" t="s">
        <v>2032</v>
      </c>
      <c r="AU269" s="288" t="s">
        <v>2032</v>
      </c>
      <c r="AV269" s="288" t="s">
        <v>2032</v>
      </c>
      <c r="AW269" s="288" t="s">
        <v>2032</v>
      </c>
      <c r="AX269" s="288" t="s">
        <v>2032</v>
      </c>
      <c r="AY269" s="288" t="s">
        <v>2032</v>
      </c>
      <c r="AZ269" s="288" t="s">
        <v>2032</v>
      </c>
      <c r="BA269" s="288" t="s">
        <v>2032</v>
      </c>
      <c r="BB269" s="288" t="s">
        <v>2032</v>
      </c>
      <c r="BC269" s="288" t="s">
        <v>2032</v>
      </c>
      <c r="BD269" s="289">
        <f t="shared" si="1"/>
        <v>0</v>
      </c>
      <c r="BE269" s="287" t="s">
        <v>1489</v>
      </c>
      <c r="BF269" s="272"/>
    </row>
    <row r="270" spans="1:58" ht="14.25" customHeight="1" x14ac:dyDescent="0.35">
      <c r="A270" s="68">
        <v>268</v>
      </c>
      <c r="B270" s="24" t="s">
        <v>1855</v>
      </c>
      <c r="C270" s="24">
        <v>2024</v>
      </c>
      <c r="D270" s="24" t="s">
        <v>1745</v>
      </c>
      <c r="E270" s="269" t="str">
        <f ca="1">IFERROR(__xludf.DUMMYFUNCTION("ARRAYFORMULA(JOIN("""", ARRAYFORMULA(MID(SPLIT(F270, "" ""), 1, 1))))
&amp;""/""&amp;G270"),"CLC/4 Primaria")</f>
        <v>CLC/4 Primaria</v>
      </c>
      <c r="F270" s="24" t="s">
        <v>1747</v>
      </c>
      <c r="G270" s="248" t="s">
        <v>16</v>
      </c>
      <c r="H270" s="248" t="s">
        <v>1672</v>
      </c>
      <c r="I270" s="248" t="s">
        <v>1699</v>
      </c>
      <c r="J270" s="248" t="s">
        <v>1888</v>
      </c>
      <c r="K270" s="248" t="s">
        <v>1593</v>
      </c>
      <c r="L270" s="272"/>
      <c r="M270" s="286" t="s">
        <v>1587</v>
      </c>
      <c r="N270" s="286" t="s">
        <v>1617</v>
      </c>
      <c r="O270" s="286" t="s">
        <v>1617</v>
      </c>
      <c r="P270" s="286" t="s">
        <v>1589</v>
      </c>
      <c r="Q270" s="286" t="s">
        <v>1588</v>
      </c>
      <c r="R270" s="286" t="s">
        <v>1588</v>
      </c>
      <c r="S270" s="286" t="s">
        <v>1617</v>
      </c>
      <c r="T270" s="286" t="s">
        <v>1589</v>
      </c>
      <c r="U270" s="286" t="s">
        <v>1617</v>
      </c>
      <c r="V270" s="286" t="s">
        <v>1617</v>
      </c>
      <c r="W270" s="286" t="s">
        <v>1589</v>
      </c>
      <c r="X270" s="286" t="s">
        <v>1588</v>
      </c>
      <c r="Y270" s="286" t="s">
        <v>1588</v>
      </c>
      <c r="Z270" s="286" t="s">
        <v>1587</v>
      </c>
      <c r="AA270" s="286" t="s">
        <v>1588</v>
      </c>
      <c r="AB270" s="286" t="s">
        <v>1617</v>
      </c>
      <c r="AC270" s="286" t="s">
        <v>1589</v>
      </c>
      <c r="AD270" s="286" t="s">
        <v>1589</v>
      </c>
      <c r="AE270" s="286" t="s">
        <v>1588</v>
      </c>
      <c r="AF270" s="286" t="s">
        <v>1617</v>
      </c>
      <c r="AG270" s="283">
        <v>5</v>
      </c>
      <c r="AH270" s="287" t="s">
        <v>19</v>
      </c>
      <c r="AI270" s="272"/>
      <c r="AJ270" s="288" t="s">
        <v>2032</v>
      </c>
      <c r="AK270" s="288" t="s">
        <v>2032</v>
      </c>
      <c r="AL270" s="288" t="s">
        <v>2032</v>
      </c>
      <c r="AM270" s="288" t="s">
        <v>2032</v>
      </c>
      <c r="AN270" s="288" t="s">
        <v>2032</v>
      </c>
      <c r="AO270" s="288" t="s">
        <v>2032</v>
      </c>
      <c r="AP270" s="288" t="s">
        <v>2032</v>
      </c>
      <c r="AQ270" s="288" t="s">
        <v>2032</v>
      </c>
      <c r="AR270" s="288" t="s">
        <v>2032</v>
      </c>
      <c r="AS270" s="288" t="s">
        <v>2032</v>
      </c>
      <c r="AT270" s="288" t="s">
        <v>2032</v>
      </c>
      <c r="AU270" s="288" t="s">
        <v>2032</v>
      </c>
      <c r="AV270" s="288" t="s">
        <v>2032</v>
      </c>
      <c r="AW270" s="288" t="s">
        <v>2032</v>
      </c>
      <c r="AX270" s="288" t="s">
        <v>2032</v>
      </c>
      <c r="AY270" s="288" t="s">
        <v>2032</v>
      </c>
      <c r="AZ270" s="288" t="s">
        <v>2032</v>
      </c>
      <c r="BA270" s="288" t="s">
        <v>2032</v>
      </c>
      <c r="BB270" s="288" t="s">
        <v>2032</v>
      </c>
      <c r="BC270" s="288" t="s">
        <v>2032</v>
      </c>
      <c r="BD270" s="289">
        <f t="shared" si="1"/>
        <v>0</v>
      </c>
      <c r="BE270" s="287"/>
      <c r="BF270" s="272"/>
    </row>
    <row r="271" spans="1:58" ht="14.25" customHeight="1" x14ac:dyDescent="0.35">
      <c r="A271" s="68">
        <v>269</v>
      </c>
      <c r="B271" s="24" t="s">
        <v>1855</v>
      </c>
      <c r="C271" s="24">
        <v>2024</v>
      </c>
      <c r="D271" s="24" t="s">
        <v>1541</v>
      </c>
      <c r="E271" s="269" t="str">
        <f ca="1">IFERROR(__xludf.DUMMYFUNCTION("ARRAYFORMULA(JOIN("""", ARRAYFORMULA(MID(SPLIT(F271, "" ""), 1, 1))))
&amp;""/""&amp;G271"),"MC/4 Primaria")</f>
        <v>MC/4 Primaria</v>
      </c>
      <c r="F271" s="24" t="s">
        <v>1582</v>
      </c>
      <c r="G271" s="248" t="s">
        <v>16</v>
      </c>
      <c r="H271" s="248" t="s">
        <v>1665</v>
      </c>
      <c r="I271" s="248" t="s">
        <v>1790</v>
      </c>
      <c r="J271" s="248" t="s">
        <v>1889</v>
      </c>
      <c r="K271" s="248" t="s">
        <v>1593</v>
      </c>
      <c r="L271" s="272"/>
      <c r="M271" s="286" t="s">
        <v>1617</v>
      </c>
      <c r="N271" s="286" t="s">
        <v>1588</v>
      </c>
      <c r="O271" s="286" t="s">
        <v>1588</v>
      </c>
      <c r="P271" s="286" t="s">
        <v>1587</v>
      </c>
      <c r="Q271" s="286" t="s">
        <v>1589</v>
      </c>
      <c r="R271" s="286" t="s">
        <v>1587</v>
      </c>
      <c r="S271" s="286" t="s">
        <v>1587</v>
      </c>
      <c r="T271" s="286" t="s">
        <v>1589</v>
      </c>
      <c r="U271" s="286" t="s">
        <v>1588</v>
      </c>
      <c r="V271" s="286" t="s">
        <v>1589</v>
      </c>
      <c r="W271" s="286" t="s">
        <v>1589</v>
      </c>
      <c r="X271" s="286" t="s">
        <v>1588</v>
      </c>
      <c r="Y271" s="286" t="s">
        <v>1589</v>
      </c>
      <c r="Z271" s="286" t="s">
        <v>1587</v>
      </c>
      <c r="AA271" s="286" t="s">
        <v>1617</v>
      </c>
      <c r="AB271" s="286" t="s">
        <v>1587</v>
      </c>
      <c r="AC271" s="286" t="s">
        <v>1617</v>
      </c>
      <c r="AD271" s="286" t="s">
        <v>1617</v>
      </c>
      <c r="AE271" s="286" t="s">
        <v>1617</v>
      </c>
      <c r="AF271" s="286" t="s">
        <v>1588</v>
      </c>
      <c r="AG271" s="283">
        <v>7</v>
      </c>
      <c r="AH271" s="287" t="s">
        <v>19</v>
      </c>
      <c r="AI271" s="272"/>
      <c r="AJ271" s="288" t="s">
        <v>2032</v>
      </c>
      <c r="AK271" s="288" t="s">
        <v>2032</v>
      </c>
      <c r="AL271" s="288" t="s">
        <v>2032</v>
      </c>
      <c r="AM271" s="288" t="s">
        <v>2032</v>
      </c>
      <c r="AN271" s="288" t="s">
        <v>2032</v>
      </c>
      <c r="AO271" s="288" t="s">
        <v>2032</v>
      </c>
      <c r="AP271" s="288" t="s">
        <v>2032</v>
      </c>
      <c r="AQ271" s="288" t="s">
        <v>2032</v>
      </c>
      <c r="AR271" s="288" t="s">
        <v>2032</v>
      </c>
      <c r="AS271" s="288" t="s">
        <v>2032</v>
      </c>
      <c r="AT271" s="288" t="s">
        <v>2032</v>
      </c>
      <c r="AU271" s="288" t="s">
        <v>2032</v>
      </c>
      <c r="AV271" s="288" t="s">
        <v>2032</v>
      </c>
      <c r="AW271" s="288" t="s">
        <v>2032</v>
      </c>
      <c r="AX271" s="288" t="s">
        <v>2032</v>
      </c>
      <c r="AY271" s="288" t="s">
        <v>2032</v>
      </c>
      <c r="AZ271" s="288" t="s">
        <v>2032</v>
      </c>
      <c r="BA271" s="288" t="s">
        <v>2032</v>
      </c>
      <c r="BB271" s="288" t="s">
        <v>2032</v>
      </c>
      <c r="BC271" s="288" t="s">
        <v>2032</v>
      </c>
      <c r="BD271" s="289">
        <f t="shared" si="1"/>
        <v>0</v>
      </c>
      <c r="BE271" s="287" t="s">
        <v>1489</v>
      </c>
      <c r="BF271" s="272"/>
    </row>
    <row r="272" spans="1:58" ht="14.25" customHeight="1" x14ac:dyDescent="0.35">
      <c r="A272" s="68">
        <v>270</v>
      </c>
      <c r="B272" s="24" t="s">
        <v>1855</v>
      </c>
      <c r="C272" s="24">
        <v>2024</v>
      </c>
      <c r="D272" s="24" t="s">
        <v>1745</v>
      </c>
      <c r="E272" s="269" t="str">
        <f ca="1">IFERROR(__xludf.DUMMYFUNCTION("ARRAYFORMULA(JOIN("""", ARRAYFORMULA(MID(SPLIT(F272, "" ""), 1, 1))))
&amp;""/""&amp;G272"),"CLC/4 Primaria")</f>
        <v>CLC/4 Primaria</v>
      </c>
      <c r="F272" s="24" t="s">
        <v>1747</v>
      </c>
      <c r="G272" s="248" t="s">
        <v>16</v>
      </c>
      <c r="H272" s="248" t="s">
        <v>1665</v>
      </c>
      <c r="I272" s="248" t="s">
        <v>1790</v>
      </c>
      <c r="J272" s="248" t="s">
        <v>1889</v>
      </c>
      <c r="K272" s="248" t="s">
        <v>1593</v>
      </c>
      <c r="L272" s="272"/>
      <c r="M272" s="286" t="s">
        <v>1588</v>
      </c>
      <c r="N272" s="286" t="s">
        <v>1587</v>
      </c>
      <c r="O272" s="286" t="s">
        <v>1588</v>
      </c>
      <c r="P272" s="286" t="s">
        <v>1588</v>
      </c>
      <c r="Q272" s="286" t="s">
        <v>1588</v>
      </c>
      <c r="R272" s="286" t="s">
        <v>1587</v>
      </c>
      <c r="S272" s="286" t="s">
        <v>1587</v>
      </c>
      <c r="T272" s="286" t="s">
        <v>1589</v>
      </c>
      <c r="U272" s="286" t="s">
        <v>1588</v>
      </c>
      <c r="V272" s="286" t="s">
        <v>1587</v>
      </c>
      <c r="W272" s="286" t="s">
        <v>1588</v>
      </c>
      <c r="X272" s="286" t="s">
        <v>1589</v>
      </c>
      <c r="Y272" s="286" t="s">
        <v>1587</v>
      </c>
      <c r="Z272" s="286" t="s">
        <v>1588</v>
      </c>
      <c r="AA272" s="286" t="s">
        <v>1587</v>
      </c>
      <c r="AB272" s="286" t="s">
        <v>1587</v>
      </c>
      <c r="AC272" s="286" t="s">
        <v>1588</v>
      </c>
      <c r="AD272" s="286" t="s">
        <v>1587</v>
      </c>
      <c r="AE272" s="286" t="s">
        <v>1587</v>
      </c>
      <c r="AF272" s="286" t="s">
        <v>1617</v>
      </c>
      <c r="AG272" s="283">
        <v>11</v>
      </c>
      <c r="AH272" s="287" t="s">
        <v>23</v>
      </c>
      <c r="AI272" s="272"/>
      <c r="AJ272" s="288" t="s">
        <v>2032</v>
      </c>
      <c r="AK272" s="288" t="s">
        <v>2032</v>
      </c>
      <c r="AL272" s="288" t="s">
        <v>2032</v>
      </c>
      <c r="AM272" s="288" t="s">
        <v>2032</v>
      </c>
      <c r="AN272" s="288" t="s">
        <v>2032</v>
      </c>
      <c r="AO272" s="288" t="s">
        <v>2032</v>
      </c>
      <c r="AP272" s="288" t="s">
        <v>2032</v>
      </c>
      <c r="AQ272" s="288" t="s">
        <v>2032</v>
      </c>
      <c r="AR272" s="288" t="s">
        <v>2032</v>
      </c>
      <c r="AS272" s="288" t="s">
        <v>2032</v>
      </c>
      <c r="AT272" s="288" t="s">
        <v>2032</v>
      </c>
      <c r="AU272" s="288" t="s">
        <v>2032</v>
      </c>
      <c r="AV272" s="288" t="s">
        <v>2032</v>
      </c>
      <c r="AW272" s="288" t="s">
        <v>2032</v>
      </c>
      <c r="AX272" s="288" t="s">
        <v>2032</v>
      </c>
      <c r="AY272" s="288" t="s">
        <v>2032</v>
      </c>
      <c r="AZ272" s="288" t="s">
        <v>2032</v>
      </c>
      <c r="BA272" s="288" t="s">
        <v>2032</v>
      </c>
      <c r="BB272" s="288" t="s">
        <v>2032</v>
      </c>
      <c r="BC272" s="288" t="s">
        <v>2032</v>
      </c>
      <c r="BD272" s="289">
        <f t="shared" si="1"/>
        <v>0</v>
      </c>
      <c r="BE272" s="287"/>
      <c r="BF272" s="272"/>
    </row>
    <row r="273" spans="1:58" ht="14.25" customHeight="1" x14ac:dyDescent="0.35">
      <c r="A273" s="68">
        <v>271</v>
      </c>
      <c r="B273" s="24" t="s">
        <v>1855</v>
      </c>
      <c r="C273" s="24">
        <v>2024</v>
      </c>
      <c r="D273" s="24" t="s">
        <v>1541</v>
      </c>
      <c r="E273" s="269" t="str">
        <f ca="1">IFERROR(__xludf.DUMMYFUNCTION("ARRAYFORMULA(JOIN("""", ARRAYFORMULA(MID(SPLIT(F273, "" ""), 1, 1))))
&amp;""/""&amp;G273"),"MC/4 Primaria")</f>
        <v>MC/4 Primaria</v>
      </c>
      <c r="F273" s="24" t="s">
        <v>1582</v>
      </c>
      <c r="G273" s="248" t="s">
        <v>16</v>
      </c>
      <c r="H273" s="248" t="s">
        <v>1890</v>
      </c>
      <c r="I273" s="248" t="s">
        <v>1699</v>
      </c>
      <c r="J273" s="248" t="s">
        <v>1891</v>
      </c>
      <c r="K273" s="248" t="s">
        <v>1586</v>
      </c>
      <c r="L273" s="272"/>
      <c r="M273" s="286" t="s">
        <v>1617</v>
      </c>
      <c r="N273" s="286" t="s">
        <v>1617</v>
      </c>
      <c r="O273" s="286" t="s">
        <v>1587</v>
      </c>
      <c r="P273" s="286" t="s">
        <v>1587</v>
      </c>
      <c r="Q273" s="286" t="s">
        <v>1589</v>
      </c>
      <c r="R273" s="286" t="s">
        <v>1617</v>
      </c>
      <c r="S273" s="286" t="s">
        <v>1589</v>
      </c>
      <c r="T273" s="286" t="s">
        <v>1588</v>
      </c>
      <c r="U273" s="286" t="s">
        <v>1587</v>
      </c>
      <c r="V273" s="286" t="s">
        <v>1588</v>
      </c>
      <c r="W273" s="286" t="s">
        <v>1617</v>
      </c>
      <c r="X273" s="286" t="s">
        <v>1588</v>
      </c>
      <c r="Y273" s="286" t="s">
        <v>1617</v>
      </c>
      <c r="Z273" s="286" t="s">
        <v>1589</v>
      </c>
      <c r="AA273" s="286" t="s">
        <v>1587</v>
      </c>
      <c r="AB273" s="286" t="s">
        <v>1587</v>
      </c>
      <c r="AC273" s="286" t="s">
        <v>1587</v>
      </c>
      <c r="AD273" s="286" t="s">
        <v>1617</v>
      </c>
      <c r="AE273" s="286" t="s">
        <v>1588</v>
      </c>
      <c r="AF273" s="286" t="s">
        <v>1588</v>
      </c>
      <c r="AG273" s="283">
        <v>6</v>
      </c>
      <c r="AH273" s="287" t="s">
        <v>19</v>
      </c>
      <c r="AI273" s="272"/>
      <c r="AJ273" s="288" t="s">
        <v>2032</v>
      </c>
      <c r="AK273" s="288" t="s">
        <v>2032</v>
      </c>
      <c r="AL273" s="288" t="s">
        <v>2032</v>
      </c>
      <c r="AM273" s="288" t="s">
        <v>2032</v>
      </c>
      <c r="AN273" s="288" t="s">
        <v>2032</v>
      </c>
      <c r="AO273" s="288" t="s">
        <v>2032</v>
      </c>
      <c r="AP273" s="288" t="s">
        <v>2032</v>
      </c>
      <c r="AQ273" s="288" t="s">
        <v>2032</v>
      </c>
      <c r="AR273" s="288" t="s">
        <v>2032</v>
      </c>
      <c r="AS273" s="288" t="s">
        <v>2032</v>
      </c>
      <c r="AT273" s="288" t="s">
        <v>2032</v>
      </c>
      <c r="AU273" s="288" t="s">
        <v>2032</v>
      </c>
      <c r="AV273" s="288" t="s">
        <v>2032</v>
      </c>
      <c r="AW273" s="288" t="s">
        <v>2032</v>
      </c>
      <c r="AX273" s="288" t="s">
        <v>2032</v>
      </c>
      <c r="AY273" s="288" t="s">
        <v>2032</v>
      </c>
      <c r="AZ273" s="288" t="s">
        <v>2032</v>
      </c>
      <c r="BA273" s="288" t="s">
        <v>2032</v>
      </c>
      <c r="BB273" s="288" t="s">
        <v>2032</v>
      </c>
      <c r="BC273" s="288" t="s">
        <v>2032</v>
      </c>
      <c r="BD273" s="289">
        <f t="shared" si="1"/>
        <v>0</v>
      </c>
      <c r="BE273" s="287" t="s">
        <v>1489</v>
      </c>
      <c r="BF273" s="272"/>
    </row>
    <row r="274" spans="1:58" ht="14.25" customHeight="1" x14ac:dyDescent="0.35">
      <c r="A274" s="68">
        <v>272</v>
      </c>
      <c r="B274" s="24" t="s">
        <v>1855</v>
      </c>
      <c r="C274" s="24">
        <v>2024</v>
      </c>
      <c r="D274" s="24" t="s">
        <v>1745</v>
      </c>
      <c r="E274" s="269" t="str">
        <f ca="1">IFERROR(__xludf.DUMMYFUNCTION("ARRAYFORMULA(JOIN("""", ARRAYFORMULA(MID(SPLIT(F274, "" ""), 1, 1))))
&amp;""/""&amp;G274"),"CLC/4 Primaria")</f>
        <v>CLC/4 Primaria</v>
      </c>
      <c r="F274" s="24" t="s">
        <v>1747</v>
      </c>
      <c r="G274" s="248" t="s">
        <v>16</v>
      </c>
      <c r="H274" s="248" t="s">
        <v>1890</v>
      </c>
      <c r="I274" s="248" t="s">
        <v>1699</v>
      </c>
      <c r="J274" s="248" t="s">
        <v>1891</v>
      </c>
      <c r="K274" s="248" t="s">
        <v>1586</v>
      </c>
      <c r="L274" s="272"/>
      <c r="M274" s="286" t="s">
        <v>1587</v>
      </c>
      <c r="N274" s="286" t="s">
        <v>1588</v>
      </c>
      <c r="O274" s="286" t="s">
        <v>1587</v>
      </c>
      <c r="P274" s="286" t="s">
        <v>1588</v>
      </c>
      <c r="Q274" s="286" t="s">
        <v>1589</v>
      </c>
      <c r="R274" s="286" t="s">
        <v>1588</v>
      </c>
      <c r="S274" s="286" t="s">
        <v>1588</v>
      </c>
      <c r="T274" s="286" t="s">
        <v>1589</v>
      </c>
      <c r="U274" s="286" t="s">
        <v>1588</v>
      </c>
      <c r="V274" s="286" t="s">
        <v>1589</v>
      </c>
      <c r="W274" s="286" t="s">
        <v>1587</v>
      </c>
      <c r="X274" s="286" t="s">
        <v>1588</v>
      </c>
      <c r="Y274" s="286" t="s">
        <v>1588</v>
      </c>
      <c r="Z274" s="286" t="s">
        <v>1587</v>
      </c>
      <c r="AA274" s="286" t="s">
        <v>1588</v>
      </c>
      <c r="AB274" s="286" t="s">
        <v>1587</v>
      </c>
      <c r="AC274" s="286" t="s">
        <v>1617</v>
      </c>
      <c r="AD274" s="286" t="s">
        <v>1588</v>
      </c>
      <c r="AE274" s="286" t="s">
        <v>1589</v>
      </c>
      <c r="AF274" s="286" t="s">
        <v>1617</v>
      </c>
      <c r="AG274" s="283">
        <v>7</v>
      </c>
      <c r="AH274" s="287" t="s">
        <v>19</v>
      </c>
      <c r="AI274" s="272"/>
      <c r="AJ274" s="288" t="s">
        <v>2032</v>
      </c>
      <c r="AK274" s="288" t="s">
        <v>2032</v>
      </c>
      <c r="AL274" s="288" t="s">
        <v>2032</v>
      </c>
      <c r="AM274" s="288" t="s">
        <v>2032</v>
      </c>
      <c r="AN274" s="288" t="s">
        <v>2032</v>
      </c>
      <c r="AO274" s="288" t="s">
        <v>2032</v>
      </c>
      <c r="AP274" s="288" t="s">
        <v>2032</v>
      </c>
      <c r="AQ274" s="288" t="s">
        <v>2032</v>
      </c>
      <c r="AR274" s="288" t="s">
        <v>2032</v>
      </c>
      <c r="AS274" s="288" t="s">
        <v>2032</v>
      </c>
      <c r="AT274" s="288" t="s">
        <v>2032</v>
      </c>
      <c r="AU274" s="288" t="s">
        <v>2032</v>
      </c>
      <c r="AV274" s="288" t="s">
        <v>2032</v>
      </c>
      <c r="AW274" s="288" t="s">
        <v>2032</v>
      </c>
      <c r="AX274" s="288" t="s">
        <v>2032</v>
      </c>
      <c r="AY274" s="288" t="s">
        <v>2032</v>
      </c>
      <c r="AZ274" s="288" t="s">
        <v>2032</v>
      </c>
      <c r="BA274" s="288" t="s">
        <v>2032</v>
      </c>
      <c r="BB274" s="288" t="s">
        <v>2032</v>
      </c>
      <c r="BC274" s="288" t="s">
        <v>2032</v>
      </c>
      <c r="BD274" s="289">
        <f t="shared" si="1"/>
        <v>0</v>
      </c>
      <c r="BE274" s="287"/>
      <c r="BF274" s="272"/>
    </row>
    <row r="275" spans="1:58" ht="14.25" customHeight="1" x14ac:dyDescent="0.35">
      <c r="A275" s="68">
        <v>273</v>
      </c>
      <c r="B275" s="24" t="s">
        <v>1855</v>
      </c>
      <c r="C275" s="24">
        <v>2024</v>
      </c>
      <c r="D275" s="24" t="s">
        <v>1541</v>
      </c>
      <c r="E275" s="269" t="str">
        <f ca="1">IFERROR(__xludf.DUMMYFUNCTION("ARRAYFORMULA(JOIN("""", ARRAYFORMULA(MID(SPLIT(F275, "" ""), 1, 1))))
&amp;""/""&amp;G275"),"MC/4 Primaria")</f>
        <v>MC/4 Primaria</v>
      </c>
      <c r="F275" s="24" t="s">
        <v>1582</v>
      </c>
      <c r="G275" s="248" t="s">
        <v>16</v>
      </c>
      <c r="H275" s="248" t="s">
        <v>1689</v>
      </c>
      <c r="I275" s="248" t="s">
        <v>1595</v>
      </c>
      <c r="J275" s="248" t="s">
        <v>1892</v>
      </c>
      <c r="K275" s="248" t="s">
        <v>1593</v>
      </c>
      <c r="L275" s="272"/>
      <c r="M275" s="286" t="s">
        <v>1587</v>
      </c>
      <c r="N275" s="286" t="s">
        <v>1589</v>
      </c>
      <c r="O275" s="286" t="s">
        <v>1589</v>
      </c>
      <c r="P275" s="286" t="s">
        <v>1588</v>
      </c>
      <c r="Q275" s="286" t="s">
        <v>1589</v>
      </c>
      <c r="R275" s="286" t="s">
        <v>1617</v>
      </c>
      <c r="S275" s="286" t="s">
        <v>1589</v>
      </c>
      <c r="T275" s="286" t="s">
        <v>1588</v>
      </c>
      <c r="U275" s="286" t="s">
        <v>1617</v>
      </c>
      <c r="V275" s="286" t="s">
        <v>1588</v>
      </c>
      <c r="W275" s="286" t="s">
        <v>1617</v>
      </c>
      <c r="X275" s="286" t="s">
        <v>1588</v>
      </c>
      <c r="Y275" s="286" t="s">
        <v>1589</v>
      </c>
      <c r="Z275" s="286" t="s">
        <v>1588</v>
      </c>
      <c r="AA275" s="286" t="s">
        <v>1587</v>
      </c>
      <c r="AB275" s="286" t="s">
        <v>1587</v>
      </c>
      <c r="AC275" s="286" t="s">
        <v>1617</v>
      </c>
      <c r="AD275" s="286" t="s">
        <v>1617</v>
      </c>
      <c r="AE275" s="286" t="s">
        <v>1588</v>
      </c>
      <c r="AF275" s="286" t="s">
        <v>1587</v>
      </c>
      <c r="AG275" s="283">
        <v>5</v>
      </c>
      <c r="AH275" s="287" t="s">
        <v>19</v>
      </c>
      <c r="AI275" s="272"/>
      <c r="AJ275" s="288" t="s">
        <v>2032</v>
      </c>
      <c r="AK275" s="288" t="s">
        <v>2032</v>
      </c>
      <c r="AL275" s="288" t="s">
        <v>2032</v>
      </c>
      <c r="AM275" s="288" t="s">
        <v>2032</v>
      </c>
      <c r="AN275" s="288" t="s">
        <v>2032</v>
      </c>
      <c r="AO275" s="288" t="s">
        <v>2032</v>
      </c>
      <c r="AP275" s="288" t="s">
        <v>2032</v>
      </c>
      <c r="AQ275" s="288" t="s">
        <v>2032</v>
      </c>
      <c r="AR275" s="288" t="s">
        <v>2032</v>
      </c>
      <c r="AS275" s="288" t="s">
        <v>2032</v>
      </c>
      <c r="AT275" s="288" t="s">
        <v>2032</v>
      </c>
      <c r="AU275" s="288" t="s">
        <v>2032</v>
      </c>
      <c r="AV275" s="288" t="s">
        <v>2032</v>
      </c>
      <c r="AW275" s="288" t="s">
        <v>2032</v>
      </c>
      <c r="AX275" s="288" t="s">
        <v>2032</v>
      </c>
      <c r="AY275" s="288" t="s">
        <v>2032</v>
      </c>
      <c r="AZ275" s="288" t="s">
        <v>2032</v>
      </c>
      <c r="BA275" s="288" t="s">
        <v>2032</v>
      </c>
      <c r="BB275" s="288" t="s">
        <v>2032</v>
      </c>
      <c r="BC275" s="288" t="s">
        <v>2032</v>
      </c>
      <c r="BD275" s="289">
        <f t="shared" si="1"/>
        <v>0</v>
      </c>
      <c r="BE275" s="287" t="s">
        <v>1489</v>
      </c>
      <c r="BF275" s="272"/>
    </row>
    <row r="276" spans="1:58" ht="14.25" customHeight="1" x14ac:dyDescent="0.35">
      <c r="A276" s="68">
        <v>274</v>
      </c>
      <c r="B276" s="24" t="s">
        <v>1855</v>
      </c>
      <c r="C276" s="24">
        <v>2024</v>
      </c>
      <c r="D276" s="24" t="s">
        <v>1745</v>
      </c>
      <c r="E276" s="269" t="str">
        <f ca="1">IFERROR(__xludf.DUMMYFUNCTION("ARRAYFORMULA(JOIN("""", ARRAYFORMULA(MID(SPLIT(F276, "" ""), 1, 1))))
&amp;""/""&amp;G276"),"CLC/4 Primaria")</f>
        <v>CLC/4 Primaria</v>
      </c>
      <c r="F276" s="24" t="s">
        <v>1747</v>
      </c>
      <c r="G276" s="248" t="s">
        <v>16</v>
      </c>
      <c r="H276" s="248" t="s">
        <v>1689</v>
      </c>
      <c r="I276" s="248" t="s">
        <v>1595</v>
      </c>
      <c r="J276" s="248" t="s">
        <v>1892</v>
      </c>
      <c r="K276" s="248" t="s">
        <v>1593</v>
      </c>
      <c r="L276" s="272"/>
      <c r="M276" s="286" t="s">
        <v>1588</v>
      </c>
      <c r="N276" s="286" t="s">
        <v>1588</v>
      </c>
      <c r="O276" s="286" t="s">
        <v>1588</v>
      </c>
      <c r="P276" s="286" t="s">
        <v>1588</v>
      </c>
      <c r="Q276" s="286" t="s">
        <v>1588</v>
      </c>
      <c r="R276" s="286" t="s">
        <v>1587</v>
      </c>
      <c r="S276" s="286" t="s">
        <v>1587</v>
      </c>
      <c r="T276" s="286" t="s">
        <v>1589</v>
      </c>
      <c r="U276" s="286" t="s">
        <v>1589</v>
      </c>
      <c r="V276" s="286" t="s">
        <v>1587</v>
      </c>
      <c r="W276" s="286" t="s">
        <v>1589</v>
      </c>
      <c r="X276" s="286" t="s">
        <v>1588</v>
      </c>
      <c r="Y276" s="286" t="s">
        <v>1588</v>
      </c>
      <c r="Z276" s="286" t="s">
        <v>1589</v>
      </c>
      <c r="AA276" s="286" t="s">
        <v>1587</v>
      </c>
      <c r="AB276" s="286" t="s">
        <v>1588</v>
      </c>
      <c r="AC276" s="286" t="s">
        <v>1588</v>
      </c>
      <c r="AD276" s="286" t="s">
        <v>1587</v>
      </c>
      <c r="AE276" s="286" t="s">
        <v>1617</v>
      </c>
      <c r="AF276" s="286" t="s">
        <v>1587</v>
      </c>
      <c r="AG276" s="283">
        <v>13</v>
      </c>
      <c r="AH276" s="287" t="s">
        <v>23</v>
      </c>
      <c r="AI276" s="272"/>
      <c r="AJ276" s="288" t="s">
        <v>2032</v>
      </c>
      <c r="AK276" s="288" t="s">
        <v>2032</v>
      </c>
      <c r="AL276" s="288" t="s">
        <v>2032</v>
      </c>
      <c r="AM276" s="288" t="s">
        <v>2032</v>
      </c>
      <c r="AN276" s="288" t="s">
        <v>2032</v>
      </c>
      <c r="AO276" s="288" t="s">
        <v>2032</v>
      </c>
      <c r="AP276" s="288" t="s">
        <v>2032</v>
      </c>
      <c r="AQ276" s="288" t="s">
        <v>2032</v>
      </c>
      <c r="AR276" s="288" t="s">
        <v>2032</v>
      </c>
      <c r="AS276" s="288" t="s">
        <v>2032</v>
      </c>
      <c r="AT276" s="288" t="s">
        <v>2032</v>
      </c>
      <c r="AU276" s="288" t="s">
        <v>2032</v>
      </c>
      <c r="AV276" s="288" t="s">
        <v>2032</v>
      </c>
      <c r="AW276" s="288" t="s">
        <v>2032</v>
      </c>
      <c r="AX276" s="288" t="s">
        <v>2032</v>
      </c>
      <c r="AY276" s="288" t="s">
        <v>2032</v>
      </c>
      <c r="AZ276" s="288" t="s">
        <v>2032</v>
      </c>
      <c r="BA276" s="288" t="s">
        <v>2032</v>
      </c>
      <c r="BB276" s="288" t="s">
        <v>2032</v>
      </c>
      <c r="BC276" s="288" t="s">
        <v>2032</v>
      </c>
      <c r="BD276" s="289">
        <f t="shared" si="1"/>
        <v>0</v>
      </c>
      <c r="BE276" s="287"/>
      <c r="BF276" s="272"/>
    </row>
    <row r="277" spans="1:58" ht="14.25" customHeight="1" x14ac:dyDescent="0.35">
      <c r="A277" s="68">
        <v>275</v>
      </c>
      <c r="B277" s="24" t="s">
        <v>1855</v>
      </c>
      <c r="C277" s="24">
        <v>2024</v>
      </c>
      <c r="D277" s="24" t="s">
        <v>1541</v>
      </c>
      <c r="E277" s="269" t="str">
        <f ca="1">IFERROR(__xludf.DUMMYFUNCTION("ARRAYFORMULA(JOIN("""", ARRAYFORMULA(MID(SPLIT(F277, "" ""), 1, 1))))
&amp;""/""&amp;G277"),"MC/4 Primaria")</f>
        <v>MC/4 Primaria</v>
      </c>
      <c r="F277" s="24" t="s">
        <v>1582</v>
      </c>
      <c r="G277" s="248" t="s">
        <v>16</v>
      </c>
      <c r="H277" s="248" t="s">
        <v>1893</v>
      </c>
      <c r="I277" s="248" t="s">
        <v>1863</v>
      </c>
      <c r="J277" s="248" t="s">
        <v>1894</v>
      </c>
      <c r="K277" s="248" t="s">
        <v>1586</v>
      </c>
      <c r="L277" s="272"/>
      <c r="M277" s="286" t="s">
        <v>1587</v>
      </c>
      <c r="N277" s="286" t="s">
        <v>1589</v>
      </c>
      <c r="O277" s="286" t="s">
        <v>1617</v>
      </c>
      <c r="P277" s="286" t="s">
        <v>1617</v>
      </c>
      <c r="Q277" s="286" t="s">
        <v>1589</v>
      </c>
      <c r="R277" s="286" t="s">
        <v>1588</v>
      </c>
      <c r="S277" s="286" t="s">
        <v>1587</v>
      </c>
      <c r="T277" s="286" t="s">
        <v>1589</v>
      </c>
      <c r="U277" s="286" t="s">
        <v>1588</v>
      </c>
      <c r="V277" s="286" t="s">
        <v>1588</v>
      </c>
      <c r="W277" s="286" t="s">
        <v>1617</v>
      </c>
      <c r="X277" s="286" t="s">
        <v>1589</v>
      </c>
      <c r="Y277" s="286" t="s">
        <v>1588</v>
      </c>
      <c r="Z277" s="286" t="s">
        <v>1589</v>
      </c>
      <c r="AA277" s="286" t="s">
        <v>1588</v>
      </c>
      <c r="AB277" s="286" t="s">
        <v>1587</v>
      </c>
      <c r="AC277" s="286" t="s">
        <v>1589</v>
      </c>
      <c r="AD277" s="286" t="s">
        <v>1589</v>
      </c>
      <c r="AE277" s="286" t="s">
        <v>1588</v>
      </c>
      <c r="AF277" s="286" t="s">
        <v>1588</v>
      </c>
      <c r="AG277" s="283">
        <v>17</v>
      </c>
      <c r="AH277" s="287" t="s">
        <v>25</v>
      </c>
      <c r="AI277" s="272"/>
      <c r="AJ277" s="288" t="s">
        <v>2032</v>
      </c>
      <c r="AK277" s="288" t="s">
        <v>2032</v>
      </c>
      <c r="AL277" s="288" t="s">
        <v>2032</v>
      </c>
      <c r="AM277" s="288" t="s">
        <v>2032</v>
      </c>
      <c r="AN277" s="288" t="s">
        <v>2032</v>
      </c>
      <c r="AO277" s="288" t="s">
        <v>2032</v>
      </c>
      <c r="AP277" s="288" t="s">
        <v>2032</v>
      </c>
      <c r="AQ277" s="288" t="s">
        <v>2032</v>
      </c>
      <c r="AR277" s="288" t="s">
        <v>2032</v>
      </c>
      <c r="AS277" s="288" t="s">
        <v>2032</v>
      </c>
      <c r="AT277" s="288" t="s">
        <v>2032</v>
      </c>
      <c r="AU277" s="288" t="s">
        <v>2032</v>
      </c>
      <c r="AV277" s="288" t="s">
        <v>2032</v>
      </c>
      <c r="AW277" s="288" t="s">
        <v>2032</v>
      </c>
      <c r="AX277" s="288" t="s">
        <v>2032</v>
      </c>
      <c r="AY277" s="288" t="s">
        <v>2032</v>
      </c>
      <c r="AZ277" s="288" t="s">
        <v>2032</v>
      </c>
      <c r="BA277" s="288" t="s">
        <v>2032</v>
      </c>
      <c r="BB277" s="288" t="s">
        <v>2032</v>
      </c>
      <c r="BC277" s="288" t="s">
        <v>2032</v>
      </c>
      <c r="BD277" s="289">
        <f t="shared" si="1"/>
        <v>0</v>
      </c>
      <c r="BE277" s="287" t="s">
        <v>1489</v>
      </c>
      <c r="BF277" s="272"/>
    </row>
    <row r="278" spans="1:58" ht="14.25" customHeight="1" x14ac:dyDescent="0.35">
      <c r="A278" s="68">
        <v>276</v>
      </c>
      <c r="B278" s="24" t="s">
        <v>1855</v>
      </c>
      <c r="C278" s="24">
        <v>2024</v>
      </c>
      <c r="D278" s="24" t="s">
        <v>1745</v>
      </c>
      <c r="E278" s="269" t="str">
        <f ca="1">IFERROR(__xludf.DUMMYFUNCTION("ARRAYFORMULA(JOIN("""", ARRAYFORMULA(MID(SPLIT(F278, "" ""), 1, 1))))
&amp;""/""&amp;G278"),"CLC/4 Primaria")</f>
        <v>CLC/4 Primaria</v>
      </c>
      <c r="F278" s="24" t="s">
        <v>1747</v>
      </c>
      <c r="G278" s="248" t="s">
        <v>16</v>
      </c>
      <c r="H278" s="248" t="s">
        <v>1893</v>
      </c>
      <c r="I278" s="248" t="s">
        <v>1863</v>
      </c>
      <c r="J278" s="248" t="s">
        <v>1894</v>
      </c>
      <c r="K278" s="248" t="s">
        <v>1586</v>
      </c>
      <c r="L278" s="272"/>
      <c r="M278" s="286" t="s">
        <v>1587</v>
      </c>
      <c r="N278" s="286" t="s">
        <v>1588</v>
      </c>
      <c r="O278" s="286" t="s">
        <v>1587</v>
      </c>
      <c r="P278" s="286" t="s">
        <v>1588</v>
      </c>
      <c r="Q278" s="286" t="s">
        <v>1588</v>
      </c>
      <c r="R278" s="286" t="s">
        <v>1617</v>
      </c>
      <c r="S278" s="286" t="s">
        <v>1587</v>
      </c>
      <c r="T278" s="286" t="s">
        <v>1589</v>
      </c>
      <c r="U278" s="286" t="s">
        <v>1588</v>
      </c>
      <c r="V278" s="286" t="s">
        <v>1587</v>
      </c>
      <c r="W278" s="286" t="s">
        <v>1617</v>
      </c>
      <c r="X278" s="286" t="s">
        <v>1617</v>
      </c>
      <c r="Y278" s="286" t="s">
        <v>1588</v>
      </c>
      <c r="Z278" s="286" t="s">
        <v>1588</v>
      </c>
      <c r="AA278" s="286" t="s">
        <v>1587</v>
      </c>
      <c r="AB278" s="286" t="s">
        <v>1587</v>
      </c>
      <c r="AC278" s="286" t="s">
        <v>1588</v>
      </c>
      <c r="AD278" s="286" t="s">
        <v>1587</v>
      </c>
      <c r="AE278" s="286" t="s">
        <v>1587</v>
      </c>
      <c r="AF278" s="286" t="s">
        <v>1617</v>
      </c>
      <c r="AG278" s="283">
        <v>13</v>
      </c>
      <c r="AH278" s="287" t="s">
        <v>23</v>
      </c>
      <c r="AI278" s="272"/>
      <c r="AJ278" s="288" t="s">
        <v>2032</v>
      </c>
      <c r="AK278" s="288" t="s">
        <v>2032</v>
      </c>
      <c r="AL278" s="288" t="s">
        <v>2032</v>
      </c>
      <c r="AM278" s="288" t="s">
        <v>2032</v>
      </c>
      <c r="AN278" s="288" t="s">
        <v>2032</v>
      </c>
      <c r="AO278" s="288" t="s">
        <v>2032</v>
      </c>
      <c r="AP278" s="288" t="s">
        <v>2032</v>
      </c>
      <c r="AQ278" s="288" t="s">
        <v>2032</v>
      </c>
      <c r="AR278" s="288" t="s">
        <v>2032</v>
      </c>
      <c r="AS278" s="288" t="s">
        <v>2032</v>
      </c>
      <c r="AT278" s="288" t="s">
        <v>2032</v>
      </c>
      <c r="AU278" s="288" t="s">
        <v>2032</v>
      </c>
      <c r="AV278" s="288" t="s">
        <v>2032</v>
      </c>
      <c r="AW278" s="288" t="s">
        <v>2032</v>
      </c>
      <c r="AX278" s="288" t="s">
        <v>2032</v>
      </c>
      <c r="AY278" s="288" t="s">
        <v>2032</v>
      </c>
      <c r="AZ278" s="288" t="s">
        <v>2032</v>
      </c>
      <c r="BA278" s="288" t="s">
        <v>2032</v>
      </c>
      <c r="BB278" s="288" t="s">
        <v>2032</v>
      </c>
      <c r="BC278" s="288" t="s">
        <v>2032</v>
      </c>
      <c r="BD278" s="289">
        <f t="shared" si="1"/>
        <v>0</v>
      </c>
      <c r="BE278" s="287"/>
      <c r="BF278" s="272"/>
    </row>
    <row r="279" spans="1:58" ht="14.25" customHeight="1" x14ac:dyDescent="0.35">
      <c r="A279" s="68">
        <v>277</v>
      </c>
      <c r="B279" s="24" t="s">
        <v>1855</v>
      </c>
      <c r="C279" s="24">
        <v>2024</v>
      </c>
      <c r="D279" s="24" t="s">
        <v>1541</v>
      </c>
      <c r="E279" s="269" t="str">
        <f ca="1">IFERROR(__xludf.DUMMYFUNCTION("ARRAYFORMULA(JOIN("""", ARRAYFORMULA(MID(SPLIT(F279, "" ""), 1, 1))))
&amp;""/""&amp;G279"),"MC/4 Primaria")</f>
        <v>MC/4 Primaria</v>
      </c>
      <c r="F279" s="24" t="s">
        <v>1582</v>
      </c>
      <c r="G279" s="248" t="s">
        <v>16</v>
      </c>
      <c r="H279" s="248" t="s">
        <v>1595</v>
      </c>
      <c r="I279" s="248" t="s">
        <v>1699</v>
      </c>
      <c r="J279" s="248" t="s">
        <v>1895</v>
      </c>
      <c r="K279" s="248" t="s">
        <v>1593</v>
      </c>
      <c r="L279" s="272"/>
      <c r="M279" s="286" t="s">
        <v>1617</v>
      </c>
      <c r="N279" s="286" t="s">
        <v>1587</v>
      </c>
      <c r="O279" s="286" t="s">
        <v>1588</v>
      </c>
      <c r="P279" s="286" t="s">
        <v>1617</v>
      </c>
      <c r="Q279" s="286" t="s">
        <v>1589</v>
      </c>
      <c r="R279" s="286" t="s">
        <v>1588</v>
      </c>
      <c r="S279" s="286" t="s">
        <v>1589</v>
      </c>
      <c r="T279" s="286" t="s">
        <v>1589</v>
      </c>
      <c r="U279" s="286" t="s">
        <v>1617</v>
      </c>
      <c r="V279" s="286" t="s">
        <v>1589</v>
      </c>
      <c r="W279" s="286" t="s">
        <v>1587</v>
      </c>
      <c r="X279" s="286" t="s">
        <v>1588</v>
      </c>
      <c r="Y279" s="286" t="s">
        <v>1589</v>
      </c>
      <c r="Z279" s="286" t="s">
        <v>1588</v>
      </c>
      <c r="AA279" s="286" t="s">
        <v>1589</v>
      </c>
      <c r="AB279" s="286" t="s">
        <v>1587</v>
      </c>
      <c r="AC279" s="286" t="s">
        <v>1587</v>
      </c>
      <c r="AD279" s="286" t="s">
        <v>1617</v>
      </c>
      <c r="AE279" s="286" t="s">
        <v>1589</v>
      </c>
      <c r="AF279" s="286" t="s">
        <v>1589</v>
      </c>
      <c r="AG279" s="283">
        <v>6</v>
      </c>
      <c r="AH279" s="287" t="s">
        <v>19</v>
      </c>
      <c r="AI279" s="272"/>
      <c r="AJ279" s="288" t="s">
        <v>2032</v>
      </c>
      <c r="AK279" s="288" t="s">
        <v>2032</v>
      </c>
      <c r="AL279" s="288" t="s">
        <v>2032</v>
      </c>
      <c r="AM279" s="288" t="s">
        <v>2032</v>
      </c>
      <c r="AN279" s="288" t="s">
        <v>2032</v>
      </c>
      <c r="AO279" s="288" t="s">
        <v>2032</v>
      </c>
      <c r="AP279" s="288" t="s">
        <v>2032</v>
      </c>
      <c r="AQ279" s="288" t="s">
        <v>2032</v>
      </c>
      <c r="AR279" s="288" t="s">
        <v>2032</v>
      </c>
      <c r="AS279" s="288" t="s">
        <v>2032</v>
      </c>
      <c r="AT279" s="288" t="s">
        <v>2032</v>
      </c>
      <c r="AU279" s="288" t="s">
        <v>2032</v>
      </c>
      <c r="AV279" s="288" t="s">
        <v>2032</v>
      </c>
      <c r="AW279" s="288" t="s">
        <v>2032</v>
      </c>
      <c r="AX279" s="288" t="s">
        <v>2032</v>
      </c>
      <c r="AY279" s="288" t="s">
        <v>2032</v>
      </c>
      <c r="AZ279" s="288" t="s">
        <v>2032</v>
      </c>
      <c r="BA279" s="288" t="s">
        <v>2032</v>
      </c>
      <c r="BB279" s="288" t="s">
        <v>2032</v>
      </c>
      <c r="BC279" s="288" t="s">
        <v>2032</v>
      </c>
      <c r="BD279" s="289">
        <f t="shared" si="1"/>
        <v>0</v>
      </c>
      <c r="BE279" s="287" t="s">
        <v>1489</v>
      </c>
      <c r="BF279" s="272"/>
    </row>
    <row r="280" spans="1:58" ht="14.25" customHeight="1" x14ac:dyDescent="0.35">
      <c r="A280" s="68">
        <v>278</v>
      </c>
      <c r="B280" s="24" t="s">
        <v>1855</v>
      </c>
      <c r="C280" s="24">
        <v>2024</v>
      </c>
      <c r="D280" s="24" t="s">
        <v>1745</v>
      </c>
      <c r="E280" s="269" t="str">
        <f ca="1">IFERROR(__xludf.DUMMYFUNCTION("ARRAYFORMULA(JOIN("""", ARRAYFORMULA(MID(SPLIT(F280, "" ""), 1, 1))))
&amp;""/""&amp;G280"),"CLC/4 Primaria")</f>
        <v>CLC/4 Primaria</v>
      </c>
      <c r="F280" s="24" t="s">
        <v>1747</v>
      </c>
      <c r="G280" s="248" t="s">
        <v>16</v>
      </c>
      <c r="H280" s="248" t="s">
        <v>1595</v>
      </c>
      <c r="I280" s="248" t="s">
        <v>1699</v>
      </c>
      <c r="J280" s="248" t="s">
        <v>1895</v>
      </c>
      <c r="K280" s="248" t="s">
        <v>1593</v>
      </c>
      <c r="L280" s="272"/>
      <c r="M280" s="286" t="s">
        <v>1587</v>
      </c>
      <c r="N280" s="286" t="s">
        <v>1617</v>
      </c>
      <c r="O280" s="286" t="s">
        <v>1617</v>
      </c>
      <c r="P280" s="286" t="s">
        <v>1588</v>
      </c>
      <c r="Q280" s="286" t="s">
        <v>1589</v>
      </c>
      <c r="R280" s="286" t="s">
        <v>1588</v>
      </c>
      <c r="S280" s="286" t="s">
        <v>1587</v>
      </c>
      <c r="T280" s="286" t="s">
        <v>1589</v>
      </c>
      <c r="U280" s="286" t="s">
        <v>1617</v>
      </c>
      <c r="V280" s="286" t="s">
        <v>1588</v>
      </c>
      <c r="W280" s="286" t="s">
        <v>1587</v>
      </c>
      <c r="X280" s="286" t="s">
        <v>1588</v>
      </c>
      <c r="Y280" s="286" t="s">
        <v>1588</v>
      </c>
      <c r="Z280" s="286" t="s">
        <v>1589</v>
      </c>
      <c r="AA280" s="286" t="s">
        <v>1587</v>
      </c>
      <c r="AB280" s="286" t="s">
        <v>1587</v>
      </c>
      <c r="AC280" s="286" t="s">
        <v>1588</v>
      </c>
      <c r="AD280" s="286" t="s">
        <v>1588</v>
      </c>
      <c r="AE280" s="286" t="s">
        <v>1587</v>
      </c>
      <c r="AF280" s="286" t="s">
        <v>1617</v>
      </c>
      <c r="AG280" s="283">
        <v>9</v>
      </c>
      <c r="AH280" s="287" t="s">
        <v>19</v>
      </c>
      <c r="AI280" s="272"/>
      <c r="AJ280" s="288" t="s">
        <v>2032</v>
      </c>
      <c r="AK280" s="288" t="s">
        <v>2032</v>
      </c>
      <c r="AL280" s="288" t="s">
        <v>2032</v>
      </c>
      <c r="AM280" s="288" t="s">
        <v>2032</v>
      </c>
      <c r="AN280" s="288" t="s">
        <v>2032</v>
      </c>
      <c r="AO280" s="288" t="s">
        <v>2032</v>
      </c>
      <c r="AP280" s="288" t="s">
        <v>2032</v>
      </c>
      <c r="AQ280" s="288" t="s">
        <v>2032</v>
      </c>
      <c r="AR280" s="288" t="s">
        <v>2032</v>
      </c>
      <c r="AS280" s="288" t="s">
        <v>2032</v>
      </c>
      <c r="AT280" s="288" t="s">
        <v>2032</v>
      </c>
      <c r="AU280" s="288" t="s">
        <v>2032</v>
      </c>
      <c r="AV280" s="288" t="s">
        <v>2032</v>
      </c>
      <c r="AW280" s="288" t="s">
        <v>2032</v>
      </c>
      <c r="AX280" s="288" t="s">
        <v>2032</v>
      </c>
      <c r="AY280" s="288" t="s">
        <v>2032</v>
      </c>
      <c r="AZ280" s="288" t="s">
        <v>2032</v>
      </c>
      <c r="BA280" s="288" t="s">
        <v>2032</v>
      </c>
      <c r="BB280" s="288" t="s">
        <v>2032</v>
      </c>
      <c r="BC280" s="288" t="s">
        <v>2032</v>
      </c>
      <c r="BD280" s="289">
        <f t="shared" si="1"/>
        <v>0</v>
      </c>
      <c r="BE280" s="287"/>
      <c r="BF280" s="272"/>
    </row>
    <row r="281" spans="1:58" ht="14.25" customHeight="1" x14ac:dyDescent="0.35">
      <c r="A281" s="68">
        <v>279</v>
      </c>
      <c r="B281" s="24" t="s">
        <v>1855</v>
      </c>
      <c r="C281" s="24">
        <v>2024</v>
      </c>
      <c r="D281" s="24" t="s">
        <v>1541</v>
      </c>
      <c r="E281" s="269" t="str">
        <f ca="1">IFERROR(__xludf.DUMMYFUNCTION("ARRAYFORMULA(JOIN("""", ARRAYFORMULA(MID(SPLIT(F281, "" ""), 1, 1))))
&amp;""/""&amp;G281"),"MC/4 Primaria")</f>
        <v>MC/4 Primaria</v>
      </c>
      <c r="F281" s="24" t="s">
        <v>1582</v>
      </c>
      <c r="G281" s="248" t="s">
        <v>16</v>
      </c>
      <c r="H281" s="248" t="s">
        <v>1612</v>
      </c>
      <c r="I281" s="248" t="s">
        <v>1689</v>
      </c>
      <c r="J281" s="248" t="s">
        <v>1896</v>
      </c>
      <c r="K281" s="248" t="s">
        <v>1586</v>
      </c>
      <c r="L281" s="272"/>
      <c r="M281" s="286" t="s">
        <v>1617</v>
      </c>
      <c r="N281" s="286" t="s">
        <v>1589</v>
      </c>
      <c r="O281" s="286" t="s">
        <v>1588</v>
      </c>
      <c r="P281" s="286" t="s">
        <v>1617</v>
      </c>
      <c r="Q281" s="286" t="s">
        <v>1589</v>
      </c>
      <c r="R281" s="286" t="s">
        <v>1588</v>
      </c>
      <c r="S281" s="286" t="s">
        <v>1588</v>
      </c>
      <c r="T281" s="286" t="s">
        <v>1589</v>
      </c>
      <c r="U281" s="286" t="s">
        <v>1588</v>
      </c>
      <c r="V281" s="286" t="s">
        <v>1588</v>
      </c>
      <c r="W281" s="286" t="s">
        <v>1587</v>
      </c>
      <c r="X281" s="286" t="s">
        <v>1589</v>
      </c>
      <c r="Y281" s="286" t="s">
        <v>1588</v>
      </c>
      <c r="Z281" s="286" t="s">
        <v>1617</v>
      </c>
      <c r="AA281" s="286" t="s">
        <v>1588</v>
      </c>
      <c r="AB281" s="286" t="s">
        <v>1587</v>
      </c>
      <c r="AC281" s="286" t="s">
        <v>1589</v>
      </c>
      <c r="AD281" s="286" t="s">
        <v>1589</v>
      </c>
      <c r="AE281" s="286" t="s">
        <v>1588</v>
      </c>
      <c r="AF281" s="286" t="s">
        <v>1588</v>
      </c>
      <c r="AG281" s="283">
        <v>16</v>
      </c>
      <c r="AH281" s="287" t="s">
        <v>23</v>
      </c>
      <c r="AI281" s="272"/>
      <c r="AJ281" s="288" t="s">
        <v>2032</v>
      </c>
      <c r="AK281" s="288" t="s">
        <v>2032</v>
      </c>
      <c r="AL281" s="288" t="s">
        <v>2032</v>
      </c>
      <c r="AM281" s="288" t="s">
        <v>2032</v>
      </c>
      <c r="AN281" s="288" t="s">
        <v>2032</v>
      </c>
      <c r="AO281" s="288" t="s">
        <v>2032</v>
      </c>
      <c r="AP281" s="288" t="s">
        <v>2032</v>
      </c>
      <c r="AQ281" s="288" t="s">
        <v>2032</v>
      </c>
      <c r="AR281" s="288" t="s">
        <v>2032</v>
      </c>
      <c r="AS281" s="288" t="s">
        <v>2032</v>
      </c>
      <c r="AT281" s="288" t="s">
        <v>2032</v>
      </c>
      <c r="AU281" s="288" t="s">
        <v>2032</v>
      </c>
      <c r="AV281" s="288" t="s">
        <v>2032</v>
      </c>
      <c r="AW281" s="288" t="s">
        <v>2032</v>
      </c>
      <c r="AX281" s="288" t="s">
        <v>2032</v>
      </c>
      <c r="AY281" s="288" t="s">
        <v>2032</v>
      </c>
      <c r="AZ281" s="288" t="s">
        <v>2032</v>
      </c>
      <c r="BA281" s="288" t="s">
        <v>2032</v>
      </c>
      <c r="BB281" s="288" t="s">
        <v>2032</v>
      </c>
      <c r="BC281" s="288" t="s">
        <v>2032</v>
      </c>
      <c r="BD281" s="289">
        <f t="shared" si="1"/>
        <v>0</v>
      </c>
      <c r="BE281" s="287" t="s">
        <v>1489</v>
      </c>
      <c r="BF281" s="272"/>
    </row>
    <row r="282" spans="1:58" ht="14.25" customHeight="1" x14ac:dyDescent="0.35">
      <c r="A282" s="68">
        <v>280</v>
      </c>
      <c r="B282" s="24" t="s">
        <v>1855</v>
      </c>
      <c r="C282" s="24">
        <v>2024</v>
      </c>
      <c r="D282" s="24" t="s">
        <v>1745</v>
      </c>
      <c r="E282" s="269" t="str">
        <f ca="1">IFERROR(__xludf.DUMMYFUNCTION("ARRAYFORMULA(JOIN("""", ARRAYFORMULA(MID(SPLIT(F282, "" ""), 1, 1))))
&amp;""/""&amp;G282"),"CLC/4 Primaria")</f>
        <v>CLC/4 Primaria</v>
      </c>
      <c r="F282" s="24" t="s">
        <v>1747</v>
      </c>
      <c r="G282" s="248" t="s">
        <v>16</v>
      </c>
      <c r="H282" s="248" t="s">
        <v>1612</v>
      </c>
      <c r="I282" s="248" t="s">
        <v>1689</v>
      </c>
      <c r="J282" s="248" t="s">
        <v>1896</v>
      </c>
      <c r="K282" s="248" t="s">
        <v>1586</v>
      </c>
      <c r="L282" s="272"/>
      <c r="M282" s="286" t="s">
        <v>1587</v>
      </c>
      <c r="N282" s="286" t="s">
        <v>1588</v>
      </c>
      <c r="O282" s="286" t="s">
        <v>1587</v>
      </c>
      <c r="P282" s="286" t="s">
        <v>1588</v>
      </c>
      <c r="Q282" s="286" t="s">
        <v>1587</v>
      </c>
      <c r="R282" s="286" t="s">
        <v>1588</v>
      </c>
      <c r="S282" s="286" t="s">
        <v>1587</v>
      </c>
      <c r="T282" s="286" t="s">
        <v>1589</v>
      </c>
      <c r="U282" s="286" t="s">
        <v>1588</v>
      </c>
      <c r="V282" s="286" t="s">
        <v>1589</v>
      </c>
      <c r="W282" s="286" t="s">
        <v>1589</v>
      </c>
      <c r="X282" s="286" t="s">
        <v>1617</v>
      </c>
      <c r="Y282" s="286" t="s">
        <v>1588</v>
      </c>
      <c r="Z282" s="286" t="s">
        <v>1589</v>
      </c>
      <c r="AA282" s="286" t="s">
        <v>1587</v>
      </c>
      <c r="AB282" s="286" t="s">
        <v>1588</v>
      </c>
      <c r="AC282" s="286" t="s">
        <v>1588</v>
      </c>
      <c r="AD282" s="286" t="s">
        <v>1617</v>
      </c>
      <c r="AE282" s="286" t="s">
        <v>1587</v>
      </c>
      <c r="AF282" s="286" t="s">
        <v>1617</v>
      </c>
      <c r="AG282" s="283">
        <v>12</v>
      </c>
      <c r="AH282" s="287" t="s">
        <v>23</v>
      </c>
      <c r="AI282" s="272"/>
      <c r="AJ282" s="288" t="s">
        <v>2032</v>
      </c>
      <c r="AK282" s="288" t="s">
        <v>2032</v>
      </c>
      <c r="AL282" s="288" t="s">
        <v>2032</v>
      </c>
      <c r="AM282" s="288" t="s">
        <v>2032</v>
      </c>
      <c r="AN282" s="288" t="s">
        <v>2032</v>
      </c>
      <c r="AO282" s="288" t="s">
        <v>2032</v>
      </c>
      <c r="AP282" s="288" t="s">
        <v>2032</v>
      </c>
      <c r="AQ282" s="288" t="s">
        <v>2032</v>
      </c>
      <c r="AR282" s="288" t="s">
        <v>2032</v>
      </c>
      <c r="AS282" s="288" t="s">
        <v>2032</v>
      </c>
      <c r="AT282" s="288" t="s">
        <v>2032</v>
      </c>
      <c r="AU282" s="288" t="s">
        <v>2032</v>
      </c>
      <c r="AV282" s="288" t="s">
        <v>2032</v>
      </c>
      <c r="AW282" s="288" t="s">
        <v>2032</v>
      </c>
      <c r="AX282" s="288" t="s">
        <v>2032</v>
      </c>
      <c r="AY282" s="288" t="s">
        <v>2032</v>
      </c>
      <c r="AZ282" s="288" t="s">
        <v>2032</v>
      </c>
      <c r="BA282" s="288" t="s">
        <v>2032</v>
      </c>
      <c r="BB282" s="288" t="s">
        <v>2032</v>
      </c>
      <c r="BC282" s="288" t="s">
        <v>2032</v>
      </c>
      <c r="BD282" s="289">
        <f t="shared" si="1"/>
        <v>0</v>
      </c>
      <c r="BE282" s="287"/>
      <c r="BF282" s="272"/>
    </row>
    <row r="283" spans="1:58" ht="14.25" customHeight="1" x14ac:dyDescent="0.35">
      <c r="A283" s="68">
        <v>281</v>
      </c>
      <c r="B283" s="24" t="s">
        <v>1855</v>
      </c>
      <c r="C283" s="24">
        <v>2024</v>
      </c>
      <c r="D283" s="24" t="s">
        <v>1541</v>
      </c>
      <c r="E283" s="269" t="str">
        <f ca="1">IFERROR(__xludf.DUMMYFUNCTION("ARRAYFORMULA(JOIN("""", ARRAYFORMULA(MID(SPLIT(F283, "" ""), 1, 1))))
&amp;""/""&amp;G283"),"MC/4 Primaria")</f>
        <v>MC/4 Primaria</v>
      </c>
      <c r="F283" s="24" t="s">
        <v>1582</v>
      </c>
      <c r="G283" s="248" t="s">
        <v>16</v>
      </c>
      <c r="H283" s="248" t="s">
        <v>1612</v>
      </c>
      <c r="I283" s="248" t="s">
        <v>1865</v>
      </c>
      <c r="J283" s="248" t="s">
        <v>1897</v>
      </c>
      <c r="K283" s="248" t="s">
        <v>1593</v>
      </c>
      <c r="L283" s="272"/>
      <c r="M283" s="286" t="s">
        <v>1588</v>
      </c>
      <c r="N283" s="286" t="s">
        <v>1587</v>
      </c>
      <c r="O283" s="286" t="s">
        <v>1588</v>
      </c>
      <c r="P283" s="286" t="s">
        <v>1617</v>
      </c>
      <c r="Q283" s="286" t="s">
        <v>1589</v>
      </c>
      <c r="R283" s="286" t="s">
        <v>1588</v>
      </c>
      <c r="S283" s="286" t="s">
        <v>1589</v>
      </c>
      <c r="T283" s="286" t="s">
        <v>1589</v>
      </c>
      <c r="U283" s="286" t="s">
        <v>1589</v>
      </c>
      <c r="V283" s="286" t="s">
        <v>1587</v>
      </c>
      <c r="W283" s="286" t="s">
        <v>1587</v>
      </c>
      <c r="X283" s="286" t="s">
        <v>1588</v>
      </c>
      <c r="Y283" s="286" t="s">
        <v>1588</v>
      </c>
      <c r="Z283" s="286" t="s">
        <v>1588</v>
      </c>
      <c r="AA283" s="286" t="s">
        <v>1588</v>
      </c>
      <c r="AB283" s="286" t="s">
        <v>1587</v>
      </c>
      <c r="AC283" s="286" t="s">
        <v>1588</v>
      </c>
      <c r="AD283" s="286" t="s">
        <v>1587</v>
      </c>
      <c r="AE283" s="286" t="s">
        <v>1617</v>
      </c>
      <c r="AF283" s="286" t="s">
        <v>1587</v>
      </c>
      <c r="AG283" s="283">
        <v>7</v>
      </c>
      <c r="AH283" s="287" t="s">
        <v>19</v>
      </c>
      <c r="AI283" s="272"/>
      <c r="AJ283" s="288" t="s">
        <v>2032</v>
      </c>
      <c r="AK283" s="288" t="s">
        <v>2032</v>
      </c>
      <c r="AL283" s="288" t="s">
        <v>2032</v>
      </c>
      <c r="AM283" s="288" t="s">
        <v>2032</v>
      </c>
      <c r="AN283" s="288" t="s">
        <v>2032</v>
      </c>
      <c r="AO283" s="288" t="s">
        <v>2032</v>
      </c>
      <c r="AP283" s="288" t="s">
        <v>2032</v>
      </c>
      <c r="AQ283" s="288" t="s">
        <v>2032</v>
      </c>
      <c r="AR283" s="288" t="s">
        <v>2032</v>
      </c>
      <c r="AS283" s="288" t="s">
        <v>2032</v>
      </c>
      <c r="AT283" s="288" t="s">
        <v>2032</v>
      </c>
      <c r="AU283" s="288" t="s">
        <v>2032</v>
      </c>
      <c r="AV283" s="288" t="s">
        <v>2032</v>
      </c>
      <c r="AW283" s="288" t="s">
        <v>2032</v>
      </c>
      <c r="AX283" s="288" t="s">
        <v>2032</v>
      </c>
      <c r="AY283" s="288" t="s">
        <v>2032</v>
      </c>
      <c r="AZ283" s="288" t="s">
        <v>2032</v>
      </c>
      <c r="BA283" s="288" t="s">
        <v>2032</v>
      </c>
      <c r="BB283" s="288" t="s">
        <v>2032</v>
      </c>
      <c r="BC283" s="288" t="s">
        <v>2032</v>
      </c>
      <c r="BD283" s="289">
        <f t="shared" si="1"/>
        <v>0</v>
      </c>
      <c r="BE283" s="287" t="s">
        <v>1489</v>
      </c>
      <c r="BF283" s="272"/>
    </row>
    <row r="284" spans="1:58" ht="14.25" customHeight="1" x14ac:dyDescent="0.35">
      <c r="A284" s="68">
        <v>282</v>
      </c>
      <c r="B284" s="24" t="s">
        <v>1855</v>
      </c>
      <c r="C284" s="24">
        <v>2024</v>
      </c>
      <c r="D284" s="24" t="s">
        <v>1745</v>
      </c>
      <c r="E284" s="269" t="str">
        <f ca="1">IFERROR(__xludf.DUMMYFUNCTION("ARRAYFORMULA(JOIN("""", ARRAYFORMULA(MID(SPLIT(F284, "" ""), 1, 1))))
&amp;""/""&amp;G284"),"CLC/4 Primaria")</f>
        <v>CLC/4 Primaria</v>
      </c>
      <c r="F284" s="24" t="s">
        <v>1747</v>
      </c>
      <c r="G284" s="248" t="s">
        <v>16</v>
      </c>
      <c r="H284" s="248" t="s">
        <v>1612</v>
      </c>
      <c r="I284" s="248" t="s">
        <v>1865</v>
      </c>
      <c r="J284" s="248" t="s">
        <v>1897</v>
      </c>
      <c r="K284" s="248" t="s">
        <v>1593</v>
      </c>
      <c r="L284" s="272"/>
      <c r="M284" s="286" t="s">
        <v>1587</v>
      </c>
      <c r="N284" s="286" t="s">
        <v>1588</v>
      </c>
      <c r="O284" s="286" t="s">
        <v>1588</v>
      </c>
      <c r="P284" s="286" t="s">
        <v>1588</v>
      </c>
      <c r="Q284" s="286" t="s">
        <v>1589</v>
      </c>
      <c r="R284" s="286" t="s">
        <v>1587</v>
      </c>
      <c r="S284" s="286" t="s">
        <v>1587</v>
      </c>
      <c r="T284" s="286" t="s">
        <v>1617</v>
      </c>
      <c r="U284" s="286" t="s">
        <v>1588</v>
      </c>
      <c r="V284" s="286" t="s">
        <v>1587</v>
      </c>
      <c r="W284" s="286" t="s">
        <v>1587</v>
      </c>
      <c r="X284" s="286" t="s">
        <v>1589</v>
      </c>
      <c r="Y284" s="286" t="s">
        <v>1589</v>
      </c>
      <c r="Z284" s="286" t="s">
        <v>1587</v>
      </c>
      <c r="AA284" s="286" t="s">
        <v>1588</v>
      </c>
      <c r="AB284" s="286" t="s">
        <v>1617</v>
      </c>
      <c r="AC284" s="286" t="s">
        <v>1588</v>
      </c>
      <c r="AD284" s="286" t="s">
        <v>1587</v>
      </c>
      <c r="AE284" s="286" t="s">
        <v>1617</v>
      </c>
      <c r="AF284" s="286" t="s">
        <v>1617</v>
      </c>
      <c r="AG284" s="283">
        <v>12</v>
      </c>
      <c r="AH284" s="287" t="s">
        <v>23</v>
      </c>
      <c r="AI284" s="272"/>
      <c r="AJ284" s="288" t="s">
        <v>2032</v>
      </c>
      <c r="AK284" s="288" t="s">
        <v>2032</v>
      </c>
      <c r="AL284" s="288" t="s">
        <v>2032</v>
      </c>
      <c r="AM284" s="288" t="s">
        <v>2032</v>
      </c>
      <c r="AN284" s="288" t="s">
        <v>2032</v>
      </c>
      <c r="AO284" s="288" t="s">
        <v>2032</v>
      </c>
      <c r="AP284" s="288" t="s">
        <v>2032</v>
      </c>
      <c r="AQ284" s="288" t="s">
        <v>2032</v>
      </c>
      <c r="AR284" s="288" t="s">
        <v>2032</v>
      </c>
      <c r="AS284" s="288" t="s">
        <v>2032</v>
      </c>
      <c r="AT284" s="288" t="s">
        <v>2032</v>
      </c>
      <c r="AU284" s="288" t="s">
        <v>2032</v>
      </c>
      <c r="AV284" s="288" t="s">
        <v>2032</v>
      </c>
      <c r="AW284" s="288" t="s">
        <v>2032</v>
      </c>
      <c r="AX284" s="288" t="s">
        <v>2032</v>
      </c>
      <c r="AY284" s="288" t="s">
        <v>2032</v>
      </c>
      <c r="AZ284" s="288" t="s">
        <v>2032</v>
      </c>
      <c r="BA284" s="288" t="s">
        <v>2032</v>
      </c>
      <c r="BB284" s="288" t="s">
        <v>2032</v>
      </c>
      <c r="BC284" s="288" t="s">
        <v>2032</v>
      </c>
      <c r="BD284" s="289">
        <f t="shared" si="1"/>
        <v>0</v>
      </c>
      <c r="BE284" s="287"/>
      <c r="BF284" s="272"/>
    </row>
    <row r="285" spans="1:58" ht="14.25" customHeight="1" x14ac:dyDescent="0.35">
      <c r="A285" s="68">
        <v>283</v>
      </c>
      <c r="B285" s="24" t="s">
        <v>1855</v>
      </c>
      <c r="C285" s="24">
        <v>2024</v>
      </c>
      <c r="D285" s="24" t="s">
        <v>1541</v>
      </c>
      <c r="E285" s="269" t="str">
        <f ca="1">IFERROR(__xludf.DUMMYFUNCTION("ARRAYFORMULA(JOIN("""", ARRAYFORMULA(MID(SPLIT(F285, "" ""), 1, 1))))
&amp;""/""&amp;G285"),"MC/4 Primaria")</f>
        <v>MC/4 Primaria</v>
      </c>
      <c r="F285" s="24" t="s">
        <v>1582</v>
      </c>
      <c r="G285" s="248" t="s">
        <v>16</v>
      </c>
      <c r="H285" s="248" t="s">
        <v>1898</v>
      </c>
      <c r="I285" s="248" t="s">
        <v>1883</v>
      </c>
      <c r="J285" s="248" t="s">
        <v>1899</v>
      </c>
      <c r="K285" s="248" t="s">
        <v>1586</v>
      </c>
      <c r="L285" s="272"/>
      <c r="M285" s="286" t="s">
        <v>1617</v>
      </c>
      <c r="N285" s="286" t="s">
        <v>1588</v>
      </c>
      <c r="O285" s="286" t="s">
        <v>1587</v>
      </c>
      <c r="P285" s="286" t="s">
        <v>1587</v>
      </c>
      <c r="Q285" s="286" t="s">
        <v>1589</v>
      </c>
      <c r="R285" s="286" t="s">
        <v>1588</v>
      </c>
      <c r="S285" s="286" t="s">
        <v>1617</v>
      </c>
      <c r="T285" s="286" t="s">
        <v>1617</v>
      </c>
      <c r="U285" s="286" t="s">
        <v>1588</v>
      </c>
      <c r="V285" s="286" t="s">
        <v>1588</v>
      </c>
      <c r="W285" s="286" t="s">
        <v>1588</v>
      </c>
      <c r="X285" s="286" t="s">
        <v>1617</v>
      </c>
      <c r="Y285" s="286" t="s">
        <v>1588</v>
      </c>
      <c r="Z285" s="286" t="s">
        <v>1617</v>
      </c>
      <c r="AA285" s="286" t="s">
        <v>1617</v>
      </c>
      <c r="AB285" s="286" t="s">
        <v>1587</v>
      </c>
      <c r="AC285" s="286" t="s">
        <v>1617</v>
      </c>
      <c r="AD285" s="286" t="s">
        <v>1589</v>
      </c>
      <c r="AE285" s="286" t="s">
        <v>1587</v>
      </c>
      <c r="AF285" s="286" t="s">
        <v>1589</v>
      </c>
      <c r="AG285" s="283">
        <v>10</v>
      </c>
      <c r="AH285" s="287" t="s">
        <v>19</v>
      </c>
      <c r="AI285" s="272"/>
      <c r="AJ285" s="288" t="s">
        <v>2032</v>
      </c>
      <c r="AK285" s="288" t="s">
        <v>2032</v>
      </c>
      <c r="AL285" s="288" t="s">
        <v>2032</v>
      </c>
      <c r="AM285" s="288" t="s">
        <v>2032</v>
      </c>
      <c r="AN285" s="288" t="s">
        <v>2032</v>
      </c>
      <c r="AO285" s="288" t="s">
        <v>2032</v>
      </c>
      <c r="AP285" s="288" t="s">
        <v>2032</v>
      </c>
      <c r="AQ285" s="288" t="s">
        <v>2032</v>
      </c>
      <c r="AR285" s="288" t="s">
        <v>2032</v>
      </c>
      <c r="AS285" s="288" t="s">
        <v>2032</v>
      </c>
      <c r="AT285" s="288" t="s">
        <v>2032</v>
      </c>
      <c r="AU285" s="288" t="s">
        <v>2032</v>
      </c>
      <c r="AV285" s="288" t="s">
        <v>2032</v>
      </c>
      <c r="AW285" s="288" t="s">
        <v>2032</v>
      </c>
      <c r="AX285" s="288" t="s">
        <v>2032</v>
      </c>
      <c r="AY285" s="288" t="s">
        <v>2032</v>
      </c>
      <c r="AZ285" s="288" t="s">
        <v>2032</v>
      </c>
      <c r="BA285" s="288" t="s">
        <v>2032</v>
      </c>
      <c r="BB285" s="288" t="s">
        <v>2032</v>
      </c>
      <c r="BC285" s="288" t="s">
        <v>2032</v>
      </c>
      <c r="BD285" s="289">
        <f t="shared" si="1"/>
        <v>0</v>
      </c>
      <c r="BE285" s="287" t="s">
        <v>1489</v>
      </c>
      <c r="BF285" s="272"/>
    </row>
    <row r="286" spans="1:58" ht="14.25" customHeight="1" x14ac:dyDescent="0.35">
      <c r="A286" s="68">
        <v>284</v>
      </c>
      <c r="B286" s="24" t="s">
        <v>1855</v>
      </c>
      <c r="C286" s="24">
        <v>2024</v>
      </c>
      <c r="D286" s="24" t="s">
        <v>1745</v>
      </c>
      <c r="E286" s="269" t="str">
        <f ca="1">IFERROR(__xludf.DUMMYFUNCTION("ARRAYFORMULA(JOIN("""", ARRAYFORMULA(MID(SPLIT(F286, "" ""), 1, 1))))
&amp;""/""&amp;G286"),"CLC/4 Primaria")</f>
        <v>CLC/4 Primaria</v>
      </c>
      <c r="F286" s="24" t="s">
        <v>1747</v>
      </c>
      <c r="G286" s="248" t="s">
        <v>16</v>
      </c>
      <c r="H286" s="248" t="s">
        <v>1898</v>
      </c>
      <c r="I286" s="248" t="s">
        <v>1883</v>
      </c>
      <c r="J286" s="248" t="s">
        <v>1899</v>
      </c>
      <c r="K286" s="248" t="s">
        <v>1586</v>
      </c>
      <c r="L286" s="272"/>
      <c r="M286" s="286" t="s">
        <v>1587</v>
      </c>
      <c r="N286" s="286" t="s">
        <v>1589</v>
      </c>
      <c r="O286" s="286" t="s">
        <v>1588</v>
      </c>
      <c r="P286" s="286" t="s">
        <v>1588</v>
      </c>
      <c r="Q286" s="286" t="s">
        <v>1617</v>
      </c>
      <c r="R286" s="286" t="s">
        <v>1589</v>
      </c>
      <c r="S286" s="286" t="s">
        <v>1617</v>
      </c>
      <c r="T286" s="286" t="s">
        <v>1589</v>
      </c>
      <c r="U286" s="286" t="s">
        <v>1587</v>
      </c>
      <c r="V286" s="286" t="s">
        <v>1589</v>
      </c>
      <c r="W286" s="286" t="s">
        <v>1589</v>
      </c>
      <c r="X286" s="286" t="s">
        <v>1617</v>
      </c>
      <c r="Y286" s="286" t="s">
        <v>1588</v>
      </c>
      <c r="Z286" s="286" t="s">
        <v>1589</v>
      </c>
      <c r="AA286" s="286" t="s">
        <v>1587</v>
      </c>
      <c r="AB286" s="286" t="s">
        <v>1617</v>
      </c>
      <c r="AC286" s="286" t="s">
        <v>1589</v>
      </c>
      <c r="AD286" s="286" t="s">
        <v>1617</v>
      </c>
      <c r="AE286" s="286" t="s">
        <v>1589</v>
      </c>
      <c r="AF286" s="286" t="s">
        <v>1589</v>
      </c>
      <c r="AG286" s="283">
        <v>9</v>
      </c>
      <c r="AH286" s="287" t="s">
        <v>19</v>
      </c>
      <c r="AI286" s="272"/>
      <c r="AJ286" s="288" t="s">
        <v>2032</v>
      </c>
      <c r="AK286" s="288" t="s">
        <v>2032</v>
      </c>
      <c r="AL286" s="288" t="s">
        <v>2032</v>
      </c>
      <c r="AM286" s="288" t="s">
        <v>2032</v>
      </c>
      <c r="AN286" s="288" t="s">
        <v>2032</v>
      </c>
      <c r="AO286" s="288" t="s">
        <v>2032</v>
      </c>
      <c r="AP286" s="288" t="s">
        <v>2032</v>
      </c>
      <c r="AQ286" s="288" t="s">
        <v>2032</v>
      </c>
      <c r="AR286" s="288" t="s">
        <v>2032</v>
      </c>
      <c r="AS286" s="288" t="s">
        <v>2032</v>
      </c>
      <c r="AT286" s="288" t="s">
        <v>2032</v>
      </c>
      <c r="AU286" s="288" t="s">
        <v>2032</v>
      </c>
      <c r="AV286" s="288" t="s">
        <v>2032</v>
      </c>
      <c r="AW286" s="288" t="s">
        <v>2032</v>
      </c>
      <c r="AX286" s="288" t="s">
        <v>2032</v>
      </c>
      <c r="AY286" s="288" t="s">
        <v>2032</v>
      </c>
      <c r="AZ286" s="288" t="s">
        <v>2032</v>
      </c>
      <c r="BA286" s="288" t="s">
        <v>2032</v>
      </c>
      <c r="BB286" s="288" t="s">
        <v>2032</v>
      </c>
      <c r="BC286" s="288" t="s">
        <v>2032</v>
      </c>
      <c r="BD286" s="289">
        <f t="shared" si="1"/>
        <v>0</v>
      </c>
      <c r="BE286" s="287"/>
      <c r="BF286" s="272"/>
    </row>
    <row r="287" spans="1:58" ht="14.25" customHeight="1" x14ac:dyDescent="0.35">
      <c r="A287" s="68">
        <v>285</v>
      </c>
      <c r="B287" s="24" t="s">
        <v>1855</v>
      </c>
      <c r="C287" s="24">
        <v>2024</v>
      </c>
      <c r="D287" s="24" t="s">
        <v>1541</v>
      </c>
      <c r="E287" s="269" t="str">
        <f ca="1">IFERROR(__xludf.DUMMYFUNCTION("ARRAYFORMULA(JOIN("""", ARRAYFORMULA(MID(SPLIT(F287, "" ""), 1, 1))))
&amp;""/""&amp;G287"),"MC/4 Primaria")</f>
        <v>MC/4 Primaria</v>
      </c>
      <c r="F287" s="24" t="s">
        <v>1582</v>
      </c>
      <c r="G287" s="248" t="s">
        <v>16</v>
      </c>
      <c r="H287" s="248" t="s">
        <v>1865</v>
      </c>
      <c r="I287" s="248" t="s">
        <v>1612</v>
      </c>
      <c r="J287" s="248" t="s">
        <v>1900</v>
      </c>
      <c r="K287" s="248" t="s">
        <v>1586</v>
      </c>
      <c r="L287" s="272"/>
      <c r="M287" s="286" t="s">
        <v>1617</v>
      </c>
      <c r="N287" s="286" t="s">
        <v>1589</v>
      </c>
      <c r="O287" s="286" t="s">
        <v>1617</v>
      </c>
      <c r="P287" s="286" t="s">
        <v>1617</v>
      </c>
      <c r="Q287" s="286" t="s">
        <v>1589</v>
      </c>
      <c r="R287" s="286" t="s">
        <v>1588</v>
      </c>
      <c r="S287" s="286" t="s">
        <v>1589</v>
      </c>
      <c r="T287" s="286" t="s">
        <v>1617</v>
      </c>
      <c r="U287" s="286" t="s">
        <v>1588</v>
      </c>
      <c r="V287" s="286" t="s">
        <v>1588</v>
      </c>
      <c r="W287" s="286" t="s">
        <v>1617</v>
      </c>
      <c r="X287" s="286" t="s">
        <v>1588</v>
      </c>
      <c r="Y287" s="286" t="s">
        <v>1588</v>
      </c>
      <c r="Z287" s="286" t="s">
        <v>1589</v>
      </c>
      <c r="AA287" s="286" t="s">
        <v>1588</v>
      </c>
      <c r="AB287" s="286" t="s">
        <v>1587</v>
      </c>
      <c r="AC287" s="286" t="s">
        <v>1589</v>
      </c>
      <c r="AD287" s="286" t="s">
        <v>1589</v>
      </c>
      <c r="AE287" s="286" t="s">
        <v>1588</v>
      </c>
      <c r="AF287" s="286" t="s">
        <v>1588</v>
      </c>
      <c r="AG287" s="283">
        <v>15</v>
      </c>
      <c r="AH287" s="287" t="s">
        <v>23</v>
      </c>
      <c r="AI287" s="272"/>
      <c r="AJ287" s="288" t="s">
        <v>2032</v>
      </c>
      <c r="AK287" s="288" t="s">
        <v>2032</v>
      </c>
      <c r="AL287" s="288" t="s">
        <v>2032</v>
      </c>
      <c r="AM287" s="288" t="s">
        <v>2032</v>
      </c>
      <c r="AN287" s="288" t="s">
        <v>2032</v>
      </c>
      <c r="AO287" s="288" t="s">
        <v>2032</v>
      </c>
      <c r="AP287" s="288" t="s">
        <v>2032</v>
      </c>
      <c r="AQ287" s="288" t="s">
        <v>2032</v>
      </c>
      <c r="AR287" s="288" t="s">
        <v>2032</v>
      </c>
      <c r="AS287" s="288" t="s">
        <v>2032</v>
      </c>
      <c r="AT287" s="288" t="s">
        <v>2032</v>
      </c>
      <c r="AU287" s="288" t="s">
        <v>2032</v>
      </c>
      <c r="AV287" s="288" t="s">
        <v>2032</v>
      </c>
      <c r="AW287" s="288" t="s">
        <v>2032</v>
      </c>
      <c r="AX287" s="288" t="s">
        <v>2032</v>
      </c>
      <c r="AY287" s="288" t="s">
        <v>2032</v>
      </c>
      <c r="AZ287" s="288" t="s">
        <v>2032</v>
      </c>
      <c r="BA287" s="288" t="s">
        <v>2032</v>
      </c>
      <c r="BB287" s="288" t="s">
        <v>2032</v>
      </c>
      <c r="BC287" s="288" t="s">
        <v>2032</v>
      </c>
      <c r="BD287" s="289">
        <f t="shared" si="1"/>
        <v>0</v>
      </c>
      <c r="BE287" s="287" t="s">
        <v>1489</v>
      </c>
      <c r="BF287" s="272"/>
    </row>
    <row r="288" spans="1:58" ht="14.25" customHeight="1" x14ac:dyDescent="0.35">
      <c r="A288" s="68">
        <v>286</v>
      </c>
      <c r="B288" s="24" t="s">
        <v>1855</v>
      </c>
      <c r="C288" s="24">
        <v>2024</v>
      </c>
      <c r="D288" s="24" t="s">
        <v>1745</v>
      </c>
      <c r="E288" s="269" t="str">
        <f ca="1">IFERROR(__xludf.DUMMYFUNCTION("ARRAYFORMULA(JOIN("""", ARRAYFORMULA(MID(SPLIT(F288, "" ""), 1, 1))))
&amp;""/""&amp;G288"),"CLC/4 Primaria")</f>
        <v>CLC/4 Primaria</v>
      </c>
      <c r="F288" s="24" t="s">
        <v>1747</v>
      </c>
      <c r="G288" s="248" t="s">
        <v>16</v>
      </c>
      <c r="H288" s="248" t="s">
        <v>1865</v>
      </c>
      <c r="I288" s="248" t="s">
        <v>1612</v>
      </c>
      <c r="J288" s="248" t="s">
        <v>1900</v>
      </c>
      <c r="K288" s="248" t="s">
        <v>1586</v>
      </c>
      <c r="L288" s="272"/>
      <c r="M288" s="286" t="s">
        <v>1587</v>
      </c>
      <c r="N288" s="286" t="s">
        <v>1617</v>
      </c>
      <c r="O288" s="286" t="s">
        <v>1588</v>
      </c>
      <c r="P288" s="286" t="s">
        <v>1588</v>
      </c>
      <c r="Q288" s="286" t="s">
        <v>1587</v>
      </c>
      <c r="R288" s="286" t="s">
        <v>1617</v>
      </c>
      <c r="S288" s="286" t="s">
        <v>1587</v>
      </c>
      <c r="T288" s="286" t="s">
        <v>1589</v>
      </c>
      <c r="U288" s="286" t="s">
        <v>1588</v>
      </c>
      <c r="V288" s="286" t="s">
        <v>1587</v>
      </c>
      <c r="W288" s="286" t="s">
        <v>1617</v>
      </c>
      <c r="X288" s="286" t="s">
        <v>1588</v>
      </c>
      <c r="Y288" s="286" t="s">
        <v>1588</v>
      </c>
      <c r="Z288" s="286" t="s">
        <v>1588</v>
      </c>
      <c r="AA288" s="286" t="s">
        <v>1587</v>
      </c>
      <c r="AB288" s="286" t="s">
        <v>1589</v>
      </c>
      <c r="AC288" s="286" t="s">
        <v>1588</v>
      </c>
      <c r="AD288" s="286" t="s">
        <v>1587</v>
      </c>
      <c r="AE288" s="286" t="s">
        <v>1589</v>
      </c>
      <c r="AF288" s="286" t="s">
        <v>1617</v>
      </c>
      <c r="AG288" s="283">
        <v>14</v>
      </c>
      <c r="AH288" s="287" t="s">
        <v>23</v>
      </c>
      <c r="AI288" s="272"/>
      <c r="AJ288" s="288" t="s">
        <v>2032</v>
      </c>
      <c r="AK288" s="288" t="s">
        <v>2032</v>
      </c>
      <c r="AL288" s="288" t="s">
        <v>2032</v>
      </c>
      <c r="AM288" s="288" t="s">
        <v>2032</v>
      </c>
      <c r="AN288" s="288" t="s">
        <v>2032</v>
      </c>
      <c r="AO288" s="288" t="s">
        <v>2032</v>
      </c>
      <c r="AP288" s="288" t="s">
        <v>2032</v>
      </c>
      <c r="AQ288" s="288" t="s">
        <v>2032</v>
      </c>
      <c r="AR288" s="288" t="s">
        <v>2032</v>
      </c>
      <c r="AS288" s="288" t="s">
        <v>2032</v>
      </c>
      <c r="AT288" s="288" t="s">
        <v>2032</v>
      </c>
      <c r="AU288" s="288" t="s">
        <v>2032</v>
      </c>
      <c r="AV288" s="288" t="s">
        <v>2032</v>
      </c>
      <c r="AW288" s="288" t="s">
        <v>2032</v>
      </c>
      <c r="AX288" s="288" t="s">
        <v>2032</v>
      </c>
      <c r="AY288" s="288" t="s">
        <v>2032</v>
      </c>
      <c r="AZ288" s="288" t="s">
        <v>2032</v>
      </c>
      <c r="BA288" s="288" t="s">
        <v>2032</v>
      </c>
      <c r="BB288" s="288" t="s">
        <v>2032</v>
      </c>
      <c r="BC288" s="288" t="s">
        <v>2032</v>
      </c>
      <c r="BD288" s="289">
        <f t="shared" si="1"/>
        <v>0</v>
      </c>
      <c r="BE288" s="287"/>
      <c r="BF288" s="272"/>
    </row>
    <row r="289" spans="1:58" ht="14.25" customHeight="1" x14ac:dyDescent="0.35">
      <c r="A289" s="68">
        <v>287</v>
      </c>
      <c r="B289" s="24" t="s">
        <v>1855</v>
      </c>
      <c r="C289" s="24">
        <v>2024</v>
      </c>
      <c r="D289" s="24" t="s">
        <v>1541</v>
      </c>
      <c r="E289" s="269" t="str">
        <f ca="1">IFERROR(__xludf.DUMMYFUNCTION("ARRAYFORMULA(JOIN("""", ARRAYFORMULA(MID(SPLIT(F289, "" ""), 1, 1))))
&amp;""/""&amp;G289"),"MC/4 Primaria")</f>
        <v>MC/4 Primaria</v>
      </c>
      <c r="F289" s="24" t="s">
        <v>1582</v>
      </c>
      <c r="G289" s="248" t="s">
        <v>16</v>
      </c>
      <c r="H289" s="248" t="s">
        <v>1873</v>
      </c>
      <c r="I289" s="248" t="s">
        <v>1874</v>
      </c>
      <c r="J289" s="248" t="s">
        <v>1901</v>
      </c>
      <c r="K289" s="248" t="s">
        <v>1593</v>
      </c>
      <c r="L289" s="272"/>
      <c r="M289" s="286" t="s">
        <v>1617</v>
      </c>
      <c r="N289" s="286" t="s">
        <v>1589</v>
      </c>
      <c r="O289" s="286" t="s">
        <v>1617</v>
      </c>
      <c r="P289" s="286" t="s">
        <v>1617</v>
      </c>
      <c r="Q289" s="286" t="s">
        <v>1589</v>
      </c>
      <c r="R289" s="286" t="s">
        <v>1588</v>
      </c>
      <c r="S289" s="286" t="s">
        <v>1587</v>
      </c>
      <c r="T289" s="286" t="s">
        <v>1589</v>
      </c>
      <c r="U289" s="286" t="s">
        <v>1588</v>
      </c>
      <c r="V289" s="286" t="s">
        <v>1588</v>
      </c>
      <c r="W289" s="286" t="s">
        <v>1617</v>
      </c>
      <c r="X289" s="286" t="s">
        <v>1589</v>
      </c>
      <c r="Y289" s="286" t="s">
        <v>1589</v>
      </c>
      <c r="Z289" s="286" t="s">
        <v>1617</v>
      </c>
      <c r="AA289" s="286" t="s">
        <v>1617</v>
      </c>
      <c r="AB289" s="286" t="s">
        <v>1587</v>
      </c>
      <c r="AC289" s="286" t="s">
        <v>1617</v>
      </c>
      <c r="AD289" s="286" t="s">
        <v>1589</v>
      </c>
      <c r="AE289" s="286" t="s">
        <v>1589</v>
      </c>
      <c r="AF289" s="286" t="s">
        <v>1588</v>
      </c>
      <c r="AG289" s="283">
        <v>16</v>
      </c>
      <c r="AH289" s="287" t="s">
        <v>23</v>
      </c>
      <c r="AI289" s="272"/>
      <c r="AJ289" s="288" t="s">
        <v>2032</v>
      </c>
      <c r="AK289" s="288" t="s">
        <v>2032</v>
      </c>
      <c r="AL289" s="288" t="s">
        <v>2032</v>
      </c>
      <c r="AM289" s="288" t="s">
        <v>2032</v>
      </c>
      <c r="AN289" s="288" t="s">
        <v>2032</v>
      </c>
      <c r="AO289" s="288" t="s">
        <v>2032</v>
      </c>
      <c r="AP289" s="288" t="s">
        <v>2032</v>
      </c>
      <c r="AQ289" s="288" t="s">
        <v>2032</v>
      </c>
      <c r="AR289" s="288" t="s">
        <v>2032</v>
      </c>
      <c r="AS289" s="288" t="s">
        <v>2032</v>
      </c>
      <c r="AT289" s="288" t="s">
        <v>2032</v>
      </c>
      <c r="AU289" s="288" t="s">
        <v>2032</v>
      </c>
      <c r="AV289" s="288" t="s">
        <v>2032</v>
      </c>
      <c r="AW289" s="288" t="s">
        <v>2032</v>
      </c>
      <c r="AX289" s="288" t="s">
        <v>2032</v>
      </c>
      <c r="AY289" s="288" t="s">
        <v>2032</v>
      </c>
      <c r="AZ289" s="288" t="s">
        <v>2032</v>
      </c>
      <c r="BA289" s="288" t="s">
        <v>2032</v>
      </c>
      <c r="BB289" s="288" t="s">
        <v>2032</v>
      </c>
      <c r="BC289" s="288" t="s">
        <v>2032</v>
      </c>
      <c r="BD289" s="289">
        <f t="shared" si="1"/>
        <v>0</v>
      </c>
      <c r="BE289" s="287" t="s">
        <v>1489</v>
      </c>
      <c r="BF289" s="272"/>
    </row>
    <row r="290" spans="1:58" ht="14.25" customHeight="1" x14ac:dyDescent="0.35">
      <c r="A290" s="68">
        <v>288</v>
      </c>
      <c r="B290" s="24" t="s">
        <v>1855</v>
      </c>
      <c r="C290" s="24">
        <v>2024</v>
      </c>
      <c r="D290" s="24" t="s">
        <v>1745</v>
      </c>
      <c r="E290" s="269" t="str">
        <f ca="1">IFERROR(__xludf.DUMMYFUNCTION("ARRAYFORMULA(JOIN("""", ARRAYFORMULA(MID(SPLIT(F290, "" ""), 1, 1))))
&amp;""/""&amp;G290"),"CLC/4 Primaria")</f>
        <v>CLC/4 Primaria</v>
      </c>
      <c r="F290" s="24" t="s">
        <v>1747</v>
      </c>
      <c r="G290" s="248" t="s">
        <v>16</v>
      </c>
      <c r="H290" s="248" t="s">
        <v>1873</v>
      </c>
      <c r="I290" s="248" t="s">
        <v>1874</v>
      </c>
      <c r="J290" s="248" t="s">
        <v>1901</v>
      </c>
      <c r="K290" s="248" t="s">
        <v>1593</v>
      </c>
      <c r="L290" s="272"/>
      <c r="M290" s="286" t="s">
        <v>1587</v>
      </c>
      <c r="N290" s="286" t="s">
        <v>1588</v>
      </c>
      <c r="O290" s="286" t="s">
        <v>1588</v>
      </c>
      <c r="P290" s="286" t="s">
        <v>1588</v>
      </c>
      <c r="Q290" s="286" t="s">
        <v>1589</v>
      </c>
      <c r="R290" s="286" t="s">
        <v>1588</v>
      </c>
      <c r="S290" s="286" t="s">
        <v>1587</v>
      </c>
      <c r="T290" s="286" t="s">
        <v>1589</v>
      </c>
      <c r="U290" s="286" t="s">
        <v>1588</v>
      </c>
      <c r="V290" s="286" t="s">
        <v>1587</v>
      </c>
      <c r="W290" s="286" t="s">
        <v>1589</v>
      </c>
      <c r="X290" s="286" t="s">
        <v>1589</v>
      </c>
      <c r="Y290" s="286" t="s">
        <v>1588</v>
      </c>
      <c r="Z290" s="286" t="s">
        <v>1589</v>
      </c>
      <c r="AA290" s="286" t="s">
        <v>1587</v>
      </c>
      <c r="AB290" s="286" t="s">
        <v>1589</v>
      </c>
      <c r="AC290" s="286" t="s">
        <v>1588</v>
      </c>
      <c r="AD290" s="286" t="s">
        <v>1587</v>
      </c>
      <c r="AE290" s="286" t="s">
        <v>1589</v>
      </c>
      <c r="AF290" s="286" t="s">
        <v>1617</v>
      </c>
      <c r="AG290" s="283">
        <v>17</v>
      </c>
      <c r="AH290" s="287" t="s">
        <v>25</v>
      </c>
      <c r="AI290" s="272"/>
      <c r="AJ290" s="288" t="s">
        <v>2032</v>
      </c>
      <c r="AK290" s="288" t="s">
        <v>2032</v>
      </c>
      <c r="AL290" s="288" t="s">
        <v>2032</v>
      </c>
      <c r="AM290" s="288" t="s">
        <v>2032</v>
      </c>
      <c r="AN290" s="288" t="s">
        <v>2032</v>
      </c>
      <c r="AO290" s="288" t="s">
        <v>2032</v>
      </c>
      <c r="AP290" s="288" t="s">
        <v>2032</v>
      </c>
      <c r="AQ290" s="288" t="s">
        <v>2032</v>
      </c>
      <c r="AR290" s="288" t="s">
        <v>2032</v>
      </c>
      <c r="AS290" s="288" t="s">
        <v>2032</v>
      </c>
      <c r="AT290" s="288" t="s">
        <v>2032</v>
      </c>
      <c r="AU290" s="288" t="s">
        <v>2032</v>
      </c>
      <c r="AV290" s="288" t="s">
        <v>2032</v>
      </c>
      <c r="AW290" s="288" t="s">
        <v>2032</v>
      </c>
      <c r="AX290" s="288" t="s">
        <v>2032</v>
      </c>
      <c r="AY290" s="288" t="s">
        <v>2032</v>
      </c>
      <c r="AZ290" s="288" t="s">
        <v>2032</v>
      </c>
      <c r="BA290" s="288" t="s">
        <v>2032</v>
      </c>
      <c r="BB290" s="288" t="s">
        <v>2032</v>
      </c>
      <c r="BC290" s="288" t="s">
        <v>2032</v>
      </c>
      <c r="BD290" s="289">
        <f t="shared" si="1"/>
        <v>0</v>
      </c>
      <c r="BE290" s="287"/>
      <c r="BF290" s="272"/>
    </row>
    <row r="291" spans="1:58" ht="14.25" customHeight="1" x14ac:dyDescent="0.35">
      <c r="A291" s="68">
        <v>289</v>
      </c>
      <c r="B291" s="24" t="s">
        <v>1855</v>
      </c>
      <c r="C291" s="24">
        <v>2024</v>
      </c>
      <c r="D291" s="24" t="s">
        <v>1541</v>
      </c>
      <c r="E291" s="269" t="str">
        <f ca="1">IFERROR(__xludf.DUMMYFUNCTION("ARRAYFORMULA(JOIN("""", ARRAYFORMULA(MID(SPLIT(F291, "" ""), 1, 1))))
&amp;""/""&amp;G291"),"MC/4 Primaria")</f>
        <v>MC/4 Primaria</v>
      </c>
      <c r="F291" s="24" t="s">
        <v>1582</v>
      </c>
      <c r="G291" s="248" t="s">
        <v>16</v>
      </c>
      <c r="H291" s="248" t="s">
        <v>1699</v>
      </c>
      <c r="I291" s="248" t="s">
        <v>1863</v>
      </c>
      <c r="J291" s="248" t="s">
        <v>1902</v>
      </c>
      <c r="K291" s="248" t="s">
        <v>1593</v>
      </c>
      <c r="L291" s="272"/>
      <c r="M291" s="286" t="s">
        <v>1617</v>
      </c>
      <c r="N291" s="286" t="s">
        <v>1589</v>
      </c>
      <c r="O291" s="286" t="s">
        <v>1587</v>
      </c>
      <c r="P291" s="286" t="s">
        <v>1617</v>
      </c>
      <c r="Q291" s="286" t="s">
        <v>1589</v>
      </c>
      <c r="R291" s="286" t="s">
        <v>1588</v>
      </c>
      <c r="S291" s="286" t="s">
        <v>1587</v>
      </c>
      <c r="T291" s="286" t="s">
        <v>1589</v>
      </c>
      <c r="U291" s="286" t="s">
        <v>1587</v>
      </c>
      <c r="V291" s="286" t="s">
        <v>1588</v>
      </c>
      <c r="W291" s="286"/>
      <c r="X291" s="286" t="s">
        <v>1589</v>
      </c>
      <c r="Y291" s="286" t="s">
        <v>1588</v>
      </c>
      <c r="Z291" s="286" t="s">
        <v>1617</v>
      </c>
      <c r="AA291" s="286" t="s">
        <v>1588</v>
      </c>
      <c r="AB291" s="286" t="s">
        <v>1587</v>
      </c>
      <c r="AC291" s="286" t="s">
        <v>1617</v>
      </c>
      <c r="AD291" s="286" t="s">
        <v>1589</v>
      </c>
      <c r="AE291" s="286" t="s">
        <v>1589</v>
      </c>
      <c r="AF291" s="286" t="s">
        <v>1588</v>
      </c>
      <c r="AG291" s="283">
        <v>15</v>
      </c>
      <c r="AH291" s="287" t="s">
        <v>23</v>
      </c>
      <c r="AI291" s="272"/>
      <c r="AJ291" s="288" t="s">
        <v>2032</v>
      </c>
      <c r="AK291" s="288" t="s">
        <v>2032</v>
      </c>
      <c r="AL291" s="288" t="s">
        <v>2032</v>
      </c>
      <c r="AM291" s="288" t="s">
        <v>2032</v>
      </c>
      <c r="AN291" s="288" t="s">
        <v>2032</v>
      </c>
      <c r="AO291" s="288" t="s">
        <v>2032</v>
      </c>
      <c r="AP291" s="288" t="s">
        <v>2032</v>
      </c>
      <c r="AQ291" s="288" t="s">
        <v>2032</v>
      </c>
      <c r="AR291" s="288" t="s">
        <v>2032</v>
      </c>
      <c r="AS291" s="288" t="s">
        <v>2032</v>
      </c>
      <c r="AT291" s="288" t="s">
        <v>2032</v>
      </c>
      <c r="AU291" s="288" t="s">
        <v>2032</v>
      </c>
      <c r="AV291" s="288" t="s">
        <v>2032</v>
      </c>
      <c r="AW291" s="288" t="s">
        <v>2032</v>
      </c>
      <c r="AX291" s="288" t="s">
        <v>2032</v>
      </c>
      <c r="AY291" s="288" t="s">
        <v>2032</v>
      </c>
      <c r="AZ291" s="288" t="s">
        <v>2032</v>
      </c>
      <c r="BA291" s="288" t="s">
        <v>2032</v>
      </c>
      <c r="BB291" s="288" t="s">
        <v>2032</v>
      </c>
      <c r="BC291" s="288" t="s">
        <v>2032</v>
      </c>
      <c r="BD291" s="289">
        <f t="shared" si="1"/>
        <v>0</v>
      </c>
      <c r="BE291" s="287" t="s">
        <v>1489</v>
      </c>
      <c r="BF291" s="272"/>
    </row>
    <row r="292" spans="1:58" ht="14.25" customHeight="1" x14ac:dyDescent="0.35">
      <c r="A292" s="68">
        <v>290</v>
      </c>
      <c r="B292" s="24" t="s">
        <v>1855</v>
      </c>
      <c r="C292" s="24">
        <v>2024</v>
      </c>
      <c r="D292" s="24" t="s">
        <v>1745</v>
      </c>
      <c r="E292" s="269" t="str">
        <f ca="1">IFERROR(__xludf.DUMMYFUNCTION("ARRAYFORMULA(JOIN("""", ARRAYFORMULA(MID(SPLIT(F292, "" ""), 1, 1))))
&amp;""/""&amp;G292"),"CLC/4 Primaria")</f>
        <v>CLC/4 Primaria</v>
      </c>
      <c r="F292" s="24" t="s">
        <v>1747</v>
      </c>
      <c r="G292" s="248" t="s">
        <v>16</v>
      </c>
      <c r="H292" s="248" t="s">
        <v>1699</v>
      </c>
      <c r="I292" s="248" t="s">
        <v>1863</v>
      </c>
      <c r="J292" s="248" t="s">
        <v>1902</v>
      </c>
      <c r="K292" s="248" t="s">
        <v>1593</v>
      </c>
      <c r="L292" s="272"/>
      <c r="M292" s="286" t="s">
        <v>1587</v>
      </c>
      <c r="N292" s="286" t="s">
        <v>1588</v>
      </c>
      <c r="O292" s="286" t="s">
        <v>1588</v>
      </c>
      <c r="P292" s="286" t="s">
        <v>1588</v>
      </c>
      <c r="Q292" s="286" t="s">
        <v>1589</v>
      </c>
      <c r="R292" s="286" t="s">
        <v>1588</v>
      </c>
      <c r="S292" s="286" t="s">
        <v>1587</v>
      </c>
      <c r="T292" s="286" t="s">
        <v>1589</v>
      </c>
      <c r="U292" s="286" t="s">
        <v>1588</v>
      </c>
      <c r="V292" s="286" t="s">
        <v>1587</v>
      </c>
      <c r="W292" s="286" t="s">
        <v>1589</v>
      </c>
      <c r="X292" s="286" t="s">
        <v>1589</v>
      </c>
      <c r="Y292" s="286" t="s">
        <v>1588</v>
      </c>
      <c r="Z292" s="286" t="s">
        <v>1589</v>
      </c>
      <c r="AA292" s="286" t="s">
        <v>1587</v>
      </c>
      <c r="AB292" s="286" t="s">
        <v>1589</v>
      </c>
      <c r="AC292" s="286" t="s">
        <v>1588</v>
      </c>
      <c r="AD292" s="286" t="s">
        <v>1587</v>
      </c>
      <c r="AE292" s="286" t="s">
        <v>1589</v>
      </c>
      <c r="AF292" s="286" t="s">
        <v>1589</v>
      </c>
      <c r="AG292" s="283">
        <v>16</v>
      </c>
      <c r="AH292" s="287" t="s">
        <v>23</v>
      </c>
      <c r="AI292" s="272"/>
      <c r="AJ292" s="288" t="s">
        <v>2032</v>
      </c>
      <c r="AK292" s="288" t="s">
        <v>2032</v>
      </c>
      <c r="AL292" s="288" t="s">
        <v>2032</v>
      </c>
      <c r="AM292" s="288" t="s">
        <v>2032</v>
      </c>
      <c r="AN292" s="288" t="s">
        <v>2032</v>
      </c>
      <c r="AO292" s="288" t="s">
        <v>2032</v>
      </c>
      <c r="AP292" s="288" t="s">
        <v>2032</v>
      </c>
      <c r="AQ292" s="288" t="s">
        <v>2032</v>
      </c>
      <c r="AR292" s="288" t="s">
        <v>2032</v>
      </c>
      <c r="AS292" s="288" t="s">
        <v>2032</v>
      </c>
      <c r="AT292" s="288" t="s">
        <v>2032</v>
      </c>
      <c r="AU292" s="288" t="s">
        <v>2032</v>
      </c>
      <c r="AV292" s="288" t="s">
        <v>2032</v>
      </c>
      <c r="AW292" s="288" t="s">
        <v>2032</v>
      </c>
      <c r="AX292" s="288" t="s">
        <v>2032</v>
      </c>
      <c r="AY292" s="288" t="s">
        <v>2032</v>
      </c>
      <c r="AZ292" s="288" t="s">
        <v>2032</v>
      </c>
      <c r="BA292" s="288" t="s">
        <v>2032</v>
      </c>
      <c r="BB292" s="288" t="s">
        <v>2032</v>
      </c>
      <c r="BC292" s="288" t="s">
        <v>2032</v>
      </c>
      <c r="BD292" s="289">
        <f t="shared" si="1"/>
        <v>0</v>
      </c>
      <c r="BE292" s="287"/>
      <c r="BF292" s="272"/>
    </row>
    <row r="293" spans="1:58" ht="14.25" customHeight="1" x14ac:dyDescent="0.35">
      <c r="A293" s="68">
        <v>291</v>
      </c>
      <c r="B293" s="24" t="s">
        <v>1855</v>
      </c>
      <c r="C293" s="24">
        <v>2024</v>
      </c>
      <c r="D293" s="24" t="s">
        <v>1541</v>
      </c>
      <c r="E293" s="269" t="str">
        <f ca="1">IFERROR(__xludf.DUMMYFUNCTION("ARRAYFORMULA(JOIN("""", ARRAYFORMULA(MID(SPLIT(F293, "" ""), 1, 1))))
&amp;""/""&amp;G293"),"MC/4 Primaria")</f>
        <v>MC/4 Primaria</v>
      </c>
      <c r="F293" s="24" t="s">
        <v>1582</v>
      </c>
      <c r="G293" s="248" t="s">
        <v>16</v>
      </c>
      <c r="H293" s="248" t="s">
        <v>1672</v>
      </c>
      <c r="I293" s="248" t="s">
        <v>1672</v>
      </c>
      <c r="J293" s="248" t="s">
        <v>1903</v>
      </c>
      <c r="K293" s="248" t="s">
        <v>1586</v>
      </c>
      <c r="L293" s="272"/>
      <c r="M293" s="286" t="s">
        <v>1617</v>
      </c>
      <c r="N293" s="286" t="s">
        <v>1587</v>
      </c>
      <c r="O293" s="286" t="s">
        <v>1587</v>
      </c>
      <c r="P293" s="286" t="s">
        <v>1617</v>
      </c>
      <c r="Q293" s="286" t="s">
        <v>1589</v>
      </c>
      <c r="R293" s="286" t="s">
        <v>1588</v>
      </c>
      <c r="S293" s="286" t="s">
        <v>1588</v>
      </c>
      <c r="T293" s="286" t="s">
        <v>1589</v>
      </c>
      <c r="U293" s="286" t="s">
        <v>1588</v>
      </c>
      <c r="V293" s="286" t="s">
        <v>1588</v>
      </c>
      <c r="W293" s="286" t="s">
        <v>1587</v>
      </c>
      <c r="X293" s="286" t="s">
        <v>1617</v>
      </c>
      <c r="Y293" s="286" t="s">
        <v>1589</v>
      </c>
      <c r="Z293" s="286" t="s">
        <v>1617</v>
      </c>
      <c r="AA293" s="286" t="s">
        <v>1587</v>
      </c>
      <c r="AB293" s="286" t="s">
        <v>1617</v>
      </c>
      <c r="AC293" s="286" t="s">
        <v>1617</v>
      </c>
      <c r="AD293" s="286" t="s">
        <v>1589</v>
      </c>
      <c r="AE293" s="286" t="s">
        <v>1589</v>
      </c>
      <c r="AF293" s="286" t="s">
        <v>1588</v>
      </c>
      <c r="AG293" s="283">
        <v>10</v>
      </c>
      <c r="AH293" s="287" t="s">
        <v>19</v>
      </c>
      <c r="AI293" s="272"/>
      <c r="AJ293" s="288" t="s">
        <v>2032</v>
      </c>
      <c r="AK293" s="288" t="s">
        <v>2032</v>
      </c>
      <c r="AL293" s="288" t="s">
        <v>2032</v>
      </c>
      <c r="AM293" s="288" t="s">
        <v>2032</v>
      </c>
      <c r="AN293" s="288" t="s">
        <v>2032</v>
      </c>
      <c r="AO293" s="288" t="s">
        <v>2032</v>
      </c>
      <c r="AP293" s="288" t="s">
        <v>2032</v>
      </c>
      <c r="AQ293" s="288" t="s">
        <v>2032</v>
      </c>
      <c r="AR293" s="288" t="s">
        <v>2032</v>
      </c>
      <c r="AS293" s="288" t="s">
        <v>2032</v>
      </c>
      <c r="AT293" s="288" t="s">
        <v>2032</v>
      </c>
      <c r="AU293" s="288" t="s">
        <v>2032</v>
      </c>
      <c r="AV293" s="288" t="s">
        <v>2032</v>
      </c>
      <c r="AW293" s="288" t="s">
        <v>2032</v>
      </c>
      <c r="AX293" s="288" t="s">
        <v>2032</v>
      </c>
      <c r="AY293" s="288" t="s">
        <v>2032</v>
      </c>
      <c r="AZ293" s="288" t="s">
        <v>2032</v>
      </c>
      <c r="BA293" s="288" t="s">
        <v>2032</v>
      </c>
      <c r="BB293" s="288" t="s">
        <v>2032</v>
      </c>
      <c r="BC293" s="288" t="s">
        <v>2032</v>
      </c>
      <c r="BD293" s="289">
        <f t="shared" si="1"/>
        <v>0</v>
      </c>
      <c r="BE293" s="287" t="s">
        <v>1489</v>
      </c>
      <c r="BF293" s="272"/>
    </row>
    <row r="294" spans="1:58" ht="14.25" customHeight="1" x14ac:dyDescent="0.35">
      <c r="A294" s="68">
        <v>292</v>
      </c>
      <c r="B294" s="24" t="s">
        <v>1855</v>
      </c>
      <c r="C294" s="24">
        <v>2024</v>
      </c>
      <c r="D294" s="24" t="s">
        <v>1745</v>
      </c>
      <c r="E294" s="269" t="str">
        <f ca="1">IFERROR(__xludf.DUMMYFUNCTION("ARRAYFORMULA(JOIN("""", ARRAYFORMULA(MID(SPLIT(F294, "" ""), 1, 1))))
&amp;""/""&amp;G294"),"CLC/4 Primaria")</f>
        <v>CLC/4 Primaria</v>
      </c>
      <c r="F294" s="24" t="s">
        <v>1747</v>
      </c>
      <c r="G294" s="248" t="s">
        <v>16</v>
      </c>
      <c r="H294" s="248" t="s">
        <v>1672</v>
      </c>
      <c r="I294" s="248" t="s">
        <v>1672</v>
      </c>
      <c r="J294" s="248" t="s">
        <v>1903</v>
      </c>
      <c r="K294" s="248" t="s">
        <v>1586</v>
      </c>
      <c r="L294" s="272"/>
      <c r="M294" s="286" t="s">
        <v>1587</v>
      </c>
      <c r="N294" s="286" t="s">
        <v>1588</v>
      </c>
      <c r="O294" s="286" t="s">
        <v>1588</v>
      </c>
      <c r="P294" s="286" t="s">
        <v>1588</v>
      </c>
      <c r="Q294" s="286" t="s">
        <v>1589</v>
      </c>
      <c r="R294" s="286" t="s">
        <v>1588</v>
      </c>
      <c r="S294" s="286" t="s">
        <v>1617</v>
      </c>
      <c r="T294" s="286" t="s">
        <v>1589</v>
      </c>
      <c r="U294" s="286" t="s">
        <v>1587</v>
      </c>
      <c r="V294" s="286" t="s">
        <v>1617</v>
      </c>
      <c r="W294" s="286" t="s">
        <v>1589</v>
      </c>
      <c r="X294" s="286" t="s">
        <v>1589</v>
      </c>
      <c r="Y294" s="286" t="s">
        <v>1587</v>
      </c>
      <c r="Z294" s="286" t="s">
        <v>1589</v>
      </c>
      <c r="AA294" s="286" t="s">
        <v>1589</v>
      </c>
      <c r="AB294" s="286" t="s">
        <v>1588</v>
      </c>
      <c r="AC294" s="286" t="s">
        <v>1588</v>
      </c>
      <c r="AD294" s="286" t="s">
        <v>1589</v>
      </c>
      <c r="AE294" s="286" t="s">
        <v>1588</v>
      </c>
      <c r="AF294" s="286" t="s">
        <v>1589</v>
      </c>
      <c r="AG294" s="283">
        <v>9</v>
      </c>
      <c r="AH294" s="287" t="s">
        <v>19</v>
      </c>
      <c r="AI294" s="272"/>
      <c r="AJ294" s="288" t="s">
        <v>2032</v>
      </c>
      <c r="AK294" s="288" t="s">
        <v>2032</v>
      </c>
      <c r="AL294" s="288" t="s">
        <v>2032</v>
      </c>
      <c r="AM294" s="288" t="s">
        <v>2032</v>
      </c>
      <c r="AN294" s="288" t="s">
        <v>2032</v>
      </c>
      <c r="AO294" s="288" t="s">
        <v>2032</v>
      </c>
      <c r="AP294" s="288" t="s">
        <v>2032</v>
      </c>
      <c r="AQ294" s="288" t="s">
        <v>2032</v>
      </c>
      <c r="AR294" s="288" t="s">
        <v>2032</v>
      </c>
      <c r="AS294" s="288" t="s">
        <v>2032</v>
      </c>
      <c r="AT294" s="288" t="s">
        <v>2032</v>
      </c>
      <c r="AU294" s="288" t="s">
        <v>2032</v>
      </c>
      <c r="AV294" s="288" t="s">
        <v>2032</v>
      </c>
      <c r="AW294" s="288" t="s">
        <v>2032</v>
      </c>
      <c r="AX294" s="288" t="s">
        <v>2032</v>
      </c>
      <c r="AY294" s="288" t="s">
        <v>2032</v>
      </c>
      <c r="AZ294" s="288" t="s">
        <v>2032</v>
      </c>
      <c r="BA294" s="288" t="s">
        <v>2032</v>
      </c>
      <c r="BB294" s="288" t="s">
        <v>2032</v>
      </c>
      <c r="BC294" s="288" t="s">
        <v>2032</v>
      </c>
      <c r="BD294" s="289">
        <f t="shared" si="1"/>
        <v>0</v>
      </c>
      <c r="BE294" s="287"/>
      <c r="BF294" s="272"/>
    </row>
    <row r="295" spans="1:58" ht="14.25" customHeight="1" x14ac:dyDescent="0.35">
      <c r="A295" s="68">
        <v>293</v>
      </c>
      <c r="B295" s="24" t="s">
        <v>1855</v>
      </c>
      <c r="C295" s="24">
        <v>2024</v>
      </c>
      <c r="D295" s="24" t="s">
        <v>1541</v>
      </c>
      <c r="E295" s="269" t="str">
        <f ca="1">IFERROR(__xludf.DUMMYFUNCTION("ARRAYFORMULA(JOIN("""", ARRAYFORMULA(MID(SPLIT(F295, "" ""), 1, 1))))
&amp;""/""&amp;G295"),"MC/4 Primaria")</f>
        <v>MC/4 Primaria</v>
      </c>
      <c r="F295" s="24" t="s">
        <v>1582</v>
      </c>
      <c r="G295" s="248" t="s">
        <v>16</v>
      </c>
      <c r="H295" s="248" t="s">
        <v>1904</v>
      </c>
      <c r="I295" s="248" t="s">
        <v>1699</v>
      </c>
      <c r="J295" s="248" t="s">
        <v>1905</v>
      </c>
      <c r="K295" s="248" t="s">
        <v>1593</v>
      </c>
      <c r="L295" s="272"/>
      <c r="M295" s="286" t="s">
        <v>1617</v>
      </c>
      <c r="N295" s="286" t="s">
        <v>1589</v>
      </c>
      <c r="O295" s="286" t="s">
        <v>1617</v>
      </c>
      <c r="P295" s="286" t="s">
        <v>1617</v>
      </c>
      <c r="Q295" s="286" t="s">
        <v>1589</v>
      </c>
      <c r="R295" s="286" t="s">
        <v>1588</v>
      </c>
      <c r="S295" s="286" t="s">
        <v>1587</v>
      </c>
      <c r="T295" s="286" t="s">
        <v>1589</v>
      </c>
      <c r="U295" s="286" t="s">
        <v>1587</v>
      </c>
      <c r="V295" s="286" t="s">
        <v>1588</v>
      </c>
      <c r="W295" s="286" t="s">
        <v>1617</v>
      </c>
      <c r="X295" s="286" t="s">
        <v>1589</v>
      </c>
      <c r="Y295" s="286" t="s">
        <v>1588</v>
      </c>
      <c r="Z295" s="286" t="s">
        <v>1617</v>
      </c>
      <c r="AA295" s="286" t="s">
        <v>1588</v>
      </c>
      <c r="AB295" s="286" t="s">
        <v>1587</v>
      </c>
      <c r="AC295" s="286" t="s">
        <v>1589</v>
      </c>
      <c r="AD295" s="286" t="s">
        <v>1589</v>
      </c>
      <c r="AE295" s="286" t="s">
        <v>1589</v>
      </c>
      <c r="AF295" s="286" t="s">
        <v>1588</v>
      </c>
      <c r="AG295" s="283">
        <v>18</v>
      </c>
      <c r="AH295" s="287" t="s">
        <v>25</v>
      </c>
      <c r="AI295" s="272"/>
      <c r="AJ295" s="288" t="s">
        <v>2032</v>
      </c>
      <c r="AK295" s="288" t="s">
        <v>2032</v>
      </c>
      <c r="AL295" s="288" t="s">
        <v>2032</v>
      </c>
      <c r="AM295" s="288" t="s">
        <v>2032</v>
      </c>
      <c r="AN295" s="288" t="s">
        <v>2032</v>
      </c>
      <c r="AO295" s="288" t="s">
        <v>2032</v>
      </c>
      <c r="AP295" s="288" t="s">
        <v>2032</v>
      </c>
      <c r="AQ295" s="288" t="s">
        <v>2032</v>
      </c>
      <c r="AR295" s="288" t="s">
        <v>2032</v>
      </c>
      <c r="AS295" s="288" t="s">
        <v>2032</v>
      </c>
      <c r="AT295" s="288" t="s">
        <v>2032</v>
      </c>
      <c r="AU295" s="288" t="s">
        <v>2032</v>
      </c>
      <c r="AV295" s="288" t="s">
        <v>2032</v>
      </c>
      <c r="AW295" s="288" t="s">
        <v>2032</v>
      </c>
      <c r="AX295" s="288" t="s">
        <v>2032</v>
      </c>
      <c r="AY295" s="288" t="s">
        <v>2032</v>
      </c>
      <c r="AZ295" s="288" t="s">
        <v>2032</v>
      </c>
      <c r="BA295" s="288" t="s">
        <v>2032</v>
      </c>
      <c r="BB295" s="288" t="s">
        <v>2032</v>
      </c>
      <c r="BC295" s="288" t="s">
        <v>2032</v>
      </c>
      <c r="BD295" s="289">
        <f t="shared" si="1"/>
        <v>0</v>
      </c>
      <c r="BE295" s="287" t="s">
        <v>1489</v>
      </c>
      <c r="BF295" s="272"/>
    </row>
    <row r="296" spans="1:58" ht="14.25" customHeight="1" x14ac:dyDescent="0.35">
      <c r="A296" s="68">
        <v>294</v>
      </c>
      <c r="B296" s="24" t="s">
        <v>1855</v>
      </c>
      <c r="C296" s="24">
        <v>2024</v>
      </c>
      <c r="D296" s="24" t="s">
        <v>1745</v>
      </c>
      <c r="E296" s="269" t="str">
        <f ca="1">IFERROR(__xludf.DUMMYFUNCTION("ARRAYFORMULA(JOIN("""", ARRAYFORMULA(MID(SPLIT(F296, "" ""), 1, 1))))
&amp;""/""&amp;G296"),"CLC/4 Primaria")</f>
        <v>CLC/4 Primaria</v>
      </c>
      <c r="F296" s="24" t="s">
        <v>1747</v>
      </c>
      <c r="G296" s="248" t="s">
        <v>16</v>
      </c>
      <c r="H296" s="248" t="s">
        <v>1904</v>
      </c>
      <c r="I296" s="248" t="s">
        <v>1699</v>
      </c>
      <c r="J296" s="248" t="s">
        <v>1905</v>
      </c>
      <c r="K296" s="248" t="s">
        <v>1593</v>
      </c>
      <c r="L296" s="272"/>
      <c r="M296" s="286" t="s">
        <v>1587</v>
      </c>
      <c r="N296" s="286" t="s">
        <v>1588</v>
      </c>
      <c r="O296" s="286" t="s">
        <v>1588</v>
      </c>
      <c r="P296" s="286" t="s">
        <v>1588</v>
      </c>
      <c r="Q296" s="286" t="s">
        <v>1589</v>
      </c>
      <c r="R296" s="286" t="s">
        <v>1588</v>
      </c>
      <c r="S296" s="286" t="s">
        <v>1587</v>
      </c>
      <c r="T296" s="286" t="s">
        <v>1587</v>
      </c>
      <c r="U296" s="286" t="s">
        <v>1588</v>
      </c>
      <c r="V296" s="286" t="s">
        <v>1587</v>
      </c>
      <c r="W296" s="286" t="s">
        <v>1589</v>
      </c>
      <c r="X296" s="286" t="s">
        <v>1589</v>
      </c>
      <c r="Y296" s="286" t="s">
        <v>1588</v>
      </c>
      <c r="Z296" s="286" t="s">
        <v>1589</v>
      </c>
      <c r="AA296" s="286" t="s">
        <v>1587</v>
      </c>
      <c r="AB296" s="286" t="s">
        <v>1589</v>
      </c>
      <c r="AC296" s="286" t="s">
        <v>1588</v>
      </c>
      <c r="AD296" s="286" t="s">
        <v>1587</v>
      </c>
      <c r="AE296" s="286" t="s">
        <v>1589</v>
      </c>
      <c r="AF296" s="286" t="s">
        <v>1589</v>
      </c>
      <c r="AG296" s="283">
        <v>15</v>
      </c>
      <c r="AH296" s="287" t="s">
        <v>23</v>
      </c>
      <c r="AI296" s="272"/>
      <c r="AJ296" s="288" t="s">
        <v>2032</v>
      </c>
      <c r="AK296" s="288" t="s">
        <v>2032</v>
      </c>
      <c r="AL296" s="288" t="s">
        <v>2032</v>
      </c>
      <c r="AM296" s="288" t="s">
        <v>2032</v>
      </c>
      <c r="AN296" s="288" t="s">
        <v>2032</v>
      </c>
      <c r="AO296" s="288" t="s">
        <v>2032</v>
      </c>
      <c r="AP296" s="288" t="s">
        <v>2032</v>
      </c>
      <c r="AQ296" s="288" t="s">
        <v>2032</v>
      </c>
      <c r="AR296" s="288" t="s">
        <v>2032</v>
      </c>
      <c r="AS296" s="288" t="s">
        <v>2032</v>
      </c>
      <c r="AT296" s="288" t="s">
        <v>2032</v>
      </c>
      <c r="AU296" s="288" t="s">
        <v>2032</v>
      </c>
      <c r="AV296" s="288" t="s">
        <v>2032</v>
      </c>
      <c r="AW296" s="288" t="s">
        <v>2032</v>
      </c>
      <c r="AX296" s="288" t="s">
        <v>2032</v>
      </c>
      <c r="AY296" s="288" t="s">
        <v>2032</v>
      </c>
      <c r="AZ296" s="288" t="s">
        <v>2032</v>
      </c>
      <c r="BA296" s="288" t="s">
        <v>2032</v>
      </c>
      <c r="BB296" s="288" t="s">
        <v>2032</v>
      </c>
      <c r="BC296" s="288" t="s">
        <v>2032</v>
      </c>
      <c r="BD296" s="289">
        <f t="shared" si="1"/>
        <v>0</v>
      </c>
      <c r="BE296" s="287"/>
      <c r="BF296" s="272"/>
    </row>
    <row r="297" spans="1:58" ht="14.25" customHeight="1" x14ac:dyDescent="0.35">
      <c r="A297" s="68">
        <v>295</v>
      </c>
      <c r="B297" s="24" t="s">
        <v>1855</v>
      </c>
      <c r="C297" s="24">
        <v>2024</v>
      </c>
      <c r="D297" s="24" t="s">
        <v>1541</v>
      </c>
      <c r="E297" s="269" t="str">
        <f ca="1">IFERROR(__xludf.DUMMYFUNCTION("ARRAYFORMULA(JOIN("""", ARRAYFORMULA(MID(SPLIT(F297, "" ""), 1, 1))))
&amp;""/""&amp;G297"),"MC/4 Primaria")</f>
        <v>MC/4 Primaria</v>
      </c>
      <c r="F297" s="24" t="s">
        <v>1582</v>
      </c>
      <c r="G297" s="248" t="s">
        <v>16</v>
      </c>
      <c r="H297" s="248" t="s">
        <v>1656</v>
      </c>
      <c r="I297" s="248" t="s">
        <v>1595</v>
      </c>
      <c r="J297" s="248" t="s">
        <v>1906</v>
      </c>
      <c r="K297" s="248" t="s">
        <v>1593</v>
      </c>
      <c r="L297" s="272"/>
      <c r="M297" s="286" t="s">
        <v>1617</v>
      </c>
      <c r="N297" s="286" t="s">
        <v>1589</v>
      </c>
      <c r="O297" s="286" t="s">
        <v>1617</v>
      </c>
      <c r="P297" s="286" t="s">
        <v>1617</v>
      </c>
      <c r="Q297" s="286" t="s">
        <v>1589</v>
      </c>
      <c r="R297" s="286" t="s">
        <v>1588</v>
      </c>
      <c r="S297" s="286" t="s">
        <v>1587</v>
      </c>
      <c r="T297" s="286" t="s">
        <v>1589</v>
      </c>
      <c r="U297" s="286" t="s">
        <v>1588</v>
      </c>
      <c r="V297" s="286" t="s">
        <v>1588</v>
      </c>
      <c r="W297" s="286" t="s">
        <v>1617</v>
      </c>
      <c r="X297" s="286" t="s">
        <v>1589</v>
      </c>
      <c r="Y297" s="286" t="s">
        <v>1588</v>
      </c>
      <c r="Z297" s="286" t="s">
        <v>1588</v>
      </c>
      <c r="AA297" s="286" t="s">
        <v>1588</v>
      </c>
      <c r="AB297" s="286" t="s">
        <v>1587</v>
      </c>
      <c r="AC297" s="286" t="s">
        <v>1617</v>
      </c>
      <c r="AD297" s="286" t="s">
        <v>1589</v>
      </c>
      <c r="AE297" s="286" t="s">
        <v>1589</v>
      </c>
      <c r="AF297" s="286" t="s">
        <v>1588</v>
      </c>
      <c r="AG297" s="283">
        <v>17</v>
      </c>
      <c r="AH297" s="287" t="s">
        <v>25</v>
      </c>
      <c r="AI297" s="272"/>
      <c r="AJ297" s="288" t="s">
        <v>2032</v>
      </c>
      <c r="AK297" s="288" t="s">
        <v>2032</v>
      </c>
      <c r="AL297" s="288" t="s">
        <v>2032</v>
      </c>
      <c r="AM297" s="288" t="s">
        <v>2032</v>
      </c>
      <c r="AN297" s="288" t="s">
        <v>2032</v>
      </c>
      <c r="AO297" s="288" t="s">
        <v>2032</v>
      </c>
      <c r="AP297" s="288" t="s">
        <v>2032</v>
      </c>
      <c r="AQ297" s="288" t="s">
        <v>2032</v>
      </c>
      <c r="AR297" s="288" t="s">
        <v>2032</v>
      </c>
      <c r="AS297" s="288" t="s">
        <v>2032</v>
      </c>
      <c r="AT297" s="288" t="s">
        <v>2032</v>
      </c>
      <c r="AU297" s="288" t="s">
        <v>2032</v>
      </c>
      <c r="AV297" s="288" t="s">
        <v>2032</v>
      </c>
      <c r="AW297" s="288" t="s">
        <v>2032</v>
      </c>
      <c r="AX297" s="288" t="s">
        <v>2032</v>
      </c>
      <c r="AY297" s="288" t="s">
        <v>2032</v>
      </c>
      <c r="AZ297" s="288" t="s">
        <v>2032</v>
      </c>
      <c r="BA297" s="288" t="s">
        <v>2032</v>
      </c>
      <c r="BB297" s="288" t="s">
        <v>2032</v>
      </c>
      <c r="BC297" s="288" t="s">
        <v>2032</v>
      </c>
      <c r="BD297" s="289">
        <f t="shared" si="1"/>
        <v>0</v>
      </c>
      <c r="BE297" s="287" t="s">
        <v>1489</v>
      </c>
      <c r="BF297" s="272"/>
    </row>
    <row r="298" spans="1:58" ht="14.25" customHeight="1" x14ac:dyDescent="0.35">
      <c r="A298" s="68">
        <v>296</v>
      </c>
      <c r="B298" s="24" t="s">
        <v>1855</v>
      </c>
      <c r="C298" s="24">
        <v>2024</v>
      </c>
      <c r="D298" s="24" t="s">
        <v>1745</v>
      </c>
      <c r="E298" s="269" t="str">
        <f ca="1">IFERROR(__xludf.DUMMYFUNCTION("ARRAYFORMULA(JOIN("""", ARRAYFORMULA(MID(SPLIT(F298, "" ""), 1, 1))))
&amp;""/""&amp;G298"),"CLC/4 Primaria")</f>
        <v>CLC/4 Primaria</v>
      </c>
      <c r="F298" s="24" t="s">
        <v>1747</v>
      </c>
      <c r="G298" s="248" t="s">
        <v>16</v>
      </c>
      <c r="H298" s="248" t="s">
        <v>1656</v>
      </c>
      <c r="I298" s="248" t="s">
        <v>1595</v>
      </c>
      <c r="J298" s="248" t="s">
        <v>1906</v>
      </c>
      <c r="K298" s="248" t="s">
        <v>1593</v>
      </c>
      <c r="L298" s="272"/>
      <c r="M298" s="286" t="s">
        <v>1587</v>
      </c>
      <c r="N298" s="286" t="s">
        <v>1588</v>
      </c>
      <c r="O298" s="286" t="s">
        <v>1588</v>
      </c>
      <c r="P298" s="286" t="s">
        <v>1588</v>
      </c>
      <c r="Q298" s="286" t="s">
        <v>1589</v>
      </c>
      <c r="R298" s="286" t="s">
        <v>1589</v>
      </c>
      <c r="S298" s="286" t="s">
        <v>1587</v>
      </c>
      <c r="T298" s="286" t="s">
        <v>1589</v>
      </c>
      <c r="U298" s="286" t="s">
        <v>1588</v>
      </c>
      <c r="V298" s="286"/>
      <c r="W298" s="286" t="s">
        <v>1589</v>
      </c>
      <c r="X298" s="286" t="s">
        <v>1589</v>
      </c>
      <c r="Y298" s="286" t="s">
        <v>1588</v>
      </c>
      <c r="Z298" s="286" t="s">
        <v>1588</v>
      </c>
      <c r="AA298" s="286" t="s">
        <v>1587</v>
      </c>
      <c r="AB298" s="286" t="s">
        <v>1589</v>
      </c>
      <c r="AC298" s="286" t="s">
        <v>1588</v>
      </c>
      <c r="AD298" s="286" t="s">
        <v>1617</v>
      </c>
      <c r="AE298" s="286" t="s">
        <v>1587</v>
      </c>
      <c r="AF298" s="286" t="s">
        <v>1589</v>
      </c>
      <c r="AG298" s="283">
        <v>13</v>
      </c>
      <c r="AH298" s="287" t="s">
        <v>23</v>
      </c>
      <c r="AI298" s="272"/>
      <c r="AJ298" s="288" t="s">
        <v>2032</v>
      </c>
      <c r="AK298" s="288" t="s">
        <v>2032</v>
      </c>
      <c r="AL298" s="288" t="s">
        <v>2032</v>
      </c>
      <c r="AM298" s="288" t="s">
        <v>2032</v>
      </c>
      <c r="AN298" s="288" t="s">
        <v>2032</v>
      </c>
      <c r="AO298" s="288" t="s">
        <v>2032</v>
      </c>
      <c r="AP298" s="288" t="s">
        <v>2032</v>
      </c>
      <c r="AQ298" s="288" t="s">
        <v>2032</v>
      </c>
      <c r="AR298" s="288" t="s">
        <v>2032</v>
      </c>
      <c r="AS298" s="288" t="s">
        <v>2032</v>
      </c>
      <c r="AT298" s="288" t="s">
        <v>2032</v>
      </c>
      <c r="AU298" s="288" t="s">
        <v>2032</v>
      </c>
      <c r="AV298" s="288" t="s">
        <v>2032</v>
      </c>
      <c r="AW298" s="288" t="s">
        <v>2032</v>
      </c>
      <c r="AX298" s="288" t="s">
        <v>2032</v>
      </c>
      <c r="AY298" s="288" t="s">
        <v>2032</v>
      </c>
      <c r="AZ298" s="288" t="s">
        <v>2032</v>
      </c>
      <c r="BA298" s="288" t="s">
        <v>2032</v>
      </c>
      <c r="BB298" s="288" t="s">
        <v>2032</v>
      </c>
      <c r="BC298" s="288" t="s">
        <v>2032</v>
      </c>
      <c r="BD298" s="289">
        <f t="shared" si="1"/>
        <v>0</v>
      </c>
      <c r="BE298" s="287"/>
      <c r="BF298" s="272"/>
    </row>
    <row r="299" spans="1:58" ht="14.25" customHeight="1" x14ac:dyDescent="0.35">
      <c r="A299" s="68">
        <v>297</v>
      </c>
      <c r="B299" s="24" t="s">
        <v>1855</v>
      </c>
      <c r="C299" s="24">
        <v>2024</v>
      </c>
      <c r="D299" s="24" t="s">
        <v>1541</v>
      </c>
      <c r="E299" s="269" t="str">
        <f ca="1">IFERROR(__xludf.DUMMYFUNCTION("ARRAYFORMULA(JOIN("""", ARRAYFORMULA(MID(SPLIT(F299, "" ""), 1, 1))))
&amp;""/""&amp;G299"),"MC/4 Primaria")</f>
        <v>MC/4 Primaria</v>
      </c>
      <c r="F299" s="24" t="s">
        <v>1582</v>
      </c>
      <c r="G299" s="248" t="s">
        <v>16</v>
      </c>
      <c r="H299" s="248" t="s">
        <v>1765</v>
      </c>
      <c r="I299" s="248" t="s">
        <v>1865</v>
      </c>
      <c r="J299" s="248" t="s">
        <v>1907</v>
      </c>
      <c r="K299" s="248" t="s">
        <v>1593</v>
      </c>
      <c r="L299" s="272"/>
      <c r="M299" s="286" t="s">
        <v>1587</v>
      </c>
      <c r="N299" s="286" t="s">
        <v>1589</v>
      </c>
      <c r="O299" s="286" t="s">
        <v>1617</v>
      </c>
      <c r="P299" s="286" t="s">
        <v>1587</v>
      </c>
      <c r="Q299" s="286" t="s">
        <v>1589</v>
      </c>
      <c r="R299" s="286" t="s">
        <v>1589</v>
      </c>
      <c r="S299" s="286" t="s">
        <v>1589</v>
      </c>
      <c r="T299" s="286" t="s">
        <v>1617</v>
      </c>
      <c r="U299" s="286" t="s">
        <v>1587</v>
      </c>
      <c r="V299" s="286" t="s">
        <v>1588</v>
      </c>
      <c r="W299" s="286" t="s">
        <v>1617</v>
      </c>
      <c r="X299" s="286" t="s">
        <v>1589</v>
      </c>
      <c r="Y299" s="286" t="s">
        <v>1588</v>
      </c>
      <c r="Z299" s="286" t="s">
        <v>1589</v>
      </c>
      <c r="AA299" s="286" t="s">
        <v>1589</v>
      </c>
      <c r="AB299" s="286" t="s">
        <v>1588</v>
      </c>
      <c r="AC299" s="286" t="s">
        <v>1587</v>
      </c>
      <c r="AD299" s="286" t="s">
        <v>1589</v>
      </c>
      <c r="AE299" s="286" t="s">
        <v>1589</v>
      </c>
      <c r="AF299" s="286" t="s">
        <v>1588</v>
      </c>
      <c r="AG299" s="283">
        <v>9</v>
      </c>
      <c r="AH299" s="287" t="s">
        <v>19</v>
      </c>
      <c r="AI299" s="272"/>
      <c r="AJ299" s="288" t="s">
        <v>2032</v>
      </c>
      <c r="AK299" s="288" t="s">
        <v>2032</v>
      </c>
      <c r="AL299" s="288" t="s">
        <v>2032</v>
      </c>
      <c r="AM299" s="288" t="s">
        <v>2032</v>
      </c>
      <c r="AN299" s="288" t="s">
        <v>2032</v>
      </c>
      <c r="AO299" s="288" t="s">
        <v>2032</v>
      </c>
      <c r="AP299" s="288" t="s">
        <v>2032</v>
      </c>
      <c r="AQ299" s="288" t="s">
        <v>2032</v>
      </c>
      <c r="AR299" s="288" t="s">
        <v>2032</v>
      </c>
      <c r="AS299" s="288" t="s">
        <v>2032</v>
      </c>
      <c r="AT299" s="288" t="s">
        <v>2032</v>
      </c>
      <c r="AU299" s="288" t="s">
        <v>2032</v>
      </c>
      <c r="AV299" s="288" t="s">
        <v>2032</v>
      </c>
      <c r="AW299" s="288" t="s">
        <v>2032</v>
      </c>
      <c r="AX299" s="288" t="s">
        <v>2032</v>
      </c>
      <c r="AY299" s="288" t="s">
        <v>2032</v>
      </c>
      <c r="AZ299" s="288" t="s">
        <v>2032</v>
      </c>
      <c r="BA299" s="288" t="s">
        <v>2032</v>
      </c>
      <c r="BB299" s="288" t="s">
        <v>2032</v>
      </c>
      <c r="BC299" s="288" t="s">
        <v>2032</v>
      </c>
      <c r="BD299" s="289">
        <f t="shared" si="1"/>
        <v>0</v>
      </c>
      <c r="BE299" s="287" t="s">
        <v>1489</v>
      </c>
      <c r="BF299" s="272"/>
    </row>
    <row r="300" spans="1:58" ht="14.25" customHeight="1" x14ac:dyDescent="0.35">
      <c r="A300" s="68">
        <v>298</v>
      </c>
      <c r="B300" s="24" t="s">
        <v>1855</v>
      </c>
      <c r="C300" s="24">
        <v>2024</v>
      </c>
      <c r="D300" s="24" t="s">
        <v>1745</v>
      </c>
      <c r="E300" s="269" t="str">
        <f ca="1">IFERROR(__xludf.DUMMYFUNCTION("ARRAYFORMULA(JOIN("""", ARRAYFORMULA(MID(SPLIT(F300, "" ""), 1, 1))))
&amp;""/""&amp;G300"),"CLC/4 Primaria")</f>
        <v>CLC/4 Primaria</v>
      </c>
      <c r="F300" s="24" t="s">
        <v>1747</v>
      </c>
      <c r="G300" s="248" t="s">
        <v>16</v>
      </c>
      <c r="H300" s="248" t="s">
        <v>1765</v>
      </c>
      <c r="I300" s="248" t="s">
        <v>1865</v>
      </c>
      <c r="J300" s="248" t="s">
        <v>1907</v>
      </c>
      <c r="K300" s="248" t="s">
        <v>1593</v>
      </c>
      <c r="L300" s="272"/>
      <c r="M300" s="286" t="s">
        <v>1587</v>
      </c>
      <c r="N300" s="286" t="s">
        <v>1588</v>
      </c>
      <c r="O300" s="286" t="s">
        <v>1588</v>
      </c>
      <c r="P300" s="286" t="s">
        <v>1588</v>
      </c>
      <c r="Q300" s="286" t="s">
        <v>1589</v>
      </c>
      <c r="R300" s="286" t="s">
        <v>1587</v>
      </c>
      <c r="S300" s="286" t="s">
        <v>1587</v>
      </c>
      <c r="T300" s="286" t="s">
        <v>1589</v>
      </c>
      <c r="U300" s="286" t="s">
        <v>1588</v>
      </c>
      <c r="V300" s="286" t="s">
        <v>1589</v>
      </c>
      <c r="W300" s="286" t="s">
        <v>1589</v>
      </c>
      <c r="X300" s="286" t="s">
        <v>1589</v>
      </c>
      <c r="Y300" s="286" t="s">
        <v>1588</v>
      </c>
      <c r="Z300" s="286" t="s">
        <v>1589</v>
      </c>
      <c r="AA300" s="286" t="s">
        <v>1587</v>
      </c>
      <c r="AB300" s="286" t="s">
        <v>1589</v>
      </c>
      <c r="AC300" s="286" t="s">
        <v>1588</v>
      </c>
      <c r="AD300" s="286" t="s">
        <v>1617</v>
      </c>
      <c r="AE300" s="286" t="s">
        <v>1617</v>
      </c>
      <c r="AF300" s="286" t="s">
        <v>1587</v>
      </c>
      <c r="AG300" s="283">
        <v>15</v>
      </c>
      <c r="AH300" s="287" t="s">
        <v>23</v>
      </c>
      <c r="AI300" s="272"/>
      <c r="AJ300" s="288" t="s">
        <v>2032</v>
      </c>
      <c r="AK300" s="288" t="s">
        <v>2032</v>
      </c>
      <c r="AL300" s="288" t="s">
        <v>2032</v>
      </c>
      <c r="AM300" s="288" t="s">
        <v>2032</v>
      </c>
      <c r="AN300" s="288" t="s">
        <v>2032</v>
      </c>
      <c r="AO300" s="288" t="s">
        <v>2032</v>
      </c>
      <c r="AP300" s="288" t="s">
        <v>2032</v>
      </c>
      <c r="AQ300" s="288" t="s">
        <v>2032</v>
      </c>
      <c r="AR300" s="288" t="s">
        <v>2032</v>
      </c>
      <c r="AS300" s="288" t="s">
        <v>2032</v>
      </c>
      <c r="AT300" s="288" t="s">
        <v>2032</v>
      </c>
      <c r="AU300" s="288" t="s">
        <v>2032</v>
      </c>
      <c r="AV300" s="288" t="s">
        <v>2032</v>
      </c>
      <c r="AW300" s="288" t="s">
        <v>2032</v>
      </c>
      <c r="AX300" s="288" t="s">
        <v>2032</v>
      </c>
      <c r="AY300" s="288" t="s">
        <v>2032</v>
      </c>
      <c r="AZ300" s="288" t="s">
        <v>2032</v>
      </c>
      <c r="BA300" s="288" t="s">
        <v>2032</v>
      </c>
      <c r="BB300" s="288" t="s">
        <v>2032</v>
      </c>
      <c r="BC300" s="288" t="s">
        <v>2032</v>
      </c>
      <c r="BD300" s="289">
        <f t="shared" si="1"/>
        <v>0</v>
      </c>
      <c r="BE300" s="287"/>
      <c r="BF300" s="272"/>
    </row>
    <row r="301" spans="1:58" ht="14.25" customHeight="1" x14ac:dyDescent="0.35">
      <c r="A301" s="68">
        <v>299</v>
      </c>
      <c r="B301" s="24" t="s">
        <v>1855</v>
      </c>
      <c r="C301" s="24">
        <v>2024</v>
      </c>
      <c r="D301" s="24" t="s">
        <v>1541</v>
      </c>
      <c r="E301" s="269" t="str">
        <f ca="1">IFERROR(__xludf.DUMMYFUNCTION("ARRAYFORMULA(JOIN("""", ARRAYFORMULA(MID(SPLIT(F301, "" ""), 1, 1))))
&amp;""/""&amp;G301"),"MC/4 Primaria")</f>
        <v>MC/4 Primaria</v>
      </c>
      <c r="F301" s="24" t="s">
        <v>1582</v>
      </c>
      <c r="G301" s="248" t="s">
        <v>16</v>
      </c>
      <c r="H301" s="248" t="s">
        <v>1612</v>
      </c>
      <c r="I301" s="248" t="s">
        <v>1765</v>
      </c>
      <c r="J301" s="248" t="s">
        <v>1908</v>
      </c>
      <c r="K301" s="248" t="s">
        <v>1593</v>
      </c>
      <c r="L301" s="272"/>
      <c r="M301" s="286" t="s">
        <v>1617</v>
      </c>
      <c r="N301" s="286" t="s">
        <v>1588</v>
      </c>
      <c r="O301" s="286" t="s">
        <v>1587</v>
      </c>
      <c r="P301" s="286" t="s">
        <v>1587</v>
      </c>
      <c r="Q301" s="286" t="s">
        <v>1589</v>
      </c>
      <c r="R301" s="286" t="s">
        <v>1617</v>
      </c>
      <c r="S301" s="286" t="s">
        <v>1587</v>
      </c>
      <c r="T301" s="286" t="s">
        <v>1589</v>
      </c>
      <c r="U301" s="286" t="s">
        <v>1589</v>
      </c>
      <c r="V301" s="286" t="s">
        <v>1589</v>
      </c>
      <c r="W301" s="286" t="s">
        <v>1587</v>
      </c>
      <c r="X301" s="286" t="s">
        <v>1589</v>
      </c>
      <c r="Y301" s="286" t="s">
        <v>1589</v>
      </c>
      <c r="Z301" s="286" t="s">
        <v>1589</v>
      </c>
      <c r="AA301" s="286" t="s">
        <v>1587</v>
      </c>
      <c r="AB301" s="286" t="s">
        <v>1587</v>
      </c>
      <c r="AC301" s="286" t="s">
        <v>1617</v>
      </c>
      <c r="AD301" s="286" t="s">
        <v>1589</v>
      </c>
      <c r="AE301" s="286" t="s">
        <v>1589</v>
      </c>
      <c r="AF301" s="286" t="s">
        <v>1588</v>
      </c>
      <c r="AG301" s="283">
        <v>8</v>
      </c>
      <c r="AH301" s="287" t="s">
        <v>19</v>
      </c>
      <c r="AI301" s="272"/>
      <c r="AJ301" s="288" t="s">
        <v>2032</v>
      </c>
      <c r="AK301" s="288" t="s">
        <v>2032</v>
      </c>
      <c r="AL301" s="288" t="s">
        <v>2032</v>
      </c>
      <c r="AM301" s="288" t="s">
        <v>2032</v>
      </c>
      <c r="AN301" s="288" t="s">
        <v>2032</v>
      </c>
      <c r="AO301" s="288" t="s">
        <v>2032</v>
      </c>
      <c r="AP301" s="288" t="s">
        <v>2032</v>
      </c>
      <c r="AQ301" s="288" t="s">
        <v>2032</v>
      </c>
      <c r="AR301" s="288" t="s">
        <v>2032</v>
      </c>
      <c r="AS301" s="288" t="s">
        <v>2032</v>
      </c>
      <c r="AT301" s="288" t="s">
        <v>2032</v>
      </c>
      <c r="AU301" s="288" t="s">
        <v>2032</v>
      </c>
      <c r="AV301" s="288" t="s">
        <v>2032</v>
      </c>
      <c r="AW301" s="288" t="s">
        <v>2032</v>
      </c>
      <c r="AX301" s="288" t="s">
        <v>2032</v>
      </c>
      <c r="AY301" s="288" t="s">
        <v>2032</v>
      </c>
      <c r="AZ301" s="288" t="s">
        <v>2032</v>
      </c>
      <c r="BA301" s="288" t="s">
        <v>2032</v>
      </c>
      <c r="BB301" s="288" t="s">
        <v>2032</v>
      </c>
      <c r="BC301" s="288" t="s">
        <v>2032</v>
      </c>
      <c r="BD301" s="289">
        <f t="shared" si="1"/>
        <v>0</v>
      </c>
      <c r="BE301" s="287" t="s">
        <v>1489</v>
      </c>
      <c r="BF301" s="272"/>
    </row>
    <row r="302" spans="1:58" ht="14.25" customHeight="1" x14ac:dyDescent="0.35">
      <c r="A302" s="68">
        <v>300</v>
      </c>
      <c r="B302" s="24" t="s">
        <v>1855</v>
      </c>
      <c r="C302" s="24">
        <v>2024</v>
      </c>
      <c r="D302" s="24" t="s">
        <v>1745</v>
      </c>
      <c r="E302" s="269" t="str">
        <f ca="1">IFERROR(__xludf.DUMMYFUNCTION("ARRAYFORMULA(JOIN("""", ARRAYFORMULA(MID(SPLIT(F302, "" ""), 1, 1))))
&amp;""/""&amp;G302"),"CLC/4 Primaria")</f>
        <v>CLC/4 Primaria</v>
      </c>
      <c r="F302" s="24" t="s">
        <v>1747</v>
      </c>
      <c r="G302" s="248" t="s">
        <v>16</v>
      </c>
      <c r="H302" s="248" t="s">
        <v>1612</v>
      </c>
      <c r="I302" s="248" t="s">
        <v>1765</v>
      </c>
      <c r="J302" s="248" t="s">
        <v>1908</v>
      </c>
      <c r="K302" s="248" t="s">
        <v>1593</v>
      </c>
      <c r="L302" s="272"/>
      <c r="M302" s="286" t="s">
        <v>1587</v>
      </c>
      <c r="N302" s="286" t="s">
        <v>1588</v>
      </c>
      <c r="O302" s="286" t="s">
        <v>1588</v>
      </c>
      <c r="P302" s="286" t="s">
        <v>1588</v>
      </c>
      <c r="Q302" s="286" t="s">
        <v>1589</v>
      </c>
      <c r="R302" s="286" t="s">
        <v>1589</v>
      </c>
      <c r="S302" s="286" t="s">
        <v>1589</v>
      </c>
      <c r="T302" s="286" t="s">
        <v>1589</v>
      </c>
      <c r="U302" s="286" t="s">
        <v>1589</v>
      </c>
      <c r="V302" s="286" t="s">
        <v>1587</v>
      </c>
      <c r="W302" s="286" t="s">
        <v>1588</v>
      </c>
      <c r="X302" s="286" t="s">
        <v>1587</v>
      </c>
      <c r="Y302" s="286" t="s">
        <v>1587</v>
      </c>
      <c r="Z302" s="286" t="s">
        <v>1589</v>
      </c>
      <c r="AA302" s="286" t="s">
        <v>1587</v>
      </c>
      <c r="AB302" s="286" t="s">
        <v>1589</v>
      </c>
      <c r="AC302" s="286" t="s">
        <v>1588</v>
      </c>
      <c r="AD302" s="286" t="s">
        <v>1587</v>
      </c>
      <c r="AE302" s="286" t="s">
        <v>1587</v>
      </c>
      <c r="AF302" s="286" t="s">
        <v>1587</v>
      </c>
      <c r="AG302" s="283">
        <v>11</v>
      </c>
      <c r="AH302" s="287" t="s">
        <v>23</v>
      </c>
      <c r="AI302" s="272"/>
      <c r="AJ302" s="288" t="s">
        <v>2032</v>
      </c>
      <c r="AK302" s="288" t="s">
        <v>2032</v>
      </c>
      <c r="AL302" s="288" t="s">
        <v>2032</v>
      </c>
      <c r="AM302" s="288" t="s">
        <v>2032</v>
      </c>
      <c r="AN302" s="288" t="s">
        <v>2032</v>
      </c>
      <c r="AO302" s="288" t="s">
        <v>2032</v>
      </c>
      <c r="AP302" s="288" t="s">
        <v>2032</v>
      </c>
      <c r="AQ302" s="288" t="s">
        <v>2032</v>
      </c>
      <c r="AR302" s="288" t="s">
        <v>2032</v>
      </c>
      <c r="AS302" s="288" t="s">
        <v>2032</v>
      </c>
      <c r="AT302" s="288" t="s">
        <v>2032</v>
      </c>
      <c r="AU302" s="288" t="s">
        <v>2032</v>
      </c>
      <c r="AV302" s="288" t="s">
        <v>2032</v>
      </c>
      <c r="AW302" s="288" t="s">
        <v>2032</v>
      </c>
      <c r="AX302" s="288" t="s">
        <v>2032</v>
      </c>
      <c r="AY302" s="288" t="s">
        <v>2032</v>
      </c>
      <c r="AZ302" s="288" t="s">
        <v>2032</v>
      </c>
      <c r="BA302" s="288" t="s">
        <v>2032</v>
      </c>
      <c r="BB302" s="288" t="s">
        <v>2032</v>
      </c>
      <c r="BC302" s="288" t="s">
        <v>2032</v>
      </c>
      <c r="BD302" s="289">
        <f t="shared" si="1"/>
        <v>0</v>
      </c>
      <c r="BE302" s="287"/>
      <c r="BF302" s="272"/>
    </row>
    <row r="303" spans="1:58" ht="14.25" customHeight="1" x14ac:dyDescent="0.35">
      <c r="A303" s="68">
        <v>301</v>
      </c>
      <c r="B303" s="24" t="s">
        <v>1855</v>
      </c>
      <c r="C303" s="24">
        <v>2024</v>
      </c>
      <c r="D303" s="24" t="s">
        <v>1541</v>
      </c>
      <c r="E303" s="269" t="str">
        <f ca="1">IFERROR(__xludf.DUMMYFUNCTION("ARRAYFORMULA(JOIN("""", ARRAYFORMULA(MID(SPLIT(F303, "" ""), 1, 1))))
&amp;""/""&amp;G303"),"MC/6 Primaria")</f>
        <v>MC/6 Primaria</v>
      </c>
      <c r="F303" s="24" t="s">
        <v>1582</v>
      </c>
      <c r="G303" s="248" t="s">
        <v>37</v>
      </c>
      <c r="H303" s="248" t="s">
        <v>1631</v>
      </c>
      <c r="I303" s="248" t="s">
        <v>1909</v>
      </c>
      <c r="J303" s="248" t="s">
        <v>1910</v>
      </c>
      <c r="K303" s="248" t="s">
        <v>1586</v>
      </c>
      <c r="L303" s="272"/>
      <c r="M303" s="286" t="s">
        <v>1588</v>
      </c>
      <c r="N303" s="286" t="s">
        <v>1617</v>
      </c>
      <c r="O303" s="286" t="s">
        <v>1589</v>
      </c>
      <c r="P303" s="286" t="s">
        <v>1617</v>
      </c>
      <c r="Q303" s="286" t="s">
        <v>1587</v>
      </c>
      <c r="R303" s="286" t="s">
        <v>1617</v>
      </c>
      <c r="S303" s="286" t="s">
        <v>1587</v>
      </c>
      <c r="T303" s="286" t="s">
        <v>1617</v>
      </c>
      <c r="U303" s="286" t="s">
        <v>1617</v>
      </c>
      <c r="V303" s="286" t="s">
        <v>1588</v>
      </c>
      <c r="W303" s="286" t="s">
        <v>1589</v>
      </c>
      <c r="X303" s="286" t="s">
        <v>1617</v>
      </c>
      <c r="Y303" s="286" t="s">
        <v>1588</v>
      </c>
      <c r="Z303" s="286" t="s">
        <v>1589</v>
      </c>
      <c r="AA303" s="286" t="s">
        <v>1589</v>
      </c>
      <c r="AB303" s="286" t="s">
        <v>1617</v>
      </c>
      <c r="AC303" s="286" t="s">
        <v>1588</v>
      </c>
      <c r="AD303" s="286" t="s">
        <v>1587</v>
      </c>
      <c r="AE303" s="286" t="s">
        <v>1617</v>
      </c>
      <c r="AF303" s="286" t="s">
        <v>1589</v>
      </c>
      <c r="AG303" s="283">
        <v>15</v>
      </c>
      <c r="AH303" s="287" t="s">
        <v>23</v>
      </c>
      <c r="AI303" s="272"/>
      <c r="AJ303" s="288" t="s">
        <v>2032</v>
      </c>
      <c r="AK303" s="288" t="s">
        <v>2032</v>
      </c>
      <c r="AL303" s="288" t="s">
        <v>2032</v>
      </c>
      <c r="AM303" s="288" t="s">
        <v>2032</v>
      </c>
      <c r="AN303" s="288" t="s">
        <v>2032</v>
      </c>
      <c r="AO303" s="288" t="s">
        <v>2032</v>
      </c>
      <c r="AP303" s="288" t="s">
        <v>2032</v>
      </c>
      <c r="AQ303" s="288" t="s">
        <v>2032</v>
      </c>
      <c r="AR303" s="288" t="s">
        <v>2032</v>
      </c>
      <c r="AS303" s="288" t="s">
        <v>2032</v>
      </c>
      <c r="AT303" s="288" t="s">
        <v>2032</v>
      </c>
      <c r="AU303" s="288" t="s">
        <v>2032</v>
      </c>
      <c r="AV303" s="288" t="s">
        <v>2032</v>
      </c>
      <c r="AW303" s="288" t="s">
        <v>2032</v>
      </c>
      <c r="AX303" s="288" t="s">
        <v>2032</v>
      </c>
      <c r="AY303" s="288" t="s">
        <v>2032</v>
      </c>
      <c r="AZ303" s="288" t="s">
        <v>2032</v>
      </c>
      <c r="BA303" s="288" t="s">
        <v>2032</v>
      </c>
      <c r="BB303" s="288" t="s">
        <v>2032</v>
      </c>
      <c r="BC303" s="288" t="s">
        <v>2032</v>
      </c>
      <c r="BD303" s="289">
        <f t="shared" si="1"/>
        <v>0</v>
      </c>
      <c r="BE303" s="287" t="s">
        <v>1489</v>
      </c>
      <c r="BF303" s="272"/>
    </row>
    <row r="304" spans="1:58" ht="14.25" customHeight="1" x14ac:dyDescent="0.35">
      <c r="A304" s="68">
        <v>302</v>
      </c>
      <c r="B304" s="24" t="s">
        <v>1855</v>
      </c>
      <c r="C304" s="24">
        <v>2024</v>
      </c>
      <c r="D304" s="24" t="s">
        <v>1745</v>
      </c>
      <c r="E304" s="269" t="str">
        <f ca="1">IFERROR(__xludf.DUMMYFUNCTION("ARRAYFORMULA(JOIN("""", ARRAYFORMULA(MID(SPLIT(F304, "" ""), 1, 1))))
&amp;""/""&amp;G304"),"CLC/6 Primaria")</f>
        <v>CLC/6 Primaria</v>
      </c>
      <c r="F304" s="24" t="s">
        <v>1747</v>
      </c>
      <c r="G304" s="248" t="s">
        <v>37</v>
      </c>
      <c r="H304" s="248" t="s">
        <v>1631</v>
      </c>
      <c r="I304" s="248" t="s">
        <v>1909</v>
      </c>
      <c r="J304" s="248" t="s">
        <v>1910</v>
      </c>
      <c r="K304" s="248" t="s">
        <v>1586</v>
      </c>
      <c r="L304" s="272"/>
      <c r="M304" s="286" t="s">
        <v>1589</v>
      </c>
      <c r="N304" s="286" t="s">
        <v>1589</v>
      </c>
      <c r="O304" s="286" t="s">
        <v>1617</v>
      </c>
      <c r="P304" s="286" t="s">
        <v>1587</v>
      </c>
      <c r="Q304" s="286" t="s">
        <v>1617</v>
      </c>
      <c r="R304" s="286" t="s">
        <v>1617</v>
      </c>
      <c r="S304" s="286" t="s">
        <v>1587</v>
      </c>
      <c r="T304" s="286" t="s">
        <v>1589</v>
      </c>
      <c r="U304" s="286" t="s">
        <v>1617</v>
      </c>
      <c r="V304" s="286" t="s">
        <v>1589</v>
      </c>
      <c r="W304" s="286" t="s">
        <v>1617</v>
      </c>
      <c r="X304" s="286" t="s">
        <v>1587</v>
      </c>
      <c r="Y304" s="286" t="s">
        <v>1588</v>
      </c>
      <c r="Z304" s="286" t="s">
        <v>1617</v>
      </c>
      <c r="AA304" s="286" t="s">
        <v>1588</v>
      </c>
      <c r="AB304" s="286" t="s">
        <v>1587</v>
      </c>
      <c r="AC304" s="286" t="s">
        <v>1589</v>
      </c>
      <c r="AD304" s="286" t="s">
        <v>1587</v>
      </c>
      <c r="AE304" s="286" t="s">
        <v>1589</v>
      </c>
      <c r="AF304" s="286" t="s">
        <v>1617</v>
      </c>
      <c r="AG304" s="283">
        <v>12</v>
      </c>
      <c r="AH304" s="287" t="s">
        <v>23</v>
      </c>
      <c r="AI304" s="272"/>
      <c r="AJ304" s="288" t="s">
        <v>2032</v>
      </c>
      <c r="AK304" s="288" t="s">
        <v>2032</v>
      </c>
      <c r="AL304" s="288" t="s">
        <v>2032</v>
      </c>
      <c r="AM304" s="288" t="s">
        <v>2032</v>
      </c>
      <c r="AN304" s="288" t="s">
        <v>2032</v>
      </c>
      <c r="AO304" s="288" t="s">
        <v>2032</v>
      </c>
      <c r="AP304" s="288" t="s">
        <v>2032</v>
      </c>
      <c r="AQ304" s="288" t="s">
        <v>2032</v>
      </c>
      <c r="AR304" s="288" t="s">
        <v>2032</v>
      </c>
      <c r="AS304" s="288" t="s">
        <v>2032</v>
      </c>
      <c r="AT304" s="288" t="s">
        <v>2032</v>
      </c>
      <c r="AU304" s="288" t="s">
        <v>2032</v>
      </c>
      <c r="AV304" s="288" t="s">
        <v>2032</v>
      </c>
      <c r="AW304" s="288" t="s">
        <v>2032</v>
      </c>
      <c r="AX304" s="288" t="s">
        <v>2032</v>
      </c>
      <c r="AY304" s="288" t="s">
        <v>2032</v>
      </c>
      <c r="AZ304" s="288" t="s">
        <v>2032</v>
      </c>
      <c r="BA304" s="288" t="s">
        <v>2032</v>
      </c>
      <c r="BB304" s="288" t="s">
        <v>2032</v>
      </c>
      <c r="BC304" s="288" t="s">
        <v>2032</v>
      </c>
      <c r="BD304" s="289">
        <f t="shared" si="1"/>
        <v>0</v>
      </c>
      <c r="BE304" s="287"/>
      <c r="BF304" s="272"/>
    </row>
    <row r="305" spans="1:58" ht="14.25" customHeight="1" x14ac:dyDescent="0.35">
      <c r="A305" s="68">
        <v>303</v>
      </c>
      <c r="B305" s="24" t="s">
        <v>1855</v>
      </c>
      <c r="C305" s="24">
        <v>2024</v>
      </c>
      <c r="D305" s="24" t="s">
        <v>1541</v>
      </c>
      <c r="E305" s="269" t="str">
        <f ca="1">IFERROR(__xludf.DUMMYFUNCTION("ARRAYFORMULA(JOIN("""", ARRAYFORMULA(MID(SPLIT(F305, "" ""), 1, 1))))
&amp;""/""&amp;G305"),"MC/6 Primaria")</f>
        <v>MC/6 Primaria</v>
      </c>
      <c r="F305" s="24" t="s">
        <v>1582</v>
      </c>
      <c r="G305" s="248" t="s">
        <v>37</v>
      </c>
      <c r="H305" s="248" t="s">
        <v>1699</v>
      </c>
      <c r="I305" s="248" t="s">
        <v>1636</v>
      </c>
      <c r="J305" s="248" t="s">
        <v>1911</v>
      </c>
      <c r="K305" s="248" t="s">
        <v>1586</v>
      </c>
      <c r="L305" s="272"/>
      <c r="M305" s="286" t="s">
        <v>1589</v>
      </c>
      <c r="N305" s="286" t="s">
        <v>1617</v>
      </c>
      <c r="O305" s="286" t="s">
        <v>1589</v>
      </c>
      <c r="P305" s="286" t="s">
        <v>1617</v>
      </c>
      <c r="Q305" s="286" t="s">
        <v>1587</v>
      </c>
      <c r="R305" s="286" t="s">
        <v>1587</v>
      </c>
      <c r="S305" s="286" t="s">
        <v>1588</v>
      </c>
      <c r="T305" s="286" t="s">
        <v>1617</v>
      </c>
      <c r="U305" s="286" t="s">
        <v>1587</v>
      </c>
      <c r="V305" s="286" t="s">
        <v>1617</v>
      </c>
      <c r="W305" s="286" t="s">
        <v>1589</v>
      </c>
      <c r="X305" s="286" t="s">
        <v>1617</v>
      </c>
      <c r="Y305" s="286" t="s">
        <v>1588</v>
      </c>
      <c r="Z305" s="286" t="s">
        <v>1589</v>
      </c>
      <c r="AA305" s="286" t="s">
        <v>1587</v>
      </c>
      <c r="AB305" s="286" t="s">
        <v>1617</v>
      </c>
      <c r="AC305" s="286" t="s">
        <v>1588</v>
      </c>
      <c r="AD305" s="286" t="s">
        <v>1617</v>
      </c>
      <c r="AE305" s="286" t="s">
        <v>1617</v>
      </c>
      <c r="AF305" s="286" t="s">
        <v>1588</v>
      </c>
      <c r="AG305" s="283">
        <v>15</v>
      </c>
      <c r="AH305" s="287" t="s">
        <v>23</v>
      </c>
      <c r="AI305" s="272"/>
      <c r="AJ305" s="288" t="s">
        <v>2032</v>
      </c>
      <c r="AK305" s="288" t="s">
        <v>2032</v>
      </c>
      <c r="AL305" s="288" t="s">
        <v>2032</v>
      </c>
      <c r="AM305" s="288" t="s">
        <v>2032</v>
      </c>
      <c r="AN305" s="288" t="s">
        <v>2032</v>
      </c>
      <c r="AO305" s="288" t="s">
        <v>2032</v>
      </c>
      <c r="AP305" s="288" t="s">
        <v>2032</v>
      </c>
      <c r="AQ305" s="288" t="s">
        <v>2032</v>
      </c>
      <c r="AR305" s="288" t="s">
        <v>2032</v>
      </c>
      <c r="AS305" s="288" t="s">
        <v>2032</v>
      </c>
      <c r="AT305" s="288" t="s">
        <v>2032</v>
      </c>
      <c r="AU305" s="288" t="s">
        <v>2032</v>
      </c>
      <c r="AV305" s="288" t="s">
        <v>2032</v>
      </c>
      <c r="AW305" s="288" t="s">
        <v>2032</v>
      </c>
      <c r="AX305" s="288" t="s">
        <v>2032</v>
      </c>
      <c r="AY305" s="288" t="s">
        <v>2032</v>
      </c>
      <c r="AZ305" s="288" t="s">
        <v>2032</v>
      </c>
      <c r="BA305" s="288" t="s">
        <v>2032</v>
      </c>
      <c r="BB305" s="288" t="s">
        <v>2032</v>
      </c>
      <c r="BC305" s="288" t="s">
        <v>2032</v>
      </c>
      <c r="BD305" s="289">
        <f t="shared" si="1"/>
        <v>0</v>
      </c>
      <c r="BE305" s="287" t="s">
        <v>1489</v>
      </c>
      <c r="BF305" s="272"/>
    </row>
    <row r="306" spans="1:58" ht="14.25" customHeight="1" x14ac:dyDescent="0.35">
      <c r="A306" s="68">
        <v>304</v>
      </c>
      <c r="B306" s="24" t="s">
        <v>1855</v>
      </c>
      <c r="C306" s="24">
        <v>2024</v>
      </c>
      <c r="D306" s="24" t="s">
        <v>1745</v>
      </c>
      <c r="E306" s="269" t="str">
        <f ca="1">IFERROR(__xludf.DUMMYFUNCTION("ARRAYFORMULA(JOIN("""", ARRAYFORMULA(MID(SPLIT(F306, "" ""), 1, 1))))
&amp;""/""&amp;G306"),"CLC/6 Primaria")</f>
        <v>CLC/6 Primaria</v>
      </c>
      <c r="F306" s="24" t="s">
        <v>1747</v>
      </c>
      <c r="G306" s="248" t="s">
        <v>37</v>
      </c>
      <c r="H306" s="248" t="s">
        <v>1699</v>
      </c>
      <c r="I306" s="248" t="s">
        <v>1636</v>
      </c>
      <c r="J306" s="248" t="s">
        <v>1911</v>
      </c>
      <c r="K306" s="248" t="s">
        <v>1586</v>
      </c>
      <c r="L306" s="272"/>
      <c r="M306" s="286" t="s">
        <v>1589</v>
      </c>
      <c r="N306" s="286" t="s">
        <v>1589</v>
      </c>
      <c r="O306" s="286" t="s">
        <v>1617</v>
      </c>
      <c r="P306" s="286" t="s">
        <v>1587</v>
      </c>
      <c r="Q306" s="286" t="s">
        <v>1587</v>
      </c>
      <c r="R306" s="286" t="s">
        <v>1617</v>
      </c>
      <c r="S306" s="286" t="s">
        <v>1589</v>
      </c>
      <c r="T306" s="286" t="s">
        <v>1589</v>
      </c>
      <c r="U306" s="286" t="s">
        <v>1617</v>
      </c>
      <c r="V306" s="286" t="s">
        <v>1589</v>
      </c>
      <c r="W306" s="286" t="s">
        <v>1587</v>
      </c>
      <c r="X306" s="286" t="s">
        <v>1587</v>
      </c>
      <c r="Y306" s="286" t="s">
        <v>1587</v>
      </c>
      <c r="Z306" s="286" t="s">
        <v>1588</v>
      </c>
      <c r="AA306" s="286" t="s">
        <v>1587</v>
      </c>
      <c r="AB306" s="286" t="s">
        <v>1589</v>
      </c>
      <c r="AC306" s="286" t="s">
        <v>1587</v>
      </c>
      <c r="AD306" s="286" t="s">
        <v>1588</v>
      </c>
      <c r="AE306" s="286" t="s">
        <v>1589</v>
      </c>
      <c r="AF306" s="286" t="s">
        <v>1587</v>
      </c>
      <c r="AG306" s="283">
        <v>11</v>
      </c>
      <c r="AH306" s="287" t="s">
        <v>23</v>
      </c>
      <c r="AI306" s="272"/>
      <c r="AJ306" s="288" t="s">
        <v>2032</v>
      </c>
      <c r="AK306" s="288" t="s">
        <v>2032</v>
      </c>
      <c r="AL306" s="288" t="s">
        <v>2032</v>
      </c>
      <c r="AM306" s="288" t="s">
        <v>2032</v>
      </c>
      <c r="AN306" s="288" t="s">
        <v>2032</v>
      </c>
      <c r="AO306" s="288" t="s">
        <v>2032</v>
      </c>
      <c r="AP306" s="288" t="s">
        <v>2032</v>
      </c>
      <c r="AQ306" s="288" t="s">
        <v>2032</v>
      </c>
      <c r="AR306" s="288" t="s">
        <v>2032</v>
      </c>
      <c r="AS306" s="288" t="s">
        <v>2032</v>
      </c>
      <c r="AT306" s="288" t="s">
        <v>2032</v>
      </c>
      <c r="AU306" s="288" t="s">
        <v>2032</v>
      </c>
      <c r="AV306" s="288" t="s">
        <v>2032</v>
      </c>
      <c r="AW306" s="288" t="s">
        <v>2032</v>
      </c>
      <c r="AX306" s="288" t="s">
        <v>2032</v>
      </c>
      <c r="AY306" s="288" t="s">
        <v>2032</v>
      </c>
      <c r="AZ306" s="288" t="s">
        <v>2032</v>
      </c>
      <c r="BA306" s="288" t="s">
        <v>2032</v>
      </c>
      <c r="BB306" s="288" t="s">
        <v>2032</v>
      </c>
      <c r="BC306" s="288" t="s">
        <v>2032</v>
      </c>
      <c r="BD306" s="289">
        <f t="shared" si="1"/>
        <v>0</v>
      </c>
      <c r="BE306" s="287"/>
      <c r="BF306" s="272"/>
    </row>
    <row r="307" spans="1:58" ht="14.25" customHeight="1" x14ac:dyDescent="0.35">
      <c r="A307" s="68">
        <v>305</v>
      </c>
      <c r="B307" s="24" t="s">
        <v>1855</v>
      </c>
      <c r="C307" s="24">
        <v>2024</v>
      </c>
      <c r="D307" s="24" t="s">
        <v>1541</v>
      </c>
      <c r="E307" s="269" t="str">
        <f ca="1">IFERROR(__xludf.DUMMYFUNCTION("ARRAYFORMULA(JOIN("""", ARRAYFORMULA(MID(SPLIT(F307, "" ""), 1, 1))))
&amp;""/""&amp;G307"),"MC/6 Primaria")</f>
        <v>MC/6 Primaria</v>
      </c>
      <c r="F307" s="24" t="s">
        <v>1582</v>
      </c>
      <c r="G307" s="248" t="s">
        <v>37</v>
      </c>
      <c r="H307" s="248" t="s">
        <v>1672</v>
      </c>
      <c r="I307" s="248" t="s">
        <v>1612</v>
      </c>
      <c r="J307" s="248" t="s">
        <v>1912</v>
      </c>
      <c r="K307" s="248" t="s">
        <v>1593</v>
      </c>
      <c r="L307" s="272"/>
      <c r="M307" s="286" t="s">
        <v>1589</v>
      </c>
      <c r="N307" s="286" t="s">
        <v>1617</v>
      </c>
      <c r="O307" s="286" t="s">
        <v>1587</v>
      </c>
      <c r="P307" s="286" t="s">
        <v>1587</v>
      </c>
      <c r="Q307" s="286" t="s">
        <v>1588</v>
      </c>
      <c r="R307" s="286" t="s">
        <v>1587</v>
      </c>
      <c r="S307" s="286" t="s">
        <v>1587</v>
      </c>
      <c r="T307" s="286" t="s">
        <v>1588</v>
      </c>
      <c r="U307" s="286" t="s">
        <v>1617</v>
      </c>
      <c r="V307" s="286" t="s">
        <v>1617</v>
      </c>
      <c r="W307" s="286" t="s">
        <v>1589</v>
      </c>
      <c r="X307" s="286" t="s">
        <v>1617</v>
      </c>
      <c r="Y307" s="286" t="s">
        <v>1589</v>
      </c>
      <c r="Z307" s="286" t="s">
        <v>1589</v>
      </c>
      <c r="AA307" s="286" t="s">
        <v>1589</v>
      </c>
      <c r="AB307" s="286" t="s">
        <v>1617</v>
      </c>
      <c r="AC307" s="286" t="s">
        <v>1588</v>
      </c>
      <c r="AD307" s="286" t="s">
        <v>1587</v>
      </c>
      <c r="AE307" s="286" t="s">
        <v>1587</v>
      </c>
      <c r="AF307" s="286" t="s">
        <v>1588</v>
      </c>
      <c r="AG307" s="283">
        <v>10</v>
      </c>
      <c r="AH307" s="287" t="s">
        <v>19</v>
      </c>
      <c r="AI307" s="272"/>
      <c r="AJ307" s="288" t="s">
        <v>2032</v>
      </c>
      <c r="AK307" s="288" t="s">
        <v>2032</v>
      </c>
      <c r="AL307" s="288" t="s">
        <v>2032</v>
      </c>
      <c r="AM307" s="288" t="s">
        <v>2032</v>
      </c>
      <c r="AN307" s="288" t="s">
        <v>2032</v>
      </c>
      <c r="AO307" s="288" t="s">
        <v>2032</v>
      </c>
      <c r="AP307" s="288" t="s">
        <v>2032</v>
      </c>
      <c r="AQ307" s="288" t="s">
        <v>2032</v>
      </c>
      <c r="AR307" s="288" t="s">
        <v>2032</v>
      </c>
      <c r="AS307" s="288" t="s">
        <v>2032</v>
      </c>
      <c r="AT307" s="288" t="s">
        <v>2032</v>
      </c>
      <c r="AU307" s="288" t="s">
        <v>2032</v>
      </c>
      <c r="AV307" s="288" t="s">
        <v>2032</v>
      </c>
      <c r="AW307" s="288" t="s">
        <v>2032</v>
      </c>
      <c r="AX307" s="288" t="s">
        <v>2032</v>
      </c>
      <c r="AY307" s="288" t="s">
        <v>2032</v>
      </c>
      <c r="AZ307" s="288" t="s">
        <v>2032</v>
      </c>
      <c r="BA307" s="288" t="s">
        <v>2032</v>
      </c>
      <c r="BB307" s="288" t="s">
        <v>2032</v>
      </c>
      <c r="BC307" s="288" t="s">
        <v>2032</v>
      </c>
      <c r="BD307" s="289">
        <f t="shared" si="1"/>
        <v>0</v>
      </c>
      <c r="BE307" s="287" t="s">
        <v>1489</v>
      </c>
      <c r="BF307" s="272"/>
    </row>
    <row r="308" spans="1:58" ht="14.25" customHeight="1" x14ac:dyDescent="0.35">
      <c r="A308" s="68">
        <v>306</v>
      </c>
      <c r="B308" s="24" t="s">
        <v>1855</v>
      </c>
      <c r="C308" s="24">
        <v>2024</v>
      </c>
      <c r="D308" s="24" t="s">
        <v>1745</v>
      </c>
      <c r="E308" s="269" t="str">
        <f ca="1">IFERROR(__xludf.DUMMYFUNCTION("ARRAYFORMULA(JOIN("""", ARRAYFORMULA(MID(SPLIT(F308, "" ""), 1, 1))))
&amp;""/""&amp;G308"),"CLC/6 Primaria")</f>
        <v>CLC/6 Primaria</v>
      </c>
      <c r="F308" s="24" t="s">
        <v>1747</v>
      </c>
      <c r="G308" s="248" t="s">
        <v>37</v>
      </c>
      <c r="H308" s="248" t="s">
        <v>1672</v>
      </c>
      <c r="I308" s="248" t="s">
        <v>1612</v>
      </c>
      <c r="J308" s="248" t="s">
        <v>1912</v>
      </c>
      <c r="K308" s="248" t="s">
        <v>1593</v>
      </c>
      <c r="L308" s="272"/>
      <c r="M308" s="286" t="s">
        <v>1589</v>
      </c>
      <c r="N308" s="286" t="s">
        <v>1589</v>
      </c>
      <c r="O308" s="286" t="s">
        <v>1589</v>
      </c>
      <c r="P308" s="286" t="s">
        <v>1617</v>
      </c>
      <c r="Q308" s="286" t="s">
        <v>1617</v>
      </c>
      <c r="R308" s="286" t="s">
        <v>1617</v>
      </c>
      <c r="S308" s="286" t="s">
        <v>1589</v>
      </c>
      <c r="T308" s="286" t="s">
        <v>1587</v>
      </c>
      <c r="U308" s="286" t="s">
        <v>1617</v>
      </c>
      <c r="V308" s="286" t="s">
        <v>1589</v>
      </c>
      <c r="W308" s="286" t="s">
        <v>1588</v>
      </c>
      <c r="X308" s="286" t="s">
        <v>1589</v>
      </c>
      <c r="Y308" s="286" t="s">
        <v>1587</v>
      </c>
      <c r="Z308" s="286" t="s">
        <v>1589</v>
      </c>
      <c r="AA308" s="286" t="s">
        <v>1587</v>
      </c>
      <c r="AB308" s="286" t="s">
        <v>1589</v>
      </c>
      <c r="AC308" s="286" t="s">
        <v>1588</v>
      </c>
      <c r="AD308" s="286" t="s">
        <v>1588</v>
      </c>
      <c r="AE308" s="286" t="s">
        <v>1589</v>
      </c>
      <c r="AF308" s="286" t="s">
        <v>1589</v>
      </c>
      <c r="AG308" s="283">
        <v>9</v>
      </c>
      <c r="AH308" s="287" t="s">
        <v>19</v>
      </c>
      <c r="AI308" s="272"/>
      <c r="AJ308" s="288" t="s">
        <v>2032</v>
      </c>
      <c r="AK308" s="288" t="s">
        <v>2032</v>
      </c>
      <c r="AL308" s="288" t="s">
        <v>2032</v>
      </c>
      <c r="AM308" s="288" t="s">
        <v>2032</v>
      </c>
      <c r="AN308" s="288" t="s">
        <v>2032</v>
      </c>
      <c r="AO308" s="288" t="s">
        <v>2032</v>
      </c>
      <c r="AP308" s="288" t="s">
        <v>2032</v>
      </c>
      <c r="AQ308" s="288" t="s">
        <v>2032</v>
      </c>
      <c r="AR308" s="288" t="s">
        <v>2032</v>
      </c>
      <c r="AS308" s="288" t="s">
        <v>2032</v>
      </c>
      <c r="AT308" s="288" t="s">
        <v>2032</v>
      </c>
      <c r="AU308" s="288" t="s">
        <v>2032</v>
      </c>
      <c r="AV308" s="288" t="s">
        <v>2032</v>
      </c>
      <c r="AW308" s="288" t="s">
        <v>2032</v>
      </c>
      <c r="AX308" s="288" t="s">
        <v>2032</v>
      </c>
      <c r="AY308" s="288" t="s">
        <v>2032</v>
      </c>
      <c r="AZ308" s="288" t="s">
        <v>2032</v>
      </c>
      <c r="BA308" s="288" t="s">
        <v>2032</v>
      </c>
      <c r="BB308" s="288" t="s">
        <v>2032</v>
      </c>
      <c r="BC308" s="288" t="s">
        <v>2032</v>
      </c>
      <c r="BD308" s="289">
        <f t="shared" si="1"/>
        <v>0</v>
      </c>
      <c r="BE308" s="287"/>
      <c r="BF308" s="272"/>
    </row>
    <row r="309" spans="1:58" ht="14.25" customHeight="1" x14ac:dyDescent="0.35">
      <c r="A309" s="68">
        <v>307</v>
      </c>
      <c r="B309" s="24" t="s">
        <v>1855</v>
      </c>
      <c r="C309" s="24">
        <v>2024</v>
      </c>
      <c r="D309" s="24" t="s">
        <v>1541</v>
      </c>
      <c r="E309" s="269" t="str">
        <f ca="1">IFERROR(__xludf.DUMMYFUNCTION("ARRAYFORMULA(JOIN("""", ARRAYFORMULA(MID(SPLIT(F309, "" ""), 1, 1))))
&amp;""/""&amp;G309"),"MC/6 Primaria")</f>
        <v>MC/6 Primaria</v>
      </c>
      <c r="F309" s="24" t="s">
        <v>1582</v>
      </c>
      <c r="G309" s="248" t="s">
        <v>37</v>
      </c>
      <c r="H309" s="248" t="s">
        <v>1672</v>
      </c>
      <c r="I309" s="248" t="s">
        <v>1697</v>
      </c>
      <c r="J309" s="248" t="s">
        <v>1913</v>
      </c>
      <c r="K309" s="248" t="s">
        <v>1586</v>
      </c>
      <c r="L309" s="272"/>
      <c r="M309" s="286" t="s">
        <v>1589</v>
      </c>
      <c r="N309" s="286" t="s">
        <v>1617</v>
      </c>
      <c r="O309" s="286" t="s">
        <v>1589</v>
      </c>
      <c r="P309" s="286" t="s">
        <v>1617</v>
      </c>
      <c r="Q309" s="286" t="s">
        <v>1587</v>
      </c>
      <c r="R309" s="286" t="s">
        <v>1587</v>
      </c>
      <c r="S309" s="286" t="s">
        <v>1587</v>
      </c>
      <c r="T309" s="286" t="s">
        <v>1588</v>
      </c>
      <c r="U309" s="286" t="s">
        <v>1617</v>
      </c>
      <c r="V309" s="286" t="s">
        <v>1588</v>
      </c>
      <c r="W309" s="286" t="s">
        <v>1589</v>
      </c>
      <c r="X309" s="286" t="s">
        <v>1617</v>
      </c>
      <c r="Y309" s="286" t="s">
        <v>1588</v>
      </c>
      <c r="Z309" s="286" t="s">
        <v>1617</v>
      </c>
      <c r="AA309" s="286" t="s">
        <v>1587</v>
      </c>
      <c r="AB309" s="286" t="s">
        <v>1617</v>
      </c>
      <c r="AC309" s="286" t="s">
        <v>1588</v>
      </c>
      <c r="AD309" s="286" t="s">
        <v>1587</v>
      </c>
      <c r="AE309" s="286" t="s">
        <v>1617</v>
      </c>
      <c r="AF309" s="286" t="s">
        <v>1588</v>
      </c>
      <c r="AG309" s="283">
        <v>14</v>
      </c>
      <c r="AH309" s="287" t="s">
        <v>23</v>
      </c>
      <c r="AI309" s="272"/>
      <c r="AJ309" s="288" t="s">
        <v>2032</v>
      </c>
      <c r="AK309" s="288" t="s">
        <v>2032</v>
      </c>
      <c r="AL309" s="288" t="s">
        <v>2032</v>
      </c>
      <c r="AM309" s="288" t="s">
        <v>2032</v>
      </c>
      <c r="AN309" s="288" t="s">
        <v>2032</v>
      </c>
      <c r="AO309" s="288" t="s">
        <v>2032</v>
      </c>
      <c r="AP309" s="288" t="s">
        <v>2032</v>
      </c>
      <c r="AQ309" s="288" t="s">
        <v>2032</v>
      </c>
      <c r="AR309" s="288" t="s">
        <v>2032</v>
      </c>
      <c r="AS309" s="288" t="s">
        <v>2032</v>
      </c>
      <c r="AT309" s="288" t="s">
        <v>2032</v>
      </c>
      <c r="AU309" s="288" t="s">
        <v>2032</v>
      </c>
      <c r="AV309" s="288" t="s">
        <v>2032</v>
      </c>
      <c r="AW309" s="288" t="s">
        <v>2032</v>
      </c>
      <c r="AX309" s="288" t="s">
        <v>2032</v>
      </c>
      <c r="AY309" s="288" t="s">
        <v>2032</v>
      </c>
      <c r="AZ309" s="288" t="s">
        <v>2032</v>
      </c>
      <c r="BA309" s="288" t="s">
        <v>2032</v>
      </c>
      <c r="BB309" s="288" t="s">
        <v>2032</v>
      </c>
      <c r="BC309" s="288" t="s">
        <v>2032</v>
      </c>
      <c r="BD309" s="289">
        <f t="shared" si="1"/>
        <v>0</v>
      </c>
      <c r="BE309" s="287" t="s">
        <v>1489</v>
      </c>
      <c r="BF309" s="272"/>
    </row>
    <row r="310" spans="1:58" ht="14.25" customHeight="1" x14ac:dyDescent="0.35">
      <c r="A310" s="68">
        <v>308</v>
      </c>
      <c r="B310" s="24" t="s">
        <v>1855</v>
      </c>
      <c r="C310" s="24">
        <v>2024</v>
      </c>
      <c r="D310" s="24" t="s">
        <v>1745</v>
      </c>
      <c r="E310" s="269" t="str">
        <f ca="1">IFERROR(__xludf.DUMMYFUNCTION("ARRAYFORMULA(JOIN("""", ARRAYFORMULA(MID(SPLIT(F310, "" ""), 1, 1))))
&amp;""/""&amp;G310"),"CLC/6 Primaria")</f>
        <v>CLC/6 Primaria</v>
      </c>
      <c r="F310" s="24" t="s">
        <v>1747</v>
      </c>
      <c r="G310" s="248" t="s">
        <v>37</v>
      </c>
      <c r="H310" s="248" t="s">
        <v>1672</v>
      </c>
      <c r="I310" s="248" t="s">
        <v>1697</v>
      </c>
      <c r="J310" s="248" t="s">
        <v>1913</v>
      </c>
      <c r="K310" s="248" t="s">
        <v>1586</v>
      </c>
      <c r="L310" s="272"/>
      <c r="M310" s="286" t="s">
        <v>1589</v>
      </c>
      <c r="N310" s="286" t="s">
        <v>1617</v>
      </c>
      <c r="O310" s="286" t="s">
        <v>1589</v>
      </c>
      <c r="P310" s="286" t="s">
        <v>1587</v>
      </c>
      <c r="Q310" s="286" t="s">
        <v>1587</v>
      </c>
      <c r="R310" s="286" t="s">
        <v>1617</v>
      </c>
      <c r="S310" s="286" t="s">
        <v>1617</v>
      </c>
      <c r="T310" s="286" t="s">
        <v>1589</v>
      </c>
      <c r="U310" s="286" t="s">
        <v>1617</v>
      </c>
      <c r="V310" s="286" t="s">
        <v>1587</v>
      </c>
      <c r="W310" s="286" t="s">
        <v>1588</v>
      </c>
      <c r="X310" s="286" t="s">
        <v>1617</v>
      </c>
      <c r="Y310" s="286" t="s">
        <v>1617</v>
      </c>
      <c r="Z310" s="286" t="s">
        <v>1617</v>
      </c>
      <c r="AA310" s="286" t="s">
        <v>1588</v>
      </c>
      <c r="AB310" s="286" t="s">
        <v>1617</v>
      </c>
      <c r="AC310" s="286" t="s">
        <v>1587</v>
      </c>
      <c r="AD310" s="286" t="s">
        <v>1587</v>
      </c>
      <c r="AE310" s="286" t="s">
        <v>1589</v>
      </c>
      <c r="AF310" s="286" t="s">
        <v>1588</v>
      </c>
      <c r="AG310" s="283">
        <v>12</v>
      </c>
      <c r="AH310" s="287" t="s">
        <v>23</v>
      </c>
      <c r="AI310" s="272"/>
      <c r="AJ310" s="288" t="s">
        <v>2032</v>
      </c>
      <c r="AK310" s="288" t="s">
        <v>2032</v>
      </c>
      <c r="AL310" s="288" t="s">
        <v>2032</v>
      </c>
      <c r="AM310" s="288" t="s">
        <v>2032</v>
      </c>
      <c r="AN310" s="288" t="s">
        <v>2032</v>
      </c>
      <c r="AO310" s="288" t="s">
        <v>2032</v>
      </c>
      <c r="AP310" s="288" t="s">
        <v>2032</v>
      </c>
      <c r="AQ310" s="288" t="s">
        <v>2032</v>
      </c>
      <c r="AR310" s="288" t="s">
        <v>2032</v>
      </c>
      <c r="AS310" s="288" t="s">
        <v>2032</v>
      </c>
      <c r="AT310" s="288" t="s">
        <v>2032</v>
      </c>
      <c r="AU310" s="288" t="s">
        <v>2032</v>
      </c>
      <c r="AV310" s="288" t="s">
        <v>2032</v>
      </c>
      <c r="AW310" s="288" t="s">
        <v>2032</v>
      </c>
      <c r="AX310" s="288" t="s">
        <v>2032</v>
      </c>
      <c r="AY310" s="288" t="s">
        <v>2032</v>
      </c>
      <c r="AZ310" s="288" t="s">
        <v>2032</v>
      </c>
      <c r="BA310" s="288" t="s">
        <v>2032</v>
      </c>
      <c r="BB310" s="288" t="s">
        <v>2032</v>
      </c>
      <c r="BC310" s="288" t="s">
        <v>2032</v>
      </c>
      <c r="BD310" s="289">
        <f t="shared" si="1"/>
        <v>0</v>
      </c>
      <c r="BE310" s="287"/>
      <c r="BF310" s="272"/>
    </row>
    <row r="311" spans="1:58" ht="14.25" customHeight="1" x14ac:dyDescent="0.35">
      <c r="A311" s="68">
        <v>309</v>
      </c>
      <c r="B311" s="24" t="s">
        <v>1855</v>
      </c>
      <c r="C311" s="24">
        <v>2024</v>
      </c>
      <c r="D311" s="24" t="s">
        <v>1541</v>
      </c>
      <c r="E311" s="269" t="str">
        <f ca="1">IFERROR(__xludf.DUMMYFUNCTION("ARRAYFORMULA(JOIN("""", ARRAYFORMULA(MID(SPLIT(F311, "" ""), 1, 1))))
&amp;""/""&amp;G311"),"MC/6 Primaria")</f>
        <v>MC/6 Primaria</v>
      </c>
      <c r="F311" s="24" t="s">
        <v>1582</v>
      </c>
      <c r="G311" s="248" t="s">
        <v>37</v>
      </c>
      <c r="H311" s="248" t="s">
        <v>1689</v>
      </c>
      <c r="I311" s="248" t="s">
        <v>1672</v>
      </c>
      <c r="J311" s="248" t="s">
        <v>1914</v>
      </c>
      <c r="K311" s="248" t="s">
        <v>1586</v>
      </c>
      <c r="L311" s="272"/>
      <c r="M311" s="286" t="s">
        <v>1589</v>
      </c>
      <c r="N311" s="286" t="s">
        <v>1617</v>
      </c>
      <c r="O311" s="286" t="s">
        <v>1587</v>
      </c>
      <c r="P311" s="286" t="s">
        <v>1617</v>
      </c>
      <c r="Q311" s="286" t="s">
        <v>1587</v>
      </c>
      <c r="R311" s="286" t="s">
        <v>1587</v>
      </c>
      <c r="S311" s="286" t="s">
        <v>1587</v>
      </c>
      <c r="T311" s="286" t="s">
        <v>1587</v>
      </c>
      <c r="U311" s="286" t="s">
        <v>1587</v>
      </c>
      <c r="V311" s="286" t="s">
        <v>1617</v>
      </c>
      <c r="W311" s="286" t="s">
        <v>1589</v>
      </c>
      <c r="X311" s="286" t="s">
        <v>1617</v>
      </c>
      <c r="Y311" s="286" t="s">
        <v>1588</v>
      </c>
      <c r="Z311" s="286" t="s">
        <v>1589</v>
      </c>
      <c r="AA311" s="286" t="s">
        <v>1587</v>
      </c>
      <c r="AB311" s="286" t="s">
        <v>1617</v>
      </c>
      <c r="AC311" s="286" t="s">
        <v>1588</v>
      </c>
      <c r="AD311" s="286" t="s">
        <v>1587</v>
      </c>
      <c r="AE311" s="286" t="s">
        <v>1617</v>
      </c>
      <c r="AF311" s="286" t="s">
        <v>1588</v>
      </c>
      <c r="AG311" s="283">
        <v>17</v>
      </c>
      <c r="AH311" s="287" t="s">
        <v>25</v>
      </c>
      <c r="AI311" s="272"/>
      <c r="AJ311" s="288" t="s">
        <v>2032</v>
      </c>
      <c r="AK311" s="288" t="s">
        <v>2032</v>
      </c>
      <c r="AL311" s="288" t="s">
        <v>2032</v>
      </c>
      <c r="AM311" s="288" t="s">
        <v>2032</v>
      </c>
      <c r="AN311" s="288" t="s">
        <v>2032</v>
      </c>
      <c r="AO311" s="288" t="s">
        <v>2032</v>
      </c>
      <c r="AP311" s="288" t="s">
        <v>2032</v>
      </c>
      <c r="AQ311" s="288" t="s">
        <v>2032</v>
      </c>
      <c r="AR311" s="288" t="s">
        <v>2032</v>
      </c>
      <c r="AS311" s="288" t="s">
        <v>2032</v>
      </c>
      <c r="AT311" s="288" t="s">
        <v>2032</v>
      </c>
      <c r="AU311" s="288" t="s">
        <v>2032</v>
      </c>
      <c r="AV311" s="288" t="s">
        <v>2032</v>
      </c>
      <c r="AW311" s="288" t="s">
        <v>2032</v>
      </c>
      <c r="AX311" s="288" t="s">
        <v>2032</v>
      </c>
      <c r="AY311" s="288" t="s">
        <v>2032</v>
      </c>
      <c r="AZ311" s="288" t="s">
        <v>2032</v>
      </c>
      <c r="BA311" s="288" t="s">
        <v>2032</v>
      </c>
      <c r="BB311" s="288" t="s">
        <v>2032</v>
      </c>
      <c r="BC311" s="288" t="s">
        <v>2032</v>
      </c>
      <c r="BD311" s="289">
        <f t="shared" si="1"/>
        <v>0</v>
      </c>
      <c r="BE311" s="287" t="s">
        <v>1489</v>
      </c>
      <c r="BF311" s="272"/>
    </row>
    <row r="312" spans="1:58" ht="14.25" customHeight="1" x14ac:dyDescent="0.35">
      <c r="A312" s="68">
        <v>310</v>
      </c>
      <c r="B312" s="24" t="s">
        <v>1855</v>
      </c>
      <c r="C312" s="24">
        <v>2024</v>
      </c>
      <c r="D312" s="24" t="s">
        <v>1745</v>
      </c>
      <c r="E312" s="269" t="str">
        <f ca="1">IFERROR(__xludf.DUMMYFUNCTION("ARRAYFORMULA(JOIN("""", ARRAYFORMULA(MID(SPLIT(F312, "" ""), 1, 1))))
&amp;""/""&amp;G312"),"CLC/6 Primaria")</f>
        <v>CLC/6 Primaria</v>
      </c>
      <c r="F312" s="24" t="s">
        <v>1747</v>
      </c>
      <c r="G312" s="248" t="s">
        <v>37</v>
      </c>
      <c r="H312" s="248" t="s">
        <v>1689</v>
      </c>
      <c r="I312" s="248" t="s">
        <v>1672</v>
      </c>
      <c r="J312" s="248" t="s">
        <v>1914</v>
      </c>
      <c r="K312" s="248" t="s">
        <v>1586</v>
      </c>
      <c r="L312" s="272"/>
      <c r="M312" s="286" t="s">
        <v>1589</v>
      </c>
      <c r="N312" s="286" t="s">
        <v>1589</v>
      </c>
      <c r="O312" s="286" t="s">
        <v>1617</v>
      </c>
      <c r="P312" s="286" t="s">
        <v>1587</v>
      </c>
      <c r="Q312" s="286" t="s">
        <v>1587</v>
      </c>
      <c r="R312" s="286" t="s">
        <v>1617</v>
      </c>
      <c r="S312" s="286" t="s">
        <v>1589</v>
      </c>
      <c r="T312" s="286" t="s">
        <v>1589</v>
      </c>
      <c r="U312" s="286" t="s">
        <v>1617</v>
      </c>
      <c r="V312" s="286" t="s">
        <v>1587</v>
      </c>
      <c r="W312" s="286" t="s">
        <v>1617</v>
      </c>
      <c r="X312" s="286" t="s">
        <v>1617</v>
      </c>
      <c r="Y312" s="286" t="s">
        <v>1617</v>
      </c>
      <c r="Z312" s="286" t="s">
        <v>1589</v>
      </c>
      <c r="AA312" s="286" t="s">
        <v>1588</v>
      </c>
      <c r="AB312" s="286" t="s">
        <v>1617</v>
      </c>
      <c r="AC312" s="286" t="s">
        <v>1587</v>
      </c>
      <c r="AD312" s="286" t="s">
        <v>1588</v>
      </c>
      <c r="AE312" s="286" t="s">
        <v>1589</v>
      </c>
      <c r="AF312" s="286" t="s">
        <v>1617</v>
      </c>
      <c r="AG312" s="283">
        <v>19</v>
      </c>
      <c r="AH312" s="287" t="s">
        <v>25</v>
      </c>
      <c r="AI312" s="272"/>
      <c r="AJ312" s="288" t="s">
        <v>2032</v>
      </c>
      <c r="AK312" s="288" t="s">
        <v>2032</v>
      </c>
      <c r="AL312" s="288" t="s">
        <v>2032</v>
      </c>
      <c r="AM312" s="288" t="s">
        <v>2032</v>
      </c>
      <c r="AN312" s="288" t="s">
        <v>2032</v>
      </c>
      <c r="AO312" s="288" t="s">
        <v>2032</v>
      </c>
      <c r="AP312" s="288" t="s">
        <v>2032</v>
      </c>
      <c r="AQ312" s="288" t="s">
        <v>2032</v>
      </c>
      <c r="AR312" s="288" t="s">
        <v>2032</v>
      </c>
      <c r="AS312" s="288" t="s">
        <v>2032</v>
      </c>
      <c r="AT312" s="288" t="s">
        <v>2032</v>
      </c>
      <c r="AU312" s="288" t="s">
        <v>2032</v>
      </c>
      <c r="AV312" s="288" t="s">
        <v>2032</v>
      </c>
      <c r="AW312" s="288" t="s">
        <v>2032</v>
      </c>
      <c r="AX312" s="288" t="s">
        <v>2032</v>
      </c>
      <c r="AY312" s="288" t="s">
        <v>2032</v>
      </c>
      <c r="AZ312" s="288" t="s">
        <v>2032</v>
      </c>
      <c r="BA312" s="288" t="s">
        <v>2032</v>
      </c>
      <c r="BB312" s="288" t="s">
        <v>2032</v>
      </c>
      <c r="BC312" s="288" t="s">
        <v>2032</v>
      </c>
      <c r="BD312" s="289">
        <f t="shared" si="1"/>
        <v>0</v>
      </c>
      <c r="BE312" s="287"/>
      <c r="BF312" s="272"/>
    </row>
    <row r="313" spans="1:58" ht="14.25" customHeight="1" x14ac:dyDescent="0.35">
      <c r="A313" s="68">
        <v>311</v>
      </c>
      <c r="B313" s="24" t="s">
        <v>1855</v>
      </c>
      <c r="C313" s="24">
        <v>2024</v>
      </c>
      <c r="D313" s="24" t="s">
        <v>1541</v>
      </c>
      <c r="E313" s="269" t="str">
        <f ca="1">IFERROR(__xludf.DUMMYFUNCTION("ARRAYFORMULA(JOIN("""", ARRAYFORMULA(MID(SPLIT(F313, "" ""), 1, 1))))
&amp;""/""&amp;G313"),"MC/6 Primaria")</f>
        <v>MC/6 Primaria</v>
      </c>
      <c r="F313" s="24" t="s">
        <v>1582</v>
      </c>
      <c r="G313" s="248" t="s">
        <v>37</v>
      </c>
      <c r="H313" s="248" t="s">
        <v>1863</v>
      </c>
      <c r="I313" s="248" t="s">
        <v>1672</v>
      </c>
      <c r="J313" s="248" t="s">
        <v>1915</v>
      </c>
      <c r="K313" s="248" t="s">
        <v>1593</v>
      </c>
      <c r="L313" s="272"/>
      <c r="M313" s="286" t="s">
        <v>1588</v>
      </c>
      <c r="N313" s="286" t="s">
        <v>1617</v>
      </c>
      <c r="O313" s="286" t="s">
        <v>1617</v>
      </c>
      <c r="P313" s="286" t="s">
        <v>1617</v>
      </c>
      <c r="Q313" s="286" t="s">
        <v>1587</v>
      </c>
      <c r="R313" s="286" t="s">
        <v>1589</v>
      </c>
      <c r="S313" s="286" t="s">
        <v>1587</v>
      </c>
      <c r="T313" s="286" t="s">
        <v>1587</v>
      </c>
      <c r="U313" s="286" t="s">
        <v>1587</v>
      </c>
      <c r="V313" s="286" t="s">
        <v>1617</v>
      </c>
      <c r="W313" s="286" t="s">
        <v>1589</v>
      </c>
      <c r="X313" s="286" t="s">
        <v>1617</v>
      </c>
      <c r="Y313" s="286" t="s">
        <v>1587</v>
      </c>
      <c r="Z313" s="286" t="s">
        <v>1589</v>
      </c>
      <c r="AA313" s="286" t="s">
        <v>1589</v>
      </c>
      <c r="AB313" s="286" t="s">
        <v>1617</v>
      </c>
      <c r="AC313" s="286" t="s">
        <v>1588</v>
      </c>
      <c r="AD313" s="286" t="s">
        <v>1589</v>
      </c>
      <c r="AE313" s="286" t="s">
        <v>1617</v>
      </c>
      <c r="AF313" s="286" t="s">
        <v>1588</v>
      </c>
      <c r="AG313" s="283">
        <v>14</v>
      </c>
      <c r="AH313" s="287" t="s">
        <v>23</v>
      </c>
      <c r="AI313" s="272"/>
      <c r="AJ313" s="288" t="s">
        <v>2032</v>
      </c>
      <c r="AK313" s="288" t="s">
        <v>2032</v>
      </c>
      <c r="AL313" s="288" t="s">
        <v>2032</v>
      </c>
      <c r="AM313" s="288" t="s">
        <v>2032</v>
      </c>
      <c r="AN313" s="288" t="s">
        <v>2032</v>
      </c>
      <c r="AO313" s="288" t="s">
        <v>2032</v>
      </c>
      <c r="AP313" s="288" t="s">
        <v>2032</v>
      </c>
      <c r="AQ313" s="288" t="s">
        <v>2032</v>
      </c>
      <c r="AR313" s="288" t="s">
        <v>2032</v>
      </c>
      <c r="AS313" s="288" t="s">
        <v>2032</v>
      </c>
      <c r="AT313" s="288" t="s">
        <v>2032</v>
      </c>
      <c r="AU313" s="288" t="s">
        <v>2032</v>
      </c>
      <c r="AV313" s="288" t="s">
        <v>2032</v>
      </c>
      <c r="AW313" s="288" t="s">
        <v>2032</v>
      </c>
      <c r="AX313" s="288" t="s">
        <v>2032</v>
      </c>
      <c r="AY313" s="288" t="s">
        <v>2032</v>
      </c>
      <c r="AZ313" s="288" t="s">
        <v>2032</v>
      </c>
      <c r="BA313" s="288" t="s">
        <v>2032</v>
      </c>
      <c r="BB313" s="288" t="s">
        <v>2032</v>
      </c>
      <c r="BC313" s="288" t="s">
        <v>2032</v>
      </c>
      <c r="BD313" s="289">
        <f t="shared" si="1"/>
        <v>0</v>
      </c>
      <c r="BE313" s="287" t="s">
        <v>1489</v>
      </c>
      <c r="BF313" s="272"/>
    </row>
    <row r="314" spans="1:58" ht="14.25" customHeight="1" x14ac:dyDescent="0.35">
      <c r="A314" s="68">
        <v>312</v>
      </c>
      <c r="B314" s="24" t="s">
        <v>1855</v>
      </c>
      <c r="C314" s="24">
        <v>2024</v>
      </c>
      <c r="D314" s="24" t="s">
        <v>1745</v>
      </c>
      <c r="E314" s="269" t="str">
        <f ca="1">IFERROR(__xludf.DUMMYFUNCTION("ARRAYFORMULA(JOIN("""", ARRAYFORMULA(MID(SPLIT(F314, "" ""), 1, 1))))
&amp;""/""&amp;G314"),"CLC/6 Primaria")</f>
        <v>CLC/6 Primaria</v>
      </c>
      <c r="F314" s="24" t="s">
        <v>1747</v>
      </c>
      <c r="G314" s="248" t="s">
        <v>37</v>
      </c>
      <c r="H314" s="248" t="s">
        <v>1863</v>
      </c>
      <c r="I314" s="248" t="s">
        <v>1672</v>
      </c>
      <c r="J314" s="248" t="s">
        <v>1915</v>
      </c>
      <c r="K314" s="248" t="s">
        <v>1593</v>
      </c>
      <c r="L314" s="272"/>
      <c r="M314" s="286" t="s">
        <v>1589</v>
      </c>
      <c r="N314" s="286" t="s">
        <v>1589</v>
      </c>
      <c r="O314" s="286" t="s">
        <v>1617</v>
      </c>
      <c r="P314" s="286" t="s">
        <v>1587</v>
      </c>
      <c r="Q314" s="286" t="s">
        <v>1588</v>
      </c>
      <c r="R314" s="286" t="s">
        <v>1617</v>
      </c>
      <c r="S314" s="286" t="s">
        <v>1587</v>
      </c>
      <c r="T314" s="286" t="s">
        <v>1589</v>
      </c>
      <c r="U314" s="286" t="s">
        <v>1617</v>
      </c>
      <c r="V314" s="286" t="s">
        <v>1588</v>
      </c>
      <c r="W314" s="286" t="s">
        <v>1588</v>
      </c>
      <c r="X314" s="286" t="s">
        <v>1617</v>
      </c>
      <c r="Y314" s="286" t="s">
        <v>1617</v>
      </c>
      <c r="Z314" s="286" t="s">
        <v>1589</v>
      </c>
      <c r="AA314" s="286" t="s">
        <v>1589</v>
      </c>
      <c r="AB314" s="286" t="s">
        <v>1588</v>
      </c>
      <c r="AC314" s="286" t="s">
        <v>1587</v>
      </c>
      <c r="AD314" s="286" t="s">
        <v>1588</v>
      </c>
      <c r="AE314" s="286" t="s">
        <v>1589</v>
      </c>
      <c r="AF314" s="286" t="s">
        <v>1588</v>
      </c>
      <c r="AG314" s="283">
        <v>13</v>
      </c>
      <c r="AH314" s="287" t="s">
        <v>23</v>
      </c>
      <c r="AI314" s="272"/>
      <c r="AJ314" s="288" t="s">
        <v>2032</v>
      </c>
      <c r="AK314" s="288" t="s">
        <v>2032</v>
      </c>
      <c r="AL314" s="288" t="s">
        <v>2032</v>
      </c>
      <c r="AM314" s="288" t="s">
        <v>2032</v>
      </c>
      <c r="AN314" s="288" t="s">
        <v>2032</v>
      </c>
      <c r="AO314" s="288" t="s">
        <v>2032</v>
      </c>
      <c r="AP314" s="288" t="s">
        <v>2032</v>
      </c>
      <c r="AQ314" s="288" t="s">
        <v>2032</v>
      </c>
      <c r="AR314" s="288" t="s">
        <v>2032</v>
      </c>
      <c r="AS314" s="288" t="s">
        <v>2032</v>
      </c>
      <c r="AT314" s="288" t="s">
        <v>2032</v>
      </c>
      <c r="AU314" s="288" t="s">
        <v>2032</v>
      </c>
      <c r="AV314" s="288" t="s">
        <v>2032</v>
      </c>
      <c r="AW314" s="288" t="s">
        <v>2032</v>
      </c>
      <c r="AX314" s="288" t="s">
        <v>2032</v>
      </c>
      <c r="AY314" s="288" t="s">
        <v>2032</v>
      </c>
      <c r="AZ314" s="288" t="s">
        <v>2032</v>
      </c>
      <c r="BA314" s="288" t="s">
        <v>2032</v>
      </c>
      <c r="BB314" s="288" t="s">
        <v>2032</v>
      </c>
      <c r="BC314" s="288" t="s">
        <v>2032</v>
      </c>
      <c r="BD314" s="289">
        <f t="shared" si="1"/>
        <v>0</v>
      </c>
      <c r="BE314" s="287"/>
      <c r="BF314" s="272"/>
    </row>
    <row r="315" spans="1:58" ht="14.25" customHeight="1" x14ac:dyDescent="0.35">
      <c r="A315" s="68">
        <v>313</v>
      </c>
      <c r="B315" s="24" t="s">
        <v>1855</v>
      </c>
      <c r="C315" s="24">
        <v>2024</v>
      </c>
      <c r="D315" s="24" t="s">
        <v>1541</v>
      </c>
      <c r="E315" s="269" t="str">
        <f ca="1">IFERROR(__xludf.DUMMYFUNCTION("ARRAYFORMULA(JOIN("""", ARRAYFORMULA(MID(SPLIT(F315, "" ""), 1, 1))))
&amp;""/""&amp;G315"),"MC/6 Primaria")</f>
        <v>MC/6 Primaria</v>
      </c>
      <c r="F315" s="24" t="s">
        <v>1582</v>
      </c>
      <c r="G315" s="248" t="s">
        <v>37</v>
      </c>
      <c r="H315" s="248" t="s">
        <v>1916</v>
      </c>
      <c r="I315" s="248" t="s">
        <v>1917</v>
      </c>
      <c r="J315" s="248" t="s">
        <v>1918</v>
      </c>
      <c r="K315" s="248" t="s">
        <v>1586</v>
      </c>
      <c r="L315" s="272"/>
      <c r="M315" s="286" t="s">
        <v>1589</v>
      </c>
      <c r="N315" s="286" t="s">
        <v>1617</v>
      </c>
      <c r="O315" s="286" t="s">
        <v>1589</v>
      </c>
      <c r="P315" s="286" t="s">
        <v>1589</v>
      </c>
      <c r="Q315" s="286" t="s">
        <v>1587</v>
      </c>
      <c r="R315" s="286" t="s">
        <v>1617</v>
      </c>
      <c r="S315" s="286" t="s">
        <v>1587</v>
      </c>
      <c r="T315" s="286" t="s">
        <v>1588</v>
      </c>
      <c r="U315" s="286" t="s">
        <v>1587</v>
      </c>
      <c r="V315" s="286" t="s">
        <v>1587</v>
      </c>
      <c r="W315" s="286" t="s">
        <v>1589</v>
      </c>
      <c r="X315" s="286" t="s">
        <v>1617</v>
      </c>
      <c r="Y315" s="286" t="s">
        <v>1589</v>
      </c>
      <c r="Z315" s="286" t="s">
        <v>1589</v>
      </c>
      <c r="AA315" s="286" t="s">
        <v>1617</v>
      </c>
      <c r="AB315" s="286" t="s">
        <v>1589</v>
      </c>
      <c r="AC315" s="286" t="s">
        <v>1588</v>
      </c>
      <c r="AD315" s="286" t="s">
        <v>1587</v>
      </c>
      <c r="AE315" s="286" t="s">
        <v>1617</v>
      </c>
      <c r="AF315" s="286" t="s">
        <v>1587</v>
      </c>
      <c r="AG315" s="283">
        <v>11</v>
      </c>
      <c r="AH315" s="287" t="s">
        <v>23</v>
      </c>
      <c r="AI315" s="272"/>
      <c r="AJ315" s="288" t="s">
        <v>2032</v>
      </c>
      <c r="AK315" s="288" t="s">
        <v>2032</v>
      </c>
      <c r="AL315" s="288" t="s">
        <v>2032</v>
      </c>
      <c r="AM315" s="288" t="s">
        <v>2032</v>
      </c>
      <c r="AN315" s="288" t="s">
        <v>2032</v>
      </c>
      <c r="AO315" s="288" t="s">
        <v>2032</v>
      </c>
      <c r="AP315" s="288" t="s">
        <v>2032</v>
      </c>
      <c r="AQ315" s="288" t="s">
        <v>2032</v>
      </c>
      <c r="AR315" s="288" t="s">
        <v>2032</v>
      </c>
      <c r="AS315" s="288" t="s">
        <v>2032</v>
      </c>
      <c r="AT315" s="288" t="s">
        <v>2032</v>
      </c>
      <c r="AU315" s="288" t="s">
        <v>2032</v>
      </c>
      <c r="AV315" s="288" t="s">
        <v>2032</v>
      </c>
      <c r="AW315" s="288" t="s">
        <v>2032</v>
      </c>
      <c r="AX315" s="288" t="s">
        <v>2032</v>
      </c>
      <c r="AY315" s="288" t="s">
        <v>2032</v>
      </c>
      <c r="AZ315" s="288" t="s">
        <v>2032</v>
      </c>
      <c r="BA315" s="288" t="s">
        <v>2032</v>
      </c>
      <c r="BB315" s="288" t="s">
        <v>2032</v>
      </c>
      <c r="BC315" s="288" t="s">
        <v>2032</v>
      </c>
      <c r="BD315" s="289">
        <f t="shared" si="1"/>
        <v>0</v>
      </c>
      <c r="BE315" s="287" t="s">
        <v>1489</v>
      </c>
      <c r="BF315" s="272"/>
    </row>
    <row r="316" spans="1:58" ht="14.25" customHeight="1" x14ac:dyDescent="0.35">
      <c r="A316" s="68">
        <v>314</v>
      </c>
      <c r="B316" s="24" t="s">
        <v>1855</v>
      </c>
      <c r="C316" s="24">
        <v>2024</v>
      </c>
      <c r="D316" s="24" t="s">
        <v>1745</v>
      </c>
      <c r="E316" s="269" t="str">
        <f ca="1">IFERROR(__xludf.DUMMYFUNCTION("ARRAYFORMULA(JOIN("""", ARRAYFORMULA(MID(SPLIT(F316, "" ""), 1, 1))))
&amp;""/""&amp;G316"),"CLC/6 Primaria")</f>
        <v>CLC/6 Primaria</v>
      </c>
      <c r="F316" s="24" t="s">
        <v>1747</v>
      </c>
      <c r="G316" s="248" t="s">
        <v>37</v>
      </c>
      <c r="H316" s="248" t="s">
        <v>1916</v>
      </c>
      <c r="I316" s="248" t="s">
        <v>1917</v>
      </c>
      <c r="J316" s="248" t="s">
        <v>1918</v>
      </c>
      <c r="K316" s="248" t="s">
        <v>1586</v>
      </c>
      <c r="L316" s="272"/>
      <c r="M316" s="286" t="s">
        <v>1617</v>
      </c>
      <c r="N316" s="286" t="s">
        <v>1587</v>
      </c>
      <c r="O316" s="286" t="s">
        <v>1617</v>
      </c>
      <c r="P316" s="286" t="s">
        <v>1587</v>
      </c>
      <c r="Q316" s="286" t="s">
        <v>1617</v>
      </c>
      <c r="R316" s="286" t="s">
        <v>1587</v>
      </c>
      <c r="S316" s="286" t="s">
        <v>1617</v>
      </c>
      <c r="T316" s="286" t="s">
        <v>1589</v>
      </c>
      <c r="U316" s="286" t="s">
        <v>1617</v>
      </c>
      <c r="V316" s="286" t="s">
        <v>1587</v>
      </c>
      <c r="W316" s="286" t="s">
        <v>1587</v>
      </c>
      <c r="X316" s="286" t="s">
        <v>1587</v>
      </c>
      <c r="Y316" s="286" t="s">
        <v>1587</v>
      </c>
      <c r="Z316" s="286"/>
      <c r="AA316" s="286" t="s">
        <v>1589</v>
      </c>
      <c r="AB316" s="286" t="s">
        <v>1617</v>
      </c>
      <c r="AC316" s="286" t="s">
        <v>1588</v>
      </c>
      <c r="AD316" s="286" t="s">
        <v>1588</v>
      </c>
      <c r="AE316" s="286" t="s">
        <v>1589</v>
      </c>
      <c r="AF316" s="286"/>
      <c r="AG316" s="283">
        <v>9</v>
      </c>
      <c r="AH316" s="287" t="s">
        <v>19</v>
      </c>
      <c r="AI316" s="272"/>
      <c r="AJ316" s="288" t="s">
        <v>2032</v>
      </c>
      <c r="AK316" s="288" t="s">
        <v>2032</v>
      </c>
      <c r="AL316" s="288" t="s">
        <v>2032</v>
      </c>
      <c r="AM316" s="288" t="s">
        <v>2032</v>
      </c>
      <c r="AN316" s="288" t="s">
        <v>2032</v>
      </c>
      <c r="AO316" s="288" t="s">
        <v>2032</v>
      </c>
      <c r="AP316" s="288" t="s">
        <v>2032</v>
      </c>
      <c r="AQ316" s="288" t="s">
        <v>2032</v>
      </c>
      <c r="AR316" s="288" t="s">
        <v>2032</v>
      </c>
      <c r="AS316" s="288" t="s">
        <v>2032</v>
      </c>
      <c r="AT316" s="288" t="s">
        <v>2032</v>
      </c>
      <c r="AU316" s="288" t="s">
        <v>2032</v>
      </c>
      <c r="AV316" s="288" t="s">
        <v>2032</v>
      </c>
      <c r="AW316" s="288" t="s">
        <v>2032</v>
      </c>
      <c r="AX316" s="288" t="s">
        <v>2032</v>
      </c>
      <c r="AY316" s="288" t="s">
        <v>2032</v>
      </c>
      <c r="AZ316" s="288" t="s">
        <v>2032</v>
      </c>
      <c r="BA316" s="288" t="s">
        <v>2032</v>
      </c>
      <c r="BB316" s="288" t="s">
        <v>2032</v>
      </c>
      <c r="BC316" s="288" t="s">
        <v>2032</v>
      </c>
      <c r="BD316" s="289">
        <f t="shared" si="1"/>
        <v>0</v>
      </c>
      <c r="BE316" s="287"/>
      <c r="BF316" s="272"/>
    </row>
    <row r="317" spans="1:58" ht="14.25" customHeight="1" x14ac:dyDescent="0.35">
      <c r="A317" s="68">
        <v>315</v>
      </c>
      <c r="B317" s="24" t="s">
        <v>1855</v>
      </c>
      <c r="C317" s="24">
        <v>2024</v>
      </c>
      <c r="D317" s="24" t="s">
        <v>1541</v>
      </c>
      <c r="E317" s="269" t="str">
        <f ca="1">IFERROR(__xludf.DUMMYFUNCTION("ARRAYFORMULA(JOIN("""", ARRAYFORMULA(MID(SPLIT(F317, "" ""), 1, 1))))
&amp;""/""&amp;G317"),"MC/6 Primaria")</f>
        <v>MC/6 Primaria</v>
      </c>
      <c r="F317" s="24" t="s">
        <v>1582</v>
      </c>
      <c r="G317" s="248" t="s">
        <v>37</v>
      </c>
      <c r="H317" s="248" t="s">
        <v>1832</v>
      </c>
      <c r="I317" s="248" t="s">
        <v>1919</v>
      </c>
      <c r="J317" s="248" t="s">
        <v>1920</v>
      </c>
      <c r="K317" s="248" t="s">
        <v>1593</v>
      </c>
      <c r="L317" s="272"/>
      <c r="M317" s="286"/>
      <c r="N317" s="286"/>
      <c r="O317" s="286"/>
      <c r="P317" s="286"/>
      <c r="Q317" s="286"/>
      <c r="R317" s="286"/>
      <c r="S317" s="286"/>
      <c r="T317" s="286"/>
      <c r="U317" s="286"/>
      <c r="V317" s="286"/>
      <c r="W317" s="286"/>
      <c r="X317" s="286"/>
      <c r="Y317" s="286"/>
      <c r="Z317" s="286"/>
      <c r="AA317" s="286"/>
      <c r="AB317" s="286"/>
      <c r="AC317" s="286"/>
      <c r="AD317" s="286"/>
      <c r="AE317" s="286"/>
      <c r="AF317" s="286"/>
      <c r="AG317" s="283">
        <v>0</v>
      </c>
      <c r="AH317" s="287" t="s">
        <v>1489</v>
      </c>
      <c r="AI317" s="272"/>
      <c r="AJ317" s="288" t="s">
        <v>2032</v>
      </c>
      <c r="AK317" s="288" t="s">
        <v>2032</v>
      </c>
      <c r="AL317" s="288" t="s">
        <v>2032</v>
      </c>
      <c r="AM317" s="288" t="s">
        <v>2032</v>
      </c>
      <c r="AN317" s="288" t="s">
        <v>2032</v>
      </c>
      <c r="AO317" s="288" t="s">
        <v>2032</v>
      </c>
      <c r="AP317" s="288" t="s">
        <v>2032</v>
      </c>
      <c r="AQ317" s="288" t="s">
        <v>2032</v>
      </c>
      <c r="AR317" s="288" t="s">
        <v>2032</v>
      </c>
      <c r="AS317" s="288" t="s">
        <v>2032</v>
      </c>
      <c r="AT317" s="288" t="s">
        <v>2032</v>
      </c>
      <c r="AU317" s="288" t="s">
        <v>2032</v>
      </c>
      <c r="AV317" s="288" t="s">
        <v>2032</v>
      </c>
      <c r="AW317" s="288" t="s">
        <v>2032</v>
      </c>
      <c r="AX317" s="288" t="s">
        <v>2032</v>
      </c>
      <c r="AY317" s="288" t="s">
        <v>2032</v>
      </c>
      <c r="AZ317" s="288" t="s">
        <v>2032</v>
      </c>
      <c r="BA317" s="288" t="s">
        <v>2032</v>
      </c>
      <c r="BB317" s="288" t="s">
        <v>2032</v>
      </c>
      <c r="BC317" s="288" t="s">
        <v>2032</v>
      </c>
      <c r="BD317" s="289">
        <f t="shared" si="1"/>
        <v>0</v>
      </c>
      <c r="BE317" s="287" t="s">
        <v>1489</v>
      </c>
      <c r="BF317" s="272"/>
    </row>
    <row r="318" spans="1:58" ht="14.25" customHeight="1" x14ac:dyDescent="0.35">
      <c r="A318" s="68">
        <v>316</v>
      </c>
      <c r="B318" s="24" t="s">
        <v>1855</v>
      </c>
      <c r="C318" s="24">
        <v>2024</v>
      </c>
      <c r="D318" s="24" t="s">
        <v>1745</v>
      </c>
      <c r="E318" s="269" t="str">
        <f ca="1">IFERROR(__xludf.DUMMYFUNCTION("ARRAYFORMULA(JOIN("""", ARRAYFORMULA(MID(SPLIT(F318, "" ""), 1, 1))))
&amp;""/""&amp;G318"),"CLC/6 Primaria")</f>
        <v>CLC/6 Primaria</v>
      </c>
      <c r="F318" s="24" t="s">
        <v>1747</v>
      </c>
      <c r="G318" s="248" t="s">
        <v>37</v>
      </c>
      <c r="H318" s="248" t="s">
        <v>1832</v>
      </c>
      <c r="I318" s="248" t="s">
        <v>1919</v>
      </c>
      <c r="J318" s="248" t="s">
        <v>1920</v>
      </c>
      <c r="K318" s="248" t="s">
        <v>1593</v>
      </c>
      <c r="L318" s="272"/>
      <c r="M318" s="286"/>
      <c r="N318" s="286"/>
      <c r="O318" s="286"/>
      <c r="P318" s="286"/>
      <c r="Q318" s="286"/>
      <c r="R318" s="286"/>
      <c r="S318" s="286"/>
      <c r="T318" s="286"/>
      <c r="U318" s="286"/>
      <c r="V318" s="286"/>
      <c r="W318" s="286"/>
      <c r="X318" s="286"/>
      <c r="Y318" s="286"/>
      <c r="Z318" s="286"/>
      <c r="AA318" s="286"/>
      <c r="AB318" s="286"/>
      <c r="AC318" s="286"/>
      <c r="AD318" s="286"/>
      <c r="AE318" s="286"/>
      <c r="AF318" s="286"/>
      <c r="AG318" s="283">
        <v>0</v>
      </c>
      <c r="AH318" s="287" t="s">
        <v>1489</v>
      </c>
      <c r="AI318" s="272"/>
      <c r="AJ318" s="288" t="s">
        <v>2032</v>
      </c>
      <c r="AK318" s="288" t="s">
        <v>2032</v>
      </c>
      <c r="AL318" s="288" t="s">
        <v>2032</v>
      </c>
      <c r="AM318" s="288" t="s">
        <v>2032</v>
      </c>
      <c r="AN318" s="288" t="s">
        <v>2032</v>
      </c>
      <c r="AO318" s="288" t="s">
        <v>2032</v>
      </c>
      <c r="AP318" s="288" t="s">
        <v>2032</v>
      </c>
      <c r="AQ318" s="288" t="s">
        <v>2032</v>
      </c>
      <c r="AR318" s="288" t="s">
        <v>2032</v>
      </c>
      <c r="AS318" s="288" t="s">
        <v>2032</v>
      </c>
      <c r="AT318" s="288" t="s">
        <v>2032</v>
      </c>
      <c r="AU318" s="288" t="s">
        <v>2032</v>
      </c>
      <c r="AV318" s="288" t="s">
        <v>2032</v>
      </c>
      <c r="AW318" s="288" t="s">
        <v>2032</v>
      </c>
      <c r="AX318" s="288" t="s">
        <v>2032</v>
      </c>
      <c r="AY318" s="288" t="s">
        <v>2032</v>
      </c>
      <c r="AZ318" s="288" t="s">
        <v>2032</v>
      </c>
      <c r="BA318" s="288" t="s">
        <v>2032</v>
      </c>
      <c r="BB318" s="288" t="s">
        <v>2032</v>
      </c>
      <c r="BC318" s="288" t="s">
        <v>2032</v>
      </c>
      <c r="BD318" s="289">
        <f t="shared" si="1"/>
        <v>0</v>
      </c>
      <c r="BE318" s="287"/>
      <c r="BF318" s="272"/>
    </row>
    <row r="319" spans="1:58" ht="14.25" customHeight="1" x14ac:dyDescent="0.35">
      <c r="A319" s="68">
        <v>317</v>
      </c>
      <c r="B319" s="24" t="s">
        <v>1855</v>
      </c>
      <c r="C319" s="24">
        <v>2024</v>
      </c>
      <c r="D319" s="24" t="s">
        <v>1541</v>
      </c>
      <c r="E319" s="269" t="str">
        <f ca="1">IFERROR(__xludf.DUMMYFUNCTION("ARRAYFORMULA(JOIN("""", ARRAYFORMULA(MID(SPLIT(F319, "" ""), 1, 1))))
&amp;""/""&amp;G319"),"MC/6 Primaria")</f>
        <v>MC/6 Primaria</v>
      </c>
      <c r="F319" s="24" t="s">
        <v>1582</v>
      </c>
      <c r="G319" s="248" t="s">
        <v>37</v>
      </c>
      <c r="H319" s="248" t="s">
        <v>1697</v>
      </c>
      <c r="I319" s="248" t="s">
        <v>1595</v>
      </c>
      <c r="J319" s="248" t="s">
        <v>1921</v>
      </c>
      <c r="K319" s="248" t="s">
        <v>1593</v>
      </c>
      <c r="L319" s="272"/>
      <c r="M319" s="286" t="s">
        <v>1588</v>
      </c>
      <c r="N319" s="286" t="s">
        <v>1617</v>
      </c>
      <c r="O319" s="286" t="s">
        <v>1589</v>
      </c>
      <c r="P319" s="286" t="s">
        <v>1617</v>
      </c>
      <c r="Q319" s="286" t="s">
        <v>1587</v>
      </c>
      <c r="R319" s="286" t="s">
        <v>1587</v>
      </c>
      <c r="S319" s="286" t="s">
        <v>1587</v>
      </c>
      <c r="T319" s="286" t="s">
        <v>1589</v>
      </c>
      <c r="U319" s="286" t="s">
        <v>1587</v>
      </c>
      <c r="V319" s="286" t="s">
        <v>1617</v>
      </c>
      <c r="W319" s="286" t="s">
        <v>1589</v>
      </c>
      <c r="X319" s="286" t="s">
        <v>1617</v>
      </c>
      <c r="Y319" s="286" t="s">
        <v>1589</v>
      </c>
      <c r="Z319" s="286" t="s">
        <v>1589</v>
      </c>
      <c r="AA319" s="286" t="s">
        <v>1617</v>
      </c>
      <c r="AB319" s="286" t="s">
        <v>1617</v>
      </c>
      <c r="AC319" s="286" t="s">
        <v>1589</v>
      </c>
      <c r="AD319" s="286" t="s">
        <v>1587</v>
      </c>
      <c r="AE319" s="286" t="s">
        <v>1617</v>
      </c>
      <c r="AF319" s="286" t="s">
        <v>1588</v>
      </c>
      <c r="AG319" s="283">
        <v>15</v>
      </c>
      <c r="AH319" s="287" t="s">
        <v>23</v>
      </c>
      <c r="AI319" s="272"/>
      <c r="AJ319" s="288" t="s">
        <v>2032</v>
      </c>
      <c r="AK319" s="288" t="s">
        <v>2032</v>
      </c>
      <c r="AL319" s="288" t="s">
        <v>2032</v>
      </c>
      <c r="AM319" s="288" t="s">
        <v>2032</v>
      </c>
      <c r="AN319" s="288" t="s">
        <v>2032</v>
      </c>
      <c r="AO319" s="288" t="s">
        <v>2032</v>
      </c>
      <c r="AP319" s="288" t="s">
        <v>2032</v>
      </c>
      <c r="AQ319" s="288" t="s">
        <v>2032</v>
      </c>
      <c r="AR319" s="288" t="s">
        <v>2032</v>
      </c>
      <c r="AS319" s="288" t="s">
        <v>2032</v>
      </c>
      <c r="AT319" s="288" t="s">
        <v>2032</v>
      </c>
      <c r="AU319" s="288" t="s">
        <v>2032</v>
      </c>
      <c r="AV319" s="288" t="s">
        <v>2032</v>
      </c>
      <c r="AW319" s="288" t="s">
        <v>2032</v>
      </c>
      <c r="AX319" s="288" t="s">
        <v>2032</v>
      </c>
      <c r="AY319" s="288" t="s">
        <v>2032</v>
      </c>
      <c r="AZ319" s="288" t="s">
        <v>2032</v>
      </c>
      <c r="BA319" s="288" t="s">
        <v>2032</v>
      </c>
      <c r="BB319" s="288" t="s">
        <v>2032</v>
      </c>
      <c r="BC319" s="288" t="s">
        <v>2032</v>
      </c>
      <c r="BD319" s="289">
        <f t="shared" si="1"/>
        <v>0</v>
      </c>
      <c r="BE319" s="287" t="s">
        <v>1489</v>
      </c>
      <c r="BF319" s="272"/>
    </row>
    <row r="320" spans="1:58" ht="14.25" customHeight="1" x14ac:dyDescent="0.35">
      <c r="A320" s="68">
        <v>318</v>
      </c>
      <c r="B320" s="24" t="s">
        <v>1855</v>
      </c>
      <c r="C320" s="24">
        <v>2024</v>
      </c>
      <c r="D320" s="24" t="s">
        <v>1745</v>
      </c>
      <c r="E320" s="269" t="str">
        <f ca="1">IFERROR(__xludf.DUMMYFUNCTION("ARRAYFORMULA(JOIN("""", ARRAYFORMULA(MID(SPLIT(F320, "" ""), 1, 1))))
&amp;""/""&amp;G320"),"CLC/6 Primaria")</f>
        <v>CLC/6 Primaria</v>
      </c>
      <c r="F320" s="24" t="s">
        <v>1747</v>
      </c>
      <c r="G320" s="248" t="s">
        <v>37</v>
      </c>
      <c r="H320" s="248" t="s">
        <v>1697</v>
      </c>
      <c r="I320" s="248" t="s">
        <v>1595</v>
      </c>
      <c r="J320" s="248" t="s">
        <v>1921</v>
      </c>
      <c r="K320" s="248" t="s">
        <v>1593</v>
      </c>
      <c r="L320" s="272"/>
      <c r="M320" s="286" t="s">
        <v>1589</v>
      </c>
      <c r="N320" s="286" t="s">
        <v>1589</v>
      </c>
      <c r="O320" s="286" t="s">
        <v>1617</v>
      </c>
      <c r="P320" s="286" t="s">
        <v>1587</v>
      </c>
      <c r="Q320" s="286" t="s">
        <v>1617</v>
      </c>
      <c r="R320" s="286" t="s">
        <v>1617</v>
      </c>
      <c r="S320" s="286" t="s">
        <v>1589</v>
      </c>
      <c r="T320" s="286" t="s">
        <v>1589</v>
      </c>
      <c r="U320" s="286" t="s">
        <v>1617</v>
      </c>
      <c r="V320" s="286" t="s">
        <v>1617</v>
      </c>
      <c r="W320" s="286" t="s">
        <v>1617</v>
      </c>
      <c r="X320" s="286" t="s">
        <v>1617</v>
      </c>
      <c r="Y320" s="286" t="s">
        <v>1617</v>
      </c>
      <c r="Z320" s="286" t="s">
        <v>1617</v>
      </c>
      <c r="AA320" s="286" t="s">
        <v>1589</v>
      </c>
      <c r="AB320" s="286" t="s">
        <v>1617</v>
      </c>
      <c r="AC320" s="286" t="s">
        <v>1587</v>
      </c>
      <c r="AD320" s="286" t="s">
        <v>1588</v>
      </c>
      <c r="AE320" s="286" t="s">
        <v>1587</v>
      </c>
      <c r="AF320" s="286" t="s">
        <v>1617</v>
      </c>
      <c r="AG320" s="283">
        <v>16</v>
      </c>
      <c r="AH320" s="287" t="s">
        <v>23</v>
      </c>
      <c r="AI320" s="272"/>
      <c r="AJ320" s="288" t="s">
        <v>2032</v>
      </c>
      <c r="AK320" s="288" t="s">
        <v>2032</v>
      </c>
      <c r="AL320" s="288" t="s">
        <v>2032</v>
      </c>
      <c r="AM320" s="288" t="s">
        <v>2032</v>
      </c>
      <c r="AN320" s="288" t="s">
        <v>2032</v>
      </c>
      <c r="AO320" s="288" t="s">
        <v>2032</v>
      </c>
      <c r="AP320" s="288" t="s">
        <v>2032</v>
      </c>
      <c r="AQ320" s="288" t="s">
        <v>2032</v>
      </c>
      <c r="AR320" s="288" t="s">
        <v>2032</v>
      </c>
      <c r="AS320" s="288" t="s">
        <v>2032</v>
      </c>
      <c r="AT320" s="288" t="s">
        <v>2032</v>
      </c>
      <c r="AU320" s="288" t="s">
        <v>2032</v>
      </c>
      <c r="AV320" s="288" t="s">
        <v>2032</v>
      </c>
      <c r="AW320" s="288" t="s">
        <v>2032</v>
      </c>
      <c r="AX320" s="288" t="s">
        <v>2032</v>
      </c>
      <c r="AY320" s="288" t="s">
        <v>2032</v>
      </c>
      <c r="AZ320" s="288" t="s">
        <v>2032</v>
      </c>
      <c r="BA320" s="288" t="s">
        <v>2032</v>
      </c>
      <c r="BB320" s="288" t="s">
        <v>2032</v>
      </c>
      <c r="BC320" s="288" t="s">
        <v>2032</v>
      </c>
      <c r="BD320" s="289">
        <f t="shared" si="1"/>
        <v>0</v>
      </c>
      <c r="BE320" s="287"/>
      <c r="BF320" s="272"/>
    </row>
    <row r="321" spans="1:58" ht="14.25" customHeight="1" x14ac:dyDescent="0.35">
      <c r="A321" s="68">
        <v>319</v>
      </c>
      <c r="B321" s="24" t="s">
        <v>1855</v>
      </c>
      <c r="C321" s="24">
        <v>2024</v>
      </c>
      <c r="D321" s="24" t="s">
        <v>1541</v>
      </c>
      <c r="E321" s="269" t="str">
        <f ca="1">IFERROR(__xludf.DUMMYFUNCTION("ARRAYFORMULA(JOIN("""", ARRAYFORMULA(MID(SPLIT(F321, "" ""), 1, 1))))
&amp;""/""&amp;G321"),"MC/6 Primaria")</f>
        <v>MC/6 Primaria</v>
      </c>
      <c r="F321" s="24" t="s">
        <v>1582</v>
      </c>
      <c r="G321" s="248" t="s">
        <v>37</v>
      </c>
      <c r="H321" s="248" t="s">
        <v>1922</v>
      </c>
      <c r="I321" s="248" t="s">
        <v>1863</v>
      </c>
      <c r="J321" s="248" t="s">
        <v>1923</v>
      </c>
      <c r="K321" s="248" t="s">
        <v>1586</v>
      </c>
      <c r="L321" s="272"/>
      <c r="M321" s="286" t="s">
        <v>1588</v>
      </c>
      <c r="N321" s="286" t="s">
        <v>1617</v>
      </c>
      <c r="O321" s="286" t="s">
        <v>1589</v>
      </c>
      <c r="P321" s="286" t="s">
        <v>1617</v>
      </c>
      <c r="Q321" s="286" t="s">
        <v>1587</v>
      </c>
      <c r="R321" s="286" t="s">
        <v>1587</v>
      </c>
      <c r="S321" s="286" t="s">
        <v>1587</v>
      </c>
      <c r="T321" s="286" t="s">
        <v>1587</v>
      </c>
      <c r="U321" s="286" t="s">
        <v>1587</v>
      </c>
      <c r="V321" s="286" t="s">
        <v>1617</v>
      </c>
      <c r="W321" s="286" t="s">
        <v>1589</v>
      </c>
      <c r="X321" s="286" t="s">
        <v>1617</v>
      </c>
      <c r="Y321" s="286" t="s">
        <v>1588</v>
      </c>
      <c r="Z321" s="286" t="s">
        <v>1589</v>
      </c>
      <c r="AA321" s="286" t="s">
        <v>1587</v>
      </c>
      <c r="AB321" s="286" t="s">
        <v>1589</v>
      </c>
      <c r="AC321" s="286" t="s">
        <v>1588</v>
      </c>
      <c r="AD321" s="286" t="s">
        <v>1587</v>
      </c>
      <c r="AE321" s="286" t="s">
        <v>1617</v>
      </c>
      <c r="AF321" s="286" t="s">
        <v>1589</v>
      </c>
      <c r="AG321" s="283">
        <v>19</v>
      </c>
      <c r="AH321" s="287" t="s">
        <v>25</v>
      </c>
      <c r="AI321" s="272"/>
      <c r="AJ321" s="288" t="s">
        <v>2032</v>
      </c>
      <c r="AK321" s="288" t="s">
        <v>2032</v>
      </c>
      <c r="AL321" s="288" t="s">
        <v>2032</v>
      </c>
      <c r="AM321" s="288" t="s">
        <v>2032</v>
      </c>
      <c r="AN321" s="288" t="s">
        <v>2032</v>
      </c>
      <c r="AO321" s="288" t="s">
        <v>2032</v>
      </c>
      <c r="AP321" s="288" t="s">
        <v>2032</v>
      </c>
      <c r="AQ321" s="288" t="s">
        <v>2032</v>
      </c>
      <c r="AR321" s="288" t="s">
        <v>2032</v>
      </c>
      <c r="AS321" s="288" t="s">
        <v>2032</v>
      </c>
      <c r="AT321" s="288" t="s">
        <v>2032</v>
      </c>
      <c r="AU321" s="288" t="s">
        <v>2032</v>
      </c>
      <c r="AV321" s="288" t="s">
        <v>2032</v>
      </c>
      <c r="AW321" s="288" t="s">
        <v>2032</v>
      </c>
      <c r="AX321" s="288" t="s">
        <v>2032</v>
      </c>
      <c r="AY321" s="288" t="s">
        <v>2032</v>
      </c>
      <c r="AZ321" s="288" t="s">
        <v>2032</v>
      </c>
      <c r="BA321" s="288" t="s">
        <v>2032</v>
      </c>
      <c r="BB321" s="288" t="s">
        <v>2032</v>
      </c>
      <c r="BC321" s="288" t="s">
        <v>2032</v>
      </c>
      <c r="BD321" s="289">
        <f t="shared" si="1"/>
        <v>0</v>
      </c>
      <c r="BE321" s="287" t="s">
        <v>1489</v>
      </c>
      <c r="BF321" s="272"/>
    </row>
    <row r="322" spans="1:58" ht="14.25" customHeight="1" x14ac:dyDescent="0.35">
      <c r="A322" s="68">
        <v>320</v>
      </c>
      <c r="B322" s="24" t="s">
        <v>1855</v>
      </c>
      <c r="C322" s="24">
        <v>2024</v>
      </c>
      <c r="D322" s="24" t="s">
        <v>1745</v>
      </c>
      <c r="E322" s="269" t="str">
        <f ca="1">IFERROR(__xludf.DUMMYFUNCTION("ARRAYFORMULA(JOIN("""", ARRAYFORMULA(MID(SPLIT(F322, "" ""), 1, 1))))
&amp;""/""&amp;G322"),"CLC/6 Primaria")</f>
        <v>CLC/6 Primaria</v>
      </c>
      <c r="F322" s="24" t="s">
        <v>1747</v>
      </c>
      <c r="G322" s="248" t="s">
        <v>37</v>
      </c>
      <c r="H322" s="248" t="s">
        <v>1922</v>
      </c>
      <c r="I322" s="248" t="s">
        <v>1863</v>
      </c>
      <c r="J322" s="248" t="s">
        <v>1923</v>
      </c>
      <c r="K322" s="248" t="s">
        <v>1586</v>
      </c>
      <c r="L322" s="272"/>
      <c r="M322" s="286" t="s">
        <v>1589</v>
      </c>
      <c r="N322" s="286" t="s">
        <v>1589</v>
      </c>
      <c r="O322" s="286" t="s">
        <v>1617</v>
      </c>
      <c r="P322" s="286" t="s">
        <v>1617</v>
      </c>
      <c r="Q322" s="286" t="s">
        <v>1588</v>
      </c>
      <c r="R322" s="286" t="s">
        <v>1617</v>
      </c>
      <c r="S322" s="286" t="s">
        <v>1589</v>
      </c>
      <c r="T322" s="286" t="s">
        <v>1589</v>
      </c>
      <c r="U322" s="286" t="s">
        <v>1589</v>
      </c>
      <c r="V322" s="286" t="s">
        <v>1588</v>
      </c>
      <c r="W322" s="286" t="s">
        <v>1617</v>
      </c>
      <c r="X322" s="286" t="s">
        <v>1589</v>
      </c>
      <c r="Y322" s="286" t="s">
        <v>1589</v>
      </c>
      <c r="Z322" s="286" t="s">
        <v>1589</v>
      </c>
      <c r="AA322" s="286" t="s">
        <v>1588</v>
      </c>
      <c r="AB322" s="286" t="s">
        <v>1617</v>
      </c>
      <c r="AC322" s="286" t="s">
        <v>1587</v>
      </c>
      <c r="AD322" s="286" t="s">
        <v>1588</v>
      </c>
      <c r="AE322" s="286" t="s">
        <v>1589</v>
      </c>
      <c r="AF322" s="286" t="s">
        <v>1617</v>
      </c>
      <c r="AG322" s="283">
        <v>14</v>
      </c>
      <c r="AH322" s="287" t="s">
        <v>23</v>
      </c>
      <c r="AI322" s="272"/>
      <c r="AJ322" s="288" t="s">
        <v>2032</v>
      </c>
      <c r="AK322" s="288" t="s">
        <v>2032</v>
      </c>
      <c r="AL322" s="288" t="s">
        <v>2032</v>
      </c>
      <c r="AM322" s="288" t="s">
        <v>2032</v>
      </c>
      <c r="AN322" s="288" t="s">
        <v>2032</v>
      </c>
      <c r="AO322" s="288" t="s">
        <v>2032</v>
      </c>
      <c r="AP322" s="288" t="s">
        <v>2032</v>
      </c>
      <c r="AQ322" s="288" t="s">
        <v>2032</v>
      </c>
      <c r="AR322" s="288" t="s">
        <v>2032</v>
      </c>
      <c r="AS322" s="288" t="s">
        <v>2032</v>
      </c>
      <c r="AT322" s="288" t="s">
        <v>2032</v>
      </c>
      <c r="AU322" s="288" t="s">
        <v>2032</v>
      </c>
      <c r="AV322" s="288" t="s">
        <v>2032</v>
      </c>
      <c r="AW322" s="288" t="s">
        <v>2032</v>
      </c>
      <c r="AX322" s="288" t="s">
        <v>2032</v>
      </c>
      <c r="AY322" s="288" t="s">
        <v>2032</v>
      </c>
      <c r="AZ322" s="288" t="s">
        <v>2032</v>
      </c>
      <c r="BA322" s="288" t="s">
        <v>2032</v>
      </c>
      <c r="BB322" s="288" t="s">
        <v>2032</v>
      </c>
      <c r="BC322" s="288" t="s">
        <v>2032</v>
      </c>
      <c r="BD322" s="289">
        <f t="shared" si="1"/>
        <v>0</v>
      </c>
      <c r="BE322" s="287"/>
      <c r="BF322" s="272"/>
    </row>
    <row r="323" spans="1:58" ht="14.25" customHeight="1" x14ac:dyDescent="0.35">
      <c r="A323" s="68">
        <v>321</v>
      </c>
      <c r="B323" s="24" t="s">
        <v>1855</v>
      </c>
      <c r="C323" s="24">
        <v>2024</v>
      </c>
      <c r="D323" s="24" t="s">
        <v>1541</v>
      </c>
      <c r="E323" s="269" t="str">
        <f ca="1">IFERROR(__xludf.DUMMYFUNCTION("ARRAYFORMULA(JOIN("""", ARRAYFORMULA(MID(SPLIT(F323, "" ""), 1, 1))))
&amp;""/""&amp;G323"),"MC/6 Primaria")</f>
        <v>MC/6 Primaria</v>
      </c>
      <c r="F323" s="24" t="s">
        <v>1582</v>
      </c>
      <c r="G323" s="248" t="s">
        <v>37</v>
      </c>
      <c r="H323" s="248" t="s">
        <v>1924</v>
      </c>
      <c r="I323" s="248" t="s">
        <v>1917</v>
      </c>
      <c r="J323" s="248" t="s">
        <v>1925</v>
      </c>
      <c r="K323" s="248" t="s">
        <v>1586</v>
      </c>
      <c r="L323" s="272"/>
      <c r="M323" s="286" t="s">
        <v>1588</v>
      </c>
      <c r="N323" s="286" t="s">
        <v>1617</v>
      </c>
      <c r="O323" s="286" t="s">
        <v>1589</v>
      </c>
      <c r="P323" s="286" t="s">
        <v>1617</v>
      </c>
      <c r="Q323" s="286" t="s">
        <v>1587</v>
      </c>
      <c r="R323" s="286" t="s">
        <v>1587</v>
      </c>
      <c r="S323" s="286" t="s">
        <v>1587</v>
      </c>
      <c r="T323" s="286" t="s">
        <v>1587</v>
      </c>
      <c r="U323" s="286" t="s">
        <v>1587</v>
      </c>
      <c r="V323" s="286" t="s">
        <v>1617</v>
      </c>
      <c r="W323" s="286" t="s">
        <v>1589</v>
      </c>
      <c r="X323" s="286" t="s">
        <v>1617</v>
      </c>
      <c r="Y323" s="286" t="s">
        <v>1588</v>
      </c>
      <c r="Z323" s="286" t="s">
        <v>1589</v>
      </c>
      <c r="AA323" s="286" t="s">
        <v>1587</v>
      </c>
      <c r="AB323" s="286" t="s">
        <v>1617</v>
      </c>
      <c r="AC323" s="286" t="s">
        <v>1588</v>
      </c>
      <c r="AD323" s="286" t="s">
        <v>1587</v>
      </c>
      <c r="AE323" s="286" t="s">
        <v>1617</v>
      </c>
      <c r="AF323" s="286" t="s">
        <v>1589</v>
      </c>
      <c r="AG323" s="283">
        <v>20</v>
      </c>
      <c r="AH323" s="287" t="s">
        <v>25</v>
      </c>
      <c r="AI323" s="272"/>
      <c r="AJ323" s="288" t="s">
        <v>2032</v>
      </c>
      <c r="AK323" s="288" t="s">
        <v>2032</v>
      </c>
      <c r="AL323" s="288" t="s">
        <v>2032</v>
      </c>
      <c r="AM323" s="288" t="s">
        <v>2032</v>
      </c>
      <c r="AN323" s="288" t="s">
        <v>2032</v>
      </c>
      <c r="AO323" s="288" t="s">
        <v>2032</v>
      </c>
      <c r="AP323" s="288" t="s">
        <v>2032</v>
      </c>
      <c r="AQ323" s="288" t="s">
        <v>2032</v>
      </c>
      <c r="AR323" s="288" t="s">
        <v>2032</v>
      </c>
      <c r="AS323" s="288" t="s">
        <v>2032</v>
      </c>
      <c r="AT323" s="288" t="s">
        <v>2032</v>
      </c>
      <c r="AU323" s="288" t="s">
        <v>2032</v>
      </c>
      <c r="AV323" s="288" t="s">
        <v>2032</v>
      </c>
      <c r="AW323" s="288" t="s">
        <v>2032</v>
      </c>
      <c r="AX323" s="288" t="s">
        <v>2032</v>
      </c>
      <c r="AY323" s="288" t="s">
        <v>2032</v>
      </c>
      <c r="AZ323" s="288" t="s">
        <v>2032</v>
      </c>
      <c r="BA323" s="288" t="s">
        <v>2032</v>
      </c>
      <c r="BB323" s="288" t="s">
        <v>2032</v>
      </c>
      <c r="BC323" s="288" t="s">
        <v>2032</v>
      </c>
      <c r="BD323" s="289">
        <f t="shared" si="1"/>
        <v>0</v>
      </c>
      <c r="BE323" s="287" t="s">
        <v>1489</v>
      </c>
      <c r="BF323" s="272"/>
    </row>
    <row r="324" spans="1:58" ht="14.25" customHeight="1" x14ac:dyDescent="0.35">
      <c r="A324" s="68">
        <v>322</v>
      </c>
      <c r="B324" s="24" t="s">
        <v>1855</v>
      </c>
      <c r="C324" s="24">
        <v>2024</v>
      </c>
      <c r="D324" s="24" t="s">
        <v>1745</v>
      </c>
      <c r="E324" s="269" t="str">
        <f ca="1">IFERROR(__xludf.DUMMYFUNCTION("ARRAYFORMULA(JOIN("""", ARRAYFORMULA(MID(SPLIT(F324, "" ""), 1, 1))))
&amp;""/""&amp;G324"),"CLC/6 Primaria")</f>
        <v>CLC/6 Primaria</v>
      </c>
      <c r="F324" s="24" t="s">
        <v>1747</v>
      </c>
      <c r="G324" s="248" t="s">
        <v>37</v>
      </c>
      <c r="H324" s="248" t="s">
        <v>1924</v>
      </c>
      <c r="I324" s="248" t="s">
        <v>1917</v>
      </c>
      <c r="J324" s="248" t="s">
        <v>1925</v>
      </c>
      <c r="K324" s="248" t="s">
        <v>1586</v>
      </c>
      <c r="L324" s="272"/>
      <c r="M324" s="286" t="s">
        <v>1589</v>
      </c>
      <c r="N324" s="286" t="s">
        <v>1589</v>
      </c>
      <c r="O324" s="286" t="s">
        <v>1617</v>
      </c>
      <c r="P324" s="286" t="s">
        <v>1587</v>
      </c>
      <c r="Q324" s="286" t="s">
        <v>1617</v>
      </c>
      <c r="R324" s="286" t="s">
        <v>1617</v>
      </c>
      <c r="S324" s="286" t="s">
        <v>1589</v>
      </c>
      <c r="T324" s="286" t="s">
        <v>1589</v>
      </c>
      <c r="U324" s="286" t="s">
        <v>1589</v>
      </c>
      <c r="V324" s="286" t="s">
        <v>1587</v>
      </c>
      <c r="W324" s="286" t="s">
        <v>1588</v>
      </c>
      <c r="X324" s="286" t="s">
        <v>1617</v>
      </c>
      <c r="Y324" s="286" t="s">
        <v>1617</v>
      </c>
      <c r="Z324" s="286" t="s">
        <v>1589</v>
      </c>
      <c r="AA324" s="286" t="s">
        <v>1588</v>
      </c>
      <c r="AB324" s="286" t="s">
        <v>1617</v>
      </c>
      <c r="AC324" s="286" t="s">
        <v>1617</v>
      </c>
      <c r="AD324" s="286" t="s">
        <v>1588</v>
      </c>
      <c r="AE324" s="286" t="s">
        <v>1589</v>
      </c>
      <c r="AF324" s="286" t="s">
        <v>1617</v>
      </c>
      <c r="AG324" s="283">
        <v>17</v>
      </c>
      <c r="AH324" s="287" t="s">
        <v>25</v>
      </c>
      <c r="AI324" s="272"/>
      <c r="AJ324" s="288" t="s">
        <v>2032</v>
      </c>
      <c r="AK324" s="288" t="s">
        <v>2032</v>
      </c>
      <c r="AL324" s="288" t="s">
        <v>2032</v>
      </c>
      <c r="AM324" s="288" t="s">
        <v>2032</v>
      </c>
      <c r="AN324" s="288" t="s">
        <v>2032</v>
      </c>
      <c r="AO324" s="288" t="s">
        <v>2032</v>
      </c>
      <c r="AP324" s="288" t="s">
        <v>2032</v>
      </c>
      <c r="AQ324" s="288" t="s">
        <v>2032</v>
      </c>
      <c r="AR324" s="288" t="s">
        <v>2032</v>
      </c>
      <c r="AS324" s="288" t="s">
        <v>2032</v>
      </c>
      <c r="AT324" s="288" t="s">
        <v>2032</v>
      </c>
      <c r="AU324" s="288" t="s">
        <v>2032</v>
      </c>
      <c r="AV324" s="288" t="s">
        <v>2032</v>
      </c>
      <c r="AW324" s="288" t="s">
        <v>2032</v>
      </c>
      <c r="AX324" s="288" t="s">
        <v>2032</v>
      </c>
      <c r="AY324" s="288" t="s">
        <v>2032</v>
      </c>
      <c r="AZ324" s="288" t="s">
        <v>2032</v>
      </c>
      <c r="BA324" s="288" t="s">
        <v>2032</v>
      </c>
      <c r="BB324" s="288" t="s">
        <v>2032</v>
      </c>
      <c r="BC324" s="288" t="s">
        <v>2032</v>
      </c>
      <c r="BD324" s="289">
        <f t="shared" si="1"/>
        <v>0</v>
      </c>
      <c r="BE324" s="287"/>
      <c r="BF324" s="272"/>
    </row>
    <row r="325" spans="1:58" ht="14.25" customHeight="1" x14ac:dyDescent="0.35">
      <c r="A325" s="68">
        <v>323</v>
      </c>
      <c r="B325" s="24" t="s">
        <v>1855</v>
      </c>
      <c r="C325" s="24">
        <v>2024</v>
      </c>
      <c r="D325" s="24" t="s">
        <v>1541</v>
      </c>
      <c r="E325" s="269" t="str">
        <f ca="1">IFERROR(__xludf.DUMMYFUNCTION("ARRAYFORMULA(JOIN("""", ARRAYFORMULA(MID(SPLIT(F325, "" ""), 1, 1))))
&amp;""/""&amp;G325"),"MC/6 Primaria")</f>
        <v>MC/6 Primaria</v>
      </c>
      <c r="F325" s="24" t="s">
        <v>1582</v>
      </c>
      <c r="G325" s="248" t="s">
        <v>37</v>
      </c>
      <c r="H325" s="248" t="s">
        <v>1689</v>
      </c>
      <c r="I325" s="248" t="s">
        <v>1665</v>
      </c>
      <c r="J325" s="248" t="s">
        <v>1926</v>
      </c>
      <c r="K325" s="248" t="s">
        <v>1586</v>
      </c>
      <c r="L325" s="272"/>
      <c r="M325" s="286" t="s">
        <v>1588</v>
      </c>
      <c r="N325" s="286" t="s">
        <v>1589</v>
      </c>
      <c r="O325" s="286" t="s">
        <v>1589</v>
      </c>
      <c r="P325" s="286" t="s">
        <v>1587</v>
      </c>
      <c r="Q325" s="286" t="s">
        <v>1587</v>
      </c>
      <c r="R325" s="286" t="s">
        <v>1587</v>
      </c>
      <c r="S325" s="286" t="s">
        <v>1587</v>
      </c>
      <c r="T325" s="286" t="s">
        <v>1587</v>
      </c>
      <c r="U325" s="286" t="s">
        <v>1587</v>
      </c>
      <c r="V325" s="286" t="s">
        <v>1617</v>
      </c>
      <c r="W325" s="286" t="s">
        <v>1589</v>
      </c>
      <c r="X325" s="286" t="s">
        <v>1617</v>
      </c>
      <c r="Y325" s="286" t="s">
        <v>1588</v>
      </c>
      <c r="Z325" s="286" t="s">
        <v>1589</v>
      </c>
      <c r="AA325" s="286" t="s">
        <v>1587</v>
      </c>
      <c r="AB325" s="286" t="s">
        <v>1617</v>
      </c>
      <c r="AC325" s="286" t="s">
        <v>1589</v>
      </c>
      <c r="AD325" s="286" t="s">
        <v>1587</v>
      </c>
      <c r="AE325" s="286" t="s">
        <v>1617</v>
      </c>
      <c r="AF325" s="286" t="s">
        <v>1589</v>
      </c>
      <c r="AG325" s="283">
        <v>17</v>
      </c>
      <c r="AH325" s="287" t="s">
        <v>25</v>
      </c>
      <c r="AI325" s="272"/>
      <c r="AJ325" s="288" t="s">
        <v>2032</v>
      </c>
      <c r="AK325" s="288" t="s">
        <v>2032</v>
      </c>
      <c r="AL325" s="288" t="s">
        <v>2032</v>
      </c>
      <c r="AM325" s="288" t="s">
        <v>2032</v>
      </c>
      <c r="AN325" s="288" t="s">
        <v>2032</v>
      </c>
      <c r="AO325" s="288" t="s">
        <v>2032</v>
      </c>
      <c r="AP325" s="288" t="s">
        <v>2032</v>
      </c>
      <c r="AQ325" s="288" t="s">
        <v>2032</v>
      </c>
      <c r="AR325" s="288" t="s">
        <v>2032</v>
      </c>
      <c r="AS325" s="288" t="s">
        <v>2032</v>
      </c>
      <c r="AT325" s="288" t="s">
        <v>2032</v>
      </c>
      <c r="AU325" s="288" t="s">
        <v>2032</v>
      </c>
      <c r="AV325" s="288" t="s">
        <v>2032</v>
      </c>
      <c r="AW325" s="288" t="s">
        <v>2032</v>
      </c>
      <c r="AX325" s="288" t="s">
        <v>2032</v>
      </c>
      <c r="AY325" s="288" t="s">
        <v>2032</v>
      </c>
      <c r="AZ325" s="288" t="s">
        <v>2032</v>
      </c>
      <c r="BA325" s="288" t="s">
        <v>2032</v>
      </c>
      <c r="BB325" s="288" t="s">
        <v>2032</v>
      </c>
      <c r="BC325" s="288" t="s">
        <v>2032</v>
      </c>
      <c r="BD325" s="289">
        <f t="shared" si="1"/>
        <v>0</v>
      </c>
      <c r="BE325" s="287" t="s">
        <v>1489</v>
      </c>
      <c r="BF325" s="272"/>
    </row>
    <row r="326" spans="1:58" ht="14.25" customHeight="1" x14ac:dyDescent="0.35">
      <c r="A326" s="68">
        <v>324</v>
      </c>
      <c r="B326" s="24" t="s">
        <v>1855</v>
      </c>
      <c r="C326" s="24">
        <v>2024</v>
      </c>
      <c r="D326" s="24" t="s">
        <v>1745</v>
      </c>
      <c r="E326" s="269" t="str">
        <f ca="1">IFERROR(__xludf.DUMMYFUNCTION("ARRAYFORMULA(JOIN("""", ARRAYFORMULA(MID(SPLIT(F326, "" ""), 1, 1))))
&amp;""/""&amp;G326"),"CLC/6 Primaria")</f>
        <v>CLC/6 Primaria</v>
      </c>
      <c r="F326" s="24" t="s">
        <v>1747</v>
      </c>
      <c r="G326" s="248" t="s">
        <v>37</v>
      </c>
      <c r="H326" s="248" t="s">
        <v>1689</v>
      </c>
      <c r="I326" s="248" t="s">
        <v>1665</v>
      </c>
      <c r="J326" s="248" t="s">
        <v>1926</v>
      </c>
      <c r="K326" s="248" t="s">
        <v>1586</v>
      </c>
      <c r="L326" s="272"/>
      <c r="M326" s="286" t="s">
        <v>1589</v>
      </c>
      <c r="N326" s="286" t="s">
        <v>1588</v>
      </c>
      <c r="O326" s="286" t="s">
        <v>1587</v>
      </c>
      <c r="P326" s="286" t="s">
        <v>1587</v>
      </c>
      <c r="Q326" s="286" t="s">
        <v>1617</v>
      </c>
      <c r="R326" s="286" t="s">
        <v>1617</v>
      </c>
      <c r="S326" s="286" t="s">
        <v>1589</v>
      </c>
      <c r="T326" s="286" t="s">
        <v>1589</v>
      </c>
      <c r="U326" s="286" t="s">
        <v>1617</v>
      </c>
      <c r="V326" s="286" t="s">
        <v>1617</v>
      </c>
      <c r="W326" s="286" t="s">
        <v>1588</v>
      </c>
      <c r="X326" s="286" t="s">
        <v>1617</v>
      </c>
      <c r="Y326" s="286" t="s">
        <v>1617</v>
      </c>
      <c r="Z326" s="286" t="s">
        <v>1617</v>
      </c>
      <c r="AA326" s="286" t="s">
        <v>1588</v>
      </c>
      <c r="AB326" s="286" t="s">
        <v>1617</v>
      </c>
      <c r="AC326" s="286" t="s">
        <v>1587</v>
      </c>
      <c r="AD326" s="286" t="s">
        <v>1587</v>
      </c>
      <c r="AE326" s="286" t="s">
        <v>1589</v>
      </c>
      <c r="AF326" s="286" t="s">
        <v>1617</v>
      </c>
      <c r="AG326" s="283">
        <v>14</v>
      </c>
      <c r="AH326" s="287" t="s">
        <v>23</v>
      </c>
      <c r="AI326" s="272"/>
      <c r="AJ326" s="288" t="s">
        <v>2032</v>
      </c>
      <c r="AK326" s="288" t="s">
        <v>2032</v>
      </c>
      <c r="AL326" s="288" t="s">
        <v>2032</v>
      </c>
      <c r="AM326" s="288" t="s">
        <v>2032</v>
      </c>
      <c r="AN326" s="288" t="s">
        <v>2032</v>
      </c>
      <c r="AO326" s="288" t="s">
        <v>2032</v>
      </c>
      <c r="AP326" s="288" t="s">
        <v>2032</v>
      </c>
      <c r="AQ326" s="288" t="s">
        <v>2032</v>
      </c>
      <c r="AR326" s="288" t="s">
        <v>2032</v>
      </c>
      <c r="AS326" s="288" t="s">
        <v>2032</v>
      </c>
      <c r="AT326" s="288" t="s">
        <v>2032</v>
      </c>
      <c r="AU326" s="288" t="s">
        <v>2032</v>
      </c>
      <c r="AV326" s="288" t="s">
        <v>2032</v>
      </c>
      <c r="AW326" s="288" t="s">
        <v>2032</v>
      </c>
      <c r="AX326" s="288" t="s">
        <v>2032</v>
      </c>
      <c r="AY326" s="288" t="s">
        <v>2032</v>
      </c>
      <c r="AZ326" s="288" t="s">
        <v>2032</v>
      </c>
      <c r="BA326" s="288" t="s">
        <v>2032</v>
      </c>
      <c r="BB326" s="288" t="s">
        <v>2032</v>
      </c>
      <c r="BC326" s="288" t="s">
        <v>2032</v>
      </c>
      <c r="BD326" s="289">
        <f t="shared" si="1"/>
        <v>0</v>
      </c>
      <c r="BE326" s="287"/>
      <c r="BF326" s="272"/>
    </row>
    <row r="327" spans="1:58" ht="14.25" customHeight="1" x14ac:dyDescent="0.35">
      <c r="A327" s="68">
        <v>325</v>
      </c>
      <c r="B327" s="24" t="s">
        <v>1855</v>
      </c>
      <c r="C327" s="24">
        <v>2024</v>
      </c>
      <c r="D327" s="24" t="s">
        <v>1541</v>
      </c>
      <c r="E327" s="269" t="str">
        <f ca="1">IFERROR(__xludf.DUMMYFUNCTION("ARRAYFORMULA(JOIN("""", ARRAYFORMULA(MID(SPLIT(F327, "" ""), 1, 1))))
&amp;""/""&amp;G327"),"MC/6 Primaria")</f>
        <v>MC/6 Primaria</v>
      </c>
      <c r="F327" s="24" t="s">
        <v>1582</v>
      </c>
      <c r="G327" s="248" t="s">
        <v>37</v>
      </c>
      <c r="H327" s="248" t="s">
        <v>1893</v>
      </c>
      <c r="I327" s="248" t="s">
        <v>1863</v>
      </c>
      <c r="J327" s="248" t="s">
        <v>1927</v>
      </c>
      <c r="K327" s="248" t="s">
        <v>1593</v>
      </c>
      <c r="L327" s="272"/>
      <c r="M327" s="286" t="s">
        <v>1589</v>
      </c>
      <c r="N327" s="286" t="s">
        <v>1617</v>
      </c>
      <c r="O327" s="286" t="s">
        <v>1588</v>
      </c>
      <c r="P327" s="286" t="s">
        <v>1589</v>
      </c>
      <c r="Q327" s="286" t="s">
        <v>1587</v>
      </c>
      <c r="R327" s="286" t="s">
        <v>1617</v>
      </c>
      <c r="S327" s="286" t="s">
        <v>1587</v>
      </c>
      <c r="T327" s="286" t="s">
        <v>1587</v>
      </c>
      <c r="U327" s="286" t="s">
        <v>1587</v>
      </c>
      <c r="V327" s="286" t="s">
        <v>1617</v>
      </c>
      <c r="W327" s="286" t="s">
        <v>1587</v>
      </c>
      <c r="X327" s="286" t="s">
        <v>1589</v>
      </c>
      <c r="Y327" s="286" t="s">
        <v>1588</v>
      </c>
      <c r="Z327" s="286" t="s">
        <v>1589</v>
      </c>
      <c r="AA327" s="286" t="s">
        <v>1589</v>
      </c>
      <c r="AB327" s="286" t="s">
        <v>1617</v>
      </c>
      <c r="AC327" s="286" t="s">
        <v>1588</v>
      </c>
      <c r="AD327" s="286" t="s">
        <v>1589</v>
      </c>
      <c r="AE327" s="286" t="s">
        <v>1617</v>
      </c>
      <c r="AF327" s="286" t="s">
        <v>1589</v>
      </c>
      <c r="AG327" s="283">
        <v>12</v>
      </c>
      <c r="AH327" s="287" t="s">
        <v>23</v>
      </c>
      <c r="AI327" s="272"/>
      <c r="AJ327" s="288" t="s">
        <v>2032</v>
      </c>
      <c r="AK327" s="288" t="s">
        <v>2032</v>
      </c>
      <c r="AL327" s="288" t="s">
        <v>2032</v>
      </c>
      <c r="AM327" s="288" t="s">
        <v>2032</v>
      </c>
      <c r="AN327" s="288" t="s">
        <v>2032</v>
      </c>
      <c r="AO327" s="288" t="s">
        <v>2032</v>
      </c>
      <c r="AP327" s="288" t="s">
        <v>2032</v>
      </c>
      <c r="AQ327" s="288" t="s">
        <v>2032</v>
      </c>
      <c r="AR327" s="288" t="s">
        <v>2032</v>
      </c>
      <c r="AS327" s="288" t="s">
        <v>2032</v>
      </c>
      <c r="AT327" s="288" t="s">
        <v>2032</v>
      </c>
      <c r="AU327" s="288" t="s">
        <v>2032</v>
      </c>
      <c r="AV327" s="288" t="s">
        <v>2032</v>
      </c>
      <c r="AW327" s="288" t="s">
        <v>2032</v>
      </c>
      <c r="AX327" s="288" t="s">
        <v>2032</v>
      </c>
      <c r="AY327" s="288" t="s">
        <v>2032</v>
      </c>
      <c r="AZ327" s="288" t="s">
        <v>2032</v>
      </c>
      <c r="BA327" s="288" t="s">
        <v>2032</v>
      </c>
      <c r="BB327" s="288" t="s">
        <v>2032</v>
      </c>
      <c r="BC327" s="288" t="s">
        <v>2032</v>
      </c>
      <c r="BD327" s="289">
        <f t="shared" si="1"/>
        <v>0</v>
      </c>
      <c r="BE327" s="287" t="s">
        <v>1489</v>
      </c>
      <c r="BF327" s="272"/>
    </row>
    <row r="328" spans="1:58" ht="14.25" customHeight="1" x14ac:dyDescent="0.35">
      <c r="A328" s="68">
        <v>326</v>
      </c>
      <c r="B328" s="24" t="s">
        <v>1855</v>
      </c>
      <c r="C328" s="24">
        <v>2024</v>
      </c>
      <c r="D328" s="24" t="s">
        <v>1745</v>
      </c>
      <c r="E328" s="269" t="str">
        <f ca="1">IFERROR(__xludf.DUMMYFUNCTION("ARRAYFORMULA(JOIN("""", ARRAYFORMULA(MID(SPLIT(F328, "" ""), 1, 1))))
&amp;""/""&amp;G328"),"CLC/6 Primaria")</f>
        <v>CLC/6 Primaria</v>
      </c>
      <c r="F328" s="24" t="s">
        <v>1747</v>
      </c>
      <c r="G328" s="248" t="s">
        <v>37</v>
      </c>
      <c r="H328" s="248" t="s">
        <v>1893</v>
      </c>
      <c r="I328" s="248" t="s">
        <v>1863</v>
      </c>
      <c r="J328" s="248" t="s">
        <v>1927</v>
      </c>
      <c r="K328" s="248" t="s">
        <v>1593</v>
      </c>
      <c r="L328" s="272"/>
      <c r="M328" s="286" t="s">
        <v>1589</v>
      </c>
      <c r="N328" s="286" t="s">
        <v>1589</v>
      </c>
      <c r="O328" s="286" t="s">
        <v>1589</v>
      </c>
      <c r="P328" s="286" t="s">
        <v>1617</v>
      </c>
      <c r="Q328" s="286" t="s">
        <v>1588</v>
      </c>
      <c r="R328" s="286" t="s">
        <v>1617</v>
      </c>
      <c r="S328" s="286" t="s">
        <v>1587</v>
      </c>
      <c r="T328" s="286" t="s">
        <v>1589</v>
      </c>
      <c r="U328" s="286" t="s">
        <v>1588</v>
      </c>
      <c r="V328" s="286" t="s">
        <v>1589</v>
      </c>
      <c r="W328" s="286" t="s">
        <v>1588</v>
      </c>
      <c r="X328" s="286" t="s">
        <v>1589</v>
      </c>
      <c r="Y328" s="286" t="s">
        <v>1587</v>
      </c>
      <c r="Z328" s="286" t="s">
        <v>1589</v>
      </c>
      <c r="AA328" s="286" t="s">
        <v>1589</v>
      </c>
      <c r="AB328" s="286" t="s">
        <v>1587</v>
      </c>
      <c r="AC328" s="286" t="s">
        <v>1617</v>
      </c>
      <c r="AD328" s="286" t="s">
        <v>1588</v>
      </c>
      <c r="AE328" s="286" t="s">
        <v>1589</v>
      </c>
      <c r="AF328" s="286" t="s">
        <v>1617</v>
      </c>
      <c r="AG328" s="283">
        <v>8</v>
      </c>
      <c r="AH328" s="287" t="s">
        <v>19</v>
      </c>
      <c r="AI328" s="272"/>
      <c r="AJ328" s="288" t="s">
        <v>2032</v>
      </c>
      <c r="AK328" s="288" t="s">
        <v>2032</v>
      </c>
      <c r="AL328" s="288" t="s">
        <v>2032</v>
      </c>
      <c r="AM328" s="288" t="s">
        <v>2032</v>
      </c>
      <c r="AN328" s="288" t="s">
        <v>2032</v>
      </c>
      <c r="AO328" s="288" t="s">
        <v>2032</v>
      </c>
      <c r="AP328" s="288" t="s">
        <v>2032</v>
      </c>
      <c r="AQ328" s="288" t="s">
        <v>2032</v>
      </c>
      <c r="AR328" s="288" t="s">
        <v>2032</v>
      </c>
      <c r="AS328" s="288" t="s">
        <v>2032</v>
      </c>
      <c r="AT328" s="288" t="s">
        <v>2032</v>
      </c>
      <c r="AU328" s="288" t="s">
        <v>2032</v>
      </c>
      <c r="AV328" s="288" t="s">
        <v>2032</v>
      </c>
      <c r="AW328" s="288" t="s">
        <v>2032</v>
      </c>
      <c r="AX328" s="288" t="s">
        <v>2032</v>
      </c>
      <c r="AY328" s="288" t="s">
        <v>2032</v>
      </c>
      <c r="AZ328" s="288" t="s">
        <v>2032</v>
      </c>
      <c r="BA328" s="288" t="s">
        <v>2032</v>
      </c>
      <c r="BB328" s="288" t="s">
        <v>2032</v>
      </c>
      <c r="BC328" s="288" t="s">
        <v>2032</v>
      </c>
      <c r="BD328" s="289">
        <f t="shared" si="1"/>
        <v>0</v>
      </c>
      <c r="BE328" s="287"/>
      <c r="BF328" s="272"/>
    </row>
    <row r="329" spans="1:58" ht="14.25" customHeight="1" x14ac:dyDescent="0.35">
      <c r="A329" s="68">
        <v>327</v>
      </c>
      <c r="B329" s="24" t="s">
        <v>1855</v>
      </c>
      <c r="C329" s="24">
        <v>2024</v>
      </c>
      <c r="D329" s="24" t="s">
        <v>1541</v>
      </c>
      <c r="E329" s="269" t="str">
        <f ca="1">IFERROR(__xludf.DUMMYFUNCTION("ARRAYFORMULA(JOIN("""", ARRAYFORMULA(MID(SPLIT(F329, "" ""), 1, 1))))
&amp;""/""&amp;G329"),"MC/6 Primaria")</f>
        <v>MC/6 Primaria</v>
      </c>
      <c r="F329" s="24" t="s">
        <v>1582</v>
      </c>
      <c r="G329" s="248" t="s">
        <v>37</v>
      </c>
      <c r="H329" s="248" t="s">
        <v>1928</v>
      </c>
      <c r="I329" s="248" t="s">
        <v>1699</v>
      </c>
      <c r="J329" s="248" t="s">
        <v>1929</v>
      </c>
      <c r="K329" s="248" t="s">
        <v>1586</v>
      </c>
      <c r="L329" s="272"/>
      <c r="M329" s="286" t="s">
        <v>1588</v>
      </c>
      <c r="N329" s="286" t="s">
        <v>1617</v>
      </c>
      <c r="O329" s="286" t="s">
        <v>1589</v>
      </c>
      <c r="P329" s="286" t="s">
        <v>1617</v>
      </c>
      <c r="Q329" s="286" t="s">
        <v>1587</v>
      </c>
      <c r="R329" s="286" t="s">
        <v>1587</v>
      </c>
      <c r="S329" s="286" t="s">
        <v>1587</v>
      </c>
      <c r="T329" s="286" t="s">
        <v>1587</v>
      </c>
      <c r="U329" s="286" t="s">
        <v>1587</v>
      </c>
      <c r="V329" s="286" t="s">
        <v>1617</v>
      </c>
      <c r="W329" s="286" t="s">
        <v>1589</v>
      </c>
      <c r="X329" s="286" t="s">
        <v>1617</v>
      </c>
      <c r="Y329" s="286" t="s">
        <v>1588</v>
      </c>
      <c r="Z329" s="286" t="s">
        <v>1589</v>
      </c>
      <c r="AA329" s="286" t="s">
        <v>1587</v>
      </c>
      <c r="AB329" s="286" t="s">
        <v>1617</v>
      </c>
      <c r="AC329" s="286" t="s">
        <v>1588</v>
      </c>
      <c r="AD329" s="286" t="s">
        <v>1587</v>
      </c>
      <c r="AE329" s="286" t="s">
        <v>1617</v>
      </c>
      <c r="AF329" s="286" t="s">
        <v>1588</v>
      </c>
      <c r="AG329" s="283">
        <v>19</v>
      </c>
      <c r="AH329" s="287" t="s">
        <v>25</v>
      </c>
      <c r="AI329" s="272"/>
      <c r="AJ329" s="288" t="s">
        <v>2032</v>
      </c>
      <c r="AK329" s="288" t="s">
        <v>2032</v>
      </c>
      <c r="AL329" s="288" t="s">
        <v>2032</v>
      </c>
      <c r="AM329" s="288" t="s">
        <v>2032</v>
      </c>
      <c r="AN329" s="288" t="s">
        <v>2032</v>
      </c>
      <c r="AO329" s="288" t="s">
        <v>2032</v>
      </c>
      <c r="AP329" s="288" t="s">
        <v>2032</v>
      </c>
      <c r="AQ329" s="288" t="s">
        <v>2032</v>
      </c>
      <c r="AR329" s="288" t="s">
        <v>2032</v>
      </c>
      <c r="AS329" s="288" t="s">
        <v>2032</v>
      </c>
      <c r="AT329" s="288" t="s">
        <v>2032</v>
      </c>
      <c r="AU329" s="288" t="s">
        <v>2032</v>
      </c>
      <c r="AV329" s="288" t="s">
        <v>2032</v>
      </c>
      <c r="AW329" s="288" t="s">
        <v>2032</v>
      </c>
      <c r="AX329" s="288" t="s">
        <v>2032</v>
      </c>
      <c r="AY329" s="288" t="s">
        <v>2032</v>
      </c>
      <c r="AZ329" s="288" t="s">
        <v>2032</v>
      </c>
      <c r="BA329" s="288" t="s">
        <v>2032</v>
      </c>
      <c r="BB329" s="288" t="s">
        <v>2032</v>
      </c>
      <c r="BC329" s="288" t="s">
        <v>2032</v>
      </c>
      <c r="BD329" s="289">
        <f t="shared" si="1"/>
        <v>0</v>
      </c>
      <c r="BE329" s="287" t="s">
        <v>1489</v>
      </c>
      <c r="BF329" s="272"/>
    </row>
    <row r="330" spans="1:58" ht="14.25" customHeight="1" x14ac:dyDescent="0.35">
      <c r="A330" s="68">
        <v>328</v>
      </c>
      <c r="B330" s="24" t="s">
        <v>1855</v>
      </c>
      <c r="C330" s="24">
        <v>2024</v>
      </c>
      <c r="D330" s="24" t="s">
        <v>1745</v>
      </c>
      <c r="E330" s="269" t="str">
        <f ca="1">IFERROR(__xludf.DUMMYFUNCTION("ARRAYFORMULA(JOIN("""", ARRAYFORMULA(MID(SPLIT(F330, "" ""), 1, 1))))
&amp;""/""&amp;G330"),"CLC/6 Primaria")</f>
        <v>CLC/6 Primaria</v>
      </c>
      <c r="F330" s="24" t="s">
        <v>1747</v>
      </c>
      <c r="G330" s="248" t="s">
        <v>37</v>
      </c>
      <c r="H330" s="248" t="s">
        <v>1928</v>
      </c>
      <c r="I330" s="248" t="s">
        <v>1699</v>
      </c>
      <c r="J330" s="248" t="s">
        <v>1929</v>
      </c>
      <c r="K330" s="248" t="s">
        <v>1586</v>
      </c>
      <c r="L330" s="272"/>
      <c r="M330" s="286" t="s">
        <v>1589</v>
      </c>
      <c r="N330" s="286" t="s">
        <v>1587</v>
      </c>
      <c r="O330" s="286" t="s">
        <v>1587</v>
      </c>
      <c r="P330" s="286" t="s">
        <v>1617</v>
      </c>
      <c r="Q330" s="286" t="s">
        <v>1617</v>
      </c>
      <c r="R330" s="286" t="s">
        <v>1589</v>
      </c>
      <c r="S330" s="286" t="s">
        <v>1588</v>
      </c>
      <c r="T330" s="286" t="s">
        <v>1588</v>
      </c>
      <c r="U330" s="286" t="s">
        <v>1617</v>
      </c>
      <c r="V330" s="286" t="s">
        <v>1589</v>
      </c>
      <c r="W330" s="286" t="s">
        <v>1617</v>
      </c>
      <c r="X330" s="286" t="s">
        <v>1617</v>
      </c>
      <c r="Y330" s="286" t="s">
        <v>1617</v>
      </c>
      <c r="Z330" s="286" t="s">
        <v>1589</v>
      </c>
      <c r="AA330" s="286" t="s">
        <v>1588</v>
      </c>
      <c r="AB330" s="286" t="s">
        <v>1617</v>
      </c>
      <c r="AC330" s="286" t="s">
        <v>1587</v>
      </c>
      <c r="AD330" s="286" t="s">
        <v>1588</v>
      </c>
      <c r="AE330" s="286" t="s">
        <v>1588</v>
      </c>
      <c r="AF330" s="286" t="s">
        <v>1617</v>
      </c>
      <c r="AG330" s="283">
        <v>12</v>
      </c>
      <c r="AH330" s="287" t="s">
        <v>23</v>
      </c>
      <c r="AI330" s="272"/>
      <c r="AJ330" s="288" t="s">
        <v>2032</v>
      </c>
      <c r="AK330" s="288" t="s">
        <v>2032</v>
      </c>
      <c r="AL330" s="288" t="s">
        <v>2032</v>
      </c>
      <c r="AM330" s="288" t="s">
        <v>2032</v>
      </c>
      <c r="AN330" s="288" t="s">
        <v>2032</v>
      </c>
      <c r="AO330" s="288" t="s">
        <v>2032</v>
      </c>
      <c r="AP330" s="288" t="s">
        <v>2032</v>
      </c>
      <c r="AQ330" s="288" t="s">
        <v>2032</v>
      </c>
      <c r="AR330" s="288" t="s">
        <v>2032</v>
      </c>
      <c r="AS330" s="288" t="s">
        <v>2032</v>
      </c>
      <c r="AT330" s="288" t="s">
        <v>2032</v>
      </c>
      <c r="AU330" s="288" t="s">
        <v>2032</v>
      </c>
      <c r="AV330" s="288" t="s">
        <v>2032</v>
      </c>
      <c r="AW330" s="288" t="s">
        <v>2032</v>
      </c>
      <c r="AX330" s="288" t="s">
        <v>2032</v>
      </c>
      <c r="AY330" s="288" t="s">
        <v>2032</v>
      </c>
      <c r="AZ330" s="288" t="s">
        <v>2032</v>
      </c>
      <c r="BA330" s="288" t="s">
        <v>2032</v>
      </c>
      <c r="BB330" s="288" t="s">
        <v>2032</v>
      </c>
      <c r="BC330" s="288" t="s">
        <v>2032</v>
      </c>
      <c r="BD330" s="289">
        <f t="shared" si="1"/>
        <v>0</v>
      </c>
      <c r="BE330" s="287"/>
      <c r="BF330" s="272"/>
    </row>
    <row r="331" spans="1:58" ht="14.25" customHeight="1" x14ac:dyDescent="0.35">
      <c r="A331" s="68">
        <v>329</v>
      </c>
      <c r="B331" s="24" t="s">
        <v>1930</v>
      </c>
      <c r="C331" s="24">
        <v>2024</v>
      </c>
      <c r="D331" s="24" t="s">
        <v>1541</v>
      </c>
      <c r="E331" s="269" t="str">
        <f ca="1">IFERROR(__xludf.DUMMYFUNCTION("ARRAYFORMULA(JOIN("""", ARRAYFORMULA(MID(SPLIT(F331, "" ""), 1, 1))))
&amp;""/""&amp;G331"),"MQ/2 Primaria")</f>
        <v>MQ/2 Primaria</v>
      </c>
      <c r="F331" s="24" t="s">
        <v>1751</v>
      </c>
      <c r="G331" s="248" t="s">
        <v>45</v>
      </c>
      <c r="H331" s="248" t="s">
        <v>1674</v>
      </c>
      <c r="I331" s="248" t="s">
        <v>1625</v>
      </c>
      <c r="J331" s="248" t="s">
        <v>1931</v>
      </c>
      <c r="K331" s="248" t="s">
        <v>1593</v>
      </c>
      <c r="L331" s="272"/>
      <c r="M331" s="286" t="s">
        <v>1753</v>
      </c>
      <c r="N331" s="286" t="s">
        <v>1753</v>
      </c>
      <c r="O331" s="286" t="s">
        <v>1588</v>
      </c>
      <c r="P331" s="286" t="s">
        <v>1753</v>
      </c>
      <c r="Q331" s="286" t="s">
        <v>1754</v>
      </c>
      <c r="R331" s="286" t="s">
        <v>1754</v>
      </c>
      <c r="S331" s="286" t="s">
        <v>1754</v>
      </c>
      <c r="T331" s="286" t="s">
        <v>1588</v>
      </c>
      <c r="U331" s="286" t="s">
        <v>1754</v>
      </c>
      <c r="V331" s="286"/>
      <c r="W331" s="286" t="s">
        <v>1754</v>
      </c>
      <c r="X331" s="286" t="s">
        <v>1754</v>
      </c>
      <c r="Y331" s="286" t="s">
        <v>1753</v>
      </c>
      <c r="Z331" s="286" t="s">
        <v>1753</v>
      </c>
      <c r="AA331" s="286" t="s">
        <v>1588</v>
      </c>
      <c r="AB331" s="286" t="s">
        <v>1753</v>
      </c>
      <c r="AC331" s="286" t="s">
        <v>1588</v>
      </c>
      <c r="AD331" s="286" t="s">
        <v>1753</v>
      </c>
      <c r="AE331" s="286" t="s">
        <v>1753</v>
      </c>
      <c r="AF331" s="286" t="s">
        <v>1753</v>
      </c>
      <c r="AG331" s="283">
        <v>11</v>
      </c>
      <c r="AH331" s="287" t="s">
        <v>23</v>
      </c>
      <c r="AI331" s="272"/>
      <c r="AJ331" s="288" t="s">
        <v>2032</v>
      </c>
      <c r="AK331" s="288" t="s">
        <v>2032</v>
      </c>
      <c r="AL331" s="288" t="s">
        <v>2032</v>
      </c>
      <c r="AM331" s="288" t="s">
        <v>2032</v>
      </c>
      <c r="AN331" s="288" t="s">
        <v>2032</v>
      </c>
      <c r="AO331" s="288" t="s">
        <v>2032</v>
      </c>
      <c r="AP331" s="288" t="s">
        <v>2032</v>
      </c>
      <c r="AQ331" s="288" t="s">
        <v>2032</v>
      </c>
      <c r="AR331" s="288" t="s">
        <v>2032</v>
      </c>
      <c r="AS331" s="288" t="s">
        <v>2032</v>
      </c>
      <c r="AT331" s="288" t="s">
        <v>2032</v>
      </c>
      <c r="AU331" s="288" t="s">
        <v>2032</v>
      </c>
      <c r="AV331" s="288" t="s">
        <v>2032</v>
      </c>
      <c r="AW331" s="288" t="s">
        <v>2032</v>
      </c>
      <c r="AX331" s="288" t="s">
        <v>2032</v>
      </c>
      <c r="AY331" s="288" t="s">
        <v>2032</v>
      </c>
      <c r="AZ331" s="288" t="s">
        <v>2032</v>
      </c>
      <c r="BA331" s="288" t="s">
        <v>2032</v>
      </c>
      <c r="BB331" s="288" t="s">
        <v>2032</v>
      </c>
      <c r="BC331" s="288" t="s">
        <v>2032</v>
      </c>
      <c r="BD331" s="289">
        <f t="shared" si="1"/>
        <v>0</v>
      </c>
      <c r="BE331" s="287"/>
      <c r="BF331" s="272"/>
    </row>
    <row r="332" spans="1:58" ht="14.25" customHeight="1" x14ac:dyDescent="0.35">
      <c r="A332" s="68">
        <v>330</v>
      </c>
      <c r="B332" s="24" t="s">
        <v>1930</v>
      </c>
      <c r="C332" s="24">
        <v>2024</v>
      </c>
      <c r="D332" s="24" t="s">
        <v>1745</v>
      </c>
      <c r="E332" s="269" t="str">
        <f ca="1">IFERROR(__xludf.DUMMYFUNCTION("ARRAYFORMULA(JOIN("""", ARRAYFORMULA(MID(SPLIT(F332, "" ""), 1, 1))))
&amp;""/""&amp;G332"),"CLQ/2 Primaria")</f>
        <v>CLQ/2 Primaria</v>
      </c>
      <c r="F332" s="24" t="s">
        <v>1755</v>
      </c>
      <c r="G332" s="248" t="s">
        <v>45</v>
      </c>
      <c r="H332" s="248" t="s">
        <v>1674</v>
      </c>
      <c r="I332" s="248" t="s">
        <v>1625</v>
      </c>
      <c r="J332" s="248" t="s">
        <v>1931</v>
      </c>
      <c r="K332" s="248" t="s">
        <v>1593</v>
      </c>
      <c r="L332" s="272"/>
      <c r="M332" s="286" t="s">
        <v>1753</v>
      </c>
      <c r="N332" s="286" t="s">
        <v>1754</v>
      </c>
      <c r="O332" s="286" t="s">
        <v>1588</v>
      </c>
      <c r="P332" s="286" t="s">
        <v>1588</v>
      </c>
      <c r="Q332" s="286" t="s">
        <v>1753</v>
      </c>
      <c r="R332" s="286" t="s">
        <v>1588</v>
      </c>
      <c r="S332" s="286" t="s">
        <v>1754</v>
      </c>
      <c r="T332" s="286" t="s">
        <v>1754</v>
      </c>
      <c r="U332" s="286" t="s">
        <v>1754</v>
      </c>
      <c r="V332" s="286" t="s">
        <v>1588</v>
      </c>
      <c r="W332" s="286" t="s">
        <v>1753</v>
      </c>
      <c r="X332" s="286" t="s">
        <v>1588</v>
      </c>
      <c r="Y332" s="286" t="s">
        <v>1754</v>
      </c>
      <c r="Z332" s="286" t="s">
        <v>1588</v>
      </c>
      <c r="AA332" s="286" t="s">
        <v>1753</v>
      </c>
      <c r="AB332" s="286" t="s">
        <v>1754</v>
      </c>
      <c r="AC332" s="286" t="s">
        <v>1753</v>
      </c>
      <c r="AD332" s="286" t="s">
        <v>1753</v>
      </c>
      <c r="AE332" s="286" t="s">
        <v>1588</v>
      </c>
      <c r="AF332" s="286" t="s">
        <v>1753</v>
      </c>
      <c r="AG332" s="283">
        <v>11</v>
      </c>
      <c r="AH332" s="287" t="s">
        <v>23</v>
      </c>
      <c r="AI332" s="272"/>
      <c r="AJ332" s="288" t="s">
        <v>2032</v>
      </c>
      <c r="AK332" s="288" t="s">
        <v>2032</v>
      </c>
      <c r="AL332" s="288" t="s">
        <v>2032</v>
      </c>
      <c r="AM332" s="288" t="s">
        <v>2032</v>
      </c>
      <c r="AN332" s="288" t="s">
        <v>2032</v>
      </c>
      <c r="AO332" s="288" t="s">
        <v>2032</v>
      </c>
      <c r="AP332" s="288" t="s">
        <v>2032</v>
      </c>
      <c r="AQ332" s="288" t="s">
        <v>2032</v>
      </c>
      <c r="AR332" s="288" t="s">
        <v>2032</v>
      </c>
      <c r="AS332" s="288" t="s">
        <v>2032</v>
      </c>
      <c r="AT332" s="288" t="s">
        <v>2032</v>
      </c>
      <c r="AU332" s="288" t="s">
        <v>2032</v>
      </c>
      <c r="AV332" s="288" t="s">
        <v>2032</v>
      </c>
      <c r="AW332" s="288" t="s">
        <v>2032</v>
      </c>
      <c r="AX332" s="288" t="s">
        <v>2032</v>
      </c>
      <c r="AY332" s="288" t="s">
        <v>2032</v>
      </c>
      <c r="AZ332" s="288" t="s">
        <v>2032</v>
      </c>
      <c r="BA332" s="288" t="s">
        <v>2032</v>
      </c>
      <c r="BB332" s="288" t="s">
        <v>2032</v>
      </c>
      <c r="BC332" s="288" t="s">
        <v>2032</v>
      </c>
      <c r="BD332" s="289">
        <f t="shared" si="1"/>
        <v>0</v>
      </c>
      <c r="BE332" s="287"/>
      <c r="BF332" s="272"/>
    </row>
    <row r="333" spans="1:58" ht="14.25" customHeight="1" x14ac:dyDescent="0.35">
      <c r="A333" s="68">
        <v>331</v>
      </c>
      <c r="B333" s="24" t="s">
        <v>1930</v>
      </c>
      <c r="C333" s="24">
        <v>2024</v>
      </c>
      <c r="D333" s="24" t="s">
        <v>1541</v>
      </c>
      <c r="E333" s="269" t="str">
        <f ca="1">IFERROR(__xludf.DUMMYFUNCTION("ARRAYFORMULA(JOIN("""", ARRAYFORMULA(MID(SPLIT(F333, "" ""), 1, 1))))
&amp;""/""&amp;G333"),"MQ/4 Primaria")</f>
        <v>MQ/4 Primaria</v>
      </c>
      <c r="F333" s="24" t="s">
        <v>1751</v>
      </c>
      <c r="G333" s="248" t="s">
        <v>16</v>
      </c>
      <c r="H333" s="248" t="s">
        <v>1932</v>
      </c>
      <c r="I333" s="248" t="s">
        <v>1933</v>
      </c>
      <c r="J333" s="248" t="s">
        <v>1934</v>
      </c>
      <c r="K333" s="248" t="s">
        <v>1593</v>
      </c>
      <c r="L333" s="272"/>
      <c r="M333" s="286" t="s">
        <v>1617</v>
      </c>
      <c r="N333" s="286" t="s">
        <v>1589</v>
      </c>
      <c r="O333" s="286" t="s">
        <v>1587</v>
      </c>
      <c r="P333" s="286" t="s">
        <v>1617</v>
      </c>
      <c r="Q333" s="286" t="s">
        <v>1589</v>
      </c>
      <c r="R333" s="286" t="s">
        <v>1588</v>
      </c>
      <c r="S333" s="286" t="s">
        <v>1587</v>
      </c>
      <c r="T333" s="286" t="s">
        <v>1589</v>
      </c>
      <c r="U333" s="286" t="s">
        <v>1587</v>
      </c>
      <c r="V333" s="286" t="s">
        <v>1588</v>
      </c>
      <c r="W333" s="286" t="s">
        <v>1617</v>
      </c>
      <c r="X333" s="286" t="s">
        <v>1588</v>
      </c>
      <c r="Y333" s="286" t="s">
        <v>1588</v>
      </c>
      <c r="Z333" s="286" t="s">
        <v>1589</v>
      </c>
      <c r="AA333" s="286" t="s">
        <v>1588</v>
      </c>
      <c r="AB333" s="286" t="s">
        <v>1587</v>
      </c>
      <c r="AC333" s="286" t="s">
        <v>1617</v>
      </c>
      <c r="AD333" s="286" t="s">
        <v>1589</v>
      </c>
      <c r="AE333" s="286" t="s">
        <v>1588</v>
      </c>
      <c r="AF333" s="286" t="s">
        <v>1588</v>
      </c>
      <c r="AG333" s="283">
        <v>14</v>
      </c>
      <c r="AH333" s="287" t="s">
        <v>23</v>
      </c>
      <c r="AI333" s="272"/>
      <c r="AJ333" s="288" t="s">
        <v>2032</v>
      </c>
      <c r="AK333" s="288" t="s">
        <v>2032</v>
      </c>
      <c r="AL333" s="288" t="s">
        <v>2032</v>
      </c>
      <c r="AM333" s="288" t="s">
        <v>2032</v>
      </c>
      <c r="AN333" s="288" t="s">
        <v>2032</v>
      </c>
      <c r="AO333" s="288" t="s">
        <v>2032</v>
      </c>
      <c r="AP333" s="288" t="s">
        <v>2032</v>
      </c>
      <c r="AQ333" s="288" t="s">
        <v>2032</v>
      </c>
      <c r="AR333" s="288" t="s">
        <v>2032</v>
      </c>
      <c r="AS333" s="288" t="s">
        <v>2032</v>
      </c>
      <c r="AT333" s="288" t="s">
        <v>2032</v>
      </c>
      <c r="AU333" s="288" t="s">
        <v>2032</v>
      </c>
      <c r="AV333" s="288" t="s">
        <v>2032</v>
      </c>
      <c r="AW333" s="288" t="s">
        <v>2032</v>
      </c>
      <c r="AX333" s="288" t="s">
        <v>2032</v>
      </c>
      <c r="AY333" s="288" t="s">
        <v>2032</v>
      </c>
      <c r="AZ333" s="288" t="s">
        <v>2032</v>
      </c>
      <c r="BA333" s="288" t="s">
        <v>2032</v>
      </c>
      <c r="BB333" s="288" t="s">
        <v>2032</v>
      </c>
      <c r="BC333" s="288" t="s">
        <v>2032</v>
      </c>
      <c r="BD333" s="289">
        <f t="shared" si="1"/>
        <v>0</v>
      </c>
      <c r="BE333" s="287"/>
      <c r="BF333" s="272"/>
    </row>
    <row r="334" spans="1:58" ht="14.25" customHeight="1" x14ac:dyDescent="0.35">
      <c r="A334" s="68">
        <v>332</v>
      </c>
      <c r="B334" s="24" t="s">
        <v>1930</v>
      </c>
      <c r="C334" s="24">
        <v>2024</v>
      </c>
      <c r="D334" s="24" t="s">
        <v>1745</v>
      </c>
      <c r="E334" s="269" t="str">
        <f ca="1">IFERROR(__xludf.DUMMYFUNCTION("ARRAYFORMULA(JOIN("""", ARRAYFORMULA(MID(SPLIT(F334, "" ""), 1, 1))))
&amp;""/""&amp;G334"),"CLQ/4 Primaria")</f>
        <v>CLQ/4 Primaria</v>
      </c>
      <c r="F334" s="24" t="s">
        <v>1755</v>
      </c>
      <c r="G334" s="248" t="s">
        <v>16</v>
      </c>
      <c r="H334" s="248" t="s">
        <v>1932</v>
      </c>
      <c r="I334" s="248" t="s">
        <v>1933</v>
      </c>
      <c r="J334" s="248" t="s">
        <v>1934</v>
      </c>
      <c r="K334" s="248" t="s">
        <v>1593</v>
      </c>
      <c r="L334" s="272"/>
      <c r="M334" s="286" t="s">
        <v>1587</v>
      </c>
      <c r="N334" s="286" t="s">
        <v>1588</v>
      </c>
      <c r="O334" s="286" t="s">
        <v>1587</v>
      </c>
      <c r="P334" s="286" t="s">
        <v>1587</v>
      </c>
      <c r="Q334" s="286" t="s">
        <v>1589</v>
      </c>
      <c r="R334" s="286" t="s">
        <v>1589</v>
      </c>
      <c r="S334" s="286" t="s">
        <v>1588</v>
      </c>
      <c r="T334" s="286" t="s">
        <v>1589</v>
      </c>
      <c r="U334" s="286" t="s">
        <v>1617</v>
      </c>
      <c r="V334" s="286" t="s">
        <v>1589</v>
      </c>
      <c r="W334" s="286" t="s">
        <v>1617</v>
      </c>
      <c r="X334" s="286" t="s">
        <v>1588</v>
      </c>
      <c r="Y334" s="286" t="s">
        <v>1587</v>
      </c>
      <c r="Z334" s="286" t="s">
        <v>1587</v>
      </c>
      <c r="AA334" s="286" t="s">
        <v>1589</v>
      </c>
      <c r="AB334" s="286" t="s">
        <v>1589</v>
      </c>
      <c r="AC334" s="286" t="s">
        <v>1589</v>
      </c>
      <c r="AD334" s="286" t="s">
        <v>1617</v>
      </c>
      <c r="AE334" s="286" t="s">
        <v>1587</v>
      </c>
      <c r="AF334" s="286" t="s">
        <v>1617</v>
      </c>
      <c r="AG334" s="283">
        <v>18</v>
      </c>
      <c r="AH334" s="287" t="s">
        <v>25</v>
      </c>
      <c r="AI334" s="272"/>
      <c r="AJ334" s="288" t="s">
        <v>2032</v>
      </c>
      <c r="AK334" s="288" t="s">
        <v>2032</v>
      </c>
      <c r="AL334" s="288" t="s">
        <v>2032</v>
      </c>
      <c r="AM334" s="288" t="s">
        <v>2032</v>
      </c>
      <c r="AN334" s="288" t="s">
        <v>2032</v>
      </c>
      <c r="AO334" s="288" t="s">
        <v>2032</v>
      </c>
      <c r="AP334" s="288" t="s">
        <v>2032</v>
      </c>
      <c r="AQ334" s="288" t="s">
        <v>2032</v>
      </c>
      <c r="AR334" s="288" t="s">
        <v>2032</v>
      </c>
      <c r="AS334" s="288" t="s">
        <v>2032</v>
      </c>
      <c r="AT334" s="288" t="s">
        <v>2032</v>
      </c>
      <c r="AU334" s="288" t="s">
        <v>2032</v>
      </c>
      <c r="AV334" s="288" t="s">
        <v>2032</v>
      </c>
      <c r="AW334" s="288" t="s">
        <v>2032</v>
      </c>
      <c r="AX334" s="288" t="s">
        <v>2032</v>
      </c>
      <c r="AY334" s="288" t="s">
        <v>2032</v>
      </c>
      <c r="AZ334" s="288" t="s">
        <v>2032</v>
      </c>
      <c r="BA334" s="288" t="s">
        <v>2032</v>
      </c>
      <c r="BB334" s="288" t="s">
        <v>2032</v>
      </c>
      <c r="BC334" s="288" t="s">
        <v>2032</v>
      </c>
      <c r="BD334" s="289">
        <f t="shared" si="1"/>
        <v>0</v>
      </c>
      <c r="BE334" s="287"/>
      <c r="BF334" s="272"/>
    </row>
    <row r="335" spans="1:58" ht="14.25" customHeight="1" x14ac:dyDescent="0.35">
      <c r="A335" s="68">
        <v>333</v>
      </c>
      <c r="B335" s="24" t="s">
        <v>1930</v>
      </c>
      <c r="C335" s="24">
        <v>2024</v>
      </c>
      <c r="D335" s="24" t="s">
        <v>1541</v>
      </c>
      <c r="E335" s="269" t="str">
        <f ca="1">IFERROR(__xludf.DUMMYFUNCTION("ARRAYFORMULA(JOIN("""", ARRAYFORMULA(MID(SPLIT(F335, "" ""), 1, 1))))
&amp;""/""&amp;G335"),"MQ/4 Primaria")</f>
        <v>MQ/4 Primaria</v>
      </c>
      <c r="F335" s="24" t="s">
        <v>1751</v>
      </c>
      <c r="G335" s="248" t="s">
        <v>16</v>
      </c>
      <c r="H335" s="248" t="s">
        <v>1932</v>
      </c>
      <c r="I335" s="248" t="s">
        <v>1865</v>
      </c>
      <c r="J335" s="248" t="s">
        <v>1935</v>
      </c>
      <c r="K335" s="248" t="s">
        <v>1586</v>
      </c>
      <c r="L335" s="272"/>
      <c r="M335" s="286" t="s">
        <v>1617</v>
      </c>
      <c r="N335" s="286" t="s">
        <v>1588</v>
      </c>
      <c r="O335" s="286" t="s">
        <v>1588</v>
      </c>
      <c r="P335" s="286" t="s">
        <v>1589</v>
      </c>
      <c r="Q335" s="286" t="s">
        <v>1589</v>
      </c>
      <c r="R335" s="286" t="s">
        <v>1588</v>
      </c>
      <c r="S335" s="286" t="s">
        <v>1589</v>
      </c>
      <c r="T335" s="286" t="s">
        <v>1589</v>
      </c>
      <c r="U335" s="286" t="s">
        <v>1587</v>
      </c>
      <c r="V335" s="286" t="s">
        <v>1587</v>
      </c>
      <c r="W335" s="286" t="s">
        <v>1587</v>
      </c>
      <c r="X335" s="286" t="s">
        <v>1589</v>
      </c>
      <c r="Y335" s="286" t="s">
        <v>1587</v>
      </c>
      <c r="Z335" s="286" t="s">
        <v>1589</v>
      </c>
      <c r="AA335" s="286" t="s">
        <v>1587</v>
      </c>
      <c r="AB335" s="286" t="s">
        <v>1588</v>
      </c>
      <c r="AC335" s="286" t="s">
        <v>1589</v>
      </c>
      <c r="AD335" s="286" t="s">
        <v>1589</v>
      </c>
      <c r="AE335" s="286" t="s">
        <v>1588</v>
      </c>
      <c r="AF335" s="286" t="s">
        <v>1588</v>
      </c>
      <c r="AG335" s="283">
        <v>8</v>
      </c>
      <c r="AH335" s="287" t="s">
        <v>19</v>
      </c>
      <c r="AI335" s="272"/>
      <c r="AJ335" s="288" t="s">
        <v>2032</v>
      </c>
      <c r="AK335" s="288" t="s">
        <v>2032</v>
      </c>
      <c r="AL335" s="288" t="s">
        <v>2032</v>
      </c>
      <c r="AM335" s="288" t="s">
        <v>2032</v>
      </c>
      <c r="AN335" s="288" t="s">
        <v>2032</v>
      </c>
      <c r="AO335" s="288" t="s">
        <v>2032</v>
      </c>
      <c r="AP335" s="288" t="s">
        <v>2032</v>
      </c>
      <c r="AQ335" s="288" t="s">
        <v>2032</v>
      </c>
      <c r="AR335" s="288" t="s">
        <v>2032</v>
      </c>
      <c r="AS335" s="288" t="s">
        <v>2032</v>
      </c>
      <c r="AT335" s="288" t="s">
        <v>2032</v>
      </c>
      <c r="AU335" s="288" t="s">
        <v>2032</v>
      </c>
      <c r="AV335" s="288" t="s">
        <v>2032</v>
      </c>
      <c r="AW335" s="288" t="s">
        <v>2032</v>
      </c>
      <c r="AX335" s="288" t="s">
        <v>2032</v>
      </c>
      <c r="AY335" s="288" t="s">
        <v>2032</v>
      </c>
      <c r="AZ335" s="288" t="s">
        <v>2032</v>
      </c>
      <c r="BA335" s="288" t="s">
        <v>2032</v>
      </c>
      <c r="BB335" s="288" t="s">
        <v>2032</v>
      </c>
      <c r="BC335" s="288" t="s">
        <v>2032</v>
      </c>
      <c r="BD335" s="289">
        <f t="shared" si="1"/>
        <v>0</v>
      </c>
      <c r="BE335" s="287"/>
      <c r="BF335" s="272"/>
    </row>
    <row r="336" spans="1:58" ht="14.25" customHeight="1" x14ac:dyDescent="0.35">
      <c r="A336" s="68">
        <v>334</v>
      </c>
      <c r="B336" s="24" t="s">
        <v>1930</v>
      </c>
      <c r="C336" s="24">
        <v>2024</v>
      </c>
      <c r="D336" s="24" t="s">
        <v>1745</v>
      </c>
      <c r="E336" s="269" t="str">
        <f ca="1">IFERROR(__xludf.DUMMYFUNCTION("ARRAYFORMULA(JOIN("""", ARRAYFORMULA(MID(SPLIT(F336, "" ""), 1, 1))))
&amp;""/""&amp;G336"),"CLQ/4 Primaria")</f>
        <v>CLQ/4 Primaria</v>
      </c>
      <c r="F336" s="24" t="s">
        <v>1755</v>
      </c>
      <c r="G336" s="248" t="s">
        <v>16</v>
      </c>
      <c r="H336" s="248" t="s">
        <v>1932</v>
      </c>
      <c r="I336" s="248" t="s">
        <v>1865</v>
      </c>
      <c r="J336" s="248" t="s">
        <v>1935</v>
      </c>
      <c r="K336" s="248" t="s">
        <v>1586</v>
      </c>
      <c r="L336" s="272"/>
      <c r="M336" s="286" t="s">
        <v>1588</v>
      </c>
      <c r="N336" s="286" t="s">
        <v>1588</v>
      </c>
      <c r="O336" s="286" t="s">
        <v>1589</v>
      </c>
      <c r="P336" s="286" t="s">
        <v>1587</v>
      </c>
      <c r="Q336" s="286" t="s">
        <v>1589</v>
      </c>
      <c r="R336" s="286" t="s">
        <v>1587</v>
      </c>
      <c r="S336" s="286" t="s">
        <v>1588</v>
      </c>
      <c r="T336" s="286" t="s">
        <v>1589</v>
      </c>
      <c r="U336" s="286" t="s">
        <v>1617</v>
      </c>
      <c r="V336" s="286" t="s">
        <v>1589</v>
      </c>
      <c r="W336" s="286" t="s">
        <v>1617</v>
      </c>
      <c r="X336" s="286" t="s">
        <v>1589</v>
      </c>
      <c r="Y336" s="286" t="s">
        <v>1587</v>
      </c>
      <c r="Z336" s="286" t="s">
        <v>1587</v>
      </c>
      <c r="AA336" s="286" t="s">
        <v>1589</v>
      </c>
      <c r="AB336" s="286" t="s">
        <v>1617</v>
      </c>
      <c r="AC336" s="286" t="s">
        <v>1589</v>
      </c>
      <c r="AD336" s="286" t="s">
        <v>1617</v>
      </c>
      <c r="AE336" s="286" t="s">
        <v>1587</v>
      </c>
      <c r="AF336" s="286" t="s">
        <v>1617</v>
      </c>
      <c r="AG336" s="283">
        <v>16</v>
      </c>
      <c r="AH336" s="287" t="s">
        <v>23</v>
      </c>
      <c r="AI336" s="272"/>
      <c r="AJ336" s="288" t="s">
        <v>2032</v>
      </c>
      <c r="AK336" s="288" t="s">
        <v>2032</v>
      </c>
      <c r="AL336" s="288" t="s">
        <v>2032</v>
      </c>
      <c r="AM336" s="288" t="s">
        <v>2032</v>
      </c>
      <c r="AN336" s="288" t="s">
        <v>2032</v>
      </c>
      <c r="AO336" s="288" t="s">
        <v>2032</v>
      </c>
      <c r="AP336" s="288" t="s">
        <v>2032</v>
      </c>
      <c r="AQ336" s="288" t="s">
        <v>2032</v>
      </c>
      <c r="AR336" s="288" t="s">
        <v>2032</v>
      </c>
      <c r="AS336" s="288" t="s">
        <v>2032</v>
      </c>
      <c r="AT336" s="288" t="s">
        <v>2032</v>
      </c>
      <c r="AU336" s="288" t="s">
        <v>2032</v>
      </c>
      <c r="AV336" s="288" t="s">
        <v>2032</v>
      </c>
      <c r="AW336" s="288" t="s">
        <v>2032</v>
      </c>
      <c r="AX336" s="288" t="s">
        <v>2032</v>
      </c>
      <c r="AY336" s="288" t="s">
        <v>2032</v>
      </c>
      <c r="AZ336" s="288" t="s">
        <v>2032</v>
      </c>
      <c r="BA336" s="288" t="s">
        <v>2032</v>
      </c>
      <c r="BB336" s="288" t="s">
        <v>2032</v>
      </c>
      <c r="BC336" s="288" t="s">
        <v>2032</v>
      </c>
      <c r="BD336" s="289">
        <f t="shared" si="1"/>
        <v>0</v>
      </c>
      <c r="BE336" s="287"/>
      <c r="BF336" s="272"/>
    </row>
    <row r="337" spans="1:58" ht="14.25" customHeight="1" x14ac:dyDescent="0.35">
      <c r="A337" s="68">
        <v>335</v>
      </c>
      <c r="B337" s="24" t="s">
        <v>1930</v>
      </c>
      <c r="C337" s="24">
        <v>2024</v>
      </c>
      <c r="D337" s="24" t="s">
        <v>1541</v>
      </c>
      <c r="E337" s="269" t="str">
        <f ca="1">IFERROR(__xludf.DUMMYFUNCTION("ARRAYFORMULA(JOIN("""", ARRAYFORMULA(MID(SPLIT(F337, "" ""), 1, 1))))
&amp;""/""&amp;G337"),"MQ/6 Primaria")</f>
        <v>MQ/6 Primaria</v>
      </c>
      <c r="F337" s="24" t="s">
        <v>1751</v>
      </c>
      <c r="G337" s="248" t="s">
        <v>37</v>
      </c>
      <c r="H337" s="248" t="s">
        <v>1936</v>
      </c>
      <c r="I337" s="248" t="s">
        <v>1761</v>
      </c>
      <c r="J337" s="248" t="s">
        <v>1937</v>
      </c>
      <c r="K337" s="248" t="s">
        <v>1593</v>
      </c>
      <c r="L337" s="272"/>
      <c r="M337" s="286" t="s">
        <v>1588</v>
      </c>
      <c r="N337" s="286" t="s">
        <v>1617</v>
      </c>
      <c r="O337" s="286" t="s">
        <v>1587</v>
      </c>
      <c r="P337" s="286" t="s">
        <v>1587</v>
      </c>
      <c r="Q337" s="286" t="s">
        <v>1588</v>
      </c>
      <c r="R337" s="286" t="s">
        <v>1587</v>
      </c>
      <c r="S337" s="286" t="s">
        <v>1587</v>
      </c>
      <c r="T337" s="286" t="s">
        <v>1588</v>
      </c>
      <c r="U337" s="286" t="s">
        <v>1617</v>
      </c>
      <c r="V337" s="286" t="s">
        <v>1617</v>
      </c>
      <c r="W337" s="286" t="s">
        <v>1617</v>
      </c>
      <c r="X337" s="286" t="s">
        <v>1617</v>
      </c>
      <c r="Y337" s="286" t="s">
        <v>1589</v>
      </c>
      <c r="Z337" s="286" t="s">
        <v>1589</v>
      </c>
      <c r="AA337" s="286" t="s">
        <v>1587</v>
      </c>
      <c r="AB337" s="286" t="s">
        <v>1588</v>
      </c>
      <c r="AC337" s="286" t="s">
        <v>1588</v>
      </c>
      <c r="AD337" s="286" t="s">
        <v>1589</v>
      </c>
      <c r="AE337" s="286" t="s">
        <v>1617</v>
      </c>
      <c r="AF337" s="286" t="s">
        <v>1588</v>
      </c>
      <c r="AG337" s="283">
        <v>10</v>
      </c>
      <c r="AH337" s="287" t="s">
        <v>19</v>
      </c>
      <c r="AI337" s="272"/>
      <c r="AJ337" s="288" t="s">
        <v>2032</v>
      </c>
      <c r="AK337" s="288" t="s">
        <v>2032</v>
      </c>
      <c r="AL337" s="288" t="s">
        <v>2032</v>
      </c>
      <c r="AM337" s="288" t="s">
        <v>2032</v>
      </c>
      <c r="AN337" s="288" t="s">
        <v>2032</v>
      </c>
      <c r="AO337" s="288" t="s">
        <v>2032</v>
      </c>
      <c r="AP337" s="288" t="s">
        <v>2032</v>
      </c>
      <c r="AQ337" s="288" t="s">
        <v>2032</v>
      </c>
      <c r="AR337" s="288" t="s">
        <v>2032</v>
      </c>
      <c r="AS337" s="288" t="s">
        <v>2032</v>
      </c>
      <c r="AT337" s="288" t="s">
        <v>2032</v>
      </c>
      <c r="AU337" s="288" t="s">
        <v>2032</v>
      </c>
      <c r="AV337" s="288" t="s">
        <v>2032</v>
      </c>
      <c r="AW337" s="288" t="s">
        <v>2032</v>
      </c>
      <c r="AX337" s="288" t="s">
        <v>2032</v>
      </c>
      <c r="AY337" s="288" t="s">
        <v>2032</v>
      </c>
      <c r="AZ337" s="288" t="s">
        <v>2032</v>
      </c>
      <c r="BA337" s="288" t="s">
        <v>2032</v>
      </c>
      <c r="BB337" s="288" t="s">
        <v>2032</v>
      </c>
      <c r="BC337" s="288" t="s">
        <v>2032</v>
      </c>
      <c r="BD337" s="289">
        <f t="shared" si="1"/>
        <v>0</v>
      </c>
      <c r="BE337" s="287"/>
      <c r="BF337" s="272"/>
    </row>
    <row r="338" spans="1:58" ht="14.25" customHeight="1" x14ac:dyDescent="0.35">
      <c r="A338" s="68">
        <v>336</v>
      </c>
      <c r="B338" s="24" t="s">
        <v>1930</v>
      </c>
      <c r="C338" s="24">
        <v>2024</v>
      </c>
      <c r="D338" s="24" t="s">
        <v>1745</v>
      </c>
      <c r="E338" s="269" t="str">
        <f ca="1">IFERROR(__xludf.DUMMYFUNCTION("ARRAYFORMULA(JOIN("""", ARRAYFORMULA(MID(SPLIT(F338, "" ""), 1, 1))))
&amp;""/""&amp;G338"),"CLQ/6 Primaria")</f>
        <v>CLQ/6 Primaria</v>
      </c>
      <c r="F338" s="24" t="s">
        <v>1755</v>
      </c>
      <c r="G338" s="248" t="s">
        <v>37</v>
      </c>
      <c r="H338" s="248" t="s">
        <v>1936</v>
      </c>
      <c r="I338" s="248" t="s">
        <v>1761</v>
      </c>
      <c r="J338" s="248" t="s">
        <v>1937</v>
      </c>
      <c r="K338" s="248" t="s">
        <v>1593</v>
      </c>
      <c r="L338" s="272"/>
      <c r="M338" s="286" t="s">
        <v>1589</v>
      </c>
      <c r="N338" s="286" t="s">
        <v>1589</v>
      </c>
      <c r="O338" s="286" t="s">
        <v>1617</v>
      </c>
      <c r="P338" s="286" t="s">
        <v>1587</v>
      </c>
      <c r="Q338" s="286" t="s">
        <v>1588</v>
      </c>
      <c r="R338" s="286" t="s">
        <v>1617</v>
      </c>
      <c r="S338" s="286" t="s">
        <v>1587</v>
      </c>
      <c r="T338" s="286" t="s">
        <v>1589</v>
      </c>
      <c r="U338" s="286" t="s">
        <v>1617</v>
      </c>
      <c r="V338" s="286" t="s">
        <v>1589</v>
      </c>
      <c r="W338" s="286" t="s">
        <v>1588</v>
      </c>
      <c r="X338" s="286" t="s">
        <v>1587</v>
      </c>
      <c r="Y338" s="286" t="s">
        <v>1617</v>
      </c>
      <c r="Z338" s="286" t="s">
        <v>1589</v>
      </c>
      <c r="AA338" s="286" t="s">
        <v>1588</v>
      </c>
      <c r="AB338" s="286" t="s">
        <v>1617</v>
      </c>
      <c r="AC338" s="286" t="s">
        <v>1587</v>
      </c>
      <c r="AD338" s="286" t="s">
        <v>1587</v>
      </c>
      <c r="AE338" s="286" t="s">
        <v>1587</v>
      </c>
      <c r="AF338" s="286" t="s">
        <v>1587</v>
      </c>
      <c r="AG338" s="283">
        <v>12</v>
      </c>
      <c r="AH338" s="287" t="s">
        <v>23</v>
      </c>
      <c r="AI338" s="272"/>
      <c r="AJ338" s="288" t="s">
        <v>2032</v>
      </c>
      <c r="AK338" s="288" t="s">
        <v>2032</v>
      </c>
      <c r="AL338" s="288" t="s">
        <v>2032</v>
      </c>
      <c r="AM338" s="288" t="s">
        <v>2032</v>
      </c>
      <c r="AN338" s="288" t="s">
        <v>2032</v>
      </c>
      <c r="AO338" s="288" t="s">
        <v>2032</v>
      </c>
      <c r="AP338" s="288" t="s">
        <v>2032</v>
      </c>
      <c r="AQ338" s="288" t="s">
        <v>2032</v>
      </c>
      <c r="AR338" s="288" t="s">
        <v>2032</v>
      </c>
      <c r="AS338" s="288" t="s">
        <v>2032</v>
      </c>
      <c r="AT338" s="288" t="s">
        <v>2032</v>
      </c>
      <c r="AU338" s="288" t="s">
        <v>2032</v>
      </c>
      <c r="AV338" s="288" t="s">
        <v>2032</v>
      </c>
      <c r="AW338" s="288" t="s">
        <v>2032</v>
      </c>
      <c r="AX338" s="288" t="s">
        <v>2032</v>
      </c>
      <c r="AY338" s="288" t="s">
        <v>2032</v>
      </c>
      <c r="AZ338" s="288" t="s">
        <v>2032</v>
      </c>
      <c r="BA338" s="288" t="s">
        <v>2032</v>
      </c>
      <c r="BB338" s="288" t="s">
        <v>2032</v>
      </c>
      <c r="BC338" s="288" t="s">
        <v>2032</v>
      </c>
      <c r="BD338" s="289">
        <f t="shared" si="1"/>
        <v>0</v>
      </c>
      <c r="BE338" s="287"/>
      <c r="BF338" s="272"/>
    </row>
    <row r="339" spans="1:58" ht="14.25" customHeight="1" x14ac:dyDescent="0.35">
      <c r="A339" s="68">
        <v>337</v>
      </c>
      <c r="B339" s="24" t="s">
        <v>1930</v>
      </c>
      <c r="C339" s="24">
        <v>2024</v>
      </c>
      <c r="D339" s="24" t="s">
        <v>1541</v>
      </c>
      <c r="E339" s="269" t="str">
        <f ca="1">IFERROR(__xludf.DUMMYFUNCTION("ARRAYFORMULA(JOIN("""", ARRAYFORMULA(MID(SPLIT(F339, "" ""), 1, 1))))
&amp;""/""&amp;G339"),"MQ/6 Primaria")</f>
        <v>MQ/6 Primaria</v>
      </c>
      <c r="F339" s="24" t="s">
        <v>1751</v>
      </c>
      <c r="G339" s="248" t="s">
        <v>37</v>
      </c>
      <c r="H339" s="248" t="s">
        <v>1938</v>
      </c>
      <c r="I339" s="248" t="s">
        <v>1674</v>
      </c>
      <c r="J339" s="248" t="s">
        <v>1939</v>
      </c>
      <c r="K339" s="248" t="s">
        <v>1586</v>
      </c>
      <c r="L339" s="272"/>
      <c r="M339" s="286" t="s">
        <v>1588</v>
      </c>
      <c r="N339" s="286" t="s">
        <v>1589</v>
      </c>
      <c r="O339" s="286" t="s">
        <v>1589</v>
      </c>
      <c r="P339" s="286" t="s">
        <v>1587</v>
      </c>
      <c r="Q339" s="286" t="s">
        <v>1587</v>
      </c>
      <c r="R339" s="286" t="s">
        <v>1587</v>
      </c>
      <c r="S339" s="286" t="s">
        <v>1587</v>
      </c>
      <c r="T339" s="286" t="s">
        <v>1588</v>
      </c>
      <c r="U339" s="286" t="s">
        <v>1617</v>
      </c>
      <c r="V339" s="286" t="s">
        <v>1617</v>
      </c>
      <c r="W339" s="286" t="s">
        <v>1617</v>
      </c>
      <c r="X339" s="286" t="s">
        <v>1617</v>
      </c>
      <c r="Y339" s="286" t="s">
        <v>1587</v>
      </c>
      <c r="Z339" s="286" t="s">
        <v>1589</v>
      </c>
      <c r="AA339" s="286" t="s">
        <v>1587</v>
      </c>
      <c r="AB339" s="286" t="s">
        <v>1587</v>
      </c>
      <c r="AC339" s="286" t="s">
        <v>1588</v>
      </c>
      <c r="AD339" s="286" t="s">
        <v>1587</v>
      </c>
      <c r="AE339" s="286" t="s">
        <v>1617</v>
      </c>
      <c r="AF339" s="286" t="s">
        <v>1588</v>
      </c>
      <c r="AG339" s="283">
        <v>12</v>
      </c>
      <c r="AH339" s="287" t="s">
        <v>23</v>
      </c>
      <c r="AI339" s="272"/>
      <c r="AJ339" s="288" t="s">
        <v>2032</v>
      </c>
      <c r="AK339" s="288" t="s">
        <v>2032</v>
      </c>
      <c r="AL339" s="288" t="s">
        <v>2032</v>
      </c>
      <c r="AM339" s="288" t="s">
        <v>2032</v>
      </c>
      <c r="AN339" s="288" t="s">
        <v>2032</v>
      </c>
      <c r="AO339" s="288" t="s">
        <v>2032</v>
      </c>
      <c r="AP339" s="288" t="s">
        <v>2032</v>
      </c>
      <c r="AQ339" s="288" t="s">
        <v>2032</v>
      </c>
      <c r="AR339" s="288" t="s">
        <v>2032</v>
      </c>
      <c r="AS339" s="288" t="s">
        <v>2032</v>
      </c>
      <c r="AT339" s="288" t="s">
        <v>2032</v>
      </c>
      <c r="AU339" s="288" t="s">
        <v>2032</v>
      </c>
      <c r="AV339" s="288" t="s">
        <v>2032</v>
      </c>
      <c r="AW339" s="288" t="s">
        <v>2032</v>
      </c>
      <c r="AX339" s="288" t="s">
        <v>2032</v>
      </c>
      <c r="AY339" s="288" t="s">
        <v>2032</v>
      </c>
      <c r="AZ339" s="288" t="s">
        <v>2032</v>
      </c>
      <c r="BA339" s="288" t="s">
        <v>2032</v>
      </c>
      <c r="BB339" s="288" t="s">
        <v>2032</v>
      </c>
      <c r="BC339" s="288" t="s">
        <v>2032</v>
      </c>
      <c r="BD339" s="289">
        <f t="shared" si="1"/>
        <v>0</v>
      </c>
      <c r="BE339" s="287"/>
      <c r="BF339" s="272"/>
    </row>
    <row r="340" spans="1:58" ht="14.25" customHeight="1" x14ac:dyDescent="0.35">
      <c r="A340" s="68">
        <v>338</v>
      </c>
      <c r="B340" s="24" t="s">
        <v>1930</v>
      </c>
      <c r="C340" s="24">
        <v>2024</v>
      </c>
      <c r="D340" s="24" t="s">
        <v>1745</v>
      </c>
      <c r="E340" s="269" t="str">
        <f ca="1">IFERROR(__xludf.DUMMYFUNCTION("ARRAYFORMULA(JOIN("""", ARRAYFORMULA(MID(SPLIT(F340, "" ""), 1, 1))))
&amp;""/""&amp;G340"),"CLQ/6 Primaria")</f>
        <v>CLQ/6 Primaria</v>
      </c>
      <c r="F340" s="24" t="s">
        <v>1755</v>
      </c>
      <c r="G340" s="248" t="s">
        <v>37</v>
      </c>
      <c r="H340" s="248" t="s">
        <v>1938</v>
      </c>
      <c r="I340" s="248" t="s">
        <v>1674</v>
      </c>
      <c r="J340" s="248" t="s">
        <v>1939</v>
      </c>
      <c r="K340" s="248" t="s">
        <v>1586</v>
      </c>
      <c r="L340" s="272"/>
      <c r="M340" s="286" t="s">
        <v>1589</v>
      </c>
      <c r="N340" s="286" t="s">
        <v>1589</v>
      </c>
      <c r="O340" s="286" t="s">
        <v>1617</v>
      </c>
      <c r="P340" s="286" t="s">
        <v>1587</v>
      </c>
      <c r="Q340" s="286" t="s">
        <v>1617</v>
      </c>
      <c r="R340" s="286" t="s">
        <v>1617</v>
      </c>
      <c r="S340" s="286" t="s">
        <v>1589</v>
      </c>
      <c r="T340" s="286" t="s">
        <v>1589</v>
      </c>
      <c r="U340" s="286" t="s">
        <v>1617</v>
      </c>
      <c r="V340" s="286" t="s">
        <v>1587</v>
      </c>
      <c r="W340" s="286" t="s">
        <v>1617</v>
      </c>
      <c r="X340" s="286" t="s">
        <v>1617</v>
      </c>
      <c r="Y340" s="286" t="s">
        <v>1617</v>
      </c>
      <c r="Z340" s="286" t="s">
        <v>1589</v>
      </c>
      <c r="AA340" s="286" t="s">
        <v>1617</v>
      </c>
      <c r="AB340" s="286" t="s">
        <v>1617</v>
      </c>
      <c r="AC340" s="286" t="s">
        <v>1587</v>
      </c>
      <c r="AD340" s="286" t="s">
        <v>1588</v>
      </c>
      <c r="AE340" s="286" t="s">
        <v>1589</v>
      </c>
      <c r="AF340" s="286" t="s">
        <v>1617</v>
      </c>
      <c r="AG340" s="283">
        <v>19</v>
      </c>
      <c r="AH340" s="287" t="s">
        <v>25</v>
      </c>
      <c r="AI340" s="272"/>
      <c r="AJ340" s="288" t="s">
        <v>2032</v>
      </c>
      <c r="AK340" s="288" t="s">
        <v>2032</v>
      </c>
      <c r="AL340" s="288" t="s">
        <v>2032</v>
      </c>
      <c r="AM340" s="288" t="s">
        <v>2032</v>
      </c>
      <c r="AN340" s="288" t="s">
        <v>2032</v>
      </c>
      <c r="AO340" s="288" t="s">
        <v>2032</v>
      </c>
      <c r="AP340" s="288" t="s">
        <v>2032</v>
      </c>
      <c r="AQ340" s="288" t="s">
        <v>2032</v>
      </c>
      <c r="AR340" s="288" t="s">
        <v>2032</v>
      </c>
      <c r="AS340" s="288" t="s">
        <v>2032</v>
      </c>
      <c r="AT340" s="288" t="s">
        <v>2032</v>
      </c>
      <c r="AU340" s="288" t="s">
        <v>2032</v>
      </c>
      <c r="AV340" s="288" t="s">
        <v>2032</v>
      </c>
      <c r="AW340" s="288" t="s">
        <v>2032</v>
      </c>
      <c r="AX340" s="288" t="s">
        <v>2032</v>
      </c>
      <c r="AY340" s="288" t="s">
        <v>2032</v>
      </c>
      <c r="AZ340" s="288" t="s">
        <v>2032</v>
      </c>
      <c r="BA340" s="288" t="s">
        <v>2032</v>
      </c>
      <c r="BB340" s="288" t="s">
        <v>2032</v>
      </c>
      <c r="BC340" s="288" t="s">
        <v>2032</v>
      </c>
      <c r="BD340" s="289">
        <f t="shared" si="1"/>
        <v>0</v>
      </c>
      <c r="BE340" s="287"/>
      <c r="BF340" s="272"/>
    </row>
    <row r="341" spans="1:58" ht="14.25" customHeight="1" x14ac:dyDescent="0.35">
      <c r="A341" s="68">
        <v>339</v>
      </c>
      <c r="B341" s="24" t="s">
        <v>1940</v>
      </c>
      <c r="C341" s="24">
        <v>2024</v>
      </c>
      <c r="D341" s="24" t="s">
        <v>1541</v>
      </c>
      <c r="E341" s="269" t="str">
        <f ca="1">IFERROR(__xludf.DUMMYFUNCTION("ARRAYFORMULA(JOIN("""", ARRAYFORMULA(MID(SPLIT(F341, "" ""), 1, 1))))
&amp;""/""&amp;G341"),"MQ/2 Primaria")</f>
        <v>MQ/2 Primaria</v>
      </c>
      <c r="F341" s="24" t="s">
        <v>1751</v>
      </c>
      <c r="G341" s="248" t="s">
        <v>45</v>
      </c>
      <c r="H341" s="248" t="s">
        <v>1917</v>
      </c>
      <c r="I341" s="248" t="s">
        <v>1941</v>
      </c>
      <c r="J341" s="248" t="s">
        <v>1942</v>
      </c>
      <c r="K341" s="248" t="s">
        <v>1593</v>
      </c>
      <c r="L341" s="272"/>
      <c r="M341" s="286" t="s">
        <v>1753</v>
      </c>
      <c r="N341" s="286"/>
      <c r="O341" s="286" t="s">
        <v>1588</v>
      </c>
      <c r="P341" s="286" t="s">
        <v>1754</v>
      </c>
      <c r="Q341" s="286" t="s">
        <v>1754</v>
      </c>
      <c r="R341" s="286" t="s">
        <v>1588</v>
      </c>
      <c r="S341" s="286" t="s">
        <v>1754</v>
      </c>
      <c r="T341" s="286" t="s">
        <v>1588</v>
      </c>
      <c r="U341" s="286" t="s">
        <v>1754</v>
      </c>
      <c r="V341" s="286" t="s">
        <v>1753</v>
      </c>
      <c r="W341" s="286" t="s">
        <v>1588</v>
      </c>
      <c r="X341" s="286" t="s">
        <v>1754</v>
      </c>
      <c r="Y341" s="286" t="s">
        <v>1753</v>
      </c>
      <c r="Z341" s="286" t="s">
        <v>1753</v>
      </c>
      <c r="AA341" s="286" t="s">
        <v>1754</v>
      </c>
      <c r="AB341" s="286" t="s">
        <v>1753</v>
      </c>
      <c r="AC341" s="286" t="s">
        <v>1588</v>
      </c>
      <c r="AD341" s="286" t="s">
        <v>1754</v>
      </c>
      <c r="AE341" s="286"/>
      <c r="AF341" s="286" t="s">
        <v>1588</v>
      </c>
      <c r="AG341" s="283">
        <v>13</v>
      </c>
      <c r="AH341" s="287" t="s">
        <v>23</v>
      </c>
      <c r="AI341" s="272"/>
      <c r="AJ341" s="288" t="s">
        <v>2032</v>
      </c>
      <c r="AK341" s="288" t="s">
        <v>2032</v>
      </c>
      <c r="AL341" s="288" t="s">
        <v>2032</v>
      </c>
      <c r="AM341" s="288" t="s">
        <v>2032</v>
      </c>
      <c r="AN341" s="288" t="s">
        <v>2032</v>
      </c>
      <c r="AO341" s="288" t="s">
        <v>2032</v>
      </c>
      <c r="AP341" s="288" t="s">
        <v>2032</v>
      </c>
      <c r="AQ341" s="288" t="s">
        <v>2032</v>
      </c>
      <c r="AR341" s="288" t="s">
        <v>2032</v>
      </c>
      <c r="AS341" s="288" t="s">
        <v>2032</v>
      </c>
      <c r="AT341" s="288" t="s">
        <v>2032</v>
      </c>
      <c r="AU341" s="288" t="s">
        <v>2032</v>
      </c>
      <c r="AV341" s="288" t="s">
        <v>2032</v>
      </c>
      <c r="AW341" s="288" t="s">
        <v>2032</v>
      </c>
      <c r="AX341" s="288" t="s">
        <v>2032</v>
      </c>
      <c r="AY341" s="288" t="s">
        <v>2032</v>
      </c>
      <c r="AZ341" s="288" t="s">
        <v>2032</v>
      </c>
      <c r="BA341" s="288" t="s">
        <v>2032</v>
      </c>
      <c r="BB341" s="288" t="s">
        <v>2032</v>
      </c>
      <c r="BC341" s="288" t="s">
        <v>2032</v>
      </c>
      <c r="BD341" s="289">
        <f t="shared" si="1"/>
        <v>0</v>
      </c>
      <c r="BE341" s="287"/>
      <c r="BF341" s="272"/>
    </row>
    <row r="342" spans="1:58" ht="14.25" customHeight="1" x14ac:dyDescent="0.35">
      <c r="A342" s="68">
        <v>340</v>
      </c>
      <c r="B342" s="24" t="s">
        <v>1940</v>
      </c>
      <c r="C342" s="24">
        <v>2024</v>
      </c>
      <c r="D342" s="24" t="s">
        <v>1745</v>
      </c>
      <c r="E342" s="269" t="str">
        <f ca="1">IFERROR(__xludf.DUMMYFUNCTION("ARRAYFORMULA(JOIN("""", ARRAYFORMULA(MID(SPLIT(F342, "" ""), 1, 1))))
&amp;""/""&amp;G342"),"CLQ/2 Primaria")</f>
        <v>CLQ/2 Primaria</v>
      </c>
      <c r="F342" s="24" t="s">
        <v>1755</v>
      </c>
      <c r="G342" s="248" t="s">
        <v>45</v>
      </c>
      <c r="H342" s="248" t="s">
        <v>1917</v>
      </c>
      <c r="I342" s="248" t="s">
        <v>1941</v>
      </c>
      <c r="J342" s="248" t="s">
        <v>1942</v>
      </c>
      <c r="K342" s="248" t="s">
        <v>1593</v>
      </c>
      <c r="L342" s="272"/>
      <c r="M342" s="286" t="s">
        <v>1753</v>
      </c>
      <c r="N342" s="286" t="s">
        <v>1588</v>
      </c>
      <c r="O342" s="286" t="s">
        <v>1754</v>
      </c>
      <c r="P342" s="286" t="s">
        <v>1753</v>
      </c>
      <c r="Q342" s="286" t="s">
        <v>1754</v>
      </c>
      <c r="R342" s="286" t="s">
        <v>1754</v>
      </c>
      <c r="S342" s="286" t="s">
        <v>1754</v>
      </c>
      <c r="T342" s="286" t="s">
        <v>1588</v>
      </c>
      <c r="U342" s="286" t="s">
        <v>1753</v>
      </c>
      <c r="V342" s="286" t="s">
        <v>1753</v>
      </c>
      <c r="W342" s="286" t="s">
        <v>1588</v>
      </c>
      <c r="X342" s="286" t="s">
        <v>1753</v>
      </c>
      <c r="Y342" s="286" t="s">
        <v>1754</v>
      </c>
      <c r="Z342" s="286" t="s">
        <v>1588</v>
      </c>
      <c r="AA342" s="286" t="s">
        <v>1753</v>
      </c>
      <c r="AB342" s="286" t="s">
        <v>1754</v>
      </c>
      <c r="AC342" s="286" t="s">
        <v>1754</v>
      </c>
      <c r="AD342" s="286" t="s">
        <v>1588</v>
      </c>
      <c r="AE342" s="286" t="s">
        <v>1754</v>
      </c>
      <c r="AF342" s="286" t="s">
        <v>1753</v>
      </c>
      <c r="AG342" s="283">
        <v>12</v>
      </c>
      <c r="AH342" s="287" t="s">
        <v>23</v>
      </c>
      <c r="AI342" s="272"/>
      <c r="AJ342" s="288" t="s">
        <v>2032</v>
      </c>
      <c r="AK342" s="288" t="s">
        <v>2032</v>
      </c>
      <c r="AL342" s="288" t="s">
        <v>2032</v>
      </c>
      <c r="AM342" s="288" t="s">
        <v>2032</v>
      </c>
      <c r="AN342" s="288" t="s">
        <v>2032</v>
      </c>
      <c r="AO342" s="288" t="s">
        <v>2032</v>
      </c>
      <c r="AP342" s="288" t="s">
        <v>2032</v>
      </c>
      <c r="AQ342" s="288" t="s">
        <v>2032</v>
      </c>
      <c r="AR342" s="288" t="s">
        <v>2032</v>
      </c>
      <c r="AS342" s="288" t="s">
        <v>2032</v>
      </c>
      <c r="AT342" s="288" t="s">
        <v>2032</v>
      </c>
      <c r="AU342" s="288" t="s">
        <v>2032</v>
      </c>
      <c r="AV342" s="288" t="s">
        <v>2032</v>
      </c>
      <c r="AW342" s="288" t="s">
        <v>2032</v>
      </c>
      <c r="AX342" s="288" t="s">
        <v>2032</v>
      </c>
      <c r="AY342" s="288" t="s">
        <v>2032</v>
      </c>
      <c r="AZ342" s="288" t="s">
        <v>2032</v>
      </c>
      <c r="BA342" s="288" t="s">
        <v>2032</v>
      </c>
      <c r="BB342" s="288" t="s">
        <v>2032</v>
      </c>
      <c r="BC342" s="288" t="s">
        <v>2032</v>
      </c>
      <c r="BD342" s="289">
        <f t="shared" si="1"/>
        <v>0</v>
      </c>
      <c r="BE342" s="287"/>
      <c r="BF342" s="272"/>
    </row>
    <row r="343" spans="1:58" ht="14.25" customHeight="1" x14ac:dyDescent="0.35">
      <c r="A343" s="68">
        <v>341</v>
      </c>
      <c r="B343" s="24" t="s">
        <v>1940</v>
      </c>
      <c r="C343" s="24">
        <v>2024</v>
      </c>
      <c r="D343" s="24" t="s">
        <v>1541</v>
      </c>
      <c r="E343" s="269" t="str">
        <f ca="1">IFERROR(__xludf.DUMMYFUNCTION("ARRAYFORMULA(JOIN("""", ARRAYFORMULA(MID(SPLIT(F343, "" ""), 1, 1))))
&amp;""/""&amp;G343"),"MQ/2 Primaria")</f>
        <v>MQ/2 Primaria</v>
      </c>
      <c r="F343" s="24" t="s">
        <v>1751</v>
      </c>
      <c r="G343" s="248" t="s">
        <v>45</v>
      </c>
      <c r="H343" s="248" t="s">
        <v>1612</v>
      </c>
      <c r="I343" s="248" t="s">
        <v>1612</v>
      </c>
      <c r="J343" s="248" t="s">
        <v>1943</v>
      </c>
      <c r="K343" s="248" t="s">
        <v>1586</v>
      </c>
      <c r="L343" s="272"/>
      <c r="M343" s="286" t="s">
        <v>1753</v>
      </c>
      <c r="N343" s="286" t="s">
        <v>1753</v>
      </c>
      <c r="O343" s="286" t="s">
        <v>1588</v>
      </c>
      <c r="P343" s="286" t="s">
        <v>1754</v>
      </c>
      <c r="Q343" s="286" t="s">
        <v>1754</v>
      </c>
      <c r="R343" s="286" t="s">
        <v>1588</v>
      </c>
      <c r="S343" s="286" t="s">
        <v>1754</v>
      </c>
      <c r="T343" s="286" t="s">
        <v>1588</v>
      </c>
      <c r="U343" s="286" t="s">
        <v>1754</v>
      </c>
      <c r="V343" s="286" t="s">
        <v>1753</v>
      </c>
      <c r="W343" s="286" t="s">
        <v>1588</v>
      </c>
      <c r="X343" s="286" t="s">
        <v>1754</v>
      </c>
      <c r="Y343" s="286" t="s">
        <v>1588</v>
      </c>
      <c r="Z343" s="286" t="s">
        <v>1753</v>
      </c>
      <c r="AA343" s="286" t="s">
        <v>1753</v>
      </c>
      <c r="AB343" s="286" t="s">
        <v>1753</v>
      </c>
      <c r="AC343" s="286" t="s">
        <v>1588</v>
      </c>
      <c r="AD343" s="286" t="s">
        <v>1754</v>
      </c>
      <c r="AE343" s="286" t="s">
        <v>1753</v>
      </c>
      <c r="AF343" s="286" t="s">
        <v>1753</v>
      </c>
      <c r="AG343" s="283">
        <v>15</v>
      </c>
      <c r="AH343" s="287" t="s">
        <v>23</v>
      </c>
      <c r="AI343" s="272"/>
      <c r="AJ343" s="288" t="s">
        <v>2032</v>
      </c>
      <c r="AK343" s="288" t="s">
        <v>2032</v>
      </c>
      <c r="AL343" s="288" t="s">
        <v>2032</v>
      </c>
      <c r="AM343" s="288" t="s">
        <v>2032</v>
      </c>
      <c r="AN343" s="288" t="s">
        <v>2032</v>
      </c>
      <c r="AO343" s="288" t="s">
        <v>2032</v>
      </c>
      <c r="AP343" s="288" t="s">
        <v>2032</v>
      </c>
      <c r="AQ343" s="288" t="s">
        <v>2032</v>
      </c>
      <c r="AR343" s="288" t="s">
        <v>2032</v>
      </c>
      <c r="AS343" s="288" t="s">
        <v>2032</v>
      </c>
      <c r="AT343" s="288" t="s">
        <v>2032</v>
      </c>
      <c r="AU343" s="288" t="s">
        <v>2032</v>
      </c>
      <c r="AV343" s="288" t="s">
        <v>2032</v>
      </c>
      <c r="AW343" s="288" t="s">
        <v>2032</v>
      </c>
      <c r="AX343" s="288" t="s">
        <v>2032</v>
      </c>
      <c r="AY343" s="288" t="s">
        <v>2032</v>
      </c>
      <c r="AZ343" s="288" t="s">
        <v>2032</v>
      </c>
      <c r="BA343" s="288" t="s">
        <v>2032</v>
      </c>
      <c r="BB343" s="288" t="s">
        <v>2032</v>
      </c>
      <c r="BC343" s="288" t="s">
        <v>2032</v>
      </c>
      <c r="BD343" s="289">
        <f t="shared" si="1"/>
        <v>0</v>
      </c>
      <c r="BE343" s="287"/>
      <c r="BF343" s="272"/>
    </row>
    <row r="344" spans="1:58" ht="14.25" customHeight="1" x14ac:dyDescent="0.35">
      <c r="A344" s="68">
        <v>342</v>
      </c>
      <c r="B344" s="24" t="s">
        <v>1940</v>
      </c>
      <c r="C344" s="24">
        <v>2024</v>
      </c>
      <c r="D344" s="24" t="s">
        <v>1745</v>
      </c>
      <c r="E344" s="269" t="str">
        <f ca="1">IFERROR(__xludf.DUMMYFUNCTION("ARRAYFORMULA(JOIN("""", ARRAYFORMULA(MID(SPLIT(F344, "" ""), 1, 1))))
&amp;""/""&amp;G344"),"CLQ/2 Primaria")</f>
        <v>CLQ/2 Primaria</v>
      </c>
      <c r="F344" s="24" t="s">
        <v>1755</v>
      </c>
      <c r="G344" s="248" t="s">
        <v>45</v>
      </c>
      <c r="H344" s="248" t="s">
        <v>1612</v>
      </c>
      <c r="I344" s="248" t="s">
        <v>1612</v>
      </c>
      <c r="J344" s="248" t="s">
        <v>1943</v>
      </c>
      <c r="K344" s="248" t="s">
        <v>1586</v>
      </c>
      <c r="L344" s="272"/>
      <c r="M344" s="286" t="s">
        <v>1753</v>
      </c>
      <c r="N344" s="286" t="s">
        <v>1753</v>
      </c>
      <c r="O344" s="286" t="s">
        <v>1588</v>
      </c>
      <c r="P344" s="286" t="s">
        <v>1753</v>
      </c>
      <c r="Q344" s="286" t="s">
        <v>1753</v>
      </c>
      <c r="R344" s="286" t="s">
        <v>1588</v>
      </c>
      <c r="S344" s="286" t="s">
        <v>1588</v>
      </c>
      <c r="T344" s="286" t="s">
        <v>1754</v>
      </c>
      <c r="U344" s="286" t="s">
        <v>1588</v>
      </c>
      <c r="V344" s="286" t="s">
        <v>1753</v>
      </c>
      <c r="W344" s="286" t="s">
        <v>1753</v>
      </c>
      <c r="X344" s="286" t="s">
        <v>1754</v>
      </c>
      <c r="Y344" s="286" t="s">
        <v>1588</v>
      </c>
      <c r="Z344" s="286" t="s">
        <v>1754</v>
      </c>
      <c r="AA344" s="286" t="s">
        <v>1753</v>
      </c>
      <c r="AB344" s="286" t="s">
        <v>1588</v>
      </c>
      <c r="AC344" s="286" t="s">
        <v>1754</v>
      </c>
      <c r="AD344" s="286" t="s">
        <v>1753</v>
      </c>
      <c r="AE344" s="286" t="s">
        <v>1754</v>
      </c>
      <c r="AF344" s="286" t="s">
        <v>1753</v>
      </c>
      <c r="AG344" s="283">
        <v>5</v>
      </c>
      <c r="AH344" s="287" t="s">
        <v>19</v>
      </c>
      <c r="AI344" s="272"/>
      <c r="AJ344" s="288" t="s">
        <v>2032</v>
      </c>
      <c r="AK344" s="288" t="s">
        <v>2032</v>
      </c>
      <c r="AL344" s="288" t="s">
        <v>2032</v>
      </c>
      <c r="AM344" s="288" t="s">
        <v>2032</v>
      </c>
      <c r="AN344" s="288" t="s">
        <v>2032</v>
      </c>
      <c r="AO344" s="288" t="s">
        <v>2032</v>
      </c>
      <c r="AP344" s="288" t="s">
        <v>2032</v>
      </c>
      <c r="AQ344" s="288" t="s">
        <v>2032</v>
      </c>
      <c r="AR344" s="288" t="s">
        <v>2032</v>
      </c>
      <c r="AS344" s="288" t="s">
        <v>2032</v>
      </c>
      <c r="AT344" s="288" t="s">
        <v>2032</v>
      </c>
      <c r="AU344" s="288" t="s">
        <v>2032</v>
      </c>
      <c r="AV344" s="288" t="s">
        <v>2032</v>
      </c>
      <c r="AW344" s="288" t="s">
        <v>2032</v>
      </c>
      <c r="AX344" s="288" t="s">
        <v>2032</v>
      </c>
      <c r="AY344" s="288" t="s">
        <v>2032</v>
      </c>
      <c r="AZ344" s="288" t="s">
        <v>2032</v>
      </c>
      <c r="BA344" s="288" t="s">
        <v>2032</v>
      </c>
      <c r="BB344" s="288" t="s">
        <v>2032</v>
      </c>
      <c r="BC344" s="288" t="s">
        <v>2032</v>
      </c>
      <c r="BD344" s="289">
        <f t="shared" si="1"/>
        <v>0</v>
      </c>
      <c r="BE344" s="287"/>
      <c r="BF344" s="272"/>
    </row>
    <row r="345" spans="1:58" ht="14.25" customHeight="1" x14ac:dyDescent="0.35">
      <c r="A345" s="68">
        <v>343</v>
      </c>
      <c r="B345" s="24" t="s">
        <v>1940</v>
      </c>
      <c r="C345" s="24">
        <v>2024</v>
      </c>
      <c r="D345" s="24" t="s">
        <v>1541</v>
      </c>
      <c r="E345" s="269" t="str">
        <f ca="1">IFERROR(__xludf.DUMMYFUNCTION("ARRAYFORMULA(JOIN("""", ARRAYFORMULA(MID(SPLIT(F345, "" ""), 1, 1))))
&amp;""/""&amp;G345"),"MQ/4 Primaria")</f>
        <v>MQ/4 Primaria</v>
      </c>
      <c r="F345" s="24" t="s">
        <v>1751</v>
      </c>
      <c r="G345" s="248" t="s">
        <v>16</v>
      </c>
      <c r="H345" s="248" t="s">
        <v>1689</v>
      </c>
      <c r="I345" s="248" t="s">
        <v>1944</v>
      </c>
      <c r="J345" s="248" t="s">
        <v>1945</v>
      </c>
      <c r="K345" s="248" t="s">
        <v>1586</v>
      </c>
      <c r="L345" s="272"/>
      <c r="M345" s="286" t="s">
        <v>1587</v>
      </c>
      <c r="N345" s="286" t="s">
        <v>1617</v>
      </c>
      <c r="O345" s="286" t="s">
        <v>1589</v>
      </c>
      <c r="P345" s="286" t="s">
        <v>1587</v>
      </c>
      <c r="Q345" s="286" t="s">
        <v>1589</v>
      </c>
      <c r="R345" s="286" t="s">
        <v>1589</v>
      </c>
      <c r="S345" s="286" t="s">
        <v>1589</v>
      </c>
      <c r="T345" s="286" t="s">
        <v>1589</v>
      </c>
      <c r="U345" s="286" t="s">
        <v>1587</v>
      </c>
      <c r="V345" s="286" t="s">
        <v>1588</v>
      </c>
      <c r="W345" s="286" t="s">
        <v>1589</v>
      </c>
      <c r="X345" s="286" t="s">
        <v>1587</v>
      </c>
      <c r="Y345" s="286" t="s">
        <v>1589</v>
      </c>
      <c r="Z345" s="286" t="s">
        <v>1589</v>
      </c>
      <c r="AA345" s="286" t="s">
        <v>1587</v>
      </c>
      <c r="AB345" s="286" t="s">
        <v>1589</v>
      </c>
      <c r="AC345" s="286" t="s">
        <v>1589</v>
      </c>
      <c r="AD345" s="286" t="s">
        <v>1589</v>
      </c>
      <c r="AE345" s="286" t="s">
        <v>1587</v>
      </c>
      <c r="AF345" s="286" t="s">
        <v>1588</v>
      </c>
      <c r="AG345" s="283">
        <v>7</v>
      </c>
      <c r="AH345" s="287" t="s">
        <v>19</v>
      </c>
      <c r="AI345" s="272"/>
      <c r="AJ345" s="288" t="s">
        <v>2032</v>
      </c>
      <c r="AK345" s="288" t="s">
        <v>2032</v>
      </c>
      <c r="AL345" s="288" t="s">
        <v>2032</v>
      </c>
      <c r="AM345" s="288" t="s">
        <v>2032</v>
      </c>
      <c r="AN345" s="288" t="s">
        <v>2032</v>
      </c>
      <c r="AO345" s="288" t="s">
        <v>2032</v>
      </c>
      <c r="AP345" s="288" t="s">
        <v>2032</v>
      </c>
      <c r="AQ345" s="288" t="s">
        <v>2032</v>
      </c>
      <c r="AR345" s="288" t="s">
        <v>2032</v>
      </c>
      <c r="AS345" s="288" t="s">
        <v>2032</v>
      </c>
      <c r="AT345" s="288" t="s">
        <v>2032</v>
      </c>
      <c r="AU345" s="288" t="s">
        <v>2032</v>
      </c>
      <c r="AV345" s="288" t="s">
        <v>2032</v>
      </c>
      <c r="AW345" s="288" t="s">
        <v>2032</v>
      </c>
      <c r="AX345" s="288" t="s">
        <v>2032</v>
      </c>
      <c r="AY345" s="288" t="s">
        <v>2032</v>
      </c>
      <c r="AZ345" s="288" t="s">
        <v>2032</v>
      </c>
      <c r="BA345" s="288" t="s">
        <v>2032</v>
      </c>
      <c r="BB345" s="288" t="s">
        <v>2032</v>
      </c>
      <c r="BC345" s="288" t="s">
        <v>2032</v>
      </c>
      <c r="BD345" s="289">
        <f t="shared" si="1"/>
        <v>0</v>
      </c>
      <c r="BE345" s="287"/>
      <c r="BF345" s="272"/>
    </row>
    <row r="346" spans="1:58" ht="14.25" customHeight="1" x14ac:dyDescent="0.35">
      <c r="A346" s="68">
        <v>344</v>
      </c>
      <c r="B346" s="24" t="s">
        <v>1940</v>
      </c>
      <c r="C346" s="24">
        <v>2024</v>
      </c>
      <c r="D346" s="24" t="s">
        <v>1745</v>
      </c>
      <c r="E346" s="269" t="str">
        <f ca="1">IFERROR(__xludf.DUMMYFUNCTION("ARRAYFORMULA(JOIN("""", ARRAYFORMULA(MID(SPLIT(F346, "" ""), 1, 1))))
&amp;""/""&amp;G346"),"CLQ/4 Primaria")</f>
        <v>CLQ/4 Primaria</v>
      </c>
      <c r="F346" s="24" t="s">
        <v>1755</v>
      </c>
      <c r="G346" s="248" t="s">
        <v>16</v>
      </c>
      <c r="H346" s="248" t="s">
        <v>1689</v>
      </c>
      <c r="I346" s="248" t="s">
        <v>1944</v>
      </c>
      <c r="J346" s="248" t="s">
        <v>1945</v>
      </c>
      <c r="K346" s="248" t="s">
        <v>1586</v>
      </c>
      <c r="L346" s="272"/>
      <c r="M346" s="286" t="s">
        <v>1587</v>
      </c>
      <c r="N346" s="286" t="s">
        <v>1589</v>
      </c>
      <c r="O346" s="286" t="s">
        <v>1588</v>
      </c>
      <c r="P346" s="286" t="s">
        <v>1587</v>
      </c>
      <c r="Q346" s="286" t="s">
        <v>1589</v>
      </c>
      <c r="R346" s="286" t="s">
        <v>1588</v>
      </c>
      <c r="S346" s="286" t="s">
        <v>1588</v>
      </c>
      <c r="T346" s="286" t="s">
        <v>1588</v>
      </c>
      <c r="U346" s="286" t="s">
        <v>1617</v>
      </c>
      <c r="V346" s="286" t="s">
        <v>1589</v>
      </c>
      <c r="W346" s="286" t="s">
        <v>1588</v>
      </c>
      <c r="X346" s="286" t="s">
        <v>1588</v>
      </c>
      <c r="Y346" s="286" t="s">
        <v>1588</v>
      </c>
      <c r="Z346" s="286" t="s">
        <v>1587</v>
      </c>
      <c r="AA346" s="286" t="s">
        <v>1588</v>
      </c>
      <c r="AB346" s="286" t="s">
        <v>1589</v>
      </c>
      <c r="AC346" s="286" t="s">
        <v>1589</v>
      </c>
      <c r="AD346" s="286" t="s">
        <v>1588</v>
      </c>
      <c r="AE346" s="286" t="s">
        <v>1588</v>
      </c>
      <c r="AF346" s="286" t="s">
        <v>1588</v>
      </c>
      <c r="AG346" s="283">
        <v>11</v>
      </c>
      <c r="AH346" s="287" t="s">
        <v>23</v>
      </c>
      <c r="AI346" s="272"/>
      <c r="AJ346" s="288" t="s">
        <v>2032</v>
      </c>
      <c r="AK346" s="288" t="s">
        <v>2032</v>
      </c>
      <c r="AL346" s="288" t="s">
        <v>2032</v>
      </c>
      <c r="AM346" s="288" t="s">
        <v>2032</v>
      </c>
      <c r="AN346" s="288" t="s">
        <v>2032</v>
      </c>
      <c r="AO346" s="288" t="s">
        <v>2032</v>
      </c>
      <c r="AP346" s="288" t="s">
        <v>2032</v>
      </c>
      <c r="AQ346" s="288" t="s">
        <v>2032</v>
      </c>
      <c r="AR346" s="288" t="s">
        <v>2032</v>
      </c>
      <c r="AS346" s="288" t="s">
        <v>2032</v>
      </c>
      <c r="AT346" s="288" t="s">
        <v>2032</v>
      </c>
      <c r="AU346" s="288" t="s">
        <v>2032</v>
      </c>
      <c r="AV346" s="288" t="s">
        <v>2032</v>
      </c>
      <c r="AW346" s="288" t="s">
        <v>2032</v>
      </c>
      <c r="AX346" s="288" t="s">
        <v>2032</v>
      </c>
      <c r="AY346" s="288" t="s">
        <v>2032</v>
      </c>
      <c r="AZ346" s="288" t="s">
        <v>2032</v>
      </c>
      <c r="BA346" s="288" t="s">
        <v>2032</v>
      </c>
      <c r="BB346" s="288" t="s">
        <v>2032</v>
      </c>
      <c r="BC346" s="288" t="s">
        <v>2032</v>
      </c>
      <c r="BD346" s="289">
        <f t="shared" si="1"/>
        <v>0</v>
      </c>
      <c r="BE346" s="287"/>
      <c r="BF346" s="272"/>
    </row>
    <row r="347" spans="1:58" ht="14.25" customHeight="1" x14ac:dyDescent="0.35">
      <c r="A347" s="68">
        <v>345</v>
      </c>
      <c r="B347" s="24" t="s">
        <v>1940</v>
      </c>
      <c r="C347" s="24">
        <v>2024</v>
      </c>
      <c r="D347" s="24" t="s">
        <v>1541</v>
      </c>
      <c r="E347" s="269" t="str">
        <f ca="1">IFERROR(__xludf.DUMMYFUNCTION("ARRAYFORMULA(JOIN("""", ARRAYFORMULA(MID(SPLIT(F347, "" ""), 1, 1))))
&amp;""/""&amp;G347"),"MQ/4 Primaria")</f>
        <v>MQ/4 Primaria</v>
      </c>
      <c r="F347" s="24" t="s">
        <v>1751</v>
      </c>
      <c r="G347" s="248" t="s">
        <v>16</v>
      </c>
      <c r="H347" s="248" t="s">
        <v>1604</v>
      </c>
      <c r="I347" s="248" t="s">
        <v>1647</v>
      </c>
      <c r="J347" s="248" t="s">
        <v>1946</v>
      </c>
      <c r="K347" s="248" t="s">
        <v>1586</v>
      </c>
      <c r="L347" s="272"/>
      <c r="M347" s="286" t="s">
        <v>1587</v>
      </c>
      <c r="N347" s="286" t="s">
        <v>1589</v>
      </c>
      <c r="O347" s="286" t="s">
        <v>1587</v>
      </c>
      <c r="P347" s="286" t="s">
        <v>1587</v>
      </c>
      <c r="Q347" s="286" t="s">
        <v>1617</v>
      </c>
      <c r="R347" s="286" t="s">
        <v>1617</v>
      </c>
      <c r="S347" s="286" t="s">
        <v>1587</v>
      </c>
      <c r="T347" s="286" t="s">
        <v>1588</v>
      </c>
      <c r="U347" s="286" t="s">
        <v>1589</v>
      </c>
      <c r="V347" s="286" t="s">
        <v>1617</v>
      </c>
      <c r="W347" s="286" t="s">
        <v>1587</v>
      </c>
      <c r="X347" s="286" t="s">
        <v>1588</v>
      </c>
      <c r="Y347" s="286" t="s">
        <v>1588</v>
      </c>
      <c r="Z347" s="286" t="s">
        <v>1617</v>
      </c>
      <c r="AA347" s="286" t="s">
        <v>1588</v>
      </c>
      <c r="AB347" s="286" t="s">
        <v>1589</v>
      </c>
      <c r="AC347" s="286" t="s">
        <v>1587</v>
      </c>
      <c r="AD347" s="286" t="s">
        <v>1589</v>
      </c>
      <c r="AE347" s="286" t="s">
        <v>1587</v>
      </c>
      <c r="AF347" s="286" t="s">
        <v>1587</v>
      </c>
      <c r="AG347" s="283">
        <v>7</v>
      </c>
      <c r="AH347" s="287" t="s">
        <v>19</v>
      </c>
      <c r="AI347" s="272"/>
      <c r="AJ347" s="288" t="s">
        <v>2032</v>
      </c>
      <c r="AK347" s="288" t="s">
        <v>2032</v>
      </c>
      <c r="AL347" s="288" t="s">
        <v>2032</v>
      </c>
      <c r="AM347" s="288" t="s">
        <v>2032</v>
      </c>
      <c r="AN347" s="288" t="s">
        <v>2032</v>
      </c>
      <c r="AO347" s="288" t="s">
        <v>2032</v>
      </c>
      <c r="AP347" s="288" t="s">
        <v>2032</v>
      </c>
      <c r="AQ347" s="288" t="s">
        <v>2032</v>
      </c>
      <c r="AR347" s="288" t="s">
        <v>2032</v>
      </c>
      <c r="AS347" s="288" t="s">
        <v>2032</v>
      </c>
      <c r="AT347" s="288" t="s">
        <v>2032</v>
      </c>
      <c r="AU347" s="288" t="s">
        <v>2032</v>
      </c>
      <c r="AV347" s="288" t="s">
        <v>2032</v>
      </c>
      <c r="AW347" s="288" t="s">
        <v>2032</v>
      </c>
      <c r="AX347" s="288" t="s">
        <v>2032</v>
      </c>
      <c r="AY347" s="288" t="s">
        <v>2032</v>
      </c>
      <c r="AZ347" s="288" t="s">
        <v>2032</v>
      </c>
      <c r="BA347" s="288" t="s">
        <v>2032</v>
      </c>
      <c r="BB347" s="288" t="s">
        <v>2032</v>
      </c>
      <c r="BC347" s="288" t="s">
        <v>2032</v>
      </c>
      <c r="BD347" s="289">
        <f t="shared" si="1"/>
        <v>0</v>
      </c>
      <c r="BE347" s="287"/>
      <c r="BF347" s="272"/>
    </row>
    <row r="348" spans="1:58" ht="14.25" customHeight="1" x14ac:dyDescent="0.35">
      <c r="A348" s="68">
        <v>346</v>
      </c>
      <c r="B348" s="24" t="s">
        <v>1940</v>
      </c>
      <c r="C348" s="24">
        <v>2024</v>
      </c>
      <c r="D348" s="24" t="s">
        <v>1745</v>
      </c>
      <c r="E348" s="269" t="str">
        <f ca="1">IFERROR(__xludf.DUMMYFUNCTION("ARRAYFORMULA(JOIN("""", ARRAYFORMULA(MID(SPLIT(F348, "" ""), 1, 1))))
&amp;""/""&amp;G348"),"CLQ/4 Primaria")</f>
        <v>CLQ/4 Primaria</v>
      </c>
      <c r="F348" s="24" t="s">
        <v>1755</v>
      </c>
      <c r="G348" s="248" t="s">
        <v>16</v>
      </c>
      <c r="H348" s="248" t="s">
        <v>1604</v>
      </c>
      <c r="I348" s="248" t="s">
        <v>1647</v>
      </c>
      <c r="J348" s="248" t="s">
        <v>1946</v>
      </c>
      <c r="K348" s="248" t="s">
        <v>1586</v>
      </c>
      <c r="L348" s="272"/>
      <c r="M348" s="286" t="s">
        <v>1587</v>
      </c>
      <c r="N348" s="286" t="s">
        <v>1588</v>
      </c>
      <c r="O348" s="286" t="s">
        <v>1587</v>
      </c>
      <c r="P348" s="286" t="s">
        <v>1589</v>
      </c>
      <c r="Q348" s="286" t="s">
        <v>1588</v>
      </c>
      <c r="R348" s="286" t="s">
        <v>1587</v>
      </c>
      <c r="S348" s="286" t="s">
        <v>1588</v>
      </c>
      <c r="T348" s="286" t="s">
        <v>1588</v>
      </c>
      <c r="U348" s="286" t="s">
        <v>1617</v>
      </c>
      <c r="V348" s="286" t="s">
        <v>1589</v>
      </c>
      <c r="W348" s="286" t="s">
        <v>1587</v>
      </c>
      <c r="X348" s="286" t="s">
        <v>1588</v>
      </c>
      <c r="Y348" s="286" t="s">
        <v>1587</v>
      </c>
      <c r="Z348" s="286" t="s">
        <v>1589</v>
      </c>
      <c r="AA348" s="286" t="s">
        <v>1588</v>
      </c>
      <c r="AB348" s="286" t="s">
        <v>1587</v>
      </c>
      <c r="AC348" s="286" t="s">
        <v>1589</v>
      </c>
      <c r="AD348" s="286" t="s">
        <v>1617</v>
      </c>
      <c r="AE348" s="286" t="s">
        <v>1589</v>
      </c>
      <c r="AF348" s="286" t="s">
        <v>1589</v>
      </c>
      <c r="AG348" s="283">
        <v>9</v>
      </c>
      <c r="AH348" s="287" t="s">
        <v>19</v>
      </c>
      <c r="AI348" s="272"/>
      <c r="AJ348" s="288" t="s">
        <v>2032</v>
      </c>
      <c r="AK348" s="288" t="s">
        <v>2032</v>
      </c>
      <c r="AL348" s="288" t="s">
        <v>2032</v>
      </c>
      <c r="AM348" s="288" t="s">
        <v>2032</v>
      </c>
      <c r="AN348" s="288" t="s">
        <v>2032</v>
      </c>
      <c r="AO348" s="288" t="s">
        <v>2032</v>
      </c>
      <c r="AP348" s="288" t="s">
        <v>2032</v>
      </c>
      <c r="AQ348" s="288" t="s">
        <v>2032</v>
      </c>
      <c r="AR348" s="288" t="s">
        <v>2032</v>
      </c>
      <c r="AS348" s="288" t="s">
        <v>2032</v>
      </c>
      <c r="AT348" s="288" t="s">
        <v>2032</v>
      </c>
      <c r="AU348" s="288" t="s">
        <v>2032</v>
      </c>
      <c r="AV348" s="288" t="s">
        <v>2032</v>
      </c>
      <c r="AW348" s="288" t="s">
        <v>2032</v>
      </c>
      <c r="AX348" s="288" t="s">
        <v>2032</v>
      </c>
      <c r="AY348" s="288" t="s">
        <v>2032</v>
      </c>
      <c r="AZ348" s="288" t="s">
        <v>2032</v>
      </c>
      <c r="BA348" s="288" t="s">
        <v>2032</v>
      </c>
      <c r="BB348" s="288" t="s">
        <v>2032</v>
      </c>
      <c r="BC348" s="288" t="s">
        <v>2032</v>
      </c>
      <c r="BD348" s="289">
        <f t="shared" si="1"/>
        <v>0</v>
      </c>
      <c r="BE348" s="287"/>
      <c r="BF348" s="272"/>
    </row>
    <row r="349" spans="1:58" ht="14.25" customHeight="1" x14ac:dyDescent="0.35">
      <c r="A349" s="68">
        <v>347</v>
      </c>
      <c r="B349" s="24" t="s">
        <v>1940</v>
      </c>
      <c r="C349" s="24">
        <v>2024</v>
      </c>
      <c r="D349" s="24" t="s">
        <v>1541</v>
      </c>
      <c r="E349" s="269" t="str">
        <f ca="1">IFERROR(__xludf.DUMMYFUNCTION("ARRAYFORMULA(JOIN("""", ARRAYFORMULA(MID(SPLIT(F349, "" ""), 1, 1))))
&amp;""/""&amp;G349"),"MQ/6 Primaria")</f>
        <v>MQ/6 Primaria</v>
      </c>
      <c r="F349" s="24" t="s">
        <v>1751</v>
      </c>
      <c r="G349" s="248" t="s">
        <v>37</v>
      </c>
      <c r="H349" s="248" t="s">
        <v>1811</v>
      </c>
      <c r="I349" s="248" t="s">
        <v>1665</v>
      </c>
      <c r="J349" s="248" t="s">
        <v>1947</v>
      </c>
      <c r="K349" s="248" t="s">
        <v>1586</v>
      </c>
      <c r="L349" s="272"/>
      <c r="M349" s="286" t="s">
        <v>1587</v>
      </c>
      <c r="N349" s="286" t="s">
        <v>1589</v>
      </c>
      <c r="O349" s="286" t="s">
        <v>1589</v>
      </c>
      <c r="P349" s="286" t="s">
        <v>1588</v>
      </c>
      <c r="Q349" s="286" t="s">
        <v>1587</v>
      </c>
      <c r="R349" s="286" t="s">
        <v>1587</v>
      </c>
      <c r="S349" s="286" t="s">
        <v>1587</v>
      </c>
      <c r="T349" s="286" t="s">
        <v>1587</v>
      </c>
      <c r="U349" s="286" t="s">
        <v>1587</v>
      </c>
      <c r="V349" s="286" t="s">
        <v>1589</v>
      </c>
      <c r="W349" s="286" t="s">
        <v>1587</v>
      </c>
      <c r="X349" s="286" t="s">
        <v>1617</v>
      </c>
      <c r="Y349" s="286" t="s">
        <v>1588</v>
      </c>
      <c r="Z349" s="286" t="s">
        <v>1617</v>
      </c>
      <c r="AA349" s="286" t="s">
        <v>1588</v>
      </c>
      <c r="AB349" s="286" t="s">
        <v>1617</v>
      </c>
      <c r="AC349" s="286" t="s">
        <v>1617</v>
      </c>
      <c r="AD349" s="286" t="s">
        <v>1588</v>
      </c>
      <c r="AE349" s="286" t="s">
        <v>1617</v>
      </c>
      <c r="AF349" s="286" t="s">
        <v>1588</v>
      </c>
      <c r="AG349" s="283">
        <v>10</v>
      </c>
      <c r="AH349" s="287" t="s">
        <v>19</v>
      </c>
      <c r="AI349" s="272"/>
      <c r="AJ349" s="288" t="s">
        <v>2032</v>
      </c>
      <c r="AK349" s="288" t="s">
        <v>2032</v>
      </c>
      <c r="AL349" s="288" t="s">
        <v>2032</v>
      </c>
      <c r="AM349" s="288" t="s">
        <v>2032</v>
      </c>
      <c r="AN349" s="288" t="s">
        <v>2032</v>
      </c>
      <c r="AO349" s="288" t="s">
        <v>2032</v>
      </c>
      <c r="AP349" s="288" t="s">
        <v>2032</v>
      </c>
      <c r="AQ349" s="288" t="s">
        <v>2032</v>
      </c>
      <c r="AR349" s="288" t="s">
        <v>2032</v>
      </c>
      <c r="AS349" s="288" t="s">
        <v>2032</v>
      </c>
      <c r="AT349" s="288" t="s">
        <v>2032</v>
      </c>
      <c r="AU349" s="288" t="s">
        <v>2032</v>
      </c>
      <c r="AV349" s="288" t="s">
        <v>2032</v>
      </c>
      <c r="AW349" s="288" t="s">
        <v>2032</v>
      </c>
      <c r="AX349" s="288" t="s">
        <v>2032</v>
      </c>
      <c r="AY349" s="288" t="s">
        <v>2032</v>
      </c>
      <c r="AZ349" s="288" t="s">
        <v>2032</v>
      </c>
      <c r="BA349" s="288" t="s">
        <v>2032</v>
      </c>
      <c r="BB349" s="288" t="s">
        <v>2032</v>
      </c>
      <c r="BC349" s="288" t="s">
        <v>2032</v>
      </c>
      <c r="BD349" s="289">
        <f t="shared" si="1"/>
        <v>0</v>
      </c>
      <c r="BE349" s="287"/>
      <c r="BF349" s="272"/>
    </row>
    <row r="350" spans="1:58" ht="14.25" customHeight="1" x14ac:dyDescent="0.35">
      <c r="A350" s="68">
        <v>348</v>
      </c>
      <c r="B350" s="24" t="s">
        <v>1940</v>
      </c>
      <c r="C350" s="24">
        <v>2024</v>
      </c>
      <c r="D350" s="24" t="s">
        <v>1745</v>
      </c>
      <c r="E350" s="269" t="str">
        <f ca="1">IFERROR(__xludf.DUMMYFUNCTION("ARRAYFORMULA(JOIN("""", ARRAYFORMULA(MID(SPLIT(F350, "" ""), 1, 1))))
&amp;""/""&amp;G350"),"CLQ/6 Primaria")</f>
        <v>CLQ/6 Primaria</v>
      </c>
      <c r="F350" s="24" t="s">
        <v>1755</v>
      </c>
      <c r="G350" s="248" t="s">
        <v>37</v>
      </c>
      <c r="H350" s="248" t="s">
        <v>1811</v>
      </c>
      <c r="I350" s="248" t="s">
        <v>1665</v>
      </c>
      <c r="J350" s="248" t="s">
        <v>1947</v>
      </c>
      <c r="K350" s="248" t="s">
        <v>1586</v>
      </c>
      <c r="L350" s="272"/>
      <c r="M350" s="286" t="s">
        <v>1587</v>
      </c>
      <c r="N350" s="286" t="s">
        <v>1589</v>
      </c>
      <c r="O350" s="286" t="s">
        <v>1617</v>
      </c>
      <c r="P350" s="286" t="s">
        <v>1587</v>
      </c>
      <c r="Q350" s="286" t="s">
        <v>1588</v>
      </c>
      <c r="R350" s="286" t="s">
        <v>1589</v>
      </c>
      <c r="S350" s="286" t="s">
        <v>1589</v>
      </c>
      <c r="T350" s="286" t="s">
        <v>1589</v>
      </c>
      <c r="U350" s="286" t="s">
        <v>1617</v>
      </c>
      <c r="V350" s="286" t="s">
        <v>1589</v>
      </c>
      <c r="W350" s="286" t="s">
        <v>1617</v>
      </c>
      <c r="X350" s="286" t="s">
        <v>1587</v>
      </c>
      <c r="Y350" s="286" t="s">
        <v>1588</v>
      </c>
      <c r="Z350" s="286" t="s">
        <v>1588</v>
      </c>
      <c r="AA350" s="286" t="s">
        <v>1588</v>
      </c>
      <c r="AB350" s="286" t="s">
        <v>1617</v>
      </c>
      <c r="AC350" s="286" t="s">
        <v>1617</v>
      </c>
      <c r="AD350" s="286" t="s">
        <v>1588</v>
      </c>
      <c r="AE350" s="286" t="s">
        <v>1589</v>
      </c>
      <c r="AF350" s="286" t="s">
        <v>1588</v>
      </c>
      <c r="AG350" s="283">
        <v>11</v>
      </c>
      <c r="AH350" s="287" t="s">
        <v>23</v>
      </c>
      <c r="AI350" s="272"/>
      <c r="AJ350" s="288" t="s">
        <v>2032</v>
      </c>
      <c r="AK350" s="288" t="s">
        <v>2032</v>
      </c>
      <c r="AL350" s="288" t="s">
        <v>2032</v>
      </c>
      <c r="AM350" s="288" t="s">
        <v>2032</v>
      </c>
      <c r="AN350" s="288" t="s">
        <v>2032</v>
      </c>
      <c r="AO350" s="288" t="s">
        <v>2032</v>
      </c>
      <c r="AP350" s="288" t="s">
        <v>2032</v>
      </c>
      <c r="AQ350" s="288" t="s">
        <v>2032</v>
      </c>
      <c r="AR350" s="288" t="s">
        <v>2032</v>
      </c>
      <c r="AS350" s="288" t="s">
        <v>2032</v>
      </c>
      <c r="AT350" s="288" t="s">
        <v>2032</v>
      </c>
      <c r="AU350" s="288" t="s">
        <v>2032</v>
      </c>
      <c r="AV350" s="288" t="s">
        <v>2032</v>
      </c>
      <c r="AW350" s="288" t="s">
        <v>2032</v>
      </c>
      <c r="AX350" s="288" t="s">
        <v>2032</v>
      </c>
      <c r="AY350" s="288" t="s">
        <v>2032</v>
      </c>
      <c r="AZ350" s="288" t="s">
        <v>2032</v>
      </c>
      <c r="BA350" s="288" t="s">
        <v>2032</v>
      </c>
      <c r="BB350" s="288" t="s">
        <v>2032</v>
      </c>
      <c r="BC350" s="288" t="s">
        <v>2032</v>
      </c>
      <c r="BD350" s="289">
        <f t="shared" si="1"/>
        <v>0</v>
      </c>
      <c r="BE350" s="287"/>
      <c r="BF350" s="272"/>
    </row>
    <row r="351" spans="1:58" ht="14.25" customHeight="1" x14ac:dyDescent="0.35">
      <c r="A351" s="68">
        <v>349</v>
      </c>
      <c r="B351" s="24" t="s">
        <v>1940</v>
      </c>
      <c r="C351" s="24">
        <v>2024</v>
      </c>
      <c r="D351" s="24" t="s">
        <v>1541</v>
      </c>
      <c r="E351" s="269" t="str">
        <f ca="1">IFERROR(__xludf.DUMMYFUNCTION("ARRAYFORMULA(JOIN("""", ARRAYFORMULA(MID(SPLIT(F351, "" ""), 1, 1))))
&amp;""/""&amp;G351"),"MQ/6 Primaria")</f>
        <v>MQ/6 Primaria</v>
      </c>
      <c r="F351" s="24" t="s">
        <v>1751</v>
      </c>
      <c r="G351" s="248" t="s">
        <v>37</v>
      </c>
      <c r="H351" s="248" t="s">
        <v>1636</v>
      </c>
      <c r="I351" s="248" t="s">
        <v>1674</v>
      </c>
      <c r="J351" s="248" t="s">
        <v>1948</v>
      </c>
      <c r="K351" s="248" t="s">
        <v>1593</v>
      </c>
      <c r="L351" s="272"/>
      <c r="M351" s="286" t="s">
        <v>1588</v>
      </c>
      <c r="N351" s="286" t="s">
        <v>1617</v>
      </c>
      <c r="O351" s="286" t="s">
        <v>1617</v>
      </c>
      <c r="P351" s="286" t="s">
        <v>1587</v>
      </c>
      <c r="Q351" s="286" t="s">
        <v>1588</v>
      </c>
      <c r="R351" s="286" t="s">
        <v>1617</v>
      </c>
      <c r="S351" s="286" t="s">
        <v>1587</v>
      </c>
      <c r="T351" s="286" t="s">
        <v>1587</v>
      </c>
      <c r="U351" s="286" t="s">
        <v>1587</v>
      </c>
      <c r="V351" s="286" t="s">
        <v>1589</v>
      </c>
      <c r="W351" s="286" t="s">
        <v>1589</v>
      </c>
      <c r="X351" s="286" t="s">
        <v>1589</v>
      </c>
      <c r="Y351" s="286" t="s">
        <v>1587</v>
      </c>
      <c r="Z351" s="286" t="s">
        <v>1589</v>
      </c>
      <c r="AA351" s="286" t="s">
        <v>1617</v>
      </c>
      <c r="AB351" s="286" t="s">
        <v>1617</v>
      </c>
      <c r="AC351" s="286" t="s">
        <v>1589</v>
      </c>
      <c r="AD351" s="286" t="s">
        <v>1589</v>
      </c>
      <c r="AE351" s="286" t="s">
        <v>1617</v>
      </c>
      <c r="AF351" s="286" t="s">
        <v>1588</v>
      </c>
      <c r="AG351" s="283">
        <v>9</v>
      </c>
      <c r="AH351" s="287" t="s">
        <v>19</v>
      </c>
      <c r="AI351" s="272"/>
      <c r="AJ351" s="288" t="s">
        <v>2032</v>
      </c>
      <c r="AK351" s="288" t="s">
        <v>2032</v>
      </c>
      <c r="AL351" s="288" t="s">
        <v>2032</v>
      </c>
      <c r="AM351" s="288" t="s">
        <v>2032</v>
      </c>
      <c r="AN351" s="288" t="s">
        <v>2032</v>
      </c>
      <c r="AO351" s="288" t="s">
        <v>2032</v>
      </c>
      <c r="AP351" s="288" t="s">
        <v>2032</v>
      </c>
      <c r="AQ351" s="288" t="s">
        <v>2032</v>
      </c>
      <c r="AR351" s="288" t="s">
        <v>2032</v>
      </c>
      <c r="AS351" s="288" t="s">
        <v>2032</v>
      </c>
      <c r="AT351" s="288" t="s">
        <v>2032</v>
      </c>
      <c r="AU351" s="288" t="s">
        <v>2032</v>
      </c>
      <c r="AV351" s="288" t="s">
        <v>2032</v>
      </c>
      <c r="AW351" s="288" t="s">
        <v>2032</v>
      </c>
      <c r="AX351" s="288" t="s">
        <v>2032</v>
      </c>
      <c r="AY351" s="288" t="s">
        <v>2032</v>
      </c>
      <c r="AZ351" s="288" t="s">
        <v>2032</v>
      </c>
      <c r="BA351" s="288" t="s">
        <v>2032</v>
      </c>
      <c r="BB351" s="288" t="s">
        <v>2032</v>
      </c>
      <c r="BC351" s="288" t="s">
        <v>2032</v>
      </c>
      <c r="BD351" s="289">
        <f t="shared" si="1"/>
        <v>0</v>
      </c>
      <c r="BE351" s="287"/>
      <c r="BF351" s="272"/>
    </row>
    <row r="352" spans="1:58" ht="14.25" customHeight="1" x14ac:dyDescent="0.35">
      <c r="A352" s="68">
        <v>350</v>
      </c>
      <c r="B352" s="24" t="s">
        <v>1940</v>
      </c>
      <c r="C352" s="24">
        <v>2024</v>
      </c>
      <c r="D352" s="24" t="s">
        <v>1745</v>
      </c>
      <c r="E352" s="269" t="str">
        <f ca="1">IFERROR(__xludf.DUMMYFUNCTION("ARRAYFORMULA(JOIN("""", ARRAYFORMULA(MID(SPLIT(F352, "" ""), 1, 1))))
&amp;""/""&amp;G352"),"CLQ/6 Primaria")</f>
        <v>CLQ/6 Primaria</v>
      </c>
      <c r="F352" s="24" t="s">
        <v>1755</v>
      </c>
      <c r="G352" s="248" t="s">
        <v>37</v>
      </c>
      <c r="H352" s="248" t="s">
        <v>1636</v>
      </c>
      <c r="I352" s="248" t="s">
        <v>1674</v>
      </c>
      <c r="J352" s="248" t="s">
        <v>1948</v>
      </c>
      <c r="K352" s="248" t="s">
        <v>1593</v>
      </c>
      <c r="L352" s="272"/>
      <c r="M352" s="286" t="s">
        <v>1587</v>
      </c>
      <c r="N352" s="286" t="s">
        <v>1589</v>
      </c>
      <c r="O352" s="286" t="s">
        <v>1588</v>
      </c>
      <c r="P352" s="286" t="s">
        <v>1617</v>
      </c>
      <c r="Q352" s="286" t="s">
        <v>1617</v>
      </c>
      <c r="R352" s="286" t="s">
        <v>1587</v>
      </c>
      <c r="S352" s="286" t="s">
        <v>1588</v>
      </c>
      <c r="T352" s="286" t="s">
        <v>1589</v>
      </c>
      <c r="U352" s="286" t="s">
        <v>1589</v>
      </c>
      <c r="V352" s="286" t="s">
        <v>1589</v>
      </c>
      <c r="W352" s="286" t="s">
        <v>1588</v>
      </c>
      <c r="X352" s="286" t="s">
        <v>1587</v>
      </c>
      <c r="Y352" s="286" t="s">
        <v>1587</v>
      </c>
      <c r="Z352" s="286" t="s">
        <v>1588</v>
      </c>
      <c r="AA352" s="286" t="s">
        <v>1589</v>
      </c>
      <c r="AB352" s="286" t="s">
        <v>1617</v>
      </c>
      <c r="AC352" s="286" t="s">
        <v>1589</v>
      </c>
      <c r="AD352" s="286" t="s">
        <v>1588</v>
      </c>
      <c r="AE352" s="286" t="s">
        <v>1589</v>
      </c>
      <c r="AF352" s="286" t="s">
        <v>1617</v>
      </c>
      <c r="AG352" s="283">
        <v>7</v>
      </c>
      <c r="AH352" s="287" t="s">
        <v>19</v>
      </c>
      <c r="AI352" s="272"/>
      <c r="AJ352" s="288" t="s">
        <v>2032</v>
      </c>
      <c r="AK352" s="288" t="s">
        <v>2032</v>
      </c>
      <c r="AL352" s="288" t="s">
        <v>2032</v>
      </c>
      <c r="AM352" s="288" t="s">
        <v>2032</v>
      </c>
      <c r="AN352" s="288" t="s">
        <v>2032</v>
      </c>
      <c r="AO352" s="288" t="s">
        <v>2032</v>
      </c>
      <c r="AP352" s="288" t="s">
        <v>2032</v>
      </c>
      <c r="AQ352" s="288" t="s">
        <v>2032</v>
      </c>
      <c r="AR352" s="288" t="s">
        <v>2032</v>
      </c>
      <c r="AS352" s="288" t="s">
        <v>2032</v>
      </c>
      <c r="AT352" s="288" t="s">
        <v>2032</v>
      </c>
      <c r="AU352" s="288" t="s">
        <v>2032</v>
      </c>
      <c r="AV352" s="288" t="s">
        <v>2032</v>
      </c>
      <c r="AW352" s="288" t="s">
        <v>2032</v>
      </c>
      <c r="AX352" s="288" t="s">
        <v>2032</v>
      </c>
      <c r="AY352" s="288" t="s">
        <v>2032</v>
      </c>
      <c r="AZ352" s="288" t="s">
        <v>2032</v>
      </c>
      <c r="BA352" s="288" t="s">
        <v>2032</v>
      </c>
      <c r="BB352" s="288" t="s">
        <v>2032</v>
      </c>
      <c r="BC352" s="288" t="s">
        <v>2032</v>
      </c>
      <c r="BD352" s="289">
        <f t="shared" si="1"/>
        <v>0</v>
      </c>
      <c r="BE352" s="287"/>
      <c r="BF352" s="272"/>
    </row>
    <row r="353" spans="1:58" ht="14.25" customHeight="1" x14ac:dyDescent="0.35">
      <c r="A353" s="68">
        <v>351</v>
      </c>
      <c r="B353" s="24" t="s">
        <v>1940</v>
      </c>
      <c r="C353" s="24">
        <v>2024</v>
      </c>
      <c r="D353" s="24" t="s">
        <v>1541</v>
      </c>
      <c r="E353" s="269" t="str">
        <f ca="1">IFERROR(__xludf.DUMMYFUNCTION("ARRAYFORMULA(JOIN("""", ARRAYFORMULA(MID(SPLIT(F353, "" ""), 1, 1))))
&amp;""/""&amp;G353"),"MQ/6 Primaria")</f>
        <v>MQ/6 Primaria</v>
      </c>
      <c r="F353" s="24" t="s">
        <v>1751</v>
      </c>
      <c r="G353" s="248" t="s">
        <v>37</v>
      </c>
      <c r="H353" s="248" t="s">
        <v>1595</v>
      </c>
      <c r="I353" s="248" t="s">
        <v>1949</v>
      </c>
      <c r="J353" s="248" t="s">
        <v>1950</v>
      </c>
      <c r="K353" s="248" t="s">
        <v>1586</v>
      </c>
      <c r="L353" s="272"/>
      <c r="M353" s="286"/>
      <c r="N353" s="286" t="s">
        <v>1617</v>
      </c>
      <c r="O353" s="286" t="s">
        <v>1589</v>
      </c>
      <c r="P353" s="286" t="s">
        <v>1587</v>
      </c>
      <c r="Q353" s="286" t="s">
        <v>1617</v>
      </c>
      <c r="R353" s="286" t="s">
        <v>1588</v>
      </c>
      <c r="S353" s="286" t="s">
        <v>1587</v>
      </c>
      <c r="T353" s="286" t="s">
        <v>1587</v>
      </c>
      <c r="U353" s="286" t="s">
        <v>1589</v>
      </c>
      <c r="V353" s="286"/>
      <c r="W353" s="286" t="s">
        <v>1589</v>
      </c>
      <c r="X353" s="286" t="s">
        <v>1589</v>
      </c>
      <c r="Y353" s="286" t="s">
        <v>1587</v>
      </c>
      <c r="Z353" s="286" t="s">
        <v>1589</v>
      </c>
      <c r="AA353" s="286" t="s">
        <v>1587</v>
      </c>
      <c r="AB353" s="286" t="s">
        <v>1617</v>
      </c>
      <c r="AC353" s="286" t="s">
        <v>1589</v>
      </c>
      <c r="AD353" s="286" t="s">
        <v>1589</v>
      </c>
      <c r="AE353" s="286" t="s">
        <v>1617</v>
      </c>
      <c r="AF353" s="286" t="s">
        <v>1588</v>
      </c>
      <c r="AG353" s="283">
        <v>9</v>
      </c>
      <c r="AH353" s="287" t="s">
        <v>19</v>
      </c>
      <c r="AI353" s="272"/>
      <c r="AJ353" s="288" t="s">
        <v>2032</v>
      </c>
      <c r="AK353" s="288" t="s">
        <v>2032</v>
      </c>
      <c r="AL353" s="288" t="s">
        <v>2032</v>
      </c>
      <c r="AM353" s="288" t="s">
        <v>2032</v>
      </c>
      <c r="AN353" s="288" t="s">
        <v>2032</v>
      </c>
      <c r="AO353" s="288" t="s">
        <v>2032</v>
      </c>
      <c r="AP353" s="288" t="s">
        <v>2032</v>
      </c>
      <c r="AQ353" s="288" t="s">
        <v>2032</v>
      </c>
      <c r="AR353" s="288" t="s">
        <v>2032</v>
      </c>
      <c r="AS353" s="288" t="s">
        <v>2032</v>
      </c>
      <c r="AT353" s="288" t="s">
        <v>2032</v>
      </c>
      <c r="AU353" s="288" t="s">
        <v>2032</v>
      </c>
      <c r="AV353" s="288" t="s">
        <v>2032</v>
      </c>
      <c r="AW353" s="288" t="s">
        <v>2032</v>
      </c>
      <c r="AX353" s="288" t="s">
        <v>2032</v>
      </c>
      <c r="AY353" s="288" t="s">
        <v>2032</v>
      </c>
      <c r="AZ353" s="288" t="s">
        <v>2032</v>
      </c>
      <c r="BA353" s="288" t="s">
        <v>2032</v>
      </c>
      <c r="BB353" s="288" t="s">
        <v>2032</v>
      </c>
      <c r="BC353" s="288" t="s">
        <v>2032</v>
      </c>
      <c r="BD353" s="289">
        <f t="shared" si="1"/>
        <v>0</v>
      </c>
      <c r="BE353" s="287"/>
      <c r="BF353" s="272"/>
    </row>
    <row r="354" spans="1:58" ht="14.25" customHeight="1" x14ac:dyDescent="0.35">
      <c r="A354" s="68">
        <v>352</v>
      </c>
      <c r="B354" s="24" t="s">
        <v>1940</v>
      </c>
      <c r="C354" s="24">
        <v>2024</v>
      </c>
      <c r="D354" s="24" t="s">
        <v>1745</v>
      </c>
      <c r="E354" s="269" t="str">
        <f ca="1">IFERROR(__xludf.DUMMYFUNCTION("ARRAYFORMULA(JOIN("""", ARRAYFORMULA(MID(SPLIT(F354, "" ""), 1, 1))))
&amp;""/""&amp;G354"),"CLQ/6 Primaria")</f>
        <v>CLQ/6 Primaria</v>
      </c>
      <c r="F354" s="24" t="s">
        <v>1755</v>
      </c>
      <c r="G354" s="248" t="s">
        <v>37</v>
      </c>
      <c r="H354" s="248" t="s">
        <v>1595</v>
      </c>
      <c r="I354" s="248" t="s">
        <v>1949</v>
      </c>
      <c r="J354" s="248" t="s">
        <v>1950</v>
      </c>
      <c r="K354" s="248" t="s">
        <v>1586</v>
      </c>
      <c r="L354" s="272"/>
      <c r="M354" s="286" t="s">
        <v>1589</v>
      </c>
      <c r="N354" s="286" t="s">
        <v>1589</v>
      </c>
      <c r="O354" s="286" t="s">
        <v>1589</v>
      </c>
      <c r="P354" s="286" t="s">
        <v>1587</v>
      </c>
      <c r="Q354" s="286" t="s">
        <v>1617</v>
      </c>
      <c r="R354" s="286" t="s">
        <v>1617</v>
      </c>
      <c r="S354" s="286" t="s">
        <v>1587</v>
      </c>
      <c r="T354" s="286" t="s">
        <v>1588</v>
      </c>
      <c r="U354" s="286" t="s">
        <v>1588</v>
      </c>
      <c r="V354" s="286" t="s">
        <v>1589</v>
      </c>
      <c r="W354" s="286" t="s">
        <v>1588</v>
      </c>
      <c r="X354" s="286" t="s">
        <v>1587</v>
      </c>
      <c r="Y354" s="286" t="s">
        <v>1617</v>
      </c>
      <c r="Z354" s="286" t="s">
        <v>1589</v>
      </c>
      <c r="AA354" s="286" t="s">
        <v>1587</v>
      </c>
      <c r="AB354" s="286" t="s">
        <v>1588</v>
      </c>
      <c r="AC354" s="286" t="s">
        <v>1617</v>
      </c>
      <c r="AD354" s="286" t="s">
        <v>1617</v>
      </c>
      <c r="AE354" s="286" t="s">
        <v>1589</v>
      </c>
      <c r="AF354" s="286" t="s">
        <v>1589</v>
      </c>
      <c r="AG354" s="283">
        <v>8</v>
      </c>
      <c r="AH354" s="287" t="s">
        <v>19</v>
      </c>
      <c r="AI354" s="272"/>
      <c r="AJ354" s="288" t="s">
        <v>2032</v>
      </c>
      <c r="AK354" s="288" t="s">
        <v>2032</v>
      </c>
      <c r="AL354" s="288" t="s">
        <v>2032</v>
      </c>
      <c r="AM354" s="288" t="s">
        <v>2032</v>
      </c>
      <c r="AN354" s="288" t="s">
        <v>2032</v>
      </c>
      <c r="AO354" s="288" t="s">
        <v>2032</v>
      </c>
      <c r="AP354" s="288" t="s">
        <v>2032</v>
      </c>
      <c r="AQ354" s="288" t="s">
        <v>2032</v>
      </c>
      <c r="AR354" s="288" t="s">
        <v>2032</v>
      </c>
      <c r="AS354" s="288" t="s">
        <v>2032</v>
      </c>
      <c r="AT354" s="288" t="s">
        <v>2032</v>
      </c>
      <c r="AU354" s="288" t="s">
        <v>2032</v>
      </c>
      <c r="AV354" s="288" t="s">
        <v>2032</v>
      </c>
      <c r="AW354" s="288" t="s">
        <v>2032</v>
      </c>
      <c r="AX354" s="288" t="s">
        <v>2032</v>
      </c>
      <c r="AY354" s="288" t="s">
        <v>2032</v>
      </c>
      <c r="AZ354" s="288" t="s">
        <v>2032</v>
      </c>
      <c r="BA354" s="288" t="s">
        <v>2032</v>
      </c>
      <c r="BB354" s="288" t="s">
        <v>2032</v>
      </c>
      <c r="BC354" s="288" t="s">
        <v>2032</v>
      </c>
      <c r="BD354" s="289">
        <f t="shared" si="1"/>
        <v>0</v>
      </c>
      <c r="BE354" s="287"/>
      <c r="BF354" s="272"/>
    </row>
    <row r="355" spans="1:58" ht="14.25" customHeight="1" x14ac:dyDescent="0.35">
      <c r="A355" s="68">
        <v>353</v>
      </c>
      <c r="B355" s="24" t="s">
        <v>1940</v>
      </c>
      <c r="C355" s="24">
        <v>2024</v>
      </c>
      <c r="D355" s="24" t="s">
        <v>1541</v>
      </c>
      <c r="E355" s="269" t="str">
        <f ca="1">IFERROR(__xludf.DUMMYFUNCTION("ARRAYFORMULA(JOIN("""", ARRAYFORMULA(MID(SPLIT(F355, "" ""), 1, 1))))
&amp;""/""&amp;G355"),"MQ/6 Primaria")</f>
        <v>MQ/6 Primaria</v>
      </c>
      <c r="F355" s="24" t="s">
        <v>1751</v>
      </c>
      <c r="G355" s="248" t="s">
        <v>37</v>
      </c>
      <c r="H355" s="248" t="s">
        <v>1951</v>
      </c>
      <c r="I355" s="248" t="s">
        <v>1863</v>
      </c>
      <c r="J355" s="248" t="s">
        <v>1952</v>
      </c>
      <c r="K355" s="248" t="s">
        <v>1593</v>
      </c>
      <c r="L355" s="272"/>
      <c r="M355" s="286" t="s">
        <v>1587</v>
      </c>
      <c r="N355" s="286" t="s">
        <v>1617</v>
      </c>
      <c r="O355" s="286" t="s">
        <v>1589</v>
      </c>
      <c r="P355" s="286" t="s">
        <v>1589</v>
      </c>
      <c r="Q355" s="286" t="s">
        <v>1588</v>
      </c>
      <c r="R355" s="286" t="s">
        <v>1617</v>
      </c>
      <c r="S355" s="286" t="s">
        <v>1588</v>
      </c>
      <c r="T355" s="286" t="s">
        <v>1587</v>
      </c>
      <c r="U355" s="286" t="s">
        <v>1588</v>
      </c>
      <c r="V355" s="286" t="s">
        <v>1617</v>
      </c>
      <c r="W355" s="286" t="s">
        <v>1617</v>
      </c>
      <c r="X355" s="286" t="s">
        <v>1617</v>
      </c>
      <c r="Y355" s="286" t="s">
        <v>1617</v>
      </c>
      <c r="Z355" s="286" t="s">
        <v>1617</v>
      </c>
      <c r="AA355" s="286" t="s">
        <v>1588</v>
      </c>
      <c r="AB355" s="286" t="s">
        <v>1617</v>
      </c>
      <c r="AC355" s="286" t="s">
        <v>1587</v>
      </c>
      <c r="AD355" s="286" t="s">
        <v>1589</v>
      </c>
      <c r="AE355" s="286" t="s">
        <v>1587</v>
      </c>
      <c r="AF355" s="286" t="s">
        <v>1589</v>
      </c>
      <c r="AG355" s="283">
        <v>7</v>
      </c>
      <c r="AH355" s="287" t="s">
        <v>19</v>
      </c>
      <c r="AI355" s="272"/>
      <c r="AJ355" s="288" t="s">
        <v>2032</v>
      </c>
      <c r="AK355" s="288" t="s">
        <v>2032</v>
      </c>
      <c r="AL355" s="288" t="s">
        <v>2032</v>
      </c>
      <c r="AM355" s="288" t="s">
        <v>2032</v>
      </c>
      <c r="AN355" s="288" t="s">
        <v>2032</v>
      </c>
      <c r="AO355" s="288" t="s">
        <v>2032</v>
      </c>
      <c r="AP355" s="288" t="s">
        <v>2032</v>
      </c>
      <c r="AQ355" s="288" t="s">
        <v>2032</v>
      </c>
      <c r="AR355" s="288" t="s">
        <v>2032</v>
      </c>
      <c r="AS355" s="288" t="s">
        <v>2032</v>
      </c>
      <c r="AT355" s="288" t="s">
        <v>2032</v>
      </c>
      <c r="AU355" s="288" t="s">
        <v>2032</v>
      </c>
      <c r="AV355" s="288" t="s">
        <v>2032</v>
      </c>
      <c r="AW355" s="288" t="s">
        <v>2032</v>
      </c>
      <c r="AX355" s="288" t="s">
        <v>2032</v>
      </c>
      <c r="AY355" s="288" t="s">
        <v>2032</v>
      </c>
      <c r="AZ355" s="288" t="s">
        <v>2032</v>
      </c>
      <c r="BA355" s="288" t="s">
        <v>2032</v>
      </c>
      <c r="BB355" s="288" t="s">
        <v>2032</v>
      </c>
      <c r="BC355" s="288" t="s">
        <v>2032</v>
      </c>
      <c r="BD355" s="289">
        <f t="shared" si="1"/>
        <v>0</v>
      </c>
      <c r="BE355" s="287"/>
      <c r="BF355" s="272"/>
    </row>
    <row r="356" spans="1:58" ht="14.25" customHeight="1" x14ac:dyDescent="0.35">
      <c r="A356" s="68">
        <v>354</v>
      </c>
      <c r="B356" s="24" t="s">
        <v>1940</v>
      </c>
      <c r="C356" s="24">
        <v>2024</v>
      </c>
      <c r="D356" s="24" t="s">
        <v>1745</v>
      </c>
      <c r="E356" s="269" t="str">
        <f ca="1">IFERROR(__xludf.DUMMYFUNCTION("ARRAYFORMULA(JOIN("""", ARRAYFORMULA(MID(SPLIT(F356, "" ""), 1, 1))))
&amp;""/""&amp;G356"),"CLQ/6 Primaria")</f>
        <v>CLQ/6 Primaria</v>
      </c>
      <c r="F356" s="24" t="s">
        <v>1755</v>
      </c>
      <c r="G356" s="248" t="s">
        <v>37</v>
      </c>
      <c r="H356" s="248" t="s">
        <v>1951</v>
      </c>
      <c r="I356" s="248" t="s">
        <v>1863</v>
      </c>
      <c r="J356" s="248" t="s">
        <v>1952</v>
      </c>
      <c r="K356" s="248" t="s">
        <v>1593</v>
      </c>
      <c r="L356" s="272"/>
      <c r="M356" s="286" t="s">
        <v>1589</v>
      </c>
      <c r="N356" s="286" t="s">
        <v>1589</v>
      </c>
      <c r="O356" s="286" t="s">
        <v>1617</v>
      </c>
      <c r="P356" s="286" t="s">
        <v>1587</v>
      </c>
      <c r="Q356" s="286" t="s">
        <v>1617</v>
      </c>
      <c r="R356" s="286" t="s">
        <v>1589</v>
      </c>
      <c r="S356" s="286" t="s">
        <v>1589</v>
      </c>
      <c r="T356" s="286" t="s">
        <v>1589</v>
      </c>
      <c r="U356" s="286" t="s">
        <v>1617</v>
      </c>
      <c r="V356" s="286" t="s">
        <v>1617</v>
      </c>
      <c r="W356" s="286" t="s">
        <v>1588</v>
      </c>
      <c r="X356" s="286" t="s">
        <v>1617</v>
      </c>
      <c r="Y356" s="286" t="s">
        <v>1617</v>
      </c>
      <c r="Z356" s="286" t="s">
        <v>1589</v>
      </c>
      <c r="AA356" s="286" t="s">
        <v>1588</v>
      </c>
      <c r="AB356" s="286" t="s">
        <v>1589</v>
      </c>
      <c r="AC356" s="286" t="s">
        <v>1617</v>
      </c>
      <c r="AD356" s="286" t="s">
        <v>1589</v>
      </c>
      <c r="AE356" s="286" t="s">
        <v>1588</v>
      </c>
      <c r="AF356" s="286" t="s">
        <v>1589</v>
      </c>
      <c r="AG356" s="283">
        <v>12</v>
      </c>
      <c r="AH356" s="287" t="s">
        <v>23</v>
      </c>
      <c r="AI356" s="272"/>
      <c r="AJ356" s="288" t="s">
        <v>2032</v>
      </c>
      <c r="AK356" s="288" t="s">
        <v>2032</v>
      </c>
      <c r="AL356" s="288" t="s">
        <v>2032</v>
      </c>
      <c r="AM356" s="288" t="s">
        <v>2032</v>
      </c>
      <c r="AN356" s="288" t="s">
        <v>2032</v>
      </c>
      <c r="AO356" s="288" t="s">
        <v>2032</v>
      </c>
      <c r="AP356" s="288" t="s">
        <v>2032</v>
      </c>
      <c r="AQ356" s="288" t="s">
        <v>2032</v>
      </c>
      <c r="AR356" s="288" t="s">
        <v>2032</v>
      </c>
      <c r="AS356" s="288" t="s">
        <v>2032</v>
      </c>
      <c r="AT356" s="288" t="s">
        <v>2032</v>
      </c>
      <c r="AU356" s="288" t="s">
        <v>2032</v>
      </c>
      <c r="AV356" s="288" t="s">
        <v>2032</v>
      </c>
      <c r="AW356" s="288" t="s">
        <v>2032</v>
      </c>
      <c r="AX356" s="288" t="s">
        <v>2032</v>
      </c>
      <c r="AY356" s="288" t="s">
        <v>2032</v>
      </c>
      <c r="AZ356" s="288" t="s">
        <v>2032</v>
      </c>
      <c r="BA356" s="288" t="s">
        <v>2032</v>
      </c>
      <c r="BB356" s="288" t="s">
        <v>2032</v>
      </c>
      <c r="BC356" s="288" t="s">
        <v>2032</v>
      </c>
      <c r="BD356" s="289">
        <f t="shared" si="1"/>
        <v>0</v>
      </c>
      <c r="BE356" s="287"/>
      <c r="BF356" s="272"/>
    </row>
    <row r="357" spans="1:58" ht="14.25" customHeight="1" x14ac:dyDescent="0.35">
      <c r="A357" s="68">
        <v>355</v>
      </c>
      <c r="B357" s="24" t="s">
        <v>1953</v>
      </c>
      <c r="C357" s="24">
        <v>2024</v>
      </c>
      <c r="D357" s="24" t="s">
        <v>1541</v>
      </c>
      <c r="E357" s="269" t="str">
        <f ca="1">IFERROR(__xludf.DUMMYFUNCTION("ARRAYFORMULA(JOIN("""", ARRAYFORMULA(MID(SPLIT(F357, "" ""), 1, 1))))
&amp;""/""&amp;G357"),"MQ/2 Primaria")</f>
        <v>MQ/2 Primaria</v>
      </c>
      <c r="F357" s="24" t="s">
        <v>1751</v>
      </c>
      <c r="G357" s="248" t="s">
        <v>45</v>
      </c>
      <c r="H357" s="248" t="s">
        <v>1808</v>
      </c>
      <c r="I357" s="248" t="s">
        <v>1661</v>
      </c>
      <c r="J357" s="248" t="s">
        <v>1954</v>
      </c>
      <c r="K357" s="248" t="s">
        <v>1586</v>
      </c>
      <c r="L357" s="272"/>
      <c r="M357" s="286" t="s">
        <v>1753</v>
      </c>
      <c r="N357" s="286" t="s">
        <v>1754</v>
      </c>
      <c r="O357" s="286" t="s">
        <v>1588</v>
      </c>
      <c r="P357" s="286" t="s">
        <v>1754</v>
      </c>
      <c r="Q357" s="286" t="s">
        <v>1754</v>
      </c>
      <c r="R357" s="286" t="s">
        <v>1588</v>
      </c>
      <c r="S357" s="286" t="s">
        <v>1754</v>
      </c>
      <c r="T357" s="286" t="s">
        <v>1588</v>
      </c>
      <c r="U357" s="286" t="s">
        <v>1754</v>
      </c>
      <c r="V357" s="286" t="s">
        <v>1753</v>
      </c>
      <c r="W357" s="286"/>
      <c r="X357" s="286" t="s">
        <v>1754</v>
      </c>
      <c r="Y357" s="286" t="s">
        <v>1753</v>
      </c>
      <c r="Z357" s="286" t="s">
        <v>1588</v>
      </c>
      <c r="AA357" s="286" t="s">
        <v>1754</v>
      </c>
      <c r="AB357" s="286" t="s">
        <v>1753</v>
      </c>
      <c r="AC357" s="286" t="s">
        <v>1588</v>
      </c>
      <c r="AD357" s="286" t="s">
        <v>1753</v>
      </c>
      <c r="AE357" s="286" t="s">
        <v>1588</v>
      </c>
      <c r="AF357" s="286" t="s">
        <v>1753</v>
      </c>
      <c r="AG357" s="283">
        <v>13</v>
      </c>
      <c r="AH357" s="287" t="s">
        <v>23</v>
      </c>
      <c r="AI357" s="272"/>
      <c r="AJ357" s="288" t="s">
        <v>2032</v>
      </c>
      <c r="AK357" s="288" t="s">
        <v>2032</v>
      </c>
      <c r="AL357" s="288" t="s">
        <v>2032</v>
      </c>
      <c r="AM357" s="288" t="s">
        <v>2032</v>
      </c>
      <c r="AN357" s="288" t="s">
        <v>2032</v>
      </c>
      <c r="AO357" s="288" t="s">
        <v>2032</v>
      </c>
      <c r="AP357" s="288" t="s">
        <v>2032</v>
      </c>
      <c r="AQ357" s="288" t="s">
        <v>2032</v>
      </c>
      <c r="AR357" s="288" t="s">
        <v>2032</v>
      </c>
      <c r="AS357" s="288" t="s">
        <v>2032</v>
      </c>
      <c r="AT357" s="288" t="s">
        <v>2032</v>
      </c>
      <c r="AU357" s="288" t="s">
        <v>2032</v>
      </c>
      <c r="AV357" s="288" t="s">
        <v>2032</v>
      </c>
      <c r="AW357" s="288" t="s">
        <v>2032</v>
      </c>
      <c r="AX357" s="288" t="s">
        <v>2032</v>
      </c>
      <c r="AY357" s="288" t="s">
        <v>2032</v>
      </c>
      <c r="AZ357" s="288" t="s">
        <v>2032</v>
      </c>
      <c r="BA357" s="288" t="s">
        <v>2032</v>
      </c>
      <c r="BB357" s="288" t="s">
        <v>2032</v>
      </c>
      <c r="BC357" s="288" t="s">
        <v>2032</v>
      </c>
      <c r="BD357" s="289">
        <f t="shared" si="1"/>
        <v>0</v>
      </c>
      <c r="BE357" s="287"/>
      <c r="BF357" s="272"/>
    </row>
    <row r="358" spans="1:58" ht="14.25" customHeight="1" x14ac:dyDescent="0.35">
      <c r="A358" s="68">
        <v>356</v>
      </c>
      <c r="B358" s="24" t="s">
        <v>1953</v>
      </c>
      <c r="C358" s="24">
        <v>2024</v>
      </c>
      <c r="D358" s="24" t="s">
        <v>1745</v>
      </c>
      <c r="E358" s="269" t="str">
        <f ca="1">IFERROR(__xludf.DUMMYFUNCTION("ARRAYFORMULA(JOIN("""", ARRAYFORMULA(MID(SPLIT(F358, "" ""), 1, 1))))
&amp;""/""&amp;G358"),"CLQ/2 Primaria")</f>
        <v>CLQ/2 Primaria</v>
      </c>
      <c r="F358" s="24" t="s">
        <v>1755</v>
      </c>
      <c r="G358" s="248" t="s">
        <v>45</v>
      </c>
      <c r="H358" s="248" t="s">
        <v>1808</v>
      </c>
      <c r="I358" s="248" t="s">
        <v>1661</v>
      </c>
      <c r="J358" s="248" t="s">
        <v>1954</v>
      </c>
      <c r="K358" s="248" t="s">
        <v>1586</v>
      </c>
      <c r="L358" s="272"/>
      <c r="M358" s="286" t="s">
        <v>1753</v>
      </c>
      <c r="N358" s="286" t="s">
        <v>1753</v>
      </c>
      <c r="O358" s="286" t="s">
        <v>1754</v>
      </c>
      <c r="P358" s="286" t="s">
        <v>1753</v>
      </c>
      <c r="Q358" s="286" t="s">
        <v>1753</v>
      </c>
      <c r="R358" s="286" t="s">
        <v>1588</v>
      </c>
      <c r="S358" s="286" t="s">
        <v>1754</v>
      </c>
      <c r="T358" s="286" t="s">
        <v>1588</v>
      </c>
      <c r="U358" s="286" t="s">
        <v>1753</v>
      </c>
      <c r="V358" s="286" t="s">
        <v>1588</v>
      </c>
      <c r="W358" s="286" t="s">
        <v>1588</v>
      </c>
      <c r="X358" s="286" t="s">
        <v>1753</v>
      </c>
      <c r="Y358" s="286" t="s">
        <v>1754</v>
      </c>
      <c r="Z358" s="286" t="s">
        <v>1588</v>
      </c>
      <c r="AA358" s="286" t="s">
        <v>1588</v>
      </c>
      <c r="AB358" s="286" t="s">
        <v>1753</v>
      </c>
      <c r="AC358" s="286" t="s">
        <v>1588</v>
      </c>
      <c r="AD358" s="286" t="s">
        <v>1588</v>
      </c>
      <c r="AE358" s="286" t="s">
        <v>1754</v>
      </c>
      <c r="AF358" s="286" t="s">
        <v>1753</v>
      </c>
      <c r="AG358" s="283">
        <v>16</v>
      </c>
      <c r="AH358" s="287" t="s">
        <v>23</v>
      </c>
      <c r="AI358" s="272"/>
      <c r="AJ358" s="288" t="s">
        <v>2032</v>
      </c>
      <c r="AK358" s="288" t="s">
        <v>2032</v>
      </c>
      <c r="AL358" s="288" t="s">
        <v>2032</v>
      </c>
      <c r="AM358" s="288" t="s">
        <v>2032</v>
      </c>
      <c r="AN358" s="288" t="s">
        <v>2032</v>
      </c>
      <c r="AO358" s="288" t="s">
        <v>2032</v>
      </c>
      <c r="AP358" s="288" t="s">
        <v>2032</v>
      </c>
      <c r="AQ358" s="288" t="s">
        <v>2032</v>
      </c>
      <c r="AR358" s="288" t="s">
        <v>2032</v>
      </c>
      <c r="AS358" s="288" t="s">
        <v>2032</v>
      </c>
      <c r="AT358" s="288" t="s">
        <v>2032</v>
      </c>
      <c r="AU358" s="288" t="s">
        <v>2032</v>
      </c>
      <c r="AV358" s="288" t="s">
        <v>2032</v>
      </c>
      <c r="AW358" s="288" t="s">
        <v>2032</v>
      </c>
      <c r="AX358" s="288" t="s">
        <v>2032</v>
      </c>
      <c r="AY358" s="288" t="s">
        <v>2032</v>
      </c>
      <c r="AZ358" s="288" t="s">
        <v>2032</v>
      </c>
      <c r="BA358" s="288" t="s">
        <v>2032</v>
      </c>
      <c r="BB358" s="288" t="s">
        <v>2032</v>
      </c>
      <c r="BC358" s="288" t="s">
        <v>2032</v>
      </c>
      <c r="BD358" s="289">
        <f t="shared" si="1"/>
        <v>0</v>
      </c>
      <c r="BE358" s="287"/>
      <c r="BF358" s="272"/>
    </row>
    <row r="359" spans="1:58" ht="14.25" customHeight="1" x14ac:dyDescent="0.35">
      <c r="A359" s="68">
        <v>357</v>
      </c>
      <c r="B359" s="24" t="s">
        <v>1953</v>
      </c>
      <c r="C359" s="24">
        <v>2024</v>
      </c>
      <c r="D359" s="24" t="s">
        <v>1541</v>
      </c>
      <c r="E359" s="269" t="str">
        <f ca="1">IFERROR(__xludf.DUMMYFUNCTION("ARRAYFORMULA(JOIN("""", ARRAYFORMULA(MID(SPLIT(F359, "" ""), 1, 1))))
&amp;""/""&amp;G359"),"MQ/4 Primaria")</f>
        <v>MQ/4 Primaria</v>
      </c>
      <c r="F359" s="24" t="s">
        <v>1751</v>
      </c>
      <c r="G359" s="248" t="s">
        <v>16</v>
      </c>
      <c r="H359" s="248" t="s">
        <v>1955</v>
      </c>
      <c r="I359" s="248" t="s">
        <v>1612</v>
      </c>
      <c r="J359" s="248" t="s">
        <v>1956</v>
      </c>
      <c r="K359" s="248" t="s">
        <v>1593</v>
      </c>
      <c r="L359" s="272"/>
      <c r="M359" s="286" t="s">
        <v>1617</v>
      </c>
      <c r="N359" s="286" t="s">
        <v>1589</v>
      </c>
      <c r="O359" s="286" t="s">
        <v>1588</v>
      </c>
      <c r="P359" s="286" t="s">
        <v>1588</v>
      </c>
      <c r="Q359" s="286" t="s">
        <v>1589</v>
      </c>
      <c r="R359" s="286" t="s">
        <v>1588</v>
      </c>
      <c r="S359" s="286" t="s">
        <v>1587</v>
      </c>
      <c r="T359" s="286" t="s">
        <v>1589</v>
      </c>
      <c r="U359" s="286" t="s">
        <v>1587</v>
      </c>
      <c r="V359" s="286" t="s">
        <v>1588</v>
      </c>
      <c r="W359" s="286" t="s">
        <v>1617</v>
      </c>
      <c r="X359" s="286" t="s">
        <v>1617</v>
      </c>
      <c r="Y359" s="286" t="s">
        <v>1617</v>
      </c>
      <c r="Z359" s="286" t="s">
        <v>1588</v>
      </c>
      <c r="AA359" s="286" t="s">
        <v>1588</v>
      </c>
      <c r="AB359" s="286" t="s">
        <v>1588</v>
      </c>
      <c r="AC359" s="286" t="s">
        <v>1588</v>
      </c>
      <c r="AD359" s="286" t="s">
        <v>1589</v>
      </c>
      <c r="AE359" s="286" t="s">
        <v>1588</v>
      </c>
      <c r="AF359" s="286" t="s">
        <v>1588</v>
      </c>
      <c r="AG359" s="283">
        <v>11</v>
      </c>
      <c r="AH359" s="287" t="s">
        <v>23</v>
      </c>
      <c r="AI359" s="272"/>
      <c r="AJ359" s="288" t="s">
        <v>2032</v>
      </c>
      <c r="AK359" s="288" t="s">
        <v>2032</v>
      </c>
      <c r="AL359" s="288" t="s">
        <v>2032</v>
      </c>
      <c r="AM359" s="288" t="s">
        <v>2032</v>
      </c>
      <c r="AN359" s="288" t="s">
        <v>2032</v>
      </c>
      <c r="AO359" s="288" t="s">
        <v>2032</v>
      </c>
      <c r="AP359" s="288" t="s">
        <v>2032</v>
      </c>
      <c r="AQ359" s="288" t="s">
        <v>2032</v>
      </c>
      <c r="AR359" s="288" t="s">
        <v>2032</v>
      </c>
      <c r="AS359" s="288" t="s">
        <v>2032</v>
      </c>
      <c r="AT359" s="288" t="s">
        <v>2032</v>
      </c>
      <c r="AU359" s="288" t="s">
        <v>2032</v>
      </c>
      <c r="AV359" s="288" t="s">
        <v>2032</v>
      </c>
      <c r="AW359" s="288" t="s">
        <v>2032</v>
      </c>
      <c r="AX359" s="288" t="s">
        <v>2032</v>
      </c>
      <c r="AY359" s="288" t="s">
        <v>2032</v>
      </c>
      <c r="AZ359" s="288" t="s">
        <v>2032</v>
      </c>
      <c r="BA359" s="288" t="s">
        <v>2032</v>
      </c>
      <c r="BB359" s="288" t="s">
        <v>2032</v>
      </c>
      <c r="BC359" s="288" t="s">
        <v>2032</v>
      </c>
      <c r="BD359" s="289">
        <f t="shared" si="1"/>
        <v>0</v>
      </c>
      <c r="BE359" s="287"/>
      <c r="BF359" s="272"/>
    </row>
    <row r="360" spans="1:58" ht="14.25" customHeight="1" x14ac:dyDescent="0.35">
      <c r="A360" s="68">
        <v>358</v>
      </c>
      <c r="B360" s="24" t="s">
        <v>1953</v>
      </c>
      <c r="C360" s="24">
        <v>2024</v>
      </c>
      <c r="D360" s="24" t="s">
        <v>1745</v>
      </c>
      <c r="E360" s="269" t="str">
        <f ca="1">IFERROR(__xludf.DUMMYFUNCTION("ARRAYFORMULA(JOIN("""", ARRAYFORMULA(MID(SPLIT(F360, "" ""), 1, 1))))
&amp;""/""&amp;G360"),"CLQ/4 Primaria")</f>
        <v>CLQ/4 Primaria</v>
      </c>
      <c r="F360" s="24" t="s">
        <v>1755</v>
      </c>
      <c r="G360" s="248" t="s">
        <v>16</v>
      </c>
      <c r="H360" s="248" t="s">
        <v>1955</v>
      </c>
      <c r="I360" s="248" t="s">
        <v>1612</v>
      </c>
      <c r="J360" s="248" t="s">
        <v>1956</v>
      </c>
      <c r="K360" s="248" t="s">
        <v>1593</v>
      </c>
      <c r="L360" s="272"/>
      <c r="M360" s="286" t="s">
        <v>1587</v>
      </c>
      <c r="N360" s="286" t="s">
        <v>1588</v>
      </c>
      <c r="O360" s="286" t="s">
        <v>1588</v>
      </c>
      <c r="P360" s="286" t="s">
        <v>1617</v>
      </c>
      <c r="Q360" s="286" t="s">
        <v>1617</v>
      </c>
      <c r="R360" s="286" t="s">
        <v>1588</v>
      </c>
      <c r="S360" s="286" t="s">
        <v>1588</v>
      </c>
      <c r="T360" s="286" t="s">
        <v>1589</v>
      </c>
      <c r="U360" s="286" t="s">
        <v>1617</v>
      </c>
      <c r="V360" s="286" t="s">
        <v>1589</v>
      </c>
      <c r="W360" s="286" t="s">
        <v>1589</v>
      </c>
      <c r="X360" s="286" t="s">
        <v>1589</v>
      </c>
      <c r="Y360" s="286" t="s">
        <v>1617</v>
      </c>
      <c r="Z360" s="286" t="s">
        <v>1589</v>
      </c>
      <c r="AA360" s="286" t="s">
        <v>1588</v>
      </c>
      <c r="AB360" s="286" t="s">
        <v>1617</v>
      </c>
      <c r="AC360" s="286" t="s">
        <v>1589</v>
      </c>
      <c r="AD360" s="286" t="s">
        <v>1588</v>
      </c>
      <c r="AE360" s="286" t="s">
        <v>1589</v>
      </c>
      <c r="AF360" s="286" t="s">
        <v>1587</v>
      </c>
      <c r="AG360" s="283">
        <v>8</v>
      </c>
      <c r="AH360" s="287" t="s">
        <v>19</v>
      </c>
      <c r="AI360" s="272"/>
      <c r="AJ360" s="288" t="s">
        <v>2032</v>
      </c>
      <c r="AK360" s="288" t="s">
        <v>2032</v>
      </c>
      <c r="AL360" s="288" t="s">
        <v>2032</v>
      </c>
      <c r="AM360" s="288" t="s">
        <v>2032</v>
      </c>
      <c r="AN360" s="288" t="s">
        <v>2032</v>
      </c>
      <c r="AO360" s="288" t="s">
        <v>2032</v>
      </c>
      <c r="AP360" s="288" t="s">
        <v>2032</v>
      </c>
      <c r="AQ360" s="288" t="s">
        <v>2032</v>
      </c>
      <c r="AR360" s="288" t="s">
        <v>2032</v>
      </c>
      <c r="AS360" s="288" t="s">
        <v>2032</v>
      </c>
      <c r="AT360" s="288" t="s">
        <v>2032</v>
      </c>
      <c r="AU360" s="288" t="s">
        <v>2032</v>
      </c>
      <c r="AV360" s="288" t="s">
        <v>2032</v>
      </c>
      <c r="AW360" s="288" t="s">
        <v>2032</v>
      </c>
      <c r="AX360" s="288" t="s">
        <v>2032</v>
      </c>
      <c r="AY360" s="288" t="s">
        <v>2032</v>
      </c>
      <c r="AZ360" s="288" t="s">
        <v>2032</v>
      </c>
      <c r="BA360" s="288" t="s">
        <v>2032</v>
      </c>
      <c r="BB360" s="288" t="s">
        <v>2032</v>
      </c>
      <c r="BC360" s="288" t="s">
        <v>2032</v>
      </c>
      <c r="BD360" s="289">
        <f t="shared" si="1"/>
        <v>0</v>
      </c>
      <c r="BE360" s="287"/>
      <c r="BF360" s="272"/>
    </row>
    <row r="361" spans="1:58" ht="14.25" customHeight="1" x14ac:dyDescent="0.35">
      <c r="A361" s="68">
        <v>359</v>
      </c>
      <c r="B361" s="24" t="s">
        <v>1953</v>
      </c>
      <c r="C361" s="24">
        <v>2024</v>
      </c>
      <c r="D361" s="24" t="s">
        <v>1541</v>
      </c>
      <c r="E361" s="269" t="str">
        <f ca="1">IFERROR(__xludf.DUMMYFUNCTION("ARRAYFORMULA(JOIN("""", ARRAYFORMULA(MID(SPLIT(F361, "" ""), 1, 1))))
&amp;""/""&amp;G361"),"MQ/6 Primaria")</f>
        <v>MQ/6 Primaria</v>
      </c>
      <c r="F361" s="24" t="s">
        <v>1751</v>
      </c>
      <c r="G361" s="248" t="s">
        <v>37</v>
      </c>
      <c r="H361" s="248" t="s">
        <v>1612</v>
      </c>
      <c r="I361" s="248" t="s">
        <v>1612</v>
      </c>
      <c r="J361" s="248" t="s">
        <v>1957</v>
      </c>
      <c r="K361" s="248" t="s">
        <v>1586</v>
      </c>
      <c r="L361" s="272"/>
      <c r="M361" s="286" t="s">
        <v>1588</v>
      </c>
      <c r="N361" s="286" t="s">
        <v>1617</v>
      </c>
      <c r="O361" s="286" t="s">
        <v>1589</v>
      </c>
      <c r="P361" s="286" t="s">
        <v>1617</v>
      </c>
      <c r="Q361" s="286" t="s">
        <v>1587</v>
      </c>
      <c r="R361" s="286" t="s">
        <v>1587</v>
      </c>
      <c r="S361" s="286" t="s">
        <v>1587</v>
      </c>
      <c r="T361" s="286" t="s">
        <v>1587</v>
      </c>
      <c r="U361" s="286" t="s">
        <v>1587</v>
      </c>
      <c r="V361" s="286" t="s">
        <v>1617</v>
      </c>
      <c r="W361" s="286" t="s">
        <v>1589</v>
      </c>
      <c r="X361" s="286" t="s">
        <v>1617</v>
      </c>
      <c r="Y361" s="286" t="s">
        <v>1588</v>
      </c>
      <c r="Z361" s="286" t="s">
        <v>1589</v>
      </c>
      <c r="AA361" s="286" t="s">
        <v>1587</v>
      </c>
      <c r="AB361" s="286" t="s">
        <v>1617</v>
      </c>
      <c r="AC361" s="286" t="s">
        <v>1588</v>
      </c>
      <c r="AD361" s="286" t="s">
        <v>1587</v>
      </c>
      <c r="AE361" s="286" t="s">
        <v>1617</v>
      </c>
      <c r="AF361" s="286" t="s">
        <v>1589</v>
      </c>
      <c r="AG361" s="283">
        <v>20</v>
      </c>
      <c r="AH361" s="287" t="s">
        <v>25</v>
      </c>
      <c r="AI361" s="272"/>
      <c r="AJ361" s="288" t="s">
        <v>2032</v>
      </c>
      <c r="AK361" s="288" t="s">
        <v>2032</v>
      </c>
      <c r="AL361" s="288" t="s">
        <v>2032</v>
      </c>
      <c r="AM361" s="288" t="s">
        <v>2032</v>
      </c>
      <c r="AN361" s="288" t="s">
        <v>2032</v>
      </c>
      <c r="AO361" s="288" t="s">
        <v>2032</v>
      </c>
      <c r="AP361" s="288" t="s">
        <v>2032</v>
      </c>
      <c r="AQ361" s="288" t="s">
        <v>2032</v>
      </c>
      <c r="AR361" s="288" t="s">
        <v>2032</v>
      </c>
      <c r="AS361" s="288" t="s">
        <v>2032</v>
      </c>
      <c r="AT361" s="288" t="s">
        <v>2032</v>
      </c>
      <c r="AU361" s="288" t="s">
        <v>2032</v>
      </c>
      <c r="AV361" s="288" t="s">
        <v>2032</v>
      </c>
      <c r="AW361" s="288" t="s">
        <v>2032</v>
      </c>
      <c r="AX361" s="288" t="s">
        <v>2032</v>
      </c>
      <c r="AY361" s="288" t="s">
        <v>2032</v>
      </c>
      <c r="AZ361" s="288" t="s">
        <v>2032</v>
      </c>
      <c r="BA361" s="288" t="s">
        <v>2032</v>
      </c>
      <c r="BB361" s="288" t="s">
        <v>2032</v>
      </c>
      <c r="BC361" s="288" t="s">
        <v>2032</v>
      </c>
      <c r="BD361" s="289">
        <f t="shared" si="1"/>
        <v>0</v>
      </c>
      <c r="BE361" s="287"/>
      <c r="BF361" s="272"/>
    </row>
    <row r="362" spans="1:58" ht="14.25" customHeight="1" x14ac:dyDescent="0.35">
      <c r="A362" s="68">
        <v>360</v>
      </c>
      <c r="B362" s="24" t="s">
        <v>1953</v>
      </c>
      <c r="C362" s="24">
        <v>2024</v>
      </c>
      <c r="D362" s="24" t="s">
        <v>1745</v>
      </c>
      <c r="E362" s="269" t="str">
        <f ca="1">IFERROR(__xludf.DUMMYFUNCTION("ARRAYFORMULA(JOIN("""", ARRAYFORMULA(MID(SPLIT(F362, "" ""), 1, 1))))
&amp;""/""&amp;G362"),"CLQ/6 Primaria")</f>
        <v>CLQ/6 Primaria</v>
      </c>
      <c r="F362" s="24" t="s">
        <v>1755</v>
      </c>
      <c r="G362" s="248" t="s">
        <v>37</v>
      </c>
      <c r="H362" s="248" t="s">
        <v>1612</v>
      </c>
      <c r="I362" s="248" t="s">
        <v>1612</v>
      </c>
      <c r="J362" s="248" t="s">
        <v>1957</v>
      </c>
      <c r="K362" s="248" t="s">
        <v>1586</v>
      </c>
      <c r="L362" s="272"/>
      <c r="M362" s="286" t="s">
        <v>1589</v>
      </c>
      <c r="N362" s="286" t="s">
        <v>1589</v>
      </c>
      <c r="O362" s="286" t="s">
        <v>1617</v>
      </c>
      <c r="P362" s="286" t="s">
        <v>1587</v>
      </c>
      <c r="Q362" s="286" t="s">
        <v>1617</v>
      </c>
      <c r="R362" s="286" t="s">
        <v>1587</v>
      </c>
      <c r="S362" s="286" t="s">
        <v>1617</v>
      </c>
      <c r="T362" s="286" t="s">
        <v>1589</v>
      </c>
      <c r="U362" s="286" t="s">
        <v>1617</v>
      </c>
      <c r="V362" s="286" t="s">
        <v>1617</v>
      </c>
      <c r="W362" s="286" t="s">
        <v>1617</v>
      </c>
      <c r="X362" s="286" t="s">
        <v>1589</v>
      </c>
      <c r="Y362" s="286" t="s">
        <v>1617</v>
      </c>
      <c r="Z362" s="286" t="s">
        <v>1589</v>
      </c>
      <c r="AA362" s="286" t="s">
        <v>1588</v>
      </c>
      <c r="AB362" s="286" t="s">
        <v>1617</v>
      </c>
      <c r="AC362" s="286" t="s">
        <v>1587</v>
      </c>
      <c r="AD362" s="286" t="s">
        <v>1588</v>
      </c>
      <c r="AE362" s="286" t="s">
        <v>1589</v>
      </c>
      <c r="AF362" s="286" t="s">
        <v>1617</v>
      </c>
      <c r="AG362" s="283">
        <v>16</v>
      </c>
      <c r="AH362" s="287" t="s">
        <v>23</v>
      </c>
      <c r="AI362" s="272"/>
      <c r="AJ362" s="288" t="s">
        <v>2032</v>
      </c>
      <c r="AK362" s="288" t="s">
        <v>2032</v>
      </c>
      <c r="AL362" s="288" t="s">
        <v>2032</v>
      </c>
      <c r="AM362" s="288" t="s">
        <v>2032</v>
      </c>
      <c r="AN362" s="288" t="s">
        <v>2032</v>
      </c>
      <c r="AO362" s="288" t="s">
        <v>2032</v>
      </c>
      <c r="AP362" s="288" t="s">
        <v>2032</v>
      </c>
      <c r="AQ362" s="288" t="s">
        <v>2032</v>
      </c>
      <c r="AR362" s="288" t="s">
        <v>2032</v>
      </c>
      <c r="AS362" s="288" t="s">
        <v>2032</v>
      </c>
      <c r="AT362" s="288" t="s">
        <v>2032</v>
      </c>
      <c r="AU362" s="288" t="s">
        <v>2032</v>
      </c>
      <c r="AV362" s="288" t="s">
        <v>2032</v>
      </c>
      <c r="AW362" s="288" t="s">
        <v>2032</v>
      </c>
      <c r="AX362" s="288" t="s">
        <v>2032</v>
      </c>
      <c r="AY362" s="288" t="s">
        <v>2032</v>
      </c>
      <c r="AZ362" s="288" t="s">
        <v>2032</v>
      </c>
      <c r="BA362" s="288" t="s">
        <v>2032</v>
      </c>
      <c r="BB362" s="288" t="s">
        <v>2032</v>
      </c>
      <c r="BC362" s="288" t="s">
        <v>2032</v>
      </c>
      <c r="BD362" s="289">
        <f t="shared" si="1"/>
        <v>0</v>
      </c>
      <c r="BE362" s="287"/>
      <c r="BF362" s="272"/>
    </row>
    <row r="363" spans="1:58" ht="14.25" customHeight="1" x14ac:dyDescent="0.35">
      <c r="A363" s="68">
        <v>361</v>
      </c>
      <c r="B363" s="24" t="s">
        <v>206</v>
      </c>
      <c r="C363" s="24">
        <v>2024</v>
      </c>
      <c r="D363" s="24" t="s">
        <v>1541</v>
      </c>
      <c r="E363" s="269" t="str">
        <f ca="1">IFERROR(__xludf.DUMMYFUNCTION("ARRAYFORMULA(JOIN("""", ARRAYFORMULA(MID(SPLIT(F363, "" ""), 1, 1))))
&amp;""/""&amp;G363"),"MQ/2 Primaria")</f>
        <v>MQ/2 Primaria</v>
      </c>
      <c r="F363" s="24" t="s">
        <v>1751</v>
      </c>
      <c r="G363" s="248" t="s">
        <v>45</v>
      </c>
      <c r="H363" s="248" t="s">
        <v>1958</v>
      </c>
      <c r="I363" s="248" t="s">
        <v>1612</v>
      </c>
      <c r="J363" s="248" t="s">
        <v>1959</v>
      </c>
      <c r="K363" s="248" t="s">
        <v>1593</v>
      </c>
      <c r="L363" s="272"/>
      <c r="M363" s="286" t="s">
        <v>1753</v>
      </c>
      <c r="N363" s="286" t="s">
        <v>1753</v>
      </c>
      <c r="O363" s="286" t="s">
        <v>1754</v>
      </c>
      <c r="P363" s="286" t="s">
        <v>1588</v>
      </c>
      <c r="Q363" s="286" t="s">
        <v>1754</v>
      </c>
      <c r="R363" s="286" t="s">
        <v>1588</v>
      </c>
      <c r="S363" s="286" t="s">
        <v>1754</v>
      </c>
      <c r="T363" s="286" t="s">
        <v>1588</v>
      </c>
      <c r="U363" s="286" t="s">
        <v>1588</v>
      </c>
      <c r="V363" s="286" t="s">
        <v>1754</v>
      </c>
      <c r="W363" s="286" t="s">
        <v>1588</v>
      </c>
      <c r="X363" s="286" t="s">
        <v>1754</v>
      </c>
      <c r="Y363" s="286" t="s">
        <v>1754</v>
      </c>
      <c r="Z363" s="286" t="s">
        <v>1753</v>
      </c>
      <c r="AA363" s="286" t="s">
        <v>1754</v>
      </c>
      <c r="AB363" s="286" t="s">
        <v>1753</v>
      </c>
      <c r="AC363" s="286" t="s">
        <v>1588</v>
      </c>
      <c r="AD363" s="286" t="s">
        <v>1754</v>
      </c>
      <c r="AE363" s="286" t="s">
        <v>1754</v>
      </c>
      <c r="AF363" s="286" t="s">
        <v>1588</v>
      </c>
      <c r="AG363" s="283">
        <v>11</v>
      </c>
      <c r="AH363" s="287" t="s">
        <v>23</v>
      </c>
      <c r="AI363" s="272"/>
      <c r="AJ363" s="288" t="s">
        <v>2032</v>
      </c>
      <c r="AK363" s="288" t="s">
        <v>2032</v>
      </c>
      <c r="AL363" s="288" t="s">
        <v>2032</v>
      </c>
      <c r="AM363" s="288" t="s">
        <v>2032</v>
      </c>
      <c r="AN363" s="288" t="s">
        <v>2032</v>
      </c>
      <c r="AO363" s="288" t="s">
        <v>2032</v>
      </c>
      <c r="AP363" s="288" t="s">
        <v>2032</v>
      </c>
      <c r="AQ363" s="288" t="s">
        <v>2032</v>
      </c>
      <c r="AR363" s="288" t="s">
        <v>2032</v>
      </c>
      <c r="AS363" s="288" t="s">
        <v>2032</v>
      </c>
      <c r="AT363" s="288" t="s">
        <v>2032</v>
      </c>
      <c r="AU363" s="288" t="s">
        <v>2032</v>
      </c>
      <c r="AV363" s="288" t="s">
        <v>2032</v>
      </c>
      <c r="AW363" s="288" t="s">
        <v>2032</v>
      </c>
      <c r="AX363" s="288" t="s">
        <v>2032</v>
      </c>
      <c r="AY363" s="288" t="s">
        <v>2032</v>
      </c>
      <c r="AZ363" s="288" t="s">
        <v>2032</v>
      </c>
      <c r="BA363" s="288" t="s">
        <v>2032</v>
      </c>
      <c r="BB363" s="288" t="s">
        <v>2032</v>
      </c>
      <c r="BC363" s="288" t="s">
        <v>2032</v>
      </c>
      <c r="BD363" s="289">
        <f t="shared" si="1"/>
        <v>0</v>
      </c>
      <c r="BE363" s="287"/>
      <c r="BF363" s="272"/>
    </row>
    <row r="364" spans="1:58" ht="14.25" customHeight="1" x14ac:dyDescent="0.35">
      <c r="A364" s="68">
        <v>362</v>
      </c>
      <c r="B364" s="24" t="s">
        <v>206</v>
      </c>
      <c r="C364" s="24">
        <v>2024</v>
      </c>
      <c r="D364" s="24" t="s">
        <v>1745</v>
      </c>
      <c r="E364" s="269" t="str">
        <f ca="1">IFERROR(__xludf.DUMMYFUNCTION("ARRAYFORMULA(JOIN("""", ARRAYFORMULA(MID(SPLIT(F364, "" ""), 1, 1))))
&amp;""/""&amp;G364"),"CLQ/2 Primaria")</f>
        <v>CLQ/2 Primaria</v>
      </c>
      <c r="F364" s="24" t="s">
        <v>1755</v>
      </c>
      <c r="G364" s="248" t="s">
        <v>45</v>
      </c>
      <c r="H364" s="248" t="s">
        <v>1958</v>
      </c>
      <c r="I364" s="248" t="s">
        <v>1612</v>
      </c>
      <c r="J364" s="248" t="s">
        <v>1959</v>
      </c>
      <c r="K364" s="248" t="s">
        <v>1593</v>
      </c>
      <c r="L364" s="272"/>
      <c r="M364" s="286" t="s">
        <v>1588</v>
      </c>
      <c r="N364" s="286" t="s">
        <v>1588</v>
      </c>
      <c r="O364" s="286" t="s">
        <v>1753</v>
      </c>
      <c r="P364" s="286" t="s">
        <v>1588</v>
      </c>
      <c r="Q364" s="286" t="s">
        <v>1753</v>
      </c>
      <c r="R364" s="286" t="s">
        <v>1588</v>
      </c>
      <c r="S364" s="286" t="s">
        <v>1754</v>
      </c>
      <c r="T364" s="286" t="s">
        <v>1588</v>
      </c>
      <c r="U364" s="286" t="s">
        <v>1753</v>
      </c>
      <c r="V364" s="286" t="s">
        <v>1754</v>
      </c>
      <c r="W364" s="286" t="s">
        <v>1588</v>
      </c>
      <c r="X364" s="286" t="s">
        <v>1753</v>
      </c>
      <c r="Y364" s="286" t="s">
        <v>1588</v>
      </c>
      <c r="Z364" s="286" t="s">
        <v>1588</v>
      </c>
      <c r="AA364" s="286" t="s">
        <v>1754</v>
      </c>
      <c r="AB364" s="286" t="s">
        <v>1753</v>
      </c>
      <c r="AC364" s="286" t="s">
        <v>1588</v>
      </c>
      <c r="AD364" s="286" t="s">
        <v>1754</v>
      </c>
      <c r="AE364" s="286" t="s">
        <v>1754</v>
      </c>
      <c r="AF364" s="286" t="s">
        <v>1754</v>
      </c>
      <c r="AG364" s="283">
        <v>10</v>
      </c>
      <c r="AH364" s="287" t="s">
        <v>19</v>
      </c>
      <c r="AI364" s="272"/>
      <c r="AJ364" s="288" t="s">
        <v>2032</v>
      </c>
      <c r="AK364" s="288" t="s">
        <v>2032</v>
      </c>
      <c r="AL364" s="288" t="s">
        <v>2032</v>
      </c>
      <c r="AM364" s="288" t="s">
        <v>2032</v>
      </c>
      <c r="AN364" s="288" t="s">
        <v>2032</v>
      </c>
      <c r="AO364" s="288" t="s">
        <v>2032</v>
      </c>
      <c r="AP364" s="288" t="s">
        <v>2032</v>
      </c>
      <c r="AQ364" s="288" t="s">
        <v>2032</v>
      </c>
      <c r="AR364" s="288" t="s">
        <v>2032</v>
      </c>
      <c r="AS364" s="288" t="s">
        <v>2032</v>
      </c>
      <c r="AT364" s="288" t="s">
        <v>2032</v>
      </c>
      <c r="AU364" s="288" t="s">
        <v>2032</v>
      </c>
      <c r="AV364" s="288" t="s">
        <v>2032</v>
      </c>
      <c r="AW364" s="288" t="s">
        <v>2032</v>
      </c>
      <c r="AX364" s="288" t="s">
        <v>2032</v>
      </c>
      <c r="AY364" s="288" t="s">
        <v>2032</v>
      </c>
      <c r="AZ364" s="288" t="s">
        <v>2032</v>
      </c>
      <c r="BA364" s="288" t="s">
        <v>2032</v>
      </c>
      <c r="BB364" s="288" t="s">
        <v>2032</v>
      </c>
      <c r="BC364" s="288" t="s">
        <v>2032</v>
      </c>
      <c r="BD364" s="289">
        <f t="shared" si="1"/>
        <v>0</v>
      </c>
      <c r="BE364" s="287"/>
      <c r="BF364" s="272"/>
    </row>
    <row r="365" spans="1:58" ht="14.25" customHeight="1" x14ac:dyDescent="0.35">
      <c r="A365" s="68">
        <v>363</v>
      </c>
      <c r="B365" s="24" t="s">
        <v>206</v>
      </c>
      <c r="C365" s="24">
        <v>2024</v>
      </c>
      <c r="D365" s="24" t="s">
        <v>1541</v>
      </c>
      <c r="E365" s="269" t="str">
        <f ca="1">IFERROR(__xludf.DUMMYFUNCTION("ARRAYFORMULA(JOIN("""", ARRAYFORMULA(MID(SPLIT(F365, "" ""), 1, 1))))
&amp;""/""&amp;G365"),"MQ/4 Primaria")</f>
        <v>MQ/4 Primaria</v>
      </c>
      <c r="F365" s="24" t="s">
        <v>1751</v>
      </c>
      <c r="G365" s="248" t="s">
        <v>16</v>
      </c>
      <c r="H365" s="248" t="s">
        <v>1890</v>
      </c>
      <c r="I365" s="248" t="s">
        <v>1960</v>
      </c>
      <c r="J365" s="248" t="s">
        <v>1961</v>
      </c>
      <c r="K365" s="248" t="s">
        <v>1593</v>
      </c>
      <c r="L365" s="272"/>
      <c r="M365" s="286" t="s">
        <v>1587</v>
      </c>
      <c r="N365" s="286" t="s">
        <v>1587</v>
      </c>
      <c r="O365" s="286" t="s">
        <v>1617</v>
      </c>
      <c r="P365" s="286" t="s">
        <v>1617</v>
      </c>
      <c r="Q365" s="286" t="s">
        <v>1589</v>
      </c>
      <c r="R365" s="286" t="s">
        <v>1617</v>
      </c>
      <c r="S365" s="286" t="s">
        <v>1589</v>
      </c>
      <c r="T365" s="286" t="s">
        <v>1589</v>
      </c>
      <c r="U365" s="286" t="s">
        <v>1587</v>
      </c>
      <c r="V365" s="286" t="s">
        <v>1588</v>
      </c>
      <c r="W365" s="286" t="s">
        <v>1587</v>
      </c>
      <c r="X365" s="286" t="s">
        <v>1588</v>
      </c>
      <c r="Y365" s="286" t="s">
        <v>1589</v>
      </c>
      <c r="Z365" s="286" t="s">
        <v>1587</v>
      </c>
      <c r="AA365" s="286" t="s">
        <v>1588</v>
      </c>
      <c r="AB365" s="286" t="s">
        <v>1587</v>
      </c>
      <c r="AC365" s="286" t="s">
        <v>1617</v>
      </c>
      <c r="AD365" s="286" t="s">
        <v>1587</v>
      </c>
      <c r="AE365" s="286" t="s">
        <v>1617</v>
      </c>
      <c r="AF365" s="286" t="s">
        <v>1587</v>
      </c>
      <c r="AG365" s="283">
        <v>7</v>
      </c>
      <c r="AH365" s="287" t="s">
        <v>19</v>
      </c>
      <c r="AI365" s="272"/>
      <c r="AJ365" s="288" t="s">
        <v>2032</v>
      </c>
      <c r="AK365" s="288" t="s">
        <v>2032</v>
      </c>
      <c r="AL365" s="288" t="s">
        <v>2032</v>
      </c>
      <c r="AM365" s="288" t="s">
        <v>2032</v>
      </c>
      <c r="AN365" s="288" t="s">
        <v>2032</v>
      </c>
      <c r="AO365" s="288" t="s">
        <v>2032</v>
      </c>
      <c r="AP365" s="288" t="s">
        <v>2032</v>
      </c>
      <c r="AQ365" s="288" t="s">
        <v>2032</v>
      </c>
      <c r="AR365" s="288" t="s">
        <v>2032</v>
      </c>
      <c r="AS365" s="288" t="s">
        <v>2032</v>
      </c>
      <c r="AT365" s="288" t="s">
        <v>2032</v>
      </c>
      <c r="AU365" s="288" t="s">
        <v>2032</v>
      </c>
      <c r="AV365" s="288" t="s">
        <v>2032</v>
      </c>
      <c r="AW365" s="288" t="s">
        <v>2032</v>
      </c>
      <c r="AX365" s="288" t="s">
        <v>2032</v>
      </c>
      <c r="AY365" s="288" t="s">
        <v>2032</v>
      </c>
      <c r="AZ365" s="288" t="s">
        <v>2032</v>
      </c>
      <c r="BA365" s="288" t="s">
        <v>2032</v>
      </c>
      <c r="BB365" s="288" t="s">
        <v>2032</v>
      </c>
      <c r="BC365" s="288" t="s">
        <v>2032</v>
      </c>
      <c r="BD365" s="289">
        <f t="shared" si="1"/>
        <v>0</v>
      </c>
      <c r="BE365" s="287"/>
      <c r="BF365" s="272"/>
    </row>
    <row r="366" spans="1:58" ht="14.25" customHeight="1" x14ac:dyDescent="0.35">
      <c r="A366" s="68">
        <v>364</v>
      </c>
      <c r="B366" s="24" t="s">
        <v>206</v>
      </c>
      <c r="C366" s="24">
        <v>2024</v>
      </c>
      <c r="D366" s="24" t="s">
        <v>1745</v>
      </c>
      <c r="E366" s="269" t="str">
        <f ca="1">IFERROR(__xludf.DUMMYFUNCTION("ARRAYFORMULA(JOIN("""", ARRAYFORMULA(MID(SPLIT(F366, "" ""), 1, 1))))
&amp;""/""&amp;G366"),"CLQ/4 Primaria")</f>
        <v>CLQ/4 Primaria</v>
      </c>
      <c r="F366" s="24" t="s">
        <v>1755</v>
      </c>
      <c r="G366" s="248" t="s">
        <v>16</v>
      </c>
      <c r="H366" s="248" t="s">
        <v>1890</v>
      </c>
      <c r="I366" s="248" t="s">
        <v>1960</v>
      </c>
      <c r="J366" s="248" t="s">
        <v>1961</v>
      </c>
      <c r="K366" s="248" t="s">
        <v>1593</v>
      </c>
      <c r="L366" s="272"/>
      <c r="M366" s="286" t="s">
        <v>1587</v>
      </c>
      <c r="N366" s="286" t="s">
        <v>1588</v>
      </c>
      <c r="O366" s="286" t="s">
        <v>1588</v>
      </c>
      <c r="P366" s="286" t="s">
        <v>1587</v>
      </c>
      <c r="Q366" s="286" t="s">
        <v>1589</v>
      </c>
      <c r="R366" s="286" t="s">
        <v>1589</v>
      </c>
      <c r="S366" s="286" t="s">
        <v>1588</v>
      </c>
      <c r="T366" s="286" t="s">
        <v>1588</v>
      </c>
      <c r="U366" s="286" t="s">
        <v>1617</v>
      </c>
      <c r="V366" s="286" t="s">
        <v>1589</v>
      </c>
      <c r="W366" s="286" t="s">
        <v>1588</v>
      </c>
      <c r="X366" s="286" t="s">
        <v>1589</v>
      </c>
      <c r="Y366" s="286" t="s">
        <v>1587</v>
      </c>
      <c r="Z366" s="286" t="s">
        <v>1587</v>
      </c>
      <c r="AA366" s="286" t="s">
        <v>1589</v>
      </c>
      <c r="AB366" s="286" t="s">
        <v>1589</v>
      </c>
      <c r="AC366" s="286" t="s">
        <v>1589</v>
      </c>
      <c r="AD366" s="286" t="s">
        <v>1588</v>
      </c>
      <c r="AE366" s="286" t="s">
        <v>1587</v>
      </c>
      <c r="AF366" s="286" t="s">
        <v>1587</v>
      </c>
      <c r="AG366" s="283">
        <v>13</v>
      </c>
      <c r="AH366" s="287" t="s">
        <v>23</v>
      </c>
      <c r="AI366" s="272"/>
      <c r="AJ366" s="288" t="s">
        <v>2032</v>
      </c>
      <c r="AK366" s="288" t="s">
        <v>2032</v>
      </c>
      <c r="AL366" s="288" t="s">
        <v>2032</v>
      </c>
      <c r="AM366" s="288" t="s">
        <v>2032</v>
      </c>
      <c r="AN366" s="288" t="s">
        <v>2032</v>
      </c>
      <c r="AO366" s="288" t="s">
        <v>2032</v>
      </c>
      <c r="AP366" s="288" t="s">
        <v>2032</v>
      </c>
      <c r="AQ366" s="288" t="s">
        <v>2032</v>
      </c>
      <c r="AR366" s="288" t="s">
        <v>2032</v>
      </c>
      <c r="AS366" s="288" t="s">
        <v>2032</v>
      </c>
      <c r="AT366" s="288" t="s">
        <v>2032</v>
      </c>
      <c r="AU366" s="288" t="s">
        <v>2032</v>
      </c>
      <c r="AV366" s="288" t="s">
        <v>2032</v>
      </c>
      <c r="AW366" s="288" t="s">
        <v>2032</v>
      </c>
      <c r="AX366" s="288" t="s">
        <v>2032</v>
      </c>
      <c r="AY366" s="288" t="s">
        <v>2032</v>
      </c>
      <c r="AZ366" s="288" t="s">
        <v>2032</v>
      </c>
      <c r="BA366" s="288" t="s">
        <v>2032</v>
      </c>
      <c r="BB366" s="288" t="s">
        <v>2032</v>
      </c>
      <c r="BC366" s="288" t="s">
        <v>2032</v>
      </c>
      <c r="BD366" s="289">
        <f t="shared" si="1"/>
        <v>0</v>
      </c>
      <c r="BE366" s="287"/>
      <c r="BF366" s="272"/>
    </row>
    <row r="367" spans="1:58" ht="14.25" customHeight="1" x14ac:dyDescent="0.35">
      <c r="A367" s="68">
        <v>365</v>
      </c>
      <c r="B367" s="24" t="s">
        <v>206</v>
      </c>
      <c r="C367" s="24">
        <v>2024</v>
      </c>
      <c r="D367" s="24" t="s">
        <v>1541</v>
      </c>
      <c r="E367" s="269" t="str">
        <f ca="1">IFERROR(__xludf.DUMMYFUNCTION("ARRAYFORMULA(JOIN("""", ARRAYFORMULA(MID(SPLIT(F367, "" ""), 1, 1))))
&amp;""/""&amp;G367"),"MQ/4 Primaria")</f>
        <v>MQ/4 Primaria</v>
      </c>
      <c r="F367" s="24" t="s">
        <v>1751</v>
      </c>
      <c r="G367" s="248" t="s">
        <v>16</v>
      </c>
      <c r="H367" s="248" t="s">
        <v>1612</v>
      </c>
      <c r="I367" s="248" t="s">
        <v>1803</v>
      </c>
      <c r="J367" s="248" t="s">
        <v>1962</v>
      </c>
      <c r="K367" s="248" t="s">
        <v>1593</v>
      </c>
      <c r="L367" s="272"/>
      <c r="M367" s="286" t="s">
        <v>1617</v>
      </c>
      <c r="N367" s="286" t="s">
        <v>1589</v>
      </c>
      <c r="O367" s="286" t="s">
        <v>1617</v>
      </c>
      <c r="P367" s="286" t="s">
        <v>1617</v>
      </c>
      <c r="Q367" s="286" t="s">
        <v>1589</v>
      </c>
      <c r="R367" s="286" t="s">
        <v>1588</v>
      </c>
      <c r="S367" s="286" t="s">
        <v>1589</v>
      </c>
      <c r="T367" s="286" t="s">
        <v>1617</v>
      </c>
      <c r="U367" s="286" t="s">
        <v>1587</v>
      </c>
      <c r="V367" s="286" t="s">
        <v>1588</v>
      </c>
      <c r="W367" s="286" t="s">
        <v>1617</v>
      </c>
      <c r="X367" s="286" t="s">
        <v>1588</v>
      </c>
      <c r="Y367" s="286" t="s">
        <v>1589</v>
      </c>
      <c r="Z367" s="286" t="s">
        <v>1587</v>
      </c>
      <c r="AA367" s="286" t="s">
        <v>1617</v>
      </c>
      <c r="AB367" s="286" t="s">
        <v>1588</v>
      </c>
      <c r="AC367" s="286" t="s">
        <v>1617</v>
      </c>
      <c r="AD367" s="286" t="s">
        <v>1589</v>
      </c>
      <c r="AE367" s="286" t="s">
        <v>1588</v>
      </c>
      <c r="AF367" s="286" t="s">
        <v>1588</v>
      </c>
      <c r="AG367" s="283">
        <v>10</v>
      </c>
      <c r="AH367" s="287" t="s">
        <v>19</v>
      </c>
      <c r="AI367" s="272"/>
      <c r="AJ367" s="288" t="s">
        <v>2032</v>
      </c>
      <c r="AK367" s="288" t="s">
        <v>2032</v>
      </c>
      <c r="AL367" s="288" t="s">
        <v>2032</v>
      </c>
      <c r="AM367" s="288" t="s">
        <v>2032</v>
      </c>
      <c r="AN367" s="288" t="s">
        <v>2032</v>
      </c>
      <c r="AO367" s="288" t="s">
        <v>2032</v>
      </c>
      <c r="AP367" s="288" t="s">
        <v>2032</v>
      </c>
      <c r="AQ367" s="288" t="s">
        <v>2032</v>
      </c>
      <c r="AR367" s="288" t="s">
        <v>2032</v>
      </c>
      <c r="AS367" s="288" t="s">
        <v>2032</v>
      </c>
      <c r="AT367" s="288" t="s">
        <v>2032</v>
      </c>
      <c r="AU367" s="288" t="s">
        <v>2032</v>
      </c>
      <c r="AV367" s="288" t="s">
        <v>2032</v>
      </c>
      <c r="AW367" s="288" t="s">
        <v>2032</v>
      </c>
      <c r="AX367" s="288" t="s">
        <v>2032</v>
      </c>
      <c r="AY367" s="288" t="s">
        <v>2032</v>
      </c>
      <c r="AZ367" s="288" t="s">
        <v>2032</v>
      </c>
      <c r="BA367" s="288" t="s">
        <v>2032</v>
      </c>
      <c r="BB367" s="288" t="s">
        <v>2032</v>
      </c>
      <c r="BC367" s="288" t="s">
        <v>2032</v>
      </c>
      <c r="BD367" s="289">
        <f t="shared" si="1"/>
        <v>0</v>
      </c>
      <c r="BE367" s="287"/>
      <c r="BF367" s="272"/>
    </row>
    <row r="368" spans="1:58" ht="14.25" customHeight="1" x14ac:dyDescent="0.35">
      <c r="A368" s="68">
        <v>366</v>
      </c>
      <c r="B368" s="24" t="s">
        <v>206</v>
      </c>
      <c r="C368" s="24">
        <v>2024</v>
      </c>
      <c r="D368" s="24" t="s">
        <v>1745</v>
      </c>
      <c r="E368" s="269" t="str">
        <f ca="1">IFERROR(__xludf.DUMMYFUNCTION("ARRAYFORMULA(JOIN("""", ARRAYFORMULA(MID(SPLIT(F368, "" ""), 1, 1))))
&amp;""/""&amp;G368"),"CLQ/4 Primaria")</f>
        <v>CLQ/4 Primaria</v>
      </c>
      <c r="F368" s="24" t="s">
        <v>1755</v>
      </c>
      <c r="G368" s="248" t="s">
        <v>16</v>
      </c>
      <c r="H368" s="248" t="s">
        <v>1612</v>
      </c>
      <c r="I368" s="248" t="s">
        <v>1803</v>
      </c>
      <c r="J368" s="248" t="s">
        <v>1962</v>
      </c>
      <c r="K368" s="248" t="s">
        <v>1593</v>
      </c>
      <c r="L368" s="272"/>
      <c r="M368" s="286" t="s">
        <v>1587</v>
      </c>
      <c r="N368" s="286" t="s">
        <v>1588</v>
      </c>
      <c r="O368" s="286" t="s">
        <v>1588</v>
      </c>
      <c r="P368" s="286" t="s">
        <v>1587</v>
      </c>
      <c r="Q368" s="286" t="s">
        <v>1589</v>
      </c>
      <c r="R368" s="286" t="s">
        <v>1588</v>
      </c>
      <c r="S368" s="286" t="s">
        <v>1588</v>
      </c>
      <c r="T368" s="286" t="s">
        <v>1589</v>
      </c>
      <c r="U368" s="286" t="s">
        <v>1617</v>
      </c>
      <c r="V368" s="286" t="s">
        <v>1589</v>
      </c>
      <c r="W368" s="286" t="s">
        <v>1617</v>
      </c>
      <c r="X368" s="286" t="s">
        <v>1588</v>
      </c>
      <c r="Y368" s="286" t="s">
        <v>1587</v>
      </c>
      <c r="Z368" s="286" t="s">
        <v>1587</v>
      </c>
      <c r="AA368" s="286" t="s">
        <v>1589</v>
      </c>
      <c r="AB368" s="286" t="s">
        <v>1589</v>
      </c>
      <c r="AC368" s="286" t="s">
        <v>1589</v>
      </c>
      <c r="AD368" s="286" t="s">
        <v>1587</v>
      </c>
      <c r="AE368" s="286" t="s">
        <v>1587</v>
      </c>
      <c r="AF368" s="286" t="s">
        <v>1617</v>
      </c>
      <c r="AG368" s="283">
        <v>18</v>
      </c>
      <c r="AH368" s="287" t="s">
        <v>25</v>
      </c>
      <c r="AI368" s="272"/>
      <c r="AJ368" s="288" t="s">
        <v>2032</v>
      </c>
      <c r="AK368" s="288" t="s">
        <v>2032</v>
      </c>
      <c r="AL368" s="288" t="s">
        <v>2032</v>
      </c>
      <c r="AM368" s="288" t="s">
        <v>2032</v>
      </c>
      <c r="AN368" s="288" t="s">
        <v>2032</v>
      </c>
      <c r="AO368" s="288" t="s">
        <v>2032</v>
      </c>
      <c r="AP368" s="288" t="s">
        <v>2032</v>
      </c>
      <c r="AQ368" s="288" t="s">
        <v>2032</v>
      </c>
      <c r="AR368" s="288" t="s">
        <v>2032</v>
      </c>
      <c r="AS368" s="288" t="s">
        <v>2032</v>
      </c>
      <c r="AT368" s="288" t="s">
        <v>2032</v>
      </c>
      <c r="AU368" s="288" t="s">
        <v>2032</v>
      </c>
      <c r="AV368" s="288" t="s">
        <v>2032</v>
      </c>
      <c r="AW368" s="288" t="s">
        <v>2032</v>
      </c>
      <c r="AX368" s="288" t="s">
        <v>2032</v>
      </c>
      <c r="AY368" s="288" t="s">
        <v>2032</v>
      </c>
      <c r="AZ368" s="288" t="s">
        <v>2032</v>
      </c>
      <c r="BA368" s="288" t="s">
        <v>2032</v>
      </c>
      <c r="BB368" s="288" t="s">
        <v>2032</v>
      </c>
      <c r="BC368" s="288" t="s">
        <v>2032</v>
      </c>
      <c r="BD368" s="289">
        <f t="shared" si="1"/>
        <v>0</v>
      </c>
      <c r="BE368" s="287"/>
      <c r="BF368" s="272"/>
    </row>
    <row r="369" spans="1:58" ht="14.25" customHeight="1" x14ac:dyDescent="0.35">
      <c r="A369" s="68">
        <v>367</v>
      </c>
      <c r="B369" s="24" t="s">
        <v>206</v>
      </c>
      <c r="C369" s="24">
        <v>2024</v>
      </c>
      <c r="D369" s="24" t="s">
        <v>1541</v>
      </c>
      <c r="E369" s="269" t="str">
        <f ca="1">IFERROR(__xludf.DUMMYFUNCTION("ARRAYFORMULA(JOIN("""", ARRAYFORMULA(MID(SPLIT(F369, "" ""), 1, 1))))
&amp;""/""&amp;G369"),"MQ/4 Primaria")</f>
        <v>MQ/4 Primaria</v>
      </c>
      <c r="F369" s="24" t="s">
        <v>1751</v>
      </c>
      <c r="G369" s="248" t="s">
        <v>16</v>
      </c>
      <c r="H369" s="248" t="s">
        <v>1612</v>
      </c>
      <c r="I369" s="248" t="s">
        <v>1612</v>
      </c>
      <c r="J369" s="248" t="s">
        <v>1787</v>
      </c>
      <c r="K369" s="248" t="s">
        <v>1593</v>
      </c>
      <c r="L369" s="272"/>
      <c r="M369" s="286" t="s">
        <v>1587</v>
      </c>
      <c r="N369" s="286" t="s">
        <v>1589</v>
      </c>
      <c r="O369" s="286" t="s">
        <v>1617</v>
      </c>
      <c r="P369" s="286" t="s">
        <v>1589</v>
      </c>
      <c r="Q369" s="286" t="s">
        <v>1617</v>
      </c>
      <c r="R369" s="286" t="s">
        <v>1617</v>
      </c>
      <c r="S369" s="286" t="s">
        <v>1588</v>
      </c>
      <c r="T369" s="286" t="s">
        <v>1589</v>
      </c>
      <c r="U369" s="286"/>
      <c r="V369" s="286"/>
      <c r="W369" s="286"/>
      <c r="X369" s="286" t="s">
        <v>1588</v>
      </c>
      <c r="Y369" s="286" t="s">
        <v>1588</v>
      </c>
      <c r="Z369" s="286" t="s">
        <v>1589</v>
      </c>
      <c r="AA369" s="286" t="s">
        <v>1588</v>
      </c>
      <c r="AB369" s="286" t="s">
        <v>1589</v>
      </c>
      <c r="AC369" s="286" t="s">
        <v>1589</v>
      </c>
      <c r="AD369" s="286" t="s">
        <v>1589</v>
      </c>
      <c r="AE369" s="286" t="s">
        <v>1588</v>
      </c>
      <c r="AF369" s="286" t="s">
        <v>1587</v>
      </c>
      <c r="AG369" s="283">
        <v>7</v>
      </c>
      <c r="AH369" s="287" t="s">
        <v>19</v>
      </c>
      <c r="AI369" s="272"/>
      <c r="AJ369" s="288" t="s">
        <v>2032</v>
      </c>
      <c r="AK369" s="288" t="s">
        <v>2032</v>
      </c>
      <c r="AL369" s="288" t="s">
        <v>2032</v>
      </c>
      <c r="AM369" s="288" t="s">
        <v>2032</v>
      </c>
      <c r="AN369" s="288" t="s">
        <v>2032</v>
      </c>
      <c r="AO369" s="288" t="s">
        <v>2032</v>
      </c>
      <c r="AP369" s="288" t="s">
        <v>2032</v>
      </c>
      <c r="AQ369" s="288" t="s">
        <v>2032</v>
      </c>
      <c r="AR369" s="288" t="s">
        <v>2032</v>
      </c>
      <c r="AS369" s="288" t="s">
        <v>2032</v>
      </c>
      <c r="AT369" s="288" t="s">
        <v>2032</v>
      </c>
      <c r="AU369" s="288" t="s">
        <v>2032</v>
      </c>
      <c r="AV369" s="288" t="s">
        <v>2032</v>
      </c>
      <c r="AW369" s="288" t="s">
        <v>2032</v>
      </c>
      <c r="AX369" s="288" t="s">
        <v>2032</v>
      </c>
      <c r="AY369" s="288" t="s">
        <v>2032</v>
      </c>
      <c r="AZ369" s="288" t="s">
        <v>2032</v>
      </c>
      <c r="BA369" s="288" t="s">
        <v>2032</v>
      </c>
      <c r="BB369" s="288" t="s">
        <v>2032</v>
      </c>
      <c r="BC369" s="288" t="s">
        <v>2032</v>
      </c>
      <c r="BD369" s="289">
        <f t="shared" si="1"/>
        <v>0</v>
      </c>
      <c r="BE369" s="287"/>
      <c r="BF369" s="272"/>
    </row>
    <row r="370" spans="1:58" ht="14.25" customHeight="1" x14ac:dyDescent="0.35">
      <c r="A370" s="68">
        <v>368</v>
      </c>
      <c r="B370" s="24" t="s">
        <v>206</v>
      </c>
      <c r="C370" s="24">
        <v>2024</v>
      </c>
      <c r="D370" s="24" t="s">
        <v>1745</v>
      </c>
      <c r="E370" s="269" t="str">
        <f ca="1">IFERROR(__xludf.DUMMYFUNCTION("ARRAYFORMULA(JOIN("""", ARRAYFORMULA(MID(SPLIT(F370, "" ""), 1, 1))))
&amp;""/""&amp;G370"),"CLQ/4 Primaria")</f>
        <v>CLQ/4 Primaria</v>
      </c>
      <c r="F370" s="24" t="s">
        <v>1755</v>
      </c>
      <c r="G370" s="248" t="s">
        <v>16</v>
      </c>
      <c r="H370" s="248" t="s">
        <v>1612</v>
      </c>
      <c r="I370" s="248" t="s">
        <v>1612</v>
      </c>
      <c r="J370" s="248" t="s">
        <v>1787</v>
      </c>
      <c r="K370" s="248" t="s">
        <v>1586</v>
      </c>
      <c r="L370" s="272"/>
      <c r="M370" s="286" t="s">
        <v>1587</v>
      </c>
      <c r="N370" s="286" t="s">
        <v>1617</v>
      </c>
      <c r="O370" s="286" t="s">
        <v>1588</v>
      </c>
      <c r="P370" s="286" t="s">
        <v>1617</v>
      </c>
      <c r="Q370" s="286" t="s">
        <v>1617</v>
      </c>
      <c r="R370" s="286" t="s">
        <v>1589</v>
      </c>
      <c r="S370" s="286" t="s">
        <v>1587</v>
      </c>
      <c r="T370" s="286" t="s">
        <v>1589</v>
      </c>
      <c r="U370" s="286" t="s">
        <v>1589</v>
      </c>
      <c r="V370" s="286" t="s">
        <v>1589</v>
      </c>
      <c r="W370" s="286" t="s">
        <v>1588</v>
      </c>
      <c r="X370" s="286" t="s">
        <v>1588</v>
      </c>
      <c r="Y370" s="286" t="s">
        <v>1588</v>
      </c>
      <c r="Z370" s="286" t="s">
        <v>1617</v>
      </c>
      <c r="AA370" s="286" t="s">
        <v>1617</v>
      </c>
      <c r="AB370" s="286" t="s">
        <v>1617</v>
      </c>
      <c r="AC370" s="286" t="s">
        <v>1617</v>
      </c>
      <c r="AD370" s="286" t="s">
        <v>1589</v>
      </c>
      <c r="AE370" s="286" t="s">
        <v>1589</v>
      </c>
      <c r="AF370" s="286" t="s">
        <v>1588</v>
      </c>
      <c r="AG370" s="283">
        <v>4</v>
      </c>
      <c r="AH370" s="287" t="s">
        <v>19</v>
      </c>
      <c r="AI370" s="272"/>
      <c r="AJ370" s="288" t="s">
        <v>2032</v>
      </c>
      <c r="AK370" s="288" t="s">
        <v>2032</v>
      </c>
      <c r="AL370" s="288" t="s">
        <v>2032</v>
      </c>
      <c r="AM370" s="288" t="s">
        <v>2032</v>
      </c>
      <c r="AN370" s="288" t="s">
        <v>2032</v>
      </c>
      <c r="AO370" s="288" t="s">
        <v>2032</v>
      </c>
      <c r="AP370" s="288" t="s">
        <v>2032</v>
      </c>
      <c r="AQ370" s="288" t="s">
        <v>2032</v>
      </c>
      <c r="AR370" s="288" t="s">
        <v>2032</v>
      </c>
      <c r="AS370" s="288" t="s">
        <v>2032</v>
      </c>
      <c r="AT370" s="288" t="s">
        <v>2032</v>
      </c>
      <c r="AU370" s="288" t="s">
        <v>2032</v>
      </c>
      <c r="AV370" s="288" t="s">
        <v>2032</v>
      </c>
      <c r="AW370" s="288" t="s">
        <v>2032</v>
      </c>
      <c r="AX370" s="288" t="s">
        <v>2032</v>
      </c>
      <c r="AY370" s="288" t="s">
        <v>2032</v>
      </c>
      <c r="AZ370" s="288" t="s">
        <v>2032</v>
      </c>
      <c r="BA370" s="288" t="s">
        <v>2032</v>
      </c>
      <c r="BB370" s="288" t="s">
        <v>2032</v>
      </c>
      <c r="BC370" s="288" t="s">
        <v>2032</v>
      </c>
      <c r="BD370" s="289">
        <f t="shared" si="1"/>
        <v>0</v>
      </c>
      <c r="BE370" s="287"/>
      <c r="BF370" s="272"/>
    </row>
    <row r="371" spans="1:58" ht="14.25" customHeight="1" x14ac:dyDescent="0.35">
      <c r="A371" s="68">
        <v>369</v>
      </c>
      <c r="B371" s="24" t="s">
        <v>206</v>
      </c>
      <c r="C371" s="24">
        <v>2024</v>
      </c>
      <c r="D371" s="24" t="s">
        <v>1541</v>
      </c>
      <c r="E371" s="269" t="str">
        <f ca="1">IFERROR(__xludf.DUMMYFUNCTION("ARRAYFORMULA(JOIN("""", ARRAYFORMULA(MID(SPLIT(F371, "" ""), 1, 1))))
&amp;""/""&amp;G371"),"MQ/6 Primaria")</f>
        <v>MQ/6 Primaria</v>
      </c>
      <c r="F371" s="24" t="s">
        <v>1751</v>
      </c>
      <c r="G371" s="248" t="s">
        <v>37</v>
      </c>
      <c r="H371" s="248" t="s">
        <v>1803</v>
      </c>
      <c r="I371" s="248" t="s">
        <v>1873</v>
      </c>
      <c r="J371" s="248" t="s">
        <v>1963</v>
      </c>
      <c r="K371" s="248" t="s">
        <v>1593</v>
      </c>
      <c r="L371" s="272"/>
      <c r="M371" s="286" t="s">
        <v>1589</v>
      </c>
      <c r="N371" s="286" t="s">
        <v>1617</v>
      </c>
      <c r="O371" s="286" t="s">
        <v>1617</v>
      </c>
      <c r="P371" s="286" t="s">
        <v>1587</v>
      </c>
      <c r="Q371" s="286" t="s">
        <v>1589</v>
      </c>
      <c r="R371" s="286" t="s">
        <v>1617</v>
      </c>
      <c r="S371" s="286" t="s">
        <v>1587</v>
      </c>
      <c r="T371" s="286" t="s">
        <v>1587</v>
      </c>
      <c r="U371" s="286" t="s">
        <v>1587</v>
      </c>
      <c r="V371" s="286" t="s">
        <v>1617</v>
      </c>
      <c r="W371" s="286" t="s">
        <v>1589</v>
      </c>
      <c r="X371" s="286" t="s">
        <v>1589</v>
      </c>
      <c r="Y371" s="286" t="s">
        <v>1588</v>
      </c>
      <c r="Z371" s="286" t="s">
        <v>1589</v>
      </c>
      <c r="AA371" s="286" t="s">
        <v>1587</v>
      </c>
      <c r="AB371" s="286" t="s">
        <v>1617</v>
      </c>
      <c r="AC371" s="286" t="s">
        <v>1588</v>
      </c>
      <c r="AD371" s="286" t="s">
        <v>1587</v>
      </c>
      <c r="AE371" s="286" t="s">
        <v>1617</v>
      </c>
      <c r="AF371" s="286" t="s">
        <v>1588</v>
      </c>
      <c r="AG371" s="283">
        <v>13</v>
      </c>
      <c r="AH371" s="287" t="s">
        <v>23</v>
      </c>
      <c r="AI371" s="272"/>
      <c r="AJ371" s="288" t="s">
        <v>2032</v>
      </c>
      <c r="AK371" s="288" t="s">
        <v>2032</v>
      </c>
      <c r="AL371" s="288" t="s">
        <v>2032</v>
      </c>
      <c r="AM371" s="288" t="s">
        <v>2032</v>
      </c>
      <c r="AN371" s="288" t="s">
        <v>2032</v>
      </c>
      <c r="AO371" s="288" t="s">
        <v>2032</v>
      </c>
      <c r="AP371" s="288" t="s">
        <v>2032</v>
      </c>
      <c r="AQ371" s="288" t="s">
        <v>2032</v>
      </c>
      <c r="AR371" s="288" t="s">
        <v>2032</v>
      </c>
      <c r="AS371" s="288" t="s">
        <v>2032</v>
      </c>
      <c r="AT371" s="288" t="s">
        <v>2032</v>
      </c>
      <c r="AU371" s="288" t="s">
        <v>2032</v>
      </c>
      <c r="AV371" s="288" t="s">
        <v>2032</v>
      </c>
      <c r="AW371" s="288" t="s">
        <v>2032</v>
      </c>
      <c r="AX371" s="288" t="s">
        <v>2032</v>
      </c>
      <c r="AY371" s="288" t="s">
        <v>2032</v>
      </c>
      <c r="AZ371" s="288" t="s">
        <v>2032</v>
      </c>
      <c r="BA371" s="288" t="s">
        <v>2032</v>
      </c>
      <c r="BB371" s="288" t="s">
        <v>2032</v>
      </c>
      <c r="BC371" s="288" t="s">
        <v>2032</v>
      </c>
      <c r="BD371" s="289">
        <f t="shared" si="1"/>
        <v>0</v>
      </c>
      <c r="BE371" s="287"/>
      <c r="BF371" s="272"/>
    </row>
    <row r="372" spans="1:58" ht="14.25" customHeight="1" x14ac:dyDescent="0.35">
      <c r="A372" s="68">
        <v>370</v>
      </c>
      <c r="B372" s="24" t="s">
        <v>206</v>
      </c>
      <c r="C372" s="24">
        <v>2024</v>
      </c>
      <c r="D372" s="24" t="s">
        <v>1745</v>
      </c>
      <c r="E372" s="269" t="str">
        <f ca="1">IFERROR(__xludf.DUMMYFUNCTION("ARRAYFORMULA(JOIN("""", ARRAYFORMULA(MID(SPLIT(F372, "" ""), 1, 1))))
&amp;""/""&amp;G372"),"CLQ/6 Primaria")</f>
        <v>CLQ/6 Primaria</v>
      </c>
      <c r="F372" s="24" t="s">
        <v>1755</v>
      </c>
      <c r="G372" s="248" t="s">
        <v>37</v>
      </c>
      <c r="H372" s="248" t="s">
        <v>1803</v>
      </c>
      <c r="I372" s="248" t="s">
        <v>1873</v>
      </c>
      <c r="J372" s="248" t="s">
        <v>1963</v>
      </c>
      <c r="K372" s="248" t="s">
        <v>1586</v>
      </c>
      <c r="L372" s="272"/>
      <c r="M372" s="286" t="s">
        <v>1589</v>
      </c>
      <c r="N372" s="286" t="s">
        <v>1588</v>
      </c>
      <c r="O372" s="286" t="s">
        <v>1617</v>
      </c>
      <c r="P372" s="286" t="s">
        <v>1617</v>
      </c>
      <c r="Q372" s="286" t="s">
        <v>1617</v>
      </c>
      <c r="R372" s="286" t="s">
        <v>1617</v>
      </c>
      <c r="S372" s="286" t="s">
        <v>1587</v>
      </c>
      <c r="T372" s="286" t="s">
        <v>1589</v>
      </c>
      <c r="U372" s="286" t="s">
        <v>1589</v>
      </c>
      <c r="V372" s="286" t="s">
        <v>1589</v>
      </c>
      <c r="W372" s="286" t="s">
        <v>1617</v>
      </c>
      <c r="X372" s="286" t="s">
        <v>1589</v>
      </c>
      <c r="Y372" s="286" t="s">
        <v>1588</v>
      </c>
      <c r="Z372" s="286" t="s">
        <v>1589</v>
      </c>
      <c r="AA372" s="286" t="s">
        <v>1588</v>
      </c>
      <c r="AB372" s="286" t="s">
        <v>1588</v>
      </c>
      <c r="AC372" s="286" t="s">
        <v>1617</v>
      </c>
      <c r="AD372" s="286" t="s">
        <v>1588</v>
      </c>
      <c r="AE372" s="286" t="s">
        <v>1617</v>
      </c>
      <c r="AF372" s="286" t="s">
        <v>1617</v>
      </c>
      <c r="AG372" s="283">
        <v>10</v>
      </c>
      <c r="AH372" s="287" t="s">
        <v>19</v>
      </c>
      <c r="AI372" s="272"/>
      <c r="AJ372" s="288" t="s">
        <v>2032</v>
      </c>
      <c r="AK372" s="288" t="s">
        <v>2032</v>
      </c>
      <c r="AL372" s="288" t="s">
        <v>2032</v>
      </c>
      <c r="AM372" s="288" t="s">
        <v>2032</v>
      </c>
      <c r="AN372" s="288" t="s">
        <v>2032</v>
      </c>
      <c r="AO372" s="288" t="s">
        <v>2032</v>
      </c>
      <c r="AP372" s="288" t="s">
        <v>2032</v>
      </c>
      <c r="AQ372" s="288" t="s">
        <v>2032</v>
      </c>
      <c r="AR372" s="288" t="s">
        <v>2032</v>
      </c>
      <c r="AS372" s="288" t="s">
        <v>2032</v>
      </c>
      <c r="AT372" s="288" t="s">
        <v>2032</v>
      </c>
      <c r="AU372" s="288" t="s">
        <v>2032</v>
      </c>
      <c r="AV372" s="288" t="s">
        <v>2032</v>
      </c>
      <c r="AW372" s="288" t="s">
        <v>2032</v>
      </c>
      <c r="AX372" s="288" t="s">
        <v>2032</v>
      </c>
      <c r="AY372" s="288" t="s">
        <v>2032</v>
      </c>
      <c r="AZ372" s="288" t="s">
        <v>2032</v>
      </c>
      <c r="BA372" s="288" t="s">
        <v>2032</v>
      </c>
      <c r="BB372" s="288" t="s">
        <v>2032</v>
      </c>
      <c r="BC372" s="288" t="s">
        <v>2032</v>
      </c>
      <c r="BD372" s="289">
        <f t="shared" si="1"/>
        <v>0</v>
      </c>
      <c r="BE372" s="287"/>
      <c r="BF372" s="272"/>
    </row>
    <row r="373" spans="1:58" ht="14.25" customHeight="1" x14ac:dyDescent="0.35">
      <c r="A373" s="68">
        <v>371</v>
      </c>
      <c r="B373" s="24" t="s">
        <v>206</v>
      </c>
      <c r="C373" s="24">
        <v>2024</v>
      </c>
      <c r="D373" s="24" t="s">
        <v>1541</v>
      </c>
      <c r="E373" s="269" t="str">
        <f ca="1">IFERROR(__xludf.DUMMYFUNCTION("ARRAYFORMULA(JOIN("""", ARRAYFORMULA(MID(SPLIT(F373, "" ""), 1, 1))))
&amp;""/""&amp;G373"),"MQ/6 Primaria")</f>
        <v>MQ/6 Primaria</v>
      </c>
      <c r="F373" s="24" t="s">
        <v>1751</v>
      </c>
      <c r="G373" s="248" t="s">
        <v>37</v>
      </c>
      <c r="H373" s="248" t="s">
        <v>1964</v>
      </c>
      <c r="I373" s="248" t="s">
        <v>1965</v>
      </c>
      <c r="J373" s="248" t="s">
        <v>1966</v>
      </c>
      <c r="K373" s="248" t="s">
        <v>1593</v>
      </c>
      <c r="L373" s="272"/>
      <c r="M373" s="286" t="s">
        <v>1588</v>
      </c>
      <c r="N373" s="286" t="s">
        <v>1617</v>
      </c>
      <c r="O373" s="286" t="s">
        <v>1589</v>
      </c>
      <c r="P373" s="286" t="s">
        <v>1587</v>
      </c>
      <c r="Q373" s="286" t="s">
        <v>1587</v>
      </c>
      <c r="R373" s="286" t="s">
        <v>1587</v>
      </c>
      <c r="S373" s="286" t="s">
        <v>1587</v>
      </c>
      <c r="T373" s="286" t="s">
        <v>1587</v>
      </c>
      <c r="U373" s="286" t="s">
        <v>1587</v>
      </c>
      <c r="V373" s="286" t="s">
        <v>1589</v>
      </c>
      <c r="W373" s="286" t="s">
        <v>1589</v>
      </c>
      <c r="X373" s="286" t="s">
        <v>1617</v>
      </c>
      <c r="Y373" s="286" t="s">
        <v>1587</v>
      </c>
      <c r="Z373" s="286" t="s">
        <v>1587</v>
      </c>
      <c r="AA373" s="286" t="s">
        <v>1617</v>
      </c>
      <c r="AB373" s="286" t="s">
        <v>1617</v>
      </c>
      <c r="AC373" s="286" t="s">
        <v>1617</v>
      </c>
      <c r="AD373" s="286" t="s">
        <v>1587</v>
      </c>
      <c r="AE373" s="286" t="s">
        <v>1588</v>
      </c>
      <c r="AF373" s="286" t="s">
        <v>1588</v>
      </c>
      <c r="AG373" s="283">
        <v>12</v>
      </c>
      <c r="AH373" s="287" t="s">
        <v>23</v>
      </c>
      <c r="AI373" s="272"/>
      <c r="AJ373" s="288" t="s">
        <v>2032</v>
      </c>
      <c r="AK373" s="288" t="s">
        <v>2032</v>
      </c>
      <c r="AL373" s="288" t="s">
        <v>2032</v>
      </c>
      <c r="AM373" s="288" t="s">
        <v>2032</v>
      </c>
      <c r="AN373" s="288" t="s">
        <v>2032</v>
      </c>
      <c r="AO373" s="288" t="s">
        <v>2032</v>
      </c>
      <c r="AP373" s="288" t="s">
        <v>2032</v>
      </c>
      <c r="AQ373" s="288" t="s">
        <v>2032</v>
      </c>
      <c r="AR373" s="288" t="s">
        <v>2032</v>
      </c>
      <c r="AS373" s="288" t="s">
        <v>2032</v>
      </c>
      <c r="AT373" s="288" t="s">
        <v>2032</v>
      </c>
      <c r="AU373" s="288" t="s">
        <v>2032</v>
      </c>
      <c r="AV373" s="288" t="s">
        <v>2032</v>
      </c>
      <c r="AW373" s="288" t="s">
        <v>2032</v>
      </c>
      <c r="AX373" s="288" t="s">
        <v>2032</v>
      </c>
      <c r="AY373" s="288" t="s">
        <v>2032</v>
      </c>
      <c r="AZ373" s="288" t="s">
        <v>2032</v>
      </c>
      <c r="BA373" s="288" t="s">
        <v>2032</v>
      </c>
      <c r="BB373" s="288" t="s">
        <v>2032</v>
      </c>
      <c r="BC373" s="288" t="s">
        <v>2032</v>
      </c>
      <c r="BD373" s="289">
        <f t="shared" si="1"/>
        <v>0</v>
      </c>
      <c r="BE373" s="287"/>
      <c r="BF373" s="272"/>
    </row>
    <row r="374" spans="1:58" ht="14.25" customHeight="1" x14ac:dyDescent="0.35">
      <c r="A374" s="68">
        <v>372</v>
      </c>
      <c r="B374" s="24" t="s">
        <v>206</v>
      </c>
      <c r="C374" s="24">
        <v>2024</v>
      </c>
      <c r="D374" s="24" t="s">
        <v>1745</v>
      </c>
      <c r="E374" s="269" t="str">
        <f ca="1">IFERROR(__xludf.DUMMYFUNCTION("ARRAYFORMULA(JOIN("""", ARRAYFORMULA(MID(SPLIT(F374, "" ""), 1, 1))))
&amp;""/""&amp;G374"),"CLQ/6 Primaria")</f>
        <v>CLQ/6 Primaria</v>
      </c>
      <c r="F374" s="24" t="s">
        <v>1755</v>
      </c>
      <c r="G374" s="248" t="s">
        <v>37</v>
      </c>
      <c r="H374" s="248" t="s">
        <v>1964</v>
      </c>
      <c r="I374" s="248" t="s">
        <v>1965</v>
      </c>
      <c r="J374" s="248" t="s">
        <v>1966</v>
      </c>
      <c r="K374" s="248" t="s">
        <v>1593</v>
      </c>
      <c r="L374" s="272"/>
      <c r="M374" s="286" t="s">
        <v>1589</v>
      </c>
      <c r="N374" s="286" t="s">
        <v>1589</v>
      </c>
      <c r="O374" s="286" t="s">
        <v>1617</v>
      </c>
      <c r="P374" s="286" t="s">
        <v>1587</v>
      </c>
      <c r="Q374" s="286" t="s">
        <v>1588</v>
      </c>
      <c r="R374" s="286" t="s">
        <v>1617</v>
      </c>
      <c r="S374" s="286" t="s">
        <v>1589</v>
      </c>
      <c r="T374" s="286" t="s">
        <v>1589</v>
      </c>
      <c r="U374" s="286" t="s">
        <v>1589</v>
      </c>
      <c r="V374" s="286" t="s">
        <v>1587</v>
      </c>
      <c r="W374" s="286" t="s">
        <v>1617</v>
      </c>
      <c r="X374" s="286" t="s">
        <v>1617</v>
      </c>
      <c r="Y374" s="286" t="s">
        <v>1587</v>
      </c>
      <c r="Z374" s="286" t="s">
        <v>1589</v>
      </c>
      <c r="AA374" s="286" t="s">
        <v>1588</v>
      </c>
      <c r="AB374" s="286" t="s">
        <v>1617</v>
      </c>
      <c r="AC374" s="286" t="s">
        <v>1587</v>
      </c>
      <c r="AD374" s="286" t="s">
        <v>1588</v>
      </c>
      <c r="AE374" s="286" t="s">
        <v>1589</v>
      </c>
      <c r="AF374" s="286" t="s">
        <v>1617</v>
      </c>
      <c r="AG374" s="283">
        <v>17</v>
      </c>
      <c r="AH374" s="287" t="s">
        <v>25</v>
      </c>
      <c r="AI374" s="272"/>
      <c r="AJ374" s="288" t="s">
        <v>2032</v>
      </c>
      <c r="AK374" s="288" t="s">
        <v>2032</v>
      </c>
      <c r="AL374" s="288" t="s">
        <v>2032</v>
      </c>
      <c r="AM374" s="288" t="s">
        <v>2032</v>
      </c>
      <c r="AN374" s="288" t="s">
        <v>2032</v>
      </c>
      <c r="AO374" s="288" t="s">
        <v>2032</v>
      </c>
      <c r="AP374" s="288" t="s">
        <v>2032</v>
      </c>
      <c r="AQ374" s="288" t="s">
        <v>2032</v>
      </c>
      <c r="AR374" s="288" t="s">
        <v>2032</v>
      </c>
      <c r="AS374" s="288" t="s">
        <v>2032</v>
      </c>
      <c r="AT374" s="288" t="s">
        <v>2032</v>
      </c>
      <c r="AU374" s="288" t="s">
        <v>2032</v>
      </c>
      <c r="AV374" s="288" t="s">
        <v>2032</v>
      </c>
      <c r="AW374" s="288" t="s">
        <v>2032</v>
      </c>
      <c r="AX374" s="288" t="s">
        <v>2032</v>
      </c>
      <c r="AY374" s="288" t="s">
        <v>2032</v>
      </c>
      <c r="AZ374" s="288" t="s">
        <v>2032</v>
      </c>
      <c r="BA374" s="288" t="s">
        <v>2032</v>
      </c>
      <c r="BB374" s="288" t="s">
        <v>2032</v>
      </c>
      <c r="BC374" s="288" t="s">
        <v>2032</v>
      </c>
      <c r="BD374" s="289">
        <f t="shared" si="1"/>
        <v>0</v>
      </c>
      <c r="BE374" s="287"/>
      <c r="BF374" s="272"/>
    </row>
    <row r="375" spans="1:58" ht="14.25" customHeight="1" x14ac:dyDescent="0.35">
      <c r="A375" s="68">
        <v>373</v>
      </c>
      <c r="B375" s="24" t="s">
        <v>206</v>
      </c>
      <c r="C375" s="24">
        <v>2024</v>
      </c>
      <c r="D375" s="24" t="s">
        <v>1541</v>
      </c>
      <c r="E375" s="269" t="str">
        <f ca="1">IFERROR(__xludf.DUMMYFUNCTION("ARRAYFORMULA(JOIN("""", ARRAYFORMULA(MID(SPLIT(F375, "" ""), 1, 1))))
&amp;""/""&amp;G375"),"MQ/6 Primaria")</f>
        <v>MQ/6 Primaria</v>
      </c>
      <c r="F375" s="24" t="s">
        <v>1751</v>
      </c>
      <c r="G375" s="248" t="s">
        <v>37</v>
      </c>
      <c r="H375" s="248" t="s">
        <v>1967</v>
      </c>
      <c r="I375" s="248" t="s">
        <v>1865</v>
      </c>
      <c r="J375" s="248" t="s">
        <v>1968</v>
      </c>
      <c r="K375" s="248" t="s">
        <v>1593</v>
      </c>
      <c r="L375" s="272"/>
      <c r="M375" s="286" t="s">
        <v>1588</v>
      </c>
      <c r="N375" s="286" t="s">
        <v>1617</v>
      </c>
      <c r="O375" s="286" t="s">
        <v>1588</v>
      </c>
      <c r="P375" s="286" t="s">
        <v>1617</v>
      </c>
      <c r="Q375" s="286" t="s">
        <v>1587</v>
      </c>
      <c r="R375" s="286" t="s">
        <v>1587</v>
      </c>
      <c r="S375" s="286" t="s">
        <v>1587</v>
      </c>
      <c r="T375" s="286" t="s">
        <v>1587</v>
      </c>
      <c r="U375" s="286" t="s">
        <v>1587</v>
      </c>
      <c r="V375" s="286" t="s">
        <v>1589</v>
      </c>
      <c r="W375" s="286" t="s">
        <v>1589</v>
      </c>
      <c r="X375" s="286" t="s">
        <v>1587</v>
      </c>
      <c r="Y375" s="286" t="s">
        <v>1588</v>
      </c>
      <c r="Z375" s="286" t="s">
        <v>1589</v>
      </c>
      <c r="AA375" s="286" t="s">
        <v>1589</v>
      </c>
      <c r="AB375" s="286" t="s">
        <v>1617</v>
      </c>
      <c r="AC375" s="286" t="s">
        <v>1589</v>
      </c>
      <c r="AD375" s="286" t="s">
        <v>1587</v>
      </c>
      <c r="AE375" s="286" t="s">
        <v>1617</v>
      </c>
      <c r="AF375" s="286" t="s">
        <v>1588</v>
      </c>
      <c r="AG375" s="283">
        <v>14</v>
      </c>
      <c r="AH375" s="287" t="s">
        <v>23</v>
      </c>
      <c r="AI375" s="272"/>
      <c r="AJ375" s="288" t="s">
        <v>2032</v>
      </c>
      <c r="AK375" s="288" t="s">
        <v>2032</v>
      </c>
      <c r="AL375" s="288" t="s">
        <v>2032</v>
      </c>
      <c r="AM375" s="288" t="s">
        <v>2032</v>
      </c>
      <c r="AN375" s="288" t="s">
        <v>2032</v>
      </c>
      <c r="AO375" s="288" t="s">
        <v>2032</v>
      </c>
      <c r="AP375" s="288" t="s">
        <v>2032</v>
      </c>
      <c r="AQ375" s="288" t="s">
        <v>2032</v>
      </c>
      <c r="AR375" s="288" t="s">
        <v>2032</v>
      </c>
      <c r="AS375" s="288" t="s">
        <v>2032</v>
      </c>
      <c r="AT375" s="288" t="s">
        <v>2032</v>
      </c>
      <c r="AU375" s="288" t="s">
        <v>2032</v>
      </c>
      <c r="AV375" s="288" t="s">
        <v>2032</v>
      </c>
      <c r="AW375" s="288" t="s">
        <v>2032</v>
      </c>
      <c r="AX375" s="288" t="s">
        <v>2032</v>
      </c>
      <c r="AY375" s="288" t="s">
        <v>2032</v>
      </c>
      <c r="AZ375" s="288" t="s">
        <v>2032</v>
      </c>
      <c r="BA375" s="288" t="s">
        <v>2032</v>
      </c>
      <c r="BB375" s="288" t="s">
        <v>2032</v>
      </c>
      <c r="BC375" s="288" t="s">
        <v>2032</v>
      </c>
      <c r="BD375" s="289">
        <f t="shared" si="1"/>
        <v>0</v>
      </c>
      <c r="BE375" s="287"/>
      <c r="BF375" s="272"/>
    </row>
    <row r="376" spans="1:58" ht="14.25" customHeight="1" x14ac:dyDescent="0.35">
      <c r="A376" s="68">
        <v>374</v>
      </c>
      <c r="B376" s="24" t="s">
        <v>206</v>
      </c>
      <c r="C376" s="24">
        <v>2024</v>
      </c>
      <c r="D376" s="24" t="s">
        <v>1745</v>
      </c>
      <c r="E376" s="269" t="str">
        <f ca="1">IFERROR(__xludf.DUMMYFUNCTION("ARRAYFORMULA(JOIN("""", ARRAYFORMULA(MID(SPLIT(F376, "" ""), 1, 1))))
&amp;""/""&amp;G376"),"CLQ/6 Primaria")</f>
        <v>CLQ/6 Primaria</v>
      </c>
      <c r="F376" s="24" t="s">
        <v>1755</v>
      </c>
      <c r="G376" s="248" t="s">
        <v>37</v>
      </c>
      <c r="H376" s="248" t="s">
        <v>1967</v>
      </c>
      <c r="I376" s="248" t="s">
        <v>1865</v>
      </c>
      <c r="J376" s="248" t="s">
        <v>1968</v>
      </c>
      <c r="K376" s="248" t="s">
        <v>1593</v>
      </c>
      <c r="L376" s="272"/>
      <c r="M376" s="286" t="s">
        <v>1589</v>
      </c>
      <c r="N376" s="286" t="s">
        <v>1588</v>
      </c>
      <c r="O376" s="286" t="s">
        <v>1617</v>
      </c>
      <c r="P376" s="286" t="s">
        <v>1587</v>
      </c>
      <c r="Q376" s="286" t="s">
        <v>1588</v>
      </c>
      <c r="R376" s="286" t="s">
        <v>1617</v>
      </c>
      <c r="S376" s="286" t="s">
        <v>1589</v>
      </c>
      <c r="T376" s="286" t="s">
        <v>1589</v>
      </c>
      <c r="U376" s="286" t="s">
        <v>1587</v>
      </c>
      <c r="V376" s="286" t="s">
        <v>1589</v>
      </c>
      <c r="W376" s="286" t="s">
        <v>1588</v>
      </c>
      <c r="X376" s="286" t="s">
        <v>1587</v>
      </c>
      <c r="Y376" s="286" t="s">
        <v>1617</v>
      </c>
      <c r="Z376" s="286" t="s">
        <v>1617</v>
      </c>
      <c r="AA376" s="286" t="s">
        <v>1589</v>
      </c>
      <c r="AB376" s="286" t="s">
        <v>1589</v>
      </c>
      <c r="AC376" s="286" t="s">
        <v>1617</v>
      </c>
      <c r="AD376" s="286" t="s">
        <v>1588</v>
      </c>
      <c r="AE376" s="286" t="s">
        <v>1617</v>
      </c>
      <c r="AF376" s="286" t="s">
        <v>1617</v>
      </c>
      <c r="AG376" s="283">
        <v>9</v>
      </c>
      <c r="AH376" s="287" t="s">
        <v>19</v>
      </c>
      <c r="AI376" s="272"/>
      <c r="AJ376" s="288" t="s">
        <v>2032</v>
      </c>
      <c r="AK376" s="288" t="s">
        <v>2032</v>
      </c>
      <c r="AL376" s="288" t="s">
        <v>2032</v>
      </c>
      <c r="AM376" s="288" t="s">
        <v>2032</v>
      </c>
      <c r="AN376" s="288" t="s">
        <v>2032</v>
      </c>
      <c r="AO376" s="288" t="s">
        <v>2032</v>
      </c>
      <c r="AP376" s="288" t="s">
        <v>2032</v>
      </c>
      <c r="AQ376" s="288" t="s">
        <v>2032</v>
      </c>
      <c r="AR376" s="288" t="s">
        <v>2032</v>
      </c>
      <c r="AS376" s="288" t="s">
        <v>2032</v>
      </c>
      <c r="AT376" s="288" t="s">
        <v>2032</v>
      </c>
      <c r="AU376" s="288" t="s">
        <v>2032</v>
      </c>
      <c r="AV376" s="288" t="s">
        <v>2032</v>
      </c>
      <c r="AW376" s="288" t="s">
        <v>2032</v>
      </c>
      <c r="AX376" s="288" t="s">
        <v>2032</v>
      </c>
      <c r="AY376" s="288" t="s">
        <v>2032</v>
      </c>
      <c r="AZ376" s="288" t="s">
        <v>2032</v>
      </c>
      <c r="BA376" s="288" t="s">
        <v>2032</v>
      </c>
      <c r="BB376" s="288" t="s">
        <v>2032</v>
      </c>
      <c r="BC376" s="288" t="s">
        <v>2032</v>
      </c>
      <c r="BD376" s="289">
        <f t="shared" si="1"/>
        <v>0</v>
      </c>
      <c r="BE376" s="287"/>
      <c r="BF376" s="272"/>
    </row>
    <row r="377" spans="1:58" ht="14.25" customHeight="1" x14ac:dyDescent="0.35">
      <c r="A377" s="68">
        <v>375</v>
      </c>
      <c r="B377" s="24" t="s">
        <v>1969</v>
      </c>
      <c r="C377" s="24" t="s">
        <v>1489</v>
      </c>
      <c r="D377" s="24" t="s">
        <v>1745</v>
      </c>
      <c r="E377" s="269" t="str">
        <f ca="1">IFERROR(__xludf.DUMMYFUNCTION("ARRAYFORMULA(JOIN("""", ARRAYFORMULA(MID(SPLIT(F377, "" ""), 1, 1))))
&amp;""/""&amp;G377"),"CLQ/2 Primaria")</f>
        <v>CLQ/2 Primaria</v>
      </c>
      <c r="F377" s="24" t="s">
        <v>1755</v>
      </c>
      <c r="G377" s="248" t="s">
        <v>45</v>
      </c>
      <c r="H377" s="248"/>
      <c r="I377" s="248"/>
      <c r="J377" s="248"/>
      <c r="K377" s="248" t="s">
        <v>1586</v>
      </c>
      <c r="L377" s="272"/>
      <c r="M377" s="286"/>
      <c r="N377" s="286"/>
      <c r="O377" s="286"/>
      <c r="P377" s="286"/>
      <c r="Q377" s="286"/>
      <c r="R377" s="286"/>
      <c r="S377" s="286"/>
      <c r="T377" s="286"/>
      <c r="U377" s="286"/>
      <c r="V377" s="286"/>
      <c r="W377" s="286"/>
      <c r="X377" s="286"/>
      <c r="Y377" s="286"/>
      <c r="Z377" s="286"/>
      <c r="AA377" s="286"/>
      <c r="AB377" s="286"/>
      <c r="AC377" s="286"/>
      <c r="AD377" s="286"/>
      <c r="AE377" s="286"/>
      <c r="AF377" s="286"/>
      <c r="AG377" s="283">
        <v>0</v>
      </c>
      <c r="AH377" s="287" t="s">
        <v>1489</v>
      </c>
      <c r="AI377" s="272"/>
      <c r="AJ377" s="288" t="s">
        <v>2032</v>
      </c>
      <c r="AK377" s="288" t="s">
        <v>2032</v>
      </c>
      <c r="AL377" s="288" t="s">
        <v>2032</v>
      </c>
      <c r="AM377" s="288" t="s">
        <v>2032</v>
      </c>
      <c r="AN377" s="288" t="s">
        <v>2032</v>
      </c>
      <c r="AO377" s="288" t="s">
        <v>2032</v>
      </c>
      <c r="AP377" s="288" t="s">
        <v>2032</v>
      </c>
      <c r="AQ377" s="288" t="s">
        <v>2032</v>
      </c>
      <c r="AR377" s="288" t="s">
        <v>2032</v>
      </c>
      <c r="AS377" s="288" t="s">
        <v>2032</v>
      </c>
      <c r="AT377" s="288" t="s">
        <v>2032</v>
      </c>
      <c r="AU377" s="288" t="s">
        <v>2032</v>
      </c>
      <c r="AV377" s="288" t="s">
        <v>2032</v>
      </c>
      <c r="AW377" s="288" t="s">
        <v>2032</v>
      </c>
      <c r="AX377" s="288" t="s">
        <v>2032</v>
      </c>
      <c r="AY377" s="288" t="s">
        <v>2032</v>
      </c>
      <c r="AZ377" s="288" t="s">
        <v>2032</v>
      </c>
      <c r="BA377" s="288" t="s">
        <v>2032</v>
      </c>
      <c r="BB377" s="288" t="s">
        <v>2032</v>
      </c>
      <c r="BC377" s="288" t="s">
        <v>2032</v>
      </c>
      <c r="BD377" s="289">
        <f t="shared" si="1"/>
        <v>0</v>
      </c>
      <c r="BE377" s="287" t="s">
        <v>1489</v>
      </c>
      <c r="BF377" s="272"/>
    </row>
    <row r="378" spans="1:58" ht="14.25" customHeight="1" x14ac:dyDescent="0.35">
      <c r="A378" s="68">
        <v>376</v>
      </c>
      <c r="B378" s="24" t="s">
        <v>1969</v>
      </c>
      <c r="C378" s="24">
        <v>2024</v>
      </c>
      <c r="D378" s="24" t="s">
        <v>1745</v>
      </c>
      <c r="E378" s="269" t="str">
        <f ca="1">IFERROR(__xludf.DUMMYFUNCTION("ARRAYFORMULA(JOIN("""", ARRAYFORMULA(MID(SPLIT(F378, "" ""), 1, 1))))
&amp;""/""&amp;G378"),"CLQ/2 Primaria")</f>
        <v>CLQ/2 Primaria</v>
      </c>
      <c r="F378" s="24" t="s">
        <v>1755</v>
      </c>
      <c r="G378" s="248" t="s">
        <v>45</v>
      </c>
      <c r="H378" s="248" t="s">
        <v>1970</v>
      </c>
      <c r="I378" s="248"/>
      <c r="J378" s="248"/>
      <c r="K378" s="248" t="s">
        <v>1593</v>
      </c>
      <c r="L378" s="272"/>
      <c r="M378" s="286"/>
      <c r="N378" s="286"/>
      <c r="O378" s="286"/>
      <c r="P378" s="286"/>
      <c r="Q378" s="286"/>
      <c r="R378" s="286"/>
      <c r="S378" s="286"/>
      <c r="T378" s="286"/>
      <c r="U378" s="286"/>
      <c r="V378" s="286"/>
      <c r="W378" s="286"/>
      <c r="X378" s="286"/>
      <c r="Y378" s="286"/>
      <c r="Z378" s="286"/>
      <c r="AA378" s="286"/>
      <c r="AB378" s="286"/>
      <c r="AC378" s="286"/>
      <c r="AD378" s="286"/>
      <c r="AE378" s="286"/>
      <c r="AF378" s="286"/>
      <c r="AG378" s="283">
        <v>0</v>
      </c>
      <c r="AH378" s="287" t="s">
        <v>1489</v>
      </c>
      <c r="AI378" s="272"/>
      <c r="AJ378" s="288" t="s">
        <v>2032</v>
      </c>
      <c r="AK378" s="288" t="s">
        <v>2032</v>
      </c>
      <c r="AL378" s="288" t="s">
        <v>2032</v>
      </c>
      <c r="AM378" s="288" t="s">
        <v>2032</v>
      </c>
      <c r="AN378" s="288" t="s">
        <v>2032</v>
      </c>
      <c r="AO378" s="288" t="s">
        <v>2032</v>
      </c>
      <c r="AP378" s="288" t="s">
        <v>2032</v>
      </c>
      <c r="AQ378" s="288" t="s">
        <v>2032</v>
      </c>
      <c r="AR378" s="288" t="s">
        <v>2032</v>
      </c>
      <c r="AS378" s="288" t="s">
        <v>2032</v>
      </c>
      <c r="AT378" s="288" t="s">
        <v>2032</v>
      </c>
      <c r="AU378" s="288" t="s">
        <v>2032</v>
      </c>
      <c r="AV378" s="288" t="s">
        <v>2032</v>
      </c>
      <c r="AW378" s="288" t="s">
        <v>2032</v>
      </c>
      <c r="AX378" s="288" t="s">
        <v>2032</v>
      </c>
      <c r="AY378" s="288" t="s">
        <v>2032</v>
      </c>
      <c r="AZ378" s="288" t="s">
        <v>2032</v>
      </c>
      <c r="BA378" s="288" t="s">
        <v>2032</v>
      </c>
      <c r="BB378" s="288" t="s">
        <v>2032</v>
      </c>
      <c r="BC378" s="288" t="s">
        <v>2032</v>
      </c>
      <c r="BD378" s="289">
        <f t="shared" si="1"/>
        <v>0</v>
      </c>
      <c r="BE378" s="287" t="s">
        <v>1489</v>
      </c>
      <c r="BF378" s="272"/>
    </row>
    <row r="379" spans="1:58" ht="14.25" customHeight="1" x14ac:dyDescent="0.35">
      <c r="A379" s="68">
        <v>377</v>
      </c>
      <c r="B379" s="24" t="s">
        <v>1969</v>
      </c>
      <c r="C379" s="24" t="s">
        <v>1489</v>
      </c>
      <c r="D379" s="24" t="s">
        <v>1745</v>
      </c>
      <c r="E379" s="269" t="str">
        <f ca="1">IFERROR(__xludf.DUMMYFUNCTION("ARRAYFORMULA(JOIN("""", ARRAYFORMULA(MID(SPLIT(F379, "" ""), 1, 1))))
&amp;""/""&amp;G379"),"CLQ/2 Primaria")</f>
        <v>CLQ/2 Primaria</v>
      </c>
      <c r="F379" s="24" t="s">
        <v>1755</v>
      </c>
      <c r="G379" s="248" t="s">
        <v>45</v>
      </c>
      <c r="H379" s="248"/>
      <c r="I379" s="248"/>
      <c r="J379" s="248"/>
      <c r="K379" s="248" t="s">
        <v>1593</v>
      </c>
      <c r="L379" s="272"/>
      <c r="M379" s="286"/>
      <c r="N379" s="286"/>
      <c r="O379" s="286"/>
      <c r="P379" s="286"/>
      <c r="Q379" s="286"/>
      <c r="R379" s="286"/>
      <c r="S379" s="286"/>
      <c r="T379" s="286"/>
      <c r="U379" s="286"/>
      <c r="V379" s="286"/>
      <c r="W379" s="286"/>
      <c r="X379" s="286"/>
      <c r="Y379" s="286"/>
      <c r="Z379" s="286"/>
      <c r="AA379" s="286"/>
      <c r="AB379" s="286"/>
      <c r="AC379" s="286"/>
      <c r="AD379" s="286"/>
      <c r="AE379" s="286"/>
      <c r="AF379" s="286"/>
      <c r="AG379" s="283">
        <v>0</v>
      </c>
      <c r="AH379" s="287" t="s">
        <v>1489</v>
      </c>
      <c r="AI379" s="272"/>
      <c r="AJ379" s="288" t="s">
        <v>2032</v>
      </c>
      <c r="AK379" s="288" t="s">
        <v>2032</v>
      </c>
      <c r="AL379" s="288" t="s">
        <v>2032</v>
      </c>
      <c r="AM379" s="288" t="s">
        <v>2032</v>
      </c>
      <c r="AN379" s="288" t="s">
        <v>2032</v>
      </c>
      <c r="AO379" s="288" t="s">
        <v>2032</v>
      </c>
      <c r="AP379" s="288" t="s">
        <v>2032</v>
      </c>
      <c r="AQ379" s="288" t="s">
        <v>2032</v>
      </c>
      <c r="AR379" s="288" t="s">
        <v>2032</v>
      </c>
      <c r="AS379" s="288" t="s">
        <v>2032</v>
      </c>
      <c r="AT379" s="288" t="s">
        <v>2032</v>
      </c>
      <c r="AU379" s="288" t="s">
        <v>2032</v>
      </c>
      <c r="AV379" s="288" t="s">
        <v>2032</v>
      </c>
      <c r="AW379" s="288" t="s">
        <v>2032</v>
      </c>
      <c r="AX379" s="288" t="s">
        <v>2032</v>
      </c>
      <c r="AY379" s="288" t="s">
        <v>2032</v>
      </c>
      <c r="AZ379" s="288" t="s">
        <v>2032</v>
      </c>
      <c r="BA379" s="288" t="s">
        <v>2032</v>
      </c>
      <c r="BB379" s="288" t="s">
        <v>2032</v>
      </c>
      <c r="BC379" s="288" t="s">
        <v>2032</v>
      </c>
      <c r="BD379" s="289">
        <f t="shared" si="1"/>
        <v>0</v>
      </c>
      <c r="BE379" s="287" t="s">
        <v>1489</v>
      </c>
      <c r="BF379" s="272"/>
    </row>
    <row r="380" spans="1:58" ht="14.25" customHeight="1" x14ac:dyDescent="0.35">
      <c r="A380" s="68">
        <v>378</v>
      </c>
      <c r="B380" s="24" t="s">
        <v>1969</v>
      </c>
      <c r="C380" s="24">
        <v>2024</v>
      </c>
      <c r="D380" s="24" t="s">
        <v>1541</v>
      </c>
      <c r="E380" s="269" t="str">
        <f ca="1">IFERROR(__xludf.DUMMYFUNCTION("ARRAYFORMULA(JOIN("""", ARRAYFORMULA(MID(SPLIT(F380, "" ""), 1, 1))))
&amp;""/""&amp;G380"),"MQ/4 Primaria")</f>
        <v>MQ/4 Primaria</v>
      </c>
      <c r="F380" s="24" t="s">
        <v>1751</v>
      </c>
      <c r="G380" s="248" t="s">
        <v>16</v>
      </c>
      <c r="H380" s="248" t="s">
        <v>1736</v>
      </c>
      <c r="I380" s="248" t="s">
        <v>1971</v>
      </c>
      <c r="J380" s="248" t="s">
        <v>1972</v>
      </c>
      <c r="K380" s="248" t="s">
        <v>1586</v>
      </c>
      <c r="L380" s="272"/>
      <c r="M380" s="286" t="s">
        <v>1617</v>
      </c>
      <c r="N380" s="286" t="s">
        <v>1588</v>
      </c>
      <c r="O380" s="286" t="s">
        <v>1588</v>
      </c>
      <c r="P380" s="286" t="s">
        <v>1617</v>
      </c>
      <c r="Q380" s="286" t="s">
        <v>1589</v>
      </c>
      <c r="R380" s="286" t="s">
        <v>1588</v>
      </c>
      <c r="S380" s="286" t="s">
        <v>1587</v>
      </c>
      <c r="T380" s="286" t="s">
        <v>1589</v>
      </c>
      <c r="U380" s="286" t="s">
        <v>1588</v>
      </c>
      <c r="V380" s="286" t="s">
        <v>1587</v>
      </c>
      <c r="W380" s="286" t="s">
        <v>1617</v>
      </c>
      <c r="X380" s="286"/>
      <c r="Y380" s="286" t="s">
        <v>1589</v>
      </c>
      <c r="Z380" s="286" t="s">
        <v>1587</v>
      </c>
      <c r="AA380" s="286" t="s">
        <v>1617</v>
      </c>
      <c r="AB380" s="286" t="s">
        <v>1587</v>
      </c>
      <c r="AC380" s="286" t="s">
        <v>1589</v>
      </c>
      <c r="AD380" s="286" t="s">
        <v>1589</v>
      </c>
      <c r="AE380" s="286" t="s">
        <v>1589</v>
      </c>
      <c r="AF380" s="286" t="s">
        <v>1588</v>
      </c>
      <c r="AG380" s="283">
        <v>12</v>
      </c>
      <c r="AH380" s="287" t="s">
        <v>23</v>
      </c>
      <c r="AI380" s="272"/>
      <c r="AJ380" s="288" t="s">
        <v>2032</v>
      </c>
      <c r="AK380" s="288" t="s">
        <v>2032</v>
      </c>
      <c r="AL380" s="288" t="s">
        <v>2032</v>
      </c>
      <c r="AM380" s="288" t="s">
        <v>2032</v>
      </c>
      <c r="AN380" s="288" t="s">
        <v>2032</v>
      </c>
      <c r="AO380" s="288" t="s">
        <v>2032</v>
      </c>
      <c r="AP380" s="288" t="s">
        <v>2032</v>
      </c>
      <c r="AQ380" s="288" t="s">
        <v>2032</v>
      </c>
      <c r="AR380" s="288" t="s">
        <v>2032</v>
      </c>
      <c r="AS380" s="288" t="s">
        <v>2032</v>
      </c>
      <c r="AT380" s="288" t="s">
        <v>2032</v>
      </c>
      <c r="AU380" s="288" t="s">
        <v>2032</v>
      </c>
      <c r="AV380" s="288" t="s">
        <v>2032</v>
      </c>
      <c r="AW380" s="288" t="s">
        <v>2032</v>
      </c>
      <c r="AX380" s="288" t="s">
        <v>2032</v>
      </c>
      <c r="AY380" s="288" t="s">
        <v>2032</v>
      </c>
      <c r="AZ380" s="288" t="s">
        <v>2032</v>
      </c>
      <c r="BA380" s="288" t="s">
        <v>2032</v>
      </c>
      <c r="BB380" s="288" t="s">
        <v>2032</v>
      </c>
      <c r="BC380" s="288" t="s">
        <v>2032</v>
      </c>
      <c r="BD380" s="289">
        <f t="shared" si="1"/>
        <v>0</v>
      </c>
      <c r="BE380" s="287"/>
      <c r="BF380" s="272"/>
    </row>
    <row r="381" spans="1:58" ht="14.25" customHeight="1" x14ac:dyDescent="0.35">
      <c r="A381" s="68">
        <v>379</v>
      </c>
      <c r="B381" s="24" t="s">
        <v>1969</v>
      </c>
      <c r="C381" s="24">
        <v>2024</v>
      </c>
      <c r="D381" s="24" t="s">
        <v>1745</v>
      </c>
      <c r="E381" s="269" t="str">
        <f ca="1">IFERROR(__xludf.DUMMYFUNCTION("ARRAYFORMULA(JOIN("""", ARRAYFORMULA(MID(SPLIT(F381, "" ""), 1, 1))))
&amp;""/""&amp;G381"),"CLQ/4 Primaria")</f>
        <v>CLQ/4 Primaria</v>
      </c>
      <c r="F381" s="24" t="s">
        <v>1755</v>
      </c>
      <c r="G381" s="248" t="s">
        <v>16</v>
      </c>
      <c r="H381" s="248" t="s">
        <v>1736</v>
      </c>
      <c r="I381" s="248" t="s">
        <v>1971</v>
      </c>
      <c r="J381" s="248" t="s">
        <v>1972</v>
      </c>
      <c r="K381" s="248" t="s">
        <v>1586</v>
      </c>
      <c r="L381" s="272"/>
      <c r="M381" s="286" t="s">
        <v>1589</v>
      </c>
      <c r="N381" s="286" t="s">
        <v>1588</v>
      </c>
      <c r="O381" s="286" t="s">
        <v>1589</v>
      </c>
      <c r="P381" s="286" t="s">
        <v>1588</v>
      </c>
      <c r="Q381" s="286" t="s">
        <v>1589</v>
      </c>
      <c r="R381" s="286" t="s">
        <v>1588</v>
      </c>
      <c r="S381" s="286" t="s">
        <v>1587</v>
      </c>
      <c r="T381" s="286" t="s">
        <v>1589</v>
      </c>
      <c r="U381" s="286" t="s">
        <v>1617</v>
      </c>
      <c r="V381" s="286" t="s">
        <v>1589</v>
      </c>
      <c r="W381" s="286" t="s">
        <v>1617</v>
      </c>
      <c r="X381" s="286" t="s">
        <v>1588</v>
      </c>
      <c r="Y381" s="286" t="s">
        <v>1587</v>
      </c>
      <c r="Z381" s="286" t="s">
        <v>1587</v>
      </c>
      <c r="AA381" s="286" t="s">
        <v>1589</v>
      </c>
      <c r="AB381" s="286" t="s">
        <v>1617</v>
      </c>
      <c r="AC381" s="286" t="s">
        <v>1589</v>
      </c>
      <c r="AD381" s="286" t="s">
        <v>1617</v>
      </c>
      <c r="AE381" s="286" t="s">
        <v>1587</v>
      </c>
      <c r="AF381" s="286" t="s">
        <v>1617</v>
      </c>
      <c r="AG381" s="283">
        <v>16</v>
      </c>
      <c r="AH381" s="287" t="s">
        <v>23</v>
      </c>
      <c r="AI381" s="272"/>
      <c r="AJ381" s="288" t="s">
        <v>2032</v>
      </c>
      <c r="AK381" s="288" t="s">
        <v>2032</v>
      </c>
      <c r="AL381" s="288" t="s">
        <v>2032</v>
      </c>
      <c r="AM381" s="288" t="s">
        <v>2032</v>
      </c>
      <c r="AN381" s="288" t="s">
        <v>2032</v>
      </c>
      <c r="AO381" s="288" t="s">
        <v>2032</v>
      </c>
      <c r="AP381" s="288" t="s">
        <v>2032</v>
      </c>
      <c r="AQ381" s="288" t="s">
        <v>2032</v>
      </c>
      <c r="AR381" s="288" t="s">
        <v>2032</v>
      </c>
      <c r="AS381" s="288" t="s">
        <v>2032</v>
      </c>
      <c r="AT381" s="288" t="s">
        <v>2032</v>
      </c>
      <c r="AU381" s="288" t="s">
        <v>2032</v>
      </c>
      <c r="AV381" s="288" t="s">
        <v>2032</v>
      </c>
      <c r="AW381" s="288" t="s">
        <v>2032</v>
      </c>
      <c r="AX381" s="288" t="s">
        <v>2032</v>
      </c>
      <c r="AY381" s="288" t="s">
        <v>2032</v>
      </c>
      <c r="AZ381" s="288" t="s">
        <v>2032</v>
      </c>
      <c r="BA381" s="288" t="s">
        <v>2032</v>
      </c>
      <c r="BB381" s="288" t="s">
        <v>2032</v>
      </c>
      <c r="BC381" s="288" t="s">
        <v>2032</v>
      </c>
      <c r="BD381" s="289">
        <f t="shared" si="1"/>
        <v>0</v>
      </c>
      <c r="BE381" s="287"/>
      <c r="BF381" s="272"/>
    </row>
    <row r="382" spans="1:58" ht="14.25" customHeight="1" x14ac:dyDescent="0.35">
      <c r="A382" s="68">
        <v>380</v>
      </c>
      <c r="B382" s="24" t="s">
        <v>1969</v>
      </c>
      <c r="C382" s="24">
        <v>2024</v>
      </c>
      <c r="D382" s="24" t="s">
        <v>1541</v>
      </c>
      <c r="E382" s="269" t="str">
        <f ca="1">IFERROR(__xludf.DUMMYFUNCTION("ARRAYFORMULA(JOIN("""", ARRAYFORMULA(MID(SPLIT(F382, "" ""), 1, 1))))
&amp;""/""&amp;G382"),"MQ/4 Primaria")</f>
        <v>MQ/4 Primaria</v>
      </c>
      <c r="F382" s="24" t="s">
        <v>1751</v>
      </c>
      <c r="G382" s="248" t="s">
        <v>16</v>
      </c>
      <c r="H382" s="248" t="s">
        <v>1973</v>
      </c>
      <c r="I382" s="248" t="s">
        <v>1974</v>
      </c>
      <c r="J382" s="248" t="s">
        <v>1975</v>
      </c>
      <c r="K382" s="248" t="s">
        <v>1593</v>
      </c>
      <c r="L382" s="272"/>
      <c r="M382" s="286" t="s">
        <v>1587</v>
      </c>
      <c r="N382" s="286" t="s">
        <v>1587</v>
      </c>
      <c r="O382" s="286" t="s">
        <v>1589</v>
      </c>
      <c r="P382" s="286" t="s">
        <v>1589</v>
      </c>
      <c r="Q382" s="286" t="s">
        <v>1588</v>
      </c>
      <c r="R382" s="286" t="s">
        <v>1587</v>
      </c>
      <c r="S382" s="286" t="s">
        <v>1588</v>
      </c>
      <c r="T382" s="286" t="s">
        <v>1617</v>
      </c>
      <c r="U382" s="286" t="s">
        <v>1588</v>
      </c>
      <c r="V382" s="286" t="s">
        <v>1588</v>
      </c>
      <c r="W382" s="286" t="s">
        <v>1587</v>
      </c>
      <c r="X382" s="286" t="s">
        <v>1588</v>
      </c>
      <c r="Y382" s="286" t="s">
        <v>1589</v>
      </c>
      <c r="Z382" s="286" t="s">
        <v>1587</v>
      </c>
      <c r="AA382" s="286" t="s">
        <v>1587</v>
      </c>
      <c r="AB382" s="286" t="s">
        <v>1589</v>
      </c>
      <c r="AC382" s="286" t="s">
        <v>1589</v>
      </c>
      <c r="AD382" s="286" t="s">
        <v>1589</v>
      </c>
      <c r="AE382" s="286" t="s">
        <v>1589</v>
      </c>
      <c r="AF382" s="286" t="s">
        <v>1617</v>
      </c>
      <c r="AG382" s="283">
        <v>4</v>
      </c>
      <c r="AH382" s="287" t="s">
        <v>19</v>
      </c>
      <c r="AI382" s="272"/>
      <c r="AJ382" s="288" t="s">
        <v>2032</v>
      </c>
      <c r="AK382" s="288" t="s">
        <v>2032</v>
      </c>
      <c r="AL382" s="288" t="s">
        <v>2032</v>
      </c>
      <c r="AM382" s="288" t="s">
        <v>2032</v>
      </c>
      <c r="AN382" s="288" t="s">
        <v>2032</v>
      </c>
      <c r="AO382" s="288" t="s">
        <v>2032</v>
      </c>
      <c r="AP382" s="288" t="s">
        <v>2032</v>
      </c>
      <c r="AQ382" s="288" t="s">
        <v>2032</v>
      </c>
      <c r="AR382" s="288" t="s">
        <v>2032</v>
      </c>
      <c r="AS382" s="288" t="s">
        <v>2032</v>
      </c>
      <c r="AT382" s="288" t="s">
        <v>2032</v>
      </c>
      <c r="AU382" s="288" t="s">
        <v>2032</v>
      </c>
      <c r="AV382" s="288" t="s">
        <v>2032</v>
      </c>
      <c r="AW382" s="288" t="s">
        <v>2032</v>
      </c>
      <c r="AX382" s="288" t="s">
        <v>2032</v>
      </c>
      <c r="AY382" s="288" t="s">
        <v>2032</v>
      </c>
      <c r="AZ382" s="288" t="s">
        <v>2032</v>
      </c>
      <c r="BA382" s="288" t="s">
        <v>2032</v>
      </c>
      <c r="BB382" s="288" t="s">
        <v>2032</v>
      </c>
      <c r="BC382" s="288" t="s">
        <v>2032</v>
      </c>
      <c r="BD382" s="289">
        <f t="shared" si="1"/>
        <v>0</v>
      </c>
      <c r="BE382" s="287"/>
      <c r="BF382" s="272"/>
    </row>
    <row r="383" spans="1:58" ht="14.25" customHeight="1" x14ac:dyDescent="0.35">
      <c r="A383" s="68">
        <v>381</v>
      </c>
      <c r="B383" s="24" t="s">
        <v>1969</v>
      </c>
      <c r="C383" s="24">
        <v>2024</v>
      </c>
      <c r="D383" s="24" t="s">
        <v>1745</v>
      </c>
      <c r="E383" s="269" t="str">
        <f ca="1">IFERROR(__xludf.DUMMYFUNCTION("ARRAYFORMULA(JOIN("""", ARRAYFORMULA(MID(SPLIT(F383, "" ""), 1, 1))))
&amp;""/""&amp;G383"),"CLQ/4 Primaria")</f>
        <v>CLQ/4 Primaria</v>
      </c>
      <c r="F383" s="24" t="s">
        <v>1755</v>
      </c>
      <c r="G383" s="248" t="s">
        <v>16</v>
      </c>
      <c r="H383" s="248" t="s">
        <v>1973</v>
      </c>
      <c r="I383" s="248" t="s">
        <v>1974</v>
      </c>
      <c r="J383" s="248" t="s">
        <v>1975</v>
      </c>
      <c r="K383" s="248" t="s">
        <v>1593</v>
      </c>
      <c r="L383" s="272"/>
      <c r="M383" s="286" t="s">
        <v>1587</v>
      </c>
      <c r="N383" s="286" t="s">
        <v>1589</v>
      </c>
      <c r="O383" s="286" t="s">
        <v>1589</v>
      </c>
      <c r="P383" s="286" t="s">
        <v>1587</v>
      </c>
      <c r="Q383" s="286" t="s">
        <v>1589</v>
      </c>
      <c r="R383" s="286" t="s">
        <v>1587</v>
      </c>
      <c r="S383" s="286" t="s">
        <v>1588</v>
      </c>
      <c r="T383" s="286" t="s">
        <v>1588</v>
      </c>
      <c r="U383" s="286" t="s">
        <v>1617</v>
      </c>
      <c r="V383" s="286" t="s">
        <v>1589</v>
      </c>
      <c r="W383" s="286" t="s">
        <v>1587</v>
      </c>
      <c r="X383" s="286" t="s">
        <v>1588</v>
      </c>
      <c r="Y383" s="286" t="s">
        <v>1587</v>
      </c>
      <c r="Z383" s="286" t="s">
        <v>1589</v>
      </c>
      <c r="AA383" s="286" t="s">
        <v>1617</v>
      </c>
      <c r="AB383" s="286" t="s">
        <v>1617</v>
      </c>
      <c r="AC383" s="286" t="s">
        <v>1589</v>
      </c>
      <c r="AD383" s="286" t="s">
        <v>1588</v>
      </c>
      <c r="AE383" s="286" t="s">
        <v>1589</v>
      </c>
      <c r="AF383" s="286" t="s">
        <v>1587</v>
      </c>
      <c r="AG383" s="283">
        <v>10</v>
      </c>
      <c r="AH383" s="287" t="s">
        <v>19</v>
      </c>
      <c r="AI383" s="272"/>
      <c r="AJ383" s="288" t="s">
        <v>2032</v>
      </c>
      <c r="AK383" s="288" t="s">
        <v>2032</v>
      </c>
      <c r="AL383" s="288" t="s">
        <v>2032</v>
      </c>
      <c r="AM383" s="288" t="s">
        <v>2032</v>
      </c>
      <c r="AN383" s="288" t="s">
        <v>2032</v>
      </c>
      <c r="AO383" s="288" t="s">
        <v>2032</v>
      </c>
      <c r="AP383" s="288" t="s">
        <v>2032</v>
      </c>
      <c r="AQ383" s="288" t="s">
        <v>2032</v>
      </c>
      <c r="AR383" s="288" t="s">
        <v>2032</v>
      </c>
      <c r="AS383" s="288" t="s">
        <v>2032</v>
      </c>
      <c r="AT383" s="288" t="s">
        <v>2032</v>
      </c>
      <c r="AU383" s="288" t="s">
        <v>2032</v>
      </c>
      <c r="AV383" s="288" t="s">
        <v>2032</v>
      </c>
      <c r="AW383" s="288" t="s">
        <v>2032</v>
      </c>
      <c r="AX383" s="288" t="s">
        <v>2032</v>
      </c>
      <c r="AY383" s="288" t="s">
        <v>2032</v>
      </c>
      <c r="AZ383" s="288" t="s">
        <v>2032</v>
      </c>
      <c r="BA383" s="288" t="s">
        <v>2032</v>
      </c>
      <c r="BB383" s="288" t="s">
        <v>2032</v>
      </c>
      <c r="BC383" s="288" t="s">
        <v>2032</v>
      </c>
      <c r="BD383" s="289">
        <f t="shared" si="1"/>
        <v>0</v>
      </c>
      <c r="BE383" s="287"/>
      <c r="BF383" s="272"/>
    </row>
    <row r="384" spans="1:58" ht="14.25" customHeight="1" x14ac:dyDescent="0.35">
      <c r="A384" s="68">
        <v>382</v>
      </c>
      <c r="B384" s="24" t="s">
        <v>1969</v>
      </c>
      <c r="C384" s="24">
        <v>2024</v>
      </c>
      <c r="D384" s="24" t="s">
        <v>1541</v>
      </c>
      <c r="E384" s="269" t="str">
        <f ca="1">IFERROR(__xludf.DUMMYFUNCTION("ARRAYFORMULA(JOIN("""", ARRAYFORMULA(MID(SPLIT(F384, "" ""), 1, 1))))
&amp;""/""&amp;G384"),"MQ/6 Primaria")</f>
        <v>MQ/6 Primaria</v>
      </c>
      <c r="F384" s="24" t="s">
        <v>1751</v>
      </c>
      <c r="G384" s="248" t="s">
        <v>37</v>
      </c>
      <c r="H384" s="248" t="s">
        <v>1976</v>
      </c>
      <c r="I384" s="248" t="s">
        <v>1694</v>
      </c>
      <c r="J384" s="248" t="s">
        <v>1977</v>
      </c>
      <c r="K384" s="248" t="s">
        <v>1593</v>
      </c>
      <c r="L384" s="272"/>
      <c r="M384" s="286" t="s">
        <v>1588</v>
      </c>
      <c r="N384" s="286" t="s">
        <v>1617</v>
      </c>
      <c r="O384" s="286" t="s">
        <v>1589</v>
      </c>
      <c r="P384" s="286" t="s">
        <v>1587</v>
      </c>
      <c r="Q384" s="286" t="s">
        <v>1587</v>
      </c>
      <c r="R384" s="286" t="s">
        <v>1587</v>
      </c>
      <c r="S384" s="286" t="s">
        <v>1587</v>
      </c>
      <c r="T384" s="286" t="s">
        <v>1587</v>
      </c>
      <c r="U384" s="286" t="s">
        <v>1587</v>
      </c>
      <c r="V384" s="286" t="s">
        <v>1617</v>
      </c>
      <c r="W384" s="286" t="s">
        <v>1617</v>
      </c>
      <c r="X384" s="286" t="s">
        <v>1617</v>
      </c>
      <c r="Y384" s="286" t="s">
        <v>1588</v>
      </c>
      <c r="Z384" s="286" t="s">
        <v>1589</v>
      </c>
      <c r="AA384" s="286" t="s">
        <v>1587</v>
      </c>
      <c r="AB384" s="286" t="s">
        <v>1617</v>
      </c>
      <c r="AC384" s="286" t="s">
        <v>1588</v>
      </c>
      <c r="AD384" s="286" t="s">
        <v>1587</v>
      </c>
      <c r="AE384" s="286" t="s">
        <v>1617</v>
      </c>
      <c r="AF384" s="286" t="s">
        <v>1588</v>
      </c>
      <c r="AG384" s="283">
        <v>17</v>
      </c>
      <c r="AH384" s="287" t="s">
        <v>25</v>
      </c>
      <c r="AI384" s="272"/>
      <c r="AJ384" s="288" t="s">
        <v>2032</v>
      </c>
      <c r="AK384" s="288" t="s">
        <v>2032</v>
      </c>
      <c r="AL384" s="288" t="s">
        <v>2032</v>
      </c>
      <c r="AM384" s="288" t="s">
        <v>2032</v>
      </c>
      <c r="AN384" s="288" t="s">
        <v>2032</v>
      </c>
      <c r="AO384" s="288" t="s">
        <v>2032</v>
      </c>
      <c r="AP384" s="288" t="s">
        <v>2032</v>
      </c>
      <c r="AQ384" s="288" t="s">
        <v>2032</v>
      </c>
      <c r="AR384" s="288" t="s">
        <v>2032</v>
      </c>
      <c r="AS384" s="288" t="s">
        <v>2032</v>
      </c>
      <c r="AT384" s="288" t="s">
        <v>2032</v>
      </c>
      <c r="AU384" s="288" t="s">
        <v>2032</v>
      </c>
      <c r="AV384" s="288" t="s">
        <v>2032</v>
      </c>
      <c r="AW384" s="288" t="s">
        <v>2032</v>
      </c>
      <c r="AX384" s="288" t="s">
        <v>2032</v>
      </c>
      <c r="AY384" s="288" t="s">
        <v>2032</v>
      </c>
      <c r="AZ384" s="288" t="s">
        <v>2032</v>
      </c>
      <c r="BA384" s="288" t="s">
        <v>2032</v>
      </c>
      <c r="BB384" s="288" t="s">
        <v>2032</v>
      </c>
      <c r="BC384" s="288" t="s">
        <v>2032</v>
      </c>
      <c r="BD384" s="289">
        <f t="shared" si="1"/>
        <v>0</v>
      </c>
      <c r="BE384" s="287"/>
      <c r="BF384" s="272"/>
    </row>
    <row r="385" spans="1:58" ht="14.25" customHeight="1" x14ac:dyDescent="0.35">
      <c r="A385" s="68">
        <v>383</v>
      </c>
      <c r="B385" s="24" t="s">
        <v>1969</v>
      </c>
      <c r="C385" s="24">
        <v>2024</v>
      </c>
      <c r="D385" s="24" t="s">
        <v>1745</v>
      </c>
      <c r="E385" s="269" t="str">
        <f ca="1">IFERROR(__xludf.DUMMYFUNCTION("ARRAYFORMULA(JOIN("""", ARRAYFORMULA(MID(SPLIT(F385, "" ""), 1, 1))))
&amp;""/""&amp;G385"),"CLQ/6 Primaria")</f>
        <v>CLQ/6 Primaria</v>
      </c>
      <c r="F385" s="24" t="s">
        <v>1755</v>
      </c>
      <c r="G385" s="248" t="s">
        <v>37</v>
      </c>
      <c r="H385" s="248" t="s">
        <v>1976</v>
      </c>
      <c r="I385" s="248" t="s">
        <v>1694</v>
      </c>
      <c r="J385" s="248" t="s">
        <v>1977</v>
      </c>
      <c r="K385" s="248" t="s">
        <v>1593</v>
      </c>
      <c r="L385" s="272"/>
      <c r="M385" s="286" t="s">
        <v>1589</v>
      </c>
      <c r="N385" s="286" t="s">
        <v>1589</v>
      </c>
      <c r="O385" s="286" t="s">
        <v>1617</v>
      </c>
      <c r="P385" s="286" t="s">
        <v>1588</v>
      </c>
      <c r="Q385" s="286" t="s">
        <v>1588</v>
      </c>
      <c r="R385" s="286" t="s">
        <v>1617</v>
      </c>
      <c r="S385" s="286" t="s">
        <v>1587</v>
      </c>
      <c r="T385" s="286" t="s">
        <v>1617</v>
      </c>
      <c r="U385" s="286" t="s">
        <v>1617</v>
      </c>
      <c r="V385" s="286" t="s">
        <v>1588</v>
      </c>
      <c r="W385" s="286" t="s">
        <v>1587</v>
      </c>
      <c r="X385" s="286" t="s">
        <v>1589</v>
      </c>
      <c r="Y385" s="286" t="s">
        <v>1588</v>
      </c>
      <c r="Z385" s="286" t="s">
        <v>1617</v>
      </c>
      <c r="AA385" s="286" t="s">
        <v>1588</v>
      </c>
      <c r="AB385" s="286" t="s">
        <v>1617</v>
      </c>
      <c r="AC385" s="286" t="s">
        <v>1587</v>
      </c>
      <c r="AD385" s="286" t="s">
        <v>1588</v>
      </c>
      <c r="AE385" s="286" t="s">
        <v>1589</v>
      </c>
      <c r="AF385" s="286" t="s">
        <v>1617</v>
      </c>
      <c r="AG385" s="283">
        <v>11</v>
      </c>
      <c r="AH385" s="287" t="s">
        <v>23</v>
      </c>
      <c r="AI385" s="272"/>
      <c r="AJ385" s="288" t="s">
        <v>2032</v>
      </c>
      <c r="AK385" s="288" t="s">
        <v>2032</v>
      </c>
      <c r="AL385" s="288" t="s">
        <v>2032</v>
      </c>
      <c r="AM385" s="288" t="s">
        <v>2032</v>
      </c>
      <c r="AN385" s="288" t="s">
        <v>2032</v>
      </c>
      <c r="AO385" s="288" t="s">
        <v>2032</v>
      </c>
      <c r="AP385" s="288" t="s">
        <v>2032</v>
      </c>
      <c r="AQ385" s="288" t="s">
        <v>2032</v>
      </c>
      <c r="AR385" s="288" t="s">
        <v>2032</v>
      </c>
      <c r="AS385" s="288" t="s">
        <v>2032</v>
      </c>
      <c r="AT385" s="288" t="s">
        <v>2032</v>
      </c>
      <c r="AU385" s="288" t="s">
        <v>2032</v>
      </c>
      <c r="AV385" s="288" t="s">
        <v>2032</v>
      </c>
      <c r="AW385" s="288" t="s">
        <v>2032</v>
      </c>
      <c r="AX385" s="288" t="s">
        <v>2032</v>
      </c>
      <c r="AY385" s="288" t="s">
        <v>2032</v>
      </c>
      <c r="AZ385" s="288" t="s">
        <v>2032</v>
      </c>
      <c r="BA385" s="288" t="s">
        <v>2032</v>
      </c>
      <c r="BB385" s="288" t="s">
        <v>2032</v>
      </c>
      <c r="BC385" s="288" t="s">
        <v>2032</v>
      </c>
      <c r="BD385" s="289">
        <f t="shared" si="1"/>
        <v>0</v>
      </c>
      <c r="BE385" s="287"/>
      <c r="BF385" s="272"/>
    </row>
    <row r="386" spans="1:58" ht="14.25" customHeight="1" x14ac:dyDescent="0.35">
      <c r="A386" s="68">
        <v>384</v>
      </c>
      <c r="B386" s="24" t="s">
        <v>1978</v>
      </c>
      <c r="C386" s="24">
        <v>2024</v>
      </c>
      <c r="D386" s="24" t="s">
        <v>1541</v>
      </c>
      <c r="E386" s="269" t="str">
        <f ca="1">IFERROR(__xludf.DUMMYFUNCTION("ARRAYFORMULA(JOIN("""", ARRAYFORMULA(MID(SPLIT(F386, "" ""), 1, 1))))
&amp;""/""&amp;G386"),"MQ/2 Primaria")</f>
        <v>MQ/2 Primaria</v>
      </c>
      <c r="F386" s="24" t="s">
        <v>1751</v>
      </c>
      <c r="G386" s="248" t="s">
        <v>45</v>
      </c>
      <c r="H386" s="248" t="s">
        <v>1863</v>
      </c>
      <c r="I386" s="248" t="s">
        <v>1979</v>
      </c>
      <c r="J386" s="248" t="s">
        <v>1980</v>
      </c>
      <c r="K386" s="248" t="s">
        <v>1586</v>
      </c>
      <c r="L386" s="272"/>
      <c r="M386" s="286" t="s">
        <v>1753</v>
      </c>
      <c r="N386" s="286" t="s">
        <v>1753</v>
      </c>
      <c r="O386" s="286" t="s">
        <v>1588</v>
      </c>
      <c r="P386" s="286" t="s">
        <v>1588</v>
      </c>
      <c r="Q386" s="286" t="s">
        <v>1754</v>
      </c>
      <c r="R386" s="286" t="s">
        <v>1588</v>
      </c>
      <c r="S386" s="286" t="s">
        <v>1754</v>
      </c>
      <c r="T386" s="286" t="s">
        <v>1753</v>
      </c>
      <c r="U386" s="286" t="s">
        <v>1753</v>
      </c>
      <c r="V386" s="286" t="s">
        <v>1753</v>
      </c>
      <c r="W386" s="286" t="s">
        <v>1588</v>
      </c>
      <c r="X386" s="286" t="s">
        <v>1754</v>
      </c>
      <c r="Y386" s="286"/>
      <c r="Z386" s="286" t="s">
        <v>1753</v>
      </c>
      <c r="AA386" s="286"/>
      <c r="AB386" s="286"/>
      <c r="AC386" s="286" t="s">
        <v>1753</v>
      </c>
      <c r="AD386" s="286" t="s">
        <v>1753</v>
      </c>
      <c r="AE386" s="286" t="s">
        <v>1588</v>
      </c>
      <c r="AF386" s="286"/>
      <c r="AG386" s="283">
        <v>11</v>
      </c>
      <c r="AH386" s="287" t="s">
        <v>23</v>
      </c>
      <c r="AI386" s="272"/>
      <c r="AJ386" s="288" t="s">
        <v>2032</v>
      </c>
      <c r="AK386" s="288" t="s">
        <v>2032</v>
      </c>
      <c r="AL386" s="288" t="s">
        <v>2032</v>
      </c>
      <c r="AM386" s="288" t="s">
        <v>2032</v>
      </c>
      <c r="AN386" s="288" t="s">
        <v>2032</v>
      </c>
      <c r="AO386" s="288" t="s">
        <v>2032</v>
      </c>
      <c r="AP386" s="288" t="s">
        <v>2032</v>
      </c>
      <c r="AQ386" s="288" t="s">
        <v>2032</v>
      </c>
      <c r="AR386" s="288" t="s">
        <v>2032</v>
      </c>
      <c r="AS386" s="288" t="s">
        <v>2032</v>
      </c>
      <c r="AT386" s="288" t="s">
        <v>2032</v>
      </c>
      <c r="AU386" s="288" t="s">
        <v>2032</v>
      </c>
      <c r="AV386" s="288" t="s">
        <v>2032</v>
      </c>
      <c r="AW386" s="288" t="s">
        <v>2032</v>
      </c>
      <c r="AX386" s="288" t="s">
        <v>2032</v>
      </c>
      <c r="AY386" s="288" t="s">
        <v>2032</v>
      </c>
      <c r="AZ386" s="288" t="s">
        <v>2032</v>
      </c>
      <c r="BA386" s="288" t="s">
        <v>2032</v>
      </c>
      <c r="BB386" s="288" t="s">
        <v>2032</v>
      </c>
      <c r="BC386" s="288" t="s">
        <v>2032</v>
      </c>
      <c r="BD386" s="289">
        <f t="shared" si="1"/>
        <v>0</v>
      </c>
      <c r="BE386" s="287"/>
      <c r="BF386" s="272"/>
    </row>
    <row r="387" spans="1:58" ht="14.25" customHeight="1" x14ac:dyDescent="0.35">
      <c r="A387" s="68">
        <v>385</v>
      </c>
      <c r="B387" s="24" t="s">
        <v>1978</v>
      </c>
      <c r="C387" s="24">
        <v>2024</v>
      </c>
      <c r="D387" s="24" t="s">
        <v>1745</v>
      </c>
      <c r="E387" s="269" t="str">
        <f ca="1">IFERROR(__xludf.DUMMYFUNCTION("ARRAYFORMULA(JOIN("""", ARRAYFORMULA(MID(SPLIT(F387, "" ""), 1, 1))))
&amp;""/""&amp;G387"),"CLQ/2 Primaria")</f>
        <v>CLQ/2 Primaria</v>
      </c>
      <c r="F387" s="24" t="s">
        <v>1755</v>
      </c>
      <c r="G387" s="248" t="s">
        <v>45</v>
      </c>
      <c r="H387" s="248" t="s">
        <v>1863</v>
      </c>
      <c r="I387" s="248" t="s">
        <v>1979</v>
      </c>
      <c r="J387" s="248" t="s">
        <v>1980</v>
      </c>
      <c r="K387" s="248" t="s">
        <v>1586</v>
      </c>
      <c r="L387" s="272"/>
      <c r="M387" s="286" t="s">
        <v>1753</v>
      </c>
      <c r="N387" s="286" t="s">
        <v>1754</v>
      </c>
      <c r="O387" s="286" t="s">
        <v>1588</v>
      </c>
      <c r="P387" s="286" t="s">
        <v>1753</v>
      </c>
      <c r="Q387" s="286" t="s">
        <v>1753</v>
      </c>
      <c r="R387" s="286" t="s">
        <v>1588</v>
      </c>
      <c r="S387" s="286" t="s">
        <v>1588</v>
      </c>
      <c r="T387" s="286" t="s">
        <v>1754</v>
      </c>
      <c r="U387" s="286" t="s">
        <v>1753</v>
      </c>
      <c r="V387" s="286" t="s">
        <v>1588</v>
      </c>
      <c r="W387" s="286" t="s">
        <v>1753</v>
      </c>
      <c r="X387" s="286" t="s">
        <v>1754</v>
      </c>
      <c r="Y387" s="286" t="s">
        <v>1588</v>
      </c>
      <c r="Z387" s="286" t="s">
        <v>1588</v>
      </c>
      <c r="AA387" s="286" t="s">
        <v>1588</v>
      </c>
      <c r="AB387" s="286" t="s">
        <v>1754</v>
      </c>
      <c r="AC387" s="286" t="s">
        <v>1753</v>
      </c>
      <c r="AD387" s="286" t="s">
        <v>1753</v>
      </c>
      <c r="AE387" s="286" t="s">
        <v>1588</v>
      </c>
      <c r="AF387" s="286" t="s">
        <v>1753</v>
      </c>
      <c r="AG387" s="283">
        <v>11</v>
      </c>
      <c r="AH387" s="287" t="s">
        <v>23</v>
      </c>
      <c r="AI387" s="272"/>
      <c r="AJ387" s="288" t="s">
        <v>2032</v>
      </c>
      <c r="AK387" s="288" t="s">
        <v>2032</v>
      </c>
      <c r="AL387" s="288" t="s">
        <v>2032</v>
      </c>
      <c r="AM387" s="288" t="s">
        <v>2032</v>
      </c>
      <c r="AN387" s="288" t="s">
        <v>2032</v>
      </c>
      <c r="AO387" s="288" t="s">
        <v>2032</v>
      </c>
      <c r="AP387" s="288" t="s">
        <v>2032</v>
      </c>
      <c r="AQ387" s="288" t="s">
        <v>2032</v>
      </c>
      <c r="AR387" s="288" t="s">
        <v>2032</v>
      </c>
      <c r="AS387" s="288" t="s">
        <v>2032</v>
      </c>
      <c r="AT387" s="288" t="s">
        <v>2032</v>
      </c>
      <c r="AU387" s="288" t="s">
        <v>2032</v>
      </c>
      <c r="AV387" s="288" t="s">
        <v>2032</v>
      </c>
      <c r="AW387" s="288" t="s">
        <v>2032</v>
      </c>
      <c r="AX387" s="288" t="s">
        <v>2032</v>
      </c>
      <c r="AY387" s="288" t="s">
        <v>2032</v>
      </c>
      <c r="AZ387" s="288" t="s">
        <v>2032</v>
      </c>
      <c r="BA387" s="288" t="s">
        <v>2032</v>
      </c>
      <c r="BB387" s="288" t="s">
        <v>2032</v>
      </c>
      <c r="BC387" s="288" t="s">
        <v>2032</v>
      </c>
      <c r="BD387" s="289">
        <f t="shared" si="1"/>
        <v>0</v>
      </c>
      <c r="BE387" s="287"/>
      <c r="BF387" s="272"/>
    </row>
    <row r="388" spans="1:58" ht="14.25" customHeight="1" x14ac:dyDescent="0.35">
      <c r="A388" s="68">
        <v>386</v>
      </c>
      <c r="B388" s="24" t="s">
        <v>1978</v>
      </c>
      <c r="C388" s="24">
        <v>2024</v>
      </c>
      <c r="D388" s="24" t="s">
        <v>1541</v>
      </c>
      <c r="E388" s="269" t="str">
        <f ca="1">IFERROR(__xludf.DUMMYFUNCTION("ARRAYFORMULA(JOIN("""", ARRAYFORMULA(MID(SPLIT(F388, "" ""), 1, 1))))
&amp;""/""&amp;G388"),"MQ/2 Primaria")</f>
        <v>MQ/2 Primaria</v>
      </c>
      <c r="F388" s="24" t="s">
        <v>1751</v>
      </c>
      <c r="G388" s="248" t="s">
        <v>45</v>
      </c>
      <c r="H388" s="248" t="s">
        <v>1818</v>
      </c>
      <c r="I388" s="248" t="s">
        <v>1981</v>
      </c>
      <c r="J388" s="248" t="s">
        <v>1982</v>
      </c>
      <c r="K388" s="248" t="s">
        <v>1593</v>
      </c>
      <c r="L388" s="272"/>
      <c r="M388" s="286" t="s">
        <v>1753</v>
      </c>
      <c r="N388" s="286" t="s">
        <v>1753</v>
      </c>
      <c r="O388" s="286" t="s">
        <v>1754</v>
      </c>
      <c r="P388" s="286"/>
      <c r="Q388" s="286" t="s">
        <v>1754</v>
      </c>
      <c r="R388" s="286" t="s">
        <v>1753</v>
      </c>
      <c r="S388" s="286" t="s">
        <v>1753</v>
      </c>
      <c r="T388" s="286" t="s">
        <v>1588</v>
      </c>
      <c r="U388" s="286" t="s">
        <v>1754</v>
      </c>
      <c r="V388" s="286" t="s">
        <v>1753</v>
      </c>
      <c r="W388" s="286" t="s">
        <v>1754</v>
      </c>
      <c r="X388" s="286" t="s">
        <v>1753</v>
      </c>
      <c r="Y388" s="286" t="s">
        <v>1588</v>
      </c>
      <c r="Z388" s="286" t="s">
        <v>1753</v>
      </c>
      <c r="AA388" s="286" t="s">
        <v>1588</v>
      </c>
      <c r="AB388" s="286" t="s">
        <v>1753</v>
      </c>
      <c r="AC388" s="286" t="s">
        <v>1588</v>
      </c>
      <c r="AD388" s="286" t="s">
        <v>1588</v>
      </c>
      <c r="AE388" s="286" t="s">
        <v>1588</v>
      </c>
      <c r="AF388" s="286" t="s">
        <v>1753</v>
      </c>
      <c r="AG388" s="283">
        <v>11</v>
      </c>
      <c r="AH388" s="287" t="s">
        <v>23</v>
      </c>
      <c r="AI388" s="272"/>
      <c r="AJ388" s="288" t="s">
        <v>2032</v>
      </c>
      <c r="AK388" s="288" t="s">
        <v>2032</v>
      </c>
      <c r="AL388" s="288" t="s">
        <v>2032</v>
      </c>
      <c r="AM388" s="288" t="s">
        <v>2032</v>
      </c>
      <c r="AN388" s="288" t="s">
        <v>2032</v>
      </c>
      <c r="AO388" s="288" t="s">
        <v>2032</v>
      </c>
      <c r="AP388" s="288" t="s">
        <v>2032</v>
      </c>
      <c r="AQ388" s="288" t="s">
        <v>2032</v>
      </c>
      <c r="AR388" s="288" t="s">
        <v>2032</v>
      </c>
      <c r="AS388" s="288" t="s">
        <v>2032</v>
      </c>
      <c r="AT388" s="288" t="s">
        <v>2032</v>
      </c>
      <c r="AU388" s="288" t="s">
        <v>2032</v>
      </c>
      <c r="AV388" s="288" t="s">
        <v>2032</v>
      </c>
      <c r="AW388" s="288" t="s">
        <v>2032</v>
      </c>
      <c r="AX388" s="288" t="s">
        <v>2032</v>
      </c>
      <c r="AY388" s="288" t="s">
        <v>2032</v>
      </c>
      <c r="AZ388" s="288" t="s">
        <v>2032</v>
      </c>
      <c r="BA388" s="288" t="s">
        <v>2032</v>
      </c>
      <c r="BB388" s="288" t="s">
        <v>2032</v>
      </c>
      <c r="BC388" s="288" t="s">
        <v>2032</v>
      </c>
      <c r="BD388" s="289">
        <f t="shared" si="1"/>
        <v>0</v>
      </c>
      <c r="BE388" s="287"/>
      <c r="BF388" s="272"/>
    </row>
    <row r="389" spans="1:58" ht="14.25" customHeight="1" x14ac:dyDescent="0.35">
      <c r="A389" s="68">
        <v>387</v>
      </c>
      <c r="B389" s="24" t="s">
        <v>1978</v>
      </c>
      <c r="C389" s="24">
        <v>2024</v>
      </c>
      <c r="D389" s="24" t="s">
        <v>1745</v>
      </c>
      <c r="E389" s="269" t="str">
        <f ca="1">IFERROR(__xludf.DUMMYFUNCTION("ARRAYFORMULA(JOIN("""", ARRAYFORMULA(MID(SPLIT(F389, "" ""), 1, 1))))
&amp;""/""&amp;G389"),"CLQ/2 Primaria")</f>
        <v>CLQ/2 Primaria</v>
      </c>
      <c r="F389" s="24" t="s">
        <v>1755</v>
      </c>
      <c r="G389" s="248" t="s">
        <v>45</v>
      </c>
      <c r="H389" s="248" t="s">
        <v>1818</v>
      </c>
      <c r="I389" s="248" t="s">
        <v>1981</v>
      </c>
      <c r="J389" s="248" t="s">
        <v>1982</v>
      </c>
      <c r="K389" s="248" t="s">
        <v>1593</v>
      </c>
      <c r="L389" s="272"/>
      <c r="M389" s="286" t="s">
        <v>1753</v>
      </c>
      <c r="N389" s="286" t="s">
        <v>1753</v>
      </c>
      <c r="O389" s="286" t="s">
        <v>1588</v>
      </c>
      <c r="P389" s="286" t="s">
        <v>1588</v>
      </c>
      <c r="Q389" s="286" t="s">
        <v>1753</v>
      </c>
      <c r="R389" s="286" t="s">
        <v>1588</v>
      </c>
      <c r="S389" s="286" t="s">
        <v>1754</v>
      </c>
      <c r="T389" s="286" t="s">
        <v>1754</v>
      </c>
      <c r="U389" s="286" t="s">
        <v>1754</v>
      </c>
      <c r="V389" s="286" t="s">
        <v>1588</v>
      </c>
      <c r="W389" s="286" t="s">
        <v>1588</v>
      </c>
      <c r="X389" s="286" t="s">
        <v>1588</v>
      </c>
      <c r="Y389" s="286" t="s">
        <v>1754</v>
      </c>
      <c r="Z389" s="286" t="s">
        <v>1754</v>
      </c>
      <c r="AA389" s="286" t="s">
        <v>1754</v>
      </c>
      <c r="AB389" s="286" t="s">
        <v>1754</v>
      </c>
      <c r="AC389" s="286" t="s">
        <v>1588</v>
      </c>
      <c r="AD389" s="286" t="s">
        <v>1753</v>
      </c>
      <c r="AE389" s="286" t="s">
        <v>1588</v>
      </c>
      <c r="AF389" s="286" t="s">
        <v>1753</v>
      </c>
      <c r="AG389" s="283">
        <v>10</v>
      </c>
      <c r="AH389" s="287" t="s">
        <v>19</v>
      </c>
      <c r="AI389" s="272"/>
      <c r="AJ389" s="288" t="s">
        <v>2032</v>
      </c>
      <c r="AK389" s="288" t="s">
        <v>2032</v>
      </c>
      <c r="AL389" s="288" t="s">
        <v>2032</v>
      </c>
      <c r="AM389" s="288" t="s">
        <v>2032</v>
      </c>
      <c r="AN389" s="288" t="s">
        <v>2032</v>
      </c>
      <c r="AO389" s="288" t="s">
        <v>2032</v>
      </c>
      <c r="AP389" s="288" t="s">
        <v>2032</v>
      </c>
      <c r="AQ389" s="288" t="s">
        <v>2032</v>
      </c>
      <c r="AR389" s="288" t="s">
        <v>2032</v>
      </c>
      <c r="AS389" s="288" t="s">
        <v>2032</v>
      </c>
      <c r="AT389" s="288" t="s">
        <v>2032</v>
      </c>
      <c r="AU389" s="288" t="s">
        <v>2032</v>
      </c>
      <c r="AV389" s="288" t="s">
        <v>2032</v>
      </c>
      <c r="AW389" s="288" t="s">
        <v>2032</v>
      </c>
      <c r="AX389" s="288" t="s">
        <v>2032</v>
      </c>
      <c r="AY389" s="288" t="s">
        <v>2032</v>
      </c>
      <c r="AZ389" s="288" t="s">
        <v>2032</v>
      </c>
      <c r="BA389" s="288" t="s">
        <v>2032</v>
      </c>
      <c r="BB389" s="288" t="s">
        <v>2032</v>
      </c>
      <c r="BC389" s="288" t="s">
        <v>2032</v>
      </c>
      <c r="BD389" s="289">
        <f t="shared" si="1"/>
        <v>0</v>
      </c>
      <c r="BE389" s="287"/>
      <c r="BF389" s="272"/>
    </row>
    <row r="390" spans="1:58" ht="14.25" customHeight="1" x14ac:dyDescent="0.35">
      <c r="A390" s="68">
        <v>388</v>
      </c>
      <c r="B390" s="24" t="s">
        <v>1978</v>
      </c>
      <c r="C390" s="24">
        <v>2024</v>
      </c>
      <c r="D390" s="24" t="s">
        <v>1541</v>
      </c>
      <c r="E390" s="269" t="str">
        <f ca="1">IFERROR(__xludf.DUMMYFUNCTION("ARRAYFORMULA(JOIN("""", ARRAYFORMULA(MID(SPLIT(F390, "" ""), 1, 1))))
&amp;""/""&amp;G390"),"MQ/2 Primaria")</f>
        <v>MQ/2 Primaria</v>
      </c>
      <c r="F390" s="24" t="s">
        <v>1751</v>
      </c>
      <c r="G390" s="248" t="s">
        <v>45</v>
      </c>
      <c r="H390" s="248" t="s">
        <v>1983</v>
      </c>
      <c r="I390" s="248" t="s">
        <v>1984</v>
      </c>
      <c r="J390" s="248" t="s">
        <v>1985</v>
      </c>
      <c r="K390" s="248" t="s">
        <v>1593</v>
      </c>
      <c r="L390" s="272"/>
      <c r="M390" s="286" t="s">
        <v>1753</v>
      </c>
      <c r="N390" s="286" t="s">
        <v>1753</v>
      </c>
      <c r="O390" s="286" t="s">
        <v>1754</v>
      </c>
      <c r="P390" s="286" t="s">
        <v>1753</v>
      </c>
      <c r="Q390" s="286" t="s">
        <v>1754</v>
      </c>
      <c r="R390" s="286" t="s">
        <v>1753</v>
      </c>
      <c r="S390" s="286" t="s">
        <v>1754</v>
      </c>
      <c r="T390" s="286" t="s">
        <v>1588</v>
      </c>
      <c r="U390" s="286" t="s">
        <v>1754</v>
      </c>
      <c r="V390" s="286" t="s">
        <v>1588</v>
      </c>
      <c r="W390" s="286" t="s">
        <v>1588</v>
      </c>
      <c r="X390" s="286" t="s">
        <v>1754</v>
      </c>
      <c r="Y390" s="286" t="s">
        <v>1753</v>
      </c>
      <c r="Z390" s="286" t="s">
        <v>1754</v>
      </c>
      <c r="AA390" s="286" t="s">
        <v>1753</v>
      </c>
      <c r="AB390" s="286" t="s">
        <v>1588</v>
      </c>
      <c r="AC390" s="286" t="s">
        <v>1753</v>
      </c>
      <c r="AD390" s="286" t="s">
        <v>1754</v>
      </c>
      <c r="AE390" s="286" t="s">
        <v>1753</v>
      </c>
      <c r="AF390" s="286" t="s">
        <v>1753</v>
      </c>
      <c r="AG390" s="283">
        <v>7</v>
      </c>
      <c r="AH390" s="287" t="s">
        <v>19</v>
      </c>
      <c r="AI390" s="272"/>
      <c r="AJ390" s="288" t="s">
        <v>2032</v>
      </c>
      <c r="AK390" s="288" t="s">
        <v>2032</v>
      </c>
      <c r="AL390" s="288" t="s">
        <v>2032</v>
      </c>
      <c r="AM390" s="288" t="s">
        <v>2032</v>
      </c>
      <c r="AN390" s="288" t="s">
        <v>2032</v>
      </c>
      <c r="AO390" s="288" t="s">
        <v>2032</v>
      </c>
      <c r="AP390" s="288" t="s">
        <v>2032</v>
      </c>
      <c r="AQ390" s="288" t="s">
        <v>2032</v>
      </c>
      <c r="AR390" s="288" t="s">
        <v>2032</v>
      </c>
      <c r="AS390" s="288" t="s">
        <v>2032</v>
      </c>
      <c r="AT390" s="288" t="s">
        <v>2032</v>
      </c>
      <c r="AU390" s="288" t="s">
        <v>2032</v>
      </c>
      <c r="AV390" s="288" t="s">
        <v>2032</v>
      </c>
      <c r="AW390" s="288" t="s">
        <v>2032</v>
      </c>
      <c r="AX390" s="288" t="s">
        <v>2032</v>
      </c>
      <c r="AY390" s="288" t="s">
        <v>2032</v>
      </c>
      <c r="AZ390" s="288" t="s">
        <v>2032</v>
      </c>
      <c r="BA390" s="288" t="s">
        <v>2032</v>
      </c>
      <c r="BB390" s="288" t="s">
        <v>2032</v>
      </c>
      <c r="BC390" s="288" t="s">
        <v>2032</v>
      </c>
      <c r="BD390" s="289">
        <f t="shared" si="1"/>
        <v>0</v>
      </c>
      <c r="BE390" s="287"/>
      <c r="BF390" s="272"/>
    </row>
    <row r="391" spans="1:58" ht="14.25" customHeight="1" x14ac:dyDescent="0.35">
      <c r="A391" s="68">
        <v>389</v>
      </c>
      <c r="B391" s="24" t="s">
        <v>1978</v>
      </c>
      <c r="C391" s="24">
        <v>2024</v>
      </c>
      <c r="D391" s="24" t="s">
        <v>1745</v>
      </c>
      <c r="E391" s="269" t="str">
        <f ca="1">IFERROR(__xludf.DUMMYFUNCTION("ARRAYFORMULA(JOIN("""", ARRAYFORMULA(MID(SPLIT(F391, "" ""), 1, 1))))
&amp;""/""&amp;G391"),"CLQ/2 Primaria")</f>
        <v>CLQ/2 Primaria</v>
      </c>
      <c r="F391" s="24" t="s">
        <v>1755</v>
      </c>
      <c r="G391" s="248" t="s">
        <v>45</v>
      </c>
      <c r="H391" s="248" t="s">
        <v>1983</v>
      </c>
      <c r="I391" s="248" t="s">
        <v>1984</v>
      </c>
      <c r="J391" s="248" t="s">
        <v>1985</v>
      </c>
      <c r="K391" s="248" t="s">
        <v>1593</v>
      </c>
      <c r="L391" s="272"/>
      <c r="M391" s="286" t="s">
        <v>1753</v>
      </c>
      <c r="N391" s="286" t="s">
        <v>1753</v>
      </c>
      <c r="O391" s="286" t="s">
        <v>1754</v>
      </c>
      <c r="P391" s="286" t="s">
        <v>1588</v>
      </c>
      <c r="Q391" s="286" t="s">
        <v>1753</v>
      </c>
      <c r="R391" s="286" t="s">
        <v>1754</v>
      </c>
      <c r="S391" s="286" t="s">
        <v>1754</v>
      </c>
      <c r="T391" s="286" t="s">
        <v>1754</v>
      </c>
      <c r="U391" s="286" t="s">
        <v>1588</v>
      </c>
      <c r="V391" s="286" t="s">
        <v>1753</v>
      </c>
      <c r="W391" s="286" t="s">
        <v>1753</v>
      </c>
      <c r="X391" s="286" t="s">
        <v>1588</v>
      </c>
      <c r="Y391" s="286" t="s">
        <v>1754</v>
      </c>
      <c r="Z391" s="286" t="s">
        <v>1754</v>
      </c>
      <c r="AA391" s="286" t="s">
        <v>1588</v>
      </c>
      <c r="AB391" s="286" t="s">
        <v>1754</v>
      </c>
      <c r="AC391" s="286" t="s">
        <v>1753</v>
      </c>
      <c r="AD391" s="286" t="s">
        <v>1588</v>
      </c>
      <c r="AE391" s="286" t="s">
        <v>1588</v>
      </c>
      <c r="AF391" s="286" t="s">
        <v>1753</v>
      </c>
      <c r="AG391" s="283">
        <v>9</v>
      </c>
      <c r="AH391" s="287" t="s">
        <v>19</v>
      </c>
      <c r="AI391" s="272"/>
      <c r="AJ391" s="288" t="s">
        <v>2032</v>
      </c>
      <c r="AK391" s="288" t="s">
        <v>2032</v>
      </c>
      <c r="AL391" s="288" t="s">
        <v>2032</v>
      </c>
      <c r="AM391" s="288" t="s">
        <v>2032</v>
      </c>
      <c r="AN391" s="288" t="s">
        <v>2032</v>
      </c>
      <c r="AO391" s="288" t="s">
        <v>2032</v>
      </c>
      <c r="AP391" s="288" t="s">
        <v>2032</v>
      </c>
      <c r="AQ391" s="288" t="s">
        <v>2032</v>
      </c>
      <c r="AR391" s="288" t="s">
        <v>2032</v>
      </c>
      <c r="AS391" s="288" t="s">
        <v>2032</v>
      </c>
      <c r="AT391" s="288" t="s">
        <v>2032</v>
      </c>
      <c r="AU391" s="288" t="s">
        <v>2032</v>
      </c>
      <c r="AV391" s="288" t="s">
        <v>2032</v>
      </c>
      <c r="AW391" s="288" t="s">
        <v>2032</v>
      </c>
      <c r="AX391" s="288" t="s">
        <v>2032</v>
      </c>
      <c r="AY391" s="288" t="s">
        <v>2032</v>
      </c>
      <c r="AZ391" s="288" t="s">
        <v>2032</v>
      </c>
      <c r="BA391" s="288" t="s">
        <v>2032</v>
      </c>
      <c r="BB391" s="288" t="s">
        <v>2032</v>
      </c>
      <c r="BC391" s="288" t="s">
        <v>2032</v>
      </c>
      <c r="BD391" s="289">
        <f t="shared" si="1"/>
        <v>0</v>
      </c>
      <c r="BE391" s="287"/>
      <c r="BF391" s="272"/>
    </row>
    <row r="392" spans="1:58" ht="14.25" customHeight="1" x14ac:dyDescent="0.35">
      <c r="A392" s="68">
        <v>390</v>
      </c>
      <c r="B392" s="24" t="s">
        <v>1978</v>
      </c>
      <c r="C392" s="24">
        <v>2024</v>
      </c>
      <c r="D392" s="24" t="s">
        <v>1541</v>
      </c>
      <c r="E392" s="269" t="str">
        <f ca="1">IFERROR(__xludf.DUMMYFUNCTION("ARRAYFORMULA(JOIN("""", ARRAYFORMULA(MID(SPLIT(F392, "" ""), 1, 1))))
&amp;""/""&amp;G392"),"MQ/4 Primaria")</f>
        <v>MQ/4 Primaria</v>
      </c>
      <c r="F392" s="24" t="s">
        <v>1751</v>
      </c>
      <c r="G392" s="248" t="s">
        <v>16</v>
      </c>
      <c r="H392" s="248" t="s">
        <v>1699</v>
      </c>
      <c r="I392" s="248" t="s">
        <v>1612</v>
      </c>
      <c r="J392" s="248" t="s">
        <v>1986</v>
      </c>
      <c r="K392" s="248" t="s">
        <v>1586</v>
      </c>
      <c r="L392" s="272"/>
      <c r="M392" s="286" t="s">
        <v>1617</v>
      </c>
      <c r="N392" s="286" t="s">
        <v>1587</v>
      </c>
      <c r="O392" s="286" t="s">
        <v>1617</v>
      </c>
      <c r="P392" s="286" t="s">
        <v>1617</v>
      </c>
      <c r="Q392" s="286" t="s">
        <v>1589</v>
      </c>
      <c r="R392" s="286" t="s">
        <v>1588</v>
      </c>
      <c r="S392" s="286" t="s">
        <v>1617</v>
      </c>
      <c r="T392" s="286" t="s">
        <v>1589</v>
      </c>
      <c r="U392" s="286" t="s">
        <v>1587</v>
      </c>
      <c r="V392" s="286" t="s">
        <v>1587</v>
      </c>
      <c r="W392" s="286" t="s">
        <v>1587</v>
      </c>
      <c r="X392" s="286" t="s">
        <v>1589</v>
      </c>
      <c r="Y392" s="286" t="s">
        <v>1589</v>
      </c>
      <c r="Z392" s="286" t="s">
        <v>1617</v>
      </c>
      <c r="AA392" s="286" t="s">
        <v>1587</v>
      </c>
      <c r="AB392" s="286" t="s">
        <v>1587</v>
      </c>
      <c r="AC392" s="286" t="s">
        <v>1587</v>
      </c>
      <c r="AD392" s="286" t="s">
        <v>1589</v>
      </c>
      <c r="AE392" s="286" t="s">
        <v>1589</v>
      </c>
      <c r="AF392" s="286" t="s">
        <v>1588</v>
      </c>
      <c r="AG392" s="283">
        <v>11</v>
      </c>
      <c r="AH392" s="287" t="s">
        <v>23</v>
      </c>
      <c r="AI392" s="272"/>
      <c r="AJ392" s="288" t="s">
        <v>2032</v>
      </c>
      <c r="AK392" s="288" t="s">
        <v>2032</v>
      </c>
      <c r="AL392" s="288" t="s">
        <v>2032</v>
      </c>
      <c r="AM392" s="288" t="s">
        <v>2032</v>
      </c>
      <c r="AN392" s="288" t="s">
        <v>2032</v>
      </c>
      <c r="AO392" s="288" t="s">
        <v>2032</v>
      </c>
      <c r="AP392" s="288" t="s">
        <v>2032</v>
      </c>
      <c r="AQ392" s="288" t="s">
        <v>2032</v>
      </c>
      <c r="AR392" s="288" t="s">
        <v>2032</v>
      </c>
      <c r="AS392" s="288" t="s">
        <v>2032</v>
      </c>
      <c r="AT392" s="288" t="s">
        <v>2032</v>
      </c>
      <c r="AU392" s="288" t="s">
        <v>2032</v>
      </c>
      <c r="AV392" s="288" t="s">
        <v>2032</v>
      </c>
      <c r="AW392" s="288" t="s">
        <v>2032</v>
      </c>
      <c r="AX392" s="288" t="s">
        <v>2032</v>
      </c>
      <c r="AY392" s="288" t="s">
        <v>2032</v>
      </c>
      <c r="AZ392" s="288" t="s">
        <v>2032</v>
      </c>
      <c r="BA392" s="288" t="s">
        <v>2032</v>
      </c>
      <c r="BB392" s="288" t="s">
        <v>2032</v>
      </c>
      <c r="BC392" s="288" t="s">
        <v>2032</v>
      </c>
      <c r="BD392" s="289">
        <f t="shared" si="1"/>
        <v>0</v>
      </c>
      <c r="BE392" s="287"/>
      <c r="BF392" s="272"/>
    </row>
    <row r="393" spans="1:58" ht="14.25" customHeight="1" x14ac:dyDescent="0.35">
      <c r="A393" s="68">
        <v>391</v>
      </c>
      <c r="B393" s="24" t="s">
        <v>1978</v>
      </c>
      <c r="C393" s="24">
        <v>2024</v>
      </c>
      <c r="D393" s="24" t="s">
        <v>1745</v>
      </c>
      <c r="E393" s="269" t="str">
        <f ca="1">IFERROR(__xludf.DUMMYFUNCTION("ARRAYFORMULA(JOIN("""", ARRAYFORMULA(MID(SPLIT(F393, "" ""), 1, 1))))
&amp;""/""&amp;G393"),"CLQ/4 Primaria")</f>
        <v>CLQ/4 Primaria</v>
      </c>
      <c r="F393" s="24" t="s">
        <v>1755</v>
      </c>
      <c r="G393" s="248" t="s">
        <v>16</v>
      </c>
      <c r="H393" s="248" t="s">
        <v>1699</v>
      </c>
      <c r="I393" s="248" t="s">
        <v>1612</v>
      </c>
      <c r="J393" s="248" t="s">
        <v>1986</v>
      </c>
      <c r="K393" s="248" t="s">
        <v>1586</v>
      </c>
      <c r="L393" s="272"/>
      <c r="M393" s="286" t="s">
        <v>1587</v>
      </c>
      <c r="N393" s="286" t="s">
        <v>1588</v>
      </c>
      <c r="O393" s="286" t="s">
        <v>1588</v>
      </c>
      <c r="P393" s="286" t="s">
        <v>1617</v>
      </c>
      <c r="Q393" s="286" t="s">
        <v>1589</v>
      </c>
      <c r="R393" s="286" t="s">
        <v>1588</v>
      </c>
      <c r="S393" s="286" t="s">
        <v>1588</v>
      </c>
      <c r="T393" s="286" t="s">
        <v>1589</v>
      </c>
      <c r="U393" s="286" t="s">
        <v>1617</v>
      </c>
      <c r="V393" s="286" t="s">
        <v>1589</v>
      </c>
      <c r="W393" s="286" t="s">
        <v>1588</v>
      </c>
      <c r="X393" s="286" t="s">
        <v>1617</v>
      </c>
      <c r="Y393" s="286" t="s">
        <v>1587</v>
      </c>
      <c r="Z393" s="286" t="s">
        <v>1587</v>
      </c>
      <c r="AA393" s="286" t="s">
        <v>1588</v>
      </c>
      <c r="AB393" s="286" t="s">
        <v>1617</v>
      </c>
      <c r="AC393" s="286" t="s">
        <v>1589</v>
      </c>
      <c r="AD393" s="286" t="s">
        <v>1617</v>
      </c>
      <c r="AE393" s="286" t="s">
        <v>1588</v>
      </c>
      <c r="AF393" s="286" t="s">
        <v>1588</v>
      </c>
      <c r="AG393" s="283">
        <v>12</v>
      </c>
      <c r="AH393" s="287" t="s">
        <v>23</v>
      </c>
      <c r="AI393" s="272"/>
      <c r="AJ393" s="288" t="s">
        <v>2032</v>
      </c>
      <c r="AK393" s="288" t="s">
        <v>2032</v>
      </c>
      <c r="AL393" s="288" t="s">
        <v>2032</v>
      </c>
      <c r="AM393" s="288" t="s">
        <v>2032</v>
      </c>
      <c r="AN393" s="288" t="s">
        <v>2032</v>
      </c>
      <c r="AO393" s="288" t="s">
        <v>2032</v>
      </c>
      <c r="AP393" s="288" t="s">
        <v>2032</v>
      </c>
      <c r="AQ393" s="288" t="s">
        <v>2032</v>
      </c>
      <c r="AR393" s="288" t="s">
        <v>2032</v>
      </c>
      <c r="AS393" s="288" t="s">
        <v>2032</v>
      </c>
      <c r="AT393" s="288" t="s">
        <v>2032</v>
      </c>
      <c r="AU393" s="288" t="s">
        <v>2032</v>
      </c>
      <c r="AV393" s="288" t="s">
        <v>2032</v>
      </c>
      <c r="AW393" s="288" t="s">
        <v>2032</v>
      </c>
      <c r="AX393" s="288" t="s">
        <v>2032</v>
      </c>
      <c r="AY393" s="288" t="s">
        <v>2032</v>
      </c>
      <c r="AZ393" s="288" t="s">
        <v>2032</v>
      </c>
      <c r="BA393" s="288" t="s">
        <v>2032</v>
      </c>
      <c r="BB393" s="288" t="s">
        <v>2032</v>
      </c>
      <c r="BC393" s="288" t="s">
        <v>2032</v>
      </c>
      <c r="BD393" s="289">
        <f t="shared" si="1"/>
        <v>0</v>
      </c>
      <c r="BE393" s="287"/>
      <c r="BF393" s="272"/>
    </row>
    <row r="394" spans="1:58" ht="14.25" customHeight="1" x14ac:dyDescent="0.35">
      <c r="A394" s="68">
        <v>392</v>
      </c>
      <c r="B394" s="24" t="s">
        <v>1978</v>
      </c>
      <c r="C394" s="24">
        <v>2024</v>
      </c>
      <c r="D394" s="24" t="s">
        <v>1541</v>
      </c>
      <c r="E394" s="269" t="str">
        <f ca="1">IFERROR(__xludf.DUMMYFUNCTION("ARRAYFORMULA(JOIN("""", ARRAYFORMULA(MID(SPLIT(F394, "" ""), 1, 1))))
&amp;""/""&amp;G394"),"MQ/4 Primaria")</f>
        <v>MQ/4 Primaria</v>
      </c>
      <c r="F394" s="24" t="s">
        <v>1751</v>
      </c>
      <c r="G394" s="248" t="s">
        <v>16</v>
      </c>
      <c r="H394" s="248" t="s">
        <v>1785</v>
      </c>
      <c r="I394" s="248" t="s">
        <v>1612</v>
      </c>
      <c r="J394" s="248" t="s">
        <v>1987</v>
      </c>
      <c r="K394" s="248" t="s">
        <v>1593</v>
      </c>
      <c r="L394" s="272"/>
      <c r="M394" s="286" t="s">
        <v>1587</v>
      </c>
      <c r="N394" s="286" t="s">
        <v>1587</v>
      </c>
      <c r="O394" s="286" t="s">
        <v>1617</v>
      </c>
      <c r="P394" s="286" t="s">
        <v>1587</v>
      </c>
      <c r="Q394" s="286" t="s">
        <v>1587</v>
      </c>
      <c r="R394" s="286" t="s">
        <v>1587</v>
      </c>
      <c r="S394" s="286" t="s">
        <v>1589</v>
      </c>
      <c r="T394" s="286" t="s">
        <v>1617</v>
      </c>
      <c r="U394" s="286" t="s">
        <v>1588</v>
      </c>
      <c r="V394" s="286" t="s">
        <v>1589</v>
      </c>
      <c r="W394" s="286" t="s">
        <v>1588</v>
      </c>
      <c r="X394" s="286" t="s">
        <v>1589</v>
      </c>
      <c r="Y394" s="286" t="s">
        <v>1617</v>
      </c>
      <c r="Z394" s="286" t="s">
        <v>1588</v>
      </c>
      <c r="AA394" s="286" t="s">
        <v>1587</v>
      </c>
      <c r="AB394" s="286" t="s">
        <v>1587</v>
      </c>
      <c r="AC394" s="286" t="s">
        <v>1587</v>
      </c>
      <c r="AD394" s="286" t="s">
        <v>1589</v>
      </c>
      <c r="AE394" s="286" t="s">
        <v>1589</v>
      </c>
      <c r="AF394" s="286" t="s">
        <v>1617</v>
      </c>
      <c r="AG394" s="283">
        <v>5</v>
      </c>
      <c r="AH394" s="287" t="s">
        <v>19</v>
      </c>
      <c r="AI394" s="272"/>
      <c r="AJ394" s="288" t="s">
        <v>2032</v>
      </c>
      <c r="AK394" s="288" t="s">
        <v>2032</v>
      </c>
      <c r="AL394" s="288" t="s">
        <v>2032</v>
      </c>
      <c r="AM394" s="288" t="s">
        <v>2032</v>
      </c>
      <c r="AN394" s="288" t="s">
        <v>2032</v>
      </c>
      <c r="AO394" s="288" t="s">
        <v>2032</v>
      </c>
      <c r="AP394" s="288" t="s">
        <v>2032</v>
      </c>
      <c r="AQ394" s="288" t="s">
        <v>2032</v>
      </c>
      <c r="AR394" s="288" t="s">
        <v>2032</v>
      </c>
      <c r="AS394" s="288" t="s">
        <v>2032</v>
      </c>
      <c r="AT394" s="288" t="s">
        <v>2032</v>
      </c>
      <c r="AU394" s="288" t="s">
        <v>2032</v>
      </c>
      <c r="AV394" s="288" t="s">
        <v>2032</v>
      </c>
      <c r="AW394" s="288" t="s">
        <v>2032</v>
      </c>
      <c r="AX394" s="288" t="s">
        <v>2032</v>
      </c>
      <c r="AY394" s="288" t="s">
        <v>2032</v>
      </c>
      <c r="AZ394" s="288" t="s">
        <v>2032</v>
      </c>
      <c r="BA394" s="288" t="s">
        <v>2032</v>
      </c>
      <c r="BB394" s="288" t="s">
        <v>2032</v>
      </c>
      <c r="BC394" s="288" t="s">
        <v>2032</v>
      </c>
      <c r="BD394" s="289">
        <f t="shared" si="1"/>
        <v>0</v>
      </c>
      <c r="BE394" s="287"/>
      <c r="BF394" s="272"/>
    </row>
    <row r="395" spans="1:58" ht="14.25" customHeight="1" x14ac:dyDescent="0.35">
      <c r="A395" s="68">
        <v>393</v>
      </c>
      <c r="B395" s="24" t="s">
        <v>1978</v>
      </c>
      <c r="C395" s="24">
        <v>2024</v>
      </c>
      <c r="D395" s="24" t="s">
        <v>1745</v>
      </c>
      <c r="E395" s="269" t="str">
        <f ca="1">IFERROR(__xludf.DUMMYFUNCTION("ARRAYFORMULA(JOIN("""", ARRAYFORMULA(MID(SPLIT(F395, "" ""), 1, 1))))
&amp;""/""&amp;G395"),"CLQ/4 Primaria")</f>
        <v>CLQ/4 Primaria</v>
      </c>
      <c r="F395" s="24" t="s">
        <v>1755</v>
      </c>
      <c r="G395" s="248" t="s">
        <v>16</v>
      </c>
      <c r="H395" s="248" t="s">
        <v>1785</v>
      </c>
      <c r="I395" s="248" t="s">
        <v>1612</v>
      </c>
      <c r="J395" s="248" t="s">
        <v>1987</v>
      </c>
      <c r="K395" s="248" t="s">
        <v>1593</v>
      </c>
      <c r="L395" s="272"/>
      <c r="M395" s="286" t="s">
        <v>1587</v>
      </c>
      <c r="N395" s="286" t="s">
        <v>1588</v>
      </c>
      <c r="O395" s="286" t="s">
        <v>1588</v>
      </c>
      <c r="P395" s="286" t="s">
        <v>1617</v>
      </c>
      <c r="Q395" s="286" t="s">
        <v>1617</v>
      </c>
      <c r="R395" s="286" t="s">
        <v>1589</v>
      </c>
      <c r="S395" s="286" t="s">
        <v>1617</v>
      </c>
      <c r="T395" s="286" t="s">
        <v>1587</v>
      </c>
      <c r="U395" s="286" t="s">
        <v>1589</v>
      </c>
      <c r="V395" s="286" t="s">
        <v>1587</v>
      </c>
      <c r="W395" s="286" t="s">
        <v>1589</v>
      </c>
      <c r="X395" s="286" t="s">
        <v>1617</v>
      </c>
      <c r="Y395" s="286" t="s">
        <v>1617</v>
      </c>
      <c r="Z395" s="286" t="s">
        <v>1589</v>
      </c>
      <c r="AA395" s="286" t="s">
        <v>1617</v>
      </c>
      <c r="AB395" s="286" t="s">
        <v>1587</v>
      </c>
      <c r="AC395" s="286" t="s">
        <v>1587</v>
      </c>
      <c r="AD395" s="286" t="s">
        <v>1587</v>
      </c>
      <c r="AE395" s="286" t="s">
        <v>1588</v>
      </c>
      <c r="AF395" s="286" t="s">
        <v>1617</v>
      </c>
      <c r="AG395" s="283">
        <v>3</v>
      </c>
      <c r="AH395" s="287" t="s">
        <v>19</v>
      </c>
      <c r="AI395" s="272"/>
      <c r="AJ395" s="288" t="s">
        <v>2032</v>
      </c>
      <c r="AK395" s="288" t="s">
        <v>2032</v>
      </c>
      <c r="AL395" s="288" t="s">
        <v>2032</v>
      </c>
      <c r="AM395" s="288" t="s">
        <v>2032</v>
      </c>
      <c r="AN395" s="288" t="s">
        <v>2032</v>
      </c>
      <c r="AO395" s="288" t="s">
        <v>2032</v>
      </c>
      <c r="AP395" s="288" t="s">
        <v>2032</v>
      </c>
      <c r="AQ395" s="288" t="s">
        <v>2032</v>
      </c>
      <c r="AR395" s="288" t="s">
        <v>2032</v>
      </c>
      <c r="AS395" s="288" t="s">
        <v>2032</v>
      </c>
      <c r="AT395" s="288" t="s">
        <v>2032</v>
      </c>
      <c r="AU395" s="288" t="s">
        <v>2032</v>
      </c>
      <c r="AV395" s="288" t="s">
        <v>2032</v>
      </c>
      <c r="AW395" s="288" t="s">
        <v>2032</v>
      </c>
      <c r="AX395" s="288" t="s">
        <v>2032</v>
      </c>
      <c r="AY395" s="288" t="s">
        <v>2032</v>
      </c>
      <c r="AZ395" s="288" t="s">
        <v>2032</v>
      </c>
      <c r="BA395" s="288" t="s">
        <v>2032</v>
      </c>
      <c r="BB395" s="288" t="s">
        <v>2032</v>
      </c>
      <c r="BC395" s="288" t="s">
        <v>2032</v>
      </c>
      <c r="BD395" s="289">
        <f t="shared" si="1"/>
        <v>0</v>
      </c>
      <c r="BE395" s="287"/>
      <c r="BF395" s="272"/>
    </row>
    <row r="396" spans="1:58" ht="14.25" customHeight="1" x14ac:dyDescent="0.35">
      <c r="A396" s="68">
        <v>394</v>
      </c>
      <c r="B396" s="24" t="s">
        <v>1978</v>
      </c>
      <c r="C396" s="24">
        <v>2024</v>
      </c>
      <c r="D396" s="24" t="s">
        <v>1541</v>
      </c>
      <c r="E396" s="269" t="str">
        <f ca="1">IFERROR(__xludf.DUMMYFUNCTION("ARRAYFORMULA(JOIN("""", ARRAYFORMULA(MID(SPLIT(F396, "" ""), 1, 1))))
&amp;""/""&amp;G396"),"MQ/4 Primaria")</f>
        <v>MQ/4 Primaria</v>
      </c>
      <c r="F396" s="24" t="s">
        <v>1751</v>
      </c>
      <c r="G396" s="248" t="s">
        <v>16</v>
      </c>
      <c r="H396" s="248" t="s">
        <v>1863</v>
      </c>
      <c r="I396" s="248" t="s">
        <v>1890</v>
      </c>
      <c r="J396" s="248" t="s">
        <v>1787</v>
      </c>
      <c r="K396" s="248" t="s">
        <v>1586</v>
      </c>
      <c r="L396" s="272"/>
      <c r="M396" s="286" t="s">
        <v>1587</v>
      </c>
      <c r="N396" s="286" t="s">
        <v>1589</v>
      </c>
      <c r="O396" s="286" t="s">
        <v>1588</v>
      </c>
      <c r="P396" s="286" t="s">
        <v>1588</v>
      </c>
      <c r="Q396" s="286" t="s">
        <v>1589</v>
      </c>
      <c r="R396" s="286" t="s">
        <v>1587</v>
      </c>
      <c r="S396" s="286" t="s">
        <v>1588</v>
      </c>
      <c r="T396" s="286" t="s">
        <v>1588</v>
      </c>
      <c r="U396" s="286" t="s">
        <v>1588</v>
      </c>
      <c r="V396" s="286" t="s">
        <v>1617</v>
      </c>
      <c r="W396" s="286" t="s">
        <v>1587</v>
      </c>
      <c r="X396" s="286" t="s">
        <v>1588</v>
      </c>
      <c r="Y396" s="286" t="s">
        <v>1589</v>
      </c>
      <c r="Z396" s="286" t="s">
        <v>1587</v>
      </c>
      <c r="AA396" s="286" t="s">
        <v>1589</v>
      </c>
      <c r="AB396" s="286" t="s">
        <v>1587</v>
      </c>
      <c r="AC396" s="286" t="s">
        <v>1587</v>
      </c>
      <c r="AD396" s="286" t="s">
        <v>1587</v>
      </c>
      <c r="AE396" s="286" t="s">
        <v>1589</v>
      </c>
      <c r="AF396" s="286" t="s">
        <v>1588</v>
      </c>
      <c r="AG396" s="283">
        <v>5</v>
      </c>
      <c r="AH396" s="287" t="s">
        <v>19</v>
      </c>
      <c r="AI396" s="272"/>
      <c r="AJ396" s="288" t="s">
        <v>2032</v>
      </c>
      <c r="AK396" s="288" t="s">
        <v>2032</v>
      </c>
      <c r="AL396" s="288" t="s">
        <v>2032</v>
      </c>
      <c r="AM396" s="288" t="s">
        <v>2032</v>
      </c>
      <c r="AN396" s="288" t="s">
        <v>2032</v>
      </c>
      <c r="AO396" s="288" t="s">
        <v>2032</v>
      </c>
      <c r="AP396" s="288" t="s">
        <v>2032</v>
      </c>
      <c r="AQ396" s="288" t="s">
        <v>2032</v>
      </c>
      <c r="AR396" s="288" t="s">
        <v>2032</v>
      </c>
      <c r="AS396" s="288" t="s">
        <v>2032</v>
      </c>
      <c r="AT396" s="288" t="s">
        <v>2032</v>
      </c>
      <c r="AU396" s="288" t="s">
        <v>2032</v>
      </c>
      <c r="AV396" s="288" t="s">
        <v>2032</v>
      </c>
      <c r="AW396" s="288" t="s">
        <v>2032</v>
      </c>
      <c r="AX396" s="288" t="s">
        <v>2032</v>
      </c>
      <c r="AY396" s="288" t="s">
        <v>2032</v>
      </c>
      <c r="AZ396" s="288" t="s">
        <v>2032</v>
      </c>
      <c r="BA396" s="288" t="s">
        <v>2032</v>
      </c>
      <c r="BB396" s="288" t="s">
        <v>2032</v>
      </c>
      <c r="BC396" s="288" t="s">
        <v>2032</v>
      </c>
      <c r="BD396" s="289">
        <f t="shared" si="1"/>
        <v>0</v>
      </c>
      <c r="BE396" s="287"/>
      <c r="BF396" s="272"/>
    </row>
    <row r="397" spans="1:58" ht="14.25" customHeight="1" x14ac:dyDescent="0.35">
      <c r="A397" s="68">
        <v>395</v>
      </c>
      <c r="B397" s="24" t="s">
        <v>1978</v>
      </c>
      <c r="C397" s="24">
        <v>2024</v>
      </c>
      <c r="D397" s="24" t="s">
        <v>1745</v>
      </c>
      <c r="E397" s="269" t="str">
        <f ca="1">IFERROR(__xludf.DUMMYFUNCTION("ARRAYFORMULA(JOIN("""", ARRAYFORMULA(MID(SPLIT(F397, "" ""), 1, 1))))
&amp;""/""&amp;G397"),"CLQ/4 Primaria")</f>
        <v>CLQ/4 Primaria</v>
      </c>
      <c r="F397" s="24" t="s">
        <v>1755</v>
      </c>
      <c r="G397" s="248" t="s">
        <v>16</v>
      </c>
      <c r="H397" s="248" t="s">
        <v>1863</v>
      </c>
      <c r="I397" s="248" t="s">
        <v>1890</v>
      </c>
      <c r="J397" s="248" t="s">
        <v>1787</v>
      </c>
      <c r="K397" s="248" t="s">
        <v>1586</v>
      </c>
      <c r="L397" s="272"/>
      <c r="M397" s="286" t="s">
        <v>1587</v>
      </c>
      <c r="N397" s="286" t="s">
        <v>1589</v>
      </c>
      <c r="O397" s="286" t="s">
        <v>1589</v>
      </c>
      <c r="P397" s="286" t="s">
        <v>1587</v>
      </c>
      <c r="Q397" s="286" t="s">
        <v>1588</v>
      </c>
      <c r="R397" s="286" t="s">
        <v>1588</v>
      </c>
      <c r="S397" s="286" t="s">
        <v>1617</v>
      </c>
      <c r="T397" s="286" t="s">
        <v>1589</v>
      </c>
      <c r="U397" s="286" t="s">
        <v>1617</v>
      </c>
      <c r="V397" s="286" t="s">
        <v>1589</v>
      </c>
      <c r="W397" s="286" t="s">
        <v>1617</v>
      </c>
      <c r="X397" s="286" t="s">
        <v>1587</v>
      </c>
      <c r="Y397" s="286" t="s">
        <v>1588</v>
      </c>
      <c r="Z397" s="286" t="s">
        <v>1587</v>
      </c>
      <c r="AA397" s="286" t="s">
        <v>1588</v>
      </c>
      <c r="AB397" s="286" t="s">
        <v>1617</v>
      </c>
      <c r="AC397" s="286" t="s">
        <v>1589</v>
      </c>
      <c r="AD397" s="286" t="s">
        <v>1588</v>
      </c>
      <c r="AE397" s="286" t="s">
        <v>1589</v>
      </c>
      <c r="AF397" s="286" t="s">
        <v>1589</v>
      </c>
      <c r="AG397" s="283">
        <v>10</v>
      </c>
      <c r="AH397" s="287" t="s">
        <v>19</v>
      </c>
      <c r="AI397" s="272"/>
      <c r="AJ397" s="288" t="s">
        <v>2032</v>
      </c>
      <c r="AK397" s="288" t="s">
        <v>2032</v>
      </c>
      <c r="AL397" s="288" t="s">
        <v>2032</v>
      </c>
      <c r="AM397" s="288" t="s">
        <v>2032</v>
      </c>
      <c r="AN397" s="288" t="s">
        <v>2032</v>
      </c>
      <c r="AO397" s="288" t="s">
        <v>2032</v>
      </c>
      <c r="AP397" s="288" t="s">
        <v>2032</v>
      </c>
      <c r="AQ397" s="288" t="s">
        <v>2032</v>
      </c>
      <c r="AR397" s="288" t="s">
        <v>2032</v>
      </c>
      <c r="AS397" s="288" t="s">
        <v>2032</v>
      </c>
      <c r="AT397" s="288" t="s">
        <v>2032</v>
      </c>
      <c r="AU397" s="288" t="s">
        <v>2032</v>
      </c>
      <c r="AV397" s="288" t="s">
        <v>2032</v>
      </c>
      <c r="AW397" s="288" t="s">
        <v>2032</v>
      </c>
      <c r="AX397" s="288" t="s">
        <v>2032</v>
      </c>
      <c r="AY397" s="288" t="s">
        <v>2032</v>
      </c>
      <c r="AZ397" s="288" t="s">
        <v>2032</v>
      </c>
      <c r="BA397" s="288" t="s">
        <v>2032</v>
      </c>
      <c r="BB397" s="288" t="s">
        <v>2032</v>
      </c>
      <c r="BC397" s="288" t="s">
        <v>2032</v>
      </c>
      <c r="BD397" s="289">
        <f t="shared" si="1"/>
        <v>0</v>
      </c>
      <c r="BE397" s="287"/>
      <c r="BF397" s="272"/>
    </row>
    <row r="398" spans="1:58" ht="14.25" customHeight="1" x14ac:dyDescent="0.35">
      <c r="A398" s="68">
        <v>396</v>
      </c>
      <c r="B398" s="24" t="s">
        <v>1978</v>
      </c>
      <c r="C398" s="24">
        <v>2024</v>
      </c>
      <c r="D398" s="24" t="s">
        <v>1541</v>
      </c>
      <c r="E398" s="269" t="str">
        <f ca="1">IFERROR(__xludf.DUMMYFUNCTION("ARRAYFORMULA(JOIN("""", ARRAYFORMULA(MID(SPLIT(F398, "" ""), 1, 1))))
&amp;""/""&amp;G398"),"MQ/4 Primaria")</f>
        <v>MQ/4 Primaria</v>
      </c>
      <c r="F398" s="24" t="s">
        <v>1751</v>
      </c>
      <c r="G398" s="248" t="s">
        <v>16</v>
      </c>
      <c r="H398" s="248" t="s">
        <v>1790</v>
      </c>
      <c r="I398" s="248" t="s">
        <v>1665</v>
      </c>
      <c r="J398" s="248" t="s">
        <v>1988</v>
      </c>
      <c r="K398" s="248" t="s">
        <v>1586</v>
      </c>
      <c r="L398" s="272"/>
      <c r="M398" s="286" t="s">
        <v>1617</v>
      </c>
      <c r="N398" s="286" t="s">
        <v>1589</v>
      </c>
      <c r="O398" s="286" t="s">
        <v>1617</v>
      </c>
      <c r="P398" s="286" t="s">
        <v>1588</v>
      </c>
      <c r="Q398" s="286" t="s">
        <v>1589</v>
      </c>
      <c r="R398" s="286" t="s">
        <v>1617</v>
      </c>
      <c r="S398" s="286" t="s">
        <v>1588</v>
      </c>
      <c r="T398" s="286" t="s">
        <v>1617</v>
      </c>
      <c r="U398" s="286" t="s">
        <v>1589</v>
      </c>
      <c r="V398" s="286" t="s">
        <v>1588</v>
      </c>
      <c r="W398" s="286" t="s">
        <v>1588</v>
      </c>
      <c r="X398" s="286" t="s">
        <v>1588</v>
      </c>
      <c r="Y398" s="286" t="s">
        <v>1588</v>
      </c>
      <c r="Z398" s="286" t="s">
        <v>1587</v>
      </c>
      <c r="AA398" s="286" t="s">
        <v>1588</v>
      </c>
      <c r="AB398" s="286" t="s">
        <v>1587</v>
      </c>
      <c r="AC398" s="286" t="s">
        <v>1587</v>
      </c>
      <c r="AD398" s="286" t="s">
        <v>1589</v>
      </c>
      <c r="AE398" s="286" t="s">
        <v>1587</v>
      </c>
      <c r="AF398" s="286" t="s">
        <v>1588</v>
      </c>
      <c r="AG398" s="283">
        <v>11</v>
      </c>
      <c r="AH398" s="287" t="s">
        <v>23</v>
      </c>
      <c r="AI398" s="272"/>
      <c r="AJ398" s="288" t="s">
        <v>2032</v>
      </c>
      <c r="AK398" s="288" t="s">
        <v>2032</v>
      </c>
      <c r="AL398" s="288" t="s">
        <v>2032</v>
      </c>
      <c r="AM398" s="288" t="s">
        <v>2032</v>
      </c>
      <c r="AN398" s="288" t="s">
        <v>2032</v>
      </c>
      <c r="AO398" s="288" t="s">
        <v>2032</v>
      </c>
      <c r="AP398" s="288" t="s">
        <v>2032</v>
      </c>
      <c r="AQ398" s="288" t="s">
        <v>2032</v>
      </c>
      <c r="AR398" s="288" t="s">
        <v>2032</v>
      </c>
      <c r="AS398" s="288" t="s">
        <v>2032</v>
      </c>
      <c r="AT398" s="288" t="s">
        <v>2032</v>
      </c>
      <c r="AU398" s="288" t="s">
        <v>2032</v>
      </c>
      <c r="AV398" s="288" t="s">
        <v>2032</v>
      </c>
      <c r="AW398" s="288" t="s">
        <v>2032</v>
      </c>
      <c r="AX398" s="288" t="s">
        <v>2032</v>
      </c>
      <c r="AY398" s="288" t="s">
        <v>2032</v>
      </c>
      <c r="AZ398" s="288" t="s">
        <v>2032</v>
      </c>
      <c r="BA398" s="288" t="s">
        <v>2032</v>
      </c>
      <c r="BB398" s="288" t="s">
        <v>2032</v>
      </c>
      <c r="BC398" s="288" t="s">
        <v>2032</v>
      </c>
      <c r="BD398" s="289">
        <f t="shared" si="1"/>
        <v>0</v>
      </c>
      <c r="BE398" s="287"/>
      <c r="BF398" s="272"/>
    </row>
    <row r="399" spans="1:58" ht="14.25" customHeight="1" x14ac:dyDescent="0.35">
      <c r="A399" s="68">
        <v>397</v>
      </c>
      <c r="B399" s="24" t="s">
        <v>1978</v>
      </c>
      <c r="C399" s="24">
        <v>2024</v>
      </c>
      <c r="D399" s="24" t="s">
        <v>1745</v>
      </c>
      <c r="E399" s="269" t="str">
        <f ca="1">IFERROR(__xludf.DUMMYFUNCTION("ARRAYFORMULA(JOIN("""", ARRAYFORMULA(MID(SPLIT(F399, "" ""), 1, 1))))
&amp;""/""&amp;G399"),"CLQ/4 Primaria")</f>
        <v>CLQ/4 Primaria</v>
      </c>
      <c r="F399" s="24" t="s">
        <v>1755</v>
      </c>
      <c r="G399" s="248" t="s">
        <v>16</v>
      </c>
      <c r="H399" s="248" t="s">
        <v>1790</v>
      </c>
      <c r="I399" s="248" t="s">
        <v>1665</v>
      </c>
      <c r="J399" s="248" t="s">
        <v>1988</v>
      </c>
      <c r="K399" s="248" t="s">
        <v>1586</v>
      </c>
      <c r="L399" s="272"/>
      <c r="M399" s="286" t="s">
        <v>1587</v>
      </c>
      <c r="N399" s="286" t="s">
        <v>1589</v>
      </c>
      <c r="O399" s="286" t="s">
        <v>1588</v>
      </c>
      <c r="P399" s="286" t="s">
        <v>1587</v>
      </c>
      <c r="Q399" s="286" t="s">
        <v>1587</v>
      </c>
      <c r="R399" s="286" t="s">
        <v>1588</v>
      </c>
      <c r="S399" s="286" t="s">
        <v>1588</v>
      </c>
      <c r="T399" s="286" t="s">
        <v>1587</v>
      </c>
      <c r="U399" s="286" t="s">
        <v>1617</v>
      </c>
      <c r="V399" s="286" t="s">
        <v>1587</v>
      </c>
      <c r="W399" s="286" t="s">
        <v>1617</v>
      </c>
      <c r="X399" s="286" t="s">
        <v>1588</v>
      </c>
      <c r="Y399" s="286" t="s">
        <v>1588</v>
      </c>
      <c r="Z399" s="286" t="s">
        <v>1588</v>
      </c>
      <c r="AA399" s="286" t="s">
        <v>1589</v>
      </c>
      <c r="AB399" s="286" t="s">
        <v>1587</v>
      </c>
      <c r="AC399" s="286" t="s">
        <v>1589</v>
      </c>
      <c r="AD399" s="286" t="s">
        <v>1589</v>
      </c>
      <c r="AE399" s="286" t="s">
        <v>1587</v>
      </c>
      <c r="AF399" s="286" t="s">
        <v>1617</v>
      </c>
      <c r="AG399" s="283">
        <v>11</v>
      </c>
      <c r="AH399" s="287" t="s">
        <v>23</v>
      </c>
      <c r="AI399" s="272"/>
      <c r="AJ399" s="288" t="s">
        <v>2032</v>
      </c>
      <c r="AK399" s="288" t="s">
        <v>2032</v>
      </c>
      <c r="AL399" s="288" t="s">
        <v>2032</v>
      </c>
      <c r="AM399" s="288" t="s">
        <v>2032</v>
      </c>
      <c r="AN399" s="288" t="s">
        <v>2032</v>
      </c>
      <c r="AO399" s="288" t="s">
        <v>2032</v>
      </c>
      <c r="AP399" s="288" t="s">
        <v>2032</v>
      </c>
      <c r="AQ399" s="288" t="s">
        <v>2032</v>
      </c>
      <c r="AR399" s="288" t="s">
        <v>2032</v>
      </c>
      <c r="AS399" s="288" t="s">
        <v>2032</v>
      </c>
      <c r="AT399" s="288" t="s">
        <v>2032</v>
      </c>
      <c r="AU399" s="288" t="s">
        <v>2032</v>
      </c>
      <c r="AV399" s="288" t="s">
        <v>2032</v>
      </c>
      <c r="AW399" s="288" t="s">
        <v>2032</v>
      </c>
      <c r="AX399" s="288" t="s">
        <v>2032</v>
      </c>
      <c r="AY399" s="288" t="s">
        <v>2032</v>
      </c>
      <c r="AZ399" s="288" t="s">
        <v>2032</v>
      </c>
      <c r="BA399" s="288" t="s">
        <v>2032</v>
      </c>
      <c r="BB399" s="288" t="s">
        <v>2032</v>
      </c>
      <c r="BC399" s="288" t="s">
        <v>2032</v>
      </c>
      <c r="BD399" s="289">
        <f t="shared" si="1"/>
        <v>0</v>
      </c>
      <c r="BE399" s="287"/>
      <c r="BF399" s="272"/>
    </row>
    <row r="400" spans="1:58" ht="14.25" customHeight="1" x14ac:dyDescent="0.35">
      <c r="A400" s="68">
        <v>398</v>
      </c>
      <c r="B400" s="24" t="s">
        <v>1978</v>
      </c>
      <c r="C400" s="24">
        <v>2024</v>
      </c>
      <c r="D400" s="24" t="s">
        <v>1541</v>
      </c>
      <c r="E400" s="269" t="str">
        <f ca="1">IFERROR(__xludf.DUMMYFUNCTION("ARRAYFORMULA(JOIN("""", ARRAYFORMULA(MID(SPLIT(F400, "" ""), 1, 1))))
&amp;""/""&amp;G400"),"MQ/6 Primaria")</f>
        <v>MQ/6 Primaria</v>
      </c>
      <c r="F400" s="24" t="s">
        <v>1751</v>
      </c>
      <c r="G400" s="248" t="s">
        <v>37</v>
      </c>
      <c r="H400" s="248" t="s">
        <v>1868</v>
      </c>
      <c r="I400" s="248" t="s">
        <v>1863</v>
      </c>
      <c r="J400" s="248" t="s">
        <v>1989</v>
      </c>
      <c r="K400" s="248" t="s">
        <v>1586</v>
      </c>
      <c r="L400" s="272"/>
      <c r="M400" s="286" t="s">
        <v>1589</v>
      </c>
      <c r="N400" s="286" t="s">
        <v>1588</v>
      </c>
      <c r="O400" s="286" t="s">
        <v>1587</v>
      </c>
      <c r="P400" s="286" t="s">
        <v>1589</v>
      </c>
      <c r="Q400" s="286" t="s">
        <v>1617</v>
      </c>
      <c r="R400" s="286" t="s">
        <v>1588</v>
      </c>
      <c r="S400" s="286" t="s">
        <v>1587</v>
      </c>
      <c r="T400" s="286" t="s">
        <v>1588</v>
      </c>
      <c r="U400" s="286" t="s">
        <v>1587</v>
      </c>
      <c r="V400" s="286" t="s">
        <v>1617</v>
      </c>
      <c r="W400" s="286" t="s">
        <v>1589</v>
      </c>
      <c r="X400" s="286" t="s">
        <v>1589</v>
      </c>
      <c r="Y400" s="286" t="s">
        <v>1588</v>
      </c>
      <c r="Z400" s="286" t="s">
        <v>1589</v>
      </c>
      <c r="AA400" s="286" t="s">
        <v>1588</v>
      </c>
      <c r="AB400" s="286" t="s">
        <v>1587</v>
      </c>
      <c r="AC400" s="286" t="s">
        <v>1589</v>
      </c>
      <c r="AD400" s="286" t="s">
        <v>1588</v>
      </c>
      <c r="AE400" s="286" t="s">
        <v>1587</v>
      </c>
      <c r="AF400" s="286" t="s">
        <v>1589</v>
      </c>
      <c r="AG400" s="283">
        <v>7</v>
      </c>
      <c r="AH400" s="287" t="s">
        <v>19</v>
      </c>
      <c r="AI400" s="272"/>
      <c r="AJ400" s="288" t="s">
        <v>2032</v>
      </c>
      <c r="AK400" s="288" t="s">
        <v>2032</v>
      </c>
      <c r="AL400" s="288" t="s">
        <v>2032</v>
      </c>
      <c r="AM400" s="288" t="s">
        <v>2032</v>
      </c>
      <c r="AN400" s="288" t="s">
        <v>2032</v>
      </c>
      <c r="AO400" s="288" t="s">
        <v>2032</v>
      </c>
      <c r="AP400" s="288" t="s">
        <v>2032</v>
      </c>
      <c r="AQ400" s="288" t="s">
        <v>2032</v>
      </c>
      <c r="AR400" s="288" t="s">
        <v>2032</v>
      </c>
      <c r="AS400" s="288" t="s">
        <v>2032</v>
      </c>
      <c r="AT400" s="288" t="s">
        <v>2032</v>
      </c>
      <c r="AU400" s="288" t="s">
        <v>2032</v>
      </c>
      <c r="AV400" s="288" t="s">
        <v>2032</v>
      </c>
      <c r="AW400" s="288" t="s">
        <v>2032</v>
      </c>
      <c r="AX400" s="288" t="s">
        <v>2032</v>
      </c>
      <c r="AY400" s="288" t="s">
        <v>2032</v>
      </c>
      <c r="AZ400" s="288" t="s">
        <v>2032</v>
      </c>
      <c r="BA400" s="288" t="s">
        <v>2032</v>
      </c>
      <c r="BB400" s="288" t="s">
        <v>2032</v>
      </c>
      <c r="BC400" s="288" t="s">
        <v>2032</v>
      </c>
      <c r="BD400" s="289">
        <f t="shared" si="1"/>
        <v>0</v>
      </c>
      <c r="BE400" s="287"/>
      <c r="BF400" s="272"/>
    </row>
    <row r="401" spans="1:58" ht="14.25" customHeight="1" x14ac:dyDescent="0.35">
      <c r="A401" s="68">
        <v>399</v>
      </c>
      <c r="B401" s="24" t="s">
        <v>1978</v>
      </c>
      <c r="C401" s="24">
        <v>2024</v>
      </c>
      <c r="D401" s="24" t="s">
        <v>1745</v>
      </c>
      <c r="E401" s="269" t="str">
        <f ca="1">IFERROR(__xludf.DUMMYFUNCTION("ARRAYFORMULA(JOIN("""", ARRAYFORMULA(MID(SPLIT(F401, "" ""), 1, 1))))
&amp;""/""&amp;G401"),"CLQ/6 Primaria")</f>
        <v>CLQ/6 Primaria</v>
      </c>
      <c r="F401" s="24" t="s">
        <v>1755</v>
      </c>
      <c r="G401" s="248" t="s">
        <v>37</v>
      </c>
      <c r="H401" s="248" t="s">
        <v>1868</v>
      </c>
      <c r="I401" s="248" t="s">
        <v>1863</v>
      </c>
      <c r="J401" s="248" t="s">
        <v>1989</v>
      </c>
      <c r="K401" s="248" t="s">
        <v>1586</v>
      </c>
      <c r="L401" s="272"/>
      <c r="M401" s="286" t="s">
        <v>1587</v>
      </c>
      <c r="N401" s="286" t="s">
        <v>1587</v>
      </c>
      <c r="O401" s="286" t="s">
        <v>1589</v>
      </c>
      <c r="P401" s="286" t="s">
        <v>1587</v>
      </c>
      <c r="Q401" s="286" t="s">
        <v>1588</v>
      </c>
      <c r="R401" s="286" t="s">
        <v>1617</v>
      </c>
      <c r="S401" s="286" t="s">
        <v>1587</v>
      </c>
      <c r="T401" s="286" t="s">
        <v>1617</v>
      </c>
      <c r="U401" s="286" t="s">
        <v>1587</v>
      </c>
      <c r="V401" s="286" t="s">
        <v>1587</v>
      </c>
      <c r="W401" s="286" t="s">
        <v>1587</v>
      </c>
      <c r="X401" s="286" t="s">
        <v>1589</v>
      </c>
      <c r="Y401" s="286" t="s">
        <v>1587</v>
      </c>
      <c r="Z401" s="286" t="s">
        <v>1589</v>
      </c>
      <c r="AA401" s="286" t="s">
        <v>1588</v>
      </c>
      <c r="AB401" s="286" t="s">
        <v>1589</v>
      </c>
      <c r="AC401" s="286" t="s">
        <v>1589</v>
      </c>
      <c r="AD401" s="286" t="s">
        <v>1588</v>
      </c>
      <c r="AE401" s="286" t="s">
        <v>1589</v>
      </c>
      <c r="AF401" s="286" t="s">
        <v>1588</v>
      </c>
      <c r="AG401" s="283">
        <v>7</v>
      </c>
      <c r="AH401" s="287" t="s">
        <v>19</v>
      </c>
      <c r="AI401" s="272"/>
      <c r="AJ401" s="288" t="s">
        <v>2032</v>
      </c>
      <c r="AK401" s="288" t="s">
        <v>2032</v>
      </c>
      <c r="AL401" s="288" t="s">
        <v>2032</v>
      </c>
      <c r="AM401" s="288" t="s">
        <v>2032</v>
      </c>
      <c r="AN401" s="288" t="s">
        <v>2032</v>
      </c>
      <c r="AO401" s="288" t="s">
        <v>2032</v>
      </c>
      <c r="AP401" s="288" t="s">
        <v>2032</v>
      </c>
      <c r="AQ401" s="288" t="s">
        <v>2032</v>
      </c>
      <c r="AR401" s="288" t="s">
        <v>2032</v>
      </c>
      <c r="AS401" s="288" t="s">
        <v>2032</v>
      </c>
      <c r="AT401" s="288" t="s">
        <v>2032</v>
      </c>
      <c r="AU401" s="288" t="s">
        <v>2032</v>
      </c>
      <c r="AV401" s="288" t="s">
        <v>2032</v>
      </c>
      <c r="AW401" s="288" t="s">
        <v>2032</v>
      </c>
      <c r="AX401" s="288" t="s">
        <v>2032</v>
      </c>
      <c r="AY401" s="288" t="s">
        <v>2032</v>
      </c>
      <c r="AZ401" s="288" t="s">
        <v>2032</v>
      </c>
      <c r="BA401" s="288" t="s">
        <v>2032</v>
      </c>
      <c r="BB401" s="288" t="s">
        <v>2032</v>
      </c>
      <c r="BC401" s="288" t="s">
        <v>2032</v>
      </c>
      <c r="BD401" s="289">
        <f t="shared" si="1"/>
        <v>0</v>
      </c>
      <c r="BE401" s="287"/>
      <c r="BF401" s="272"/>
    </row>
    <row r="402" spans="1:58" ht="14.25" customHeight="1" x14ac:dyDescent="0.35">
      <c r="A402" s="68">
        <v>400</v>
      </c>
      <c r="B402" s="24" t="s">
        <v>1978</v>
      </c>
      <c r="C402" s="24">
        <v>2024</v>
      </c>
      <c r="D402" s="24" t="s">
        <v>1541</v>
      </c>
      <c r="E402" s="269" t="str">
        <f ca="1">IFERROR(__xludf.DUMMYFUNCTION("ARRAYFORMULA(JOIN("""", ARRAYFORMULA(MID(SPLIT(F402, "" ""), 1, 1))))
&amp;""/""&amp;G402"),"MQ/6 Primaria")</f>
        <v>MQ/6 Primaria</v>
      </c>
      <c r="F402" s="24" t="s">
        <v>1751</v>
      </c>
      <c r="G402" s="248" t="s">
        <v>37</v>
      </c>
      <c r="H402" s="248" t="s">
        <v>1990</v>
      </c>
      <c r="I402" s="248" t="s">
        <v>1991</v>
      </c>
      <c r="J402" s="248" t="s">
        <v>1992</v>
      </c>
      <c r="K402" s="248" t="s">
        <v>1593</v>
      </c>
      <c r="L402" s="272"/>
      <c r="M402" s="286" t="s">
        <v>1617</v>
      </c>
      <c r="N402" s="286" t="s">
        <v>1587</v>
      </c>
      <c r="O402" s="286" t="s">
        <v>1587</v>
      </c>
      <c r="P402" s="286" t="s">
        <v>1588</v>
      </c>
      <c r="Q402" s="286" t="s">
        <v>1587</v>
      </c>
      <c r="R402" s="286" t="s">
        <v>1589</v>
      </c>
      <c r="S402" s="286" t="s">
        <v>1617</v>
      </c>
      <c r="T402" s="286" t="s">
        <v>1587</v>
      </c>
      <c r="U402" s="286" t="s">
        <v>1587</v>
      </c>
      <c r="V402" s="286" t="s">
        <v>1587</v>
      </c>
      <c r="W402" s="286" t="s">
        <v>1589</v>
      </c>
      <c r="X402" s="286" t="s">
        <v>1617</v>
      </c>
      <c r="Y402" s="286" t="s">
        <v>1588</v>
      </c>
      <c r="Z402" s="286" t="s">
        <v>1587</v>
      </c>
      <c r="AA402" s="286" t="s">
        <v>1589</v>
      </c>
      <c r="AB402" s="286" t="s">
        <v>1589</v>
      </c>
      <c r="AC402" s="286" t="s">
        <v>1588</v>
      </c>
      <c r="AD402" s="286" t="s">
        <v>1587</v>
      </c>
      <c r="AE402" s="286" t="s">
        <v>1589</v>
      </c>
      <c r="AF402" s="286" t="s">
        <v>1587</v>
      </c>
      <c r="AG402" s="283">
        <v>8</v>
      </c>
      <c r="AH402" s="287" t="s">
        <v>19</v>
      </c>
      <c r="AI402" s="272"/>
      <c r="AJ402" s="288" t="s">
        <v>2032</v>
      </c>
      <c r="AK402" s="288" t="s">
        <v>2032</v>
      </c>
      <c r="AL402" s="288" t="s">
        <v>2032</v>
      </c>
      <c r="AM402" s="288" t="s">
        <v>2032</v>
      </c>
      <c r="AN402" s="288" t="s">
        <v>2032</v>
      </c>
      <c r="AO402" s="288" t="s">
        <v>2032</v>
      </c>
      <c r="AP402" s="288" t="s">
        <v>2032</v>
      </c>
      <c r="AQ402" s="288" t="s">
        <v>2032</v>
      </c>
      <c r="AR402" s="288" t="s">
        <v>2032</v>
      </c>
      <c r="AS402" s="288" t="s">
        <v>2032</v>
      </c>
      <c r="AT402" s="288" t="s">
        <v>2032</v>
      </c>
      <c r="AU402" s="288" t="s">
        <v>2032</v>
      </c>
      <c r="AV402" s="288" t="s">
        <v>2032</v>
      </c>
      <c r="AW402" s="288" t="s">
        <v>2032</v>
      </c>
      <c r="AX402" s="288" t="s">
        <v>2032</v>
      </c>
      <c r="AY402" s="288" t="s">
        <v>2032</v>
      </c>
      <c r="AZ402" s="288" t="s">
        <v>2032</v>
      </c>
      <c r="BA402" s="288" t="s">
        <v>2032</v>
      </c>
      <c r="BB402" s="288" t="s">
        <v>2032</v>
      </c>
      <c r="BC402" s="288" t="s">
        <v>2032</v>
      </c>
      <c r="BD402" s="289">
        <f t="shared" si="1"/>
        <v>0</v>
      </c>
      <c r="BE402" s="287"/>
      <c r="BF402" s="272"/>
    </row>
    <row r="403" spans="1:58" ht="14.25" customHeight="1" x14ac:dyDescent="0.35">
      <c r="A403" s="68">
        <v>401</v>
      </c>
      <c r="B403" s="24" t="s">
        <v>1978</v>
      </c>
      <c r="C403" s="24">
        <v>2024</v>
      </c>
      <c r="D403" s="24" t="s">
        <v>1745</v>
      </c>
      <c r="E403" s="269" t="str">
        <f ca="1">IFERROR(__xludf.DUMMYFUNCTION("ARRAYFORMULA(JOIN("""", ARRAYFORMULA(MID(SPLIT(F403, "" ""), 1, 1))))
&amp;""/""&amp;G403"),"CLQ/6 Primaria")</f>
        <v>CLQ/6 Primaria</v>
      </c>
      <c r="F403" s="24" t="s">
        <v>1755</v>
      </c>
      <c r="G403" s="248" t="s">
        <v>37</v>
      </c>
      <c r="H403" s="248" t="s">
        <v>1990</v>
      </c>
      <c r="I403" s="248" t="s">
        <v>1991</v>
      </c>
      <c r="J403" s="248" t="s">
        <v>1992</v>
      </c>
      <c r="K403" s="248" t="s">
        <v>1593</v>
      </c>
      <c r="L403" s="272"/>
      <c r="M403" s="286" t="s">
        <v>1587</v>
      </c>
      <c r="N403" s="286" t="s">
        <v>1588</v>
      </c>
      <c r="O403" s="286" t="s">
        <v>1587</v>
      </c>
      <c r="P403" s="286"/>
      <c r="Q403" s="286" t="s">
        <v>1617</v>
      </c>
      <c r="R403" s="286" t="s">
        <v>1588</v>
      </c>
      <c r="S403" s="286" t="s">
        <v>1587</v>
      </c>
      <c r="T403" s="286" t="s">
        <v>1589</v>
      </c>
      <c r="U403" s="286" t="s">
        <v>1588</v>
      </c>
      <c r="V403" s="286" t="s">
        <v>1589</v>
      </c>
      <c r="W403" s="286" t="s">
        <v>1589</v>
      </c>
      <c r="X403" s="286" t="s">
        <v>1588</v>
      </c>
      <c r="Y403" s="286" t="s">
        <v>1588</v>
      </c>
      <c r="Z403" s="286" t="s">
        <v>1588</v>
      </c>
      <c r="AA403" s="286" t="s">
        <v>1588</v>
      </c>
      <c r="AB403" s="286" t="s">
        <v>1587</v>
      </c>
      <c r="AC403" s="286" t="s">
        <v>1587</v>
      </c>
      <c r="AD403" s="286"/>
      <c r="AE403" s="286" t="s">
        <v>1589</v>
      </c>
      <c r="AF403" s="286" t="s">
        <v>1588</v>
      </c>
      <c r="AG403" s="283">
        <v>5</v>
      </c>
      <c r="AH403" s="287" t="s">
        <v>19</v>
      </c>
      <c r="AI403" s="272"/>
      <c r="AJ403" s="288" t="s">
        <v>2032</v>
      </c>
      <c r="AK403" s="288" t="s">
        <v>2032</v>
      </c>
      <c r="AL403" s="288" t="s">
        <v>2032</v>
      </c>
      <c r="AM403" s="288" t="s">
        <v>2032</v>
      </c>
      <c r="AN403" s="288" t="s">
        <v>2032</v>
      </c>
      <c r="AO403" s="288" t="s">
        <v>2032</v>
      </c>
      <c r="AP403" s="288" t="s">
        <v>2032</v>
      </c>
      <c r="AQ403" s="288" t="s">
        <v>2032</v>
      </c>
      <c r="AR403" s="288" t="s">
        <v>2032</v>
      </c>
      <c r="AS403" s="288" t="s">
        <v>2032</v>
      </c>
      <c r="AT403" s="288" t="s">
        <v>2032</v>
      </c>
      <c r="AU403" s="288" t="s">
        <v>2032</v>
      </c>
      <c r="AV403" s="288" t="s">
        <v>2032</v>
      </c>
      <c r="AW403" s="288" t="s">
        <v>2032</v>
      </c>
      <c r="AX403" s="288" t="s">
        <v>2032</v>
      </c>
      <c r="AY403" s="288" t="s">
        <v>2032</v>
      </c>
      <c r="AZ403" s="288" t="s">
        <v>2032</v>
      </c>
      <c r="BA403" s="288" t="s">
        <v>2032</v>
      </c>
      <c r="BB403" s="288" t="s">
        <v>2032</v>
      </c>
      <c r="BC403" s="288" t="s">
        <v>2032</v>
      </c>
      <c r="BD403" s="289">
        <f t="shared" si="1"/>
        <v>0</v>
      </c>
      <c r="BE403" s="287"/>
      <c r="BF403" s="272"/>
    </row>
    <row r="404" spans="1:58" ht="14.25" customHeight="1" x14ac:dyDescent="0.35">
      <c r="A404" s="68">
        <v>402</v>
      </c>
      <c r="B404" s="24" t="s">
        <v>1978</v>
      </c>
      <c r="C404" s="24">
        <v>2024</v>
      </c>
      <c r="D404" s="24" t="s">
        <v>1541</v>
      </c>
      <c r="E404" s="269" t="str">
        <f ca="1">IFERROR(__xludf.DUMMYFUNCTION("ARRAYFORMULA(JOIN("""", ARRAYFORMULA(MID(SPLIT(F404, "" ""), 1, 1))))
&amp;""/""&amp;G404"),"MQ/6 Primaria")</f>
        <v>MQ/6 Primaria</v>
      </c>
      <c r="F404" s="24" t="s">
        <v>1751</v>
      </c>
      <c r="G404" s="248" t="s">
        <v>37</v>
      </c>
      <c r="H404" s="248" t="s">
        <v>1993</v>
      </c>
      <c r="I404" s="248" t="s">
        <v>1647</v>
      </c>
      <c r="J404" s="248" t="s">
        <v>1994</v>
      </c>
      <c r="K404" s="248" t="s">
        <v>1586</v>
      </c>
      <c r="L404" s="272"/>
      <c r="M404" s="286" t="s">
        <v>1588</v>
      </c>
      <c r="N404" s="286" t="s">
        <v>1617</v>
      </c>
      <c r="O404" s="286" t="s">
        <v>1587</v>
      </c>
      <c r="P404" s="286" t="s">
        <v>1617</v>
      </c>
      <c r="Q404" s="286" t="s">
        <v>1587</v>
      </c>
      <c r="R404" s="286" t="s">
        <v>1587</v>
      </c>
      <c r="S404" s="286" t="s">
        <v>1587</v>
      </c>
      <c r="T404" s="286" t="s">
        <v>1587</v>
      </c>
      <c r="U404" s="286" t="s">
        <v>1587</v>
      </c>
      <c r="V404" s="286" t="s">
        <v>1589</v>
      </c>
      <c r="W404" s="286" t="s">
        <v>1589</v>
      </c>
      <c r="X404" s="286" t="s">
        <v>1617</v>
      </c>
      <c r="Y404" s="286" t="s">
        <v>1589</v>
      </c>
      <c r="Z404" s="286" t="s">
        <v>1617</v>
      </c>
      <c r="AA404" s="286" t="s">
        <v>1589</v>
      </c>
      <c r="AB404" s="286" t="s">
        <v>1617</v>
      </c>
      <c r="AC404" s="286" t="s">
        <v>1617</v>
      </c>
      <c r="AD404" s="286" t="s">
        <v>1587</v>
      </c>
      <c r="AE404" s="286" t="s">
        <v>1617</v>
      </c>
      <c r="AF404" s="286" t="s">
        <v>1588</v>
      </c>
      <c r="AG404" s="283">
        <v>13</v>
      </c>
      <c r="AH404" s="287" t="s">
        <v>23</v>
      </c>
      <c r="AI404" s="272"/>
      <c r="AJ404" s="288" t="s">
        <v>2032</v>
      </c>
      <c r="AK404" s="288" t="s">
        <v>2032</v>
      </c>
      <c r="AL404" s="288" t="s">
        <v>2032</v>
      </c>
      <c r="AM404" s="288" t="s">
        <v>2032</v>
      </c>
      <c r="AN404" s="288" t="s">
        <v>2032</v>
      </c>
      <c r="AO404" s="288" t="s">
        <v>2032</v>
      </c>
      <c r="AP404" s="288" t="s">
        <v>2032</v>
      </c>
      <c r="AQ404" s="288" t="s">
        <v>2032</v>
      </c>
      <c r="AR404" s="288" t="s">
        <v>2032</v>
      </c>
      <c r="AS404" s="288" t="s">
        <v>2032</v>
      </c>
      <c r="AT404" s="288" t="s">
        <v>2032</v>
      </c>
      <c r="AU404" s="288" t="s">
        <v>2032</v>
      </c>
      <c r="AV404" s="288" t="s">
        <v>2032</v>
      </c>
      <c r="AW404" s="288" t="s">
        <v>2032</v>
      </c>
      <c r="AX404" s="288" t="s">
        <v>2032</v>
      </c>
      <c r="AY404" s="288" t="s">
        <v>2032</v>
      </c>
      <c r="AZ404" s="288" t="s">
        <v>2032</v>
      </c>
      <c r="BA404" s="288" t="s">
        <v>2032</v>
      </c>
      <c r="BB404" s="288" t="s">
        <v>2032</v>
      </c>
      <c r="BC404" s="288" t="s">
        <v>2032</v>
      </c>
      <c r="BD404" s="289">
        <f t="shared" si="1"/>
        <v>0</v>
      </c>
      <c r="BE404" s="287"/>
      <c r="BF404" s="272"/>
    </row>
    <row r="405" spans="1:58" ht="14.25" customHeight="1" x14ac:dyDescent="0.35">
      <c r="A405" s="68">
        <v>403</v>
      </c>
      <c r="B405" s="24" t="s">
        <v>1978</v>
      </c>
      <c r="C405" s="24">
        <v>2024</v>
      </c>
      <c r="D405" s="24" t="s">
        <v>1745</v>
      </c>
      <c r="E405" s="269" t="str">
        <f ca="1">IFERROR(__xludf.DUMMYFUNCTION("ARRAYFORMULA(JOIN("""", ARRAYFORMULA(MID(SPLIT(F405, "" ""), 1, 1))))
&amp;""/""&amp;G405"),"CLQ/6 Primaria")</f>
        <v>CLQ/6 Primaria</v>
      </c>
      <c r="F405" s="24" t="s">
        <v>1755</v>
      </c>
      <c r="G405" s="248" t="s">
        <v>37</v>
      </c>
      <c r="H405" s="248" t="s">
        <v>1993</v>
      </c>
      <c r="I405" s="248" t="s">
        <v>1647</v>
      </c>
      <c r="J405" s="248" t="s">
        <v>1994</v>
      </c>
      <c r="K405" s="248" t="s">
        <v>1586</v>
      </c>
      <c r="L405" s="272"/>
      <c r="M405" s="286" t="s">
        <v>1589</v>
      </c>
      <c r="N405" s="286" t="s">
        <v>1589</v>
      </c>
      <c r="O405" s="286" t="s">
        <v>1617</v>
      </c>
      <c r="P405" s="286" t="s">
        <v>1587</v>
      </c>
      <c r="Q405" s="286" t="s">
        <v>1617</v>
      </c>
      <c r="R405" s="286" t="s">
        <v>1617</v>
      </c>
      <c r="S405" s="286" t="s">
        <v>1617</v>
      </c>
      <c r="T405" s="286" t="s">
        <v>1587</v>
      </c>
      <c r="U405" s="286" t="s">
        <v>1617</v>
      </c>
      <c r="V405" s="286" t="s">
        <v>1587</v>
      </c>
      <c r="W405" s="286" t="s">
        <v>1588</v>
      </c>
      <c r="X405" s="286" t="s">
        <v>1617</v>
      </c>
      <c r="Y405" s="286" t="s">
        <v>1617</v>
      </c>
      <c r="Z405" s="286" t="s">
        <v>1589</v>
      </c>
      <c r="AA405" s="286" t="s">
        <v>1587</v>
      </c>
      <c r="AB405" s="286" t="s">
        <v>1589</v>
      </c>
      <c r="AC405" s="286" t="s">
        <v>1589</v>
      </c>
      <c r="AD405" s="286" t="s">
        <v>1617</v>
      </c>
      <c r="AE405" s="286" t="s">
        <v>1589</v>
      </c>
      <c r="AF405" s="286" t="s">
        <v>1617</v>
      </c>
      <c r="AG405" s="283">
        <v>13</v>
      </c>
      <c r="AH405" s="287" t="s">
        <v>23</v>
      </c>
      <c r="AI405" s="272"/>
      <c r="AJ405" s="288" t="s">
        <v>2032</v>
      </c>
      <c r="AK405" s="288" t="s">
        <v>2032</v>
      </c>
      <c r="AL405" s="288" t="s">
        <v>2032</v>
      </c>
      <c r="AM405" s="288" t="s">
        <v>2032</v>
      </c>
      <c r="AN405" s="288" t="s">
        <v>2032</v>
      </c>
      <c r="AO405" s="288" t="s">
        <v>2032</v>
      </c>
      <c r="AP405" s="288" t="s">
        <v>2032</v>
      </c>
      <c r="AQ405" s="288" t="s">
        <v>2032</v>
      </c>
      <c r="AR405" s="288" t="s">
        <v>2032</v>
      </c>
      <c r="AS405" s="288" t="s">
        <v>2032</v>
      </c>
      <c r="AT405" s="288" t="s">
        <v>2032</v>
      </c>
      <c r="AU405" s="288" t="s">
        <v>2032</v>
      </c>
      <c r="AV405" s="288" t="s">
        <v>2032</v>
      </c>
      <c r="AW405" s="288" t="s">
        <v>2032</v>
      </c>
      <c r="AX405" s="288" t="s">
        <v>2032</v>
      </c>
      <c r="AY405" s="288" t="s">
        <v>2032</v>
      </c>
      <c r="AZ405" s="288" t="s">
        <v>2032</v>
      </c>
      <c r="BA405" s="288" t="s">
        <v>2032</v>
      </c>
      <c r="BB405" s="288" t="s">
        <v>2032</v>
      </c>
      <c r="BC405" s="288" t="s">
        <v>2032</v>
      </c>
      <c r="BD405" s="289">
        <f t="shared" si="1"/>
        <v>0</v>
      </c>
      <c r="BE405" s="287"/>
      <c r="BF405" s="272"/>
    </row>
    <row r="406" spans="1:58" ht="14.25" customHeight="1" x14ac:dyDescent="0.35">
      <c r="A406" s="68">
        <v>404</v>
      </c>
      <c r="B406" s="24" t="s">
        <v>1995</v>
      </c>
      <c r="C406" s="24">
        <v>2024</v>
      </c>
      <c r="D406" s="24" t="s">
        <v>1541</v>
      </c>
      <c r="E406" s="269" t="str">
        <f ca="1">IFERROR(__xludf.DUMMYFUNCTION("ARRAYFORMULA(JOIN("""", ARRAYFORMULA(MID(SPLIT(F406, "" ""), 1, 1))))
&amp;""/""&amp;G406"),"MQ/2 Primaria")</f>
        <v>MQ/2 Primaria</v>
      </c>
      <c r="F406" s="24" t="s">
        <v>1751</v>
      </c>
      <c r="G406" s="248" t="s">
        <v>45</v>
      </c>
      <c r="H406" s="248" t="s">
        <v>1699</v>
      </c>
      <c r="I406" s="248" t="s">
        <v>1672</v>
      </c>
      <c r="J406" s="248" t="s">
        <v>1996</v>
      </c>
      <c r="K406" s="248" t="s">
        <v>1586</v>
      </c>
      <c r="L406" s="272"/>
      <c r="M406" s="286" t="s">
        <v>1753</v>
      </c>
      <c r="N406" s="286" t="s">
        <v>1588</v>
      </c>
      <c r="O406" s="286" t="s">
        <v>1753</v>
      </c>
      <c r="P406" s="286" t="s">
        <v>1588</v>
      </c>
      <c r="Q406" s="286" t="s">
        <v>1754</v>
      </c>
      <c r="R406" s="286" t="s">
        <v>1753</v>
      </c>
      <c r="S406" s="286" t="s">
        <v>1753</v>
      </c>
      <c r="T406" s="286" t="s">
        <v>1588</v>
      </c>
      <c r="U406" s="286" t="s">
        <v>1753</v>
      </c>
      <c r="V406" s="286" t="s">
        <v>1588</v>
      </c>
      <c r="W406" s="286" t="s">
        <v>1754</v>
      </c>
      <c r="X406" s="286" t="s">
        <v>1588</v>
      </c>
      <c r="Y406" s="286" t="s">
        <v>1588</v>
      </c>
      <c r="Z406" s="286" t="s">
        <v>1754</v>
      </c>
      <c r="AA406" s="286" t="s">
        <v>1754</v>
      </c>
      <c r="AB406" s="286" t="s">
        <v>1754</v>
      </c>
      <c r="AC406" s="286" t="s">
        <v>1588</v>
      </c>
      <c r="AD406" s="286" t="s">
        <v>1753</v>
      </c>
      <c r="AE406" s="286" t="s">
        <v>1754</v>
      </c>
      <c r="AF406" s="286" t="s">
        <v>1753</v>
      </c>
      <c r="AG406" s="283">
        <v>8</v>
      </c>
      <c r="AH406" s="287" t="s">
        <v>19</v>
      </c>
      <c r="AI406" s="272"/>
      <c r="AJ406" s="288" t="s">
        <v>2032</v>
      </c>
      <c r="AK406" s="288" t="s">
        <v>2032</v>
      </c>
      <c r="AL406" s="288" t="s">
        <v>2032</v>
      </c>
      <c r="AM406" s="288" t="s">
        <v>2032</v>
      </c>
      <c r="AN406" s="288" t="s">
        <v>2032</v>
      </c>
      <c r="AO406" s="288" t="s">
        <v>2032</v>
      </c>
      <c r="AP406" s="288" t="s">
        <v>2032</v>
      </c>
      <c r="AQ406" s="288" t="s">
        <v>2032</v>
      </c>
      <c r="AR406" s="288" t="s">
        <v>2032</v>
      </c>
      <c r="AS406" s="288" t="s">
        <v>2032</v>
      </c>
      <c r="AT406" s="288" t="s">
        <v>2032</v>
      </c>
      <c r="AU406" s="288" t="s">
        <v>2032</v>
      </c>
      <c r="AV406" s="288" t="s">
        <v>2032</v>
      </c>
      <c r="AW406" s="288" t="s">
        <v>2032</v>
      </c>
      <c r="AX406" s="288" t="s">
        <v>2032</v>
      </c>
      <c r="AY406" s="288" t="s">
        <v>2032</v>
      </c>
      <c r="AZ406" s="288" t="s">
        <v>2032</v>
      </c>
      <c r="BA406" s="288" t="s">
        <v>2032</v>
      </c>
      <c r="BB406" s="288" t="s">
        <v>2032</v>
      </c>
      <c r="BC406" s="288" t="s">
        <v>2032</v>
      </c>
      <c r="BD406" s="289">
        <f t="shared" si="1"/>
        <v>0</v>
      </c>
      <c r="BE406" s="287"/>
      <c r="BF406" s="272"/>
    </row>
    <row r="407" spans="1:58" ht="14.25" customHeight="1" x14ac:dyDescent="0.35">
      <c r="A407" s="68">
        <v>405</v>
      </c>
      <c r="B407" s="24" t="s">
        <v>1995</v>
      </c>
      <c r="C407" s="24">
        <v>2024</v>
      </c>
      <c r="D407" s="24" t="s">
        <v>1745</v>
      </c>
      <c r="E407" s="269" t="str">
        <f ca="1">IFERROR(__xludf.DUMMYFUNCTION("ARRAYFORMULA(JOIN("""", ARRAYFORMULA(MID(SPLIT(F407, "" ""), 1, 1))))
&amp;""/""&amp;G407"),"CLQ/2 Primaria")</f>
        <v>CLQ/2 Primaria</v>
      </c>
      <c r="F407" s="24" t="s">
        <v>1755</v>
      </c>
      <c r="G407" s="248" t="s">
        <v>45</v>
      </c>
      <c r="H407" s="248" t="s">
        <v>1699</v>
      </c>
      <c r="I407" s="248" t="s">
        <v>1672</v>
      </c>
      <c r="J407" s="248" t="s">
        <v>1996</v>
      </c>
      <c r="K407" s="248" t="s">
        <v>1586</v>
      </c>
      <c r="L407" s="272"/>
      <c r="M407" s="286" t="s">
        <v>1588</v>
      </c>
      <c r="N407" s="286" t="s">
        <v>1753</v>
      </c>
      <c r="O407" s="286" t="s">
        <v>1754</v>
      </c>
      <c r="P407" s="286" t="s">
        <v>1753</v>
      </c>
      <c r="Q407" s="286" t="s">
        <v>1753</v>
      </c>
      <c r="R407" s="286" t="s">
        <v>1588</v>
      </c>
      <c r="S407" s="286" t="s">
        <v>1754</v>
      </c>
      <c r="T407" s="286" t="s">
        <v>1588</v>
      </c>
      <c r="U407" s="286" t="s">
        <v>1588</v>
      </c>
      <c r="V407" s="286" t="s">
        <v>1753</v>
      </c>
      <c r="W407" s="286" t="s">
        <v>1588</v>
      </c>
      <c r="X407" s="286" t="s">
        <v>1753</v>
      </c>
      <c r="Y407" s="286" t="s">
        <v>1588</v>
      </c>
      <c r="Z407" s="286" t="s">
        <v>1588</v>
      </c>
      <c r="AA407" s="286" t="s">
        <v>1588</v>
      </c>
      <c r="AB407" s="286" t="s">
        <v>1753</v>
      </c>
      <c r="AC407" s="286" t="s">
        <v>1588</v>
      </c>
      <c r="AD407" s="286" t="s">
        <v>1753</v>
      </c>
      <c r="AE407" s="286" t="s">
        <v>1754</v>
      </c>
      <c r="AF407" s="286" t="s">
        <v>1753</v>
      </c>
      <c r="AG407" s="283">
        <v>11</v>
      </c>
      <c r="AH407" s="287" t="s">
        <v>23</v>
      </c>
      <c r="AI407" s="272"/>
      <c r="AJ407" s="288" t="s">
        <v>2032</v>
      </c>
      <c r="AK407" s="288" t="s">
        <v>2032</v>
      </c>
      <c r="AL407" s="288" t="s">
        <v>2032</v>
      </c>
      <c r="AM407" s="288" t="s">
        <v>2032</v>
      </c>
      <c r="AN407" s="288" t="s">
        <v>2032</v>
      </c>
      <c r="AO407" s="288" t="s">
        <v>2032</v>
      </c>
      <c r="AP407" s="288" t="s">
        <v>2032</v>
      </c>
      <c r="AQ407" s="288" t="s">
        <v>2032</v>
      </c>
      <c r="AR407" s="288" t="s">
        <v>2032</v>
      </c>
      <c r="AS407" s="288" t="s">
        <v>2032</v>
      </c>
      <c r="AT407" s="288" t="s">
        <v>2032</v>
      </c>
      <c r="AU407" s="288" t="s">
        <v>2032</v>
      </c>
      <c r="AV407" s="288" t="s">
        <v>2032</v>
      </c>
      <c r="AW407" s="288" t="s">
        <v>2032</v>
      </c>
      <c r="AX407" s="288" t="s">
        <v>2032</v>
      </c>
      <c r="AY407" s="288" t="s">
        <v>2032</v>
      </c>
      <c r="AZ407" s="288" t="s">
        <v>2032</v>
      </c>
      <c r="BA407" s="288" t="s">
        <v>2032</v>
      </c>
      <c r="BB407" s="288" t="s">
        <v>2032</v>
      </c>
      <c r="BC407" s="288" t="s">
        <v>2032</v>
      </c>
      <c r="BD407" s="289">
        <f t="shared" si="1"/>
        <v>0</v>
      </c>
      <c r="BE407" s="287"/>
      <c r="BF407" s="272"/>
    </row>
    <row r="408" spans="1:58" ht="14.25" customHeight="1" x14ac:dyDescent="0.35">
      <c r="A408" s="68">
        <v>406</v>
      </c>
      <c r="B408" s="24" t="s">
        <v>1995</v>
      </c>
      <c r="C408" s="24">
        <v>2024</v>
      </c>
      <c r="D408" s="24" t="s">
        <v>1541</v>
      </c>
      <c r="E408" s="269" t="str">
        <f ca="1">IFERROR(__xludf.DUMMYFUNCTION("ARRAYFORMULA(JOIN("""", ARRAYFORMULA(MID(SPLIT(F408, "" ""), 1, 1))))
&amp;""/""&amp;G408"),"MQ/2 Primaria")</f>
        <v>MQ/2 Primaria</v>
      </c>
      <c r="F408" s="24" t="s">
        <v>1751</v>
      </c>
      <c r="G408" s="248" t="s">
        <v>45</v>
      </c>
      <c r="H408" s="248" t="s">
        <v>1672</v>
      </c>
      <c r="I408" s="248" t="s">
        <v>1672</v>
      </c>
      <c r="J408" s="248" t="s">
        <v>1997</v>
      </c>
      <c r="K408" s="248" t="s">
        <v>1586</v>
      </c>
      <c r="L408" s="272"/>
      <c r="M408" s="286" t="s">
        <v>1753</v>
      </c>
      <c r="N408" s="286" t="s">
        <v>1753</v>
      </c>
      <c r="O408" s="286" t="s">
        <v>1588</v>
      </c>
      <c r="P408" s="286" t="s">
        <v>1754</v>
      </c>
      <c r="Q408" s="286" t="s">
        <v>1754</v>
      </c>
      <c r="R408" s="286" t="s">
        <v>1753</v>
      </c>
      <c r="S408" s="286" t="s">
        <v>1588</v>
      </c>
      <c r="T408" s="286" t="s">
        <v>1753</v>
      </c>
      <c r="U408" s="286" t="s">
        <v>1754</v>
      </c>
      <c r="V408" s="286" t="s">
        <v>1753</v>
      </c>
      <c r="W408" s="286" t="s">
        <v>1753</v>
      </c>
      <c r="X408" s="286" t="s">
        <v>1754</v>
      </c>
      <c r="Y408" s="286" t="s">
        <v>1753</v>
      </c>
      <c r="Z408" s="286" t="s">
        <v>1753</v>
      </c>
      <c r="AA408" s="286" t="s">
        <v>1754</v>
      </c>
      <c r="AB408" s="286" t="s">
        <v>1753</v>
      </c>
      <c r="AC408" s="286" t="s">
        <v>1754</v>
      </c>
      <c r="AD408" s="286" t="s">
        <v>1588</v>
      </c>
      <c r="AE408" s="286" t="s">
        <v>1588</v>
      </c>
      <c r="AF408" s="286" t="s">
        <v>1753</v>
      </c>
      <c r="AG408" s="283">
        <v>12</v>
      </c>
      <c r="AH408" s="287" t="s">
        <v>23</v>
      </c>
      <c r="AI408" s="272"/>
      <c r="AJ408" s="288" t="s">
        <v>2032</v>
      </c>
      <c r="AK408" s="288" t="s">
        <v>2032</v>
      </c>
      <c r="AL408" s="288" t="s">
        <v>2032</v>
      </c>
      <c r="AM408" s="288" t="s">
        <v>2032</v>
      </c>
      <c r="AN408" s="288" t="s">
        <v>2032</v>
      </c>
      <c r="AO408" s="288" t="s">
        <v>2032</v>
      </c>
      <c r="AP408" s="288" t="s">
        <v>2032</v>
      </c>
      <c r="AQ408" s="288" t="s">
        <v>2032</v>
      </c>
      <c r="AR408" s="288" t="s">
        <v>2032</v>
      </c>
      <c r="AS408" s="288" t="s">
        <v>2032</v>
      </c>
      <c r="AT408" s="288" t="s">
        <v>2032</v>
      </c>
      <c r="AU408" s="288" t="s">
        <v>2032</v>
      </c>
      <c r="AV408" s="288" t="s">
        <v>2032</v>
      </c>
      <c r="AW408" s="288" t="s">
        <v>2032</v>
      </c>
      <c r="AX408" s="288" t="s">
        <v>2032</v>
      </c>
      <c r="AY408" s="288" t="s">
        <v>2032</v>
      </c>
      <c r="AZ408" s="288" t="s">
        <v>2032</v>
      </c>
      <c r="BA408" s="288" t="s">
        <v>2032</v>
      </c>
      <c r="BB408" s="288" t="s">
        <v>2032</v>
      </c>
      <c r="BC408" s="288" t="s">
        <v>2032</v>
      </c>
      <c r="BD408" s="289">
        <f t="shared" si="1"/>
        <v>0</v>
      </c>
      <c r="BE408" s="287"/>
      <c r="BF408" s="272"/>
    </row>
    <row r="409" spans="1:58" ht="14.25" customHeight="1" x14ac:dyDescent="0.35">
      <c r="A409" s="68">
        <v>407</v>
      </c>
      <c r="B409" s="24" t="s">
        <v>1995</v>
      </c>
      <c r="C409" s="24">
        <v>2024</v>
      </c>
      <c r="D409" s="24" t="s">
        <v>1745</v>
      </c>
      <c r="E409" s="269" t="str">
        <f ca="1">IFERROR(__xludf.DUMMYFUNCTION("ARRAYFORMULA(JOIN("""", ARRAYFORMULA(MID(SPLIT(F409, "" ""), 1, 1))))
&amp;""/""&amp;G409"),"CLQ/2 Primaria")</f>
        <v>CLQ/2 Primaria</v>
      </c>
      <c r="F409" s="24" t="s">
        <v>1755</v>
      </c>
      <c r="G409" s="248" t="s">
        <v>45</v>
      </c>
      <c r="H409" s="248" t="s">
        <v>1672</v>
      </c>
      <c r="I409" s="248" t="s">
        <v>1672</v>
      </c>
      <c r="J409" s="248" t="s">
        <v>1997</v>
      </c>
      <c r="K409" s="248" t="s">
        <v>1586</v>
      </c>
      <c r="L409" s="272"/>
      <c r="M409" s="286" t="s">
        <v>1753</v>
      </c>
      <c r="N409" s="286" t="s">
        <v>1588</v>
      </c>
      <c r="O409" s="286" t="s">
        <v>1754</v>
      </c>
      <c r="P409" s="286" t="s">
        <v>1753</v>
      </c>
      <c r="Q409" s="286" t="s">
        <v>1753</v>
      </c>
      <c r="R409" s="286" t="s">
        <v>1753</v>
      </c>
      <c r="S409" s="286" t="s">
        <v>1588</v>
      </c>
      <c r="T409" s="286" t="s">
        <v>1754</v>
      </c>
      <c r="U409" s="286" t="s">
        <v>1754</v>
      </c>
      <c r="V409" s="286" t="s">
        <v>1754</v>
      </c>
      <c r="W409" s="286" t="s">
        <v>1753</v>
      </c>
      <c r="X409" s="286" t="s">
        <v>1588</v>
      </c>
      <c r="Y409" s="286" t="s">
        <v>1754</v>
      </c>
      <c r="Z409" s="286" t="s">
        <v>1753</v>
      </c>
      <c r="AA409" s="286" t="s">
        <v>1588</v>
      </c>
      <c r="AB409" s="286" t="s">
        <v>1753</v>
      </c>
      <c r="AC409" s="286" t="s">
        <v>1754</v>
      </c>
      <c r="AD409" s="286" t="s">
        <v>1588</v>
      </c>
      <c r="AE409" s="286" t="s">
        <v>1754</v>
      </c>
      <c r="AF409" s="286" t="s">
        <v>1753</v>
      </c>
      <c r="AG409" s="283">
        <v>8</v>
      </c>
      <c r="AH409" s="287" t="s">
        <v>19</v>
      </c>
      <c r="AI409" s="272"/>
      <c r="AJ409" s="288" t="s">
        <v>2032</v>
      </c>
      <c r="AK409" s="288" t="s">
        <v>2032</v>
      </c>
      <c r="AL409" s="288" t="s">
        <v>2032</v>
      </c>
      <c r="AM409" s="288" t="s">
        <v>2032</v>
      </c>
      <c r="AN409" s="288" t="s">
        <v>2032</v>
      </c>
      <c r="AO409" s="288" t="s">
        <v>2032</v>
      </c>
      <c r="AP409" s="288" t="s">
        <v>2032</v>
      </c>
      <c r="AQ409" s="288" t="s">
        <v>2032</v>
      </c>
      <c r="AR409" s="288" t="s">
        <v>2032</v>
      </c>
      <c r="AS409" s="288" t="s">
        <v>2032</v>
      </c>
      <c r="AT409" s="288" t="s">
        <v>2032</v>
      </c>
      <c r="AU409" s="288" t="s">
        <v>2032</v>
      </c>
      <c r="AV409" s="288" t="s">
        <v>2032</v>
      </c>
      <c r="AW409" s="288" t="s">
        <v>2032</v>
      </c>
      <c r="AX409" s="288" t="s">
        <v>2032</v>
      </c>
      <c r="AY409" s="288" t="s">
        <v>2032</v>
      </c>
      <c r="AZ409" s="288" t="s">
        <v>2032</v>
      </c>
      <c r="BA409" s="288" t="s">
        <v>2032</v>
      </c>
      <c r="BB409" s="288" t="s">
        <v>2032</v>
      </c>
      <c r="BC409" s="288" t="s">
        <v>2032</v>
      </c>
      <c r="BD409" s="289">
        <f t="shared" si="1"/>
        <v>0</v>
      </c>
      <c r="BE409" s="287"/>
      <c r="BF409" s="272"/>
    </row>
    <row r="410" spans="1:58" ht="14.25" customHeight="1" x14ac:dyDescent="0.35">
      <c r="A410" s="68">
        <v>408</v>
      </c>
      <c r="B410" s="24" t="s">
        <v>1995</v>
      </c>
      <c r="C410" s="24">
        <v>2024</v>
      </c>
      <c r="D410" s="24" t="s">
        <v>1541</v>
      </c>
      <c r="E410" s="269" t="str">
        <f ca="1">IFERROR(__xludf.DUMMYFUNCTION("ARRAYFORMULA(JOIN("""", ARRAYFORMULA(MID(SPLIT(F410, "" ""), 1, 1))))
&amp;""/""&amp;G410"),"MQ/2 Primaria")</f>
        <v>MQ/2 Primaria</v>
      </c>
      <c r="F410" s="24" t="s">
        <v>1751</v>
      </c>
      <c r="G410" s="248" t="s">
        <v>45</v>
      </c>
      <c r="H410" s="248" t="s">
        <v>1998</v>
      </c>
      <c r="I410" s="248" t="s">
        <v>1647</v>
      </c>
      <c r="J410" s="248" t="s">
        <v>1999</v>
      </c>
      <c r="K410" s="248" t="s">
        <v>1593</v>
      </c>
      <c r="L410" s="272"/>
      <c r="M410" s="286" t="s">
        <v>1753</v>
      </c>
      <c r="N410" s="286" t="s">
        <v>1588</v>
      </c>
      <c r="O410" s="286" t="s">
        <v>1588</v>
      </c>
      <c r="P410" s="286" t="s">
        <v>1754</v>
      </c>
      <c r="Q410" s="286" t="s">
        <v>1754</v>
      </c>
      <c r="R410" s="286" t="s">
        <v>1754</v>
      </c>
      <c r="S410" s="286" t="s">
        <v>1754</v>
      </c>
      <c r="T410" s="286" t="s">
        <v>1753</v>
      </c>
      <c r="U410" s="286" t="s">
        <v>1754</v>
      </c>
      <c r="V410" s="286" t="s">
        <v>1754</v>
      </c>
      <c r="W410" s="286" t="s">
        <v>1753</v>
      </c>
      <c r="X410" s="286" t="s">
        <v>1754</v>
      </c>
      <c r="Y410" s="286" t="s">
        <v>1753</v>
      </c>
      <c r="Z410" s="286" t="s">
        <v>1753</v>
      </c>
      <c r="AA410" s="286" t="s">
        <v>1754</v>
      </c>
      <c r="AB410" s="286" t="s">
        <v>1588</v>
      </c>
      <c r="AC410" s="286" t="s">
        <v>1588</v>
      </c>
      <c r="AD410" s="286" t="s">
        <v>1753</v>
      </c>
      <c r="AE410" s="286" t="s">
        <v>1754</v>
      </c>
      <c r="AF410" s="286" t="s">
        <v>1753</v>
      </c>
      <c r="AG410" s="283">
        <v>13</v>
      </c>
      <c r="AH410" s="287" t="s">
        <v>23</v>
      </c>
      <c r="AI410" s="272"/>
      <c r="AJ410" s="288" t="s">
        <v>2032</v>
      </c>
      <c r="AK410" s="288" t="s">
        <v>2032</v>
      </c>
      <c r="AL410" s="288" t="s">
        <v>2032</v>
      </c>
      <c r="AM410" s="288" t="s">
        <v>2032</v>
      </c>
      <c r="AN410" s="288" t="s">
        <v>2032</v>
      </c>
      <c r="AO410" s="288" t="s">
        <v>2032</v>
      </c>
      <c r="AP410" s="288" t="s">
        <v>2032</v>
      </c>
      <c r="AQ410" s="288" t="s">
        <v>2032</v>
      </c>
      <c r="AR410" s="288" t="s">
        <v>2032</v>
      </c>
      <c r="AS410" s="288" t="s">
        <v>2032</v>
      </c>
      <c r="AT410" s="288" t="s">
        <v>2032</v>
      </c>
      <c r="AU410" s="288" t="s">
        <v>2032</v>
      </c>
      <c r="AV410" s="288" t="s">
        <v>2032</v>
      </c>
      <c r="AW410" s="288" t="s">
        <v>2032</v>
      </c>
      <c r="AX410" s="288" t="s">
        <v>2032</v>
      </c>
      <c r="AY410" s="288" t="s">
        <v>2032</v>
      </c>
      <c r="AZ410" s="288" t="s">
        <v>2032</v>
      </c>
      <c r="BA410" s="288" t="s">
        <v>2032</v>
      </c>
      <c r="BB410" s="288" t="s">
        <v>2032</v>
      </c>
      <c r="BC410" s="288" t="s">
        <v>2032</v>
      </c>
      <c r="BD410" s="289">
        <f t="shared" si="1"/>
        <v>0</v>
      </c>
      <c r="BE410" s="287"/>
      <c r="BF410" s="272"/>
    </row>
    <row r="411" spans="1:58" ht="14.25" customHeight="1" x14ac:dyDescent="0.35">
      <c r="A411" s="68">
        <v>409</v>
      </c>
      <c r="B411" s="24" t="s">
        <v>1995</v>
      </c>
      <c r="C411" s="24">
        <v>2024</v>
      </c>
      <c r="D411" s="24" t="s">
        <v>1745</v>
      </c>
      <c r="E411" s="269" t="str">
        <f ca="1">IFERROR(__xludf.DUMMYFUNCTION("ARRAYFORMULA(JOIN("""", ARRAYFORMULA(MID(SPLIT(F411, "" ""), 1, 1))))
&amp;""/""&amp;G411"),"CLQ/2 Primaria")</f>
        <v>CLQ/2 Primaria</v>
      </c>
      <c r="F411" s="24" t="s">
        <v>1755</v>
      </c>
      <c r="G411" s="248" t="s">
        <v>45</v>
      </c>
      <c r="H411" s="248" t="s">
        <v>1998</v>
      </c>
      <c r="I411" s="248" t="s">
        <v>1647</v>
      </c>
      <c r="J411" s="248" t="s">
        <v>1999</v>
      </c>
      <c r="K411" s="248" t="s">
        <v>1593</v>
      </c>
      <c r="L411" s="272"/>
      <c r="M411" s="286" t="s">
        <v>1588</v>
      </c>
      <c r="N411" s="286" t="s">
        <v>1588</v>
      </c>
      <c r="O411" s="286" t="s">
        <v>1754</v>
      </c>
      <c r="P411" s="286" t="s">
        <v>1588</v>
      </c>
      <c r="Q411" s="286" t="s">
        <v>1753</v>
      </c>
      <c r="R411" s="286" t="s">
        <v>1588</v>
      </c>
      <c r="S411" s="286" t="s">
        <v>1753</v>
      </c>
      <c r="T411" s="286" t="s">
        <v>1753</v>
      </c>
      <c r="U411" s="286" t="s">
        <v>1753</v>
      </c>
      <c r="V411" s="286" t="s">
        <v>1588</v>
      </c>
      <c r="W411" s="286" t="s">
        <v>1753</v>
      </c>
      <c r="X411" s="286" t="s">
        <v>1754</v>
      </c>
      <c r="Y411" s="286" t="s">
        <v>1753</v>
      </c>
      <c r="Z411" s="286" t="s">
        <v>1753</v>
      </c>
      <c r="AA411" s="286" t="s">
        <v>1754</v>
      </c>
      <c r="AB411" s="286" t="s">
        <v>1754</v>
      </c>
      <c r="AC411" s="286" t="s">
        <v>1754</v>
      </c>
      <c r="AD411" s="286" t="s">
        <v>1588</v>
      </c>
      <c r="AE411" s="286" t="s">
        <v>1754</v>
      </c>
      <c r="AF411" s="286" t="s">
        <v>1753</v>
      </c>
      <c r="AG411" s="283">
        <v>8</v>
      </c>
      <c r="AH411" s="287" t="s">
        <v>19</v>
      </c>
      <c r="AI411" s="272"/>
      <c r="AJ411" s="288" t="s">
        <v>2032</v>
      </c>
      <c r="AK411" s="288" t="s">
        <v>2032</v>
      </c>
      <c r="AL411" s="288" t="s">
        <v>2032</v>
      </c>
      <c r="AM411" s="288" t="s">
        <v>2032</v>
      </c>
      <c r="AN411" s="288" t="s">
        <v>2032</v>
      </c>
      <c r="AO411" s="288" t="s">
        <v>2032</v>
      </c>
      <c r="AP411" s="288" t="s">
        <v>2032</v>
      </c>
      <c r="AQ411" s="288" t="s">
        <v>2032</v>
      </c>
      <c r="AR411" s="288" t="s">
        <v>2032</v>
      </c>
      <c r="AS411" s="288" t="s">
        <v>2032</v>
      </c>
      <c r="AT411" s="288" t="s">
        <v>2032</v>
      </c>
      <c r="AU411" s="288" t="s">
        <v>2032</v>
      </c>
      <c r="AV411" s="288" t="s">
        <v>2032</v>
      </c>
      <c r="AW411" s="288" t="s">
        <v>2032</v>
      </c>
      <c r="AX411" s="288" t="s">
        <v>2032</v>
      </c>
      <c r="AY411" s="288" t="s">
        <v>2032</v>
      </c>
      <c r="AZ411" s="288" t="s">
        <v>2032</v>
      </c>
      <c r="BA411" s="288" t="s">
        <v>2032</v>
      </c>
      <c r="BB411" s="288" t="s">
        <v>2032</v>
      </c>
      <c r="BC411" s="288" t="s">
        <v>2032</v>
      </c>
      <c r="BD411" s="289">
        <f t="shared" si="1"/>
        <v>0</v>
      </c>
      <c r="BE411" s="287"/>
      <c r="BF411" s="272"/>
    </row>
    <row r="412" spans="1:58" ht="14.25" customHeight="1" x14ac:dyDescent="0.35">
      <c r="A412" s="68">
        <v>410</v>
      </c>
      <c r="B412" s="24" t="s">
        <v>1995</v>
      </c>
      <c r="C412" s="24">
        <v>2024</v>
      </c>
      <c r="D412" s="24" t="s">
        <v>1541</v>
      </c>
      <c r="E412" s="269" t="str">
        <f ca="1">IFERROR(__xludf.DUMMYFUNCTION("ARRAYFORMULA(JOIN("""", ARRAYFORMULA(MID(SPLIT(F412, "" ""), 1, 1))))
&amp;""/""&amp;G412"),"MQ/4 Primaria")</f>
        <v>MQ/4 Primaria</v>
      </c>
      <c r="F412" s="24" t="s">
        <v>1751</v>
      </c>
      <c r="G412" s="248" t="s">
        <v>16</v>
      </c>
      <c r="H412" s="248" t="s">
        <v>2000</v>
      </c>
      <c r="I412" s="248" t="s">
        <v>1765</v>
      </c>
      <c r="J412" s="248" t="s">
        <v>2001</v>
      </c>
      <c r="K412" s="248" t="s">
        <v>1586</v>
      </c>
      <c r="L412" s="272"/>
      <c r="M412" s="286" t="s">
        <v>1617</v>
      </c>
      <c r="N412" s="286" t="s">
        <v>1617</v>
      </c>
      <c r="O412" s="286" t="s">
        <v>1617</v>
      </c>
      <c r="P412" s="286" t="s">
        <v>1617</v>
      </c>
      <c r="Q412" s="286" t="s">
        <v>1617</v>
      </c>
      <c r="R412" s="286" t="s">
        <v>1589</v>
      </c>
      <c r="S412" s="286" t="s">
        <v>1587</v>
      </c>
      <c r="T412" s="286" t="s">
        <v>1589</v>
      </c>
      <c r="U412" s="286" t="s">
        <v>1588</v>
      </c>
      <c r="V412" s="286" t="s">
        <v>1587</v>
      </c>
      <c r="W412" s="286" t="s">
        <v>1587</v>
      </c>
      <c r="X412" s="286" t="s">
        <v>1587</v>
      </c>
      <c r="Y412" s="286" t="s">
        <v>1588</v>
      </c>
      <c r="Z412" s="286" t="s">
        <v>1588</v>
      </c>
      <c r="AA412" s="286" t="s">
        <v>1617</v>
      </c>
      <c r="AB412" s="286" t="s">
        <v>1617</v>
      </c>
      <c r="AC412" s="286" t="s">
        <v>1588</v>
      </c>
      <c r="AD412" s="286" t="s">
        <v>1617</v>
      </c>
      <c r="AE412" s="286" t="s">
        <v>1587</v>
      </c>
      <c r="AF412" s="286" t="s">
        <v>1589</v>
      </c>
      <c r="AG412" s="283">
        <v>8</v>
      </c>
      <c r="AH412" s="287" t="s">
        <v>19</v>
      </c>
      <c r="AI412" s="272"/>
      <c r="AJ412" s="288" t="s">
        <v>2032</v>
      </c>
      <c r="AK412" s="288" t="s">
        <v>2032</v>
      </c>
      <c r="AL412" s="288" t="s">
        <v>2032</v>
      </c>
      <c r="AM412" s="288" t="s">
        <v>2032</v>
      </c>
      <c r="AN412" s="288" t="s">
        <v>2032</v>
      </c>
      <c r="AO412" s="288" t="s">
        <v>2032</v>
      </c>
      <c r="AP412" s="288" t="s">
        <v>2032</v>
      </c>
      <c r="AQ412" s="288" t="s">
        <v>2032</v>
      </c>
      <c r="AR412" s="288" t="s">
        <v>2032</v>
      </c>
      <c r="AS412" s="288" t="s">
        <v>2032</v>
      </c>
      <c r="AT412" s="288" t="s">
        <v>2032</v>
      </c>
      <c r="AU412" s="288" t="s">
        <v>2032</v>
      </c>
      <c r="AV412" s="288" t="s">
        <v>2032</v>
      </c>
      <c r="AW412" s="288" t="s">
        <v>2032</v>
      </c>
      <c r="AX412" s="288" t="s">
        <v>2032</v>
      </c>
      <c r="AY412" s="288" t="s">
        <v>2032</v>
      </c>
      <c r="AZ412" s="288" t="s">
        <v>2032</v>
      </c>
      <c r="BA412" s="288" t="s">
        <v>2032</v>
      </c>
      <c r="BB412" s="288" t="s">
        <v>2032</v>
      </c>
      <c r="BC412" s="288" t="s">
        <v>2032</v>
      </c>
      <c r="BD412" s="289">
        <f t="shared" si="1"/>
        <v>0</v>
      </c>
      <c r="BE412" s="287"/>
      <c r="BF412" s="272"/>
    </row>
    <row r="413" spans="1:58" ht="14.25" customHeight="1" x14ac:dyDescent="0.35">
      <c r="A413" s="68">
        <v>411</v>
      </c>
      <c r="B413" s="24" t="s">
        <v>1995</v>
      </c>
      <c r="C413" s="24">
        <v>2024</v>
      </c>
      <c r="D413" s="24" t="s">
        <v>1745</v>
      </c>
      <c r="E413" s="269" t="str">
        <f ca="1">IFERROR(__xludf.DUMMYFUNCTION("ARRAYFORMULA(JOIN("""", ARRAYFORMULA(MID(SPLIT(F413, "" ""), 1, 1))))
&amp;""/""&amp;G413"),"CLQ/4 Primaria")</f>
        <v>CLQ/4 Primaria</v>
      </c>
      <c r="F413" s="24" t="s">
        <v>1755</v>
      </c>
      <c r="G413" s="248" t="s">
        <v>16</v>
      </c>
      <c r="H413" s="248" t="s">
        <v>2000</v>
      </c>
      <c r="I413" s="248" t="s">
        <v>1765</v>
      </c>
      <c r="J413" s="248" t="s">
        <v>2001</v>
      </c>
      <c r="K413" s="248" t="s">
        <v>1586</v>
      </c>
      <c r="L413" s="272"/>
      <c r="M413" s="286" t="s">
        <v>1587</v>
      </c>
      <c r="N413" s="286" t="s">
        <v>1588</v>
      </c>
      <c r="O413" s="286" t="s">
        <v>1588</v>
      </c>
      <c r="P413" s="286" t="s">
        <v>1587</v>
      </c>
      <c r="Q413" s="286" t="s">
        <v>1589</v>
      </c>
      <c r="R413" s="286" t="s">
        <v>1589</v>
      </c>
      <c r="S413" s="286" t="s">
        <v>1588</v>
      </c>
      <c r="T413" s="286" t="s">
        <v>1589</v>
      </c>
      <c r="U413" s="286" t="s">
        <v>1617</v>
      </c>
      <c r="V413" s="286" t="s">
        <v>1589</v>
      </c>
      <c r="W413" s="286" t="s">
        <v>1587</v>
      </c>
      <c r="X413" s="286" t="s">
        <v>1588</v>
      </c>
      <c r="Y413" s="286" t="s">
        <v>1587</v>
      </c>
      <c r="Z413" s="286" t="s">
        <v>1587</v>
      </c>
      <c r="AA413" s="286" t="s">
        <v>1588</v>
      </c>
      <c r="AB413" s="286" t="s">
        <v>1589</v>
      </c>
      <c r="AC413" s="286" t="s">
        <v>1589</v>
      </c>
      <c r="AD413" s="286" t="s">
        <v>1588</v>
      </c>
      <c r="AE413" s="286" t="s">
        <v>1587</v>
      </c>
      <c r="AF413" s="286" t="s">
        <v>1588</v>
      </c>
      <c r="AG413" s="283">
        <v>14</v>
      </c>
      <c r="AH413" s="287" t="s">
        <v>23</v>
      </c>
      <c r="AI413" s="272"/>
      <c r="AJ413" s="288" t="s">
        <v>2032</v>
      </c>
      <c r="AK413" s="288" t="s">
        <v>2032</v>
      </c>
      <c r="AL413" s="288" t="s">
        <v>2032</v>
      </c>
      <c r="AM413" s="288" t="s">
        <v>2032</v>
      </c>
      <c r="AN413" s="288" t="s">
        <v>2032</v>
      </c>
      <c r="AO413" s="288" t="s">
        <v>2032</v>
      </c>
      <c r="AP413" s="288" t="s">
        <v>2032</v>
      </c>
      <c r="AQ413" s="288" t="s">
        <v>2032</v>
      </c>
      <c r="AR413" s="288" t="s">
        <v>2032</v>
      </c>
      <c r="AS413" s="288" t="s">
        <v>2032</v>
      </c>
      <c r="AT413" s="288" t="s">
        <v>2032</v>
      </c>
      <c r="AU413" s="288" t="s">
        <v>2032</v>
      </c>
      <c r="AV413" s="288" t="s">
        <v>2032</v>
      </c>
      <c r="AW413" s="288" t="s">
        <v>2032</v>
      </c>
      <c r="AX413" s="288" t="s">
        <v>2032</v>
      </c>
      <c r="AY413" s="288" t="s">
        <v>2032</v>
      </c>
      <c r="AZ413" s="288" t="s">
        <v>2032</v>
      </c>
      <c r="BA413" s="288" t="s">
        <v>2032</v>
      </c>
      <c r="BB413" s="288" t="s">
        <v>2032</v>
      </c>
      <c r="BC413" s="288" t="s">
        <v>2032</v>
      </c>
      <c r="BD413" s="289">
        <f t="shared" si="1"/>
        <v>0</v>
      </c>
      <c r="BE413" s="287"/>
      <c r="BF413" s="272"/>
    </row>
    <row r="414" spans="1:58" ht="14.25" customHeight="1" x14ac:dyDescent="0.35">
      <c r="A414" s="68">
        <v>412</v>
      </c>
      <c r="B414" s="24" t="s">
        <v>1995</v>
      </c>
      <c r="C414" s="24">
        <v>2024</v>
      </c>
      <c r="D414" s="24" t="s">
        <v>1541</v>
      </c>
      <c r="E414" s="269" t="str">
        <f ca="1">IFERROR(__xludf.DUMMYFUNCTION("ARRAYFORMULA(JOIN("""", ARRAYFORMULA(MID(SPLIT(F414, "" ""), 1, 1))))
&amp;""/""&amp;G414"),"MQ/4 Primaria")</f>
        <v>MQ/4 Primaria</v>
      </c>
      <c r="F414" s="24" t="s">
        <v>1751</v>
      </c>
      <c r="G414" s="248" t="s">
        <v>16</v>
      </c>
      <c r="H414" s="248" t="s">
        <v>1718</v>
      </c>
      <c r="I414" s="248" t="s">
        <v>1647</v>
      </c>
      <c r="J414" s="248" t="s">
        <v>2002</v>
      </c>
      <c r="K414" s="248" t="s">
        <v>1586</v>
      </c>
      <c r="L414" s="272"/>
      <c r="M414" s="286" t="s">
        <v>1617</v>
      </c>
      <c r="N414" s="286" t="s">
        <v>1589</v>
      </c>
      <c r="O414" s="286" t="s">
        <v>1617</v>
      </c>
      <c r="P414" s="286" t="s">
        <v>1587</v>
      </c>
      <c r="Q414" s="286" t="s">
        <v>1589</v>
      </c>
      <c r="R414" s="286" t="s">
        <v>1588</v>
      </c>
      <c r="S414" s="286" t="s">
        <v>1587</v>
      </c>
      <c r="T414" s="286" t="s">
        <v>1589</v>
      </c>
      <c r="U414" s="286" t="s">
        <v>1588</v>
      </c>
      <c r="V414" s="286" t="s">
        <v>1587</v>
      </c>
      <c r="W414" s="286" t="s">
        <v>1589</v>
      </c>
      <c r="X414" s="286" t="s">
        <v>1587</v>
      </c>
      <c r="Y414" s="286" t="s">
        <v>1589</v>
      </c>
      <c r="Z414" s="286" t="s">
        <v>1589</v>
      </c>
      <c r="AA414" s="286" t="s">
        <v>1588</v>
      </c>
      <c r="AB414" s="286" t="s">
        <v>1587</v>
      </c>
      <c r="AC414" s="286" t="s">
        <v>1589</v>
      </c>
      <c r="AD414" s="286" t="s">
        <v>1589</v>
      </c>
      <c r="AE414" s="286" t="s">
        <v>1587</v>
      </c>
      <c r="AF414" s="286" t="s">
        <v>1589</v>
      </c>
      <c r="AG414" s="283">
        <v>13</v>
      </c>
      <c r="AH414" s="287" t="s">
        <v>23</v>
      </c>
      <c r="AI414" s="272"/>
      <c r="AJ414" s="288" t="s">
        <v>2032</v>
      </c>
      <c r="AK414" s="288" t="s">
        <v>2032</v>
      </c>
      <c r="AL414" s="288" t="s">
        <v>2032</v>
      </c>
      <c r="AM414" s="288" t="s">
        <v>2032</v>
      </c>
      <c r="AN414" s="288" t="s">
        <v>2032</v>
      </c>
      <c r="AO414" s="288" t="s">
        <v>2032</v>
      </c>
      <c r="AP414" s="288" t="s">
        <v>2032</v>
      </c>
      <c r="AQ414" s="288" t="s">
        <v>2032</v>
      </c>
      <c r="AR414" s="288" t="s">
        <v>2032</v>
      </c>
      <c r="AS414" s="288" t="s">
        <v>2032</v>
      </c>
      <c r="AT414" s="288" t="s">
        <v>2032</v>
      </c>
      <c r="AU414" s="288" t="s">
        <v>2032</v>
      </c>
      <c r="AV414" s="288" t="s">
        <v>2032</v>
      </c>
      <c r="AW414" s="288" t="s">
        <v>2032</v>
      </c>
      <c r="AX414" s="288" t="s">
        <v>2032</v>
      </c>
      <c r="AY414" s="288" t="s">
        <v>2032</v>
      </c>
      <c r="AZ414" s="288" t="s">
        <v>2032</v>
      </c>
      <c r="BA414" s="288" t="s">
        <v>2032</v>
      </c>
      <c r="BB414" s="288" t="s">
        <v>2032</v>
      </c>
      <c r="BC414" s="288" t="s">
        <v>2032</v>
      </c>
      <c r="BD414" s="289">
        <f t="shared" si="1"/>
        <v>0</v>
      </c>
      <c r="BE414" s="287"/>
      <c r="BF414" s="272"/>
    </row>
    <row r="415" spans="1:58" ht="14.25" customHeight="1" x14ac:dyDescent="0.35">
      <c r="A415" s="68">
        <v>413</v>
      </c>
      <c r="B415" s="24" t="s">
        <v>1995</v>
      </c>
      <c r="C415" s="24">
        <v>2024</v>
      </c>
      <c r="D415" s="24" t="s">
        <v>1745</v>
      </c>
      <c r="E415" s="269" t="str">
        <f ca="1">IFERROR(__xludf.DUMMYFUNCTION("ARRAYFORMULA(JOIN("""", ARRAYFORMULA(MID(SPLIT(F415, "" ""), 1, 1))))
&amp;""/""&amp;G415"),"CLQ/4 Primaria")</f>
        <v>CLQ/4 Primaria</v>
      </c>
      <c r="F415" s="24" t="s">
        <v>1755</v>
      </c>
      <c r="G415" s="248" t="s">
        <v>16</v>
      </c>
      <c r="H415" s="248" t="s">
        <v>1718</v>
      </c>
      <c r="I415" s="248" t="s">
        <v>1647</v>
      </c>
      <c r="J415" s="248" t="s">
        <v>2002</v>
      </c>
      <c r="K415" s="248" t="s">
        <v>1586</v>
      </c>
      <c r="L415" s="272"/>
      <c r="M415" s="286" t="s">
        <v>1588</v>
      </c>
      <c r="N415" s="286" t="s">
        <v>1587</v>
      </c>
      <c r="O415" s="286" t="s">
        <v>1589</v>
      </c>
      <c r="P415" s="286" t="s">
        <v>1589</v>
      </c>
      <c r="Q415" s="286" t="s">
        <v>1587</v>
      </c>
      <c r="R415" s="286" t="s">
        <v>1587</v>
      </c>
      <c r="S415" s="286" t="s">
        <v>1589</v>
      </c>
      <c r="T415" s="286" t="s">
        <v>1617</v>
      </c>
      <c r="U415" s="286" t="s">
        <v>1617</v>
      </c>
      <c r="V415" s="286" t="s">
        <v>1589</v>
      </c>
      <c r="W415" s="286" t="s">
        <v>1588</v>
      </c>
      <c r="X415" s="286" t="s">
        <v>1589</v>
      </c>
      <c r="Y415" s="286" t="s">
        <v>1587</v>
      </c>
      <c r="Z415" s="286" t="s">
        <v>1588</v>
      </c>
      <c r="AA415" s="286" t="s">
        <v>1588</v>
      </c>
      <c r="AB415" s="286" t="s">
        <v>1617</v>
      </c>
      <c r="AC415" s="286" t="s">
        <v>1589</v>
      </c>
      <c r="AD415" s="286" t="s">
        <v>1617</v>
      </c>
      <c r="AE415" s="286" t="s">
        <v>1589</v>
      </c>
      <c r="AF415" s="286" t="s">
        <v>1587</v>
      </c>
      <c r="AG415" s="283">
        <v>6</v>
      </c>
      <c r="AH415" s="287" t="s">
        <v>19</v>
      </c>
      <c r="AI415" s="272"/>
      <c r="AJ415" s="288" t="s">
        <v>2032</v>
      </c>
      <c r="AK415" s="288" t="s">
        <v>2032</v>
      </c>
      <c r="AL415" s="288" t="s">
        <v>2032</v>
      </c>
      <c r="AM415" s="288" t="s">
        <v>2032</v>
      </c>
      <c r="AN415" s="288" t="s">
        <v>2032</v>
      </c>
      <c r="AO415" s="288" t="s">
        <v>2032</v>
      </c>
      <c r="AP415" s="288" t="s">
        <v>2032</v>
      </c>
      <c r="AQ415" s="288" t="s">
        <v>2032</v>
      </c>
      <c r="AR415" s="288" t="s">
        <v>2032</v>
      </c>
      <c r="AS415" s="288" t="s">
        <v>2032</v>
      </c>
      <c r="AT415" s="288" t="s">
        <v>2032</v>
      </c>
      <c r="AU415" s="288" t="s">
        <v>2032</v>
      </c>
      <c r="AV415" s="288" t="s">
        <v>2032</v>
      </c>
      <c r="AW415" s="288" t="s">
        <v>2032</v>
      </c>
      <c r="AX415" s="288" t="s">
        <v>2032</v>
      </c>
      <c r="AY415" s="288" t="s">
        <v>2032</v>
      </c>
      <c r="AZ415" s="288" t="s">
        <v>2032</v>
      </c>
      <c r="BA415" s="288" t="s">
        <v>2032</v>
      </c>
      <c r="BB415" s="288" t="s">
        <v>2032</v>
      </c>
      <c r="BC415" s="288" t="s">
        <v>2032</v>
      </c>
      <c r="BD415" s="289">
        <f t="shared" si="1"/>
        <v>0</v>
      </c>
      <c r="BE415" s="287"/>
      <c r="BF415" s="272"/>
    </row>
    <row r="416" spans="1:58" ht="14.25" customHeight="1" x14ac:dyDescent="0.35">
      <c r="A416" s="68">
        <v>414</v>
      </c>
      <c r="B416" s="24" t="s">
        <v>1995</v>
      </c>
      <c r="C416" s="24">
        <v>2024</v>
      </c>
      <c r="D416" s="24" t="s">
        <v>1541</v>
      </c>
      <c r="E416" s="269" t="str">
        <f ca="1">IFERROR(__xludf.DUMMYFUNCTION("ARRAYFORMULA(JOIN("""", ARRAYFORMULA(MID(SPLIT(F416, "" ""), 1, 1))))
&amp;""/""&amp;G416"),"MQ/4 Primaria")</f>
        <v>MQ/4 Primaria</v>
      </c>
      <c r="F416" s="24" t="s">
        <v>1751</v>
      </c>
      <c r="G416" s="248" t="s">
        <v>16</v>
      </c>
      <c r="H416" s="248" t="s">
        <v>1816</v>
      </c>
      <c r="I416" s="248" t="s">
        <v>1699</v>
      </c>
      <c r="J416" s="248" t="s">
        <v>2003</v>
      </c>
      <c r="K416" s="248" t="s">
        <v>1593</v>
      </c>
      <c r="L416" s="272"/>
      <c r="M416" s="286" t="s">
        <v>1617</v>
      </c>
      <c r="N416" s="286" t="s">
        <v>1589</v>
      </c>
      <c r="O416" s="286" t="s">
        <v>1617</v>
      </c>
      <c r="P416" s="286" t="s">
        <v>1587</v>
      </c>
      <c r="Q416" s="286" t="s">
        <v>1589</v>
      </c>
      <c r="R416" s="286" t="s">
        <v>1588</v>
      </c>
      <c r="S416" s="286" t="s">
        <v>1587</v>
      </c>
      <c r="T416" s="286" t="s">
        <v>1589</v>
      </c>
      <c r="U416" s="286" t="s">
        <v>1588</v>
      </c>
      <c r="V416" s="286" t="s">
        <v>1588</v>
      </c>
      <c r="W416" s="286" t="s">
        <v>1587</v>
      </c>
      <c r="X416" s="286" t="s">
        <v>1588</v>
      </c>
      <c r="Y416" s="286" t="s">
        <v>1588</v>
      </c>
      <c r="Z416" s="286" t="s">
        <v>1589</v>
      </c>
      <c r="AA416" s="286" t="s">
        <v>1588</v>
      </c>
      <c r="AB416" s="286" t="s">
        <v>1587</v>
      </c>
      <c r="AC416" s="286" t="s">
        <v>1617</v>
      </c>
      <c r="AD416" s="286" t="s">
        <v>1589</v>
      </c>
      <c r="AE416" s="286" t="s">
        <v>1587</v>
      </c>
      <c r="AF416" s="286" t="s">
        <v>1588</v>
      </c>
      <c r="AG416" s="283">
        <v>15</v>
      </c>
      <c r="AH416" s="287" t="s">
        <v>23</v>
      </c>
      <c r="AI416" s="272"/>
      <c r="AJ416" s="288" t="s">
        <v>2032</v>
      </c>
      <c r="AK416" s="288" t="s">
        <v>2032</v>
      </c>
      <c r="AL416" s="288" t="s">
        <v>2032</v>
      </c>
      <c r="AM416" s="288" t="s">
        <v>2032</v>
      </c>
      <c r="AN416" s="288" t="s">
        <v>2032</v>
      </c>
      <c r="AO416" s="288" t="s">
        <v>2032</v>
      </c>
      <c r="AP416" s="288" t="s">
        <v>2032</v>
      </c>
      <c r="AQ416" s="288" t="s">
        <v>2032</v>
      </c>
      <c r="AR416" s="288" t="s">
        <v>2032</v>
      </c>
      <c r="AS416" s="288" t="s">
        <v>2032</v>
      </c>
      <c r="AT416" s="288" t="s">
        <v>2032</v>
      </c>
      <c r="AU416" s="288" t="s">
        <v>2032</v>
      </c>
      <c r="AV416" s="288" t="s">
        <v>2032</v>
      </c>
      <c r="AW416" s="288" t="s">
        <v>2032</v>
      </c>
      <c r="AX416" s="288" t="s">
        <v>2032</v>
      </c>
      <c r="AY416" s="288" t="s">
        <v>2032</v>
      </c>
      <c r="AZ416" s="288" t="s">
        <v>2032</v>
      </c>
      <c r="BA416" s="288" t="s">
        <v>2032</v>
      </c>
      <c r="BB416" s="288" t="s">
        <v>2032</v>
      </c>
      <c r="BC416" s="288" t="s">
        <v>2032</v>
      </c>
      <c r="BD416" s="289">
        <f t="shared" si="1"/>
        <v>0</v>
      </c>
      <c r="BE416" s="287"/>
      <c r="BF416" s="272"/>
    </row>
    <row r="417" spans="1:58" ht="14.25" customHeight="1" x14ac:dyDescent="0.35">
      <c r="A417" s="68">
        <v>415</v>
      </c>
      <c r="B417" s="24" t="s">
        <v>1995</v>
      </c>
      <c r="C417" s="24">
        <v>2024</v>
      </c>
      <c r="D417" s="24" t="s">
        <v>1745</v>
      </c>
      <c r="E417" s="269" t="str">
        <f ca="1">IFERROR(__xludf.DUMMYFUNCTION("ARRAYFORMULA(JOIN("""", ARRAYFORMULA(MID(SPLIT(F417, "" ""), 1, 1))))
&amp;""/""&amp;G417"),"CLQ/4 Primaria")</f>
        <v>CLQ/4 Primaria</v>
      </c>
      <c r="F417" s="24" t="s">
        <v>1755</v>
      </c>
      <c r="G417" s="248" t="s">
        <v>16</v>
      </c>
      <c r="H417" s="248" t="s">
        <v>1816</v>
      </c>
      <c r="I417" s="248" t="s">
        <v>1699</v>
      </c>
      <c r="J417" s="248" t="s">
        <v>2003</v>
      </c>
      <c r="K417" s="248" t="s">
        <v>1593</v>
      </c>
      <c r="L417" s="272"/>
      <c r="M417" s="286" t="s">
        <v>1587</v>
      </c>
      <c r="N417" s="286" t="s">
        <v>1588</v>
      </c>
      <c r="O417" s="286" t="s">
        <v>1588</v>
      </c>
      <c r="P417" s="286" t="s">
        <v>1589</v>
      </c>
      <c r="Q417" s="286" t="s">
        <v>1589</v>
      </c>
      <c r="R417" s="286" t="s">
        <v>1587</v>
      </c>
      <c r="S417" s="286" t="s">
        <v>1588</v>
      </c>
      <c r="T417" s="286" t="s">
        <v>1588</v>
      </c>
      <c r="U417" s="286" t="s">
        <v>1617</v>
      </c>
      <c r="V417" s="286" t="s">
        <v>1587</v>
      </c>
      <c r="W417" s="286" t="s">
        <v>1617</v>
      </c>
      <c r="X417" s="286" t="s">
        <v>1587</v>
      </c>
      <c r="Y417" s="286" t="s">
        <v>1587</v>
      </c>
      <c r="Z417" s="286" t="s">
        <v>1589</v>
      </c>
      <c r="AA417" s="286" t="s">
        <v>1589</v>
      </c>
      <c r="AB417" s="286" t="s">
        <v>1617</v>
      </c>
      <c r="AC417" s="286" t="s">
        <v>1589</v>
      </c>
      <c r="AD417" s="286" t="s">
        <v>1617</v>
      </c>
      <c r="AE417" s="286" t="s">
        <v>1587</v>
      </c>
      <c r="AF417" s="286" t="s">
        <v>1589</v>
      </c>
      <c r="AG417" s="283">
        <v>11</v>
      </c>
      <c r="AH417" s="287" t="s">
        <v>23</v>
      </c>
      <c r="AI417" s="272"/>
      <c r="AJ417" s="288" t="s">
        <v>2032</v>
      </c>
      <c r="AK417" s="288" t="s">
        <v>2032</v>
      </c>
      <c r="AL417" s="288" t="s">
        <v>2032</v>
      </c>
      <c r="AM417" s="288" t="s">
        <v>2032</v>
      </c>
      <c r="AN417" s="288" t="s">
        <v>2032</v>
      </c>
      <c r="AO417" s="288" t="s">
        <v>2032</v>
      </c>
      <c r="AP417" s="288" t="s">
        <v>2032</v>
      </c>
      <c r="AQ417" s="288" t="s">
        <v>2032</v>
      </c>
      <c r="AR417" s="288" t="s">
        <v>2032</v>
      </c>
      <c r="AS417" s="288" t="s">
        <v>2032</v>
      </c>
      <c r="AT417" s="288" t="s">
        <v>2032</v>
      </c>
      <c r="AU417" s="288" t="s">
        <v>2032</v>
      </c>
      <c r="AV417" s="288" t="s">
        <v>2032</v>
      </c>
      <c r="AW417" s="288" t="s">
        <v>2032</v>
      </c>
      <c r="AX417" s="288" t="s">
        <v>2032</v>
      </c>
      <c r="AY417" s="288" t="s">
        <v>2032</v>
      </c>
      <c r="AZ417" s="288" t="s">
        <v>2032</v>
      </c>
      <c r="BA417" s="288" t="s">
        <v>2032</v>
      </c>
      <c r="BB417" s="288" t="s">
        <v>2032</v>
      </c>
      <c r="BC417" s="288" t="s">
        <v>2032</v>
      </c>
      <c r="BD417" s="289">
        <f t="shared" si="1"/>
        <v>0</v>
      </c>
      <c r="BE417" s="287"/>
      <c r="BF417" s="272"/>
    </row>
    <row r="418" spans="1:58" ht="14.25" customHeight="1" x14ac:dyDescent="0.35">
      <c r="A418" s="68">
        <v>416</v>
      </c>
      <c r="B418" s="24" t="s">
        <v>1995</v>
      </c>
      <c r="C418" s="24">
        <v>2024</v>
      </c>
      <c r="D418" s="24" t="s">
        <v>1541</v>
      </c>
      <c r="E418" s="269" t="str">
        <f ca="1">IFERROR(__xludf.DUMMYFUNCTION("ARRAYFORMULA(JOIN("""", ARRAYFORMULA(MID(SPLIT(F418, "" ""), 1, 1))))
&amp;""/""&amp;G418"),"MQ/6 Primaria")</f>
        <v>MQ/6 Primaria</v>
      </c>
      <c r="F418" s="24" t="s">
        <v>1751</v>
      </c>
      <c r="G418" s="248" t="s">
        <v>37</v>
      </c>
      <c r="H418" s="248" t="s">
        <v>2004</v>
      </c>
      <c r="I418" s="248" t="s">
        <v>2005</v>
      </c>
      <c r="J418" s="248" t="s">
        <v>2006</v>
      </c>
      <c r="K418" s="248" t="s">
        <v>1586</v>
      </c>
      <c r="L418" s="272"/>
      <c r="M418" s="286" t="s">
        <v>1588</v>
      </c>
      <c r="N418" s="286" t="s">
        <v>1617</v>
      </c>
      <c r="O418" s="286" t="s">
        <v>1589</v>
      </c>
      <c r="P418" s="286" t="s">
        <v>1617</v>
      </c>
      <c r="Q418" s="286" t="s">
        <v>1588</v>
      </c>
      <c r="R418" s="286" t="s">
        <v>1587</v>
      </c>
      <c r="S418" s="286" t="s">
        <v>1587</v>
      </c>
      <c r="T418" s="286" t="s">
        <v>1587</v>
      </c>
      <c r="U418" s="286" t="s">
        <v>1617</v>
      </c>
      <c r="V418" s="286" t="s">
        <v>1589</v>
      </c>
      <c r="W418" s="286" t="s">
        <v>1589</v>
      </c>
      <c r="X418" s="286" t="s">
        <v>1589</v>
      </c>
      <c r="Y418" s="286" t="s">
        <v>1617</v>
      </c>
      <c r="Z418" s="286" t="s">
        <v>1589</v>
      </c>
      <c r="AA418" s="286" t="s">
        <v>1588</v>
      </c>
      <c r="AB418" s="286" t="s">
        <v>1589</v>
      </c>
      <c r="AC418" s="286" t="s">
        <v>1588</v>
      </c>
      <c r="AD418" s="286" t="s">
        <v>1587</v>
      </c>
      <c r="AE418" s="286" t="s">
        <v>1617</v>
      </c>
      <c r="AF418" s="286" t="s">
        <v>1589</v>
      </c>
      <c r="AG418" s="283">
        <v>13</v>
      </c>
      <c r="AH418" s="287" t="s">
        <v>23</v>
      </c>
      <c r="AI418" s="272"/>
      <c r="AJ418" s="288" t="s">
        <v>2032</v>
      </c>
      <c r="AK418" s="288" t="s">
        <v>2032</v>
      </c>
      <c r="AL418" s="288" t="s">
        <v>2032</v>
      </c>
      <c r="AM418" s="288" t="s">
        <v>2032</v>
      </c>
      <c r="AN418" s="288" t="s">
        <v>2032</v>
      </c>
      <c r="AO418" s="288" t="s">
        <v>2032</v>
      </c>
      <c r="AP418" s="288" t="s">
        <v>2032</v>
      </c>
      <c r="AQ418" s="288" t="s">
        <v>2032</v>
      </c>
      <c r="AR418" s="288" t="s">
        <v>2032</v>
      </c>
      <c r="AS418" s="288" t="s">
        <v>2032</v>
      </c>
      <c r="AT418" s="288" t="s">
        <v>2032</v>
      </c>
      <c r="AU418" s="288" t="s">
        <v>2032</v>
      </c>
      <c r="AV418" s="288" t="s">
        <v>2032</v>
      </c>
      <c r="AW418" s="288" t="s">
        <v>2032</v>
      </c>
      <c r="AX418" s="288" t="s">
        <v>2032</v>
      </c>
      <c r="AY418" s="288" t="s">
        <v>2032</v>
      </c>
      <c r="AZ418" s="288" t="s">
        <v>2032</v>
      </c>
      <c r="BA418" s="288" t="s">
        <v>2032</v>
      </c>
      <c r="BB418" s="288" t="s">
        <v>2032</v>
      </c>
      <c r="BC418" s="288" t="s">
        <v>2032</v>
      </c>
      <c r="BD418" s="289">
        <f t="shared" si="1"/>
        <v>0</v>
      </c>
      <c r="BE418" s="287"/>
      <c r="BF418" s="272"/>
    </row>
    <row r="419" spans="1:58" ht="14.25" customHeight="1" x14ac:dyDescent="0.35">
      <c r="A419" s="68">
        <v>417</v>
      </c>
      <c r="B419" s="24" t="s">
        <v>1995</v>
      </c>
      <c r="C419" s="24">
        <v>2024</v>
      </c>
      <c r="D419" s="24" t="s">
        <v>1745</v>
      </c>
      <c r="E419" s="269" t="str">
        <f ca="1">IFERROR(__xludf.DUMMYFUNCTION("ARRAYFORMULA(JOIN("""", ARRAYFORMULA(MID(SPLIT(F419, "" ""), 1, 1))))
&amp;""/""&amp;G419"),"CLQ/6 Primaria")</f>
        <v>CLQ/6 Primaria</v>
      </c>
      <c r="F419" s="24" t="s">
        <v>1755</v>
      </c>
      <c r="G419" s="248" t="s">
        <v>37</v>
      </c>
      <c r="H419" s="248" t="s">
        <v>2004</v>
      </c>
      <c r="I419" s="248" t="s">
        <v>2005</v>
      </c>
      <c r="J419" s="248" t="s">
        <v>2006</v>
      </c>
      <c r="K419" s="248" t="s">
        <v>1586</v>
      </c>
      <c r="L419" s="272"/>
      <c r="M419" s="286" t="s">
        <v>1587</v>
      </c>
      <c r="N419" s="286" t="s">
        <v>1588</v>
      </c>
      <c r="O419" s="286" t="s">
        <v>1588</v>
      </c>
      <c r="P419" s="286" t="s">
        <v>1587</v>
      </c>
      <c r="Q419" s="286" t="s">
        <v>1589</v>
      </c>
      <c r="R419" s="286" t="s">
        <v>1617</v>
      </c>
      <c r="S419" s="286" t="s">
        <v>1589</v>
      </c>
      <c r="T419" s="286" t="s">
        <v>1617</v>
      </c>
      <c r="U419" s="286" t="s">
        <v>1617</v>
      </c>
      <c r="V419" s="286" t="s">
        <v>1588</v>
      </c>
      <c r="W419" s="286" t="s">
        <v>1617</v>
      </c>
      <c r="X419" s="286" t="s">
        <v>1589</v>
      </c>
      <c r="Y419" s="286" t="s">
        <v>1587</v>
      </c>
      <c r="Z419" s="286" t="s">
        <v>1589</v>
      </c>
      <c r="AA419" s="286" t="s">
        <v>1588</v>
      </c>
      <c r="AB419" s="286" t="s">
        <v>1587</v>
      </c>
      <c r="AC419" s="286" t="s">
        <v>1617</v>
      </c>
      <c r="AD419" s="286" t="s">
        <v>1617</v>
      </c>
      <c r="AE419" s="286" t="s">
        <v>1589</v>
      </c>
      <c r="AF419" s="286" t="s">
        <v>1589</v>
      </c>
      <c r="AG419" s="283">
        <v>8</v>
      </c>
      <c r="AH419" s="287" t="s">
        <v>19</v>
      </c>
      <c r="AI419" s="272"/>
      <c r="AJ419" s="288" t="s">
        <v>2032</v>
      </c>
      <c r="AK419" s="288" t="s">
        <v>2032</v>
      </c>
      <c r="AL419" s="288" t="s">
        <v>2032</v>
      </c>
      <c r="AM419" s="288" t="s">
        <v>2032</v>
      </c>
      <c r="AN419" s="288" t="s">
        <v>2032</v>
      </c>
      <c r="AO419" s="288" t="s">
        <v>2032</v>
      </c>
      <c r="AP419" s="288" t="s">
        <v>2032</v>
      </c>
      <c r="AQ419" s="288" t="s">
        <v>2032</v>
      </c>
      <c r="AR419" s="288" t="s">
        <v>2032</v>
      </c>
      <c r="AS419" s="288" t="s">
        <v>2032</v>
      </c>
      <c r="AT419" s="288" t="s">
        <v>2032</v>
      </c>
      <c r="AU419" s="288" t="s">
        <v>2032</v>
      </c>
      <c r="AV419" s="288" t="s">
        <v>2032</v>
      </c>
      <c r="AW419" s="288" t="s">
        <v>2032</v>
      </c>
      <c r="AX419" s="288" t="s">
        <v>2032</v>
      </c>
      <c r="AY419" s="288" t="s">
        <v>2032</v>
      </c>
      <c r="AZ419" s="288" t="s">
        <v>2032</v>
      </c>
      <c r="BA419" s="288" t="s">
        <v>2032</v>
      </c>
      <c r="BB419" s="288" t="s">
        <v>2032</v>
      </c>
      <c r="BC419" s="288" t="s">
        <v>2032</v>
      </c>
      <c r="BD419" s="289">
        <f t="shared" si="1"/>
        <v>0</v>
      </c>
      <c r="BE419" s="287"/>
      <c r="BF419" s="272"/>
    </row>
    <row r="420" spans="1:58" ht="14.25" customHeight="1" x14ac:dyDescent="0.35">
      <c r="A420" s="68">
        <v>418</v>
      </c>
      <c r="B420" s="24" t="s">
        <v>1995</v>
      </c>
      <c r="C420" s="24">
        <v>2024</v>
      </c>
      <c r="D420" s="24" t="s">
        <v>1541</v>
      </c>
      <c r="E420" s="269" t="str">
        <f ca="1">IFERROR(__xludf.DUMMYFUNCTION("ARRAYFORMULA(JOIN("""", ARRAYFORMULA(MID(SPLIT(F420, "" ""), 1, 1))))
&amp;""/""&amp;G420"),"MQ/6 Primaria")</f>
        <v>MQ/6 Primaria</v>
      </c>
      <c r="F420" s="24" t="s">
        <v>1751</v>
      </c>
      <c r="G420" s="248" t="s">
        <v>37</v>
      </c>
      <c r="H420" s="248" t="s">
        <v>1893</v>
      </c>
      <c r="I420" s="248" t="s">
        <v>2007</v>
      </c>
      <c r="J420" s="248" t="s">
        <v>2008</v>
      </c>
      <c r="K420" s="248" t="s">
        <v>1593</v>
      </c>
      <c r="L420" s="272"/>
      <c r="M420" s="286" t="s">
        <v>1589</v>
      </c>
      <c r="N420" s="286" t="s">
        <v>1617</v>
      </c>
      <c r="O420" s="286" t="s">
        <v>1589</v>
      </c>
      <c r="P420" s="286" t="s">
        <v>1617</v>
      </c>
      <c r="Q420" s="286" t="s">
        <v>1587</v>
      </c>
      <c r="R420" s="286" t="s">
        <v>1617</v>
      </c>
      <c r="S420" s="286" t="s">
        <v>1588</v>
      </c>
      <c r="T420" s="286" t="s">
        <v>1587</v>
      </c>
      <c r="U420" s="286" t="s">
        <v>1617</v>
      </c>
      <c r="V420" s="286" t="s">
        <v>1617</v>
      </c>
      <c r="W420" s="286" t="s">
        <v>1589</v>
      </c>
      <c r="X420" s="286" t="s">
        <v>1588</v>
      </c>
      <c r="Y420" s="286" t="s">
        <v>1589</v>
      </c>
      <c r="Z420" s="286" t="s">
        <v>1617</v>
      </c>
      <c r="AA420" s="286" t="s">
        <v>1617</v>
      </c>
      <c r="AB420" s="286" t="s">
        <v>1617</v>
      </c>
      <c r="AC420" s="286" t="s">
        <v>1588</v>
      </c>
      <c r="AD420" s="286" t="s">
        <v>1589</v>
      </c>
      <c r="AE420" s="286" t="s">
        <v>1587</v>
      </c>
      <c r="AF420" s="286" t="s">
        <v>1588</v>
      </c>
      <c r="AG420" s="283">
        <v>9</v>
      </c>
      <c r="AH420" s="287" t="s">
        <v>19</v>
      </c>
      <c r="AI420" s="272"/>
      <c r="AJ420" s="288" t="s">
        <v>2032</v>
      </c>
      <c r="AK420" s="288" t="s">
        <v>2032</v>
      </c>
      <c r="AL420" s="288" t="s">
        <v>2032</v>
      </c>
      <c r="AM420" s="288" t="s">
        <v>2032</v>
      </c>
      <c r="AN420" s="288" t="s">
        <v>2032</v>
      </c>
      <c r="AO420" s="288" t="s">
        <v>2032</v>
      </c>
      <c r="AP420" s="288" t="s">
        <v>2032</v>
      </c>
      <c r="AQ420" s="288" t="s">
        <v>2032</v>
      </c>
      <c r="AR420" s="288" t="s">
        <v>2032</v>
      </c>
      <c r="AS420" s="288" t="s">
        <v>2032</v>
      </c>
      <c r="AT420" s="288" t="s">
        <v>2032</v>
      </c>
      <c r="AU420" s="288" t="s">
        <v>2032</v>
      </c>
      <c r="AV420" s="288" t="s">
        <v>2032</v>
      </c>
      <c r="AW420" s="288" t="s">
        <v>2032</v>
      </c>
      <c r="AX420" s="288" t="s">
        <v>2032</v>
      </c>
      <c r="AY420" s="288" t="s">
        <v>2032</v>
      </c>
      <c r="AZ420" s="288" t="s">
        <v>2032</v>
      </c>
      <c r="BA420" s="288" t="s">
        <v>2032</v>
      </c>
      <c r="BB420" s="288" t="s">
        <v>2032</v>
      </c>
      <c r="BC420" s="288" t="s">
        <v>2032</v>
      </c>
      <c r="BD420" s="289">
        <f t="shared" si="1"/>
        <v>0</v>
      </c>
      <c r="BE420" s="287"/>
      <c r="BF420" s="272"/>
    </row>
    <row r="421" spans="1:58" ht="14.25" customHeight="1" x14ac:dyDescent="0.35">
      <c r="A421" s="68">
        <v>419</v>
      </c>
      <c r="B421" s="24" t="s">
        <v>1995</v>
      </c>
      <c r="C421" s="24">
        <v>2024</v>
      </c>
      <c r="D421" s="24" t="s">
        <v>1745</v>
      </c>
      <c r="E421" s="269" t="str">
        <f ca="1">IFERROR(__xludf.DUMMYFUNCTION("ARRAYFORMULA(JOIN("""", ARRAYFORMULA(MID(SPLIT(F421, "" ""), 1, 1))))
&amp;""/""&amp;G421"),"CLQ/6 Primaria")</f>
        <v>CLQ/6 Primaria</v>
      </c>
      <c r="F421" s="24" t="s">
        <v>1755</v>
      </c>
      <c r="G421" s="248" t="s">
        <v>37</v>
      </c>
      <c r="H421" s="248" t="s">
        <v>1893</v>
      </c>
      <c r="I421" s="248" t="s">
        <v>2007</v>
      </c>
      <c r="J421" s="248" t="s">
        <v>2008</v>
      </c>
      <c r="K421" s="248" t="s">
        <v>1593</v>
      </c>
      <c r="L421" s="272"/>
      <c r="M421" s="286" t="s">
        <v>1587</v>
      </c>
      <c r="N421" s="286" t="s">
        <v>1589</v>
      </c>
      <c r="O421" s="286" t="s">
        <v>1589</v>
      </c>
      <c r="P421" s="286" t="s">
        <v>1588</v>
      </c>
      <c r="Q421" s="286" t="s">
        <v>1617</v>
      </c>
      <c r="R421" s="286" t="s">
        <v>1617</v>
      </c>
      <c r="S421" s="286" t="s">
        <v>1617</v>
      </c>
      <c r="T421" s="286" t="s">
        <v>1589</v>
      </c>
      <c r="U421" s="286" t="s">
        <v>1588</v>
      </c>
      <c r="V421" s="286" t="s">
        <v>1589</v>
      </c>
      <c r="W421" s="286" t="s">
        <v>1587</v>
      </c>
      <c r="X421" s="286" t="s">
        <v>1587</v>
      </c>
      <c r="Y421" s="286" t="s">
        <v>1588</v>
      </c>
      <c r="Z421" s="286" t="s">
        <v>1587</v>
      </c>
      <c r="AA421" s="286" t="s">
        <v>1587</v>
      </c>
      <c r="AB421" s="286" t="s">
        <v>1617</v>
      </c>
      <c r="AC421" s="286" t="s">
        <v>1617</v>
      </c>
      <c r="AD421" s="286" t="s">
        <v>1588</v>
      </c>
      <c r="AE421" s="286" t="s">
        <v>1589</v>
      </c>
      <c r="AF421" s="286" t="s">
        <v>1617</v>
      </c>
      <c r="AG421" s="283">
        <v>8</v>
      </c>
      <c r="AH421" s="287" t="s">
        <v>19</v>
      </c>
      <c r="AI421" s="272"/>
      <c r="AJ421" s="288" t="s">
        <v>2032</v>
      </c>
      <c r="AK421" s="288" t="s">
        <v>2032</v>
      </c>
      <c r="AL421" s="288" t="s">
        <v>2032</v>
      </c>
      <c r="AM421" s="288" t="s">
        <v>2032</v>
      </c>
      <c r="AN421" s="288" t="s">
        <v>2032</v>
      </c>
      <c r="AO421" s="288" t="s">
        <v>2032</v>
      </c>
      <c r="AP421" s="288" t="s">
        <v>2032</v>
      </c>
      <c r="AQ421" s="288" t="s">
        <v>2032</v>
      </c>
      <c r="AR421" s="288" t="s">
        <v>2032</v>
      </c>
      <c r="AS421" s="288" t="s">
        <v>2032</v>
      </c>
      <c r="AT421" s="288" t="s">
        <v>2032</v>
      </c>
      <c r="AU421" s="288" t="s">
        <v>2032</v>
      </c>
      <c r="AV421" s="288" t="s">
        <v>2032</v>
      </c>
      <c r="AW421" s="288" t="s">
        <v>2032</v>
      </c>
      <c r="AX421" s="288" t="s">
        <v>2032</v>
      </c>
      <c r="AY421" s="288" t="s">
        <v>2032</v>
      </c>
      <c r="AZ421" s="288" t="s">
        <v>2032</v>
      </c>
      <c r="BA421" s="288" t="s">
        <v>2032</v>
      </c>
      <c r="BB421" s="288" t="s">
        <v>2032</v>
      </c>
      <c r="BC421" s="288" t="s">
        <v>2032</v>
      </c>
      <c r="BD421" s="289">
        <f t="shared" si="1"/>
        <v>0</v>
      </c>
      <c r="BE421" s="287"/>
      <c r="BF421" s="272"/>
    </row>
    <row r="422" spans="1:58" ht="14.25" customHeight="1" x14ac:dyDescent="0.35">
      <c r="A422" s="68">
        <v>420</v>
      </c>
      <c r="B422" s="24" t="s">
        <v>1995</v>
      </c>
      <c r="C422" s="24">
        <v>2024</v>
      </c>
      <c r="D422" s="24" t="s">
        <v>1541</v>
      </c>
      <c r="E422" s="269" t="str">
        <f ca="1">IFERROR(__xludf.DUMMYFUNCTION("ARRAYFORMULA(JOIN("""", ARRAYFORMULA(MID(SPLIT(F422, "" ""), 1, 1))))
&amp;""/""&amp;G422"),"MQ/6 Primaria")</f>
        <v>MQ/6 Primaria</v>
      </c>
      <c r="F422" s="24" t="s">
        <v>1751</v>
      </c>
      <c r="G422" s="248" t="s">
        <v>37</v>
      </c>
      <c r="H422" s="248" t="s">
        <v>2009</v>
      </c>
      <c r="I422" s="248" t="s">
        <v>1647</v>
      </c>
      <c r="J422" s="248" t="s">
        <v>2010</v>
      </c>
      <c r="K422" s="248" t="s">
        <v>1593</v>
      </c>
      <c r="L422" s="272"/>
      <c r="M422" s="286" t="s">
        <v>1588</v>
      </c>
      <c r="N422" s="286" t="s">
        <v>1617</v>
      </c>
      <c r="O422" s="286" t="s">
        <v>1589</v>
      </c>
      <c r="P422" s="286" t="s">
        <v>1617</v>
      </c>
      <c r="Q422" s="286" t="s">
        <v>1588</v>
      </c>
      <c r="R422" s="286" t="s">
        <v>1587</v>
      </c>
      <c r="S422" s="286" t="s">
        <v>1587</v>
      </c>
      <c r="T422" s="286" t="s">
        <v>1589</v>
      </c>
      <c r="U422" s="286" t="s">
        <v>1617</v>
      </c>
      <c r="V422" s="286" t="s">
        <v>1589</v>
      </c>
      <c r="W422" s="286" t="s">
        <v>1587</v>
      </c>
      <c r="X422" s="286" t="s">
        <v>1617</v>
      </c>
      <c r="Y422" s="286" t="s">
        <v>1588</v>
      </c>
      <c r="Z422" s="286" t="s">
        <v>1617</v>
      </c>
      <c r="AA422" s="286" t="s">
        <v>1617</v>
      </c>
      <c r="AB422" s="286" t="s">
        <v>1617</v>
      </c>
      <c r="AC422" s="286" t="s">
        <v>1589</v>
      </c>
      <c r="AD422" s="286" t="s">
        <v>1587</v>
      </c>
      <c r="AE422" s="286" t="s">
        <v>1617</v>
      </c>
      <c r="AF422" s="286" t="s">
        <v>1588</v>
      </c>
      <c r="AG422" s="283">
        <v>11</v>
      </c>
      <c r="AH422" s="287" t="s">
        <v>23</v>
      </c>
      <c r="AI422" s="272"/>
      <c r="AJ422" s="288" t="s">
        <v>2032</v>
      </c>
      <c r="AK422" s="288" t="s">
        <v>2032</v>
      </c>
      <c r="AL422" s="288" t="s">
        <v>2032</v>
      </c>
      <c r="AM422" s="288" t="s">
        <v>2032</v>
      </c>
      <c r="AN422" s="288" t="s">
        <v>2032</v>
      </c>
      <c r="AO422" s="288" t="s">
        <v>2032</v>
      </c>
      <c r="AP422" s="288" t="s">
        <v>2032</v>
      </c>
      <c r="AQ422" s="288" t="s">
        <v>2032</v>
      </c>
      <c r="AR422" s="288" t="s">
        <v>2032</v>
      </c>
      <c r="AS422" s="288" t="s">
        <v>2032</v>
      </c>
      <c r="AT422" s="288" t="s">
        <v>2032</v>
      </c>
      <c r="AU422" s="288" t="s">
        <v>2032</v>
      </c>
      <c r="AV422" s="288" t="s">
        <v>2032</v>
      </c>
      <c r="AW422" s="288" t="s">
        <v>2032</v>
      </c>
      <c r="AX422" s="288" t="s">
        <v>2032</v>
      </c>
      <c r="AY422" s="288" t="s">
        <v>2032</v>
      </c>
      <c r="AZ422" s="288" t="s">
        <v>2032</v>
      </c>
      <c r="BA422" s="288" t="s">
        <v>2032</v>
      </c>
      <c r="BB422" s="288" t="s">
        <v>2032</v>
      </c>
      <c r="BC422" s="288" t="s">
        <v>2032</v>
      </c>
      <c r="BD422" s="289">
        <f t="shared" si="1"/>
        <v>0</v>
      </c>
      <c r="BE422" s="287"/>
      <c r="BF422" s="272"/>
    </row>
    <row r="423" spans="1:58" ht="14.25" customHeight="1" x14ac:dyDescent="0.35">
      <c r="A423" s="68">
        <v>421</v>
      </c>
      <c r="B423" s="24" t="s">
        <v>1995</v>
      </c>
      <c r="C423" s="24">
        <v>2024</v>
      </c>
      <c r="D423" s="24" t="s">
        <v>1745</v>
      </c>
      <c r="E423" s="269" t="str">
        <f ca="1">IFERROR(__xludf.DUMMYFUNCTION("ARRAYFORMULA(JOIN("""", ARRAYFORMULA(MID(SPLIT(F423, "" ""), 1, 1))))
&amp;""/""&amp;G423"),"CLQ/6 Primaria")</f>
        <v>CLQ/6 Primaria</v>
      </c>
      <c r="F423" s="24" t="s">
        <v>1755</v>
      </c>
      <c r="G423" s="248" t="s">
        <v>37</v>
      </c>
      <c r="H423" s="248" t="s">
        <v>2009</v>
      </c>
      <c r="I423" s="248" t="s">
        <v>1647</v>
      </c>
      <c r="J423" s="248" t="s">
        <v>2010</v>
      </c>
      <c r="K423" s="248" t="s">
        <v>1593</v>
      </c>
      <c r="L423" s="272"/>
      <c r="M423" s="286" t="s">
        <v>1589</v>
      </c>
      <c r="N423" s="286" t="s">
        <v>1589</v>
      </c>
      <c r="O423" s="286" t="s">
        <v>1617</v>
      </c>
      <c r="P423" s="286" t="s">
        <v>1587</v>
      </c>
      <c r="Q423" s="286" t="s">
        <v>1588</v>
      </c>
      <c r="R423" s="286" t="s">
        <v>1617</v>
      </c>
      <c r="S423" s="286" t="s">
        <v>1587</v>
      </c>
      <c r="T423" s="286" t="s">
        <v>1589</v>
      </c>
      <c r="U423" s="286" t="s">
        <v>1617</v>
      </c>
      <c r="V423" s="286" t="s">
        <v>1588</v>
      </c>
      <c r="W423" s="286" t="s">
        <v>1587</v>
      </c>
      <c r="X423" s="286" t="s">
        <v>1617</v>
      </c>
      <c r="Y423" s="286" t="s">
        <v>1587</v>
      </c>
      <c r="Z423" s="286" t="s">
        <v>1589</v>
      </c>
      <c r="AA423" s="286" t="s">
        <v>1588</v>
      </c>
      <c r="AB423" s="286" t="s">
        <v>1589</v>
      </c>
      <c r="AC423" s="286" t="s">
        <v>1587</v>
      </c>
      <c r="AD423" s="286" t="s">
        <v>1588</v>
      </c>
      <c r="AE423" s="286" t="s">
        <v>1588</v>
      </c>
      <c r="AF423" s="286" t="s">
        <v>1589</v>
      </c>
      <c r="AG423" s="283">
        <v>12</v>
      </c>
      <c r="AH423" s="287" t="s">
        <v>23</v>
      </c>
      <c r="AI423" s="272"/>
      <c r="AJ423" s="288" t="s">
        <v>2032</v>
      </c>
      <c r="AK423" s="288" t="s">
        <v>2032</v>
      </c>
      <c r="AL423" s="288" t="s">
        <v>2032</v>
      </c>
      <c r="AM423" s="288" t="s">
        <v>2032</v>
      </c>
      <c r="AN423" s="288" t="s">
        <v>2032</v>
      </c>
      <c r="AO423" s="288" t="s">
        <v>2032</v>
      </c>
      <c r="AP423" s="288" t="s">
        <v>2032</v>
      </c>
      <c r="AQ423" s="288" t="s">
        <v>2032</v>
      </c>
      <c r="AR423" s="288" t="s">
        <v>2032</v>
      </c>
      <c r="AS423" s="288" t="s">
        <v>2032</v>
      </c>
      <c r="AT423" s="288" t="s">
        <v>2032</v>
      </c>
      <c r="AU423" s="288" t="s">
        <v>2032</v>
      </c>
      <c r="AV423" s="288" t="s">
        <v>2032</v>
      </c>
      <c r="AW423" s="288" t="s">
        <v>2032</v>
      </c>
      <c r="AX423" s="288" t="s">
        <v>2032</v>
      </c>
      <c r="AY423" s="288" t="s">
        <v>2032</v>
      </c>
      <c r="AZ423" s="288" t="s">
        <v>2032</v>
      </c>
      <c r="BA423" s="288" t="s">
        <v>2032</v>
      </c>
      <c r="BB423" s="288" t="s">
        <v>2032</v>
      </c>
      <c r="BC423" s="288" t="s">
        <v>2032</v>
      </c>
      <c r="BD423" s="289">
        <f t="shared" si="1"/>
        <v>0</v>
      </c>
      <c r="BE423" s="287"/>
      <c r="BF423" s="272"/>
    </row>
  </sheetData>
  <conditionalFormatting sqref="AH3:AH423 BE3:BE423">
    <cfRule type="containsText" dxfId="2" priority="1" operator="containsText" text="Logrado">
      <formula>NOT(ISERROR(SEARCH(("Logrado"),(AH3))))</formula>
    </cfRule>
    <cfRule type="containsText" dxfId="1" priority="2" operator="containsText" text="Proceso">
      <formula>NOT(ISERROR(SEARCH(("Proceso"),(AH3))))</formula>
    </cfRule>
    <cfRule type="containsText" dxfId="0" priority="3" operator="containsText" text="Inicio">
      <formula>NOT(ISERROR(SEARCH(("Inicio"),(AH3))))</formula>
    </cfRule>
  </conditionalFormatting>
  <dataValidations count="1">
    <dataValidation type="list" allowBlank="1" showErrorMessage="1" sqref="K3:K423" xr:uid="{00000000-0002-0000-1700-000000000000}">
      <formula1>"FEMENINO,MASCULINO"</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xr:uid="{00000000-0002-0000-1700-000001000000}">
          <x14:formula1>
            <xm:f>claves!$C$35:$C$55</xm:f>
          </x14:formula1>
          <xm:sqref>F3:F423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DATA</vt:lpstr>
      <vt:lpstr>1° primaria</vt:lpstr>
      <vt:lpstr>Colegios</vt:lpstr>
      <vt:lpstr>PADD-R</vt:lpstr>
      <vt:lpstr>Procesados</vt:lpstr>
      <vt:lpstr>CLASFICACIÓN</vt:lpstr>
      <vt:lpstr>GLOBAL</vt:lpstr>
      <vt:lpstr>LOS 3 AÑOS</vt:lpstr>
      <vt:lpstr>2022,24</vt:lpstr>
      <vt:lpstr>2023,24</vt:lpstr>
      <vt:lpstr>SOLO 2024</vt:lpstr>
      <vt:lpstr>General</vt:lpstr>
      <vt:lpstr>resumen x colegio</vt:lpstr>
      <vt:lpstr>xRed</vt:lpstr>
      <vt:lpstr>XGrado</vt:lpstr>
      <vt:lpstr>red-formula</vt:lpstr>
      <vt:lpstr>filtro</vt:lpstr>
      <vt:lpstr>nombres</vt:lpstr>
      <vt:lpstr>Datos2-En proceso-2022</vt:lpstr>
      <vt:lpstr>2022-2023</vt:lpstr>
      <vt:lpstr>muestra</vt:lpstr>
      <vt:lpstr>digitalData</vt:lpstr>
      <vt:lpstr>claves</vt:lpstr>
      <vt:lpstr>Red 44 Cuzco  Mate Com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Becerra - Economía</dc:creator>
  <cp:lastModifiedBy>Lucas Becerra Rodriguez - Est. Economia</cp:lastModifiedBy>
  <dcterms:created xsi:type="dcterms:W3CDTF">2025-03-02T17:12:32Z</dcterms:created>
  <dcterms:modified xsi:type="dcterms:W3CDTF">2025-03-02T17:23:02Z</dcterms:modified>
</cp:coreProperties>
</file>